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harts/chart3.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tables/table1.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ml.chartshapes+xml"/>
  <Override PartName="/xl/charts/chart5.xml" ContentType="application/vnd.openxmlformats-officedocument.drawingml.chart+xml"/>
  <Override PartName="/xl/drawings/drawing12.xml" ContentType="application/vnd.openxmlformats-officedocument.drawingml.chartshapes+xml"/>
  <Override PartName="/xl/comments13.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harts/chart6.xml" ContentType="application/vnd.openxmlformats-officedocument.drawingml.chart+xml"/>
  <Override PartName="/xl/drawings/drawing15.xml" ContentType="application/vnd.openxmlformats-officedocument.drawingml.chartshapes+xml"/>
  <Override PartName="/xl/charts/chart7.xml" ContentType="application/vnd.openxmlformats-officedocument.drawingml.chart+xml"/>
  <Override PartName="/xl/drawings/drawing16.xml" ContentType="application/vnd.openxmlformats-officedocument.drawingml.chartshap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O:\Valuation\RNA Advisors\Kallyope\VD 06.30.2018\6 - Analysis\"/>
    </mc:Choice>
  </mc:AlternateContent>
  <bookViews>
    <workbookView xWindow="360" yWindow="1035" windowWidth="11160" windowHeight="6405" tabRatio="889" firstSheet="52" activeTab="57"/>
  </bookViews>
  <sheets>
    <sheet name="Model Guidelines" sheetId="123" r:id="rId1"/>
    <sheet name="MASTER PubCo Inputs" sheetId="79" r:id="rId2"/>
    <sheet name="Change Log" sheetId="228" r:id="rId3"/>
    <sheet name="Notes &amp; Assumptions" sheetId="142" r:id="rId4"/>
    <sheet name="Checklist" sheetId="248" r:id="rId5"/>
    <sheet name="Exhibits--&gt;&gt;" sheetId="86" r:id="rId6"/>
    <sheet name="Title" sheetId="1" r:id="rId7"/>
    <sheet name="Outline" sheetId="133" r:id="rId8"/>
    <sheet name="_CIQHiddenCacheSheet" sheetId="348" state="veryHidden" r:id="rId9"/>
    <sheet name="Val Summ" sheetId="4" r:id="rId10"/>
    <sheet name="Allocation Method &gt;&gt;" sheetId="90" r:id="rId11"/>
    <sheet name="PWERM" sheetId="73" r:id="rId12"/>
    <sheet name="Exit Probability" sheetId="266" r:id="rId13"/>
    <sheet name="PoTS" sheetId="283" r:id="rId14"/>
    <sheet name="FS &gt;&gt;" sheetId="94" r:id="rId15"/>
    <sheet name="Forecast" sheetId="264" r:id="rId16"/>
    <sheet name="Hist IS" sheetId="10" r:id="rId17"/>
    <sheet name="Hist BS" sheetId="8" r:id="rId18"/>
    <sheet name="Discount Rate FP &gt;&gt;" sheetId="27" r:id="rId19"/>
    <sheet name="WACC PWERM" sheetId="279" r:id="rId20"/>
    <sheet name="RoR Stage of Dev" sheetId="38" r:id="rId21"/>
    <sheet name="GCM FP &gt;&gt;" sheetId="21" r:id="rId22"/>
    <sheet name="Comp.1" sheetId="47" r:id="rId23"/>
    <sheet name="Comp.6" sheetId="15" r:id="rId24"/>
    <sheet name="GTM FP &gt;&gt;" sheetId="22" r:id="rId25"/>
    <sheet name="Trans.1" sheetId="57" r:id="rId26"/>
    <sheet name="Trans.2" sheetId="59" r:id="rId27"/>
    <sheet name="Cap Structure FP &gt;&gt;" sheetId="24" r:id="rId28"/>
    <sheet name="Cap Table" sheetId="267" r:id="rId29"/>
    <sheet name="Econ Rights" sheetId="268" r:id="rId30"/>
    <sheet name="Support FP &gt;&gt;" sheetId="25" r:id="rId31"/>
    <sheet name="PWERM DLOM" sheetId="277" r:id="rId32"/>
    <sheet name="Asset Vol_IPO Phase I" sheetId="12" r:id="rId33"/>
    <sheet name="Asset Vol_IPO Phase II" sheetId="257" r:id="rId34"/>
    <sheet name="Asset Vol_M&amp;A IND" sheetId="256" r:id="rId35"/>
    <sheet name="Asset Vol_M&amp;A Phase I" sheetId="249" r:id="rId36"/>
    <sheet name="Asset Vol_M&amp;A Phase II" sheetId="250" r:id="rId37"/>
    <sheet name="Equity Vol" sheetId="13" r:id="rId38"/>
    <sheet name="Risk-Free Rates" sheetId="14" r:id="rId39"/>
    <sheet name="Non-Diversification Risk" sheetId="278" r:id="rId40"/>
    <sheet name="IPO Data_BioPharma" sheetId="280" r:id="rId41"/>
    <sheet name="IPO Data_Comparables" sheetId="281" r:id="rId42"/>
    <sheet name="Licensing Deals" sheetId="282" r:id="rId43"/>
    <sheet name="Title_Workpapers &gt; &gt;" sheetId="152" r:id="rId44"/>
    <sheet name="Outline_Workpapers" sheetId="232" r:id="rId45"/>
    <sheet name="Val Summ (2)" sheetId="305" r:id="rId46"/>
    <sheet name="Milestone Calcs" sheetId="313" r:id="rId47"/>
    <sheet name="Fixed Research Payments" sheetId="316" r:id="rId48"/>
    <sheet name="rNPV Assumptions_Obesity" sheetId="306" r:id="rId49"/>
    <sheet name="rNPV Analysis_Obesity" sheetId="308" r:id="rId50"/>
    <sheet name="rNPV Assumptions_Diabetes" sheetId="343" r:id="rId51"/>
    <sheet name="rNPV Analysis_Diabetes" sheetId="344" r:id="rId52"/>
    <sheet name="rNPV Assumptions_NASH" sheetId="345" r:id="rId53"/>
    <sheet name="rNPV Analysis_NASH" sheetId="346" r:id="rId54"/>
    <sheet name="Penetration Curves" sheetId="310" r:id="rId55"/>
    <sheet name="Cost of Capital_Avance" sheetId="317" r:id="rId56"/>
    <sheet name="WACC CAPM_rNPV" sheetId="39" r:id="rId57"/>
    <sheet name="YTW Large Pharma" sheetId="347" r:id="rId58"/>
    <sheet name="Obesity_WW Summary" sheetId="325" r:id="rId59"/>
    <sheet name="Diabetes_WW Summary" sheetId="335" r:id="rId60"/>
    <sheet name="NASH_WW Summary" sheetId="339" r:id="rId61"/>
    <sheet name="Timeline and Cost Research" sheetId="327" r:id="rId62"/>
    <sheet name="FDA Drug timeline" sheetId="328" r:id="rId63"/>
    <sheet name="PoTS _rNPV" sheetId="311" r:id="rId64"/>
    <sheet name="Patent Exclusivity" sheetId="329" r:id="rId65"/>
    <sheet name="PBC -&gt;&gt;&gt;" sheetId="231" r:id="rId66"/>
    <sheet name="ERP" sheetId="342" r:id="rId67"/>
    <sheet name="Summary" sheetId="269" r:id="rId68"/>
    <sheet name="Cap Table (3)" sheetId="270" r:id="rId69"/>
    <sheet name="Series A " sheetId="271" r:id="rId70"/>
    <sheet name="Series B" sheetId="272" r:id="rId71"/>
    <sheet name="Common Stock" sheetId="273" r:id="rId72"/>
    <sheet name="Options" sheetId="274" r:id="rId73"/>
    <sheet name="Rollforward" sheetId="275" r:id="rId74"/>
    <sheet name="Columbia Shares" sheetId="276" r:id="rId75"/>
    <sheet name="FS Monthly" sheetId="265" r:id="rId76"/>
    <sheet name="CAPIQ -&gt;&gt;&gt;" sheetId="230" r:id="rId77"/>
    <sheet name="Capital IQ Sheet-GPC" sheetId="200" r:id="rId78"/>
    <sheet name="Capital IQ Sheet-STM" sheetId="204" r:id="rId79"/>
    <sheet name="GPC Linked" sheetId="213" r:id="rId80"/>
    <sheet name="STM Linked" sheetId="214" r:id="rId81"/>
    <sheet name="&lt;DO NOT INCLUDE&gt;" sheetId="26" r:id="rId82"/>
    <sheet name="Comparative Sheet" sheetId="156" r:id="rId83"/>
    <sheet name="Beta Calc" sheetId="41" r:id="rId84"/>
    <sheet name="Global" sheetId="337" r:id="rId85"/>
    <sheet name="Sheet 1 NASH" sheetId="338" r:id="rId86"/>
    <sheet name="World (2)" sheetId="333" r:id="rId87"/>
    <sheet name="World" sheetId="332" r:id="rId88"/>
    <sheet name="Sheet 1_diabetes" sheetId="334" r:id="rId89"/>
    <sheet name="Sheet 1" sheetId="331" r:id="rId90"/>
    <sheet name="Val Summ_WPS" sheetId="284" r:id="rId91"/>
    <sheet name="OPM 1_Series B" sheetId="289" r:id="rId92"/>
    <sheet name="OPM 2_Series B" sheetId="290" r:id="rId93"/>
    <sheet name="DLOM_Implied Series B" sheetId="291" r:id="rId94"/>
    <sheet name="Asset Vol_Implied Series B" sheetId="292" r:id="rId95"/>
    <sheet name="Asset Vol_DLOM_Implied Series B" sheetId="293" r:id="rId96"/>
    <sheet name="Risk-Free Rates_OPM" sheetId="294" r:id="rId97"/>
    <sheet name="OPM 1_OIP" sheetId="285" r:id="rId98"/>
    <sheet name="OPM 2_OIP" sheetId="286" r:id="rId99"/>
    <sheet name="OPM 1 Series B Warrants" sheetId="314" r:id="rId100"/>
    <sheet name="OPM 2 Series B Warrants" sheetId="315" r:id="rId101"/>
    <sheet name="Full DLOM_OPM" sheetId="287" r:id="rId102"/>
    <sheet name="Asset Vol_OPM_OIP" sheetId="296" r:id="rId103"/>
    <sheet name="PWERM Waterfall n Allocation" sheetId="52" r:id="rId104"/>
    <sheet name="PWERM Waterfall n Allocation_B" sheetId="295" r:id="rId105"/>
    <sheet name="Market Trends since Prior Val" sheetId="185" r:id="rId106"/>
    <sheet name="Asset Vol_DLOM" sheetId="288" r:id="rId107"/>
    <sheet name="Comp.4" sheetId="173" r:id="rId108"/>
    <sheet name="DLOM Rest Stock" sheetId="5" r:id="rId109"/>
    <sheet name="Lack Voting" sheetId="2" r:id="rId110"/>
    <sheet name="Comp.2" sheetId="172" r:id="rId111"/>
    <sheet name="Comp.5" sheetId="53" r:id="rId112"/>
    <sheet name="List Data" sheetId="106" r:id="rId113"/>
    <sheet name="Template Details" sheetId="88" r:id="rId114"/>
  </sheets>
  <externalReferences>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s>
  <definedNames>
    <definedName name="_" localSheetId="106" hidden="1">#REF!</definedName>
    <definedName name="_" localSheetId="95" hidden="1">#REF!</definedName>
    <definedName name="_" localSheetId="94" hidden="1">#REF!</definedName>
    <definedName name="_" localSheetId="33" hidden="1">#REF!</definedName>
    <definedName name="_" localSheetId="34" hidden="1">#REF!</definedName>
    <definedName name="_" localSheetId="35" hidden="1">#REF!</definedName>
    <definedName name="_" localSheetId="102" hidden="1">#REF!</definedName>
    <definedName name="_" localSheetId="4" hidden="1">#REF!</definedName>
    <definedName name="_" localSheetId="55" hidden="1">#REF!</definedName>
    <definedName name="_" localSheetId="59" hidden="1">#REF!</definedName>
    <definedName name="_" localSheetId="93" hidden="1">#REF!</definedName>
    <definedName name="_" localSheetId="62" hidden="1">#REF!</definedName>
    <definedName name="_" localSheetId="47" hidden="1">#REF!</definedName>
    <definedName name="_" localSheetId="101" hidden="1">#REF!</definedName>
    <definedName name="_" localSheetId="40" hidden="1">#REF!</definedName>
    <definedName name="_" localSheetId="41" hidden="1">#REF!</definedName>
    <definedName name="_" localSheetId="46" hidden="1">#REF!</definedName>
    <definedName name="_" localSheetId="60" hidden="1">#REF!</definedName>
    <definedName name="_" localSheetId="39" hidden="1">#REF!</definedName>
    <definedName name="_" localSheetId="58" hidden="1">#REF!</definedName>
    <definedName name="_" localSheetId="44" hidden="1">#REF!</definedName>
    <definedName name="_" localSheetId="64" hidden="1">#REF!</definedName>
    <definedName name="_" localSheetId="63" hidden="1">#REF!</definedName>
    <definedName name="_" localSheetId="31" hidden="1">#REF!</definedName>
    <definedName name="_" localSheetId="104" hidden="1">#REF!</definedName>
    <definedName name="_" localSheetId="96" hidden="1">#REF!</definedName>
    <definedName name="_" localSheetId="61" hidden="1">#REF!</definedName>
    <definedName name="_" localSheetId="90" hidden="1">#REF!</definedName>
    <definedName name="_" localSheetId="19" hidden="1">#REF!</definedName>
    <definedName name="_" localSheetId="57" hidden="1">#REF!</definedName>
    <definedName name="_" hidden="1">#REF!</definedName>
    <definedName name="__123Graph_A" hidden="1">'[1]Sheet1 (2)'!$H$20:$O$20</definedName>
    <definedName name="__123Graph_B" hidden="1">'[1]Sheet1 (2)'!$H$15:$O$15</definedName>
    <definedName name="__123Graph_X" hidden="1">'[1]Sheet1 (2)'!$H$3:$P$3</definedName>
    <definedName name="__FDS_HYPERLINK_TOGGLE_STATE__" hidden="1">"ON"</definedName>
    <definedName name="__IntlFixup" hidden="1">TRUE</definedName>
    <definedName name="__IntlFixupTable" localSheetId="106" hidden="1">#REF!</definedName>
    <definedName name="__IntlFixupTable" localSheetId="95" hidden="1">#REF!</definedName>
    <definedName name="__IntlFixupTable" localSheetId="94" hidden="1">#REF!</definedName>
    <definedName name="__IntlFixupTable" localSheetId="33" hidden="1">#REF!</definedName>
    <definedName name="__IntlFixupTable" localSheetId="34" hidden="1">#REF!</definedName>
    <definedName name="__IntlFixupTable" localSheetId="35" hidden="1">#REF!</definedName>
    <definedName name="__IntlFixupTable" localSheetId="102" hidden="1">#REF!</definedName>
    <definedName name="__IntlFixupTable" localSheetId="4" hidden="1">#REF!</definedName>
    <definedName name="__IntlFixupTable" localSheetId="55" hidden="1">#REF!</definedName>
    <definedName name="__IntlFixupTable" localSheetId="59" hidden="1">#REF!</definedName>
    <definedName name="__IntlFixupTable" localSheetId="93" hidden="1">#REF!</definedName>
    <definedName name="__IntlFixupTable" localSheetId="62" hidden="1">#REF!</definedName>
    <definedName name="__IntlFixupTable" localSheetId="47" hidden="1">#REF!</definedName>
    <definedName name="__IntlFixupTable" localSheetId="101" hidden="1">#REF!</definedName>
    <definedName name="__IntlFixupTable" localSheetId="40" hidden="1">#REF!</definedName>
    <definedName name="__IntlFixupTable" localSheetId="41" hidden="1">#REF!</definedName>
    <definedName name="__IntlFixupTable" localSheetId="46" hidden="1">#REF!</definedName>
    <definedName name="__IntlFixupTable" localSheetId="60" hidden="1">#REF!</definedName>
    <definedName name="__IntlFixupTable" localSheetId="39" hidden="1">#REF!</definedName>
    <definedName name="__IntlFixupTable" localSheetId="58" hidden="1">#REF!</definedName>
    <definedName name="__IntlFixupTable" localSheetId="44" hidden="1">#REF!</definedName>
    <definedName name="__IntlFixupTable" localSheetId="64" hidden="1">#REF!</definedName>
    <definedName name="__IntlFixupTable" localSheetId="63" hidden="1">#REF!</definedName>
    <definedName name="__IntlFixupTable" localSheetId="31" hidden="1">#REF!</definedName>
    <definedName name="__IntlFixupTable" localSheetId="104" hidden="1">#REF!</definedName>
    <definedName name="__IntlFixupTable" localSheetId="96" hidden="1">#REF!</definedName>
    <definedName name="__IntlFixupTable" localSheetId="61" hidden="1">#REF!</definedName>
    <definedName name="__IntlFixupTable" localSheetId="90" hidden="1">#REF!</definedName>
    <definedName name="__IntlFixupTable" localSheetId="19" hidden="1">#REF!</definedName>
    <definedName name="__IntlFixupTable" localSheetId="57" hidden="1">#REF!</definedName>
    <definedName name="__IntlFixupTable" hidden="1">#REF!</definedName>
    <definedName name="__r" hidden="1">"Formula removed, name can be deleted."</definedName>
    <definedName name="_1__123Graph_ACHART_1" localSheetId="61" hidden="1">[2]Africa!$B$19:$V$19</definedName>
    <definedName name="_1__123Graph_ACHART_1" hidden="1">[2]Africa!$B$19:$V$19</definedName>
    <definedName name="_10__123Graph_ACHART_18" localSheetId="61" hidden="1">[2]Ocean!$B$28:$V$28</definedName>
    <definedName name="_10__123Graph_ACHART_18" hidden="1">[2]Ocean!$B$28:$V$28</definedName>
    <definedName name="_11__123Graph_ACHART_19" localSheetId="61" hidden="1">'[2]S Amer'!$B$19:$V$19</definedName>
    <definedName name="_11__123Graph_ACHART_19" hidden="1">'[2]S Amer'!$B$19:$V$19</definedName>
    <definedName name="_12__123Graph_ACHART_2" localSheetId="61" hidden="1">[2]Africa!$B$14:$V$14</definedName>
    <definedName name="_12__123Graph_ACHART_2" hidden="1">[2]Africa!$B$14:$V$14</definedName>
    <definedName name="_13__123Graph_ACHART_20" localSheetId="61" hidden="1">'[2]S Amer'!$B$14:$V$14</definedName>
    <definedName name="_13__123Graph_ACHART_20" hidden="1">'[2]S Amer'!$B$14:$V$14</definedName>
    <definedName name="_14__123Graph_ACHART_21" localSheetId="61" hidden="1">'[2]S Amer'!$B$28:$V$28</definedName>
    <definedName name="_14__123Graph_ACHART_21" hidden="1">'[2]S Amer'!$B$28:$V$28</definedName>
    <definedName name="_15__123Graph_ACHART_22" localSheetId="61" hidden="1">'[2]W Eur'!$B$19:$V$19</definedName>
    <definedName name="_15__123Graph_ACHART_22" hidden="1">'[2]W Eur'!$B$19:$V$19</definedName>
    <definedName name="_16__123Graph_ACHART_23" localSheetId="61" hidden="1">'[2]W Eur'!$B$14:$V$14</definedName>
    <definedName name="_16__123Graph_ACHART_23" hidden="1">'[2]W Eur'!$B$14:$V$14</definedName>
    <definedName name="_17__123Graph_ACHART_24" localSheetId="61" hidden="1">'[2]W Eur'!$B$28:$V$28</definedName>
    <definedName name="_17__123Graph_ACHART_24" hidden="1">'[2]W Eur'!$B$28:$V$28</definedName>
    <definedName name="_18__123Graph_ACHART_3" localSheetId="61" hidden="1">[2]Africa!$B$28:$V$28</definedName>
    <definedName name="_18__123Graph_ACHART_3" hidden="1">[2]Africa!$B$28:$V$28</definedName>
    <definedName name="_19__123Graph_ACHART_4" localSheetId="61" hidden="1">'[2]C Amer'!$B$19:$V$19</definedName>
    <definedName name="_19__123Graph_ACHART_4" hidden="1">'[2]C Amer'!$B$19:$V$19</definedName>
    <definedName name="_1998">'[3]Options by Employee'!$A$9:$J$63</definedName>
    <definedName name="_1999">'[3]Options by Employee'!$A$64:$H$148</definedName>
    <definedName name="_2" localSheetId="55" hidden="1">#REF!</definedName>
    <definedName name="_2" localSheetId="59" hidden="1">#REF!</definedName>
    <definedName name="_2" localSheetId="47" hidden="1">#REF!</definedName>
    <definedName name="_2" localSheetId="46" hidden="1">#REF!</definedName>
    <definedName name="_2" localSheetId="60" hidden="1">#REF!</definedName>
    <definedName name="_2" localSheetId="64" hidden="1">#REF!</definedName>
    <definedName name="_2" localSheetId="63" hidden="1">#REF!</definedName>
    <definedName name="_2" localSheetId="57" hidden="1">#REF!</definedName>
    <definedName name="_2" hidden="1">#REF!</definedName>
    <definedName name="_2__123Graph_ACHART_10" localSheetId="61" hidden="1">'[2]E Eur'!$B$14:$V$14</definedName>
    <definedName name="_2__123Graph_ACHART_10" hidden="1">'[2]E Eur'!$B$14:$V$14</definedName>
    <definedName name="_20__123Graph_ACHART_5" localSheetId="61" hidden="1">'[2]C Amer'!$B$14:$V$14</definedName>
    <definedName name="_20__123Graph_ACHART_5" hidden="1">'[2]C Amer'!$B$14:$V$14</definedName>
    <definedName name="_21__123Graph_ACHART_6" localSheetId="61" hidden="1">'[2]C Amer'!$B$28:$V$28</definedName>
    <definedName name="_21__123Graph_ACHART_6" hidden="1">'[2]C Amer'!$B$28:$V$28</definedName>
    <definedName name="_22__123Graph_A_Chart_1A" hidden="1">'[4]Stock Price'!$B$4:$B$265</definedName>
    <definedName name="_22__123Graph_ACHART_7" localSheetId="61" hidden="1">'[2]E Asia'!$B$19:$V$19</definedName>
    <definedName name="_22__123Graph_ACHART_7" hidden="1">'[2]E Asia'!$B$19:$V$19</definedName>
    <definedName name="_23__123Graph_AChart_1" hidden="1">[5]Total!$D$322:$D$325</definedName>
    <definedName name="_23__123Graph_ACHART_8" localSheetId="61" hidden="1">'[2]E Asia'!$B$14:$V$14</definedName>
    <definedName name="_23__123Graph_ACHART_8" hidden="1">'[2]E Asia'!$B$14:$V$14</definedName>
    <definedName name="_24__123Graph_AChart_2" hidden="1">'[6]sales vol.'!$K$398:$K$401</definedName>
    <definedName name="_24__123Graph_ACHART_9" localSheetId="61" hidden="1">'[2]E Eur'!$B$19:$V$19</definedName>
    <definedName name="_24__123Graph_ACHART_9" hidden="1">'[2]E Eur'!$B$19:$V$19</definedName>
    <definedName name="_25__123Graph_AChart_3" hidden="1">'[6]sales vol.'!$K$211:$K$214</definedName>
    <definedName name="_25__123Graph_BCHART_1" localSheetId="61" hidden="1">[2]Africa!$B$21:$V$21</definedName>
    <definedName name="_25__123Graph_BCHART_1" hidden="1">[2]Africa!$B$21:$V$21</definedName>
    <definedName name="_26__123Graph_AChart_4" hidden="1">'[6]sales vol.'!$J$1121:$J$1122</definedName>
    <definedName name="_26__123Graph_BCHART_10" localSheetId="61" hidden="1">'[2]E Eur'!$B$51:$V$51</definedName>
    <definedName name="_26__123Graph_BCHART_10" hidden="1">'[2]E Eur'!$B$51:$V$51</definedName>
    <definedName name="_27__123Graph_AChart_5" hidden="1">'[6]sales vol.'!$J$1632:$J$1635</definedName>
    <definedName name="_27__123Graph_BCHART_13" localSheetId="61" hidden="1">[2]Mideast!$B$21:$V$21</definedName>
    <definedName name="_27__123Graph_BCHART_13" hidden="1">[2]Mideast!$B$21:$V$21</definedName>
    <definedName name="_28__123Graph_AChart_6" hidden="1">'[6]sales vol.'!$J$2248:$J$2251</definedName>
    <definedName name="_28__123Graph_BCHART_14" localSheetId="61" hidden="1">[2]Mideast!$B$51:$V$51</definedName>
    <definedName name="_28__123Graph_BCHART_14" hidden="1">[2]Mideast!$B$51:$V$51</definedName>
    <definedName name="_29__123Graph_B_Chart_1A" hidden="1">'[4]Stock Price'!$C$4:$C$265</definedName>
    <definedName name="_29__123Graph_BCHART_16" localSheetId="61" hidden="1">[2]Ocean!$B$21:$V$21</definedName>
    <definedName name="_29__123Graph_BCHART_16" hidden="1">[2]Ocean!$B$21:$V$21</definedName>
    <definedName name="_3__123Graph_ACHART_11" localSheetId="61" hidden="1">'[2]E Eur'!$B$28:$V$28</definedName>
    <definedName name="_3__123Graph_ACHART_11" hidden="1">'[2]E Eur'!$B$28:$V$28</definedName>
    <definedName name="_30__123Graph_BCHART_17" localSheetId="61" hidden="1">[2]Ocean!$B$51:$V$51</definedName>
    <definedName name="_30__123Graph_BCHART_17" hidden="1">[2]Ocean!$B$51:$V$51</definedName>
    <definedName name="_30__123Graph_C_Chart_1A" hidden="1">'[4]Stock Price'!$D$4:$D$265</definedName>
    <definedName name="_31__123Graph_BCHART_19" localSheetId="61" hidden="1">'[2]S Amer'!$B$21:$V$21</definedName>
    <definedName name="_31__123Graph_BCHART_19" hidden="1">'[2]S Amer'!$B$21:$V$21</definedName>
    <definedName name="_31__123Graph_D_Chart_1A" hidden="1">'[4]Stock Price'!$E$4:$E$265</definedName>
    <definedName name="_32__123Graph_BCHART_2" localSheetId="61" hidden="1">[2]Africa!$B$51:$V$51</definedName>
    <definedName name="_32__123Graph_BCHART_2" hidden="1">[2]Africa!$B$51:$V$51</definedName>
    <definedName name="_32__123Graph_E_Chart_1A" hidden="1">'[4]Stock Price'!$F$4:$F$265</definedName>
    <definedName name="_33__123Graph_BCHART_20" localSheetId="61" hidden="1">'[2]S Amer'!$B$51:$V$51</definedName>
    <definedName name="_33__123Graph_BCHART_20" hidden="1">'[2]S Amer'!$B$51:$V$51</definedName>
    <definedName name="_33__123Graph_F_Chart_1A" hidden="1">'[4]Stock Price'!$G$4:$G$265</definedName>
    <definedName name="_34__123Graph_BCHART_22" localSheetId="61" hidden="1">'[2]W Eur'!$B$21:$V$21</definedName>
    <definedName name="_34__123Graph_BCHART_22" hidden="1">'[2]W Eur'!$B$21:$V$21</definedName>
    <definedName name="_34__123Graph_X_Chart_1A" hidden="1">'[4]Stock Price'!$A$4:$A$265</definedName>
    <definedName name="_35__123Graph_BCHART_23" localSheetId="61" hidden="1">'[2]W Eur'!$B$51:$V$51</definedName>
    <definedName name="_35__123Graph_BCHART_23" hidden="1">'[2]W Eur'!$B$51:$V$51</definedName>
    <definedName name="_35__123Graph_XChart_1" hidden="1">[5]Total!$C$322:$C$325</definedName>
    <definedName name="_36__123Graph_BCHART_4" localSheetId="61" hidden="1">'[2]C Amer'!$B$21:$V$21</definedName>
    <definedName name="_36__123Graph_BCHART_4" hidden="1">'[2]C Amer'!$B$21:$V$21</definedName>
    <definedName name="_36__123Graph_XChart_2" hidden="1">'[6]sales vol.'!$J$398:$J$401</definedName>
    <definedName name="_37__123Graph_BCHART_5" localSheetId="61" hidden="1">'[2]C Amer'!$B$51:$V$51</definedName>
    <definedName name="_37__123Graph_BCHART_5" hidden="1">'[2]C Amer'!$B$51:$V$51</definedName>
    <definedName name="_37__123Graph_XChart_3" hidden="1">'[6]sales vol.'!$J$211:$J$214</definedName>
    <definedName name="_38__123Graph_BCHART_7" localSheetId="61" hidden="1">'[2]E Asia'!$B$21:$V$21</definedName>
    <definedName name="_38__123Graph_BCHART_7" hidden="1">'[2]E Asia'!$B$21:$V$21</definedName>
    <definedName name="_38__123Graph_XChart_4" hidden="1">'[6]sales vol.'!$I$1121:$I$1122</definedName>
    <definedName name="_39__123Graph_BCHART_8" localSheetId="61" hidden="1">'[2]E Asia'!$B$51:$V$51</definedName>
    <definedName name="_39__123Graph_BCHART_8" hidden="1">'[2]E Asia'!$B$51:$V$51</definedName>
    <definedName name="_39__123Graph_XChart_5" hidden="1">'[6]sales vol.'!$I$1632:$I$1635</definedName>
    <definedName name="_4__123Graph_ACHART_12" localSheetId="61" hidden="1">'[2]E Asia'!$B$28:$V$28</definedName>
    <definedName name="_4__123Graph_ACHART_12" hidden="1">'[2]E Asia'!$B$28:$V$28</definedName>
    <definedName name="_40__123Graph_BCHART_9" localSheetId="61" hidden="1">'[2]E Eur'!$B$21:$V$21</definedName>
    <definedName name="_40__123Graph_BCHART_9" hidden="1">'[2]E Eur'!$B$21:$V$21</definedName>
    <definedName name="_40__123Graph_XChart_6" hidden="1">'[6]sales vol.'!$I$2248:$I$2251</definedName>
    <definedName name="_41__123Graph_CCHART_10" localSheetId="61" hidden="1">'[2]E Eur'!$B$13:$V$13</definedName>
    <definedName name="_41__123Graph_CCHART_10" hidden="1">'[2]E Eur'!$B$13:$V$13</definedName>
    <definedName name="_42__123Graph_CCHART_14" localSheetId="61" hidden="1">[2]Mideast!$B$13:$V$13</definedName>
    <definedName name="_42__123Graph_CCHART_14" hidden="1">[2]Mideast!$B$13:$V$13</definedName>
    <definedName name="_43__123Graph_CCHART_17" localSheetId="61" hidden="1">[2]Ocean!$B$13:$V$13</definedName>
    <definedName name="_43__123Graph_CCHART_17" hidden="1">[2]Ocean!$B$13:$V$13</definedName>
    <definedName name="_44__123Graph_CCHART_2" localSheetId="61" hidden="1">[2]Africa!$B$13:$V$13</definedName>
    <definedName name="_44__123Graph_CCHART_2" hidden="1">[2]Africa!$B$13:$V$13</definedName>
    <definedName name="_45__123Graph_CCHART_20" localSheetId="61" hidden="1">'[2]S Amer'!$B$13:$V$13</definedName>
    <definedName name="_45__123Graph_CCHART_20" hidden="1">'[2]S Amer'!$B$13:$V$13</definedName>
    <definedName name="_46__123Graph_CCHART_23" localSheetId="61" hidden="1">'[2]W Eur'!$B$13:$V$13</definedName>
    <definedName name="_46__123Graph_CCHART_23" hidden="1">'[2]W Eur'!$B$13:$V$13</definedName>
    <definedName name="_47__123Graph_CCHART_5" localSheetId="61" hidden="1">'[2]C Amer'!$B$13:$V$13</definedName>
    <definedName name="_47__123Graph_CCHART_5" hidden="1">'[2]C Amer'!$B$13:$V$13</definedName>
    <definedName name="_48__123Graph_CCHART_8" localSheetId="61" hidden="1">'[2]E Asia'!$B$13:$V$13</definedName>
    <definedName name="_48__123Graph_CCHART_8" hidden="1">'[2]E Asia'!$B$13:$V$13</definedName>
    <definedName name="_49__123Graph_XCHART_10" localSheetId="61" hidden="1">'[2]E Eur'!$B$8:$V$8</definedName>
    <definedName name="_49__123Graph_XCHART_10" hidden="1">'[2]E Eur'!$B$8:$V$8</definedName>
    <definedName name="_5__123Graph_ACHART_13" localSheetId="61" hidden="1">[2]Mideast!$B$19:$V$19</definedName>
    <definedName name="_5__123Graph_ACHART_13" hidden="1">[2]Mideast!$B$19:$V$19</definedName>
    <definedName name="_50__123Graph_XCHART_11" localSheetId="61" hidden="1">'[2]E Eur'!$B$8:$V$8</definedName>
    <definedName name="_50__123Graph_XCHART_11" hidden="1">'[2]E Eur'!$B$8:$V$8</definedName>
    <definedName name="_51__123Graph_XCHART_14" localSheetId="61" hidden="1">[2]Mideast!$B$8:$V$8</definedName>
    <definedName name="_51__123Graph_XCHART_14" hidden="1">[2]Mideast!$B$8:$V$8</definedName>
    <definedName name="_52__123Graph_XCHART_15" localSheetId="61" hidden="1">[2]Mideast!$B$8:$V$8</definedName>
    <definedName name="_52__123Graph_XCHART_15" hidden="1">[2]Mideast!$B$8:$V$8</definedName>
    <definedName name="_53__123Graph_XCHART_17" localSheetId="61" hidden="1">[2]Ocean!$B$8:$V$8</definedName>
    <definedName name="_53__123Graph_XCHART_17" hidden="1">[2]Ocean!$B$8:$V$8</definedName>
    <definedName name="_54__123Graph_XCHART_18" localSheetId="61" hidden="1">[2]Ocean!$B$8:$V$8</definedName>
    <definedName name="_54__123Graph_XCHART_18" hidden="1">[2]Ocean!$B$8:$V$8</definedName>
    <definedName name="_55__123Graph_XCHART_2" localSheetId="61" hidden="1">[2]Africa!$B$8:$V$8</definedName>
    <definedName name="_55__123Graph_XCHART_2" hidden="1">[2]Africa!$B$8:$V$8</definedName>
    <definedName name="_56__123Graph_XCHART_20" localSheetId="61" hidden="1">'[2]S Amer'!$B$8:$V$8</definedName>
    <definedName name="_56__123Graph_XCHART_20" hidden="1">'[2]S Amer'!$B$8:$V$8</definedName>
    <definedName name="_57__123Graph_XCHART_21" localSheetId="61" hidden="1">'[2]S Amer'!$B$8:$V$8</definedName>
    <definedName name="_57__123Graph_XCHART_21" hidden="1">'[2]S Amer'!$B$8:$V$8</definedName>
    <definedName name="_58__123Graph_XCHART_23" localSheetId="61" hidden="1">'[2]W Eur'!$B$8:$V$8</definedName>
    <definedName name="_58__123Graph_XCHART_23" hidden="1">'[2]W Eur'!$B$8:$V$8</definedName>
    <definedName name="_59__123Graph_XCHART_24" localSheetId="61" hidden="1">'[2]W Eur'!$B$8:$V$8</definedName>
    <definedName name="_59__123Graph_XCHART_24" hidden="1">'[2]W Eur'!$B$8:$V$8</definedName>
    <definedName name="_6__123Graph_ACHART_14" localSheetId="61" hidden="1">[2]Mideast!$B$14:$V$14</definedName>
    <definedName name="_6__123Graph_ACHART_14" hidden="1">[2]Mideast!$B$14:$V$14</definedName>
    <definedName name="_60__123Graph_XCHART_3" localSheetId="61" hidden="1">[2]Africa!$B$8:$V$8</definedName>
    <definedName name="_60__123Graph_XCHART_3" hidden="1">[2]Africa!$B$8:$V$8</definedName>
    <definedName name="_61__123Graph_XCHART_5" localSheetId="61" hidden="1">'[2]C Amer'!$B$8:$V$8</definedName>
    <definedName name="_61__123Graph_XCHART_5" hidden="1">'[2]C Amer'!$B$8:$V$8</definedName>
    <definedName name="_62__123Graph_XCHART_6" localSheetId="61" hidden="1">'[2]C Amer'!$B$8:$V$8</definedName>
    <definedName name="_62__123Graph_XCHART_6" hidden="1">'[2]C Amer'!$B$8:$V$8</definedName>
    <definedName name="_63__123Graph_XCHART_8" localSheetId="61" hidden="1">'[2]E Asia'!$B$8:$V$8</definedName>
    <definedName name="_63__123Graph_XCHART_8" hidden="1">'[2]E Asia'!$B$8:$V$8</definedName>
    <definedName name="_64_0_0Cwvu.GREY_A" localSheetId="106" hidden="1">[7]TargIS!#REF!</definedName>
    <definedName name="_64_0_0Cwvu.GREY_A" localSheetId="95" hidden="1">[7]TargIS!#REF!</definedName>
    <definedName name="_64_0_0Cwvu.GREY_A" localSheetId="94" hidden="1">[7]TargIS!#REF!</definedName>
    <definedName name="_64_0_0Cwvu.GREY_A" localSheetId="102" hidden="1">[7]TargIS!#REF!</definedName>
    <definedName name="_64_0_0Cwvu.GREY_A" localSheetId="55" hidden="1">[7]TargIS!#REF!</definedName>
    <definedName name="_64_0_0Cwvu.GREY_A" localSheetId="59" hidden="1">[7]TargIS!#REF!</definedName>
    <definedName name="_64_0_0Cwvu.GREY_A" localSheetId="93" hidden="1">[7]TargIS!#REF!</definedName>
    <definedName name="_64_0_0Cwvu.GREY_A" localSheetId="62" hidden="1">[7]TargIS!#REF!</definedName>
    <definedName name="_64_0_0Cwvu.GREY_A" localSheetId="47" hidden="1">[7]TargIS!#REF!</definedName>
    <definedName name="_64_0_0Cwvu.GREY_A" localSheetId="101" hidden="1">[7]TargIS!#REF!</definedName>
    <definedName name="_64_0_0Cwvu.GREY_A" localSheetId="46" hidden="1">[7]TargIS!#REF!</definedName>
    <definedName name="_64_0_0Cwvu.GREY_A" localSheetId="60" hidden="1">[7]TargIS!#REF!</definedName>
    <definedName name="_64_0_0Cwvu.GREY_A" localSheetId="58" hidden="1">[7]TargIS!#REF!</definedName>
    <definedName name="_64_0_0Cwvu.GREY_A" localSheetId="64" hidden="1">[7]TargIS!#REF!</definedName>
    <definedName name="_64_0_0Cwvu.GREY_A" localSheetId="63" hidden="1">[7]TargIS!#REF!</definedName>
    <definedName name="_64_0_0Cwvu.GREY_A" localSheetId="104" hidden="1">[7]TargIS!#REF!</definedName>
    <definedName name="_64_0_0Cwvu.GREY_A" localSheetId="96" hidden="1">[7]TargIS!#REF!</definedName>
    <definedName name="_64_0_0Cwvu.GREY_A" localSheetId="61" hidden="1">[7]TargIS!#REF!</definedName>
    <definedName name="_64_0_0Cwvu.GREY_A" localSheetId="45" hidden="1">[7]TargIS!#REF!</definedName>
    <definedName name="_64_0_0Cwvu.GREY_A" localSheetId="90" hidden="1">[7]TargIS!#REF!</definedName>
    <definedName name="_64_0_0Cwvu.GREY_A" localSheetId="57" hidden="1">[7]TargIS!#REF!</definedName>
    <definedName name="_64_0_0Cwvu.GREY_A" hidden="1">[7]TargIS!#REF!</definedName>
    <definedName name="_7__123Graph_ACHART_15" localSheetId="61" hidden="1">[2]Mideast!$B$28:$V$28</definedName>
    <definedName name="_7__123Graph_ACHART_15" hidden="1">[2]Mideast!$B$28:$V$28</definedName>
    <definedName name="_8__123Graph_ACHART_16" localSheetId="61" hidden="1">[2]Ocean!$B$19:$V$19</definedName>
    <definedName name="_8__123Graph_ACHART_16" hidden="1">[2]Ocean!$B$19:$V$19</definedName>
    <definedName name="_9__123Graph_ACHART_17" localSheetId="61" hidden="1">[2]Ocean!$B$14:$V$14</definedName>
    <definedName name="_9__123Graph_ACHART_17" hidden="1">[2]Ocean!$B$14:$V$14</definedName>
    <definedName name="_a1" localSheetId="47" hidden="1">{#N/A,#N/A,FALSE,"Synth";"parc_DC",#N/A,FALSE,"parc";#N/A,#N/A,FALSE,"CA prest";#N/A,#N/A,FALSE,"Ratio CA";#N/A,#N/A,FALSE,"Trafic";"CR_GSM_acté_DC",#N/A,FALSE,"CR GSM_acté";#N/A,#N/A,FALSE,"Abonnés";#N/A,#N/A,FALSE,"Créances";#N/A,#N/A,FALSE,"Effectifs"}</definedName>
    <definedName name="_a1" localSheetId="54" hidden="1">{#N/A,#N/A,FALSE,"Synth";"parc_DC",#N/A,FALSE,"parc";#N/A,#N/A,FALSE,"CA prest";#N/A,#N/A,FALSE,"Ratio CA";#N/A,#N/A,FALSE,"Trafic";"CR_GSM_acté_DC",#N/A,FALSE,"CR GSM_acté";#N/A,#N/A,FALSE,"Abonnés";#N/A,#N/A,FALSE,"Créances";#N/A,#N/A,FALSE,"Effectifs"}</definedName>
    <definedName name="_a1" hidden="1">{#N/A,#N/A,FALSE,"Synth";"parc_DC",#N/A,FALSE,"parc";#N/A,#N/A,FALSE,"CA prest";#N/A,#N/A,FALSE,"Ratio CA";#N/A,#N/A,FALSE,"Trafic";"CR_GSM_acté_DC",#N/A,FALSE,"CR GSM_acté";#N/A,#N/A,FALSE,"Abonnés";#N/A,#N/A,FALSE,"Créances";#N/A,#N/A,FALSE,"Effectifs"}</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46a18ed9dffd4cd6880b56437874ece9.edm" localSheetId="106" hidden="1">#REF!</definedName>
    <definedName name="_bdm.46a18ed9dffd4cd6880b56437874ece9.edm" localSheetId="95" hidden="1">#REF!</definedName>
    <definedName name="_bdm.46a18ed9dffd4cd6880b56437874ece9.edm" localSheetId="94" hidden="1">#REF!</definedName>
    <definedName name="_bdm.46a18ed9dffd4cd6880b56437874ece9.edm" localSheetId="33" hidden="1">#REF!</definedName>
    <definedName name="_bdm.46a18ed9dffd4cd6880b56437874ece9.edm" localSheetId="34" hidden="1">#REF!</definedName>
    <definedName name="_bdm.46a18ed9dffd4cd6880b56437874ece9.edm" localSheetId="35" hidden="1">#REF!</definedName>
    <definedName name="_bdm.46a18ed9dffd4cd6880b56437874ece9.edm" localSheetId="102" hidden="1">#REF!</definedName>
    <definedName name="_bdm.46a18ed9dffd4cd6880b56437874ece9.edm" localSheetId="4" hidden="1">#REF!</definedName>
    <definedName name="_bdm.46a18ed9dffd4cd6880b56437874ece9.edm" localSheetId="59" hidden="1">#REF!</definedName>
    <definedName name="_bdm.46a18ed9dffd4cd6880b56437874ece9.edm" localSheetId="93" hidden="1">#REF!</definedName>
    <definedName name="_bdm.46a18ed9dffd4cd6880b56437874ece9.edm" localSheetId="47" hidden="1">#REF!</definedName>
    <definedName name="_bdm.46a18ed9dffd4cd6880b56437874ece9.edm" localSheetId="101" hidden="1">#REF!</definedName>
    <definedName name="_bdm.46a18ed9dffd4cd6880b56437874ece9.edm" localSheetId="41" hidden="1">#REF!</definedName>
    <definedName name="_bdm.46a18ed9dffd4cd6880b56437874ece9.edm" localSheetId="46" hidden="1">#REF!</definedName>
    <definedName name="_bdm.46a18ed9dffd4cd6880b56437874ece9.edm" localSheetId="60" hidden="1">#REF!</definedName>
    <definedName name="_bdm.46a18ed9dffd4cd6880b56437874ece9.edm" localSheetId="39" hidden="1">#REF!</definedName>
    <definedName name="_bdm.46a18ed9dffd4cd6880b56437874ece9.edm" localSheetId="64" hidden="1">#REF!</definedName>
    <definedName name="_bdm.46a18ed9dffd4cd6880b56437874ece9.edm" localSheetId="63" hidden="1">#REF!</definedName>
    <definedName name="_bdm.46a18ed9dffd4cd6880b56437874ece9.edm" localSheetId="31" hidden="1">#REF!</definedName>
    <definedName name="_bdm.46a18ed9dffd4cd6880b56437874ece9.edm" localSheetId="104" hidden="1">#REF!</definedName>
    <definedName name="_bdm.46a18ed9dffd4cd6880b56437874ece9.edm" localSheetId="96" hidden="1">#REF!</definedName>
    <definedName name="_bdm.46a18ed9dffd4cd6880b56437874ece9.edm" localSheetId="90" hidden="1">#REF!</definedName>
    <definedName name="_bdm.46a18ed9dffd4cd6880b56437874ece9.edm" localSheetId="19" hidden="1">#REF!</definedName>
    <definedName name="_bdm.46a18ed9dffd4cd6880b56437874ece9.edm" localSheetId="57" hidden="1">#REF!</definedName>
    <definedName name="_bdm.46a18ed9dffd4cd6880b56437874ece9.edm" hidden="1">#REF!</definedName>
    <definedName name="_bdm.d437fcb6dd254b7a8c2aff490de850e3.edm" localSheetId="106" hidden="1">#REF!</definedName>
    <definedName name="_bdm.d437fcb6dd254b7a8c2aff490de850e3.edm" localSheetId="95" hidden="1">#REF!</definedName>
    <definedName name="_bdm.d437fcb6dd254b7a8c2aff490de850e3.edm" localSheetId="94" hidden="1">#REF!</definedName>
    <definedName name="_bdm.d437fcb6dd254b7a8c2aff490de850e3.edm" localSheetId="33" hidden="1">#REF!</definedName>
    <definedName name="_bdm.d437fcb6dd254b7a8c2aff490de850e3.edm" localSheetId="34" hidden="1">#REF!</definedName>
    <definedName name="_bdm.d437fcb6dd254b7a8c2aff490de850e3.edm" localSheetId="35" hidden="1">#REF!</definedName>
    <definedName name="_bdm.d437fcb6dd254b7a8c2aff490de850e3.edm" localSheetId="102" hidden="1">#REF!</definedName>
    <definedName name="_bdm.d437fcb6dd254b7a8c2aff490de850e3.edm" localSheetId="4" hidden="1">#REF!</definedName>
    <definedName name="_bdm.d437fcb6dd254b7a8c2aff490de850e3.edm" localSheetId="59" hidden="1">#REF!</definedName>
    <definedName name="_bdm.d437fcb6dd254b7a8c2aff490de850e3.edm" localSheetId="93" hidden="1">#REF!</definedName>
    <definedName name="_bdm.d437fcb6dd254b7a8c2aff490de850e3.edm" localSheetId="47" hidden="1">#REF!</definedName>
    <definedName name="_bdm.d437fcb6dd254b7a8c2aff490de850e3.edm" localSheetId="101" hidden="1">#REF!</definedName>
    <definedName name="_bdm.d437fcb6dd254b7a8c2aff490de850e3.edm" localSheetId="41" hidden="1">#REF!</definedName>
    <definedName name="_bdm.d437fcb6dd254b7a8c2aff490de850e3.edm" localSheetId="46" hidden="1">#REF!</definedName>
    <definedName name="_bdm.d437fcb6dd254b7a8c2aff490de850e3.edm" localSheetId="60" hidden="1">#REF!</definedName>
    <definedName name="_bdm.d437fcb6dd254b7a8c2aff490de850e3.edm" localSheetId="39" hidden="1">#REF!</definedName>
    <definedName name="_bdm.d437fcb6dd254b7a8c2aff490de850e3.edm" localSheetId="64" hidden="1">#REF!</definedName>
    <definedName name="_bdm.d437fcb6dd254b7a8c2aff490de850e3.edm" localSheetId="63" hidden="1">#REF!</definedName>
    <definedName name="_bdm.d437fcb6dd254b7a8c2aff490de850e3.edm" localSheetId="31" hidden="1">#REF!</definedName>
    <definedName name="_bdm.d437fcb6dd254b7a8c2aff490de850e3.edm" localSheetId="104" hidden="1">#REF!</definedName>
    <definedName name="_bdm.d437fcb6dd254b7a8c2aff490de850e3.edm" localSheetId="96" hidden="1">#REF!</definedName>
    <definedName name="_bdm.d437fcb6dd254b7a8c2aff490de850e3.edm" localSheetId="90" hidden="1">#REF!</definedName>
    <definedName name="_bdm.d437fcb6dd254b7a8c2aff490de850e3.edm" localSheetId="19" hidden="1">#REF!</definedName>
    <definedName name="_bdm.d437fcb6dd254b7a8c2aff490de850e3.edm" localSheetId="57" hidden="1">#REF!</definedName>
    <definedName name="_bdm.d437fcb6dd254b7a8c2aff490de850e3.edm" hidden="1">#REF!</definedName>
    <definedName name="_bdm.d97762a431bc47a188ab7c2f84c57d3e.edm" localSheetId="106" hidden="1">#REF!</definedName>
    <definedName name="_bdm.d97762a431bc47a188ab7c2f84c57d3e.edm" localSheetId="95" hidden="1">#REF!</definedName>
    <definedName name="_bdm.d97762a431bc47a188ab7c2f84c57d3e.edm" localSheetId="94" hidden="1">#REF!</definedName>
    <definedName name="_bdm.d97762a431bc47a188ab7c2f84c57d3e.edm" localSheetId="33" hidden="1">#REF!</definedName>
    <definedName name="_bdm.d97762a431bc47a188ab7c2f84c57d3e.edm" localSheetId="34" hidden="1">#REF!</definedName>
    <definedName name="_bdm.d97762a431bc47a188ab7c2f84c57d3e.edm" localSheetId="35" hidden="1">#REF!</definedName>
    <definedName name="_bdm.d97762a431bc47a188ab7c2f84c57d3e.edm" localSheetId="102" hidden="1">#REF!</definedName>
    <definedName name="_bdm.d97762a431bc47a188ab7c2f84c57d3e.edm" localSheetId="4" hidden="1">#REF!</definedName>
    <definedName name="_bdm.d97762a431bc47a188ab7c2f84c57d3e.edm" localSheetId="59" hidden="1">#REF!</definedName>
    <definedName name="_bdm.d97762a431bc47a188ab7c2f84c57d3e.edm" localSheetId="93" hidden="1">#REF!</definedName>
    <definedName name="_bdm.d97762a431bc47a188ab7c2f84c57d3e.edm" localSheetId="47" hidden="1">#REF!</definedName>
    <definedName name="_bdm.d97762a431bc47a188ab7c2f84c57d3e.edm" localSheetId="101" hidden="1">#REF!</definedName>
    <definedName name="_bdm.d97762a431bc47a188ab7c2f84c57d3e.edm" localSheetId="40" hidden="1">#REF!</definedName>
    <definedName name="_bdm.d97762a431bc47a188ab7c2f84c57d3e.edm" localSheetId="41" hidden="1">#REF!</definedName>
    <definedName name="_bdm.d97762a431bc47a188ab7c2f84c57d3e.edm" localSheetId="46" hidden="1">#REF!</definedName>
    <definedName name="_bdm.d97762a431bc47a188ab7c2f84c57d3e.edm" localSheetId="60" hidden="1">#REF!</definedName>
    <definedName name="_bdm.d97762a431bc47a188ab7c2f84c57d3e.edm" localSheetId="39" hidden="1">#REF!</definedName>
    <definedName name="_bdm.d97762a431bc47a188ab7c2f84c57d3e.edm" localSheetId="44" hidden="1">#REF!</definedName>
    <definedName name="_bdm.d97762a431bc47a188ab7c2f84c57d3e.edm" localSheetId="63" hidden="1">#REF!</definedName>
    <definedName name="_bdm.d97762a431bc47a188ab7c2f84c57d3e.edm" localSheetId="31" hidden="1">#REF!</definedName>
    <definedName name="_bdm.d97762a431bc47a188ab7c2f84c57d3e.edm" localSheetId="104" hidden="1">#REF!</definedName>
    <definedName name="_bdm.d97762a431bc47a188ab7c2f84c57d3e.edm" localSheetId="96" hidden="1">#REF!</definedName>
    <definedName name="_bdm.d97762a431bc47a188ab7c2f84c57d3e.edm" localSheetId="90" hidden="1">#REF!</definedName>
    <definedName name="_bdm.d97762a431bc47a188ab7c2f84c57d3e.edm" localSheetId="19" hidden="1">#REF!</definedName>
    <definedName name="_bdm.d97762a431bc47a188ab7c2f84c57d3e.edm" localSheetId="57" hidden="1">#REF!</definedName>
    <definedName name="_bdm.d97762a431bc47a188ab7c2f84c57d3e.edm" hidden="1">#REF!</definedName>
    <definedName name="_bdm.D97763A431BC47A188AB7C2F84C57D3E.edm" localSheetId="106" hidden="1">#REF!</definedName>
    <definedName name="_bdm.D97763A431BC47A188AB7C2F84C57D3E.edm" localSheetId="95" hidden="1">#REF!</definedName>
    <definedName name="_bdm.D97763A431BC47A188AB7C2F84C57D3E.edm" localSheetId="94" hidden="1">#REF!</definedName>
    <definedName name="_bdm.D97763A431BC47A188AB7C2F84C57D3E.edm" localSheetId="33" hidden="1">#REF!</definedName>
    <definedName name="_bdm.D97763A431BC47A188AB7C2F84C57D3E.edm" localSheetId="34" hidden="1">#REF!</definedName>
    <definedName name="_bdm.D97763A431BC47A188AB7C2F84C57D3E.edm" localSheetId="35" hidden="1">#REF!</definedName>
    <definedName name="_bdm.D97763A431BC47A188AB7C2F84C57D3E.edm" localSheetId="102" hidden="1">#REF!</definedName>
    <definedName name="_bdm.D97763A431BC47A188AB7C2F84C57D3E.edm" localSheetId="4" hidden="1">#REF!</definedName>
    <definedName name="_bdm.D97763A431BC47A188AB7C2F84C57D3E.edm" localSheetId="59" hidden="1">#REF!</definedName>
    <definedName name="_bdm.D97763A431BC47A188AB7C2F84C57D3E.edm" localSheetId="93" hidden="1">#REF!</definedName>
    <definedName name="_bdm.D97763A431BC47A188AB7C2F84C57D3E.edm" localSheetId="47" hidden="1">#REF!</definedName>
    <definedName name="_bdm.D97763A431BC47A188AB7C2F84C57D3E.edm" localSheetId="101" hidden="1">#REF!</definedName>
    <definedName name="_bdm.D97763A431BC47A188AB7C2F84C57D3E.edm" localSheetId="40" hidden="1">#REF!</definedName>
    <definedName name="_bdm.D97763A431BC47A188AB7C2F84C57D3E.edm" localSheetId="41" hidden="1">#REF!</definedName>
    <definedName name="_bdm.D97763A431BC47A188AB7C2F84C57D3E.edm" localSheetId="46" hidden="1">#REF!</definedName>
    <definedName name="_bdm.D97763A431BC47A188AB7C2F84C57D3E.edm" localSheetId="60" hidden="1">#REF!</definedName>
    <definedName name="_bdm.D97763A431BC47A188AB7C2F84C57D3E.edm" localSheetId="39" hidden="1">#REF!</definedName>
    <definedName name="_bdm.D97763A431BC47A188AB7C2F84C57D3E.edm" localSheetId="44" hidden="1">#REF!</definedName>
    <definedName name="_bdm.D97763A431BC47A188AB7C2F84C57D3E.edm" localSheetId="63" hidden="1">#REF!</definedName>
    <definedName name="_bdm.D97763A431BC47A188AB7C2F84C57D3E.edm" localSheetId="31" hidden="1">#REF!</definedName>
    <definedName name="_bdm.D97763A431BC47A188AB7C2F84C57D3E.edm" localSheetId="104" hidden="1">#REF!</definedName>
    <definedName name="_bdm.D97763A431BC47A188AB7C2F84C57D3E.edm" localSheetId="96" hidden="1">#REF!</definedName>
    <definedName name="_bdm.D97763A431BC47A188AB7C2F84C57D3E.edm" localSheetId="90" hidden="1">#REF!</definedName>
    <definedName name="_bdm.D97763A431BC47A188AB7C2F84C57D3E.edm" localSheetId="19" hidden="1">#REF!</definedName>
    <definedName name="_bdm.D97763A431BC47A188AB7C2F84C57D3E.edm" localSheetId="57" hidden="1">#REF!</definedName>
    <definedName name="_bdm.D97763A431BC47A188AB7C2F84C57D3E.edm" hidden="1">#REF!</definedName>
    <definedName name="_bdm.FBC8F4734CD44B95848F689416B40C4F.edm" localSheetId="106" hidden="1">#REF!</definedName>
    <definedName name="_bdm.FBC8F4734CD44B95848F689416B40C4F.edm" localSheetId="95" hidden="1">#REF!</definedName>
    <definedName name="_bdm.FBC8F4734CD44B95848F689416B40C4F.edm" localSheetId="94" hidden="1">#REF!</definedName>
    <definedName name="_bdm.FBC8F4734CD44B95848F689416B40C4F.edm" localSheetId="33" hidden="1">#REF!</definedName>
    <definedName name="_bdm.FBC8F4734CD44B95848F689416B40C4F.edm" localSheetId="34" hidden="1">#REF!</definedName>
    <definedName name="_bdm.FBC8F4734CD44B95848F689416B40C4F.edm" localSheetId="35" hidden="1">#REF!</definedName>
    <definedName name="_bdm.FBC8F4734CD44B95848F689416B40C4F.edm" localSheetId="102" hidden="1">#REF!</definedName>
    <definedName name="_bdm.FBC8F4734CD44B95848F689416B40C4F.edm" localSheetId="4" hidden="1">#REF!</definedName>
    <definedName name="_bdm.FBC8F4734CD44B95848F689416B40C4F.edm" localSheetId="55" hidden="1">#REF!</definedName>
    <definedName name="_bdm.FBC8F4734CD44B95848F689416B40C4F.edm" localSheetId="59" hidden="1">#REF!</definedName>
    <definedName name="_bdm.FBC8F4734CD44B95848F689416B40C4F.edm" localSheetId="93" hidden="1">#REF!</definedName>
    <definedName name="_bdm.FBC8F4734CD44B95848F689416B40C4F.edm" localSheetId="62" hidden="1">#REF!</definedName>
    <definedName name="_bdm.FBC8F4734CD44B95848F689416B40C4F.edm" localSheetId="47" hidden="1">#REF!</definedName>
    <definedName name="_bdm.FBC8F4734CD44B95848F689416B40C4F.edm" localSheetId="101" hidden="1">#REF!</definedName>
    <definedName name="_bdm.FBC8F4734CD44B95848F689416B40C4F.edm" localSheetId="40" hidden="1">#REF!</definedName>
    <definedName name="_bdm.FBC8F4734CD44B95848F689416B40C4F.edm" localSheetId="41" hidden="1">#REF!</definedName>
    <definedName name="_bdm.FBC8F4734CD44B95848F689416B40C4F.edm" localSheetId="46" hidden="1">#REF!</definedName>
    <definedName name="_bdm.FBC8F4734CD44B95848F689416B40C4F.edm" localSheetId="60" hidden="1">#REF!</definedName>
    <definedName name="_bdm.FBC8F4734CD44B95848F689416B40C4F.edm" localSheetId="39" hidden="1">#REF!</definedName>
    <definedName name="_bdm.FBC8F4734CD44B95848F689416B40C4F.edm" localSheetId="58" hidden="1">#REF!</definedName>
    <definedName name="_bdm.FBC8F4734CD44B95848F689416B40C4F.edm" localSheetId="44" hidden="1">#REF!</definedName>
    <definedName name="_bdm.FBC8F4734CD44B95848F689416B40C4F.edm" localSheetId="64" hidden="1">#REF!</definedName>
    <definedName name="_bdm.FBC8F4734CD44B95848F689416B40C4F.edm" localSheetId="63" hidden="1">#REF!</definedName>
    <definedName name="_bdm.FBC8F4734CD44B95848F689416B40C4F.edm" localSheetId="31" hidden="1">#REF!</definedName>
    <definedName name="_bdm.FBC8F4734CD44B95848F689416B40C4F.edm" localSheetId="104" hidden="1">#REF!</definedName>
    <definedName name="_bdm.FBC8F4734CD44B95848F689416B40C4F.edm" localSheetId="96" hidden="1">#REF!</definedName>
    <definedName name="_bdm.FBC8F4734CD44B95848F689416B40C4F.edm" localSheetId="80" hidden="1">#REF!</definedName>
    <definedName name="_bdm.FBC8F4734CD44B95848F689416B40C4F.edm" localSheetId="61" hidden="1">#REF!</definedName>
    <definedName name="_bdm.FBC8F4734CD44B95848F689416B40C4F.edm" localSheetId="90" hidden="1">#REF!</definedName>
    <definedName name="_bdm.FBC8F4734CD44B95848F689416B40C4F.edm" localSheetId="19" hidden="1">#REF!</definedName>
    <definedName name="_bdm.FBC8F4734CD44B95848F689416B40C4F.edm" localSheetId="57" hidden="1">#REF!</definedName>
    <definedName name="_bdm.FBC8F4734CD44B95848F689416B40C4F.edm" hidden="1">#REF!</definedName>
    <definedName name="_Dist_Values" localSheetId="106" hidden="1">#REF!</definedName>
    <definedName name="_Dist_Values" localSheetId="95" hidden="1">#REF!</definedName>
    <definedName name="_Dist_Values" localSheetId="94" hidden="1">#REF!</definedName>
    <definedName name="_Dist_Values" localSheetId="33" hidden="1">#REF!</definedName>
    <definedName name="_Dist_Values" localSheetId="34" hidden="1">#REF!</definedName>
    <definedName name="_Dist_Values" localSheetId="35" hidden="1">#REF!</definedName>
    <definedName name="_Dist_Values" localSheetId="102" hidden="1">#REF!</definedName>
    <definedName name="_Dist_Values" localSheetId="4" hidden="1">#REF!</definedName>
    <definedName name="_Dist_Values" localSheetId="55" hidden="1">#REF!</definedName>
    <definedName name="_Dist_Values" localSheetId="59" hidden="1">#REF!</definedName>
    <definedName name="_Dist_Values" localSheetId="93" hidden="1">#REF!</definedName>
    <definedName name="_Dist_Values" localSheetId="62" hidden="1">#REF!</definedName>
    <definedName name="_Dist_Values" localSheetId="47" hidden="1">#REF!</definedName>
    <definedName name="_Dist_Values" localSheetId="101" hidden="1">#REF!</definedName>
    <definedName name="_Dist_Values" localSheetId="40" hidden="1">#REF!</definedName>
    <definedName name="_Dist_Values" localSheetId="41" hidden="1">#REF!</definedName>
    <definedName name="_Dist_Values" localSheetId="46" hidden="1">#REF!</definedName>
    <definedName name="_Dist_Values" localSheetId="60" hidden="1">#REF!</definedName>
    <definedName name="_Dist_Values" localSheetId="39" hidden="1">#REF!</definedName>
    <definedName name="_Dist_Values" localSheetId="58" hidden="1">#REF!</definedName>
    <definedName name="_Dist_Values" localSheetId="44" hidden="1">#REF!</definedName>
    <definedName name="_Dist_Values" localSheetId="64" hidden="1">#REF!</definedName>
    <definedName name="_Dist_Values" localSheetId="63" hidden="1">#REF!</definedName>
    <definedName name="_Dist_Values" localSheetId="31" hidden="1">#REF!</definedName>
    <definedName name="_Dist_Values" localSheetId="104" hidden="1">#REF!</definedName>
    <definedName name="_Dist_Values" localSheetId="96" hidden="1">#REF!</definedName>
    <definedName name="_Dist_Values" localSheetId="80" hidden="1">#REF!</definedName>
    <definedName name="_Dist_Values" localSheetId="61" hidden="1">#REF!</definedName>
    <definedName name="_Dist_Values" localSheetId="90" hidden="1">#REF!</definedName>
    <definedName name="_Dist_Values" localSheetId="19" hidden="1">#REF!</definedName>
    <definedName name="_Dist_Values" localSheetId="57" hidden="1">#REF!</definedName>
    <definedName name="_Dist_Values" hidden="1">#REF!</definedName>
    <definedName name="_Fill" localSheetId="106" hidden="1">#REF!</definedName>
    <definedName name="_Fill" localSheetId="95" hidden="1">#REF!</definedName>
    <definedName name="_Fill" localSheetId="94" hidden="1">#REF!</definedName>
    <definedName name="_Fill" localSheetId="33" hidden="1">#REF!</definedName>
    <definedName name="_Fill" localSheetId="34" hidden="1">#REF!</definedName>
    <definedName name="_Fill" localSheetId="35" hidden="1">#REF!</definedName>
    <definedName name="_Fill" localSheetId="102" hidden="1">#REF!</definedName>
    <definedName name="_Fill" localSheetId="4" hidden="1">#REF!</definedName>
    <definedName name="_Fill" localSheetId="55" hidden="1">#REF!</definedName>
    <definedName name="_Fill" localSheetId="59" hidden="1">#REF!</definedName>
    <definedName name="_Fill" localSheetId="93" hidden="1">#REF!</definedName>
    <definedName name="_Fill" localSheetId="62" hidden="1">#REF!</definedName>
    <definedName name="_Fill" localSheetId="47" hidden="1">#REF!</definedName>
    <definedName name="_Fill" localSheetId="101" hidden="1">#REF!</definedName>
    <definedName name="_Fill" localSheetId="40" hidden="1">#REF!</definedName>
    <definedName name="_Fill" localSheetId="41" hidden="1">#REF!</definedName>
    <definedName name="_Fill" localSheetId="46" hidden="1">#REF!</definedName>
    <definedName name="_Fill" localSheetId="60" hidden="1">#REF!</definedName>
    <definedName name="_Fill" localSheetId="39" hidden="1">#REF!</definedName>
    <definedName name="_Fill" localSheetId="58" hidden="1">#REF!</definedName>
    <definedName name="_Fill" localSheetId="44" hidden="1">#REF!</definedName>
    <definedName name="_Fill" localSheetId="64" hidden="1">#REF!</definedName>
    <definedName name="_Fill" localSheetId="63" hidden="1">#REF!</definedName>
    <definedName name="_Fill" localSheetId="31" hidden="1">#REF!</definedName>
    <definedName name="_Fill" localSheetId="104" hidden="1">#REF!</definedName>
    <definedName name="_Fill" localSheetId="96" hidden="1">#REF!</definedName>
    <definedName name="_Fill" localSheetId="80" hidden="1">#REF!</definedName>
    <definedName name="_Fill" localSheetId="61" hidden="1">#REF!</definedName>
    <definedName name="_Fill" localSheetId="90" hidden="1">#REF!</definedName>
    <definedName name="_Fill" localSheetId="19" hidden="1">#REF!</definedName>
    <definedName name="_Fill" localSheetId="57" hidden="1">#REF!</definedName>
    <definedName name="_Fill" hidden="1">#REF!</definedName>
    <definedName name="_xlnm._FilterDatabase" localSheetId="55" hidden="1">#REF!</definedName>
    <definedName name="_xlnm._FilterDatabase" localSheetId="59" hidden="1">'Diabetes_WW Summary'!$B$6:$H$6</definedName>
    <definedName name="_xlnm._FilterDatabase" localSheetId="62" hidden="1">'FDA Drug timeline'!$B$6:$AT$11</definedName>
    <definedName name="_xlnm._FilterDatabase" localSheetId="47" hidden="1">#REF!</definedName>
    <definedName name="_xlnm._FilterDatabase" localSheetId="40" hidden="1">'IPO Data_BioPharma'!$B$9:$AI$168</definedName>
    <definedName name="_xlnm._FilterDatabase" localSheetId="41" hidden="1">'IPO Data_Comparables'!$B$9:$AI$58</definedName>
    <definedName name="_xlnm._FilterDatabase" localSheetId="42" hidden="1">'Licensing Deals'!#REF!</definedName>
    <definedName name="_xlnm._FilterDatabase" localSheetId="46" hidden="1">#REF!</definedName>
    <definedName name="_xlnm._FilterDatabase" localSheetId="60" hidden="1">'NASH_WW Summary'!$B$6:$H$6</definedName>
    <definedName name="_xlnm._FilterDatabase" localSheetId="58" hidden="1">'Obesity_WW Summary'!$B$6:$H$6</definedName>
    <definedName name="_xlnm._FilterDatabase" localSheetId="64" hidden="1">#REF!</definedName>
    <definedName name="_xlnm._FilterDatabase" localSheetId="63" hidden="1">#REF!</definedName>
    <definedName name="_xlnm._FilterDatabase" localSheetId="88" hidden="1">'Sheet 1_diabetes'!$A$6:$AO$162</definedName>
    <definedName name="_xlnm._FilterDatabase" localSheetId="86" hidden="1">'World (2)'!$A$1:$M$99</definedName>
    <definedName name="_xlnm._FilterDatabase" localSheetId="57" hidden="1">#REF!</definedName>
    <definedName name="_xlnm._FilterDatabase" hidden="1">#REF!</definedName>
    <definedName name="_I2" localSheetId="55" hidden="1">{"PVGraph2",#N/A,FALSE,"PV Data"}</definedName>
    <definedName name="_I2" localSheetId="59" hidden="1">{"PVGraph2",#N/A,FALSE,"PV Data"}</definedName>
    <definedName name="_I2" localSheetId="93" hidden="1">{"PVGraph2",#N/A,FALSE,"PV Data"}</definedName>
    <definedName name="_I2" localSheetId="12" hidden="1">{"PVGraph2",#N/A,FALSE,"PV Data"}</definedName>
    <definedName name="_I2" localSheetId="62" hidden="1">{"PVGraph2",#N/A,FALSE,"PV Data"}</definedName>
    <definedName name="_I2" localSheetId="47" hidden="1">{"PVGraph2",#N/A,FALSE,"PV Data"}</definedName>
    <definedName name="_I2" localSheetId="15" hidden="1">{"PVGraph2",#N/A,FALSE,"PV Data"}</definedName>
    <definedName name="_I2" localSheetId="101" hidden="1">{"PVGraph2",#N/A,FALSE,"PV Data"}</definedName>
    <definedName name="_I2" localSheetId="60" hidden="1">{"PVGraph2",#N/A,FALSE,"PV Data"}</definedName>
    <definedName name="_I2" localSheetId="39" hidden="1">{"PVGraph2",#N/A,FALSE,"PV Data"}</definedName>
    <definedName name="_I2" localSheetId="58" hidden="1">{"PVGraph2",#N/A,FALSE,"PV Data"}</definedName>
    <definedName name="_I2" localSheetId="64" hidden="1">{"PVGraph2",#N/A,FALSE,"PV Data"}</definedName>
    <definedName name="_I2" localSheetId="54" hidden="1">{"PVGraph2",#N/A,FALSE,"PV Data"}</definedName>
    <definedName name="_I2" localSheetId="13" hidden="1">{"PVGraph2",#N/A,FALSE,"PV Data"}</definedName>
    <definedName name="_I2" localSheetId="63" hidden="1">{"PVGraph2",#N/A,FALSE,"PV Data"}</definedName>
    <definedName name="_I2" localSheetId="31" hidden="1">{"PVGraph2",#N/A,FALSE,"PV Data"}</definedName>
    <definedName name="_I2" localSheetId="61" hidden="1">{"PVGraph2",#N/A,FALSE,"PV Data"}</definedName>
    <definedName name="_I2" localSheetId="45" hidden="1">{"PVGraph2",#N/A,FALSE,"PV Data"}</definedName>
    <definedName name="_I2" localSheetId="90" hidden="1">{"PVGraph2",#N/A,FALSE,"PV Data"}</definedName>
    <definedName name="_I2" localSheetId="19" hidden="1">{"PVGraph2",#N/A,FALSE,"PV Data"}</definedName>
    <definedName name="_I2" localSheetId="57" hidden="1">{"PVGraph2",#N/A,FALSE,"PV Data"}</definedName>
    <definedName name="_I2" hidden="1">{"PVGraph2",#N/A,FALSE,"PV Data"}</definedName>
    <definedName name="_I3" localSheetId="55" hidden="1">{"PVGraph2",#N/A,FALSE,"PV Data"}</definedName>
    <definedName name="_I3" localSheetId="59" hidden="1">{"PVGraph2",#N/A,FALSE,"PV Data"}</definedName>
    <definedName name="_I3" localSheetId="93" hidden="1">{"PVGraph2",#N/A,FALSE,"PV Data"}</definedName>
    <definedName name="_I3" localSheetId="12" hidden="1">{"PVGraph2",#N/A,FALSE,"PV Data"}</definedName>
    <definedName name="_I3" localSheetId="62" hidden="1">{"PVGraph2",#N/A,FALSE,"PV Data"}</definedName>
    <definedName name="_I3" localSheetId="47" hidden="1">{"PVGraph2",#N/A,FALSE,"PV Data"}</definedName>
    <definedName name="_I3" localSheetId="15" hidden="1">{"PVGraph2",#N/A,FALSE,"PV Data"}</definedName>
    <definedName name="_I3" localSheetId="101" hidden="1">{"PVGraph2",#N/A,FALSE,"PV Data"}</definedName>
    <definedName name="_I3" localSheetId="60" hidden="1">{"PVGraph2",#N/A,FALSE,"PV Data"}</definedName>
    <definedName name="_I3" localSheetId="39" hidden="1">{"PVGraph2",#N/A,FALSE,"PV Data"}</definedName>
    <definedName name="_I3" localSheetId="58" hidden="1">{"PVGraph2",#N/A,FALSE,"PV Data"}</definedName>
    <definedName name="_I3" localSheetId="64" hidden="1">{"PVGraph2",#N/A,FALSE,"PV Data"}</definedName>
    <definedName name="_I3" localSheetId="54" hidden="1">{"PVGraph2",#N/A,FALSE,"PV Data"}</definedName>
    <definedName name="_I3" localSheetId="13" hidden="1">{"PVGraph2",#N/A,FALSE,"PV Data"}</definedName>
    <definedName name="_I3" localSheetId="63" hidden="1">{"PVGraph2",#N/A,FALSE,"PV Data"}</definedName>
    <definedName name="_I3" localSheetId="31" hidden="1">{"PVGraph2",#N/A,FALSE,"PV Data"}</definedName>
    <definedName name="_I3" localSheetId="61" hidden="1">{"PVGraph2",#N/A,FALSE,"PV Data"}</definedName>
    <definedName name="_I3" localSheetId="45" hidden="1">{"PVGraph2",#N/A,FALSE,"PV Data"}</definedName>
    <definedName name="_I3" localSheetId="90" hidden="1">{"PVGraph2",#N/A,FALSE,"PV Data"}</definedName>
    <definedName name="_I3" localSheetId="19" hidden="1">{"PVGraph2",#N/A,FALSE,"PV Data"}</definedName>
    <definedName name="_I3" localSheetId="57" hidden="1">{"PVGraph2",#N/A,FALSE,"PV Data"}</definedName>
    <definedName name="_I3" hidden="1">{"PVGraph2",#N/A,FALSE,"PV Data"}</definedName>
    <definedName name="_Key1" localSheetId="106" hidden="1">#REF!</definedName>
    <definedName name="_Key1" localSheetId="95" hidden="1">#REF!</definedName>
    <definedName name="_Key1" localSheetId="94" hidden="1">#REF!</definedName>
    <definedName name="_Key1" localSheetId="33" hidden="1">#REF!</definedName>
    <definedName name="_Key1" localSheetId="34" hidden="1">#REF!</definedName>
    <definedName name="_Key1" localSheetId="35" hidden="1">#REF!</definedName>
    <definedName name="_Key1" localSheetId="102" hidden="1">#REF!</definedName>
    <definedName name="_Key1" localSheetId="4" hidden="1">#REF!</definedName>
    <definedName name="_Key1" localSheetId="55" hidden="1">#REF!</definedName>
    <definedName name="_Key1" localSheetId="59" hidden="1">#REF!</definedName>
    <definedName name="_Key1" localSheetId="93" hidden="1">#REF!</definedName>
    <definedName name="_Key1" localSheetId="62" hidden="1">#REF!</definedName>
    <definedName name="_Key1" localSheetId="47" hidden="1">#REF!</definedName>
    <definedName name="_Key1" localSheetId="101" hidden="1">#REF!</definedName>
    <definedName name="_Key1" localSheetId="40" hidden="1">#REF!</definedName>
    <definedName name="_Key1" localSheetId="41" hidden="1">#REF!</definedName>
    <definedName name="_Key1" localSheetId="46" hidden="1">#REF!</definedName>
    <definedName name="_Key1" localSheetId="60" hidden="1">#REF!</definedName>
    <definedName name="_Key1" localSheetId="39" hidden="1">#REF!</definedName>
    <definedName name="_Key1" localSheetId="58" hidden="1">#REF!</definedName>
    <definedName name="_Key1" localSheetId="44" hidden="1">#REF!</definedName>
    <definedName name="_Key1" localSheetId="64" hidden="1">#REF!</definedName>
    <definedName name="_Key1" localSheetId="63" hidden="1">#REF!</definedName>
    <definedName name="_Key1" localSheetId="31" hidden="1">#REF!</definedName>
    <definedName name="_Key1" localSheetId="104" hidden="1">#REF!</definedName>
    <definedName name="_Key1" localSheetId="96" hidden="1">#REF!</definedName>
    <definedName name="_Key1" localSheetId="80" hidden="1">#REF!</definedName>
    <definedName name="_Key1" localSheetId="61" hidden="1">#REF!</definedName>
    <definedName name="_Key1" localSheetId="90" hidden="1">#REF!</definedName>
    <definedName name="_Key1" localSheetId="19" hidden="1">#REF!</definedName>
    <definedName name="_Key1" localSheetId="57" hidden="1">#REF!</definedName>
    <definedName name="_Key1" hidden="1">#REF!</definedName>
    <definedName name="_Key2" localSheetId="106" hidden="1">#REF!</definedName>
    <definedName name="_Key2" localSheetId="95" hidden="1">#REF!</definedName>
    <definedName name="_Key2" localSheetId="94" hidden="1">#REF!</definedName>
    <definedName name="_Key2" localSheetId="33" hidden="1">#REF!</definedName>
    <definedName name="_Key2" localSheetId="34" hidden="1">#REF!</definedName>
    <definedName name="_Key2" localSheetId="35" hidden="1">#REF!</definedName>
    <definedName name="_Key2" localSheetId="102" hidden="1">#REF!</definedName>
    <definedName name="_Key2" localSheetId="4" hidden="1">#REF!</definedName>
    <definedName name="_Key2" localSheetId="55" hidden="1">#REF!</definedName>
    <definedName name="_Key2" localSheetId="59" hidden="1">#REF!</definedName>
    <definedName name="_Key2" localSheetId="93" hidden="1">#REF!</definedName>
    <definedName name="_Key2" localSheetId="62" hidden="1">#REF!</definedName>
    <definedName name="_Key2" localSheetId="47" hidden="1">#REF!</definedName>
    <definedName name="_Key2" localSheetId="101" hidden="1">#REF!</definedName>
    <definedName name="_Key2" localSheetId="40" hidden="1">#REF!</definedName>
    <definedName name="_Key2" localSheetId="41" hidden="1">#REF!</definedName>
    <definedName name="_Key2" localSheetId="46" hidden="1">#REF!</definedName>
    <definedName name="_Key2" localSheetId="60" hidden="1">#REF!</definedName>
    <definedName name="_Key2" localSheetId="39" hidden="1">#REF!</definedName>
    <definedName name="_Key2" localSheetId="58" hidden="1">#REF!</definedName>
    <definedName name="_Key2" localSheetId="44" hidden="1">#REF!</definedName>
    <definedName name="_Key2" localSheetId="64" hidden="1">#REF!</definedName>
    <definedName name="_Key2" localSheetId="63" hidden="1">#REF!</definedName>
    <definedName name="_Key2" localSheetId="31" hidden="1">#REF!</definedName>
    <definedName name="_Key2" localSheetId="104" hidden="1">#REF!</definedName>
    <definedName name="_Key2" localSheetId="96" hidden="1">#REF!</definedName>
    <definedName name="_Key2" localSheetId="80" hidden="1">#REF!</definedName>
    <definedName name="_Key2" localSheetId="61" hidden="1">#REF!</definedName>
    <definedName name="_Key2" localSheetId="90" hidden="1">#REF!</definedName>
    <definedName name="_Key2" localSheetId="19" hidden="1">#REF!</definedName>
    <definedName name="_Key2" localSheetId="57" hidden="1">#REF!</definedName>
    <definedName name="_Key2" hidden="1">#REF!</definedName>
    <definedName name="_m" localSheetId="106" hidden="1">#REF!</definedName>
    <definedName name="_m" localSheetId="95" hidden="1">#REF!</definedName>
    <definedName name="_m" localSheetId="94" hidden="1">#REF!</definedName>
    <definedName name="_m" localSheetId="33" hidden="1">#REF!</definedName>
    <definedName name="_m" localSheetId="34" hidden="1">#REF!</definedName>
    <definedName name="_m" localSheetId="35" hidden="1">#REF!</definedName>
    <definedName name="_m" localSheetId="102" hidden="1">#REF!</definedName>
    <definedName name="_m" localSheetId="4" hidden="1">#REF!</definedName>
    <definedName name="_m" localSheetId="59" hidden="1">#REF!</definedName>
    <definedName name="_m" localSheetId="93" hidden="1">#REF!</definedName>
    <definedName name="_m" localSheetId="47" hidden="1">#REF!</definedName>
    <definedName name="_m" localSheetId="101" hidden="1">#REF!</definedName>
    <definedName name="_m" localSheetId="40" hidden="1">#REF!</definedName>
    <definedName name="_m" localSheetId="41" hidden="1">#REF!</definedName>
    <definedName name="_m" localSheetId="46" hidden="1">#REF!</definedName>
    <definedName name="_m" localSheetId="60" hidden="1">#REF!</definedName>
    <definedName name="_m" localSheetId="39" hidden="1">#REF!</definedName>
    <definedName name="_m" localSheetId="44" hidden="1">#REF!</definedName>
    <definedName name="_m" localSheetId="63" hidden="1">#REF!</definedName>
    <definedName name="_m" localSheetId="31" hidden="1">#REF!</definedName>
    <definedName name="_m" localSheetId="104" hidden="1">#REF!</definedName>
    <definedName name="_m" localSheetId="96" hidden="1">#REF!</definedName>
    <definedName name="_m" localSheetId="90" hidden="1">#REF!</definedName>
    <definedName name="_m" localSheetId="19" hidden="1">#REF!</definedName>
    <definedName name="_m" localSheetId="57" hidden="1">#REF!</definedName>
    <definedName name="_m" hidden="1">#REF!</definedName>
    <definedName name="_mgs" localSheetId="59" hidden="1">#REF!</definedName>
    <definedName name="_mgs" localSheetId="47" hidden="1">#REF!</definedName>
    <definedName name="_mgs" localSheetId="46" hidden="1">#REF!</definedName>
    <definedName name="_mgs" localSheetId="60" hidden="1">#REF!</definedName>
    <definedName name="_mgs" localSheetId="63" hidden="1">#REF!</definedName>
    <definedName name="_mgs" localSheetId="57" hidden="1">#REF!</definedName>
    <definedName name="_mgs" hidden="1">#REF!</definedName>
    <definedName name="_Order1" hidden="1">0</definedName>
    <definedName name="_Order2" hidden="1">255</definedName>
    <definedName name="_PV1">7</definedName>
    <definedName name="_Qallcmps" localSheetId="47">{"page 1";"page 2";"notes";"summary";"source";"analys";"covrge";"roea"}</definedName>
    <definedName name="_Qallcmps" localSheetId="57">{"page 1";"page 2";"notes";"summary";"source";"analys";"covrge";"roea"}</definedName>
    <definedName name="_Qallcmps">{"page 1";"page 2";"notes";"summary";"source";"analys";"covrge";"roea"}</definedName>
    <definedName name="_Qallcmps2" localSheetId="47">{"page 1";"page 2";"notes";"summary";"source";"analys";"covrge";"roea"}</definedName>
    <definedName name="_Qallcmps2" localSheetId="57">{"page 1";"page 2";"notes";"summary";"source";"analys";"covrge";"roea"}</definedName>
    <definedName name="_Qallcmps2">{"page 1";"page 2";"notes";"summary";"source";"analys";"covrge";"roea"}</definedName>
    <definedName name="_QBase_Case" localSheetId="47">{"Assumpt";"Capital";"Cash Flow";"Financing";"Income";"NOL"}</definedName>
    <definedName name="_QBase_Case" localSheetId="57">{"Assumpt";"Capital";"Cash Flow";"Financing";"Income";"NOL"}</definedName>
    <definedName name="_QBase_Case">{"Assumpt";"Capital";"Cash Flow";"Financing";"Income";"NOL"}</definedName>
    <definedName name="_Qcmpsplus" localSheetId="47">{"page 1";"page 2";"summary";"notes";"source"}</definedName>
    <definedName name="_Qcmpsplus" localSheetId="57">{"page 1";"page 2";"summary";"notes";"source"}</definedName>
    <definedName name="_Qcmpsplus">{"page 1";"page 2";"summary";"notes";"source"}</definedName>
    <definedName name="_QComp" localSheetId="47">{"Page_1","Page_2","Page_3"}</definedName>
    <definedName name="_QComp" localSheetId="57">{"Page_1","Page_2","Page_3"}</definedName>
    <definedName name="_QComp">{"Page_1","Page_2","Page_3"}</definedName>
    <definedName name="_Qprescomps" localSheetId="47">{"page 1";"page 2";"notes";"summary"}</definedName>
    <definedName name="_Qprescomps" localSheetId="57">{"page 1";"page 2";"notes";"summary"}</definedName>
    <definedName name="_Qprescomps">{"page 1";"page 2";"notes";"summary"}</definedName>
    <definedName name="_QSensitivity_Case" localSheetId="47">{"Sen. Capital";"Sen. Cash Flow";"Sen. Finan";"Sen. Income";"Sen. NOL";"Sen Ass."}</definedName>
    <definedName name="_QSensitivity_Case" localSheetId="57">{"Sen. Capital";"Sen. Cash Flow";"Sen. Finan";"Sen. Income";"Sen. NOL";"Sen Ass."}</definedName>
    <definedName name="_QSensitivity_Case">{"Sen. Capital";"Sen. Cash Flow";"Sen. Finan";"Sen. Income";"Sen. NOL";"Sen Ass."}</definedName>
    <definedName name="_QStandard" localSheetId="47">{"mm p1";"mm p2";"mm p3";"mm p4";"mm p5";"acq p1";"tar p1"}</definedName>
    <definedName name="_QStandard" localSheetId="57">{"mm p1";"mm p2";"mm p3";"mm p4";"mm p5";"acq p1";"tar p1"}</definedName>
    <definedName name="_QStandard">{"mm p1";"mm p2";"mm p3";"mm p4";"mm p5";"acq p1";"tar p1"}</definedName>
    <definedName name="_QSUMMARY" localSheetId="47">{"COVER";"facts";"baladj";"bal";"inc";"cash";"irr";"fees";"feeamort";"srsubdebt";"DCF"}</definedName>
    <definedName name="_QSUMMARY" localSheetId="57">{"COVER";"facts";"baladj";"bal";"inc";"cash";"irr";"fees";"feeamort";"srsubdebt";"DCF"}</definedName>
    <definedName name="_QSUMMARY">{"COVER";"facts";"baladj";"bal";"inc";"cash";"irr";"fees";"feeamort";"srsubdebt";"DCF"}</definedName>
    <definedName name="_QSUMMARY2" localSheetId="47">{"COVER";"facts";"baladj";"bal";"inc";"cash";"irr";"fees";"feeamort";"srsubdebt";"DCF"}</definedName>
    <definedName name="_QSUMMARY2" localSheetId="57">{"COVER";"facts";"baladj";"bal";"inc";"cash";"irr";"fees";"feeamort";"srsubdebt";"DCF"}</definedName>
    <definedName name="_QSUMMARY2">{"COVER";"facts";"baladj";"bal";"inc";"cash";"irr";"fees";"feeamort";"srsubdebt";"DCF"}</definedName>
    <definedName name="_qsummary2.99" localSheetId="47">{"COVER";"facts";"baladj";"bal";"inc";"cash";"irr";"fees";"feeamort";"srsubdebt";"DCF"}</definedName>
    <definedName name="_qsummary2.99" localSheetId="57">{"COVER";"facts";"baladj";"bal";"inc";"cash";"irr";"fees";"feeamort";"srsubdebt";"DCF"}</definedName>
    <definedName name="_qsummary2.99">{"COVER";"facts";"baladj";"bal";"inc";"cash";"irr";"fees";"feeamort";"srsubdebt";"DCF"}</definedName>
    <definedName name="_qsummary99" localSheetId="47">{"COVER";"facts";"baladj";"bal";"inc";"cash";"irr";"fees";"feeamort";"srsubdebt";"DCF"}</definedName>
    <definedName name="_qsummary99" localSheetId="57">{"COVER";"facts";"baladj";"bal";"inc";"cash";"irr";"fees";"feeamort";"srsubdebt";"DCF"}</definedName>
    <definedName name="_qsummary99">{"COVER";"facts";"baladj";"bal";"inc";"cash";"irr";"fees";"feeamort";"srsubdebt";"DCF"}</definedName>
    <definedName name="_QTri_Point_Comps">"TPMC Comps"</definedName>
    <definedName name="_Qw" localSheetId="47">{"notes","notes2","page1","page2","page3"}</definedName>
    <definedName name="_Qw" localSheetId="57">{"notes","notes2","page1","page2","page3"}</definedName>
    <definedName name="_Qw">{"notes","notes2","page1","page2","page3"}</definedName>
    <definedName name="_R" localSheetId="47">{"p1";"p2";"p3"}</definedName>
    <definedName name="_r" localSheetId="54"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_R" localSheetId="57">{"p1";"p2";"p3"}</definedName>
    <definedName name="_R">{"p1";"p2";"p3"}</definedName>
    <definedName name="_Regression_Int" hidden="1">1</definedName>
    <definedName name="_Report">"Print All"</definedName>
    <definedName name="_Report_old" localSheetId="47">{"ADJUST";"COPPERBAL";"COPPERCASH";"COPPERDCF";"COPPERINC";"LASERBAL";"LASERCASH";"LASERDCF";"LASERINC";"PPR";"PROBAL";"PROCASH";"PROFINC";"PROFINC1";"TRAN";"Purchase Price Ratios";"PROINC";"PROINC1"}</definedName>
    <definedName name="_Report_old" localSheetId="57">{"ADJUST";"COPPERBAL";"COPPERCASH";"COPPERDCF";"COPPERINC";"LASERBAL";"LASERCASH";"LASERDCF";"LASERINC";"PPR";"PROBAL";"PROCASH";"PROFINC";"PROFINC1";"TRAN";"Purchase Price Ratios";"PROINC";"PROINC1"}</definedName>
    <definedName name="_Report_old">{"ADJUST";"COPPERBAL";"COPPERCASH";"COPPERDCF";"COPPERINC";"LASERBAL";"LASERCASH";"LASERDCF";"LASERINC";"PPR";"PROBAL";"PROCASH";"PROFINC";"PROFINC1";"TRAN";"Purchase Price Ratios";"PROINC";"PROINC1"}</definedName>
    <definedName name="_report_old2" localSheetId="47">{"ADJUST";"COPPERBAL";"COPPERCASH";"COPPERDCF";"COPPERINC";"LASERBAL";"LASERCASH";"LASERDCF";"LASERINC";"PPR";"PROBAL";"PROCASH";"PROFINC";"PROFINC1";"TRAN";"Purchase Price Ratios";"PROINC";"PROINC1"}</definedName>
    <definedName name="_report_old2" localSheetId="57">{"ADJUST";"COPPERBAL";"COPPERCASH";"COPPERDCF";"COPPERINC";"LASERBAL";"LASERCASH";"LASERDCF";"LASERINC";"PPR";"PROBAL";"PROCASH";"PROFINC";"PROFINC1";"TRAN";"Purchase Price Ratios";"PROINC";"PROINC1"}</definedName>
    <definedName name="_report_old2">{"ADJUST";"COPPERBAL";"COPPERCASH";"COPPERDCF";"COPPERINC";"LASERBAL";"LASERCASH";"LASERDCF";"LASERINC";"PPR";"PROBAL";"PROCASH";"PROFINC";"PROFINC1";"TRAN";"Purchase Price Ratios";"PROINC";"PROINC1"}</definedName>
    <definedName name="_Report1" localSheetId="47">{"p1";"p2";"p3"}</definedName>
    <definedName name="_Report1" localSheetId="57">{"p1";"p2";"p3"}</definedName>
    <definedName name="_Report1">{"p1";"p2";"p3"}</definedName>
    <definedName name="_report2" localSheetId="47">{"ADJUST";"COPPERBAL";"COPPERCASH";"COPPERDCF";"COPPERINC";"LASERBAL";"LASERCASH";"LASERDCF";"LASERINC";"PPR";"PROBAL";"PROCASH";"PROFINC";"PROFINC1";"TRAN";"Purchase Price Ratios";"PROINC";"PROINC1"}</definedName>
    <definedName name="_report2" localSheetId="57">{"ADJUST";"COPPERBAL";"COPPERCASH";"COPPERDCF";"COPPERINC";"LASERBAL";"LASERCASH";"LASERDCF";"LASERINC";"PPR";"PROBAL";"PROCASH";"PROFINC";"PROFINC1";"TRAN";"Purchase Price Ratios";"PROINC";"PROINC1"}</definedName>
    <definedName name="_report2">{"ADJUST";"COPPERBAL";"COPPERCASH";"COPPERDCF";"COPPERINC";"LASERBAL";"LASERCASH";"LASERDCF";"LASERINC";"PPR";"PROBAL";"PROCASH";"PROFINC";"PROFINC1";"TRAN";"Purchase Price Ratios";"PROINC";"PROINC1"}</definedName>
    <definedName name="_S_Base" localSheetId="47">{0.1;0;0.382758620689655;0;0;0;0.258620689655172;0;0.258620689655172}</definedName>
    <definedName name="_S_Base" localSheetId="57">{0.1;0;0.382758620689655;0;0;0;0.258620689655172;0;0.258620689655172}</definedName>
    <definedName name="_S_Base">{0.1;0;0.382758620689655;0;0;0;0.258620689655172;0;0.258620689655172}</definedName>
    <definedName name="_S_Base_old" localSheetId="47">{0.1;0;0.382758620689655;0;0;0;0.258620689655172;0;0.258620689655172}</definedName>
    <definedName name="_S_Base_old" localSheetId="57">{0.1;0;0.382758620689655;0;0;0;0.258620689655172;0;0.258620689655172}</definedName>
    <definedName name="_S_Base_old">{0.1;0;0.382758620689655;0;0;0;0.258620689655172;0;0.258620689655172}</definedName>
    <definedName name="_s_base_old2" localSheetId="47">{0.1;0;0.382758620689655;0;0;0;0.258620689655172;0;0.258620689655172}</definedName>
    <definedName name="_s_base_old2" localSheetId="57">{0.1;0;0.382758620689655;0;0;0;0.258620689655172;0;0.258620689655172}</definedName>
    <definedName name="_s_base_old2">{0.1;0;0.382758620689655;0;0;0;0.258620689655172;0;0.258620689655172}</definedName>
    <definedName name="_S_Base1" localSheetId="47">{0.1;0;0.382758620689655;0;0;0;0.258620689655172;0;0.258620689655172}</definedName>
    <definedName name="_S_Base1" localSheetId="57">{0.1;0;0.382758620689655;0;0;0;0.258620689655172;0;0.258620689655172}</definedName>
    <definedName name="_S_Base1">{0.1;0;0.382758620689655;0;0;0;0.258620689655172;0;0.258620689655172}</definedName>
    <definedName name="_s_base199" localSheetId="47">{0.1;0;0.382758620689655;0;0;0;0.258620689655172;0;0.258620689655172}</definedName>
    <definedName name="_s_base199" localSheetId="57">{0.1;0;0.382758620689655;0;0;0;0.258620689655172;0;0.258620689655172}</definedName>
    <definedName name="_s_base199">{0.1;0;0.382758620689655;0;0;0;0.258620689655172;0;0.258620689655172}</definedName>
    <definedName name="_s_base2" localSheetId="47">{0.1;0;0.382758620689655;0;0;0;0.258620689655172;0;0.258620689655172}</definedName>
    <definedName name="_s_base2" localSheetId="57">{0.1;0;0.382758620689655;0;0;0;0.258620689655172;0;0.258620689655172}</definedName>
    <definedName name="_s_base2">{0.1;0;0.382758620689655;0;0;0;0.258620689655172;0;0.258620689655172}</definedName>
    <definedName name="_s_base299" localSheetId="47">{0.1;0;0.382758620689655;0;0;0;0.258620689655172;0;0.258620689655172}</definedName>
    <definedName name="_s_base299" localSheetId="57">{0.1;0;0.382758620689655;0;0;0;0.258620689655172;0;0.258620689655172}</definedName>
    <definedName name="_s_base299">{0.1;0;0.382758620689655;0;0;0;0.258620689655172;0;0.258620689655172}</definedName>
    <definedName name="_S_Base3" localSheetId="47">{0.1;0;0.382758620689655;0;0;0;0.258620689655172;0;0.258620689655172}</definedName>
    <definedName name="_S_Base3" localSheetId="57">{0.1;0;0.382758620689655;0;0;0;0.258620689655172;0;0.258620689655172}</definedName>
    <definedName name="_S_Base3">{0.1;0;0.382758620689655;0;0;0;0.258620689655172;0;0.258620689655172}</definedName>
    <definedName name="_s_base399" localSheetId="47">{0.1;0;0.382758620689655;0;0;0;0.258620689655172;0;0.258620689655172}</definedName>
    <definedName name="_s_base399" localSheetId="57">{0.1;0;0.382758620689655;0;0;0;0.258620689655172;0;0.258620689655172}</definedName>
    <definedName name="_s_base399">{0.1;0;0.382758620689655;0;0;0;0.258620689655172;0;0.258620689655172}</definedName>
    <definedName name="_S_Base4" localSheetId="47">{0.1;0;0.382758620689655;0;0;0;0.258620689655172;0;0.258620689655172}</definedName>
    <definedName name="_S_Base4" localSheetId="57">{0.1;0;0.382758620689655;0;0;0;0.258620689655172;0;0.258620689655172}</definedName>
    <definedName name="_S_Base4">{0.1;0;0.382758620689655;0;0;0;0.258620689655172;0;0.258620689655172}</definedName>
    <definedName name="_s_base499" localSheetId="47">{0.1;0;0.382758620689655;0;0;0;0.258620689655172;0;0.258620689655172}</definedName>
    <definedName name="_s_base499" localSheetId="57">{0.1;0;0.382758620689655;0;0;0;0.258620689655172;0;0.258620689655172}</definedName>
    <definedName name="_s_base499">{0.1;0;0.382758620689655;0;0;0;0.258620689655172;0;0.258620689655172}</definedName>
    <definedName name="_S_Base5" localSheetId="47">{0.1;0;0.382758620689655;0;0;0;0.258620689655172;0;0.258620689655172}</definedName>
    <definedName name="_S_Base5" localSheetId="57">{0.1;0;0.382758620689655;0;0;0;0.258620689655172;0;0.258620689655172}</definedName>
    <definedName name="_S_Base5">{0.1;0;0.382758620689655;0;0;0;0.258620689655172;0;0.258620689655172}</definedName>
    <definedName name="_s_Base6" localSheetId="47">{0.1;0;0.382758620689655;0;0;0;0.258620689655172;0;0.258620689655172}</definedName>
    <definedName name="_s_Base6" localSheetId="57">{0.1;0;0.382758620689655;0;0;0;0.258620689655172;0;0.258620689655172}</definedName>
    <definedName name="_s_Base6">{0.1;0;0.382758620689655;0;0;0;0.258620689655172;0;0.258620689655172}</definedName>
    <definedName name="_s_base699" localSheetId="47">{0.1;0;0.382758620689655;0;0;0;0.258620689655172;0;0.258620689655172}</definedName>
    <definedName name="_s_base699" localSheetId="57">{0.1;0;0.382758620689655;0;0;0;0.258620689655172;0;0.258620689655172}</definedName>
    <definedName name="_s_base699">{0.1;0;0.382758620689655;0;0;0;0.258620689655172;0;0.258620689655172}</definedName>
    <definedName name="_S_Base7" localSheetId="47">{0.1;0;0.382758620689655;0;0;0;0.258620689655172;0;0.258620689655172}</definedName>
    <definedName name="_S_Base7" localSheetId="57">{0.1;0;0.382758620689655;0;0;0;0.258620689655172;0;0.258620689655172}</definedName>
    <definedName name="_S_Base7">{0.1;0;0.382758620689655;0;0;0;0.258620689655172;0;0.258620689655172}</definedName>
    <definedName name="_s_base98" localSheetId="47">{0.1;0;0.382758620689655;0;0;0;0.258620689655172;0;0.258620689655172}</definedName>
    <definedName name="_s_base98" localSheetId="57">{0.1;0;0.382758620689655;0;0;0;0.258620689655172;0;0.258620689655172}</definedName>
    <definedName name="_s_base98">{0.1;0;0.382758620689655;0;0;0;0.258620689655172;0;0.258620689655172}</definedName>
    <definedName name="_S_Base99" localSheetId="47">{0.1;0;0.382758620689655;0;0;0;0.258620689655172;0;0.258620689655172}</definedName>
    <definedName name="_S_Base99" localSheetId="57">{0.1;0;0.382758620689655;0;0;0;0.258620689655172;0;0.258620689655172}</definedName>
    <definedName name="_S_Base99">{0.1;0;0.382758620689655;0;0;0;0.258620689655172;0;0.258620689655172}</definedName>
    <definedName name="_S_new_case" localSheetId="47">{0.1;0;0.45;0;0;0;0;0;0.45}</definedName>
    <definedName name="_S_new_case" localSheetId="57">{0.1;0;0.45;0;0;0;0;0;0.45}</definedName>
    <definedName name="_S_new_case">{0.1;0;0.45;0;0;0;0;0;0.45}</definedName>
    <definedName name="_S_new_case_old" localSheetId="47">{0.1;0;0.45;0;0;0;0;0;0.45}</definedName>
    <definedName name="_S_new_case_old" localSheetId="57">{0.1;0;0.45;0;0;0;0;0;0.45}</definedName>
    <definedName name="_S_new_case_old">{0.1;0;0.45;0;0;0;0;0;0.45}</definedName>
    <definedName name="_S_new_case1" localSheetId="47">{0.1;0;0.45;0;0;0;0;0;0.45}</definedName>
    <definedName name="_S_new_case1" localSheetId="57">{0.1;0;0.45;0;0;0;0;0;0.45}</definedName>
    <definedName name="_S_new_case1">{0.1;0;0.45;0;0;0;0;0;0.45}</definedName>
    <definedName name="_s_new_case199" localSheetId="47">{0.1;0;0.45;0;0;0;0;0;0.45}</definedName>
    <definedName name="_s_new_case199" localSheetId="57">{0.1;0;0.45;0;0;0;0;0;0.45}</definedName>
    <definedName name="_s_new_case199">{0.1;0;0.45;0;0;0;0;0;0.45}</definedName>
    <definedName name="_S_new_case2" localSheetId="47">{0.1;0;0.45;0;0;0;0;0;0.45}</definedName>
    <definedName name="_S_new_case2" localSheetId="57">{0.1;0;0.45;0;0;0;0;0;0.45}</definedName>
    <definedName name="_S_new_case2">{0.1;0;0.45;0;0;0;0;0;0.45}</definedName>
    <definedName name="_s_new_case299" localSheetId="47">{0.1;0;0.45;0;0;0;0;0;0.45}</definedName>
    <definedName name="_s_new_case299" localSheetId="57">{0.1;0;0.45;0;0;0;0;0;0.45}</definedName>
    <definedName name="_s_new_case299">{0.1;0;0.45;0;0;0;0;0;0.45}</definedName>
    <definedName name="_S_new_case3" localSheetId="47">{0.1;0;0.45;0;0;0;0;0;0.45}</definedName>
    <definedName name="_S_new_case3" localSheetId="57">{0.1;0;0.45;0;0;0;0;0;0.45}</definedName>
    <definedName name="_S_new_case3">{0.1;0;0.45;0;0;0;0;0;0.45}</definedName>
    <definedName name="_s_new_case399" localSheetId="47">{0.1;0;0.45;0;0;0;0;0;0.45}</definedName>
    <definedName name="_s_new_case399" localSheetId="57">{0.1;0;0.45;0;0;0;0;0;0.45}</definedName>
    <definedName name="_s_new_case399">{0.1;0;0.45;0;0;0;0;0;0.45}</definedName>
    <definedName name="_S_new_case4" localSheetId="47">{0.1;0;0.45;0;0;0;0;0;0.45}</definedName>
    <definedName name="_S_new_case4" localSheetId="57">{0.1;0;0.45;0;0;0;0;0;0.45}</definedName>
    <definedName name="_S_new_case4">{0.1;0;0.45;0;0;0;0;0;0.45}</definedName>
    <definedName name="_s_new_case499" localSheetId="47">{0.1;0;0.45;0;0;0;0;0;0.45}</definedName>
    <definedName name="_s_new_case499" localSheetId="57">{0.1;0;0.45;0;0;0;0;0;0.45}</definedName>
    <definedName name="_s_new_case499">{0.1;0;0.45;0;0;0;0;0;0.45}</definedName>
    <definedName name="_S_new_case5" localSheetId="47">{0.1;0;0.45;0;0;0;0;0;0.45}</definedName>
    <definedName name="_S_new_case5" localSheetId="57">{0.1;0;0.45;0;0;0;0;0;0.45}</definedName>
    <definedName name="_S_new_case5">{0.1;0;0.45;0;0;0;0;0;0.45}</definedName>
    <definedName name="_s_new_case599" localSheetId="47">{0.1;0;0.45;0;0;0;0;0;0.45}</definedName>
    <definedName name="_s_new_case599" localSheetId="57">{0.1;0;0.45;0;0;0;0;0;0.45}</definedName>
    <definedName name="_s_new_case599">{0.1;0;0.45;0;0;0;0;0;0.45}</definedName>
    <definedName name="_S_new_case6" localSheetId="47">{0.1;0;0.45;0;0;0;0;0;0.45}</definedName>
    <definedName name="_S_new_case6" localSheetId="57">{0.1;0;0.45;0;0;0;0;0;0.45}</definedName>
    <definedName name="_S_new_case6">{0.1;0;0.45;0;0;0;0;0;0.45}</definedName>
    <definedName name="_S_new_case7" localSheetId="47">{0.1;0;0.45;0;0;0;0;0;0.45}</definedName>
    <definedName name="_S_new_case7" localSheetId="57">{0.1;0;0.45;0;0;0;0;0;0.45}</definedName>
    <definedName name="_S_new_case7">{0.1;0;0.45;0;0;0;0;0;0.45}</definedName>
    <definedName name="_s_new_case98" localSheetId="47">{0.1;0;0.45;0;0;0;0;0;0.45}</definedName>
    <definedName name="_s_new_case98" localSheetId="57">{0.1;0;0.45;0;0;0;0;0;0.45}</definedName>
    <definedName name="_s_new_case98">{0.1;0;0.45;0;0;0;0;0;0.45}</definedName>
    <definedName name="_S_new_case99" localSheetId="47">{0.1;0;0.45;0;0;0;0;0;0.45}</definedName>
    <definedName name="_S_new_case99" localSheetId="57">{0.1;0;0.45;0;0;0;0;0;0.45}</definedName>
    <definedName name="_S_new_case99">{0.1;0;0.45;0;0;0;0;0;0.45}</definedName>
    <definedName name="_s1" hidden="1">'[6]sales vol.'!$J$34:$J$37</definedName>
    <definedName name="_s2" hidden="1">'[6]sales vol.'!$J$398:$J$401</definedName>
    <definedName name="_s3" hidden="1">'[6]sales vol.'!$J$211:$J$214</definedName>
    <definedName name="_s4" hidden="1">'[6]sales vol.'!$I$1121:$I$1122</definedName>
    <definedName name="_s5" hidden="1">'[6]sales vol.'!$I$1632:$I$1635</definedName>
    <definedName name="_s6" hidden="1">'[6]sales vol.'!$I$2248:$I$2251</definedName>
    <definedName name="_scenchg_count">1</definedName>
    <definedName name="_sga" localSheetId="55" hidden="1">#REF!</definedName>
    <definedName name="_sga" localSheetId="59" hidden="1">#REF!</definedName>
    <definedName name="_sga" localSheetId="47" hidden="1">#REF!</definedName>
    <definedName name="_sga" localSheetId="46" hidden="1">#REF!</definedName>
    <definedName name="_sga" localSheetId="60" hidden="1">#REF!</definedName>
    <definedName name="_sga" localSheetId="64" hidden="1">#REF!</definedName>
    <definedName name="_sga" localSheetId="63" hidden="1">#REF!</definedName>
    <definedName name="_sga" localSheetId="57" hidden="1">#REF!</definedName>
    <definedName name="_sga" hidden="1">#REF!</definedName>
    <definedName name="_Sort" localSheetId="106" hidden="1">#REF!</definedName>
    <definedName name="_Sort" localSheetId="95" hidden="1">#REF!</definedName>
    <definedName name="_Sort" localSheetId="94" hidden="1">#REF!</definedName>
    <definedName name="_Sort" localSheetId="33" hidden="1">#REF!</definedName>
    <definedName name="_Sort" localSheetId="34" hidden="1">#REF!</definedName>
    <definedName name="_Sort" localSheetId="35" hidden="1">#REF!</definedName>
    <definedName name="_Sort" localSheetId="102" hidden="1">#REF!</definedName>
    <definedName name="_Sort" localSheetId="4" hidden="1">#REF!</definedName>
    <definedName name="_Sort" localSheetId="55" hidden="1">#REF!</definedName>
    <definedName name="_Sort" localSheetId="59" hidden="1">#REF!</definedName>
    <definedName name="_Sort" localSheetId="93" hidden="1">#REF!</definedName>
    <definedName name="_Sort" localSheetId="62" hidden="1">#REF!</definedName>
    <definedName name="_Sort" localSheetId="47" hidden="1">#REF!</definedName>
    <definedName name="_Sort" localSheetId="101" hidden="1">#REF!</definedName>
    <definedName name="_Sort" localSheetId="40" hidden="1">#REF!</definedName>
    <definedName name="_Sort" localSheetId="41" hidden="1">#REF!</definedName>
    <definedName name="_Sort" localSheetId="46" hidden="1">#REF!</definedName>
    <definedName name="_Sort" localSheetId="60" hidden="1">#REF!</definedName>
    <definedName name="_Sort" localSheetId="39" hidden="1">#REF!</definedName>
    <definedName name="_Sort" localSheetId="58" hidden="1">#REF!</definedName>
    <definedName name="_Sort" localSheetId="44" hidden="1">#REF!</definedName>
    <definedName name="_Sort" localSheetId="64" hidden="1">#REF!</definedName>
    <definedName name="_Sort" localSheetId="63" hidden="1">#REF!</definedName>
    <definedName name="_Sort" localSheetId="31" hidden="1">#REF!</definedName>
    <definedName name="_Sort" localSheetId="104" hidden="1">#REF!</definedName>
    <definedName name="_Sort" localSheetId="96" hidden="1">#REF!</definedName>
    <definedName name="_Sort" localSheetId="80" hidden="1">#REF!</definedName>
    <definedName name="_Sort" localSheetId="61" hidden="1">#REF!</definedName>
    <definedName name="_Sort" localSheetId="90" hidden="1">#REF!</definedName>
    <definedName name="_Sort" localSheetId="19" hidden="1">#REF!</definedName>
    <definedName name="_Sort" localSheetId="57" hidden="1">#REF!</definedName>
    <definedName name="_Sort" hidden="1">#REF!</definedName>
    <definedName name="_T_Base" localSheetId="47">{0.1;0;0.382758620689655;0;0;0;0.258620689655172;0;0.258620689655172}</definedName>
    <definedName name="_T_Base" localSheetId="57">{0.1;0;0.382758620689655;0;0;0;0.258620689655172;0;0.258620689655172}</definedName>
    <definedName name="_T_Base">{0.1;0;0.382758620689655;0;0;0;0.258620689655172;0;0.258620689655172}</definedName>
    <definedName name="_Table1_In1" localSheetId="106" hidden="1">#REF!</definedName>
    <definedName name="_Table1_In1" localSheetId="95" hidden="1">#REF!</definedName>
    <definedName name="_Table1_In1" localSheetId="94" hidden="1">#REF!</definedName>
    <definedName name="_Table1_In1" localSheetId="33" hidden="1">#REF!</definedName>
    <definedName name="_Table1_In1" localSheetId="34" hidden="1">#REF!</definedName>
    <definedName name="_Table1_In1" localSheetId="35" hidden="1">#REF!</definedName>
    <definedName name="_Table1_In1" localSheetId="102" hidden="1">#REF!</definedName>
    <definedName name="_Table1_In1" localSheetId="4" hidden="1">#REF!</definedName>
    <definedName name="_Table1_In1" localSheetId="55" hidden="1">#REF!</definedName>
    <definedName name="_Table1_In1" localSheetId="59" hidden="1">#REF!</definedName>
    <definedName name="_Table1_In1" localSheetId="93" hidden="1">#REF!</definedName>
    <definedName name="_Table1_In1" localSheetId="62" hidden="1">#REF!</definedName>
    <definedName name="_Table1_In1" localSheetId="47" hidden="1">#REF!</definedName>
    <definedName name="_Table1_In1" localSheetId="101" hidden="1">#REF!</definedName>
    <definedName name="_Table1_In1" localSheetId="40" hidden="1">#REF!</definedName>
    <definedName name="_Table1_In1" localSheetId="41" hidden="1">#REF!</definedName>
    <definedName name="_Table1_In1" localSheetId="46" hidden="1">#REF!</definedName>
    <definedName name="_Table1_In1" localSheetId="60" hidden="1">#REF!</definedName>
    <definedName name="_Table1_In1" localSheetId="39" hidden="1">#REF!</definedName>
    <definedName name="_Table1_In1" localSheetId="58" hidden="1">#REF!</definedName>
    <definedName name="_Table1_In1" localSheetId="44" hidden="1">#REF!</definedName>
    <definedName name="_Table1_In1" localSheetId="64" hidden="1">#REF!</definedName>
    <definedName name="_Table1_In1" localSheetId="63" hidden="1">#REF!</definedName>
    <definedName name="_Table1_In1" localSheetId="31" hidden="1">#REF!</definedName>
    <definedName name="_Table1_In1" localSheetId="104" hidden="1">#REF!</definedName>
    <definedName name="_Table1_In1" localSheetId="96" hidden="1">#REF!</definedName>
    <definedName name="_Table1_In1" localSheetId="80" hidden="1">#REF!</definedName>
    <definedName name="_Table1_In1" localSheetId="61" hidden="1">#REF!</definedName>
    <definedName name="_Table1_In1" localSheetId="90" hidden="1">#REF!</definedName>
    <definedName name="_Table1_In1" localSheetId="19" hidden="1">#REF!</definedName>
    <definedName name="_Table1_In1" localSheetId="57" hidden="1">#REF!</definedName>
    <definedName name="_Table1_In1" hidden="1">#REF!</definedName>
    <definedName name="_Table1_Out" localSheetId="106" hidden="1">#REF!</definedName>
    <definedName name="_Table1_Out" localSheetId="95" hidden="1">#REF!</definedName>
    <definedName name="_Table1_Out" localSheetId="94" hidden="1">#REF!</definedName>
    <definedName name="_Table1_Out" localSheetId="33" hidden="1">#REF!</definedName>
    <definedName name="_Table1_Out" localSheetId="34" hidden="1">#REF!</definedName>
    <definedName name="_Table1_Out" localSheetId="35" hidden="1">#REF!</definedName>
    <definedName name="_Table1_Out" localSheetId="102" hidden="1">#REF!</definedName>
    <definedName name="_Table1_Out" localSheetId="4" hidden="1">#REF!</definedName>
    <definedName name="_Table1_Out" localSheetId="55" hidden="1">#REF!</definedName>
    <definedName name="_Table1_Out" localSheetId="59" hidden="1">#REF!</definedName>
    <definedName name="_Table1_Out" localSheetId="93" hidden="1">#REF!</definedName>
    <definedName name="_Table1_Out" localSheetId="62" hidden="1">#REF!</definedName>
    <definedName name="_Table1_Out" localSheetId="47" hidden="1">#REF!</definedName>
    <definedName name="_Table1_Out" localSheetId="101" hidden="1">#REF!</definedName>
    <definedName name="_Table1_Out" localSheetId="40" hidden="1">#REF!</definedName>
    <definedName name="_Table1_Out" localSheetId="41" hidden="1">#REF!</definedName>
    <definedName name="_Table1_Out" localSheetId="46" hidden="1">#REF!</definedName>
    <definedName name="_Table1_Out" localSheetId="60" hidden="1">#REF!</definedName>
    <definedName name="_Table1_Out" localSheetId="39" hidden="1">#REF!</definedName>
    <definedName name="_Table1_Out" localSheetId="58" hidden="1">#REF!</definedName>
    <definedName name="_Table1_Out" localSheetId="44" hidden="1">#REF!</definedName>
    <definedName name="_Table1_Out" localSheetId="64" hidden="1">#REF!</definedName>
    <definedName name="_Table1_Out" localSheetId="63" hidden="1">#REF!</definedName>
    <definedName name="_Table1_Out" localSheetId="31" hidden="1">#REF!</definedName>
    <definedName name="_Table1_Out" localSheetId="104" hidden="1">#REF!</definedName>
    <definedName name="_Table1_Out" localSheetId="96" hidden="1">#REF!</definedName>
    <definedName name="_Table1_Out" localSheetId="80" hidden="1">#REF!</definedName>
    <definedName name="_Table1_Out" localSheetId="61" hidden="1">#REF!</definedName>
    <definedName name="_Table1_Out" localSheetId="90" hidden="1">#REF!</definedName>
    <definedName name="_Table1_Out" localSheetId="19" hidden="1">#REF!</definedName>
    <definedName name="_Table1_Out" localSheetId="57" hidden="1">#REF!</definedName>
    <definedName name="_Table1_Out" hidden="1">#REF!</definedName>
    <definedName name="_Table2_In1" localSheetId="106" hidden="1">#REF!</definedName>
    <definedName name="_Table2_In1" localSheetId="95" hidden="1">#REF!</definedName>
    <definedName name="_Table2_In1" localSheetId="94" hidden="1">#REF!</definedName>
    <definedName name="_Table2_In1" localSheetId="33" hidden="1">#REF!</definedName>
    <definedName name="_Table2_In1" localSheetId="34" hidden="1">#REF!</definedName>
    <definedName name="_Table2_In1" localSheetId="35" hidden="1">#REF!</definedName>
    <definedName name="_Table2_In1" localSheetId="102" hidden="1">#REF!</definedName>
    <definedName name="_Table2_In1" localSheetId="4" hidden="1">#REF!</definedName>
    <definedName name="_Table2_In1" localSheetId="55" hidden="1">#REF!</definedName>
    <definedName name="_Table2_In1" localSheetId="59" hidden="1">#REF!</definedName>
    <definedName name="_Table2_In1" localSheetId="93" hidden="1">#REF!</definedName>
    <definedName name="_Table2_In1" localSheetId="62" hidden="1">#REF!</definedName>
    <definedName name="_Table2_In1" localSheetId="47" hidden="1">#REF!</definedName>
    <definedName name="_Table2_In1" localSheetId="101" hidden="1">#REF!</definedName>
    <definedName name="_Table2_In1" localSheetId="40" hidden="1">#REF!</definedName>
    <definedName name="_Table2_In1" localSheetId="41" hidden="1">#REF!</definedName>
    <definedName name="_Table2_In1" localSheetId="46" hidden="1">#REF!</definedName>
    <definedName name="_Table2_In1" localSheetId="60" hidden="1">#REF!</definedName>
    <definedName name="_Table2_In1" localSheetId="39" hidden="1">#REF!</definedName>
    <definedName name="_Table2_In1" localSheetId="58" hidden="1">#REF!</definedName>
    <definedName name="_Table2_In1" localSheetId="44" hidden="1">#REF!</definedName>
    <definedName name="_Table2_In1" localSheetId="64" hidden="1">#REF!</definedName>
    <definedName name="_Table2_In1" localSheetId="63" hidden="1">#REF!</definedName>
    <definedName name="_Table2_In1" localSheetId="31" hidden="1">#REF!</definedName>
    <definedName name="_Table2_In1" localSheetId="104" hidden="1">#REF!</definedName>
    <definedName name="_Table2_In1" localSheetId="96" hidden="1">#REF!</definedName>
    <definedName name="_Table2_In1" localSheetId="80" hidden="1">#REF!</definedName>
    <definedName name="_Table2_In1" localSheetId="61" hidden="1">#REF!</definedName>
    <definedName name="_Table2_In1" localSheetId="90" hidden="1">#REF!</definedName>
    <definedName name="_Table2_In1" localSheetId="19" hidden="1">#REF!</definedName>
    <definedName name="_Table2_In1" localSheetId="57" hidden="1">#REF!</definedName>
    <definedName name="_Table2_In1" hidden="1">#REF!</definedName>
    <definedName name="_Table2_In2" localSheetId="106" hidden="1">#REF!</definedName>
    <definedName name="_Table2_In2" localSheetId="95" hidden="1">#REF!</definedName>
    <definedName name="_Table2_In2" localSheetId="94" hidden="1">#REF!</definedName>
    <definedName name="_Table2_In2" localSheetId="33" hidden="1">#REF!</definedName>
    <definedName name="_Table2_In2" localSheetId="34" hidden="1">#REF!</definedName>
    <definedName name="_Table2_In2" localSheetId="35" hidden="1">#REF!</definedName>
    <definedName name="_Table2_In2" localSheetId="102" hidden="1">#REF!</definedName>
    <definedName name="_Table2_In2" localSheetId="4" hidden="1">#REF!</definedName>
    <definedName name="_Table2_In2" localSheetId="55" hidden="1">#REF!</definedName>
    <definedName name="_Table2_In2" localSheetId="59" hidden="1">#REF!</definedName>
    <definedName name="_Table2_In2" localSheetId="93" hidden="1">#REF!</definedName>
    <definedName name="_Table2_In2" localSheetId="62" hidden="1">#REF!</definedName>
    <definedName name="_Table2_In2" localSheetId="47" hidden="1">#REF!</definedName>
    <definedName name="_Table2_In2" localSheetId="101" hidden="1">#REF!</definedName>
    <definedName name="_Table2_In2" localSheetId="40" hidden="1">#REF!</definedName>
    <definedName name="_Table2_In2" localSheetId="41" hidden="1">#REF!</definedName>
    <definedName name="_Table2_In2" localSheetId="46" hidden="1">#REF!</definedName>
    <definedName name="_Table2_In2" localSheetId="60" hidden="1">#REF!</definedName>
    <definedName name="_Table2_In2" localSheetId="39" hidden="1">#REF!</definedName>
    <definedName name="_Table2_In2" localSheetId="58" hidden="1">#REF!</definedName>
    <definedName name="_Table2_In2" localSheetId="44" hidden="1">#REF!</definedName>
    <definedName name="_Table2_In2" localSheetId="64" hidden="1">#REF!</definedName>
    <definedName name="_Table2_In2" localSheetId="63" hidden="1">#REF!</definedName>
    <definedName name="_Table2_In2" localSheetId="31" hidden="1">#REF!</definedName>
    <definedName name="_Table2_In2" localSheetId="104" hidden="1">#REF!</definedName>
    <definedName name="_Table2_In2" localSheetId="96" hidden="1">#REF!</definedName>
    <definedName name="_Table2_In2" localSheetId="90" hidden="1">#REF!</definedName>
    <definedName name="_Table2_In2" localSheetId="19" hidden="1">#REF!</definedName>
    <definedName name="_Table2_In2" localSheetId="57" hidden="1">#REF!</definedName>
    <definedName name="_Table2_In2" hidden="1">#REF!</definedName>
    <definedName name="_Table2_Out" localSheetId="106" hidden="1">#REF!</definedName>
    <definedName name="_Table2_Out" localSheetId="95" hidden="1">#REF!</definedName>
    <definedName name="_Table2_Out" localSheetId="94" hidden="1">#REF!</definedName>
    <definedName name="_Table2_Out" localSheetId="33" hidden="1">#REF!</definedName>
    <definedName name="_Table2_Out" localSheetId="34" hidden="1">#REF!</definedName>
    <definedName name="_Table2_Out" localSheetId="35" hidden="1">#REF!</definedName>
    <definedName name="_Table2_Out" localSheetId="102" hidden="1">#REF!</definedName>
    <definedName name="_Table2_Out" localSheetId="4" hidden="1">#REF!</definedName>
    <definedName name="_Table2_Out" localSheetId="55" hidden="1">#REF!</definedName>
    <definedName name="_Table2_Out" localSheetId="59" hidden="1">#REF!</definedName>
    <definedName name="_Table2_Out" localSheetId="93" hidden="1">#REF!</definedName>
    <definedName name="_Table2_Out" localSheetId="62" hidden="1">#REF!</definedName>
    <definedName name="_Table2_Out" localSheetId="47" hidden="1">#REF!</definedName>
    <definedName name="_Table2_Out" localSheetId="101" hidden="1">#REF!</definedName>
    <definedName name="_Table2_Out" localSheetId="40" hidden="1">#REF!</definedName>
    <definedName name="_Table2_Out" localSheetId="41" hidden="1">#REF!</definedName>
    <definedName name="_Table2_Out" localSheetId="46" hidden="1">#REF!</definedName>
    <definedName name="_Table2_Out" localSheetId="60" hidden="1">#REF!</definedName>
    <definedName name="_Table2_Out" localSheetId="39" hidden="1">#REF!</definedName>
    <definedName name="_Table2_Out" localSheetId="58" hidden="1">#REF!</definedName>
    <definedName name="_Table2_Out" localSheetId="44" hidden="1">#REF!</definedName>
    <definedName name="_Table2_Out" localSheetId="64" hidden="1">#REF!</definedName>
    <definedName name="_Table2_Out" localSheetId="63" hidden="1">#REF!</definedName>
    <definedName name="_Table2_Out" localSheetId="31" hidden="1">#REF!</definedName>
    <definedName name="_Table2_Out" localSheetId="104" hidden="1">#REF!</definedName>
    <definedName name="_Table2_Out" localSheetId="96" hidden="1">#REF!</definedName>
    <definedName name="_Table2_Out" localSheetId="80" hidden="1">#REF!</definedName>
    <definedName name="_Table2_Out" localSheetId="61" hidden="1">#REF!</definedName>
    <definedName name="_Table2_Out" localSheetId="90" hidden="1">#REF!</definedName>
    <definedName name="_Table2_Out" localSheetId="19" hidden="1">#REF!</definedName>
    <definedName name="_Table2_Out" localSheetId="57" hidden="1">#REF!</definedName>
    <definedName name="_Table2_Out" hidden="1">#REF!</definedName>
    <definedName name="_w1" localSheetId="55" hidden="1">{"PVGraph2",#N/A,FALSE,"PV Data"}</definedName>
    <definedName name="_w1" localSheetId="59" hidden="1">{"PVGraph2",#N/A,FALSE,"PV Data"}</definedName>
    <definedName name="_w1" localSheetId="93" hidden="1">{"PVGraph2",#N/A,FALSE,"PV Data"}</definedName>
    <definedName name="_w1" localSheetId="12" hidden="1">{"PVGraph2",#N/A,FALSE,"PV Data"}</definedName>
    <definedName name="_w1" localSheetId="62" hidden="1">{"PVGraph2",#N/A,FALSE,"PV Data"}</definedName>
    <definedName name="_w1" localSheetId="47" hidden="1">{"PVGraph2",#N/A,FALSE,"PV Data"}</definedName>
    <definedName name="_w1" localSheetId="15" hidden="1">{"PVGraph2",#N/A,FALSE,"PV Data"}</definedName>
    <definedName name="_w1" localSheetId="101" hidden="1">{"PVGraph2",#N/A,FALSE,"PV Data"}</definedName>
    <definedName name="_w1" localSheetId="60" hidden="1">{"PVGraph2",#N/A,FALSE,"PV Data"}</definedName>
    <definedName name="_w1" localSheetId="39" hidden="1">{"PVGraph2",#N/A,FALSE,"PV Data"}</definedName>
    <definedName name="_w1" localSheetId="58" hidden="1">{"PVGraph2",#N/A,FALSE,"PV Data"}</definedName>
    <definedName name="_w1" localSheetId="64" hidden="1">{"PVGraph2",#N/A,FALSE,"PV Data"}</definedName>
    <definedName name="_w1" localSheetId="54" hidden="1">{"PVGraph2",#N/A,FALSE,"PV Data"}</definedName>
    <definedName name="_w1" localSheetId="13" hidden="1">{"PVGraph2",#N/A,FALSE,"PV Data"}</definedName>
    <definedName name="_w1" localSheetId="63" hidden="1">{"PVGraph2",#N/A,FALSE,"PV Data"}</definedName>
    <definedName name="_w1" localSheetId="31" hidden="1">{"PVGraph2",#N/A,FALSE,"PV Data"}</definedName>
    <definedName name="_w1" localSheetId="61" hidden="1">{"PVGraph2",#N/A,FALSE,"PV Data"}</definedName>
    <definedName name="_w1" localSheetId="45" hidden="1">{"PVGraph2",#N/A,FALSE,"PV Data"}</definedName>
    <definedName name="_w1" localSheetId="90" hidden="1">{"PVGraph2",#N/A,FALSE,"PV Data"}</definedName>
    <definedName name="_w1" localSheetId="19" hidden="1">{"PVGraph2",#N/A,FALSE,"PV Data"}</definedName>
    <definedName name="_w1" localSheetId="57" hidden="1">{"PVGraph2",#N/A,FALSE,"PV Data"}</definedName>
    <definedName name="_w1" hidden="1">{"PVGraph2",#N/A,FALSE,"PV Data"}</definedName>
    <definedName name="_w2" localSheetId="55" hidden="1">{"PVGraph2",#N/A,FALSE,"PV Data"}</definedName>
    <definedName name="_w2" localSheetId="59" hidden="1">{"PVGraph2",#N/A,FALSE,"PV Data"}</definedName>
    <definedName name="_w2" localSheetId="93" hidden="1">{"PVGraph2",#N/A,FALSE,"PV Data"}</definedName>
    <definedName name="_w2" localSheetId="12" hidden="1">{"PVGraph2",#N/A,FALSE,"PV Data"}</definedName>
    <definedName name="_w2" localSheetId="62" hidden="1">{"PVGraph2",#N/A,FALSE,"PV Data"}</definedName>
    <definedName name="_w2" localSheetId="47" hidden="1">{"PVGraph2",#N/A,FALSE,"PV Data"}</definedName>
    <definedName name="_w2" localSheetId="15" hidden="1">{"PVGraph2",#N/A,FALSE,"PV Data"}</definedName>
    <definedName name="_w2" localSheetId="101" hidden="1">{"PVGraph2",#N/A,FALSE,"PV Data"}</definedName>
    <definedName name="_w2" localSheetId="60" hidden="1">{"PVGraph2",#N/A,FALSE,"PV Data"}</definedName>
    <definedName name="_w2" localSheetId="39" hidden="1">{"PVGraph2",#N/A,FALSE,"PV Data"}</definedName>
    <definedName name="_w2" localSheetId="58" hidden="1">{"PVGraph2",#N/A,FALSE,"PV Data"}</definedName>
    <definedName name="_w2" localSheetId="64" hidden="1">{"PVGraph2",#N/A,FALSE,"PV Data"}</definedName>
    <definedName name="_w2" localSheetId="54" hidden="1">{"PVGraph2",#N/A,FALSE,"PV Data"}</definedName>
    <definedName name="_w2" localSheetId="13" hidden="1">{"PVGraph2",#N/A,FALSE,"PV Data"}</definedName>
    <definedName name="_w2" localSheetId="63" hidden="1">{"PVGraph2",#N/A,FALSE,"PV Data"}</definedName>
    <definedName name="_w2" localSheetId="31" hidden="1">{"PVGraph2",#N/A,FALSE,"PV Data"}</definedName>
    <definedName name="_w2" localSheetId="61" hidden="1">{"PVGraph2",#N/A,FALSE,"PV Data"}</definedName>
    <definedName name="_w2" localSheetId="45" hidden="1">{"PVGraph2",#N/A,FALSE,"PV Data"}</definedName>
    <definedName name="_w2" localSheetId="90" hidden="1">{"PVGraph2",#N/A,FALSE,"PV Data"}</definedName>
    <definedName name="_w2" localSheetId="19" hidden="1">{"PVGraph2",#N/A,FALSE,"PV Data"}</definedName>
    <definedName name="_w2" localSheetId="57" hidden="1">{"PVGraph2",#N/A,FALSE,"PV Data"}</definedName>
    <definedName name="_w2" hidden="1">{"PVGraph2",#N/A,FALSE,"PV Data"}</definedName>
    <definedName name="_w3" localSheetId="55" hidden="1">{"PVGraph2",#N/A,FALSE,"PV Data"}</definedName>
    <definedName name="_w3" localSheetId="59" hidden="1">{"PVGraph2",#N/A,FALSE,"PV Data"}</definedName>
    <definedName name="_w3" localSheetId="93" hidden="1">{"PVGraph2",#N/A,FALSE,"PV Data"}</definedName>
    <definedName name="_w3" localSheetId="12" hidden="1">{"PVGraph2",#N/A,FALSE,"PV Data"}</definedName>
    <definedName name="_w3" localSheetId="62" hidden="1">{"PVGraph2",#N/A,FALSE,"PV Data"}</definedName>
    <definedName name="_w3" localSheetId="47" hidden="1">{"PVGraph2",#N/A,FALSE,"PV Data"}</definedName>
    <definedName name="_w3" localSheetId="15" hidden="1">{"PVGraph2",#N/A,FALSE,"PV Data"}</definedName>
    <definedName name="_w3" localSheetId="101" hidden="1">{"PVGraph2",#N/A,FALSE,"PV Data"}</definedName>
    <definedName name="_w3" localSheetId="60" hidden="1">{"PVGraph2",#N/A,FALSE,"PV Data"}</definedName>
    <definedName name="_w3" localSheetId="39" hidden="1">{"PVGraph2",#N/A,FALSE,"PV Data"}</definedName>
    <definedName name="_w3" localSheetId="58" hidden="1">{"PVGraph2",#N/A,FALSE,"PV Data"}</definedName>
    <definedName name="_w3" localSheetId="64" hidden="1">{"PVGraph2",#N/A,FALSE,"PV Data"}</definedName>
    <definedName name="_w3" localSheetId="54" hidden="1">{"PVGraph2",#N/A,FALSE,"PV Data"}</definedName>
    <definedName name="_w3" localSheetId="13" hidden="1">{"PVGraph2",#N/A,FALSE,"PV Data"}</definedName>
    <definedName name="_w3" localSheetId="63" hidden="1">{"PVGraph2",#N/A,FALSE,"PV Data"}</definedName>
    <definedName name="_w3" localSheetId="31" hidden="1">{"PVGraph2",#N/A,FALSE,"PV Data"}</definedName>
    <definedName name="_w3" localSheetId="61" hidden="1">{"PVGraph2",#N/A,FALSE,"PV Data"}</definedName>
    <definedName name="_w3" localSheetId="45" hidden="1">{"PVGraph2",#N/A,FALSE,"PV Data"}</definedName>
    <definedName name="_w3" localSheetId="90" hidden="1">{"PVGraph2",#N/A,FALSE,"PV Data"}</definedName>
    <definedName name="_w3" localSheetId="19" hidden="1">{"PVGraph2",#N/A,FALSE,"PV Data"}</definedName>
    <definedName name="_w3" localSheetId="57" hidden="1">{"PVGraph2",#N/A,FALSE,"PV Data"}</definedName>
    <definedName name="_w3" hidden="1">{"PVGraph2",#N/A,FALSE,"PV Data"}</definedName>
    <definedName name="_wrn.Aging._.and._.Trend._.Analysis" localSheetId="47" hidden="1">{#N/A,#N/A,FALSE,"Aging Summary";#N/A,#N/A,FALSE,"Ratio Analysis";#N/A,#N/A,FALSE,"Test 120 Day Accts";#N/A,#N/A,FALSE,"Tickmarks"}</definedName>
    <definedName name="_wrn.Aging._.and._.Trend._.Analysis" localSheetId="54" hidden="1">{#N/A,#N/A,FALSE,"Aging Summary";#N/A,#N/A,FALSE,"Ratio Analysis";#N/A,#N/A,FALSE,"Test 120 Day Accts";#N/A,#N/A,FALSE,"Tickmarks"}</definedName>
    <definedName name="_wrn.Aging._.and._.Trend._.Analysis" hidden="1">{#N/A,#N/A,FALSE,"Aging Summary";#N/A,#N/A,FALSE,"Ratio Analysis";#N/A,#N/A,FALSE,"Test 120 Day Accts";#N/A,#N/A,FALSE,"Tickmarks"}</definedName>
    <definedName name="_wrn3" localSheetId="47" hidden="1">{#N/A,#N/A,FALSE,"Aging Summary";#N/A,#N/A,FALSE,"Ratio Analysis";#N/A,#N/A,FALSE,"Test 120 Day Accts";#N/A,#N/A,FALSE,"Tickmarks"}</definedName>
    <definedName name="_wrn3" localSheetId="54" hidden="1">{#N/A,#N/A,FALSE,"Aging Summary";#N/A,#N/A,FALSE,"Ratio Analysis";#N/A,#N/A,FALSE,"Test 120 Day Accts";#N/A,#N/A,FALSE,"Tickmarks"}</definedName>
    <definedName name="_wrn3" hidden="1">{#N/A,#N/A,FALSE,"Aging Summary";#N/A,#N/A,FALSE,"Ratio Analysis";#N/A,#N/A,FALSE,"Test 120 Day Accts";#N/A,#N/A,FALSE,"Tickmarks"}</definedName>
    <definedName name="_xz4" localSheetId="55" hidden="1">{0,0,0,0;0,0,0,0;0,0,0,0;0,0,0,0;0,0,0,0;0,0,0,0}</definedName>
    <definedName name="_xz4" localSheetId="47" hidden="1">{0,0,0,0;0,0,0,0;0,0,0,0;0,0,0,0;0,0,0,0;0,0,0,0}</definedName>
    <definedName name="_xz4" localSheetId="64" hidden="1">{0,0,0,0;0,0,0,0;0,0,0,0;0,0,0,0;0,0,0,0;0,0,0,0}</definedName>
    <definedName name="_xz4" localSheetId="57" hidden="1">{0,0,0,0;0,0,0,0;0,0,0,0;0,0,0,0;0,0,0,0;0,0,0,0}</definedName>
    <definedName name="_xz4" hidden="1">{0,0,0,0;0,0,0,0;0,0,0,0;0,0,0,0;0,0,0,0;0,0,0,0}</definedName>
    <definedName name="_y2" localSheetId="55" hidden="1">{"PVGraph2",#N/A,FALSE,"PV Data"}</definedName>
    <definedName name="_y2" localSheetId="59" hidden="1">{"PVGraph2",#N/A,FALSE,"PV Data"}</definedName>
    <definedName name="_y2" localSheetId="93" hidden="1">{"PVGraph2",#N/A,FALSE,"PV Data"}</definedName>
    <definedName name="_y2" localSheetId="12" hidden="1">{"PVGraph2",#N/A,FALSE,"PV Data"}</definedName>
    <definedName name="_y2" localSheetId="62" hidden="1">{"PVGraph2",#N/A,FALSE,"PV Data"}</definedName>
    <definedName name="_y2" localSheetId="47" hidden="1">{"PVGraph2",#N/A,FALSE,"PV Data"}</definedName>
    <definedName name="_y2" localSheetId="15" hidden="1">{"PVGraph2",#N/A,FALSE,"PV Data"}</definedName>
    <definedName name="_y2" localSheetId="101" hidden="1">{"PVGraph2",#N/A,FALSE,"PV Data"}</definedName>
    <definedName name="_y2" localSheetId="60" hidden="1">{"PVGraph2",#N/A,FALSE,"PV Data"}</definedName>
    <definedName name="_y2" localSheetId="39" hidden="1">{"PVGraph2",#N/A,FALSE,"PV Data"}</definedName>
    <definedName name="_y2" localSheetId="58" hidden="1">{"PVGraph2",#N/A,FALSE,"PV Data"}</definedName>
    <definedName name="_y2" localSheetId="64" hidden="1">{"PVGraph2",#N/A,FALSE,"PV Data"}</definedName>
    <definedName name="_y2" localSheetId="54" hidden="1">{"PVGraph2",#N/A,FALSE,"PV Data"}</definedName>
    <definedName name="_y2" localSheetId="13" hidden="1">{"PVGraph2",#N/A,FALSE,"PV Data"}</definedName>
    <definedName name="_y2" localSheetId="63" hidden="1">{"PVGraph2",#N/A,FALSE,"PV Data"}</definedName>
    <definedName name="_y2" localSheetId="31" hidden="1">{"PVGraph2",#N/A,FALSE,"PV Data"}</definedName>
    <definedName name="_y2" localSheetId="61" hidden="1">{"PVGraph2",#N/A,FALSE,"PV Data"}</definedName>
    <definedName name="_y2" localSheetId="45" hidden="1">{"PVGraph2",#N/A,FALSE,"PV Data"}</definedName>
    <definedName name="_y2" localSheetId="90" hidden="1">{"PVGraph2",#N/A,FALSE,"PV Data"}</definedName>
    <definedName name="_y2" localSheetId="19" hidden="1">{"PVGraph2",#N/A,FALSE,"PV Data"}</definedName>
    <definedName name="_y2" localSheetId="57" hidden="1">{"PVGraph2",#N/A,FALSE,"PV Data"}</definedName>
    <definedName name="_y2" hidden="1">{"PVGraph2",#N/A,FALSE,"PV Data"}</definedName>
    <definedName name="a" localSheetId="47">{#N/A,#N/A,FALSE,"IS";#N/A,#N/A,FALSE,"BS";#N/A,#N/A,FALSE,"RMA";#N/A,#N/A,FALSE,"INCOME";#N/A,#N/A,FALSE,"DCF";#N/A,#N/A,FALSE,"MARKET"}</definedName>
    <definedName name="a" localSheetId="45">{#N/A,#N/A,FALSE,"IS";#N/A,#N/A,FALSE,"BS";#N/A,#N/A,FALSE,"RMA";#N/A,#N/A,FALSE,"INCOME";#N/A,#N/A,FALSE,"DCF";#N/A,#N/A,FALSE,"MARKET"}</definedName>
    <definedName name="a" localSheetId="57">{#N/A,#N/A,FALSE,"IS";#N/A,#N/A,FALSE,"BS";#N/A,#N/A,FALSE,"RMA";#N/A,#N/A,FALSE,"INCOME";#N/A,#N/A,FALSE,"DCF";#N/A,#N/A,FALSE,"MARKET"}</definedName>
    <definedName name="a">{#N/A,#N/A,FALSE,"IS";#N/A,#N/A,FALSE,"BS";#N/A,#N/A,FALSE,"RMA";#N/A,#N/A,FALSE,"INCOME";#N/A,#N/A,FALSE,"DCF";#N/A,#N/A,FALSE,"MARKET"}</definedName>
    <definedName name="aaa" localSheetId="47">{15}</definedName>
    <definedName name="aaa" localSheetId="57">{15}</definedName>
    <definedName name="aaa">{15}</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bc" localSheetId="106" hidden="1">#REF!</definedName>
    <definedName name="abc" localSheetId="95" hidden="1">#REF!</definedName>
    <definedName name="abc" localSheetId="94" hidden="1">#REF!</definedName>
    <definedName name="abc" localSheetId="33" hidden="1">#REF!</definedName>
    <definedName name="abc" localSheetId="34" hidden="1">#REF!</definedName>
    <definedName name="abc" localSheetId="35" hidden="1">#REF!</definedName>
    <definedName name="abc" localSheetId="102" hidden="1">#REF!</definedName>
    <definedName name="abc" localSheetId="4" hidden="1">#REF!</definedName>
    <definedName name="ABC" localSheetId="55" hidden="1">#REF!</definedName>
    <definedName name="ABC" localSheetId="59" hidden="1">#REF!</definedName>
    <definedName name="abc" localSheetId="93" hidden="1">#REF!</definedName>
    <definedName name="ABC" localSheetId="62" hidden="1">#REF!</definedName>
    <definedName name="abc" localSheetId="47" hidden="1">#REF!</definedName>
    <definedName name="abc" localSheetId="101" hidden="1">#REF!</definedName>
    <definedName name="abc" localSheetId="40" hidden="1">#REF!</definedName>
    <definedName name="abc" localSheetId="41" hidden="1">#REF!</definedName>
    <definedName name="abc" localSheetId="46" hidden="1">#REF!</definedName>
    <definedName name="ABC" localSheetId="60" hidden="1">#REF!</definedName>
    <definedName name="abc" localSheetId="39" hidden="1">#REF!</definedName>
    <definedName name="ABC" localSheetId="58" hidden="1">#REF!</definedName>
    <definedName name="abc" localSheetId="44" hidden="1">#REF!</definedName>
    <definedName name="ABC" localSheetId="64" hidden="1">#REF!</definedName>
    <definedName name="abc" localSheetId="63" hidden="1">#REF!</definedName>
    <definedName name="abc" localSheetId="31" hidden="1">#REF!</definedName>
    <definedName name="abc" localSheetId="104" hidden="1">#REF!</definedName>
    <definedName name="abc" localSheetId="96" hidden="1">#REF!</definedName>
    <definedName name="abc" localSheetId="61" hidden="1">#REF!</definedName>
    <definedName name="abc" localSheetId="90" hidden="1">#REF!</definedName>
    <definedName name="abc" localSheetId="19" hidden="1">#REF!</definedName>
    <definedName name="abc" localSheetId="57" hidden="1">#REF!</definedName>
    <definedName name="abc" hidden="1">#REF!</definedName>
    <definedName name="ABS" localSheetId="106" hidden="1">#REF!</definedName>
    <definedName name="ABS" localSheetId="95" hidden="1">#REF!</definedName>
    <definedName name="ABS" localSheetId="94" hidden="1">#REF!</definedName>
    <definedName name="ABS" localSheetId="33" hidden="1">#REF!</definedName>
    <definedName name="ABS" localSheetId="34" hidden="1">#REF!</definedName>
    <definedName name="ABS" localSheetId="35" hidden="1">#REF!</definedName>
    <definedName name="ABS" localSheetId="102" hidden="1">#REF!</definedName>
    <definedName name="ABS" localSheetId="4" hidden="1">#REF!</definedName>
    <definedName name="ABS" localSheetId="59" hidden="1">#REF!</definedName>
    <definedName name="ABS" localSheetId="93" hidden="1">#REF!</definedName>
    <definedName name="ABS" localSheetId="62" hidden="1">#REF!</definedName>
    <definedName name="ABS" localSheetId="47" hidden="1">#REF!</definedName>
    <definedName name="ABS" localSheetId="101" hidden="1">#REF!</definedName>
    <definedName name="ABS" localSheetId="40" hidden="1">#REF!</definedName>
    <definedName name="ABS" localSheetId="41" hidden="1">#REF!</definedName>
    <definedName name="ABS" localSheetId="46" hidden="1">#REF!</definedName>
    <definedName name="ABS" localSheetId="60" hidden="1">#REF!</definedName>
    <definedName name="ABS" localSheetId="39" hidden="1">#REF!</definedName>
    <definedName name="ABS" localSheetId="58" hidden="1">#REF!</definedName>
    <definedName name="ABS" localSheetId="44" hidden="1">#REF!</definedName>
    <definedName name="ABS" localSheetId="64" hidden="1">#REF!</definedName>
    <definedName name="ABS" localSheetId="63" hidden="1">#REF!</definedName>
    <definedName name="ABS" localSheetId="31" hidden="1">#REF!</definedName>
    <definedName name="ABS" localSheetId="104" hidden="1">#REF!</definedName>
    <definedName name="ABS" localSheetId="96" hidden="1">#REF!</definedName>
    <definedName name="ABS" localSheetId="61" hidden="1">#REF!</definedName>
    <definedName name="ABS" localSheetId="90" hidden="1">#REF!</definedName>
    <definedName name="ABS" localSheetId="19" hidden="1">#REF!</definedName>
    <definedName name="ABS" localSheetId="57" hidden="1">#REF!</definedName>
    <definedName name="ABS" hidden="1">#REF!</definedName>
    <definedName name="AccessDatabase" hidden="1">"I:\DEPT8900\OEL\FY01\Reports\Budget Comparison\Comparitive Budget TEST.mdb"</definedName>
    <definedName name="acct">'[8]Acct Recon'!$A$3</definedName>
    <definedName name="adj" localSheetId="47" hidden="1">{"MM Visits",#N/A,TRUE,"Moderately Managed";"MM Dollars per Hour",#N/A,TRUE,"Moderately Managed";"MM Hours per Visit",#N/A,TRUE,"Moderately Managed";"MM Dollars per Visit",#N/A,TRUE,"Moderately Managed";"MM Total Visits",#N/A,TRUE,"Moderately Managed";"MM PMPM",#N/A,TRUE,"Moderately Managed"}</definedName>
    <definedName name="adj" localSheetId="54" hidden="1">{"MM Visits",#N/A,TRUE,"Moderately Managed";"MM Dollars per Hour",#N/A,TRUE,"Moderately Managed";"MM Hours per Visit",#N/A,TRUE,"Moderately Managed";"MM Dollars per Visit",#N/A,TRUE,"Moderately Managed";"MM Total Visits",#N/A,TRUE,"Moderately Managed";"MM PMPM",#N/A,TRUE,"Moderately Managed"}</definedName>
    <definedName name="adj" hidden="1">{"MM Visits",#N/A,TRUE,"Moderately Managed";"MM Dollars per Hour",#N/A,TRUE,"Moderately Managed";"MM Hours per Visit",#N/A,TRUE,"Moderately Managed";"MM Dollars per Visit",#N/A,TRUE,"Moderately Managed";"MM Total Visits",#N/A,TRUE,"Moderately Managed";"MM PMPM",#N/A,TRUE,"Moderately Managed"}</definedName>
    <definedName name="adj_lm" localSheetId="47" hidden="1">{"UM Visits",#N/A,FALSE,"Unmanaged";"UM Dollars per Hour",#N/A,FALSE,"Unmanaged";"UM Hours per Visit",#N/A,FALSE,"Unmanaged";"UM Dollars per Visit",#N/A,FALSE,"Unmanaged";"UM Total Visits",#N/A,FALSE,"Unmanaged";"UM PMPM",#N/A,FALSE,"Unmanaged"}</definedName>
    <definedName name="adj_lm" localSheetId="54" hidden="1">{"UM Visits",#N/A,FALSE,"Unmanaged";"UM Dollars per Hour",#N/A,FALSE,"Unmanaged";"UM Hours per Visit",#N/A,FALSE,"Unmanaged";"UM Dollars per Visit",#N/A,FALSE,"Unmanaged";"UM Total Visits",#N/A,FALSE,"Unmanaged";"UM PMPM",#N/A,FALSE,"Unmanaged"}</definedName>
    <definedName name="adj_lm" hidden="1">{"UM Visits",#N/A,FALSE,"Unmanaged";"UM Dollars per Hour",#N/A,FALSE,"Unmanaged";"UM Hours per Visit",#N/A,FALSE,"Unmanaged";"UM Dollars per Visit",#N/A,FALSE,"Unmanaged";"UM Total Visits",#N/A,FALSE,"Unmanaged";"UM PMPM",#N/A,FALSE,"Unmanaged"}</definedName>
    <definedName name="adj_opt" localSheetId="47" hidden="1">{"OM Visits",#N/A,TRUE,"Optimal";"OM Dollars per Hour",#N/A,TRUE,"Optimal";"OM Hours per Visit",#N/A,TRUE,"Optimal";"OM Dollars per Visit",#N/A,TRUE,"Optimal";"OM Total Visits",#N/A,TRUE,"Optimal";"OM PMPM",#N/A,TRUE,"Optimal"}</definedName>
    <definedName name="adj_opt" localSheetId="54" hidden="1">{"OM Visits",#N/A,TRUE,"Optimal";"OM Dollars per Hour",#N/A,TRUE,"Optimal";"OM Hours per Visit",#N/A,TRUE,"Optimal";"OM Dollars per Visit",#N/A,TRUE,"Optimal";"OM Total Visits",#N/A,TRUE,"Optimal";"OM PMPM",#N/A,TRUE,"Optimal"}</definedName>
    <definedName name="adj_opt" hidden="1">{"OM Visits",#N/A,TRUE,"Optimal";"OM Dollars per Hour",#N/A,TRUE,"Optimal";"OM Hours per Visit",#N/A,TRUE,"Optimal";"OM Dollars per Visit",#N/A,TRUE,"Optimal";"OM Total Visits",#N/A,TRUE,"Optimal";"OM PMPM",#N/A,TRUE,"Optimal"}</definedName>
    <definedName name="adsf" localSheetId="106" hidden="1">#REF!</definedName>
    <definedName name="adsf" localSheetId="95" hidden="1">#REF!</definedName>
    <definedName name="adsf" localSheetId="94" hidden="1">#REF!</definedName>
    <definedName name="adsf" localSheetId="33" hidden="1">#REF!</definedName>
    <definedName name="adsf" localSheetId="34" hidden="1">#REF!</definedName>
    <definedName name="adsf" localSheetId="35" hidden="1">#REF!</definedName>
    <definedName name="adsf" localSheetId="102" hidden="1">#REF!</definedName>
    <definedName name="adsf" localSheetId="4" hidden="1">#REF!</definedName>
    <definedName name="adsf" localSheetId="55" hidden="1">#REF!</definedName>
    <definedName name="adsf" localSheetId="59" hidden="1">#REF!</definedName>
    <definedName name="adsf" localSheetId="93" hidden="1">#REF!</definedName>
    <definedName name="adsf" localSheetId="62" hidden="1">#REF!</definedName>
    <definedName name="adsf" localSheetId="47" hidden="1">#REF!</definedName>
    <definedName name="adsf" localSheetId="101" hidden="1">#REF!</definedName>
    <definedName name="adsf" localSheetId="40" hidden="1">#REF!</definedName>
    <definedName name="adsf" localSheetId="41" hidden="1">#REF!</definedName>
    <definedName name="adsf" localSheetId="46" hidden="1">#REF!</definedName>
    <definedName name="adsf" localSheetId="60" hidden="1">#REF!</definedName>
    <definedName name="adsf" localSheetId="39" hidden="1">#REF!</definedName>
    <definedName name="adsf" localSheetId="58" hidden="1">#REF!</definedName>
    <definedName name="adsf" localSheetId="44" hidden="1">#REF!</definedName>
    <definedName name="adsf" localSheetId="64" hidden="1">#REF!</definedName>
    <definedName name="adsf" localSheetId="63" hidden="1">#REF!</definedName>
    <definedName name="adsf" localSheetId="31" hidden="1">#REF!</definedName>
    <definedName name="adsf" localSheetId="104" hidden="1">#REF!</definedName>
    <definedName name="adsf" localSheetId="96" hidden="1">#REF!</definedName>
    <definedName name="adsf" localSheetId="61" hidden="1">#REF!</definedName>
    <definedName name="adsf" localSheetId="90" hidden="1">#REF!</definedName>
    <definedName name="adsf" localSheetId="19" hidden="1">#REF!</definedName>
    <definedName name="adsf" localSheetId="57" hidden="1">#REF!</definedName>
    <definedName name="adsf" hidden="1">#REF!</definedName>
    <definedName name="allocation" localSheetId="47" hidden="1">{#N/A,#N/A,FALSE,"Allocation"}</definedName>
    <definedName name="allocation" localSheetId="54" hidden="1">{#N/A,#N/A,FALSE,"Allocation"}</definedName>
    <definedName name="allocation" hidden="1">{#N/A,#N/A,FALSE,"Allocation"}</definedName>
    <definedName name="AllTables" localSheetId="47">{2}</definedName>
    <definedName name="AllTables" localSheetId="57">{2}</definedName>
    <definedName name="AllTables">{2}</definedName>
    <definedName name="AllTables_1" localSheetId="47">{1}</definedName>
    <definedName name="AllTables_1" localSheetId="57">{1}</definedName>
    <definedName name="AllTables_1">{1}</definedName>
    <definedName name="AllTables_2" localSheetId="47">{1}</definedName>
    <definedName name="AllTables_2" localSheetId="57">{1}</definedName>
    <definedName name="AllTables_2">{1}</definedName>
    <definedName name="AllTables2" localSheetId="47">{2}</definedName>
    <definedName name="AllTables2" localSheetId="57">{2}</definedName>
    <definedName name="AllTables2">{2}</definedName>
    <definedName name="AllTables3" localSheetId="47">{2}</definedName>
    <definedName name="AllTables3" localSheetId="57">{2}</definedName>
    <definedName name="AllTables3">{2}</definedName>
    <definedName name="alphabet" localSheetId="47">{"a","b","c","d","e","f","g","h","i","j","k","l","m","n","o","p","q","r","s","t","u","v","w","x","y","z"}</definedName>
    <definedName name="alphabet" localSheetId="57">{"a","b","c","d","e","f","g","h","i","j","k","l","m","n","o","p","q","r","s","t","u","v","w","x","y","z"}</definedName>
    <definedName name="alphabet">{"a","b","c","d","e","f","g","h","i","j","k","l","m","n","o","p","q","r","s","t","u","v","w","x","y","z"}</definedName>
    <definedName name="anscount" hidden="1">6</definedName>
    <definedName name="as" localSheetId="55" hidden="1">{"ModelPage1",#N/A,TRUE,"Model";"ModelSum_Debt",#N/A,TRUE,"Model"}</definedName>
    <definedName name="as" localSheetId="93" hidden="1">{"ModelPage1",#N/A,TRUE,"Model";"ModelSum_Debt",#N/A,TRUE,"Model"}</definedName>
    <definedName name="as" localSheetId="12" hidden="1">{"ModelPage1",#N/A,TRUE,"Model";"ModelSum_Debt",#N/A,TRUE,"Model"}</definedName>
    <definedName name="as" localSheetId="47" hidden="1">{"ModelPage1",#N/A,TRUE,"Model";"ModelSum_Debt",#N/A,TRUE,"Model"}</definedName>
    <definedName name="as" localSheetId="15" hidden="1">{"ModelPage1",#N/A,TRUE,"Model";"ModelSum_Debt",#N/A,TRUE,"Model"}</definedName>
    <definedName name="as" localSheetId="101" hidden="1">{"ModelPage1",#N/A,TRUE,"Model";"ModelSum_Debt",#N/A,TRUE,"Model"}</definedName>
    <definedName name="as" localSheetId="39" hidden="1">{"ModelPage1",#N/A,TRUE,"Model";"ModelSum_Debt",#N/A,TRUE,"Model"}</definedName>
    <definedName name="as" localSheetId="64" hidden="1">{"ModelPage1",#N/A,TRUE,"Model";"ModelSum_Debt",#N/A,TRUE,"Model"}</definedName>
    <definedName name="as" localSheetId="54" hidden="1">{"ModelPage1",#N/A,TRUE,"Model";"ModelSum_Debt",#N/A,TRUE,"Model"}</definedName>
    <definedName name="as" localSheetId="13" hidden="1">{"ModelPage1",#N/A,TRUE,"Model";"ModelSum_Debt",#N/A,TRUE,"Model"}</definedName>
    <definedName name="as" localSheetId="63" hidden="1">{"ModelPage1",#N/A,TRUE,"Model";"ModelSum_Debt",#N/A,TRUE,"Model"}</definedName>
    <definedName name="as" localSheetId="31" hidden="1">{"ModelPage1",#N/A,TRUE,"Model";"ModelSum_Debt",#N/A,TRUE,"Model"}</definedName>
    <definedName name="as" localSheetId="45" hidden="1">{"ModelPage1",#N/A,TRUE,"Model";"ModelSum_Debt",#N/A,TRUE,"Model"}</definedName>
    <definedName name="as" localSheetId="90" hidden="1">{"ModelPage1",#N/A,TRUE,"Model";"ModelSum_Debt",#N/A,TRUE,"Model"}</definedName>
    <definedName name="as" localSheetId="19" hidden="1">{"ModelPage1",#N/A,TRUE,"Model";"ModelSum_Debt",#N/A,TRUE,"Model"}</definedName>
    <definedName name="as" localSheetId="57" hidden="1">{"ModelPage1",#N/A,TRUE,"Model";"ModelSum_Debt",#N/A,TRUE,"Model"}</definedName>
    <definedName name="as" hidden="1">{"ModelPage1",#N/A,TRUE,"Model";"ModelSum_Debt",#N/A,TRUE,"Model"}</definedName>
    <definedName name="AS2DocOpenMode" hidden="1">"AS2DocumentEdit"</definedName>
    <definedName name="AS2ReportLS" hidden="1">1</definedName>
    <definedName name="AS2SyncStepLS" hidden="1">0</definedName>
    <definedName name="AS2VersionLS" hidden="1">300</definedName>
    <definedName name="asd" localSheetId="55" hidden="1">{"DCF","UPSIDE CASE",FALSE,"Sheet1";"DCF","BASE CASE",FALSE,"Sheet1";"DCF","DOWNSIDE CASE",FALSE,"Sheet1"}</definedName>
    <definedName name="asd" localSheetId="59" hidden="1">{"DCF","UPSIDE CASE",FALSE,"Sheet1";"DCF","BASE CASE",FALSE,"Sheet1";"DCF","DOWNSIDE CASE",FALSE,"Sheet1"}</definedName>
    <definedName name="ASD" localSheetId="93">{"DCF","UPSIDE CASE",FALSE,"Sheet1";"DCF","BASE CASE",FALSE,"Sheet1";"DCF","DOWNSIDE CASE",FALSE,"Sheet1"}</definedName>
    <definedName name="ASD" localSheetId="12">{"DCF","UPSIDE CASE",FALSE,"Sheet1";"DCF","BASE CASE",FALSE,"Sheet1";"DCF","DOWNSIDE CASE",FALSE,"Sheet1"}</definedName>
    <definedName name="asd" localSheetId="62" hidden="1">{"DCF","UPSIDE CASE",FALSE,"Sheet1";"DCF","BASE CASE",FALSE,"Sheet1";"DCF","DOWNSIDE CASE",FALSE,"Sheet1"}</definedName>
    <definedName name="ASD" localSheetId="47">{"DCF","UPSIDE CASE",FALSE,"Sheet1";"DCF","BASE CASE",FALSE,"Sheet1";"DCF","DOWNSIDE CASE",FALSE,"Sheet1"}</definedName>
    <definedName name="ASD" localSheetId="15">{"DCF","UPSIDE CASE",FALSE,"Sheet1";"DCF","BASE CASE",FALSE,"Sheet1";"DCF","DOWNSIDE CASE",FALSE,"Sheet1"}</definedName>
    <definedName name="ASD" localSheetId="101">{"DCF","UPSIDE CASE",FALSE,"Sheet1";"DCF","BASE CASE",FALSE,"Sheet1";"DCF","DOWNSIDE CASE",FALSE,"Sheet1"}</definedName>
    <definedName name="asd" localSheetId="60" hidden="1">{"DCF","UPSIDE CASE",FALSE,"Sheet1";"DCF","BASE CASE",FALSE,"Sheet1";"DCF","DOWNSIDE CASE",FALSE,"Sheet1"}</definedName>
    <definedName name="ASD" localSheetId="39">{"DCF","UPSIDE CASE",FALSE,"Sheet1";"DCF","BASE CASE",FALSE,"Sheet1";"DCF","DOWNSIDE CASE",FALSE,"Sheet1"}</definedName>
    <definedName name="asd" localSheetId="58" hidden="1">{"DCF","UPSIDE CASE",FALSE,"Sheet1";"DCF","BASE CASE",FALSE,"Sheet1";"DCF","DOWNSIDE CASE",FALSE,"Sheet1"}</definedName>
    <definedName name="asd" localSheetId="64" hidden="1">{"DCF","UPSIDE CASE",FALSE,"Sheet1";"DCF","BASE CASE",FALSE,"Sheet1";"DCF","DOWNSIDE CASE",FALSE,"Sheet1"}</definedName>
    <definedName name="ASD" localSheetId="54">{"DCF","UPSIDE CASE",FALSE,"Sheet1";"DCF","BASE CASE",FALSE,"Sheet1";"DCF","DOWNSIDE CASE",FALSE,"Sheet1"}</definedName>
    <definedName name="ASD" localSheetId="13">{"DCF","UPSIDE CASE",FALSE,"Sheet1";"DCF","BASE CASE",FALSE,"Sheet1";"DCF","DOWNSIDE CASE",FALSE,"Sheet1"}</definedName>
    <definedName name="ASD" localSheetId="63">{"DCF","UPSIDE CASE",FALSE,"Sheet1";"DCF","BASE CASE",FALSE,"Sheet1";"DCF","DOWNSIDE CASE",FALSE,"Sheet1"}</definedName>
    <definedName name="ASD" localSheetId="31">{"DCF","UPSIDE CASE",FALSE,"Sheet1";"DCF","BASE CASE",FALSE,"Sheet1";"DCF","DOWNSIDE CASE",FALSE,"Sheet1"}</definedName>
    <definedName name="ASD" localSheetId="45">{"DCF","UPSIDE CASE",FALSE,"Sheet1";"DCF","BASE CASE",FALSE,"Sheet1";"DCF","DOWNSIDE CASE",FALSE,"Sheet1"}</definedName>
    <definedName name="ASD" localSheetId="90">{"DCF","UPSIDE CASE",FALSE,"Sheet1";"DCF","BASE CASE",FALSE,"Sheet1";"DCF","DOWNSIDE CASE",FALSE,"Sheet1"}</definedName>
    <definedName name="ASD" localSheetId="19">{"DCF","UPSIDE CASE",FALSE,"Sheet1";"DCF","BASE CASE",FALSE,"Sheet1";"DCF","DOWNSIDE CASE",FALSE,"Sheet1"}</definedName>
    <definedName name="ASD" localSheetId="57">{"DCF","UPSIDE CASE",FALSE,"Sheet1";"DCF","BASE CASE",FALSE,"Sheet1";"DCF","DOWNSIDE CASE",FALSE,"Sheet1"}</definedName>
    <definedName name="ASD">{"DCF","UPSIDE CASE",FALSE,"Sheet1";"DCF","BASE CASE",FALSE,"Sheet1";"DCF","DOWNSIDE CASE",FALSE,"Sheet1"}</definedName>
    <definedName name="asdf" localSheetId="47">{15}</definedName>
    <definedName name="asdf" localSheetId="57">{15}</definedName>
    <definedName name="asdf">{15}</definedName>
    <definedName name="asdfasdfdddd" localSheetId="55" hidden="1">{"DCF","UPSIDE CASE",FALSE,"Sheet1";"DCF","BASE CASE",FALSE,"Sheet1";"DCF","DOWNSIDE CASE",FALSE,"Sheet1"}</definedName>
    <definedName name="asdfasdfdddd" localSheetId="59" hidden="1">{"DCF","UPSIDE CASE",FALSE,"Sheet1";"DCF","BASE CASE",FALSE,"Sheet1";"DCF","DOWNSIDE CASE",FALSE,"Sheet1"}</definedName>
    <definedName name="asdfasdfdddd" localSheetId="93" hidden="1">{"DCF","UPSIDE CASE",FALSE,"Sheet1";"DCF","BASE CASE",FALSE,"Sheet1";"DCF","DOWNSIDE CASE",FALSE,"Sheet1"}</definedName>
    <definedName name="asdfasdfdddd" localSheetId="12" hidden="1">{"DCF","UPSIDE CASE",FALSE,"Sheet1";"DCF","BASE CASE",FALSE,"Sheet1";"DCF","DOWNSIDE CASE",FALSE,"Sheet1"}</definedName>
    <definedName name="asdfasdfdddd" localSheetId="62" hidden="1">{"DCF","UPSIDE CASE",FALSE,"Sheet1";"DCF","BASE CASE",FALSE,"Sheet1";"DCF","DOWNSIDE CASE",FALSE,"Sheet1"}</definedName>
    <definedName name="asdfasdfdddd" localSheetId="47" hidden="1">{"DCF","UPSIDE CASE",FALSE,"Sheet1";"DCF","BASE CASE",FALSE,"Sheet1";"DCF","DOWNSIDE CASE",FALSE,"Sheet1"}</definedName>
    <definedName name="asdfasdfdddd" localSheetId="15" hidden="1">{"DCF","UPSIDE CASE",FALSE,"Sheet1";"DCF","BASE CASE",FALSE,"Sheet1";"DCF","DOWNSIDE CASE",FALSE,"Sheet1"}</definedName>
    <definedName name="asdfasdfdddd" localSheetId="101" hidden="1">{"DCF","UPSIDE CASE",FALSE,"Sheet1";"DCF","BASE CASE",FALSE,"Sheet1";"DCF","DOWNSIDE CASE",FALSE,"Sheet1"}</definedName>
    <definedName name="asdfasdfdddd" localSheetId="60" hidden="1">{"DCF","UPSIDE CASE",FALSE,"Sheet1";"DCF","BASE CASE",FALSE,"Sheet1";"DCF","DOWNSIDE CASE",FALSE,"Sheet1"}</definedName>
    <definedName name="asdfasdfdddd" localSheetId="39" hidden="1">{"DCF","UPSIDE CASE",FALSE,"Sheet1";"DCF","BASE CASE",FALSE,"Sheet1";"DCF","DOWNSIDE CASE",FALSE,"Sheet1"}</definedName>
    <definedName name="asdfasdfdddd" localSheetId="58" hidden="1">{"DCF","UPSIDE CASE",FALSE,"Sheet1";"DCF","BASE CASE",FALSE,"Sheet1";"DCF","DOWNSIDE CASE",FALSE,"Sheet1"}</definedName>
    <definedName name="asdfasdfdddd" localSheetId="64" hidden="1">{"DCF","UPSIDE CASE",FALSE,"Sheet1";"DCF","BASE CASE",FALSE,"Sheet1";"DCF","DOWNSIDE CASE",FALSE,"Sheet1"}</definedName>
    <definedName name="asdfasdfdddd" localSheetId="54" hidden="1">{"DCF","UPSIDE CASE",FALSE,"Sheet1";"DCF","BASE CASE",FALSE,"Sheet1";"DCF","DOWNSIDE CASE",FALSE,"Sheet1"}</definedName>
    <definedName name="asdfasdfdddd" localSheetId="13" hidden="1">{"DCF","UPSIDE CASE",FALSE,"Sheet1";"DCF","BASE CASE",FALSE,"Sheet1";"DCF","DOWNSIDE CASE",FALSE,"Sheet1"}</definedName>
    <definedName name="asdfasdfdddd" localSheetId="63" hidden="1">{"DCF","UPSIDE CASE",FALSE,"Sheet1";"DCF","BASE CASE",FALSE,"Sheet1";"DCF","DOWNSIDE CASE",FALSE,"Sheet1"}</definedName>
    <definedName name="asdfasdfdddd" localSheetId="31" hidden="1">{"DCF","UPSIDE CASE",FALSE,"Sheet1";"DCF","BASE CASE",FALSE,"Sheet1";"DCF","DOWNSIDE CASE",FALSE,"Sheet1"}</definedName>
    <definedName name="asdfasdfdddd" localSheetId="61" hidden="1">{"DCF","UPSIDE CASE",FALSE,"Sheet1";"DCF","BASE CASE",FALSE,"Sheet1";"DCF","DOWNSIDE CASE",FALSE,"Sheet1"}</definedName>
    <definedName name="asdfasdfdddd" localSheetId="45" hidden="1">{"DCF","UPSIDE CASE",FALSE,"Sheet1";"DCF","BASE CASE",FALSE,"Sheet1";"DCF","DOWNSIDE CASE",FALSE,"Sheet1"}</definedName>
    <definedName name="asdfasdfdddd" localSheetId="90" hidden="1">{"DCF","UPSIDE CASE",FALSE,"Sheet1";"DCF","BASE CASE",FALSE,"Sheet1";"DCF","DOWNSIDE CASE",FALSE,"Sheet1"}</definedName>
    <definedName name="asdfasdfdddd" localSheetId="19" hidden="1">{"DCF","UPSIDE CASE",FALSE,"Sheet1";"DCF","BASE CASE",FALSE,"Sheet1";"DCF","DOWNSIDE CASE",FALSE,"Sheet1"}</definedName>
    <definedName name="asdfasdfdddd" localSheetId="57" hidden="1">{"DCF","UPSIDE CASE",FALSE,"Sheet1";"DCF","BASE CASE",FALSE,"Sheet1";"DCF","DOWNSIDE CASE",FALSE,"Sheet1"}</definedName>
    <definedName name="asdfasdfdddd" hidden="1">{"DCF","UPSIDE CASE",FALSE,"Sheet1";"DCF","BASE CASE",FALSE,"Sheet1";"DCF","DOWNSIDE CASE",FALSE,"Sheet1"}</definedName>
    <definedName name="asspts" localSheetId="47" hidden="1">{#N/A,#N/A,FALSE,"Assumptions"}</definedName>
    <definedName name="asspts" localSheetId="54" hidden="1">{#N/A,#N/A,FALSE,"Assumptions"}</definedName>
    <definedName name="asspts" hidden="1">{#N/A,#N/A,FALSE,"Assumptions"}</definedName>
    <definedName name="AUSTRALIA_NET">110</definedName>
    <definedName name="AUSTRIA_NET">107</definedName>
    <definedName name="autre" localSheetId="47">{17}</definedName>
    <definedName name="autre" localSheetId="57">{17}</definedName>
    <definedName name="autre">{17}</definedName>
    <definedName name="avegmultiple" localSheetId="106" hidden="1">#REF!</definedName>
    <definedName name="avegmultiple" localSheetId="95" hidden="1">#REF!</definedName>
    <definedName name="avegmultiple" localSheetId="94" hidden="1">#REF!</definedName>
    <definedName name="avegmultiple" localSheetId="33" hidden="1">#REF!</definedName>
    <definedName name="avegmultiple" localSheetId="34" hidden="1">#REF!</definedName>
    <definedName name="avegmultiple" localSheetId="35" hidden="1">#REF!</definedName>
    <definedName name="avegmultiple" localSheetId="102" hidden="1">#REF!</definedName>
    <definedName name="avegmultiple" localSheetId="4" hidden="1">#REF!</definedName>
    <definedName name="avegmultiple" localSheetId="55" hidden="1">#REF!</definedName>
    <definedName name="avegmultiple" localSheetId="59" hidden="1">#REF!</definedName>
    <definedName name="avegmultiple" localSheetId="93" hidden="1">#REF!</definedName>
    <definedName name="avegmultiple" localSheetId="62" hidden="1">#REF!</definedName>
    <definedName name="avegmultiple" localSheetId="47" hidden="1">#REF!</definedName>
    <definedName name="avegmultiple" localSheetId="101" hidden="1">#REF!</definedName>
    <definedName name="avegmultiple" localSheetId="40" hidden="1">#REF!</definedName>
    <definedName name="avegmultiple" localSheetId="41" hidden="1">#REF!</definedName>
    <definedName name="avegmultiple" localSheetId="46" hidden="1">#REF!</definedName>
    <definedName name="avegmultiple" localSheetId="60" hidden="1">#REF!</definedName>
    <definedName name="avegmultiple" localSheetId="39" hidden="1">#REF!</definedName>
    <definedName name="avegmultiple" localSheetId="58" hidden="1">#REF!</definedName>
    <definedName name="avegmultiple" localSheetId="44" hidden="1">#REF!</definedName>
    <definedName name="avegmultiple" localSheetId="64" hidden="1">#REF!</definedName>
    <definedName name="avegmultiple" localSheetId="63" hidden="1">#REF!</definedName>
    <definedName name="avegmultiple" localSheetId="31" hidden="1">#REF!</definedName>
    <definedName name="avegmultiple" localSheetId="104" hidden="1">#REF!</definedName>
    <definedName name="avegmultiple" localSheetId="96" hidden="1">#REF!</definedName>
    <definedName name="avegmultiple" localSheetId="61" hidden="1">#REF!</definedName>
    <definedName name="avegmultiple" localSheetId="90" hidden="1">#REF!</definedName>
    <definedName name="avegmultiple" localSheetId="19" hidden="1">#REF!</definedName>
    <definedName name="avegmultiple" localSheetId="57" hidden="1">#REF!</definedName>
    <definedName name="avegmultiple" hidden="1">#REF!</definedName>
    <definedName name="B" localSheetId="47" hidden="1">{#N/A,#N/A,FALSE,"Synth";"parc_DC",#N/A,FALSE,"parc";#N/A,#N/A,FALSE,"CA prest";#N/A,#N/A,FALSE,"Ratio CA";#N/A,#N/A,FALSE,"Trafic";"CR_GSM_acté_DC",#N/A,FALSE,"CR GSM_acté";#N/A,#N/A,FALSE,"Abonnés";#N/A,#N/A,FALSE,"Créances";#N/A,#N/A,FALSE,"Effectifs"}</definedName>
    <definedName name="B" localSheetId="54" hidden="1">{#N/A,#N/A,FALSE,"Synth";"parc_DC",#N/A,FALSE,"parc";#N/A,#N/A,FALSE,"CA prest";#N/A,#N/A,FALSE,"Ratio CA";#N/A,#N/A,FALSE,"Trafic";"CR_GSM_acté_DC",#N/A,FALSE,"CR GSM_acté";#N/A,#N/A,FALSE,"Abonnés";#N/A,#N/A,FALSE,"Créances";#N/A,#N/A,FALSE,"Effectifs"}</definedName>
    <definedName name="B" hidden="1">{#N/A,#N/A,FALSE,"Synth";"parc_DC",#N/A,FALSE,"parc";#N/A,#N/A,FALSE,"CA prest";#N/A,#N/A,FALSE,"Ratio CA";#N/A,#N/A,FALSE,"Trafic";"CR_GSM_acté_DC",#N/A,FALSE,"CR GSM_acté";#N/A,#N/A,FALSE,"Abonnés";#N/A,#N/A,FALSE,"Créances";#N/A,#N/A,FALSE,"Effectifs"}</definedName>
    <definedName name="bar" localSheetId="47" hidden="1">{"OM Visits",#N/A,TRUE,"Optimal";"OM Dollars per Hour",#N/A,TRUE,"Optimal";"OM Hours per Visit",#N/A,TRUE,"Optimal";"OM Dollars per Visit",#N/A,TRUE,"Optimal";"OM Total Visits",#N/A,TRUE,"Optimal";"OM PMPM",#N/A,TRUE,"Optimal"}</definedName>
    <definedName name="bar" localSheetId="54" hidden="1">{"OM Visits",#N/A,TRUE,"Optimal";"OM Dollars per Hour",#N/A,TRUE,"Optimal";"OM Hours per Visit",#N/A,TRUE,"Optimal";"OM Dollars per Visit",#N/A,TRUE,"Optimal";"OM Total Visits",#N/A,TRUE,"Optimal";"OM PMPM",#N/A,TRUE,"Optimal"}</definedName>
    <definedName name="bar" hidden="1">{"OM Visits",#N/A,TRUE,"Optimal";"OM Dollars per Hour",#N/A,TRUE,"Optimal";"OM Hours per Visit",#N/A,TRUE,"Optimal";"OM Dollars per Visit",#N/A,TRUE,"Optimal";"OM Total Visits",#N/A,TRUE,"Optimal";"OM PMPM",#N/A,TRUE,"Optimal"}</definedName>
    <definedName name="BegDate">'[8]Acct Recon'!$E$2</definedName>
    <definedName name="bei" localSheetId="55" hidden="1">{#N/A,#N/A,FALSE,"softdraw";#N/A,#N/A,FALSE,"linereclass";"northpint loan",#N/A,FALSE,"LOAN"}</definedName>
    <definedName name="bei" localSheetId="93" hidden="1">{#N/A,#N/A,FALSE,"softdraw";#N/A,#N/A,FALSE,"linereclass";"northpint loan",#N/A,FALSE,"LOAN"}</definedName>
    <definedName name="bei" localSheetId="12" hidden="1">{#N/A,#N/A,FALSE,"softdraw";#N/A,#N/A,FALSE,"linereclass";"northpint loan",#N/A,FALSE,"LOAN"}</definedName>
    <definedName name="bei" localSheetId="47" hidden="1">{#N/A,#N/A,FALSE,"softdraw";#N/A,#N/A,FALSE,"linereclass";"northpint loan",#N/A,FALSE,"LOAN"}</definedName>
    <definedName name="bei" localSheetId="15" hidden="1">{#N/A,#N/A,FALSE,"softdraw";#N/A,#N/A,FALSE,"linereclass";"northpint loan",#N/A,FALSE,"LOAN"}</definedName>
    <definedName name="bei" localSheetId="101" hidden="1">{#N/A,#N/A,FALSE,"softdraw";#N/A,#N/A,FALSE,"linereclass";"northpint loan",#N/A,FALSE,"LOAN"}</definedName>
    <definedName name="bei" localSheetId="39" hidden="1">{#N/A,#N/A,FALSE,"softdraw";#N/A,#N/A,FALSE,"linereclass";"northpint loan",#N/A,FALSE,"LOAN"}</definedName>
    <definedName name="bei" localSheetId="64" hidden="1">{#N/A,#N/A,FALSE,"softdraw";#N/A,#N/A,FALSE,"linereclass";"northpint loan",#N/A,FALSE,"LOAN"}</definedName>
    <definedName name="bei" localSheetId="54" hidden="1">{#N/A,#N/A,FALSE,"softdraw";#N/A,#N/A,FALSE,"linereclass";"northpint loan",#N/A,FALSE,"LOAN"}</definedName>
    <definedName name="bei" localSheetId="13" hidden="1">{#N/A,#N/A,FALSE,"softdraw";#N/A,#N/A,FALSE,"linereclass";"northpint loan",#N/A,FALSE,"LOAN"}</definedName>
    <definedName name="bei" localSheetId="63" hidden="1">{#N/A,#N/A,FALSE,"softdraw";#N/A,#N/A,FALSE,"linereclass";"northpint loan",#N/A,FALSE,"LOAN"}</definedName>
    <definedName name="bei" localSheetId="31" hidden="1">{#N/A,#N/A,FALSE,"softdraw";#N/A,#N/A,FALSE,"linereclass";"northpint loan",#N/A,FALSE,"LOAN"}</definedName>
    <definedName name="bei" localSheetId="45" hidden="1">{#N/A,#N/A,FALSE,"softdraw";#N/A,#N/A,FALSE,"linereclass";"northpint loan",#N/A,FALSE,"LOAN"}</definedName>
    <definedName name="bei" localSheetId="90" hidden="1">{#N/A,#N/A,FALSE,"softdraw";#N/A,#N/A,FALSE,"linereclass";"northpint loan",#N/A,FALSE,"LOAN"}</definedName>
    <definedName name="bei" localSheetId="19" hidden="1">{#N/A,#N/A,FALSE,"softdraw";#N/A,#N/A,FALSE,"linereclass";"northpint loan",#N/A,FALSE,"LOAN"}</definedName>
    <definedName name="bei" localSheetId="57" hidden="1">{#N/A,#N/A,FALSE,"softdraw";#N/A,#N/A,FALSE,"linereclass";"northpint loan",#N/A,FALSE,"LOAN"}</definedName>
    <definedName name="bei" hidden="1">{#N/A,#N/A,FALSE,"softdraw";#N/A,#N/A,FALSE,"linereclass";"northpint loan",#N/A,FALSE,"LOAN"}</definedName>
    <definedName name="BEL_NET">111</definedName>
    <definedName name="Benefits">350</definedName>
    <definedName name="BG_Ins" hidden="1">4</definedName>
    <definedName name="BG_Mod" hidden="1">6</definedName>
    <definedName name="blah" localSheetId="47" hidden="1">{"MM Visits",#N/A,TRUE,"Moderately Managed";"MM Dollars per Hour",#N/A,TRUE,"Moderately Managed";"MM Hours per Visit",#N/A,TRUE,"Moderately Managed";"MM Dollars per Visit",#N/A,TRUE,"Moderately Managed";"MM Total Visits",#N/A,TRUE,"Moderately Managed";"MM PMPM",#N/A,TRUE,"Moderately Managed"}</definedName>
    <definedName name="blah" localSheetId="54" hidden="1">{"MM Visits",#N/A,TRUE,"Moderately Managed";"MM Dollars per Hour",#N/A,TRUE,"Moderately Managed";"MM Hours per Visit",#N/A,TRUE,"Moderately Managed";"MM Dollars per Visit",#N/A,TRUE,"Moderately Managed";"MM Total Visits",#N/A,TRUE,"Moderately Managed";"MM PMPM",#N/A,TRUE,"Moderately Managed"}</definedName>
    <definedName name="blah" hidden="1">{"MM Visits",#N/A,TRUE,"Moderately Managed";"MM Dollars per Hour",#N/A,TRUE,"Moderately Managed";"MM Hours per Visit",#N/A,TRUE,"Moderately Managed";"MM Dollars per Visit",#N/A,TRUE,"Moderately Managed";"MM Total Visits",#N/A,TRUE,"Moderately Managed";"MM PMPM",#N/A,TRUE,"Moderately Managed"}</definedName>
    <definedName name="BLPH1" localSheetId="106" hidden="1">#REF!</definedName>
    <definedName name="BLPH1" localSheetId="95" hidden="1">#REF!</definedName>
    <definedName name="BLPH1" localSheetId="94" hidden="1">#REF!</definedName>
    <definedName name="BLPH1" localSheetId="33" hidden="1">#REF!</definedName>
    <definedName name="BLPH1" localSheetId="34" hidden="1">#REF!</definedName>
    <definedName name="BLPH1" localSheetId="35" hidden="1">#REF!</definedName>
    <definedName name="BLPH1" localSheetId="102" hidden="1">#REF!</definedName>
    <definedName name="BLPH1" localSheetId="4" hidden="1">#REF!</definedName>
    <definedName name="BLPH1" localSheetId="59" hidden="1">#REF!</definedName>
    <definedName name="BLPH1" localSheetId="93" hidden="1">#REF!</definedName>
    <definedName name="BLPH1" localSheetId="47" hidden="1">#REF!</definedName>
    <definedName name="BLPH1" localSheetId="101" hidden="1">#REF!</definedName>
    <definedName name="BLPH1" localSheetId="40" hidden="1">#REF!</definedName>
    <definedName name="BLPH1" localSheetId="41" hidden="1">#REF!</definedName>
    <definedName name="BLPH1" localSheetId="46" hidden="1">#REF!</definedName>
    <definedName name="BLPH1" localSheetId="60" hidden="1">#REF!</definedName>
    <definedName name="BLPH1" localSheetId="39" hidden="1">#REF!</definedName>
    <definedName name="BLPH1" localSheetId="44" hidden="1">#REF!</definedName>
    <definedName name="BLPH1" localSheetId="63" hidden="1">#REF!</definedName>
    <definedName name="BLPH1" localSheetId="31" hidden="1">#REF!</definedName>
    <definedName name="BLPH1" localSheetId="104" hidden="1">#REF!</definedName>
    <definedName name="BLPH1" localSheetId="96" hidden="1">#REF!</definedName>
    <definedName name="BLPH1" localSheetId="61" hidden="1">#REF!</definedName>
    <definedName name="BLPH1" localSheetId="90" hidden="1">#REF!</definedName>
    <definedName name="BLPH1" localSheetId="19" hidden="1">#REF!</definedName>
    <definedName name="BLPH1" localSheetId="57" hidden="1">#REF!</definedName>
    <definedName name="BLPH1" hidden="1">#REF!</definedName>
    <definedName name="BLPH10" localSheetId="106" hidden="1">#REF!</definedName>
    <definedName name="BLPH10" localSheetId="95" hidden="1">#REF!</definedName>
    <definedName name="BLPH10" localSheetId="94" hidden="1">#REF!</definedName>
    <definedName name="BLPH10" localSheetId="33" hidden="1">#REF!</definedName>
    <definedName name="BLPH10" localSheetId="34" hidden="1">#REF!</definedName>
    <definedName name="BLPH10" localSheetId="35" hidden="1">#REF!</definedName>
    <definedName name="BLPH10" localSheetId="102" hidden="1">#REF!</definedName>
    <definedName name="BLPH10" localSheetId="4" hidden="1">#REF!</definedName>
    <definedName name="BLPH10" localSheetId="59" hidden="1">#REF!</definedName>
    <definedName name="BLPH10" localSheetId="93" hidden="1">#REF!</definedName>
    <definedName name="BLPH10" localSheetId="47" hidden="1">#REF!</definedName>
    <definedName name="BLPH10" localSheetId="101" hidden="1">#REF!</definedName>
    <definedName name="BLPH10" localSheetId="40" hidden="1">#REF!</definedName>
    <definedName name="BLPH10" localSheetId="41" hidden="1">#REF!</definedName>
    <definedName name="BLPH10" localSheetId="46" hidden="1">#REF!</definedName>
    <definedName name="BLPH10" localSheetId="60" hidden="1">#REF!</definedName>
    <definedName name="BLPH10" localSheetId="39" hidden="1">#REF!</definedName>
    <definedName name="BLPH10" localSheetId="44" hidden="1">#REF!</definedName>
    <definedName name="BLPH10" localSheetId="63" hidden="1">#REF!</definedName>
    <definedName name="BLPH10" localSheetId="31" hidden="1">#REF!</definedName>
    <definedName name="BLPH10" localSheetId="104" hidden="1">#REF!</definedName>
    <definedName name="BLPH10" localSheetId="96" hidden="1">#REF!</definedName>
    <definedName name="BLPH10" localSheetId="61" hidden="1">#REF!</definedName>
    <definedName name="BLPH10" localSheetId="90" hidden="1">#REF!</definedName>
    <definedName name="BLPH10" localSheetId="19" hidden="1">#REF!</definedName>
    <definedName name="BLPH10" localSheetId="57" hidden="1">#REF!</definedName>
    <definedName name="BLPH10" hidden="1">#REF!</definedName>
    <definedName name="BLPH11" localSheetId="106" hidden="1">#REF!</definedName>
    <definedName name="BLPH11" localSheetId="95" hidden="1">#REF!</definedName>
    <definedName name="BLPH11" localSheetId="94" hidden="1">#REF!</definedName>
    <definedName name="BLPH11" localSheetId="33" hidden="1">#REF!</definedName>
    <definedName name="BLPH11" localSheetId="34" hidden="1">#REF!</definedName>
    <definedName name="BLPH11" localSheetId="35" hidden="1">#REF!</definedName>
    <definedName name="BLPH11" localSheetId="102" hidden="1">#REF!</definedName>
    <definedName name="BLPH11" localSheetId="4" hidden="1">#REF!</definedName>
    <definedName name="BLPH11" localSheetId="59" hidden="1">#REF!</definedName>
    <definedName name="BLPH11" localSheetId="93" hidden="1">#REF!</definedName>
    <definedName name="BLPH11" localSheetId="47" hidden="1">#REF!</definedName>
    <definedName name="BLPH11" localSheetId="101" hidden="1">#REF!</definedName>
    <definedName name="BLPH11" localSheetId="40" hidden="1">#REF!</definedName>
    <definedName name="BLPH11" localSheetId="41" hidden="1">#REF!</definedName>
    <definedName name="BLPH11" localSheetId="46" hidden="1">#REF!</definedName>
    <definedName name="BLPH11" localSheetId="60" hidden="1">#REF!</definedName>
    <definedName name="BLPH11" localSheetId="39" hidden="1">#REF!</definedName>
    <definedName name="BLPH11" localSheetId="44" hidden="1">#REF!</definedName>
    <definedName name="BLPH11" localSheetId="63" hidden="1">#REF!</definedName>
    <definedName name="BLPH11" localSheetId="31" hidden="1">#REF!</definedName>
    <definedName name="BLPH11" localSheetId="104" hidden="1">#REF!</definedName>
    <definedName name="BLPH11" localSheetId="96" hidden="1">#REF!</definedName>
    <definedName name="BLPH11" localSheetId="61" hidden="1">#REF!</definedName>
    <definedName name="BLPH11" localSheetId="90" hidden="1">#REF!</definedName>
    <definedName name="BLPH11" localSheetId="19" hidden="1">#REF!</definedName>
    <definedName name="BLPH11" localSheetId="57" hidden="1">#REF!</definedName>
    <definedName name="BLPH11" hidden="1">#REF!</definedName>
    <definedName name="BLPH12" localSheetId="106" hidden="1">#REF!</definedName>
    <definedName name="BLPH12" localSheetId="95" hidden="1">#REF!</definedName>
    <definedName name="BLPH12" localSheetId="94" hidden="1">#REF!</definedName>
    <definedName name="BLPH12" localSheetId="33" hidden="1">#REF!</definedName>
    <definedName name="BLPH12" localSheetId="34" hidden="1">#REF!</definedName>
    <definedName name="BLPH12" localSheetId="35" hidden="1">#REF!</definedName>
    <definedName name="BLPH12" localSheetId="102" hidden="1">#REF!</definedName>
    <definedName name="BLPH12" localSheetId="4" hidden="1">#REF!</definedName>
    <definedName name="BLPH12" localSheetId="59" hidden="1">#REF!</definedName>
    <definedName name="BLPH12" localSheetId="93" hidden="1">#REF!</definedName>
    <definedName name="BLPH12" localSheetId="47" hidden="1">#REF!</definedName>
    <definedName name="BLPH12" localSheetId="101" hidden="1">#REF!</definedName>
    <definedName name="BLPH12" localSheetId="40" hidden="1">#REF!</definedName>
    <definedName name="BLPH12" localSheetId="41" hidden="1">#REF!</definedName>
    <definedName name="BLPH12" localSheetId="46" hidden="1">#REF!</definedName>
    <definedName name="BLPH12" localSheetId="60" hidden="1">#REF!</definedName>
    <definedName name="BLPH12" localSheetId="39" hidden="1">#REF!</definedName>
    <definedName name="BLPH12" localSheetId="44" hidden="1">#REF!</definedName>
    <definedName name="BLPH12" localSheetId="63" hidden="1">#REF!</definedName>
    <definedName name="BLPH12" localSheetId="31" hidden="1">#REF!</definedName>
    <definedName name="BLPH12" localSheetId="104" hidden="1">#REF!</definedName>
    <definedName name="BLPH12" localSheetId="96" hidden="1">#REF!</definedName>
    <definedName name="BLPH12" localSheetId="61" hidden="1">#REF!</definedName>
    <definedName name="BLPH12" localSheetId="90" hidden="1">#REF!</definedName>
    <definedName name="BLPH12" localSheetId="19" hidden="1">#REF!</definedName>
    <definedName name="BLPH12" localSheetId="57" hidden="1">#REF!</definedName>
    <definedName name="BLPH12" hidden="1">#REF!</definedName>
    <definedName name="BLPH13" localSheetId="106" hidden="1">#REF!</definedName>
    <definedName name="BLPH13" localSheetId="95" hidden="1">#REF!</definedName>
    <definedName name="BLPH13" localSheetId="94" hidden="1">#REF!</definedName>
    <definedName name="BLPH13" localSheetId="33" hidden="1">#REF!</definedName>
    <definedName name="BLPH13" localSheetId="34" hidden="1">#REF!</definedName>
    <definedName name="BLPH13" localSheetId="35" hidden="1">#REF!</definedName>
    <definedName name="BLPH13" localSheetId="102" hidden="1">#REF!</definedName>
    <definedName name="BLPH13" localSheetId="4" hidden="1">#REF!</definedName>
    <definedName name="BLPH13" localSheetId="59" hidden="1">#REF!</definedName>
    <definedName name="BLPH13" localSheetId="93" hidden="1">#REF!</definedName>
    <definedName name="BLPH13" localSheetId="47" hidden="1">#REF!</definedName>
    <definedName name="BLPH13" localSheetId="101" hidden="1">#REF!</definedName>
    <definedName name="BLPH13" localSheetId="40" hidden="1">#REF!</definedName>
    <definedName name="BLPH13" localSheetId="41" hidden="1">#REF!</definedName>
    <definedName name="BLPH13" localSheetId="46" hidden="1">#REF!</definedName>
    <definedName name="BLPH13" localSheetId="60" hidden="1">#REF!</definedName>
    <definedName name="BLPH13" localSheetId="39" hidden="1">#REF!</definedName>
    <definedName name="BLPH13" localSheetId="44" hidden="1">#REF!</definedName>
    <definedName name="BLPH13" localSheetId="63" hidden="1">#REF!</definedName>
    <definedName name="BLPH13" localSheetId="31" hidden="1">#REF!</definedName>
    <definedName name="BLPH13" localSheetId="104" hidden="1">#REF!</definedName>
    <definedName name="BLPH13" localSheetId="96" hidden="1">#REF!</definedName>
    <definedName name="BLPH13" localSheetId="61" hidden="1">#REF!</definedName>
    <definedName name="BLPH13" localSheetId="90" hidden="1">#REF!</definedName>
    <definedName name="BLPH13" localSheetId="19" hidden="1">#REF!</definedName>
    <definedName name="BLPH13" localSheetId="57" hidden="1">#REF!</definedName>
    <definedName name="BLPH13" hidden="1">#REF!</definedName>
    <definedName name="BLPH14" localSheetId="106" hidden="1">#REF!</definedName>
    <definedName name="BLPH14" localSheetId="95" hidden="1">#REF!</definedName>
    <definedName name="BLPH14" localSheetId="94" hidden="1">#REF!</definedName>
    <definedName name="BLPH14" localSheetId="33" hidden="1">#REF!</definedName>
    <definedName name="BLPH14" localSheetId="34" hidden="1">#REF!</definedName>
    <definedName name="BLPH14" localSheetId="35" hidden="1">#REF!</definedName>
    <definedName name="BLPH14" localSheetId="102" hidden="1">#REF!</definedName>
    <definedName name="BLPH14" localSheetId="4" hidden="1">#REF!</definedName>
    <definedName name="BLPH14" localSheetId="59" hidden="1">#REF!</definedName>
    <definedName name="BLPH14" localSheetId="93" hidden="1">#REF!</definedName>
    <definedName name="BLPH14" localSheetId="47" hidden="1">#REF!</definedName>
    <definedName name="BLPH14" localSheetId="101" hidden="1">#REF!</definedName>
    <definedName name="BLPH14" localSheetId="40" hidden="1">#REF!</definedName>
    <definedName name="BLPH14" localSheetId="41" hidden="1">#REF!</definedName>
    <definedName name="BLPH14" localSheetId="46" hidden="1">#REF!</definedName>
    <definedName name="BLPH14" localSheetId="60" hidden="1">#REF!</definedName>
    <definedName name="BLPH14" localSheetId="39" hidden="1">#REF!</definedName>
    <definedName name="BLPH14" localSheetId="44" hidden="1">#REF!</definedName>
    <definedName name="BLPH14" localSheetId="63" hidden="1">#REF!</definedName>
    <definedName name="BLPH14" localSheetId="31" hidden="1">#REF!</definedName>
    <definedName name="BLPH14" localSheetId="104" hidden="1">#REF!</definedName>
    <definedName name="BLPH14" localSheetId="96" hidden="1">#REF!</definedName>
    <definedName name="BLPH14" localSheetId="61" hidden="1">#REF!</definedName>
    <definedName name="BLPH14" localSheetId="90" hidden="1">#REF!</definedName>
    <definedName name="BLPH14" localSheetId="19" hidden="1">#REF!</definedName>
    <definedName name="BLPH14" localSheetId="57" hidden="1">#REF!</definedName>
    <definedName name="BLPH14" hidden="1">#REF!</definedName>
    <definedName name="BLPH15" localSheetId="106" hidden="1">#REF!</definedName>
    <definedName name="BLPH15" localSheetId="95" hidden="1">#REF!</definedName>
    <definedName name="BLPH15" localSheetId="94" hidden="1">#REF!</definedName>
    <definedName name="BLPH15" localSheetId="33" hidden="1">#REF!</definedName>
    <definedName name="BLPH15" localSheetId="34" hidden="1">#REF!</definedName>
    <definedName name="BLPH15" localSheetId="35" hidden="1">#REF!</definedName>
    <definedName name="BLPH15" localSheetId="102" hidden="1">#REF!</definedName>
    <definedName name="BLPH15" localSheetId="4" hidden="1">#REF!</definedName>
    <definedName name="BLPH15" localSheetId="59" hidden="1">#REF!</definedName>
    <definedName name="BLPH15" localSheetId="93" hidden="1">#REF!</definedName>
    <definedName name="BLPH15" localSheetId="47" hidden="1">#REF!</definedName>
    <definedName name="BLPH15" localSheetId="101" hidden="1">#REF!</definedName>
    <definedName name="BLPH15" localSheetId="40" hidden="1">#REF!</definedName>
    <definedName name="BLPH15" localSheetId="41" hidden="1">#REF!</definedName>
    <definedName name="BLPH15" localSheetId="46" hidden="1">#REF!</definedName>
    <definedName name="BLPH15" localSheetId="60" hidden="1">#REF!</definedName>
    <definedName name="BLPH15" localSheetId="39" hidden="1">#REF!</definedName>
    <definedName name="BLPH15" localSheetId="44" hidden="1">#REF!</definedName>
    <definedName name="BLPH15" localSheetId="63" hidden="1">#REF!</definedName>
    <definedName name="BLPH15" localSheetId="31" hidden="1">#REF!</definedName>
    <definedName name="BLPH15" localSheetId="104" hidden="1">#REF!</definedName>
    <definedName name="BLPH15" localSheetId="96" hidden="1">#REF!</definedName>
    <definedName name="BLPH15" localSheetId="61" hidden="1">#REF!</definedName>
    <definedName name="BLPH15" localSheetId="90" hidden="1">#REF!</definedName>
    <definedName name="BLPH15" localSheetId="19" hidden="1">#REF!</definedName>
    <definedName name="BLPH15" localSheetId="57" hidden="1">#REF!</definedName>
    <definedName name="BLPH15" hidden="1">#REF!</definedName>
    <definedName name="BLPH16" localSheetId="106" hidden="1">#REF!</definedName>
    <definedName name="BLPH16" localSheetId="95" hidden="1">#REF!</definedName>
    <definedName name="BLPH16" localSheetId="94" hidden="1">#REF!</definedName>
    <definedName name="BLPH16" localSheetId="33" hidden="1">#REF!</definedName>
    <definedName name="BLPH16" localSheetId="34" hidden="1">#REF!</definedName>
    <definedName name="BLPH16" localSheetId="35" hidden="1">#REF!</definedName>
    <definedName name="BLPH16" localSheetId="102" hidden="1">#REF!</definedName>
    <definedName name="BLPH16" localSheetId="4" hidden="1">#REF!</definedName>
    <definedName name="BLPH16" localSheetId="59" hidden="1">#REF!</definedName>
    <definedName name="BLPH16" localSheetId="93" hidden="1">#REF!</definedName>
    <definedName name="BLPH16" localSheetId="47" hidden="1">#REF!</definedName>
    <definedName name="BLPH16" localSheetId="101" hidden="1">#REF!</definedName>
    <definedName name="BLPH16" localSheetId="40" hidden="1">#REF!</definedName>
    <definedName name="BLPH16" localSheetId="41" hidden="1">#REF!</definedName>
    <definedName name="BLPH16" localSheetId="46" hidden="1">#REF!</definedName>
    <definedName name="BLPH16" localSheetId="60" hidden="1">#REF!</definedName>
    <definedName name="BLPH16" localSheetId="39" hidden="1">#REF!</definedName>
    <definedName name="BLPH16" localSheetId="44" hidden="1">#REF!</definedName>
    <definedName name="BLPH16" localSheetId="63" hidden="1">#REF!</definedName>
    <definedName name="BLPH16" localSheetId="31" hidden="1">#REF!</definedName>
    <definedName name="BLPH16" localSheetId="104" hidden="1">#REF!</definedName>
    <definedName name="BLPH16" localSheetId="96" hidden="1">#REF!</definedName>
    <definedName name="BLPH16" localSheetId="61" hidden="1">#REF!</definedName>
    <definedName name="BLPH16" localSheetId="90" hidden="1">#REF!</definedName>
    <definedName name="BLPH16" localSheetId="19" hidden="1">#REF!</definedName>
    <definedName name="BLPH16" localSheetId="57" hidden="1">#REF!</definedName>
    <definedName name="BLPH16" hidden="1">#REF!</definedName>
    <definedName name="BLPH2" localSheetId="106" hidden="1">#REF!</definedName>
    <definedName name="BLPH2" localSheetId="95" hidden="1">#REF!</definedName>
    <definedName name="BLPH2" localSheetId="94" hidden="1">#REF!</definedName>
    <definedName name="BLPH2" localSheetId="33" hidden="1">#REF!</definedName>
    <definedName name="BLPH2" localSheetId="34" hidden="1">#REF!</definedName>
    <definedName name="BLPH2" localSheetId="35" hidden="1">#REF!</definedName>
    <definedName name="BLPH2" localSheetId="102" hidden="1">#REF!</definedName>
    <definedName name="BLPH2" localSheetId="4" hidden="1">#REF!</definedName>
    <definedName name="BLPH2" localSheetId="59" hidden="1">#REF!</definedName>
    <definedName name="BLPH2" localSheetId="93" hidden="1">#REF!</definedName>
    <definedName name="BLPH2" localSheetId="47" hidden="1">#REF!</definedName>
    <definedName name="BLPH2" localSheetId="101" hidden="1">#REF!</definedName>
    <definedName name="BLPH2" localSheetId="40" hidden="1">#REF!</definedName>
    <definedName name="BLPH2" localSheetId="41" hidden="1">#REF!</definedName>
    <definedName name="BLPH2" localSheetId="46" hidden="1">#REF!</definedName>
    <definedName name="BLPH2" localSheetId="60" hidden="1">#REF!</definedName>
    <definedName name="BLPH2" localSheetId="39" hidden="1">#REF!</definedName>
    <definedName name="BLPH2" localSheetId="44" hidden="1">#REF!</definedName>
    <definedName name="BLPH2" localSheetId="63" hidden="1">#REF!</definedName>
    <definedName name="BLPH2" localSheetId="31" hidden="1">#REF!</definedName>
    <definedName name="BLPH2" localSheetId="104" hidden="1">#REF!</definedName>
    <definedName name="BLPH2" localSheetId="96" hidden="1">#REF!</definedName>
    <definedName name="BLPH2" localSheetId="61" hidden="1">#REF!</definedName>
    <definedName name="BLPH2" localSheetId="90" hidden="1">#REF!</definedName>
    <definedName name="BLPH2" localSheetId="19" hidden="1">#REF!</definedName>
    <definedName name="BLPH2" localSheetId="57" hidden="1">#REF!</definedName>
    <definedName name="BLPH2" hidden="1">#REF!</definedName>
    <definedName name="BLPH3" localSheetId="106" hidden="1">#REF!</definedName>
    <definedName name="BLPH3" localSheetId="95" hidden="1">#REF!</definedName>
    <definedName name="BLPH3" localSheetId="94" hidden="1">#REF!</definedName>
    <definedName name="BLPH3" localSheetId="33" hidden="1">#REF!</definedName>
    <definedName name="BLPH3" localSheetId="34" hidden="1">#REF!</definedName>
    <definedName name="BLPH3" localSheetId="35" hidden="1">#REF!</definedName>
    <definedName name="BLPH3" localSheetId="102" hidden="1">#REF!</definedName>
    <definedName name="BLPH3" localSheetId="4" hidden="1">#REF!</definedName>
    <definedName name="BLPH3" localSheetId="59" hidden="1">#REF!</definedName>
    <definedName name="BLPH3" localSheetId="93" hidden="1">#REF!</definedName>
    <definedName name="BLPH3" localSheetId="47" hidden="1">#REF!</definedName>
    <definedName name="BLPH3" localSheetId="101" hidden="1">#REF!</definedName>
    <definedName name="BLPH3" localSheetId="40" hidden="1">#REF!</definedName>
    <definedName name="BLPH3" localSheetId="41" hidden="1">#REF!</definedName>
    <definedName name="BLPH3" localSheetId="46" hidden="1">#REF!</definedName>
    <definedName name="BLPH3" localSheetId="60" hidden="1">#REF!</definedName>
    <definedName name="BLPH3" localSheetId="39" hidden="1">#REF!</definedName>
    <definedName name="BLPH3" localSheetId="44" hidden="1">#REF!</definedName>
    <definedName name="BLPH3" localSheetId="63" hidden="1">#REF!</definedName>
    <definedName name="BLPH3" localSheetId="31" hidden="1">#REF!</definedName>
    <definedName name="BLPH3" localSheetId="104" hidden="1">#REF!</definedName>
    <definedName name="BLPH3" localSheetId="96" hidden="1">#REF!</definedName>
    <definedName name="BLPH3" localSheetId="61" hidden="1">#REF!</definedName>
    <definedName name="BLPH3" localSheetId="90" hidden="1">#REF!</definedName>
    <definedName name="BLPH3" localSheetId="19" hidden="1">#REF!</definedName>
    <definedName name="BLPH3" localSheetId="57" hidden="1">#REF!</definedName>
    <definedName name="BLPH3" hidden="1">#REF!</definedName>
    <definedName name="BLPH4" localSheetId="106" hidden="1">#REF!</definedName>
    <definedName name="BLPH4" localSheetId="95" hidden="1">#REF!</definedName>
    <definedName name="BLPH4" localSheetId="94" hidden="1">#REF!</definedName>
    <definedName name="BLPH4" localSheetId="33" hidden="1">#REF!</definedName>
    <definedName name="BLPH4" localSheetId="34" hidden="1">#REF!</definedName>
    <definedName name="BLPH4" localSheetId="35" hidden="1">#REF!</definedName>
    <definedName name="BLPH4" localSheetId="102" hidden="1">#REF!</definedName>
    <definedName name="BLPH4" localSheetId="4" hidden="1">#REF!</definedName>
    <definedName name="BLPH4" localSheetId="59" hidden="1">#REF!</definedName>
    <definedName name="BLPH4" localSheetId="93" hidden="1">#REF!</definedName>
    <definedName name="BLPH4" localSheetId="47" hidden="1">#REF!</definedName>
    <definedName name="BLPH4" localSheetId="101" hidden="1">#REF!</definedName>
    <definedName name="BLPH4" localSheetId="40" hidden="1">#REF!</definedName>
    <definedName name="BLPH4" localSheetId="41" hidden="1">#REF!</definedName>
    <definedName name="BLPH4" localSheetId="46" hidden="1">#REF!</definedName>
    <definedName name="BLPH4" localSheetId="60" hidden="1">#REF!</definedName>
    <definedName name="BLPH4" localSheetId="39" hidden="1">#REF!</definedName>
    <definedName name="BLPH4" localSheetId="44" hidden="1">#REF!</definedName>
    <definedName name="BLPH4" localSheetId="63" hidden="1">#REF!</definedName>
    <definedName name="BLPH4" localSheetId="31" hidden="1">#REF!</definedName>
    <definedName name="BLPH4" localSheetId="104" hidden="1">#REF!</definedName>
    <definedName name="BLPH4" localSheetId="96" hidden="1">#REF!</definedName>
    <definedName name="BLPH4" localSheetId="61" hidden="1">#REF!</definedName>
    <definedName name="BLPH4" localSheetId="90" hidden="1">#REF!</definedName>
    <definedName name="BLPH4" localSheetId="19" hidden="1">#REF!</definedName>
    <definedName name="BLPH4" localSheetId="57" hidden="1">#REF!</definedName>
    <definedName name="BLPH4" hidden="1">#REF!</definedName>
    <definedName name="BLPH5" localSheetId="106" hidden="1">#REF!</definedName>
    <definedName name="BLPH5" localSheetId="95" hidden="1">#REF!</definedName>
    <definedName name="BLPH5" localSheetId="94" hidden="1">#REF!</definedName>
    <definedName name="BLPH5" localSheetId="33" hidden="1">#REF!</definedName>
    <definedName name="BLPH5" localSheetId="34" hidden="1">#REF!</definedName>
    <definedName name="BLPH5" localSheetId="35" hidden="1">#REF!</definedName>
    <definedName name="BLPH5" localSheetId="102" hidden="1">#REF!</definedName>
    <definedName name="BLPH5" localSheetId="4" hidden="1">#REF!</definedName>
    <definedName name="BLPH5" localSheetId="59" hidden="1">#REF!</definedName>
    <definedName name="BLPH5" localSheetId="93" hidden="1">#REF!</definedName>
    <definedName name="BLPH5" localSheetId="47" hidden="1">#REF!</definedName>
    <definedName name="BLPH5" localSheetId="101" hidden="1">#REF!</definedName>
    <definedName name="BLPH5" localSheetId="40" hidden="1">#REF!</definedName>
    <definedName name="BLPH5" localSheetId="41" hidden="1">#REF!</definedName>
    <definedName name="BLPH5" localSheetId="46" hidden="1">#REF!</definedName>
    <definedName name="BLPH5" localSheetId="60" hidden="1">#REF!</definedName>
    <definedName name="BLPH5" localSheetId="39" hidden="1">#REF!</definedName>
    <definedName name="BLPH5" localSheetId="44" hidden="1">#REF!</definedName>
    <definedName name="BLPH5" localSheetId="63" hidden="1">#REF!</definedName>
    <definedName name="BLPH5" localSheetId="31" hidden="1">#REF!</definedName>
    <definedName name="BLPH5" localSheetId="104" hidden="1">#REF!</definedName>
    <definedName name="BLPH5" localSheetId="96" hidden="1">#REF!</definedName>
    <definedName name="BLPH5" localSheetId="61" hidden="1">#REF!</definedName>
    <definedName name="BLPH5" localSheetId="90" hidden="1">#REF!</definedName>
    <definedName name="BLPH5" localSheetId="19" hidden="1">#REF!</definedName>
    <definedName name="BLPH5" localSheetId="57" hidden="1">#REF!</definedName>
    <definedName name="BLPH5" hidden="1">#REF!</definedName>
    <definedName name="BLPH6" localSheetId="106" hidden="1">#REF!</definedName>
    <definedName name="BLPH6" localSheetId="95" hidden="1">#REF!</definedName>
    <definedName name="BLPH6" localSheetId="94" hidden="1">#REF!</definedName>
    <definedName name="BLPH6" localSheetId="33" hidden="1">#REF!</definedName>
    <definedName name="BLPH6" localSheetId="34" hidden="1">#REF!</definedName>
    <definedName name="BLPH6" localSheetId="35" hidden="1">#REF!</definedName>
    <definedName name="BLPH6" localSheetId="102" hidden="1">#REF!</definedName>
    <definedName name="BLPH6" localSheetId="4" hidden="1">#REF!</definedName>
    <definedName name="BLPH6" localSheetId="59" hidden="1">#REF!</definedName>
    <definedName name="BLPH6" localSheetId="93" hidden="1">#REF!</definedName>
    <definedName name="BLPH6" localSheetId="47" hidden="1">#REF!</definedName>
    <definedName name="BLPH6" localSheetId="101" hidden="1">#REF!</definedName>
    <definedName name="BLPH6" localSheetId="40" hidden="1">#REF!</definedName>
    <definedName name="BLPH6" localSheetId="41" hidden="1">#REF!</definedName>
    <definedName name="BLPH6" localSheetId="46" hidden="1">#REF!</definedName>
    <definedName name="BLPH6" localSheetId="60" hidden="1">#REF!</definedName>
    <definedName name="BLPH6" localSheetId="39" hidden="1">#REF!</definedName>
    <definedName name="BLPH6" localSheetId="44" hidden="1">#REF!</definedName>
    <definedName name="BLPH6" localSheetId="63" hidden="1">#REF!</definedName>
    <definedName name="BLPH6" localSheetId="31" hidden="1">#REF!</definedName>
    <definedName name="BLPH6" localSheetId="104" hidden="1">#REF!</definedName>
    <definedName name="BLPH6" localSheetId="96" hidden="1">#REF!</definedName>
    <definedName name="BLPH6" localSheetId="61" hidden="1">#REF!</definedName>
    <definedName name="BLPH6" localSheetId="90" hidden="1">#REF!</definedName>
    <definedName name="BLPH6" localSheetId="19" hidden="1">#REF!</definedName>
    <definedName name="BLPH6" localSheetId="57" hidden="1">#REF!</definedName>
    <definedName name="BLPH6" hidden="1">#REF!</definedName>
    <definedName name="BLPH7" localSheetId="106" hidden="1">#REF!</definedName>
    <definedName name="BLPH7" localSheetId="95" hidden="1">#REF!</definedName>
    <definedName name="BLPH7" localSheetId="94" hidden="1">#REF!</definedName>
    <definedName name="BLPH7" localSheetId="33" hidden="1">#REF!</definedName>
    <definedName name="BLPH7" localSheetId="34" hidden="1">#REF!</definedName>
    <definedName name="BLPH7" localSheetId="35" hidden="1">#REF!</definedName>
    <definedName name="BLPH7" localSheetId="102" hidden="1">#REF!</definedName>
    <definedName name="BLPH7" localSheetId="4" hidden="1">#REF!</definedName>
    <definedName name="BLPH7" localSheetId="59" hidden="1">#REF!</definedName>
    <definedName name="BLPH7" localSheetId="93" hidden="1">#REF!</definedName>
    <definedName name="BLPH7" localSheetId="47" hidden="1">#REF!</definedName>
    <definedName name="BLPH7" localSheetId="101" hidden="1">#REF!</definedName>
    <definedName name="BLPH7" localSheetId="40" hidden="1">#REF!</definedName>
    <definedName name="BLPH7" localSheetId="41" hidden="1">#REF!</definedName>
    <definedName name="BLPH7" localSheetId="46" hidden="1">#REF!</definedName>
    <definedName name="BLPH7" localSheetId="60" hidden="1">#REF!</definedName>
    <definedName name="BLPH7" localSheetId="39" hidden="1">#REF!</definedName>
    <definedName name="BLPH7" localSheetId="44" hidden="1">#REF!</definedName>
    <definedName name="BLPH7" localSheetId="63" hidden="1">#REF!</definedName>
    <definedName name="BLPH7" localSheetId="31" hidden="1">#REF!</definedName>
    <definedName name="BLPH7" localSheetId="104" hidden="1">#REF!</definedName>
    <definedName name="BLPH7" localSheetId="96" hidden="1">#REF!</definedName>
    <definedName name="BLPH7" localSheetId="61" hidden="1">#REF!</definedName>
    <definedName name="BLPH7" localSheetId="90" hidden="1">#REF!</definedName>
    <definedName name="BLPH7" localSheetId="19" hidden="1">#REF!</definedName>
    <definedName name="BLPH7" localSheetId="57" hidden="1">#REF!</definedName>
    <definedName name="BLPH7" hidden="1">#REF!</definedName>
    <definedName name="BLPH8" localSheetId="106" hidden="1">#REF!</definedName>
    <definedName name="BLPH8" localSheetId="95" hidden="1">#REF!</definedName>
    <definedName name="BLPH8" localSheetId="94" hidden="1">#REF!</definedName>
    <definedName name="BLPH8" localSheetId="33" hidden="1">#REF!</definedName>
    <definedName name="BLPH8" localSheetId="34" hidden="1">#REF!</definedName>
    <definedName name="BLPH8" localSheetId="35" hidden="1">#REF!</definedName>
    <definedName name="BLPH8" localSheetId="102" hidden="1">#REF!</definedName>
    <definedName name="BLPH8" localSheetId="4" hidden="1">#REF!</definedName>
    <definedName name="BLPH8" localSheetId="59" hidden="1">#REF!</definedName>
    <definedName name="BLPH8" localSheetId="93" hidden="1">#REF!</definedName>
    <definedName name="BLPH8" localSheetId="47" hidden="1">#REF!</definedName>
    <definedName name="BLPH8" localSheetId="101" hidden="1">#REF!</definedName>
    <definedName name="BLPH8" localSheetId="40" hidden="1">#REF!</definedName>
    <definedName name="BLPH8" localSheetId="41" hidden="1">#REF!</definedName>
    <definedName name="BLPH8" localSheetId="46" hidden="1">#REF!</definedName>
    <definedName name="BLPH8" localSheetId="60" hidden="1">#REF!</definedName>
    <definedName name="BLPH8" localSheetId="39" hidden="1">#REF!</definedName>
    <definedName name="BLPH8" localSheetId="44" hidden="1">#REF!</definedName>
    <definedName name="BLPH8" localSheetId="63" hidden="1">#REF!</definedName>
    <definedName name="BLPH8" localSheetId="31" hidden="1">#REF!</definedName>
    <definedName name="BLPH8" localSheetId="104" hidden="1">#REF!</definedName>
    <definedName name="BLPH8" localSheetId="96" hidden="1">#REF!</definedName>
    <definedName name="BLPH8" localSheetId="61" hidden="1">#REF!</definedName>
    <definedName name="BLPH8" localSheetId="90" hidden="1">#REF!</definedName>
    <definedName name="BLPH8" localSheetId="19" hidden="1">#REF!</definedName>
    <definedName name="BLPH8" localSheetId="57" hidden="1">#REF!</definedName>
    <definedName name="BLPH8" hidden="1">#REF!</definedName>
    <definedName name="BLPH9" localSheetId="106" hidden="1">#REF!</definedName>
    <definedName name="BLPH9" localSheetId="95" hidden="1">#REF!</definedName>
    <definedName name="BLPH9" localSheetId="94" hidden="1">#REF!</definedName>
    <definedName name="BLPH9" localSheetId="33" hidden="1">#REF!</definedName>
    <definedName name="BLPH9" localSheetId="34" hidden="1">#REF!</definedName>
    <definedName name="BLPH9" localSheetId="35" hidden="1">#REF!</definedName>
    <definedName name="BLPH9" localSheetId="102" hidden="1">#REF!</definedName>
    <definedName name="BLPH9" localSheetId="4" hidden="1">#REF!</definedName>
    <definedName name="BLPH9" localSheetId="59" hidden="1">#REF!</definedName>
    <definedName name="BLPH9" localSheetId="93" hidden="1">#REF!</definedName>
    <definedName name="BLPH9" localSheetId="47" hidden="1">#REF!</definedName>
    <definedName name="BLPH9" localSheetId="101" hidden="1">#REF!</definedName>
    <definedName name="BLPH9" localSheetId="40" hidden="1">#REF!</definedName>
    <definedName name="BLPH9" localSheetId="41" hidden="1">#REF!</definedName>
    <definedName name="BLPH9" localSheetId="46" hidden="1">#REF!</definedName>
    <definedName name="BLPH9" localSheetId="60" hidden="1">#REF!</definedName>
    <definedName name="BLPH9" localSheetId="39" hidden="1">#REF!</definedName>
    <definedName name="BLPH9" localSheetId="44" hidden="1">#REF!</definedName>
    <definedName name="BLPH9" localSheetId="63" hidden="1">#REF!</definedName>
    <definedName name="BLPH9" localSheetId="31" hidden="1">#REF!</definedName>
    <definedName name="BLPH9" localSheetId="104" hidden="1">#REF!</definedName>
    <definedName name="BLPH9" localSheetId="96" hidden="1">#REF!</definedName>
    <definedName name="BLPH9" localSheetId="61" hidden="1">#REF!</definedName>
    <definedName name="BLPH9" localSheetId="90" hidden="1">#REF!</definedName>
    <definedName name="BLPH9" localSheetId="19" hidden="1">#REF!</definedName>
    <definedName name="BLPH9" localSheetId="57" hidden="1">#REF!</definedName>
    <definedName name="BLPH9" hidden="1">#REF!</definedName>
    <definedName name="BNE_MESSAGES_HIDDEN" localSheetId="106" hidden="1">#REF!</definedName>
    <definedName name="BNE_MESSAGES_HIDDEN" localSheetId="95" hidden="1">#REF!</definedName>
    <definedName name="BNE_MESSAGES_HIDDEN" localSheetId="94" hidden="1">#REF!</definedName>
    <definedName name="BNE_MESSAGES_HIDDEN" localSheetId="33" hidden="1">#REF!</definedName>
    <definedName name="BNE_MESSAGES_HIDDEN" localSheetId="34" hidden="1">#REF!</definedName>
    <definedName name="BNE_MESSAGES_HIDDEN" localSheetId="35" hidden="1">#REF!</definedName>
    <definedName name="BNE_MESSAGES_HIDDEN" localSheetId="102" hidden="1">#REF!</definedName>
    <definedName name="BNE_MESSAGES_HIDDEN" localSheetId="4" hidden="1">#REF!</definedName>
    <definedName name="BNE_MESSAGES_HIDDEN" localSheetId="59" hidden="1">#REF!</definedName>
    <definedName name="BNE_MESSAGES_HIDDEN" localSheetId="93" hidden="1">#REF!</definedName>
    <definedName name="BNE_MESSAGES_HIDDEN" localSheetId="47" hidden="1">#REF!</definedName>
    <definedName name="BNE_MESSAGES_HIDDEN" localSheetId="101" hidden="1">#REF!</definedName>
    <definedName name="BNE_MESSAGES_HIDDEN" localSheetId="40" hidden="1">#REF!</definedName>
    <definedName name="BNE_MESSAGES_HIDDEN" localSheetId="41" hidden="1">#REF!</definedName>
    <definedName name="BNE_MESSAGES_HIDDEN" localSheetId="46" hidden="1">#REF!</definedName>
    <definedName name="BNE_MESSAGES_HIDDEN" localSheetId="60" hidden="1">#REF!</definedName>
    <definedName name="BNE_MESSAGES_HIDDEN" localSheetId="39" hidden="1">#REF!</definedName>
    <definedName name="BNE_MESSAGES_HIDDEN" localSheetId="44" hidden="1">#REF!</definedName>
    <definedName name="BNE_MESSAGES_HIDDEN" localSheetId="63" hidden="1">#REF!</definedName>
    <definedName name="BNE_MESSAGES_HIDDEN" localSheetId="31" hidden="1">#REF!</definedName>
    <definedName name="BNE_MESSAGES_HIDDEN" localSheetId="104" hidden="1">#REF!</definedName>
    <definedName name="BNE_MESSAGES_HIDDEN" localSheetId="96" hidden="1">#REF!</definedName>
    <definedName name="BNE_MESSAGES_HIDDEN" localSheetId="90" hidden="1">#REF!</definedName>
    <definedName name="BNE_MESSAGES_HIDDEN" localSheetId="19" hidden="1">#REF!</definedName>
    <definedName name="BNE_MESSAGES_HIDDEN" localSheetId="57" hidden="1">#REF!</definedName>
    <definedName name="BNE_MESSAGES_HIDDEN" hidden="1">#REF!</definedName>
    <definedName name="BRA_NET">122</definedName>
    <definedName name="BRI_NET">104</definedName>
    <definedName name="Bridge_mo" localSheetId="55" hidden="1">{#N/A,#N/A,FALSE,"Model";#N/A,#N/A,FALSE,"Gen Pts &amp; Rts 2000";#N/A,#N/A,FALSE,"AcqsAss";#N/A,#N/A,FALSE,"Acqs &amp; De Novos"}</definedName>
    <definedName name="Bridge_mo" localSheetId="93" hidden="1">{#N/A,#N/A,FALSE,"Model";#N/A,#N/A,FALSE,"Gen Pts &amp; Rts 2000";#N/A,#N/A,FALSE,"AcqsAss";#N/A,#N/A,FALSE,"Acqs &amp; De Novos"}</definedName>
    <definedName name="Bridge_mo" localSheetId="12" hidden="1">{#N/A,#N/A,FALSE,"Model";#N/A,#N/A,FALSE,"Gen Pts &amp; Rts 2000";#N/A,#N/A,FALSE,"AcqsAss";#N/A,#N/A,FALSE,"Acqs &amp; De Novos"}</definedName>
    <definedName name="Bridge_mo" localSheetId="47" hidden="1">{#N/A,#N/A,FALSE,"Model";#N/A,#N/A,FALSE,"Gen Pts &amp; Rts 2000";#N/A,#N/A,FALSE,"AcqsAss";#N/A,#N/A,FALSE,"Acqs &amp; De Novos"}</definedName>
    <definedName name="Bridge_mo" localSheetId="15" hidden="1">{#N/A,#N/A,FALSE,"Model";#N/A,#N/A,FALSE,"Gen Pts &amp; Rts 2000";#N/A,#N/A,FALSE,"AcqsAss";#N/A,#N/A,FALSE,"Acqs &amp; De Novos"}</definedName>
    <definedName name="Bridge_mo" localSheetId="101" hidden="1">{#N/A,#N/A,FALSE,"Model";#N/A,#N/A,FALSE,"Gen Pts &amp; Rts 2000";#N/A,#N/A,FALSE,"AcqsAss";#N/A,#N/A,FALSE,"Acqs &amp; De Novos"}</definedName>
    <definedName name="Bridge_mo" localSheetId="39" hidden="1">{#N/A,#N/A,FALSE,"Model";#N/A,#N/A,FALSE,"Gen Pts &amp; Rts 2000";#N/A,#N/A,FALSE,"AcqsAss";#N/A,#N/A,FALSE,"Acqs &amp; De Novos"}</definedName>
    <definedName name="Bridge_mo" localSheetId="64" hidden="1">{#N/A,#N/A,FALSE,"Model";#N/A,#N/A,FALSE,"Gen Pts &amp; Rts 2000";#N/A,#N/A,FALSE,"AcqsAss";#N/A,#N/A,FALSE,"Acqs &amp; De Novos"}</definedName>
    <definedName name="Bridge_mo" localSheetId="54" hidden="1">{#N/A,#N/A,FALSE,"Model";#N/A,#N/A,FALSE,"Gen Pts &amp; Rts 2000";#N/A,#N/A,FALSE,"AcqsAss";#N/A,#N/A,FALSE,"Acqs &amp; De Novos"}</definedName>
    <definedName name="Bridge_mo" localSheetId="13" hidden="1">{#N/A,#N/A,FALSE,"Model";#N/A,#N/A,FALSE,"Gen Pts &amp; Rts 2000";#N/A,#N/A,FALSE,"AcqsAss";#N/A,#N/A,FALSE,"Acqs &amp; De Novos"}</definedName>
    <definedName name="Bridge_mo" localSheetId="63" hidden="1">{#N/A,#N/A,FALSE,"Model";#N/A,#N/A,FALSE,"Gen Pts &amp; Rts 2000";#N/A,#N/A,FALSE,"AcqsAss";#N/A,#N/A,FALSE,"Acqs &amp; De Novos"}</definedName>
    <definedName name="Bridge_mo" localSheetId="31" hidden="1">{#N/A,#N/A,FALSE,"Model";#N/A,#N/A,FALSE,"Gen Pts &amp; Rts 2000";#N/A,#N/A,FALSE,"AcqsAss";#N/A,#N/A,FALSE,"Acqs &amp; De Novos"}</definedName>
    <definedName name="Bridge_mo" localSheetId="45" hidden="1">{#N/A,#N/A,FALSE,"Model";#N/A,#N/A,FALSE,"Gen Pts &amp; Rts 2000";#N/A,#N/A,FALSE,"AcqsAss";#N/A,#N/A,FALSE,"Acqs &amp; De Novos"}</definedName>
    <definedName name="Bridge_mo" localSheetId="90" hidden="1">{#N/A,#N/A,FALSE,"Model";#N/A,#N/A,FALSE,"Gen Pts &amp; Rts 2000";#N/A,#N/A,FALSE,"AcqsAss";#N/A,#N/A,FALSE,"Acqs &amp; De Novos"}</definedName>
    <definedName name="Bridge_mo" localSheetId="19" hidden="1">{#N/A,#N/A,FALSE,"Model";#N/A,#N/A,FALSE,"Gen Pts &amp; Rts 2000";#N/A,#N/A,FALSE,"AcqsAss";#N/A,#N/A,FALSE,"Acqs &amp; De Novos"}</definedName>
    <definedName name="Bridge_mo" localSheetId="57" hidden="1">{#N/A,#N/A,FALSE,"Model";#N/A,#N/A,FALSE,"Gen Pts &amp; Rts 2000";#N/A,#N/A,FALSE,"AcqsAss";#N/A,#N/A,FALSE,"Acqs &amp; De Novos"}</definedName>
    <definedName name="Bridge_mo" hidden="1">{#N/A,#N/A,FALSE,"Model";#N/A,#N/A,FALSE,"Gen Pts &amp; Rts 2000";#N/A,#N/A,FALSE,"AcqsAss";#N/A,#N/A,FALSE,"Acqs &amp; De Novos"}</definedName>
    <definedName name="bridge_month" localSheetId="55" hidden="1">{#N/A,#N/A,FALSE,"Model";#N/A,#N/A,FALSE,"Gen Pts &amp; Rts 2000";#N/A,#N/A,FALSE,"AcqsAss";#N/A,#N/A,FALSE,"Acqs &amp; De Novos"}</definedName>
    <definedName name="bridge_month" localSheetId="93" hidden="1">{#N/A,#N/A,FALSE,"Model";#N/A,#N/A,FALSE,"Gen Pts &amp; Rts 2000";#N/A,#N/A,FALSE,"AcqsAss";#N/A,#N/A,FALSE,"Acqs &amp; De Novos"}</definedName>
    <definedName name="bridge_month" localSheetId="12" hidden="1">{#N/A,#N/A,FALSE,"Model";#N/A,#N/A,FALSE,"Gen Pts &amp; Rts 2000";#N/A,#N/A,FALSE,"AcqsAss";#N/A,#N/A,FALSE,"Acqs &amp; De Novos"}</definedName>
    <definedName name="bridge_month" localSheetId="47" hidden="1">{#N/A,#N/A,FALSE,"Model";#N/A,#N/A,FALSE,"Gen Pts &amp; Rts 2000";#N/A,#N/A,FALSE,"AcqsAss";#N/A,#N/A,FALSE,"Acqs &amp; De Novos"}</definedName>
    <definedName name="bridge_month" localSheetId="15" hidden="1">{#N/A,#N/A,FALSE,"Model";#N/A,#N/A,FALSE,"Gen Pts &amp; Rts 2000";#N/A,#N/A,FALSE,"AcqsAss";#N/A,#N/A,FALSE,"Acqs &amp; De Novos"}</definedName>
    <definedName name="bridge_month" localSheetId="101" hidden="1">{#N/A,#N/A,FALSE,"Model";#N/A,#N/A,FALSE,"Gen Pts &amp; Rts 2000";#N/A,#N/A,FALSE,"AcqsAss";#N/A,#N/A,FALSE,"Acqs &amp; De Novos"}</definedName>
    <definedName name="bridge_month" localSheetId="39" hidden="1">{#N/A,#N/A,FALSE,"Model";#N/A,#N/A,FALSE,"Gen Pts &amp; Rts 2000";#N/A,#N/A,FALSE,"AcqsAss";#N/A,#N/A,FALSE,"Acqs &amp; De Novos"}</definedName>
    <definedName name="bridge_month" localSheetId="64" hidden="1">{#N/A,#N/A,FALSE,"Model";#N/A,#N/A,FALSE,"Gen Pts &amp; Rts 2000";#N/A,#N/A,FALSE,"AcqsAss";#N/A,#N/A,FALSE,"Acqs &amp; De Novos"}</definedName>
    <definedName name="bridge_month" localSheetId="54" hidden="1">{#N/A,#N/A,FALSE,"Model";#N/A,#N/A,FALSE,"Gen Pts &amp; Rts 2000";#N/A,#N/A,FALSE,"AcqsAss";#N/A,#N/A,FALSE,"Acqs &amp; De Novos"}</definedName>
    <definedName name="bridge_month" localSheetId="13" hidden="1">{#N/A,#N/A,FALSE,"Model";#N/A,#N/A,FALSE,"Gen Pts &amp; Rts 2000";#N/A,#N/A,FALSE,"AcqsAss";#N/A,#N/A,FALSE,"Acqs &amp; De Novos"}</definedName>
    <definedName name="bridge_month" localSheetId="63" hidden="1">{#N/A,#N/A,FALSE,"Model";#N/A,#N/A,FALSE,"Gen Pts &amp; Rts 2000";#N/A,#N/A,FALSE,"AcqsAss";#N/A,#N/A,FALSE,"Acqs &amp; De Novos"}</definedName>
    <definedName name="bridge_month" localSheetId="31" hidden="1">{#N/A,#N/A,FALSE,"Model";#N/A,#N/A,FALSE,"Gen Pts &amp; Rts 2000";#N/A,#N/A,FALSE,"AcqsAss";#N/A,#N/A,FALSE,"Acqs &amp; De Novos"}</definedName>
    <definedName name="bridge_month" localSheetId="45" hidden="1">{#N/A,#N/A,FALSE,"Model";#N/A,#N/A,FALSE,"Gen Pts &amp; Rts 2000";#N/A,#N/A,FALSE,"AcqsAss";#N/A,#N/A,FALSE,"Acqs &amp; De Novos"}</definedName>
    <definedName name="bridge_month" localSheetId="90" hidden="1">{#N/A,#N/A,FALSE,"Model";#N/A,#N/A,FALSE,"Gen Pts &amp; Rts 2000";#N/A,#N/A,FALSE,"AcqsAss";#N/A,#N/A,FALSE,"Acqs &amp; De Novos"}</definedName>
    <definedName name="bridge_month" localSheetId="19" hidden="1">{#N/A,#N/A,FALSE,"Model";#N/A,#N/A,FALSE,"Gen Pts &amp; Rts 2000";#N/A,#N/A,FALSE,"AcqsAss";#N/A,#N/A,FALSE,"Acqs &amp; De Novos"}</definedName>
    <definedName name="bridge_month" localSheetId="57" hidden="1">{#N/A,#N/A,FALSE,"Model";#N/A,#N/A,FALSE,"Gen Pts &amp; Rts 2000";#N/A,#N/A,FALSE,"AcqsAss";#N/A,#N/A,FALSE,"Acqs &amp; De Novos"}</definedName>
    <definedName name="bridge_month" hidden="1">{#N/A,#N/A,FALSE,"Model";#N/A,#N/A,FALSE,"Gen Pts &amp; Rts 2000";#N/A,#N/A,FALSE,"AcqsAss";#N/A,#N/A,FALSE,"Acqs &amp; De Novos"}</definedName>
    <definedName name="bridge_qtr" localSheetId="55" hidden="1">{#N/A,#N/A,FALSE,"Model";#N/A,#N/A,FALSE,"Gen Pts &amp; Rts 2000";#N/A,#N/A,FALSE,"AcqsAss";#N/A,#N/A,FALSE,"Acqs &amp; De Novos"}</definedName>
    <definedName name="bridge_qtr" localSheetId="93" hidden="1">{#N/A,#N/A,FALSE,"Model";#N/A,#N/A,FALSE,"Gen Pts &amp; Rts 2000";#N/A,#N/A,FALSE,"AcqsAss";#N/A,#N/A,FALSE,"Acqs &amp; De Novos"}</definedName>
    <definedName name="bridge_qtr" localSheetId="12" hidden="1">{#N/A,#N/A,FALSE,"Model";#N/A,#N/A,FALSE,"Gen Pts &amp; Rts 2000";#N/A,#N/A,FALSE,"AcqsAss";#N/A,#N/A,FALSE,"Acqs &amp; De Novos"}</definedName>
    <definedName name="bridge_qtr" localSheetId="47" hidden="1">{#N/A,#N/A,FALSE,"Model";#N/A,#N/A,FALSE,"Gen Pts &amp; Rts 2000";#N/A,#N/A,FALSE,"AcqsAss";#N/A,#N/A,FALSE,"Acqs &amp; De Novos"}</definedName>
    <definedName name="bridge_qtr" localSheetId="15" hidden="1">{#N/A,#N/A,FALSE,"Model";#N/A,#N/A,FALSE,"Gen Pts &amp; Rts 2000";#N/A,#N/A,FALSE,"AcqsAss";#N/A,#N/A,FALSE,"Acqs &amp; De Novos"}</definedName>
    <definedName name="bridge_qtr" localSheetId="101" hidden="1">{#N/A,#N/A,FALSE,"Model";#N/A,#N/A,FALSE,"Gen Pts &amp; Rts 2000";#N/A,#N/A,FALSE,"AcqsAss";#N/A,#N/A,FALSE,"Acqs &amp; De Novos"}</definedName>
    <definedName name="bridge_qtr" localSheetId="39" hidden="1">{#N/A,#N/A,FALSE,"Model";#N/A,#N/A,FALSE,"Gen Pts &amp; Rts 2000";#N/A,#N/A,FALSE,"AcqsAss";#N/A,#N/A,FALSE,"Acqs &amp; De Novos"}</definedName>
    <definedName name="bridge_qtr" localSheetId="64" hidden="1">{#N/A,#N/A,FALSE,"Model";#N/A,#N/A,FALSE,"Gen Pts &amp; Rts 2000";#N/A,#N/A,FALSE,"AcqsAss";#N/A,#N/A,FALSE,"Acqs &amp; De Novos"}</definedName>
    <definedName name="bridge_qtr" localSheetId="54" hidden="1">{#N/A,#N/A,FALSE,"Model";#N/A,#N/A,FALSE,"Gen Pts &amp; Rts 2000";#N/A,#N/A,FALSE,"AcqsAss";#N/A,#N/A,FALSE,"Acqs &amp; De Novos"}</definedName>
    <definedName name="bridge_qtr" localSheetId="13" hidden="1">{#N/A,#N/A,FALSE,"Model";#N/A,#N/A,FALSE,"Gen Pts &amp; Rts 2000";#N/A,#N/A,FALSE,"AcqsAss";#N/A,#N/A,FALSE,"Acqs &amp; De Novos"}</definedName>
    <definedName name="bridge_qtr" localSheetId="63" hidden="1">{#N/A,#N/A,FALSE,"Model";#N/A,#N/A,FALSE,"Gen Pts &amp; Rts 2000";#N/A,#N/A,FALSE,"AcqsAss";#N/A,#N/A,FALSE,"Acqs &amp; De Novos"}</definedName>
    <definedName name="bridge_qtr" localSheetId="31" hidden="1">{#N/A,#N/A,FALSE,"Model";#N/A,#N/A,FALSE,"Gen Pts &amp; Rts 2000";#N/A,#N/A,FALSE,"AcqsAss";#N/A,#N/A,FALSE,"Acqs &amp; De Novos"}</definedName>
    <definedName name="bridge_qtr" localSheetId="45" hidden="1">{#N/A,#N/A,FALSE,"Model";#N/A,#N/A,FALSE,"Gen Pts &amp; Rts 2000";#N/A,#N/A,FALSE,"AcqsAss";#N/A,#N/A,FALSE,"Acqs &amp; De Novos"}</definedName>
    <definedName name="bridge_qtr" localSheetId="90" hidden="1">{#N/A,#N/A,FALSE,"Model";#N/A,#N/A,FALSE,"Gen Pts &amp; Rts 2000";#N/A,#N/A,FALSE,"AcqsAss";#N/A,#N/A,FALSE,"Acqs &amp; De Novos"}</definedName>
    <definedName name="bridge_qtr" localSheetId="19" hidden="1">{#N/A,#N/A,FALSE,"Model";#N/A,#N/A,FALSE,"Gen Pts &amp; Rts 2000";#N/A,#N/A,FALSE,"AcqsAss";#N/A,#N/A,FALSE,"Acqs &amp; De Novos"}</definedName>
    <definedName name="bridge_qtr" localSheetId="57" hidden="1">{#N/A,#N/A,FALSE,"Model";#N/A,#N/A,FALSE,"Gen Pts &amp; Rts 2000";#N/A,#N/A,FALSE,"AcqsAss";#N/A,#N/A,FALSE,"Acqs &amp; De Novos"}</definedName>
    <definedName name="bridge_qtr" hidden="1">{#N/A,#N/A,FALSE,"Model";#N/A,#N/A,FALSE,"Gen Pts &amp; Rts 2000";#N/A,#N/A,FALSE,"AcqsAss";#N/A,#N/A,FALSE,"Acqs &amp; De Novos"}</definedName>
    <definedName name="bridger_qtr" localSheetId="55" hidden="1">{#N/A,#N/A,FALSE,"Model";#N/A,#N/A,FALSE,"Gen Pts &amp; Rts 2000";#N/A,#N/A,FALSE,"AcqsAss";#N/A,#N/A,FALSE,"Acqs &amp; De Novos"}</definedName>
    <definedName name="bridger_qtr" localSheetId="93" hidden="1">{#N/A,#N/A,FALSE,"Model";#N/A,#N/A,FALSE,"Gen Pts &amp; Rts 2000";#N/A,#N/A,FALSE,"AcqsAss";#N/A,#N/A,FALSE,"Acqs &amp; De Novos"}</definedName>
    <definedName name="bridger_qtr" localSheetId="12" hidden="1">{#N/A,#N/A,FALSE,"Model";#N/A,#N/A,FALSE,"Gen Pts &amp; Rts 2000";#N/A,#N/A,FALSE,"AcqsAss";#N/A,#N/A,FALSE,"Acqs &amp; De Novos"}</definedName>
    <definedName name="bridger_qtr" localSheetId="47" hidden="1">{#N/A,#N/A,FALSE,"Model";#N/A,#N/A,FALSE,"Gen Pts &amp; Rts 2000";#N/A,#N/A,FALSE,"AcqsAss";#N/A,#N/A,FALSE,"Acqs &amp; De Novos"}</definedName>
    <definedName name="bridger_qtr" localSheetId="15" hidden="1">{#N/A,#N/A,FALSE,"Model";#N/A,#N/A,FALSE,"Gen Pts &amp; Rts 2000";#N/A,#N/A,FALSE,"AcqsAss";#N/A,#N/A,FALSE,"Acqs &amp; De Novos"}</definedName>
    <definedName name="bridger_qtr" localSheetId="101" hidden="1">{#N/A,#N/A,FALSE,"Model";#N/A,#N/A,FALSE,"Gen Pts &amp; Rts 2000";#N/A,#N/A,FALSE,"AcqsAss";#N/A,#N/A,FALSE,"Acqs &amp; De Novos"}</definedName>
    <definedName name="bridger_qtr" localSheetId="39" hidden="1">{#N/A,#N/A,FALSE,"Model";#N/A,#N/A,FALSE,"Gen Pts &amp; Rts 2000";#N/A,#N/A,FALSE,"AcqsAss";#N/A,#N/A,FALSE,"Acqs &amp; De Novos"}</definedName>
    <definedName name="bridger_qtr" localSheetId="64" hidden="1">{#N/A,#N/A,FALSE,"Model";#N/A,#N/A,FALSE,"Gen Pts &amp; Rts 2000";#N/A,#N/A,FALSE,"AcqsAss";#N/A,#N/A,FALSE,"Acqs &amp; De Novos"}</definedName>
    <definedName name="bridger_qtr" localSheetId="54" hidden="1">{#N/A,#N/A,FALSE,"Model";#N/A,#N/A,FALSE,"Gen Pts &amp; Rts 2000";#N/A,#N/A,FALSE,"AcqsAss";#N/A,#N/A,FALSE,"Acqs &amp; De Novos"}</definedName>
    <definedName name="bridger_qtr" localSheetId="13" hidden="1">{#N/A,#N/A,FALSE,"Model";#N/A,#N/A,FALSE,"Gen Pts &amp; Rts 2000";#N/A,#N/A,FALSE,"AcqsAss";#N/A,#N/A,FALSE,"Acqs &amp; De Novos"}</definedName>
    <definedName name="bridger_qtr" localSheetId="63" hidden="1">{#N/A,#N/A,FALSE,"Model";#N/A,#N/A,FALSE,"Gen Pts &amp; Rts 2000";#N/A,#N/A,FALSE,"AcqsAss";#N/A,#N/A,FALSE,"Acqs &amp; De Novos"}</definedName>
    <definedName name="bridger_qtr" localSheetId="31" hidden="1">{#N/A,#N/A,FALSE,"Model";#N/A,#N/A,FALSE,"Gen Pts &amp; Rts 2000";#N/A,#N/A,FALSE,"AcqsAss";#N/A,#N/A,FALSE,"Acqs &amp; De Novos"}</definedName>
    <definedName name="bridger_qtr" localSheetId="45" hidden="1">{#N/A,#N/A,FALSE,"Model";#N/A,#N/A,FALSE,"Gen Pts &amp; Rts 2000";#N/A,#N/A,FALSE,"AcqsAss";#N/A,#N/A,FALSE,"Acqs &amp; De Novos"}</definedName>
    <definedName name="bridger_qtr" localSheetId="90" hidden="1">{#N/A,#N/A,FALSE,"Model";#N/A,#N/A,FALSE,"Gen Pts &amp; Rts 2000";#N/A,#N/A,FALSE,"AcqsAss";#N/A,#N/A,FALSE,"Acqs &amp; De Novos"}</definedName>
    <definedName name="bridger_qtr" localSheetId="19" hidden="1">{#N/A,#N/A,FALSE,"Model";#N/A,#N/A,FALSE,"Gen Pts &amp; Rts 2000";#N/A,#N/A,FALSE,"AcqsAss";#N/A,#N/A,FALSE,"Acqs &amp; De Novos"}</definedName>
    <definedName name="bridger_qtr" localSheetId="57" hidden="1">{#N/A,#N/A,FALSE,"Model";#N/A,#N/A,FALSE,"Gen Pts &amp; Rts 2000";#N/A,#N/A,FALSE,"AcqsAss";#N/A,#N/A,FALSE,"Acqs &amp; De Novos"}</definedName>
    <definedName name="bridger_qtr" hidden="1">{#N/A,#N/A,FALSE,"Model";#N/A,#N/A,FALSE,"Gen Pts &amp; Rts 2000";#N/A,#N/A,FALSE,"AcqsAss";#N/A,#N/A,FALSE,"Acqs &amp; De Novos"}</definedName>
    <definedName name="BTPI">'[9]MR Component Summary'!$D$20</definedName>
    <definedName name="build" localSheetId="55" hidden="1">{#N/A,#N/A,FALSE,"softdraw";#N/A,#N/A,FALSE,"linereclass";"northpint loan",#N/A,FALSE,"LOAN"}</definedName>
    <definedName name="build" localSheetId="93" hidden="1">{#N/A,#N/A,FALSE,"softdraw";#N/A,#N/A,FALSE,"linereclass";"northpint loan",#N/A,FALSE,"LOAN"}</definedName>
    <definedName name="build" localSheetId="12" hidden="1">{#N/A,#N/A,FALSE,"softdraw";#N/A,#N/A,FALSE,"linereclass";"northpint loan",#N/A,FALSE,"LOAN"}</definedName>
    <definedName name="build" localSheetId="47" hidden="1">{#N/A,#N/A,FALSE,"softdraw";#N/A,#N/A,FALSE,"linereclass";"northpint loan",#N/A,FALSE,"LOAN"}</definedName>
    <definedName name="build" localSheetId="15" hidden="1">{#N/A,#N/A,FALSE,"softdraw";#N/A,#N/A,FALSE,"linereclass";"northpint loan",#N/A,FALSE,"LOAN"}</definedName>
    <definedName name="build" localSheetId="101" hidden="1">{#N/A,#N/A,FALSE,"softdraw";#N/A,#N/A,FALSE,"linereclass";"northpint loan",#N/A,FALSE,"LOAN"}</definedName>
    <definedName name="build" localSheetId="39" hidden="1">{#N/A,#N/A,FALSE,"softdraw";#N/A,#N/A,FALSE,"linereclass";"northpint loan",#N/A,FALSE,"LOAN"}</definedName>
    <definedName name="build" localSheetId="64" hidden="1">{#N/A,#N/A,FALSE,"softdraw";#N/A,#N/A,FALSE,"linereclass";"northpint loan",#N/A,FALSE,"LOAN"}</definedName>
    <definedName name="build" localSheetId="54" hidden="1">{#N/A,#N/A,FALSE,"softdraw";#N/A,#N/A,FALSE,"linereclass";"northpint loan",#N/A,FALSE,"LOAN"}</definedName>
    <definedName name="build" localSheetId="13" hidden="1">{#N/A,#N/A,FALSE,"softdraw";#N/A,#N/A,FALSE,"linereclass";"northpint loan",#N/A,FALSE,"LOAN"}</definedName>
    <definedName name="build" localSheetId="63" hidden="1">{#N/A,#N/A,FALSE,"softdraw";#N/A,#N/A,FALSE,"linereclass";"northpint loan",#N/A,FALSE,"LOAN"}</definedName>
    <definedName name="build" localSheetId="31" hidden="1">{#N/A,#N/A,FALSE,"softdraw";#N/A,#N/A,FALSE,"linereclass";"northpint loan",#N/A,FALSE,"LOAN"}</definedName>
    <definedName name="build" localSheetId="45" hidden="1">{#N/A,#N/A,FALSE,"softdraw";#N/A,#N/A,FALSE,"linereclass";"northpint loan",#N/A,FALSE,"LOAN"}</definedName>
    <definedName name="build" localSheetId="90" hidden="1">{#N/A,#N/A,FALSE,"softdraw";#N/A,#N/A,FALSE,"linereclass";"northpint loan",#N/A,FALSE,"LOAN"}</definedName>
    <definedName name="build" localSheetId="19" hidden="1">{#N/A,#N/A,FALSE,"softdraw";#N/A,#N/A,FALSE,"linereclass";"northpint loan",#N/A,FALSE,"LOAN"}</definedName>
    <definedName name="build" localSheetId="57" hidden="1">{#N/A,#N/A,FALSE,"softdraw";#N/A,#N/A,FALSE,"linereclass";"northpint loan",#N/A,FALSE,"LOAN"}</definedName>
    <definedName name="build" hidden="1">{#N/A,#N/A,FALSE,"softdraw";#N/A,#N/A,FALSE,"linereclass";"northpint loan",#N/A,FALSE,"LOAN"}</definedName>
    <definedName name="CadRate">0.65</definedName>
    <definedName name="Calcint" localSheetId="59">[10]!Calcint</definedName>
    <definedName name="Calcint" localSheetId="60">[10]!Calcint</definedName>
    <definedName name="Calcint">[10]!Calcint</definedName>
    <definedName name="CAN_NET">116</definedName>
    <definedName name="Cash_Rate">0</definedName>
    <definedName name="cb_Add_CalloutChart_24_opts" hidden="1">"1, 9, 1, False, 2, False, False, , 0, False, False, 1, 1"</definedName>
    <definedName name="cb_Add_CalloutChart_25_opts" hidden="1">"1, 10, 1, False, 2, False, False, , 0, False, True, 1, 1"</definedName>
    <definedName name="cb_Add_CalloutChart_26_opts" hidden="1">"1, 9, 1, False, 2, False, False, , 0, False, True, 1, 1"</definedName>
    <definedName name="cb_ALT_STACKED_COLUMNChart_22_opts" hidden="1">"1, 3, 1, False, 2, True, False, , 0, False, True, 1, 2"</definedName>
    <definedName name="cb_ALT_STACKED_COLUMNChart_23_opts" hidden="1">"1, 3, 1, False, 2, True, False, , 0, False, True, 1, 2"</definedName>
    <definedName name="cb_Chart_1_opts" hidden="1">"1, 6, 1, False, 2, False, False, , 0, False, True, 1, 2"</definedName>
    <definedName name="cb_Chart_10_opts" hidden="1">"1, 8, 1, False, 2, False, False, , 0, False, False, 1, 1"</definedName>
    <definedName name="cb_Chart_100032_opts" hidden="1">"1, 10, 1, False, 2, True, False, , 0, False, False, 2, 2"</definedName>
    <definedName name="cb_Chart_10104_opts" hidden="1">"1, 5, 1, False, 2, True, False, , 0, True, False, 2, 1"</definedName>
    <definedName name="cb_Chart_10401_opts" hidden="1">"1, 5, 1, False, 2, False, False, , 0, True, False, 2, 1"</definedName>
    <definedName name="cb_Chart_10736_opts" hidden="1">"1, 10, 1, False, 2, False, False, , 0, False, False, 2, 2"</definedName>
    <definedName name="cb_Chart_11_opts" hidden="1">"1, 5, 1, False, 2, False, False, , 0, False, False, 1, 2"</definedName>
    <definedName name="cb_Chart_12_opts" hidden="1">"1, 5, 1, False, 2, True, False, , 0, True, False, 1, 2"</definedName>
    <definedName name="cb_Chart_13_opts" hidden="1">"1, 5, 1, False, 2, True, False, , 0, True, False, 1, 2"</definedName>
    <definedName name="cb_Chart_14_opts" hidden="1">"2, 2, 2, True, 2, False, False, , 0, False, True, 1, 2"</definedName>
    <definedName name="cb_Chart_15_opts" hidden="1">"2, 1, 2, True, 2, False, False, , 0, False, True, 1, 2"</definedName>
    <definedName name="cb_Chart_1501_opts" hidden="1">"1, 10, 1, False, 2, True, False, , 0, False, False, 2, 2"</definedName>
    <definedName name="cb_Chart_16_opts" hidden="1">"2, 1, 2, True, 2, False, False, , 0, False, True, 1, 2"</definedName>
    <definedName name="cb_Chart_1670_opts" hidden="1">"1, 5, 1, False, 2, True, False, , 0, False, False, 2, 1"</definedName>
    <definedName name="cb_Chart_17_opts" hidden="1">"1, 9, 1, False, 2, False, False, , 0, False, False, 1, 1"</definedName>
    <definedName name="cb_Chart_18_opts" hidden="1">"1, 9, 1, False, 2, False, False, , 0, False, False, 1, 1"</definedName>
    <definedName name="cb_Chart_19_opts" hidden="1">"1, 2, 1, False, 2, True, False, , 0, True, False, 2, 1"</definedName>
    <definedName name="cb_Chart_2_opts" hidden="1">"1, 6, 1, False, 2, False, False, , 0, False, False, 1, 2"</definedName>
    <definedName name="cb_Chart_20_opts" hidden="1">"1, 9, 1, False, 2, False, False, , 0, False, False, 1, 1"</definedName>
    <definedName name="cb_Chart_21_opts" hidden="1">"1, 2, 1, False, 2, False, False, , 0, False, False, 2, 1"</definedName>
    <definedName name="cb_Chart_22_opts" hidden="1">"1, 2, 1, False, 2, True, False, , 0, False, False, 2, 1"</definedName>
    <definedName name="cb_Chart_22784_opts" hidden="1">"1, 9, 1, False, 2, False, False, , 0, False, True, 1, 2"</definedName>
    <definedName name="cb_Chart_23_opts" hidden="1">"1, 9, 1, False, 2, False, False, , 0, False, False, 1, 1"</definedName>
    <definedName name="cb_Chart_24_opts" hidden="1">"1, 2, 1, False, 2, False, False, , 0, False, False, 2, 1"</definedName>
    <definedName name="cb_Chart_24490_opts" hidden="1">"1, 10, 1, False, 2, True, False, , 0, False, False, 2, 2"</definedName>
    <definedName name="cb_Chart_25_opts" hidden="1">"1, 3, 1, False, 2, False, False, , 0, True, True, 1, 2"</definedName>
    <definedName name="cb_Chart_26_opts" hidden="1">"1, 2, 1, False, 2, False, False, , 0, False, False, 2, 1"</definedName>
    <definedName name="cb_Chart_26476_opts" hidden="1">"1, 1, 1, False, 2, True, False, , 0, False, False, 1, 2"</definedName>
    <definedName name="cb_Chart_27_opts" hidden="1">"1, 1, 1, False, 2, True, False, , 0, False, True, 1, 2"</definedName>
    <definedName name="cb_Chart_28_opts" hidden="1">"1, 3, 1, False, 2, True, False, , 0, False, True, 1, 2"</definedName>
    <definedName name="cb_Chart_28031_opts" hidden="1">"1, 1, 1, False, 2, True, False, , 0, False, False, 1, 2"</definedName>
    <definedName name="cb_Chart_28545_opts" hidden="1">"1, 5, 1, False, 2, True, False, , 0, False, True, 2, 1"</definedName>
    <definedName name="cb_Chart_29_opts" hidden="1">"1, 3, 1, False, 2, False, False, , 0, False, False, 1, 1"</definedName>
    <definedName name="cb_Chart_29053_opts" hidden="1">"1, 10, 1, False, 2, True, False, , 0, False, False, 2, 2"</definedName>
    <definedName name="cb_Chart_29913_opts" hidden="1">"1, 1, 1, False, 2, False, False, , 0, False, False, 1, 1"</definedName>
    <definedName name="cb_Chart_3_opts" hidden="1">"1, 1, 1, False, 2, True, False, , 0, False, False, 2, 2"</definedName>
    <definedName name="cb_Chart_30_opts" hidden="1">"1, 3, 1, False, 2, True, False, , 0, False, True, 1, 2"</definedName>
    <definedName name="cb_Chart_30292_opts" hidden="1">"1, 1, 1, False, 2, False, False, , 0, False, False, 1, 2"</definedName>
    <definedName name="cb_Chart_31_opts" hidden="1">"1, 1, 1, False, 2, True, False, , 0, True, True, 2, 2"</definedName>
    <definedName name="cb_Chart_32_opts" hidden="1">"1, 1, 1, False, 2, True, False, , 0, False, False, 2, 2"</definedName>
    <definedName name="cb_Chart_33_opts" hidden="1">"1, 1, 1, False, 2, True, False, , 0, False, True, 3, 2"</definedName>
    <definedName name="cb_Chart_34_opts" hidden="1">"1, 10, 1, False, 2, True, False, , 0, False, False, 2, 2"</definedName>
    <definedName name="cb_Chart_36498_opts" hidden="1">"1, 1, 1, False, 2, True, False, , 0, False, False, 1, 2"</definedName>
    <definedName name="cb_Chart_37450_opts" hidden="1">"1, 10, 1, False, 2, True, False, , 0, False, False, 2, 2"</definedName>
    <definedName name="cb_Chart_4_opts" hidden="1">"1, 7, 1, False, 2, False, False, , 0, False, True, 1, 2"</definedName>
    <definedName name="cb_Chart_41_opts" hidden="1">"1, 10, 1, False, 2, True, False, , 0, False, False, 2, 1"</definedName>
    <definedName name="cb_Chart_41499_opts" hidden="1">"1, 10, 1, False, 2, True, False, , 0, False, False, 2, 2"</definedName>
    <definedName name="cb_Chart_42_opts" hidden="1">"1, 10, 1, False, 2, True, False, , 0, False, False, 2, 1"</definedName>
    <definedName name="cb_Chart_43_opts" hidden="1">"1, 10, 1, False, 2, True, False, , 0, False, False, 2, 1"</definedName>
    <definedName name="cb_Chart_4634_opts" hidden="1">"1, 10, 1, False, 2, True, False, , 0, False, False, 2, 2"</definedName>
    <definedName name="cb_Chart_4664_opts" hidden="1">"1, 5, 1, False, 2, True, False, , 0, False, True, 1, 2"</definedName>
    <definedName name="cb_Chart_46965_opts" hidden="1">"1, 1, 1, False, 2, False, False, , 0, False, False, 1, 1"</definedName>
    <definedName name="cb_Chart_5_opts" hidden="1">"1, 8, 1, False, 2, False, False, , 0, False, False, 1, 2"</definedName>
    <definedName name="cb_Chart_52582_opts" hidden="1">"1, 1, 1, False, 2, False, False, , 0, False, False, 1, 2"</definedName>
    <definedName name="cb_Chart_53437_opts" hidden="1">"1, 10, 1, False, 2, True, False, , 0, False, False, 2, 2"</definedName>
    <definedName name="cb_Chart_53482_opts" hidden="1">"1, 10, 1, False, 2, True, False, , 0, False, False, 2, 2"</definedName>
    <definedName name="cb_Chart_54_opts" hidden="1">"1, 3, 1, False, 2, False, False, , 0, False, True, 2, 2"</definedName>
    <definedName name="cb_Chart_5449_opts" hidden="1">"1, 1, 1, False, 2, False, False, , 0, False, False, 1, 1"</definedName>
    <definedName name="cb_Chart_5723_opts" hidden="1">"1, 1, 1, False, 2, True, False, , 0, False, True, 1, 2"</definedName>
    <definedName name="cb_Chart_57613_opts" hidden="1">"1, 5, 1, False, 2, True, False, , 0, False, True, 2, 1"</definedName>
    <definedName name="cb_Chart_58046_opts" hidden="1">"1, 10, 1, False, 2, True, False, , 0, False, False, 2, 2"</definedName>
    <definedName name="cb_Chart_59010_opts" hidden="1">"1, 2, 1, False, 2, False, False, , 0, False, False, 2, 1"</definedName>
    <definedName name="cb_Chart_59340_opts" hidden="1">"1, 1, 1, False, 2, False, False, , 0, False, False, 1, 1"</definedName>
    <definedName name="cb_Chart_6_opts" hidden="1">"1, 10, 1, False, 2, True, False, , 0, False, False, 2, 2"</definedName>
    <definedName name="cb_Chart_62364_opts" hidden="1">"1, 1, 1, False, 2, True, False, , 0, False, False, 1, 2"</definedName>
    <definedName name="cb_Chart_64876_opts" hidden="1">"1, 1, 1, False, 2, True, False, , 0, False, False, 1, 2"</definedName>
    <definedName name="cb_Chart_67711_opts" hidden="1">"1, 10, 1, False, 2, True, False, , 0, False, False, 2, 2"</definedName>
    <definedName name="cb_Chart_69605_opts" hidden="1">"1, 2, 1, False, 2, False, False, , 0, False, False, 2, 1"</definedName>
    <definedName name="cb_Chart_7_opts" hidden="1">"2, 1, 2, True, 2, False, False, , 0, False, True, 1, 2"</definedName>
    <definedName name="cb_Chart_70_opts" hidden="1">"1, 10, 1, False, 2, True, False, , 0, False, False, 1, 1"</definedName>
    <definedName name="cb_Chart_70648_opts" hidden="1">"1, 1, 1, False, 2, True, False, , 0, False, False, 2, 2"</definedName>
    <definedName name="cb_Chart_70997_opts" hidden="1">"1, 10, 1, False, 2, False, False, , 0, False, False, 1, 1"</definedName>
    <definedName name="cb_Chart_71_opts" hidden="1">"1, 10, 1, False, 2, False, False, , 0, False, False, 1, 1"</definedName>
    <definedName name="cb_Chart_72_opts" hidden="1">"1, 10, 1, False, 2, True, False, , 0, False, False, 1, 1"</definedName>
    <definedName name="cb_Chart_73_opts" hidden="1">"1, 10, 1, False, 2, False, False, , 0, False, False, 1, 1"</definedName>
    <definedName name="cb_Chart_76165_opts" hidden="1">"1, 10, 1, False, 2, True, False, , 0, False, False, 2, 2"</definedName>
    <definedName name="cb_Chart_76804_opts" hidden="1">"1, 1, 1, False, 2, False, False, , 0, False, False, 1, 1"</definedName>
    <definedName name="cb_Chart_77567_opts" hidden="1">"1, 10, 1, False, 2, False, False, , 0, False, False, 1, 1"</definedName>
    <definedName name="cb_Chart_79140_opts" hidden="1">"1, 10, 1, False, 2, True, False, , 0, False, False, 2, 2"</definedName>
    <definedName name="cb_Chart_79981_opts" hidden="1">"1, 5, 1, False, 2, True, False, , 0, True, False, 2, 1"</definedName>
    <definedName name="cb_Chart_8_opts" hidden="1">"2, 1, 2, True, 2, False, False, , 0, False, True, 1, 2"</definedName>
    <definedName name="cb_Chart_81541_opts" hidden="1">"1, 10, 1, False, 2, True, False, , 0, False, False, 2, 2"</definedName>
    <definedName name="cb_Chart_82552_opts" hidden="1">"1, 1, 1, False, 2, True, False, , 0, False, False, 1, 2"</definedName>
    <definedName name="cb_Chart_83072_opts" hidden="1">"1, 1, 1, False, 2, True, False, , 0, False, False, 1, 2"</definedName>
    <definedName name="cb_Chart_86354_opts" hidden="1">"1, 10, 1, False, 2, False, False, , 0, False, False, 1, 1"</definedName>
    <definedName name="cb_Chart_87236_opts" hidden="1">"1, 1, 1, False, 2, True, False, , 0, False, False, 1, 2"</definedName>
    <definedName name="cb_Chart_9_opts" hidden="1">"1, 8, 1, False, 2, False, False, , 0, False, False, 1, 1"</definedName>
    <definedName name="cb_Chart_91188_opts" hidden="1">"1, 8, 1, False, 2, False, False, , 0, False, False, 1, 2"</definedName>
    <definedName name="cb_Chart_95047_opts" hidden="1">"1, 1, 1, False, 2, False, False, , 0, False, False, 1, 2"</definedName>
    <definedName name="cb_Chart_96286_opts" hidden="1">"1, 10, 1, False, 2, True, False, , 0, False, False, 2, 2"</definedName>
    <definedName name="cb_Chart_98091_opts" hidden="1">"1, 2, 1, False, 2, False, False, , 0, False, False, 2, 1"</definedName>
    <definedName name="cb_Chart_98700_opts" hidden="1">"1, 8, 1, False, 2, False, False, , 0, False, False, 1, 2"</definedName>
    <definedName name="cb_Copy_Chart_w_New_DataChart_10_opts" hidden="1">"2, 1, 1, True, 4, False, False, , 0, False, False, 2, 2"</definedName>
    <definedName name="cb_Copy_Chart_w_New_DataChart_7_opts" hidden="1">"2, 1, 1, True, 4, False, False, , 0, False, False, 2, 2"</definedName>
    <definedName name="cb_Copy_Chart_w_New_DataChart_8_opts" hidden="1">"2, 1, 1, True, 4, False, False, , 0, False, False, 2, 2"</definedName>
    <definedName name="cb_Copy_Chart_w_New_DataChart_9_opts" hidden="1">"2, 1, 1, True, 4, False, False, , 0, False, False, 2, 2"</definedName>
    <definedName name="cb_Dimension_Pie_ChartsChart_1_opts" hidden="1">"1, 1, 1, False, 2, True, False, , 0, False, False, 2, 2"</definedName>
    <definedName name="cb_Dimension_Pie_ChartsChart_2_opts" hidden="1">"1, 10, 1, False, 2, True, False, , 0, False, False, 2, 2"</definedName>
    <definedName name="cb_Export_LegendChart_14_opts" hidden="1">"1, 10, 1, False, 2, True, False, , 0, False, False, 2, 2"</definedName>
    <definedName name="cb_Export_LegendChart_15_opts" hidden="1">"1, 10, 1, False, 2, True, False, , 0, False, False, 2, 2"</definedName>
    <definedName name="cb_PieChart_16_opts" hidden="1">"1, 10, 1, False, 2, True, False, , 0, False, False, 2, 2"</definedName>
    <definedName name="cb_sChart_1501_opts" hidden="1">"1, 2, 1, False, 2, False, False, , 0, False, False, 2, 1"</definedName>
    <definedName name="cb_sChart_26476_opts" hidden="1">"1, 4, 1, False, 2, True, False, , 0, False, False, 1, 2"</definedName>
    <definedName name="cb_sChart_28031_opts" hidden="1">"1, 4, 1, False, 2, True, False, , 0, False, False, 1, 1"</definedName>
    <definedName name="cb_sChart_29053_opts" hidden="1">"1, 2, 1, False, 2, False, False, , 0, False, False, 2, 1"</definedName>
    <definedName name="cb_sChart_29913_opts" hidden="1">"1, 3, 1, False, 2, False, False, , 0, False, True, 2, 2"</definedName>
    <definedName name="cb_sChart_30292_opts" hidden="1">"1, 2, 1, False, 2, False, False, , 0, False, False, 2, 1"</definedName>
    <definedName name="cb_sChart_36498_opts" hidden="1">"1, 3, 1, False, 2, False, False, , 0, False, False, 1, 2"</definedName>
    <definedName name="cb_sChart_37450_opts" hidden="1">"1, 1, 1, False, 2, True, False, , 0, False, False, 1, 2"</definedName>
    <definedName name="cb_sChart_41499_opts" hidden="1">"1, 2, 1, False, 2, False, False, , 0, False, False, 2, 1"</definedName>
    <definedName name="cb_sChart_4634_opts" hidden="1">"1, 2, 1, False, 2, False, False, , 0, False, False, 2, 1"</definedName>
    <definedName name="cb_sChart_46965_opts" hidden="1">"1, 1, 1, False, 2, False, False, , 0, False, False, 1, 1"</definedName>
    <definedName name="cb_sChart_52582_opts" hidden="1">"1, 5, 1, False, 2, False, False, , 0, False, True, 1, 2"</definedName>
    <definedName name="cb_sChart_53437_opts" hidden="1">"1, 1, 1, False, 2, True, False, , 0, False, False, 1, 2"</definedName>
    <definedName name="cb_sChart_5449_opts" hidden="1">"1, 3, 1, False, 2, False, False, , 0, False, True, 2, 2"</definedName>
    <definedName name="cb_sChart_5723_opts" hidden="1">"1, 1, 1, False, 2, True, False, , 0, False, False, 2, 1"</definedName>
    <definedName name="cb_sChart_58046_opts" hidden="1">"1, 1, 1, False, 2, True, False, , 0, False, False, 1, 2"</definedName>
    <definedName name="cb_sChart_59010_opts" hidden="1">"1, 5, 1, False, 2, True, False, , 0, False, False, 2, 1"</definedName>
    <definedName name="cb_sChart_59340_opts" hidden="1">"1, 3, 1, False, 2, False, False, , 0, False, True, 2, 2"</definedName>
    <definedName name="cb_sChart_62364_opts" hidden="1">"1, 3, 1, False, 2, False, False, , 0, False, True, 2, 2"</definedName>
    <definedName name="cb_sChart_64876_opts" hidden="1">"1, 5, 1, False, 2, True, False, , 0, False, False, 2, 2"</definedName>
    <definedName name="cb_sChart_70648_opts" hidden="1">"1, 1, 1, False, 2, False, False, , 0, False, False, 1, 1"</definedName>
    <definedName name="cb_sChart_70997_opts" hidden="1">"1, 2, 1, False, 2, False, False, , 0, False, False, 2, 1"</definedName>
    <definedName name="cb_sChart_76165_opts" hidden="1">"1, 2, 1, False, 2, False, False, , 0, False, False, 2, 1"</definedName>
    <definedName name="cb_sChart_76804_opts" hidden="1">"1, 3, 1, False, 2, False, False, , 0, False, True, 2, 2"</definedName>
    <definedName name="cb_sChart_77567_opts" hidden="1">"1, 2, 1, False, 2, False, False, , 0, False, False, 2, 1"</definedName>
    <definedName name="cb_sChart_79140_opts" hidden="1">"1, 1, 1, False, 2, True, False, , 0, False, False, 1, 2"</definedName>
    <definedName name="cb_sChart_81541_opts" hidden="1">"1, 2, 1, False, 2, False, False, , 0, False, False, 2, 1"</definedName>
    <definedName name="cb_sChart_82552_opts" hidden="1">"1, 4, 1, False, 2, True, False, , 0, False, False, 2, 1"</definedName>
    <definedName name="cb_sChart_83072_opts" hidden="1">"1, 4, 1, False, 2, True, False, , 0, False, False, 2, 1"</definedName>
    <definedName name="cb_sChart_86354_opts" hidden="1">"1, 1, 1, False, 2, True, False, , 0, False, False, 1, 2"</definedName>
    <definedName name="cb_sChart_87236_opts" hidden="1">"1, 2, 1, False, 2, False, False, , 0, False, False, 2, 1"</definedName>
    <definedName name="cb_sChart_95047_opts" hidden="1">"1, 3, 1, False, 2, False, False, , 0, False, False, 1, 2"</definedName>
    <definedName name="cb_sChart_96286_opts" hidden="1">"1, 2, 1, False, 2, False, False, , 0, False, False, 2, 1"</definedName>
    <definedName name="cb_sChart11DCFB24_opts" hidden="1">"1, 9, 1, False, 2, False, False, , 0, False, True, 1, 1"</definedName>
    <definedName name="cb_sChart11EADA92_opts" hidden="1">"1, 1, 1, False, 2, False, False, , 0, False, True, 2, 2"</definedName>
    <definedName name="cb_sChart11EAED4A_opts" hidden="1">"1, 1, 1, False, 2, False, False, , 0, False, True, 2, 2"</definedName>
    <definedName name="cb_sChart11EB049E_opts" hidden="1">"1, 1, 1, False, 2, False, False, , 0, False, True, 2, 2"</definedName>
    <definedName name="cb_sChart11FB1BDC_opts" hidden="1">"1, 1, 1, False, 2, True, False, , 0, False, True, 2, 2"</definedName>
    <definedName name="cb_sChart11FB2467_opts" hidden="1">"1, 1, 1, False, 2, True, False, , 0, False, True, 2, 2"</definedName>
    <definedName name="cb_sChart11FB271E_opts" hidden="1">"1, 1, 1, False, 2, True, False, , 0, False, True, 2, 2"</definedName>
    <definedName name="cb_sChart11FB296C_opts" hidden="1">"1, 1, 1, False, 2, True, False, , 0, False, True, 2, 2"</definedName>
    <definedName name="cb_sChart11FB4DE8_opts" hidden="1">"1, 9, 1, False, 2, False, False, , 0, False, True, 1, 2"</definedName>
    <definedName name="cb_sChart11FCA363_opts" hidden="1">"2, 1, 2, True, 2, False, False, , 0, False, True, 2, 2"</definedName>
    <definedName name="cb_sChart11FCA851_opts" hidden="1">"2, 1, 2, True, 2, False, False, , 0, False, True, 2, 2"</definedName>
    <definedName name="cb_sChart11FCE81C_opts" hidden="1">"1, 9, 1, False, 2, False, False, , 0, False, True, 2, 2"</definedName>
    <definedName name="cb_sChart12073B79_opts" hidden="1">"1, 9, 1, False, 2, False, False, , 0, False, True, 2, 2"</definedName>
    <definedName name="cb_sChart12074F69_opts" hidden="1">"1, 9, 1, False, 2, False, False, , 0, False, True, 2, 2"</definedName>
    <definedName name="cb_sChart1216F828_opts" hidden="1">"2, 1, 1, False, 2, False, False, , 0, False, True, 2, 2"</definedName>
    <definedName name="cb_sChart122574E1_opts" hidden="1">"1, 1, 1, False, 2, False, False, , 0, False, True, 2, 2"</definedName>
    <definedName name="cb_sChart12285211_opts" hidden="1">"1, 9, 1, False, 2, False, False, , 0, False, False, 1, 2"</definedName>
    <definedName name="cb_sChart12291B1F_opts" hidden="1">"2, 1, 1, True, 3, False, False, , 0, False, False, 1, 2"</definedName>
    <definedName name="cb_sChart1248DE96_opts" hidden="1">"1, 9, 1, False, 2, False, False, , 0, False, False, 1, 2"</definedName>
    <definedName name="cb_sChart1248E206_opts" hidden="1">"1, 9, 1, False, 2, False, False, , 0, False, False, 1, 2"</definedName>
    <definedName name="cb_sChart15CA0E0A_opts" hidden="1">"1, 9, 1, False, 2, False, False, , 0, False, False, 1, 2"</definedName>
    <definedName name="cb_sChart15CA1FFD_opts" hidden="1">"1, 10, 1, False, 2, False, False, , 0, False, False, 1, 1"</definedName>
    <definedName name="cb_sChart15CA20AB_opts" hidden="1">"1, 9, 1, False, 2, False, False, , 0, False, False, 1, 1"</definedName>
    <definedName name="cb_sChart15CA2F5C_opts" hidden="1">"1, 9, 1, False, 2, False, False, , 0, False, False, 1, 1"</definedName>
    <definedName name="cb_sChart15CA30C3_opts" hidden="1">"1, 9, 1, False, 2, False, False, , 0, False, True, 1, 1"</definedName>
    <definedName name="cb_sChart1A3873A1_opts" hidden="1">"1, 1, 1, False, 2, True, False, , 0, False, True, 1, 1"</definedName>
    <definedName name="cb_sChart1A3875D8_opts" hidden="1">"1, 1, 1, False, 2, False, False, , 0, False, False, 1, 1"</definedName>
    <definedName name="cb_sChart1A3877BF_opts" hidden="1">"1, 1, 1, False, 2, True, False, , 0, False, True, 1, 1"</definedName>
    <definedName name="cb_sChart1A387878_opts" hidden="1">"1, 1, 1, False, 2, True, False, , 0, False, True, 1, 1"</definedName>
    <definedName name="cb_sChart1A387AF4_opts" hidden="1">"1, 3, 1, False, 2, False, False, , 0, False, False, 1, 1"</definedName>
    <definedName name="cb_sChart1A38BEAE_opts" hidden="1">"1, 10, 1, False, 2, True, False, , 0, False, False, 1, 1"</definedName>
    <definedName name="cb_sChart1A43A019_opts" hidden="1">"1, 1, 1, False, 2, True, False, , 0, False, False, 1, 1"</definedName>
    <definedName name="cb_sChart1A4414D6_opts" hidden="1">"1, 1, 1, False, 2, True, False, , 0, False, False, 1, 1"</definedName>
    <definedName name="cb_sChart1A4416BC_opts" hidden="1">"1, 1, 1, False, 2, True, False, , 0, False, False, 1, 1"</definedName>
    <definedName name="cb_sChart1A4418D0_opts" hidden="1">"1, 1, 1, False, 2, True, False, , 0, False, False, 1, 1"</definedName>
    <definedName name="cb_sChart1A4419DA_opts" hidden="1">"1, 1, 1, False, 2, True, False, , 0, False, False, 1, 1"</definedName>
    <definedName name="cb_sChart41E9A35_opts" hidden="1">"1, 9, 1, False, 2, False, False, , 0, False, True, 1, 1"</definedName>
    <definedName name="cb_sChart7F59C8D_opts" hidden="1">"1, 4, 1, False, 2, False, False, , 0, False, False, 1, 1"</definedName>
    <definedName name="cb_sChart7F59D80_opts" hidden="1">"1, 1, 1, False, 2, True, False, , 0, False, False, 1, 1"</definedName>
    <definedName name="cb_sChart7F5A913_opts" hidden="1">"1, 1, 1, False, 2, True, False, , 0, False, False, 3, 1"</definedName>
    <definedName name="cb_sChart7F5AA63_opts" hidden="1">"1, 1, 1, False, 2, False, False, , 0, False, False, 3, 1"</definedName>
    <definedName name="cb_sChart7F5AB6D_opts" hidden="1">"1, 1, 1, False, 2, False, False, , 0, False, False, 3, 1"</definedName>
    <definedName name="cb_sChart7F5AED1_opts" hidden="1">"1, 1, 1, False, 2, False, False, , 0, False, False, 3, 1"</definedName>
    <definedName name="cb_sChartD68BCC9_opts" hidden="1">"1, 1, 1, False, 2, True, False, , 0, False, True, 1, 1"</definedName>
    <definedName name="cb_sChartD6B06A2_opts" hidden="1">"1, 1, 1, False, 2, False, False, , 0, False, False, 2, 2"</definedName>
    <definedName name="cb_sChartD6B1FA3_opts" hidden="1">"1, 1, 1, False, 2, False, False, , 0, False, False, 2, 2"</definedName>
    <definedName name="cb_sChartD6B69B1_opts" hidden="1">"1, 1, 1, False, 2, False, False, , 0, False, False, 1, 2"</definedName>
    <definedName name="cb_sChartD6B76F0_opts" hidden="1">"2, 1, 1, False, 2, False, False, , 0, False, False, 1, 2"</definedName>
    <definedName name="cb_sChartD6B943C_opts" hidden="1">"2, 1, 1, False, 3, False, False, , 0, False, False, 1, 2"</definedName>
    <definedName name="cb_sChartD6C1C01_opts" hidden="1">"2, 1, 1, True, 2, False, False, , 0, False, False, 1, 2"</definedName>
    <definedName name="cb_sChartD6FD60D_opts" hidden="1">"1, 1, 1, False, 2, False, False, , 0, False, False, 1, 1"</definedName>
    <definedName name="cb_sChartD78B484_opts" hidden="1">"2, 1, 1, False, 2, True, False, , 0, False, False, 1, 2"</definedName>
    <definedName name="cb_sChartD78C2AA_opts" hidden="1">"2, 1, 1, True, 2, True, False, , 0, False, False, 1, 2"</definedName>
    <definedName name="cb_sChartD78C76A_opts" hidden="1">"2, 1, 1, True, 2, True, False, , 0, False, False, 1, 1"</definedName>
    <definedName name="cb_sChartD78CF99_opts" hidden="1">"2, 1, 3, True, 2, False, False, , 0, False, False, 1, 1"</definedName>
    <definedName name="cb_sChartD78D2CE_opts" hidden="1">"1, 1, 1, False, 2, False, False, , 0, False, False, 1, 2"</definedName>
    <definedName name="cb_sChartD78D365_opts" hidden="1">"1, 1, 1, False, 2, False, False, , 0, False, False, 1, 2"</definedName>
    <definedName name="cb_sChartD78D5B3_opts" hidden="1">"1, 1, 1, False, 2, False, False, , 0, False, False, 1, 2"</definedName>
    <definedName name="cb_sChartD78D655_opts" hidden="1">"1, 1, 1, False, 2, True, False, , 0, False, False, 1, 2"</definedName>
    <definedName name="cb_sChartD78DFD4_opts" hidden="1">"2, 1, 1, True, 2, False, False, , 0, False, False, 1, 2"</definedName>
    <definedName name="cb_sChartD78E27F_opts" hidden="1">"2, 1, 1, True, 2, False, False, , 0, False, False, 1, 2"</definedName>
    <definedName name="cb_sChartD78E924_opts" hidden="1">"2, 1, 1, True, 3, False, False, , 0, False, False, 1, 2"</definedName>
    <definedName name="cb_sChartD7A9852_opts" hidden="1">"2, 1, 1, True, 3, False, False, , 0, False, False, 1, 2"</definedName>
    <definedName name="cb_Size_by_height_and_widthChart_16_opts" hidden="1">"1, 4, 1, False, 2, False, False, , 0, False, False, 1, 1"</definedName>
    <definedName name="cb_Size_by_height_and_widthChart_7_opts" hidden="1">"1, 4, 1, False, 2, False, False, , 0, False, False, 1, 1"</definedName>
    <definedName name="cb_Size_by_height_and_widthChart_8_opts" hidden="1">"1, 4, 1, False, 2, False, False, , 0, False, False, 1, 1"</definedName>
    <definedName name="CBWorkbookPriority" hidden="1">-1959504492</definedName>
    <definedName name="CHI_NET">120</definedName>
    <definedName name="CIQWBGuid" localSheetId="79" hidden="1">"fbe512cc-6749-4c8e-993d-8a4c49fb67e0"</definedName>
    <definedName name="CIQWBGuid" localSheetId="80" hidden="1">"fbe512cc-6749-4c8e-993d-8a4c49fb67e0"</definedName>
    <definedName name="CIQWBGuid" localSheetId="57" hidden="1">"Merck Co Inc NYSE MRK Fixed Income Securities Summary.xls"</definedName>
    <definedName name="CIQWBGuid" hidden="1">"4c317e69-d429-41e3-b46a-b4c398e620fd"</definedName>
    <definedName name="CIQWBGuid2" hidden="1">"Capital IQ Ratios.xlsm"</definedName>
    <definedName name="Clondalkin" localSheetId="47">{"page 1";"page 2";"notes";"summary";"source";"analys";"covrge";"roea"}</definedName>
    <definedName name="Clondalkin" localSheetId="57">{"page 1";"page 2";"notes";"summary";"source";"analys";"covrge";"roea"}</definedName>
    <definedName name="Clondalkin">{"page 1";"page 2";"notes";"summary";"source";"analys";"covrge";"roea"}</definedName>
    <definedName name="COBRA" localSheetId="55" hidden="1">{#N/A,#N/A,FALSE,"softdraw";#N/A,#N/A,FALSE,"linereclass";"northpint loan",#N/A,FALSE,"LOAN"}</definedName>
    <definedName name="COBRA" localSheetId="93" hidden="1">{#N/A,#N/A,FALSE,"softdraw";#N/A,#N/A,FALSE,"linereclass";"northpint loan",#N/A,FALSE,"LOAN"}</definedName>
    <definedName name="COBRA" localSheetId="12" hidden="1">{#N/A,#N/A,FALSE,"softdraw";#N/A,#N/A,FALSE,"linereclass";"northpint loan",#N/A,FALSE,"LOAN"}</definedName>
    <definedName name="COBRA" localSheetId="47" hidden="1">{#N/A,#N/A,FALSE,"softdraw";#N/A,#N/A,FALSE,"linereclass";"northpint loan",#N/A,FALSE,"LOAN"}</definedName>
    <definedName name="COBRA" localSheetId="15" hidden="1">{#N/A,#N/A,FALSE,"softdraw";#N/A,#N/A,FALSE,"linereclass";"northpint loan",#N/A,FALSE,"LOAN"}</definedName>
    <definedName name="COBRA" localSheetId="101" hidden="1">{#N/A,#N/A,FALSE,"softdraw";#N/A,#N/A,FALSE,"linereclass";"northpint loan",#N/A,FALSE,"LOAN"}</definedName>
    <definedName name="COBRA" localSheetId="39" hidden="1">{#N/A,#N/A,FALSE,"softdraw";#N/A,#N/A,FALSE,"linereclass";"northpint loan",#N/A,FALSE,"LOAN"}</definedName>
    <definedName name="COBRA" localSheetId="64" hidden="1">{#N/A,#N/A,FALSE,"softdraw";#N/A,#N/A,FALSE,"linereclass";"northpint loan",#N/A,FALSE,"LOAN"}</definedName>
    <definedName name="COBRA" localSheetId="54" hidden="1">{#N/A,#N/A,FALSE,"softdraw";#N/A,#N/A,FALSE,"linereclass";"northpint loan",#N/A,FALSE,"LOAN"}</definedName>
    <definedName name="COBRA" localSheetId="13" hidden="1">{#N/A,#N/A,FALSE,"softdraw";#N/A,#N/A,FALSE,"linereclass";"northpint loan",#N/A,FALSE,"LOAN"}</definedName>
    <definedName name="COBRA" localSheetId="63" hidden="1">{#N/A,#N/A,FALSE,"softdraw";#N/A,#N/A,FALSE,"linereclass";"northpint loan",#N/A,FALSE,"LOAN"}</definedName>
    <definedName name="COBRA" localSheetId="31" hidden="1">{#N/A,#N/A,FALSE,"softdraw";#N/A,#N/A,FALSE,"linereclass";"northpint loan",#N/A,FALSE,"LOAN"}</definedName>
    <definedName name="COBRA" localSheetId="45" hidden="1">{#N/A,#N/A,FALSE,"softdraw";#N/A,#N/A,FALSE,"linereclass";"northpint loan",#N/A,FALSE,"LOAN"}</definedName>
    <definedName name="COBRA" localSheetId="90" hidden="1">{#N/A,#N/A,FALSE,"softdraw";#N/A,#N/A,FALSE,"linereclass";"northpint loan",#N/A,FALSE,"LOAN"}</definedName>
    <definedName name="COBRA" localSheetId="19" hidden="1">{#N/A,#N/A,FALSE,"softdraw";#N/A,#N/A,FALSE,"linereclass";"northpint loan",#N/A,FALSE,"LOAN"}</definedName>
    <definedName name="COBRA" localSheetId="57" hidden="1">{#N/A,#N/A,FALSE,"softdraw";#N/A,#N/A,FALSE,"linereclass";"northpint loan",#N/A,FALSE,"LOAN"}</definedName>
    <definedName name="COBRA" hidden="1">{#N/A,#N/A,FALSE,"softdraw";#N/A,#N/A,FALSE,"linereclass";"northpint loan",#N/A,FALSE,"LOAN"}</definedName>
    <definedName name="COBRA1" localSheetId="55" hidden="1">{#N/A,#N/A,FALSE,"softdraw";#N/A,#N/A,FALSE,"linereclass";"northpint loan",#N/A,FALSE,"LOAN"}</definedName>
    <definedName name="COBRA1" localSheetId="93" hidden="1">{#N/A,#N/A,FALSE,"softdraw";#N/A,#N/A,FALSE,"linereclass";"northpint loan",#N/A,FALSE,"LOAN"}</definedName>
    <definedName name="COBRA1" localSheetId="12" hidden="1">{#N/A,#N/A,FALSE,"softdraw";#N/A,#N/A,FALSE,"linereclass";"northpint loan",#N/A,FALSE,"LOAN"}</definedName>
    <definedName name="COBRA1" localSheetId="47" hidden="1">{#N/A,#N/A,FALSE,"softdraw";#N/A,#N/A,FALSE,"linereclass";"northpint loan",#N/A,FALSE,"LOAN"}</definedName>
    <definedName name="COBRA1" localSheetId="15" hidden="1">{#N/A,#N/A,FALSE,"softdraw";#N/A,#N/A,FALSE,"linereclass";"northpint loan",#N/A,FALSE,"LOAN"}</definedName>
    <definedName name="COBRA1" localSheetId="101" hidden="1">{#N/A,#N/A,FALSE,"softdraw";#N/A,#N/A,FALSE,"linereclass";"northpint loan",#N/A,FALSE,"LOAN"}</definedName>
    <definedName name="COBRA1" localSheetId="39" hidden="1">{#N/A,#N/A,FALSE,"softdraw";#N/A,#N/A,FALSE,"linereclass";"northpint loan",#N/A,FALSE,"LOAN"}</definedName>
    <definedName name="COBRA1" localSheetId="64" hidden="1">{#N/A,#N/A,FALSE,"softdraw";#N/A,#N/A,FALSE,"linereclass";"northpint loan",#N/A,FALSE,"LOAN"}</definedName>
    <definedName name="COBRA1" localSheetId="54" hidden="1">{#N/A,#N/A,FALSE,"softdraw";#N/A,#N/A,FALSE,"linereclass";"northpint loan",#N/A,FALSE,"LOAN"}</definedName>
    <definedName name="COBRA1" localSheetId="13" hidden="1">{#N/A,#N/A,FALSE,"softdraw";#N/A,#N/A,FALSE,"linereclass";"northpint loan",#N/A,FALSE,"LOAN"}</definedName>
    <definedName name="COBRA1" localSheetId="63" hidden="1">{#N/A,#N/A,FALSE,"softdraw";#N/A,#N/A,FALSE,"linereclass";"northpint loan",#N/A,FALSE,"LOAN"}</definedName>
    <definedName name="COBRA1" localSheetId="31" hidden="1">{#N/A,#N/A,FALSE,"softdraw";#N/A,#N/A,FALSE,"linereclass";"northpint loan",#N/A,FALSE,"LOAN"}</definedName>
    <definedName name="COBRA1" localSheetId="45" hidden="1">{#N/A,#N/A,FALSE,"softdraw";#N/A,#N/A,FALSE,"linereclass";"northpint loan",#N/A,FALSE,"LOAN"}</definedName>
    <definedName name="COBRA1" localSheetId="90" hidden="1">{#N/A,#N/A,FALSE,"softdraw";#N/A,#N/A,FALSE,"linereclass";"northpint loan",#N/A,FALSE,"LOAN"}</definedName>
    <definedName name="COBRA1" localSheetId="19" hidden="1">{#N/A,#N/A,FALSE,"softdraw";#N/A,#N/A,FALSE,"linereclass";"northpint loan",#N/A,FALSE,"LOAN"}</definedName>
    <definedName name="COBRA1" localSheetId="57" hidden="1">{#N/A,#N/A,FALSE,"softdraw";#N/A,#N/A,FALSE,"linereclass";"northpint loan",#N/A,FALSE,"LOAN"}</definedName>
    <definedName name="COBRA1" hidden="1">{#N/A,#N/A,FALSE,"softdraw";#N/A,#N/A,FALSE,"linereclass";"northpint loan",#N/A,FALSE,"LOAN"}</definedName>
    <definedName name="COGS" localSheetId="59">#REF!,#REF!</definedName>
    <definedName name="COGS" localSheetId="60">#REF!,#REF!</definedName>
    <definedName name="COGS">#REF!,#REF!</definedName>
    <definedName name="Company_Name" hidden="1">[11]Settings!$C$56</definedName>
    <definedName name="CompanyName">[12]Setup!$C$1</definedName>
    <definedName name="Comparison" localSheetId="47">{1}</definedName>
    <definedName name="Comparison" localSheetId="57">{1}</definedName>
    <definedName name="Comparison">{1}</definedName>
    <definedName name="compnam" localSheetId="106" hidden="1">[13]KeyMultInputs!#REF!</definedName>
    <definedName name="compnam" localSheetId="95" hidden="1">[13]KeyMultInputs!#REF!</definedName>
    <definedName name="compnam" localSheetId="94" hidden="1">[13]KeyMultInputs!#REF!</definedName>
    <definedName name="compnam" localSheetId="102" hidden="1">[13]KeyMultInputs!#REF!</definedName>
    <definedName name="compnam" localSheetId="55" hidden="1">[13]KeyMultInputs!#REF!</definedName>
    <definedName name="compnam" localSheetId="59" hidden="1">[13]KeyMultInputs!#REF!</definedName>
    <definedName name="compnam" localSheetId="93" hidden="1">[13]KeyMultInputs!#REF!</definedName>
    <definedName name="compnam" localSheetId="62" hidden="1">[13]KeyMultInputs!#REF!</definedName>
    <definedName name="compnam" localSheetId="47" hidden="1">[13]KeyMultInputs!#REF!</definedName>
    <definedName name="compnam" localSheetId="101" hidden="1">[13]KeyMultInputs!#REF!</definedName>
    <definedName name="compnam" localSheetId="46" hidden="1">[13]KeyMultInputs!#REF!</definedName>
    <definedName name="compnam" localSheetId="60" hidden="1">[13]KeyMultInputs!#REF!</definedName>
    <definedName name="compnam" localSheetId="58" hidden="1">[13]KeyMultInputs!#REF!</definedName>
    <definedName name="compnam" localSheetId="64" hidden="1">[13]KeyMultInputs!#REF!</definedName>
    <definedName name="compnam" localSheetId="63" hidden="1">[13]KeyMultInputs!#REF!</definedName>
    <definedName name="compnam" localSheetId="104" hidden="1">[13]KeyMultInputs!#REF!</definedName>
    <definedName name="compnam" localSheetId="96" hidden="1">[13]KeyMultInputs!#REF!</definedName>
    <definedName name="compnam" localSheetId="61" hidden="1">[13]KeyMultInputs!#REF!</definedName>
    <definedName name="compnam" localSheetId="90" hidden="1">[13]KeyMultInputs!#REF!</definedName>
    <definedName name="compnam" hidden="1">[13]KeyMultInputs!#REF!</definedName>
    <definedName name="copy" localSheetId="55" hidden="1">{#N/A,#N/A,FALSE,"Title Page";#N/A,#N/A,FALSE,"Conclusions";#N/A,#N/A,FALSE,"Assum.";#N/A,#N/A,FALSE,"Sun  DCF-WC-Dep";#N/A,#N/A,FALSE,"MarketValue";#N/A,#N/A,FALSE,"BalSheet";#N/A,#N/A,FALSE,"WACC";#N/A,#N/A,FALSE,"PC+ Info.";#N/A,#N/A,FALSE,"PC+Info_2"}</definedName>
    <definedName name="copy" localSheetId="59" hidden="1">{#N/A,#N/A,FALSE,"Title Page";#N/A,#N/A,FALSE,"Conclusions";#N/A,#N/A,FALSE,"Assum.";#N/A,#N/A,FALSE,"Sun  DCF-WC-Dep";#N/A,#N/A,FALSE,"MarketValue";#N/A,#N/A,FALSE,"BalSheet";#N/A,#N/A,FALSE,"WACC";#N/A,#N/A,FALSE,"PC+ Info.";#N/A,#N/A,FALSE,"PC+Info_2"}</definedName>
    <definedName name="copy" localSheetId="93" hidden="1">{#N/A,#N/A,FALSE,"Title Page";#N/A,#N/A,FALSE,"Conclusions";#N/A,#N/A,FALSE,"Assum.";#N/A,#N/A,FALSE,"Sun  DCF-WC-Dep";#N/A,#N/A,FALSE,"MarketValue";#N/A,#N/A,FALSE,"BalSheet";#N/A,#N/A,FALSE,"WACC";#N/A,#N/A,FALSE,"PC+ Info.";#N/A,#N/A,FALSE,"PC+Info_2"}</definedName>
    <definedName name="copy" localSheetId="12" hidden="1">{#N/A,#N/A,FALSE,"Title Page";#N/A,#N/A,FALSE,"Conclusions";#N/A,#N/A,FALSE,"Assum.";#N/A,#N/A,FALSE,"Sun  DCF-WC-Dep";#N/A,#N/A,FALSE,"MarketValue";#N/A,#N/A,FALSE,"BalSheet";#N/A,#N/A,FALSE,"WACC";#N/A,#N/A,FALSE,"PC+ Info.";#N/A,#N/A,FALSE,"PC+Info_2"}</definedName>
    <definedName name="copy" localSheetId="62" hidden="1">{#N/A,#N/A,FALSE,"Title Page";#N/A,#N/A,FALSE,"Conclusions";#N/A,#N/A,FALSE,"Assum.";#N/A,#N/A,FALSE,"Sun  DCF-WC-Dep";#N/A,#N/A,FALSE,"MarketValue";#N/A,#N/A,FALSE,"BalSheet";#N/A,#N/A,FALSE,"WACC";#N/A,#N/A,FALSE,"PC+ Info.";#N/A,#N/A,FALSE,"PC+Info_2"}</definedName>
    <definedName name="copy" localSheetId="47" hidden="1">{#N/A,#N/A,FALSE,"Title Page";#N/A,#N/A,FALSE,"Conclusions";#N/A,#N/A,FALSE,"Assum.";#N/A,#N/A,FALSE,"Sun  DCF-WC-Dep";#N/A,#N/A,FALSE,"MarketValue";#N/A,#N/A,FALSE,"BalSheet";#N/A,#N/A,FALSE,"WACC";#N/A,#N/A,FALSE,"PC+ Info.";#N/A,#N/A,FALSE,"PC+Info_2"}</definedName>
    <definedName name="copy" localSheetId="15" hidden="1">{#N/A,#N/A,FALSE,"Title Page";#N/A,#N/A,FALSE,"Conclusions";#N/A,#N/A,FALSE,"Assum.";#N/A,#N/A,FALSE,"Sun  DCF-WC-Dep";#N/A,#N/A,FALSE,"MarketValue";#N/A,#N/A,FALSE,"BalSheet";#N/A,#N/A,FALSE,"WACC";#N/A,#N/A,FALSE,"PC+ Info.";#N/A,#N/A,FALSE,"PC+Info_2"}</definedName>
    <definedName name="copy" localSheetId="101" hidden="1">{#N/A,#N/A,FALSE,"Title Page";#N/A,#N/A,FALSE,"Conclusions";#N/A,#N/A,FALSE,"Assum.";#N/A,#N/A,FALSE,"Sun  DCF-WC-Dep";#N/A,#N/A,FALSE,"MarketValue";#N/A,#N/A,FALSE,"BalSheet";#N/A,#N/A,FALSE,"WACC";#N/A,#N/A,FALSE,"PC+ Info.";#N/A,#N/A,FALSE,"PC+Info_2"}</definedName>
    <definedName name="copy" localSheetId="60" hidden="1">{#N/A,#N/A,FALSE,"Title Page";#N/A,#N/A,FALSE,"Conclusions";#N/A,#N/A,FALSE,"Assum.";#N/A,#N/A,FALSE,"Sun  DCF-WC-Dep";#N/A,#N/A,FALSE,"MarketValue";#N/A,#N/A,FALSE,"BalSheet";#N/A,#N/A,FALSE,"WACC";#N/A,#N/A,FALSE,"PC+ Info.";#N/A,#N/A,FALSE,"PC+Info_2"}</definedName>
    <definedName name="copy" localSheetId="39" hidden="1">{#N/A,#N/A,FALSE,"Title Page";#N/A,#N/A,FALSE,"Conclusions";#N/A,#N/A,FALSE,"Assum.";#N/A,#N/A,FALSE,"Sun  DCF-WC-Dep";#N/A,#N/A,FALSE,"MarketValue";#N/A,#N/A,FALSE,"BalSheet";#N/A,#N/A,FALSE,"WACC";#N/A,#N/A,FALSE,"PC+ Info.";#N/A,#N/A,FALSE,"PC+Info_2"}</definedName>
    <definedName name="copy" localSheetId="58" hidden="1">{#N/A,#N/A,FALSE,"Title Page";#N/A,#N/A,FALSE,"Conclusions";#N/A,#N/A,FALSE,"Assum.";#N/A,#N/A,FALSE,"Sun  DCF-WC-Dep";#N/A,#N/A,FALSE,"MarketValue";#N/A,#N/A,FALSE,"BalSheet";#N/A,#N/A,FALSE,"WACC";#N/A,#N/A,FALSE,"PC+ Info.";#N/A,#N/A,FALSE,"PC+Info_2"}</definedName>
    <definedName name="copy" localSheetId="64" hidden="1">{#N/A,#N/A,FALSE,"Title Page";#N/A,#N/A,FALSE,"Conclusions";#N/A,#N/A,FALSE,"Assum.";#N/A,#N/A,FALSE,"Sun  DCF-WC-Dep";#N/A,#N/A,FALSE,"MarketValue";#N/A,#N/A,FALSE,"BalSheet";#N/A,#N/A,FALSE,"WACC";#N/A,#N/A,FALSE,"PC+ Info.";#N/A,#N/A,FALSE,"PC+Info_2"}</definedName>
    <definedName name="copy" localSheetId="54" hidden="1">{#N/A,#N/A,FALSE,"Title Page";#N/A,#N/A,FALSE,"Conclusions";#N/A,#N/A,FALSE,"Assum.";#N/A,#N/A,FALSE,"Sun  DCF-WC-Dep";#N/A,#N/A,FALSE,"MarketValue";#N/A,#N/A,FALSE,"BalSheet";#N/A,#N/A,FALSE,"WACC";#N/A,#N/A,FALSE,"PC+ Info.";#N/A,#N/A,FALSE,"PC+Info_2"}</definedName>
    <definedName name="copy" localSheetId="13" hidden="1">{#N/A,#N/A,FALSE,"Title Page";#N/A,#N/A,FALSE,"Conclusions";#N/A,#N/A,FALSE,"Assum.";#N/A,#N/A,FALSE,"Sun  DCF-WC-Dep";#N/A,#N/A,FALSE,"MarketValue";#N/A,#N/A,FALSE,"BalSheet";#N/A,#N/A,FALSE,"WACC";#N/A,#N/A,FALSE,"PC+ Info.";#N/A,#N/A,FALSE,"PC+Info_2"}</definedName>
    <definedName name="copy" localSheetId="63" hidden="1">{#N/A,#N/A,FALSE,"Title Page";#N/A,#N/A,FALSE,"Conclusions";#N/A,#N/A,FALSE,"Assum.";#N/A,#N/A,FALSE,"Sun  DCF-WC-Dep";#N/A,#N/A,FALSE,"MarketValue";#N/A,#N/A,FALSE,"BalSheet";#N/A,#N/A,FALSE,"WACC";#N/A,#N/A,FALSE,"PC+ Info.";#N/A,#N/A,FALSE,"PC+Info_2"}</definedName>
    <definedName name="copy" localSheetId="31" hidden="1">{#N/A,#N/A,FALSE,"Title Page";#N/A,#N/A,FALSE,"Conclusions";#N/A,#N/A,FALSE,"Assum.";#N/A,#N/A,FALSE,"Sun  DCF-WC-Dep";#N/A,#N/A,FALSE,"MarketValue";#N/A,#N/A,FALSE,"BalSheet";#N/A,#N/A,FALSE,"WACC";#N/A,#N/A,FALSE,"PC+ Info.";#N/A,#N/A,FALSE,"PC+Info_2"}</definedName>
    <definedName name="copy" localSheetId="61" hidden="1">{#N/A,#N/A,FALSE,"Title Page";#N/A,#N/A,FALSE,"Conclusions";#N/A,#N/A,FALSE,"Assum.";#N/A,#N/A,FALSE,"Sun  DCF-WC-Dep";#N/A,#N/A,FALSE,"MarketValue";#N/A,#N/A,FALSE,"BalSheet";#N/A,#N/A,FALSE,"WACC";#N/A,#N/A,FALSE,"PC+ Info.";#N/A,#N/A,FALSE,"PC+Info_2"}</definedName>
    <definedName name="copy" localSheetId="45" hidden="1">{#N/A,#N/A,FALSE,"Title Page";#N/A,#N/A,FALSE,"Conclusions";#N/A,#N/A,FALSE,"Assum.";#N/A,#N/A,FALSE,"Sun  DCF-WC-Dep";#N/A,#N/A,FALSE,"MarketValue";#N/A,#N/A,FALSE,"BalSheet";#N/A,#N/A,FALSE,"WACC";#N/A,#N/A,FALSE,"PC+ Info.";#N/A,#N/A,FALSE,"PC+Info_2"}</definedName>
    <definedName name="copy" localSheetId="90" hidden="1">{#N/A,#N/A,FALSE,"Title Page";#N/A,#N/A,FALSE,"Conclusions";#N/A,#N/A,FALSE,"Assum.";#N/A,#N/A,FALSE,"Sun  DCF-WC-Dep";#N/A,#N/A,FALSE,"MarketValue";#N/A,#N/A,FALSE,"BalSheet";#N/A,#N/A,FALSE,"WACC";#N/A,#N/A,FALSE,"PC+ Info.";#N/A,#N/A,FALSE,"PC+Info_2"}</definedName>
    <definedName name="copy" localSheetId="19" hidden="1">{#N/A,#N/A,FALSE,"Title Page";#N/A,#N/A,FALSE,"Conclusions";#N/A,#N/A,FALSE,"Assum.";#N/A,#N/A,FALSE,"Sun  DCF-WC-Dep";#N/A,#N/A,FALSE,"MarketValue";#N/A,#N/A,FALSE,"BalSheet";#N/A,#N/A,FALSE,"WACC";#N/A,#N/A,FALSE,"PC+ Info.";#N/A,#N/A,FALSE,"PC+Info_2"}</definedName>
    <definedName name="copy" localSheetId="57" hidden="1">{#N/A,#N/A,FALSE,"Title Page";#N/A,#N/A,FALSE,"Conclusions";#N/A,#N/A,FALSE,"Assum.";#N/A,#N/A,FALSE,"Sun  DCF-WC-Dep";#N/A,#N/A,FALSE,"MarketValue";#N/A,#N/A,FALSE,"BalSheet";#N/A,#N/A,FALSE,"WACC";#N/A,#N/A,FALSE,"PC+ Info.";#N/A,#N/A,FALSE,"PC+Info_2"}</definedName>
    <definedName name="copy" hidden="1">{#N/A,#N/A,FALSE,"Title Page";#N/A,#N/A,FALSE,"Conclusions";#N/A,#N/A,FALSE,"Assum.";#N/A,#N/A,FALSE,"Sun  DCF-WC-Dep";#N/A,#N/A,FALSE,"MarketValue";#N/A,#N/A,FALSE,"BalSheet";#N/A,#N/A,FALSE,"WACC";#N/A,#N/A,FALSE,"PC+ Info.";#N/A,#N/A,FALSE,"PC+Info_2"}</definedName>
    <definedName name="Country">[14]Dashboard!$AQ$22:$AQ$27</definedName>
    <definedName name="csDesignMode">1</definedName>
    <definedName name="CYR">"JANUARY 1, 2000"</definedName>
    <definedName name="d" localSheetId="47" hidden="1">{#N/A,#N/A,FALSE,"e-Svc Level";#N/A,#N/A,FALSE,"e-Hosted";#N/A,#N/A,FALSE,"e-Licensed";#N/A,#N/A,FALSE,"Assumptions"}</definedName>
    <definedName name="d" localSheetId="54" hidden="1">{#N/A,#N/A,FALSE,"e-Svc Level";#N/A,#N/A,FALSE,"e-Hosted";#N/A,#N/A,FALSE,"e-Licensed";#N/A,#N/A,FALSE,"Assumptions"}</definedName>
    <definedName name="d" hidden="1">{#N/A,#N/A,FALSE,"e-Svc Level";#N/A,#N/A,FALSE,"e-Hosted";#N/A,#N/A,FALSE,"e-Licensed";#N/A,#N/A,FALSE,"Assumptions"}</definedName>
    <definedName name="D.CompTickarray" localSheetId="47">{"SPAL","00000117","Price","S&amp;P 500","I0003"}</definedName>
    <definedName name="D.CompTickarray" localSheetId="57">{"SPAL","00000117","Price","S&amp;P 500","I0003"}</definedName>
    <definedName name="D.CompTickarray">{"SPAL","00000117","Price","S&amp;P 500","I0003"}</definedName>
    <definedName name="D.Tickarray" localSheetId="47">{"wac","93439010","Price"}</definedName>
    <definedName name="D.Tickarray" localSheetId="57">{"wac","93439010","Price"}</definedName>
    <definedName name="D.Tickarray">{"wac","93439010","Price"}</definedName>
    <definedName name="D_F" localSheetId="47">{"p1";"p2";"p3"}</definedName>
    <definedName name="D_F" localSheetId="57">{"p1";"p2";"p3"}</definedName>
    <definedName name="D_F">{"p1";"p2";"p3"}</definedName>
    <definedName name="D_NET">5</definedName>
    <definedName name="DA_2164615669000001165" localSheetId="106" hidden="1">'[15]2 Monthly Expense Actuals'!#REF!</definedName>
    <definedName name="DA_2164615669000001165" localSheetId="95" hidden="1">'[15]2 Monthly Expense Actuals'!#REF!</definedName>
    <definedName name="DA_2164615669000001165" localSheetId="94" hidden="1">'[15]2 Monthly Expense Actuals'!#REF!</definedName>
    <definedName name="DA_2164615669000001165" localSheetId="102" hidden="1">'[15]2 Monthly Expense Actuals'!#REF!</definedName>
    <definedName name="DA_2164615669000001165" localSheetId="55" hidden="1">'[16]2 Monthly Expense Actuals'!#REF!</definedName>
    <definedName name="DA_2164615669000001165" localSheetId="59" hidden="1">'[15]2 Monthly Expense Actuals'!#REF!</definedName>
    <definedName name="DA_2164615669000001165" localSheetId="47" hidden="1">'[15]2 Monthly Expense Actuals'!#REF!</definedName>
    <definedName name="DA_2164615669000001165" localSheetId="46" hidden="1">'[15]2 Monthly Expense Actuals'!#REF!</definedName>
    <definedName name="DA_2164615669000001165" localSheetId="60" hidden="1">'[15]2 Monthly Expense Actuals'!#REF!</definedName>
    <definedName name="DA_2164615669000001165" localSheetId="64" hidden="1">'[16]2 Monthly Expense Actuals'!#REF!</definedName>
    <definedName name="DA_2164615669000001165" localSheetId="63" hidden="1">'[15]2 Monthly Expense Actuals'!#REF!</definedName>
    <definedName name="DA_2164615669000001165" localSheetId="104" hidden="1">'[15]2 Monthly Expense Actuals'!#REF!</definedName>
    <definedName name="DA_2164615669000001165" localSheetId="96" hidden="1">'[15]2 Monthly Expense Actuals'!#REF!</definedName>
    <definedName name="DA_2164615669000001165" localSheetId="57" hidden="1">'[16]2 Monthly Expense Actuals'!#REF!</definedName>
    <definedName name="DA_2164615669000001165" hidden="1">'[15]2 Monthly Expense Actuals'!#REF!</definedName>
    <definedName name="Data.Dump" localSheetId="106" hidden="1">OFFSET([0]!Data.Top.Left,1,0)</definedName>
    <definedName name="Data.Dump" localSheetId="95" hidden="1">OFFSET([0]!Data.Top.Left,1,0)</definedName>
    <definedName name="Data.Dump" localSheetId="94" hidden="1">OFFSET([0]!Data.Top.Left,1,0)</definedName>
    <definedName name="Data.Dump" localSheetId="33" hidden="1">OFFSET([0]!Data.Top.Left,1,0)</definedName>
    <definedName name="Data.Dump" localSheetId="34" hidden="1">OFFSET([0]!Data.Top.Left,1,0)</definedName>
    <definedName name="Data.Dump" localSheetId="35" hidden="1">OFFSET([0]!Data.Top.Left,1,0)</definedName>
    <definedName name="Data.Dump" localSheetId="102" hidden="1">OFFSET([0]!Data.Top.Left,1,0)</definedName>
    <definedName name="Data.Dump" localSheetId="4" hidden="1">OFFSET([0]!Data.Top.Left,1,0)</definedName>
    <definedName name="Data.Dump" localSheetId="55" hidden="1">OFFSET([0]!Data.Top.Left,1,0)</definedName>
    <definedName name="Data.Dump" localSheetId="59" hidden="1">OFFSET([0]!Data.Top.Left,1,0)</definedName>
    <definedName name="Data.Dump" localSheetId="93" hidden="1">OFFSET([0]!Data.Top.Left,1,0)</definedName>
    <definedName name="Data.Dump" localSheetId="12" hidden="1">OFFSET([0]!Data.Top.Left,1,0)</definedName>
    <definedName name="Data.Dump" localSheetId="62" hidden="1">OFFSET([0]!Data.Top.Left,1,0)</definedName>
    <definedName name="Data.Dump" localSheetId="47" hidden="1">OFFSET([0]!Data.Top.Left,1,0)</definedName>
    <definedName name="Data.Dump" localSheetId="15" hidden="1">OFFSET([0]!Data.Top.Left,1,0)</definedName>
    <definedName name="Data.Dump" localSheetId="101" hidden="1">OFFSET([0]!Data.Top.Left,1,0)</definedName>
    <definedName name="Data.Dump" localSheetId="40" hidden="1">OFFSET([0]!Data.Top.Left,1,0)</definedName>
    <definedName name="Data.Dump" localSheetId="41" hidden="1">OFFSET([0]!Data.Top.Left,1,0)</definedName>
    <definedName name="Data.Dump" localSheetId="46" hidden="1">OFFSET([0]!Data.Top.Left,1,0)</definedName>
    <definedName name="Data.Dump" localSheetId="60" hidden="1">OFFSET([0]!Data.Top.Left,1,0)</definedName>
    <definedName name="Data.Dump" localSheetId="39" hidden="1">OFFSET([0]!Data.Top.Left,1,0)</definedName>
    <definedName name="Data.Dump" localSheetId="58" hidden="1">OFFSET([0]!Data.Top.Left,1,0)</definedName>
    <definedName name="Data.Dump" localSheetId="44" hidden="1">OFFSET([0]!Data.Top.Left,1,0)</definedName>
    <definedName name="Data.Dump" localSheetId="64" hidden="1">OFFSET([0]!Data.Top.Left,1,0)</definedName>
    <definedName name="Data.Dump" localSheetId="54" hidden="1">OFFSET([0]!Data.Top.Left,1,0)</definedName>
    <definedName name="Data.Dump" localSheetId="13" hidden="1">OFFSET([0]!Data.Top.Left,1,0)</definedName>
    <definedName name="Data.Dump" localSheetId="63" hidden="1">OFFSET([0]!Data.Top.Left,1,0)</definedName>
    <definedName name="Data.Dump" localSheetId="31" hidden="1">OFFSET([0]!Data.Top.Left,1,0)</definedName>
    <definedName name="Data.Dump" localSheetId="104" hidden="1">OFFSET([0]!Data.Top.Left,1,0)</definedName>
    <definedName name="Data.Dump" localSheetId="96" hidden="1">OFFSET([0]!Data.Top.Left,1,0)</definedName>
    <definedName name="Data.Dump" localSheetId="61" hidden="1">OFFSET([0]!Data.Top.Left,1,0)</definedName>
    <definedName name="Data.Dump" localSheetId="45" hidden="1">OFFSET([0]!Data.Top.Left,1,0)</definedName>
    <definedName name="Data.Dump" localSheetId="90" hidden="1">OFFSET([0]!Data.Top.Left,1,0)</definedName>
    <definedName name="Data.Dump" localSheetId="19" hidden="1">OFFSET([0]!Data.Top.Left,1,0)</definedName>
    <definedName name="Data.Dump" localSheetId="57" hidden="1">OFFSET([0]!Data.Top.Left,1,0)</definedName>
    <definedName name="Data.Dump" hidden="1">OFFSET([0]!Data.Top.Left,1,0)</definedName>
    <definedName name="Dates">[17]Lookup!$K$2:$K$55</definedName>
    <definedName name="days">'[8]Acct Recon'!$E$4</definedName>
    <definedName name="dd" localSheetId="55" hidden="1">{#N/A,#N/A,FALSE,"Bakersfield PCs";#N/A,#N/A,FALSE,"Bremer PCs";#N/A,#N/A,FALSE,"Bakersfield Notebooks"}</definedName>
    <definedName name="dd" localSheetId="59" hidden="1">{#N/A,#N/A,FALSE,"Bakersfield PCs";#N/A,#N/A,FALSE,"Bremer PCs";#N/A,#N/A,FALSE,"Bakersfield Notebooks"}</definedName>
    <definedName name="dd" localSheetId="93" hidden="1">{#N/A,#N/A,FALSE,"Bakersfield PCs";#N/A,#N/A,FALSE,"Bremer PCs";#N/A,#N/A,FALSE,"Bakersfield Notebooks"}</definedName>
    <definedName name="dd" localSheetId="12" hidden="1">{#N/A,#N/A,FALSE,"Bakersfield PCs";#N/A,#N/A,FALSE,"Bremer PCs";#N/A,#N/A,FALSE,"Bakersfield Notebooks"}</definedName>
    <definedName name="dd" localSheetId="62" hidden="1">{#N/A,#N/A,FALSE,"Bakersfield PCs";#N/A,#N/A,FALSE,"Bremer PCs";#N/A,#N/A,FALSE,"Bakersfield Notebooks"}</definedName>
    <definedName name="dd" localSheetId="47" hidden="1">{#N/A,#N/A,FALSE,"Bakersfield PCs";#N/A,#N/A,FALSE,"Bremer PCs";#N/A,#N/A,FALSE,"Bakersfield Notebooks"}</definedName>
    <definedName name="dd" localSheetId="15" hidden="1">{#N/A,#N/A,FALSE,"Bakersfield PCs";#N/A,#N/A,FALSE,"Bremer PCs";#N/A,#N/A,FALSE,"Bakersfield Notebooks"}</definedName>
    <definedName name="dd" localSheetId="101" hidden="1">{#N/A,#N/A,FALSE,"Bakersfield PCs";#N/A,#N/A,FALSE,"Bremer PCs";#N/A,#N/A,FALSE,"Bakersfield Notebooks"}</definedName>
    <definedName name="dd" localSheetId="60" hidden="1">{#N/A,#N/A,FALSE,"Bakersfield PCs";#N/A,#N/A,FALSE,"Bremer PCs";#N/A,#N/A,FALSE,"Bakersfield Notebooks"}</definedName>
    <definedName name="dd" localSheetId="39" hidden="1">{#N/A,#N/A,FALSE,"Bakersfield PCs";#N/A,#N/A,FALSE,"Bremer PCs";#N/A,#N/A,FALSE,"Bakersfield Notebooks"}</definedName>
    <definedName name="dd" localSheetId="58" hidden="1">{#N/A,#N/A,FALSE,"Bakersfield PCs";#N/A,#N/A,FALSE,"Bremer PCs";#N/A,#N/A,FALSE,"Bakersfield Notebooks"}</definedName>
    <definedName name="dd" localSheetId="64" hidden="1">{#N/A,#N/A,FALSE,"Bakersfield PCs";#N/A,#N/A,FALSE,"Bremer PCs";#N/A,#N/A,FALSE,"Bakersfield Notebooks"}</definedName>
    <definedName name="dd" localSheetId="54" hidden="1">{#N/A,#N/A,FALSE,"Bakersfield PCs";#N/A,#N/A,FALSE,"Bremer PCs";#N/A,#N/A,FALSE,"Bakersfield Notebooks"}</definedName>
    <definedName name="dd" localSheetId="13" hidden="1">{#N/A,#N/A,FALSE,"Bakersfield PCs";#N/A,#N/A,FALSE,"Bremer PCs";#N/A,#N/A,FALSE,"Bakersfield Notebooks"}</definedName>
    <definedName name="dd" localSheetId="63" hidden="1">{#N/A,#N/A,FALSE,"Bakersfield PCs";#N/A,#N/A,FALSE,"Bremer PCs";#N/A,#N/A,FALSE,"Bakersfield Notebooks"}</definedName>
    <definedName name="dd" localSheetId="31" hidden="1">{#N/A,#N/A,FALSE,"Bakersfield PCs";#N/A,#N/A,FALSE,"Bremer PCs";#N/A,#N/A,FALSE,"Bakersfield Notebooks"}</definedName>
    <definedName name="dd" localSheetId="61" hidden="1">{#N/A,#N/A,FALSE,"Bakersfield PCs";#N/A,#N/A,FALSE,"Bremer PCs";#N/A,#N/A,FALSE,"Bakersfield Notebooks"}</definedName>
    <definedName name="dd" localSheetId="45" hidden="1">{#N/A,#N/A,FALSE,"Bakersfield PCs";#N/A,#N/A,FALSE,"Bremer PCs";#N/A,#N/A,FALSE,"Bakersfield Notebooks"}</definedName>
    <definedName name="dd" localSheetId="90" hidden="1">{#N/A,#N/A,FALSE,"Bakersfield PCs";#N/A,#N/A,FALSE,"Bremer PCs";#N/A,#N/A,FALSE,"Bakersfield Notebooks"}</definedName>
    <definedName name="dd" localSheetId="19" hidden="1">{#N/A,#N/A,FALSE,"Bakersfield PCs";#N/A,#N/A,FALSE,"Bremer PCs";#N/A,#N/A,FALSE,"Bakersfield Notebooks"}</definedName>
    <definedName name="dd" localSheetId="57" hidden="1">{#N/A,#N/A,FALSE,"Bakersfield PCs";#N/A,#N/A,FALSE,"Bremer PCs";#N/A,#N/A,FALSE,"Bakersfield Notebooks"}</definedName>
    <definedName name="dd" hidden="1">{#N/A,#N/A,FALSE,"Bakersfield PCs";#N/A,#N/A,FALSE,"Bremer PCs";#N/A,#N/A,FALSE,"Bakersfield Notebooks"}</definedName>
    <definedName name="dddddddddddddddd" localSheetId="106" hidden="1">Main.SAPF4Help()</definedName>
    <definedName name="dddddddddddddddd" localSheetId="95" hidden="1">Main.SAPF4Help()</definedName>
    <definedName name="dddddddddddddddd" localSheetId="94" hidden="1">Main.SAPF4Help()</definedName>
    <definedName name="dddddddddddddddd" localSheetId="33" hidden="1">Main.SAPF4Help()</definedName>
    <definedName name="dddddddddddddddd" localSheetId="34" hidden="1">Main.SAPF4Help()</definedName>
    <definedName name="dddddddddddddddd" localSheetId="35" hidden="1">Main.SAPF4Help()</definedName>
    <definedName name="dddddddddddddddd" localSheetId="102" hidden="1">Main.SAPF4Help()</definedName>
    <definedName name="dddddddddddddddd" localSheetId="4" hidden="1">Main.SAPF4Help()</definedName>
    <definedName name="dddddddddddddddd" localSheetId="55" hidden="1">Main.SAPF4Help()</definedName>
    <definedName name="dddddddddddddddd" localSheetId="59" hidden="1">Main.SAPF4Help()</definedName>
    <definedName name="dddddddddddddddd" localSheetId="93" hidden="1">Main.SAPF4Help()</definedName>
    <definedName name="dddddddddddddddd" localSheetId="12" hidden="1">Main.SAPF4Help()</definedName>
    <definedName name="dddddddddddddddd" localSheetId="62" hidden="1">Main.SAPF4Help()</definedName>
    <definedName name="dddddddddddddddd" localSheetId="47" hidden="1">Main.SAPF4Help()</definedName>
    <definedName name="dddddddddddddddd" localSheetId="15" hidden="1">Main.SAPF4Help()</definedName>
    <definedName name="dddddddddddddddd" localSheetId="101" hidden="1">Main.SAPF4Help()</definedName>
    <definedName name="dddddddddddddddd" localSheetId="40" hidden="1">Main.SAPF4Help()</definedName>
    <definedName name="dddddddddddddddd" localSheetId="41" hidden="1">Main.SAPF4Help()</definedName>
    <definedName name="dddddddddddddddd" localSheetId="46" hidden="1">Main.SAPF4Help()</definedName>
    <definedName name="dddddddddddddddd" localSheetId="60" hidden="1">Main.SAPF4Help()</definedName>
    <definedName name="dddddddddddddddd" localSheetId="39" hidden="1">Main.SAPF4Help()</definedName>
    <definedName name="dddddddddddddddd" localSheetId="58" hidden="1">Main.SAPF4Help()</definedName>
    <definedName name="dddddddddddddddd" localSheetId="44" hidden="1">Main.SAPF4Help()</definedName>
    <definedName name="dddddddddddddddd" localSheetId="64" hidden="1">Main.SAPF4Help()</definedName>
    <definedName name="dddddddddddddddd" localSheetId="54" hidden="1">Main.SAPF4Help()</definedName>
    <definedName name="dddddddddddddddd" localSheetId="13" hidden="1">Main.SAPF4Help()</definedName>
    <definedName name="dddddddddddddddd" localSheetId="63" hidden="1">Main.SAPF4Help()</definedName>
    <definedName name="dddddddddddddddd" localSheetId="31" hidden="1">Main.SAPF4Help()</definedName>
    <definedName name="dddddddddddddddd" localSheetId="104" hidden="1">Main.SAPF4Help()</definedName>
    <definedName name="dddddddddddddddd" localSheetId="96" hidden="1">Main.SAPF4Help()</definedName>
    <definedName name="dddddddddddddddd" localSheetId="61" hidden="1">Main.SAPF4Help()</definedName>
    <definedName name="dddddddddddddddd" localSheetId="45" hidden="1">Main.SAPF4Help()</definedName>
    <definedName name="dddddddddddddddd" localSheetId="90" hidden="1">Main.SAPF4Help()</definedName>
    <definedName name="dddddddddddddddd" localSheetId="19" hidden="1">Main.SAPF4Help()</definedName>
    <definedName name="dddddddddddddddd" localSheetId="57" hidden="1">Main.SAPF4Help()</definedName>
    <definedName name="dddddddddddddddd" hidden="1">Main.SAPF4Help()</definedName>
    <definedName name="del" localSheetId="55" hidden="1">{#N/A,#N/A,FALSE,"Cov";#N/A,#N/A,FALSE,"sum";#N/A,#N/A,FALSE,"baladj";#N/A,#N/A,FALSE,"bs";#N/A,#N/A,FALSE,"is";#N/A,#N/A,FALSE,"pis";#N/A,#N/A,FALSE,"pis";#N/A,#N/A,FALSE,"cf";#N/A,#N/A,FALSE,"balhist";#N/A,#N/A,FALSE,"wc";#N/A,#N/A,FALSE,"ltd";#N/A,#N/A,FALSE,"cover";#N/A,#N/A,FALSE,"fa";#N/A,#N/A,FALSE,"tax";#N/A,#N/A,FALSE,"irr";#N/A,#N/A,FALSE,"in";#N/A,#N/A,FALSE,"DCF Cov";#N/A,#N/A,FALSE,"dcf"}</definedName>
    <definedName name="del" localSheetId="59" hidden="1">{#N/A,#N/A,FALSE,"Cov";#N/A,#N/A,FALSE,"sum";#N/A,#N/A,FALSE,"baladj";#N/A,#N/A,FALSE,"bs";#N/A,#N/A,FALSE,"is";#N/A,#N/A,FALSE,"pis";#N/A,#N/A,FALSE,"pis";#N/A,#N/A,FALSE,"cf";#N/A,#N/A,FALSE,"balhist";#N/A,#N/A,FALSE,"wc";#N/A,#N/A,FALSE,"ltd";#N/A,#N/A,FALSE,"cover";#N/A,#N/A,FALSE,"fa";#N/A,#N/A,FALSE,"tax";#N/A,#N/A,FALSE,"irr";#N/A,#N/A,FALSE,"in";#N/A,#N/A,FALSE,"DCF Cov";#N/A,#N/A,FALSE,"dcf"}</definedName>
    <definedName name="del" localSheetId="93" hidden="1">{#N/A,#N/A,FALSE,"Cov";#N/A,#N/A,FALSE,"sum";#N/A,#N/A,FALSE,"baladj";#N/A,#N/A,FALSE,"bs";#N/A,#N/A,FALSE,"is";#N/A,#N/A,FALSE,"pis";#N/A,#N/A,FALSE,"pis";#N/A,#N/A,FALSE,"cf";#N/A,#N/A,FALSE,"balhist";#N/A,#N/A,FALSE,"wc";#N/A,#N/A,FALSE,"ltd";#N/A,#N/A,FALSE,"cover";#N/A,#N/A,FALSE,"fa";#N/A,#N/A,FALSE,"tax";#N/A,#N/A,FALSE,"irr";#N/A,#N/A,FALSE,"in";#N/A,#N/A,FALSE,"DCF Cov";#N/A,#N/A,FALSE,"dcf"}</definedName>
    <definedName name="del" localSheetId="12" hidden="1">{#N/A,#N/A,FALSE,"Cov";#N/A,#N/A,FALSE,"sum";#N/A,#N/A,FALSE,"baladj";#N/A,#N/A,FALSE,"bs";#N/A,#N/A,FALSE,"is";#N/A,#N/A,FALSE,"pis";#N/A,#N/A,FALSE,"pis";#N/A,#N/A,FALSE,"cf";#N/A,#N/A,FALSE,"balhist";#N/A,#N/A,FALSE,"wc";#N/A,#N/A,FALSE,"ltd";#N/A,#N/A,FALSE,"cover";#N/A,#N/A,FALSE,"fa";#N/A,#N/A,FALSE,"tax";#N/A,#N/A,FALSE,"irr";#N/A,#N/A,FALSE,"in";#N/A,#N/A,FALSE,"DCF Cov";#N/A,#N/A,FALSE,"dcf"}</definedName>
    <definedName name="del" localSheetId="62" hidden="1">{#N/A,#N/A,FALSE,"Cov";#N/A,#N/A,FALSE,"sum";#N/A,#N/A,FALSE,"baladj";#N/A,#N/A,FALSE,"bs";#N/A,#N/A,FALSE,"is";#N/A,#N/A,FALSE,"pis";#N/A,#N/A,FALSE,"pis";#N/A,#N/A,FALSE,"cf";#N/A,#N/A,FALSE,"balhist";#N/A,#N/A,FALSE,"wc";#N/A,#N/A,FALSE,"ltd";#N/A,#N/A,FALSE,"cover";#N/A,#N/A,FALSE,"fa";#N/A,#N/A,FALSE,"tax";#N/A,#N/A,FALSE,"irr";#N/A,#N/A,FALSE,"in";#N/A,#N/A,FALSE,"DCF Cov";#N/A,#N/A,FALSE,"dcf"}</definedName>
    <definedName name="del" localSheetId="47" hidden="1">{#N/A,#N/A,FALSE,"Cov";#N/A,#N/A,FALSE,"sum";#N/A,#N/A,FALSE,"baladj";#N/A,#N/A,FALSE,"bs";#N/A,#N/A,FALSE,"is";#N/A,#N/A,FALSE,"pis";#N/A,#N/A,FALSE,"pis";#N/A,#N/A,FALSE,"cf";#N/A,#N/A,FALSE,"balhist";#N/A,#N/A,FALSE,"wc";#N/A,#N/A,FALSE,"ltd";#N/A,#N/A,FALSE,"cover";#N/A,#N/A,FALSE,"fa";#N/A,#N/A,FALSE,"tax";#N/A,#N/A,FALSE,"irr";#N/A,#N/A,FALSE,"in";#N/A,#N/A,FALSE,"DCF Cov";#N/A,#N/A,FALSE,"dcf"}</definedName>
    <definedName name="del" localSheetId="15" hidden="1">{#N/A,#N/A,FALSE,"Cov";#N/A,#N/A,FALSE,"sum";#N/A,#N/A,FALSE,"baladj";#N/A,#N/A,FALSE,"bs";#N/A,#N/A,FALSE,"is";#N/A,#N/A,FALSE,"pis";#N/A,#N/A,FALSE,"pis";#N/A,#N/A,FALSE,"cf";#N/A,#N/A,FALSE,"balhist";#N/A,#N/A,FALSE,"wc";#N/A,#N/A,FALSE,"ltd";#N/A,#N/A,FALSE,"cover";#N/A,#N/A,FALSE,"fa";#N/A,#N/A,FALSE,"tax";#N/A,#N/A,FALSE,"irr";#N/A,#N/A,FALSE,"in";#N/A,#N/A,FALSE,"DCF Cov";#N/A,#N/A,FALSE,"dcf"}</definedName>
    <definedName name="del" localSheetId="101" hidden="1">{#N/A,#N/A,FALSE,"Cov";#N/A,#N/A,FALSE,"sum";#N/A,#N/A,FALSE,"baladj";#N/A,#N/A,FALSE,"bs";#N/A,#N/A,FALSE,"is";#N/A,#N/A,FALSE,"pis";#N/A,#N/A,FALSE,"pis";#N/A,#N/A,FALSE,"cf";#N/A,#N/A,FALSE,"balhist";#N/A,#N/A,FALSE,"wc";#N/A,#N/A,FALSE,"ltd";#N/A,#N/A,FALSE,"cover";#N/A,#N/A,FALSE,"fa";#N/A,#N/A,FALSE,"tax";#N/A,#N/A,FALSE,"irr";#N/A,#N/A,FALSE,"in";#N/A,#N/A,FALSE,"DCF Cov";#N/A,#N/A,FALSE,"dcf"}</definedName>
    <definedName name="del" localSheetId="60" hidden="1">{#N/A,#N/A,FALSE,"Cov";#N/A,#N/A,FALSE,"sum";#N/A,#N/A,FALSE,"baladj";#N/A,#N/A,FALSE,"bs";#N/A,#N/A,FALSE,"is";#N/A,#N/A,FALSE,"pis";#N/A,#N/A,FALSE,"pis";#N/A,#N/A,FALSE,"cf";#N/A,#N/A,FALSE,"balhist";#N/A,#N/A,FALSE,"wc";#N/A,#N/A,FALSE,"ltd";#N/A,#N/A,FALSE,"cover";#N/A,#N/A,FALSE,"fa";#N/A,#N/A,FALSE,"tax";#N/A,#N/A,FALSE,"irr";#N/A,#N/A,FALSE,"in";#N/A,#N/A,FALSE,"DCF Cov";#N/A,#N/A,FALSE,"dcf"}</definedName>
    <definedName name="del" localSheetId="39" hidden="1">{#N/A,#N/A,FALSE,"Cov";#N/A,#N/A,FALSE,"sum";#N/A,#N/A,FALSE,"baladj";#N/A,#N/A,FALSE,"bs";#N/A,#N/A,FALSE,"is";#N/A,#N/A,FALSE,"pis";#N/A,#N/A,FALSE,"pis";#N/A,#N/A,FALSE,"cf";#N/A,#N/A,FALSE,"balhist";#N/A,#N/A,FALSE,"wc";#N/A,#N/A,FALSE,"ltd";#N/A,#N/A,FALSE,"cover";#N/A,#N/A,FALSE,"fa";#N/A,#N/A,FALSE,"tax";#N/A,#N/A,FALSE,"irr";#N/A,#N/A,FALSE,"in";#N/A,#N/A,FALSE,"DCF Cov";#N/A,#N/A,FALSE,"dcf"}</definedName>
    <definedName name="del" localSheetId="58" hidden="1">{#N/A,#N/A,FALSE,"Cov";#N/A,#N/A,FALSE,"sum";#N/A,#N/A,FALSE,"baladj";#N/A,#N/A,FALSE,"bs";#N/A,#N/A,FALSE,"is";#N/A,#N/A,FALSE,"pis";#N/A,#N/A,FALSE,"pis";#N/A,#N/A,FALSE,"cf";#N/A,#N/A,FALSE,"balhist";#N/A,#N/A,FALSE,"wc";#N/A,#N/A,FALSE,"ltd";#N/A,#N/A,FALSE,"cover";#N/A,#N/A,FALSE,"fa";#N/A,#N/A,FALSE,"tax";#N/A,#N/A,FALSE,"irr";#N/A,#N/A,FALSE,"in";#N/A,#N/A,FALSE,"DCF Cov";#N/A,#N/A,FALSE,"dcf"}</definedName>
    <definedName name="del" localSheetId="64" hidden="1">{#N/A,#N/A,FALSE,"Cov";#N/A,#N/A,FALSE,"sum";#N/A,#N/A,FALSE,"baladj";#N/A,#N/A,FALSE,"bs";#N/A,#N/A,FALSE,"is";#N/A,#N/A,FALSE,"pis";#N/A,#N/A,FALSE,"pis";#N/A,#N/A,FALSE,"cf";#N/A,#N/A,FALSE,"balhist";#N/A,#N/A,FALSE,"wc";#N/A,#N/A,FALSE,"ltd";#N/A,#N/A,FALSE,"cover";#N/A,#N/A,FALSE,"fa";#N/A,#N/A,FALSE,"tax";#N/A,#N/A,FALSE,"irr";#N/A,#N/A,FALSE,"in";#N/A,#N/A,FALSE,"DCF Cov";#N/A,#N/A,FALSE,"dcf"}</definedName>
    <definedName name="del" localSheetId="54" hidden="1">{#N/A,#N/A,FALSE,"Cov";#N/A,#N/A,FALSE,"sum";#N/A,#N/A,FALSE,"baladj";#N/A,#N/A,FALSE,"bs";#N/A,#N/A,FALSE,"is";#N/A,#N/A,FALSE,"pis";#N/A,#N/A,FALSE,"pis";#N/A,#N/A,FALSE,"cf";#N/A,#N/A,FALSE,"balhist";#N/A,#N/A,FALSE,"wc";#N/A,#N/A,FALSE,"ltd";#N/A,#N/A,FALSE,"cover";#N/A,#N/A,FALSE,"fa";#N/A,#N/A,FALSE,"tax";#N/A,#N/A,FALSE,"irr";#N/A,#N/A,FALSE,"in";#N/A,#N/A,FALSE,"DCF Cov";#N/A,#N/A,FALSE,"dcf"}</definedName>
    <definedName name="del" localSheetId="13" hidden="1">{#N/A,#N/A,FALSE,"Cov";#N/A,#N/A,FALSE,"sum";#N/A,#N/A,FALSE,"baladj";#N/A,#N/A,FALSE,"bs";#N/A,#N/A,FALSE,"is";#N/A,#N/A,FALSE,"pis";#N/A,#N/A,FALSE,"pis";#N/A,#N/A,FALSE,"cf";#N/A,#N/A,FALSE,"balhist";#N/A,#N/A,FALSE,"wc";#N/A,#N/A,FALSE,"ltd";#N/A,#N/A,FALSE,"cover";#N/A,#N/A,FALSE,"fa";#N/A,#N/A,FALSE,"tax";#N/A,#N/A,FALSE,"irr";#N/A,#N/A,FALSE,"in";#N/A,#N/A,FALSE,"DCF Cov";#N/A,#N/A,FALSE,"dcf"}</definedName>
    <definedName name="del" localSheetId="63" hidden="1">{#N/A,#N/A,FALSE,"Cov";#N/A,#N/A,FALSE,"sum";#N/A,#N/A,FALSE,"baladj";#N/A,#N/A,FALSE,"bs";#N/A,#N/A,FALSE,"is";#N/A,#N/A,FALSE,"pis";#N/A,#N/A,FALSE,"pis";#N/A,#N/A,FALSE,"cf";#N/A,#N/A,FALSE,"balhist";#N/A,#N/A,FALSE,"wc";#N/A,#N/A,FALSE,"ltd";#N/A,#N/A,FALSE,"cover";#N/A,#N/A,FALSE,"fa";#N/A,#N/A,FALSE,"tax";#N/A,#N/A,FALSE,"irr";#N/A,#N/A,FALSE,"in";#N/A,#N/A,FALSE,"DCF Cov";#N/A,#N/A,FALSE,"dcf"}</definedName>
    <definedName name="del" localSheetId="31" hidden="1">{#N/A,#N/A,FALSE,"Cov";#N/A,#N/A,FALSE,"sum";#N/A,#N/A,FALSE,"baladj";#N/A,#N/A,FALSE,"bs";#N/A,#N/A,FALSE,"is";#N/A,#N/A,FALSE,"pis";#N/A,#N/A,FALSE,"pis";#N/A,#N/A,FALSE,"cf";#N/A,#N/A,FALSE,"balhist";#N/A,#N/A,FALSE,"wc";#N/A,#N/A,FALSE,"ltd";#N/A,#N/A,FALSE,"cover";#N/A,#N/A,FALSE,"fa";#N/A,#N/A,FALSE,"tax";#N/A,#N/A,FALSE,"irr";#N/A,#N/A,FALSE,"in";#N/A,#N/A,FALSE,"DCF Cov";#N/A,#N/A,FALSE,"dcf"}</definedName>
    <definedName name="del" localSheetId="61" hidden="1">{#N/A,#N/A,FALSE,"Cov";#N/A,#N/A,FALSE,"sum";#N/A,#N/A,FALSE,"baladj";#N/A,#N/A,FALSE,"bs";#N/A,#N/A,FALSE,"is";#N/A,#N/A,FALSE,"pis";#N/A,#N/A,FALSE,"pis";#N/A,#N/A,FALSE,"cf";#N/A,#N/A,FALSE,"balhist";#N/A,#N/A,FALSE,"wc";#N/A,#N/A,FALSE,"ltd";#N/A,#N/A,FALSE,"cover";#N/A,#N/A,FALSE,"fa";#N/A,#N/A,FALSE,"tax";#N/A,#N/A,FALSE,"irr";#N/A,#N/A,FALSE,"in";#N/A,#N/A,FALSE,"DCF Cov";#N/A,#N/A,FALSE,"dcf"}</definedName>
    <definedName name="del" localSheetId="45" hidden="1">{#N/A,#N/A,FALSE,"Cov";#N/A,#N/A,FALSE,"sum";#N/A,#N/A,FALSE,"baladj";#N/A,#N/A,FALSE,"bs";#N/A,#N/A,FALSE,"is";#N/A,#N/A,FALSE,"pis";#N/A,#N/A,FALSE,"pis";#N/A,#N/A,FALSE,"cf";#N/A,#N/A,FALSE,"balhist";#N/A,#N/A,FALSE,"wc";#N/A,#N/A,FALSE,"ltd";#N/A,#N/A,FALSE,"cover";#N/A,#N/A,FALSE,"fa";#N/A,#N/A,FALSE,"tax";#N/A,#N/A,FALSE,"irr";#N/A,#N/A,FALSE,"in";#N/A,#N/A,FALSE,"DCF Cov";#N/A,#N/A,FALSE,"dcf"}</definedName>
    <definedName name="del" localSheetId="90" hidden="1">{#N/A,#N/A,FALSE,"Cov";#N/A,#N/A,FALSE,"sum";#N/A,#N/A,FALSE,"baladj";#N/A,#N/A,FALSE,"bs";#N/A,#N/A,FALSE,"is";#N/A,#N/A,FALSE,"pis";#N/A,#N/A,FALSE,"pis";#N/A,#N/A,FALSE,"cf";#N/A,#N/A,FALSE,"balhist";#N/A,#N/A,FALSE,"wc";#N/A,#N/A,FALSE,"ltd";#N/A,#N/A,FALSE,"cover";#N/A,#N/A,FALSE,"fa";#N/A,#N/A,FALSE,"tax";#N/A,#N/A,FALSE,"irr";#N/A,#N/A,FALSE,"in";#N/A,#N/A,FALSE,"DCF Cov";#N/A,#N/A,FALSE,"dcf"}</definedName>
    <definedName name="del" localSheetId="19" hidden="1">{#N/A,#N/A,FALSE,"Cov";#N/A,#N/A,FALSE,"sum";#N/A,#N/A,FALSE,"baladj";#N/A,#N/A,FALSE,"bs";#N/A,#N/A,FALSE,"is";#N/A,#N/A,FALSE,"pis";#N/A,#N/A,FALSE,"pis";#N/A,#N/A,FALSE,"cf";#N/A,#N/A,FALSE,"balhist";#N/A,#N/A,FALSE,"wc";#N/A,#N/A,FALSE,"ltd";#N/A,#N/A,FALSE,"cover";#N/A,#N/A,FALSE,"fa";#N/A,#N/A,FALSE,"tax";#N/A,#N/A,FALSE,"irr";#N/A,#N/A,FALSE,"in";#N/A,#N/A,FALSE,"DCF Cov";#N/A,#N/A,FALSE,"dcf"}</definedName>
    <definedName name="del" localSheetId="57" hidden="1">{#N/A,#N/A,FALSE,"Cov";#N/A,#N/A,FALSE,"sum";#N/A,#N/A,FALSE,"baladj";#N/A,#N/A,FALSE,"bs";#N/A,#N/A,FALSE,"is";#N/A,#N/A,FALSE,"pis";#N/A,#N/A,FALSE,"pis";#N/A,#N/A,FALSE,"cf";#N/A,#N/A,FALSE,"balhist";#N/A,#N/A,FALSE,"wc";#N/A,#N/A,FALSE,"ltd";#N/A,#N/A,FALSE,"cover";#N/A,#N/A,FALSE,"fa";#N/A,#N/A,FALSE,"tax";#N/A,#N/A,FALSE,"irr";#N/A,#N/A,FALSE,"in";#N/A,#N/A,FALSE,"DCF Cov";#N/A,#N/A,FALSE,"dcf"}</definedName>
    <definedName name="del" hidden="1">{#N/A,#N/A,FALSE,"Cov";#N/A,#N/A,FALSE,"sum";#N/A,#N/A,FALSE,"baladj";#N/A,#N/A,FALSE,"bs";#N/A,#N/A,FALSE,"is";#N/A,#N/A,FALSE,"pis";#N/A,#N/A,FALSE,"pis";#N/A,#N/A,FALSE,"cf";#N/A,#N/A,FALSE,"balhist";#N/A,#N/A,FALSE,"wc";#N/A,#N/A,FALSE,"ltd";#N/A,#N/A,FALSE,"cover";#N/A,#N/A,FALSE,"fa";#N/A,#N/A,FALSE,"tax";#N/A,#N/A,FALSE,"irr";#N/A,#N/A,FALSE,"in";#N/A,#N/A,FALSE,"DCF Cov";#N/A,#N/A,FALSE,"dcf"}</definedName>
    <definedName name="dele" localSheetId="55" hidden="1">{#N/A,#N/A,FALSE,"Cov";#N/A,#N/A,FALSE,"sum";#N/A,#N/A,FALSE,"baladj";#N/A,#N/A,FALSE,"bs";#N/A,#N/A,FALSE,"is";#N/A,#N/A,FALSE,"pis";#N/A,#N/A,FALSE,"cf";#N/A,#N/A,FALSE,"balhist";#N/A,#N/A,FALSE,"wc";#N/A,#N/A,FALSE,"ltd";#N/A,#N/A,FALSE,"cover";#N/A,#N/A,FALSE,"fa";#N/A,#N/A,FALSE,"tax";#N/A,#N/A,FALSE,"irr";#N/A,#N/A,FALSE,"in"}</definedName>
    <definedName name="dele" localSheetId="59" hidden="1">{#N/A,#N/A,FALSE,"Cov";#N/A,#N/A,FALSE,"sum";#N/A,#N/A,FALSE,"baladj";#N/A,#N/A,FALSE,"bs";#N/A,#N/A,FALSE,"is";#N/A,#N/A,FALSE,"pis";#N/A,#N/A,FALSE,"cf";#N/A,#N/A,FALSE,"balhist";#N/A,#N/A,FALSE,"wc";#N/A,#N/A,FALSE,"ltd";#N/A,#N/A,FALSE,"cover";#N/A,#N/A,FALSE,"fa";#N/A,#N/A,FALSE,"tax";#N/A,#N/A,FALSE,"irr";#N/A,#N/A,FALSE,"in"}</definedName>
    <definedName name="dele" localSheetId="93" hidden="1">{#N/A,#N/A,FALSE,"Cov";#N/A,#N/A,FALSE,"sum";#N/A,#N/A,FALSE,"baladj";#N/A,#N/A,FALSE,"bs";#N/A,#N/A,FALSE,"is";#N/A,#N/A,FALSE,"pis";#N/A,#N/A,FALSE,"cf";#N/A,#N/A,FALSE,"balhist";#N/A,#N/A,FALSE,"wc";#N/A,#N/A,FALSE,"ltd";#N/A,#N/A,FALSE,"cover";#N/A,#N/A,FALSE,"fa";#N/A,#N/A,FALSE,"tax";#N/A,#N/A,FALSE,"irr";#N/A,#N/A,FALSE,"in"}</definedName>
    <definedName name="dele" localSheetId="12" hidden="1">{#N/A,#N/A,FALSE,"Cov";#N/A,#N/A,FALSE,"sum";#N/A,#N/A,FALSE,"baladj";#N/A,#N/A,FALSE,"bs";#N/A,#N/A,FALSE,"is";#N/A,#N/A,FALSE,"pis";#N/A,#N/A,FALSE,"cf";#N/A,#N/A,FALSE,"balhist";#N/A,#N/A,FALSE,"wc";#N/A,#N/A,FALSE,"ltd";#N/A,#N/A,FALSE,"cover";#N/A,#N/A,FALSE,"fa";#N/A,#N/A,FALSE,"tax";#N/A,#N/A,FALSE,"irr";#N/A,#N/A,FALSE,"in"}</definedName>
    <definedName name="dele" localSheetId="62" hidden="1">{#N/A,#N/A,FALSE,"Cov";#N/A,#N/A,FALSE,"sum";#N/A,#N/A,FALSE,"baladj";#N/A,#N/A,FALSE,"bs";#N/A,#N/A,FALSE,"is";#N/A,#N/A,FALSE,"pis";#N/A,#N/A,FALSE,"cf";#N/A,#N/A,FALSE,"balhist";#N/A,#N/A,FALSE,"wc";#N/A,#N/A,FALSE,"ltd";#N/A,#N/A,FALSE,"cover";#N/A,#N/A,FALSE,"fa";#N/A,#N/A,FALSE,"tax";#N/A,#N/A,FALSE,"irr";#N/A,#N/A,FALSE,"in"}</definedName>
    <definedName name="dele" localSheetId="47" hidden="1">{#N/A,#N/A,FALSE,"Cov";#N/A,#N/A,FALSE,"sum";#N/A,#N/A,FALSE,"baladj";#N/A,#N/A,FALSE,"bs";#N/A,#N/A,FALSE,"is";#N/A,#N/A,FALSE,"pis";#N/A,#N/A,FALSE,"cf";#N/A,#N/A,FALSE,"balhist";#N/A,#N/A,FALSE,"wc";#N/A,#N/A,FALSE,"ltd";#N/A,#N/A,FALSE,"cover";#N/A,#N/A,FALSE,"fa";#N/A,#N/A,FALSE,"tax";#N/A,#N/A,FALSE,"irr";#N/A,#N/A,FALSE,"in"}</definedName>
    <definedName name="dele" localSheetId="15" hidden="1">{#N/A,#N/A,FALSE,"Cov";#N/A,#N/A,FALSE,"sum";#N/A,#N/A,FALSE,"baladj";#N/A,#N/A,FALSE,"bs";#N/A,#N/A,FALSE,"is";#N/A,#N/A,FALSE,"pis";#N/A,#N/A,FALSE,"cf";#N/A,#N/A,FALSE,"balhist";#N/A,#N/A,FALSE,"wc";#N/A,#N/A,FALSE,"ltd";#N/A,#N/A,FALSE,"cover";#N/A,#N/A,FALSE,"fa";#N/A,#N/A,FALSE,"tax";#N/A,#N/A,FALSE,"irr";#N/A,#N/A,FALSE,"in"}</definedName>
    <definedName name="dele" localSheetId="101" hidden="1">{#N/A,#N/A,FALSE,"Cov";#N/A,#N/A,FALSE,"sum";#N/A,#N/A,FALSE,"baladj";#N/A,#N/A,FALSE,"bs";#N/A,#N/A,FALSE,"is";#N/A,#N/A,FALSE,"pis";#N/A,#N/A,FALSE,"cf";#N/A,#N/A,FALSE,"balhist";#N/A,#N/A,FALSE,"wc";#N/A,#N/A,FALSE,"ltd";#N/A,#N/A,FALSE,"cover";#N/A,#N/A,FALSE,"fa";#N/A,#N/A,FALSE,"tax";#N/A,#N/A,FALSE,"irr";#N/A,#N/A,FALSE,"in"}</definedName>
    <definedName name="dele" localSheetId="60" hidden="1">{#N/A,#N/A,FALSE,"Cov";#N/A,#N/A,FALSE,"sum";#N/A,#N/A,FALSE,"baladj";#N/A,#N/A,FALSE,"bs";#N/A,#N/A,FALSE,"is";#N/A,#N/A,FALSE,"pis";#N/A,#N/A,FALSE,"cf";#N/A,#N/A,FALSE,"balhist";#N/A,#N/A,FALSE,"wc";#N/A,#N/A,FALSE,"ltd";#N/A,#N/A,FALSE,"cover";#N/A,#N/A,FALSE,"fa";#N/A,#N/A,FALSE,"tax";#N/A,#N/A,FALSE,"irr";#N/A,#N/A,FALSE,"in"}</definedName>
    <definedName name="dele" localSheetId="39" hidden="1">{#N/A,#N/A,FALSE,"Cov";#N/A,#N/A,FALSE,"sum";#N/A,#N/A,FALSE,"baladj";#N/A,#N/A,FALSE,"bs";#N/A,#N/A,FALSE,"is";#N/A,#N/A,FALSE,"pis";#N/A,#N/A,FALSE,"cf";#N/A,#N/A,FALSE,"balhist";#N/A,#N/A,FALSE,"wc";#N/A,#N/A,FALSE,"ltd";#N/A,#N/A,FALSE,"cover";#N/A,#N/A,FALSE,"fa";#N/A,#N/A,FALSE,"tax";#N/A,#N/A,FALSE,"irr";#N/A,#N/A,FALSE,"in"}</definedName>
    <definedName name="dele" localSheetId="58" hidden="1">{#N/A,#N/A,FALSE,"Cov";#N/A,#N/A,FALSE,"sum";#N/A,#N/A,FALSE,"baladj";#N/A,#N/A,FALSE,"bs";#N/A,#N/A,FALSE,"is";#N/A,#N/A,FALSE,"pis";#N/A,#N/A,FALSE,"cf";#N/A,#N/A,FALSE,"balhist";#N/A,#N/A,FALSE,"wc";#N/A,#N/A,FALSE,"ltd";#N/A,#N/A,FALSE,"cover";#N/A,#N/A,FALSE,"fa";#N/A,#N/A,FALSE,"tax";#N/A,#N/A,FALSE,"irr";#N/A,#N/A,FALSE,"in"}</definedName>
    <definedName name="dele" localSheetId="64" hidden="1">{#N/A,#N/A,FALSE,"Cov";#N/A,#N/A,FALSE,"sum";#N/A,#N/A,FALSE,"baladj";#N/A,#N/A,FALSE,"bs";#N/A,#N/A,FALSE,"is";#N/A,#N/A,FALSE,"pis";#N/A,#N/A,FALSE,"cf";#N/A,#N/A,FALSE,"balhist";#N/A,#N/A,FALSE,"wc";#N/A,#N/A,FALSE,"ltd";#N/A,#N/A,FALSE,"cover";#N/A,#N/A,FALSE,"fa";#N/A,#N/A,FALSE,"tax";#N/A,#N/A,FALSE,"irr";#N/A,#N/A,FALSE,"in"}</definedName>
    <definedName name="dele" localSheetId="54" hidden="1">{#N/A,#N/A,FALSE,"Cov";#N/A,#N/A,FALSE,"sum";#N/A,#N/A,FALSE,"baladj";#N/A,#N/A,FALSE,"bs";#N/A,#N/A,FALSE,"is";#N/A,#N/A,FALSE,"pis";#N/A,#N/A,FALSE,"cf";#N/A,#N/A,FALSE,"balhist";#N/A,#N/A,FALSE,"wc";#N/A,#N/A,FALSE,"ltd";#N/A,#N/A,FALSE,"cover";#N/A,#N/A,FALSE,"fa";#N/A,#N/A,FALSE,"tax";#N/A,#N/A,FALSE,"irr";#N/A,#N/A,FALSE,"in"}</definedName>
    <definedName name="dele" localSheetId="13" hidden="1">{#N/A,#N/A,FALSE,"Cov";#N/A,#N/A,FALSE,"sum";#N/A,#N/A,FALSE,"baladj";#N/A,#N/A,FALSE,"bs";#N/A,#N/A,FALSE,"is";#N/A,#N/A,FALSE,"pis";#N/A,#N/A,FALSE,"cf";#N/A,#N/A,FALSE,"balhist";#N/A,#N/A,FALSE,"wc";#N/A,#N/A,FALSE,"ltd";#N/A,#N/A,FALSE,"cover";#N/A,#N/A,FALSE,"fa";#N/A,#N/A,FALSE,"tax";#N/A,#N/A,FALSE,"irr";#N/A,#N/A,FALSE,"in"}</definedName>
    <definedName name="dele" localSheetId="63" hidden="1">{#N/A,#N/A,FALSE,"Cov";#N/A,#N/A,FALSE,"sum";#N/A,#N/A,FALSE,"baladj";#N/A,#N/A,FALSE,"bs";#N/A,#N/A,FALSE,"is";#N/A,#N/A,FALSE,"pis";#N/A,#N/A,FALSE,"cf";#N/A,#N/A,FALSE,"balhist";#N/A,#N/A,FALSE,"wc";#N/A,#N/A,FALSE,"ltd";#N/A,#N/A,FALSE,"cover";#N/A,#N/A,FALSE,"fa";#N/A,#N/A,FALSE,"tax";#N/A,#N/A,FALSE,"irr";#N/A,#N/A,FALSE,"in"}</definedName>
    <definedName name="dele" localSheetId="31" hidden="1">{#N/A,#N/A,FALSE,"Cov";#N/A,#N/A,FALSE,"sum";#N/A,#N/A,FALSE,"baladj";#N/A,#N/A,FALSE,"bs";#N/A,#N/A,FALSE,"is";#N/A,#N/A,FALSE,"pis";#N/A,#N/A,FALSE,"cf";#N/A,#N/A,FALSE,"balhist";#N/A,#N/A,FALSE,"wc";#N/A,#N/A,FALSE,"ltd";#N/A,#N/A,FALSE,"cover";#N/A,#N/A,FALSE,"fa";#N/A,#N/A,FALSE,"tax";#N/A,#N/A,FALSE,"irr";#N/A,#N/A,FALSE,"in"}</definedName>
    <definedName name="dele" localSheetId="61" hidden="1">{#N/A,#N/A,FALSE,"Cov";#N/A,#N/A,FALSE,"sum";#N/A,#N/A,FALSE,"baladj";#N/A,#N/A,FALSE,"bs";#N/A,#N/A,FALSE,"is";#N/A,#N/A,FALSE,"pis";#N/A,#N/A,FALSE,"cf";#N/A,#N/A,FALSE,"balhist";#N/A,#N/A,FALSE,"wc";#N/A,#N/A,FALSE,"ltd";#N/A,#N/A,FALSE,"cover";#N/A,#N/A,FALSE,"fa";#N/A,#N/A,FALSE,"tax";#N/A,#N/A,FALSE,"irr";#N/A,#N/A,FALSE,"in"}</definedName>
    <definedName name="dele" localSheetId="45" hidden="1">{#N/A,#N/A,FALSE,"Cov";#N/A,#N/A,FALSE,"sum";#N/A,#N/A,FALSE,"baladj";#N/A,#N/A,FALSE,"bs";#N/A,#N/A,FALSE,"is";#N/A,#N/A,FALSE,"pis";#N/A,#N/A,FALSE,"cf";#N/A,#N/A,FALSE,"balhist";#N/A,#N/A,FALSE,"wc";#N/A,#N/A,FALSE,"ltd";#N/A,#N/A,FALSE,"cover";#N/A,#N/A,FALSE,"fa";#N/A,#N/A,FALSE,"tax";#N/A,#N/A,FALSE,"irr";#N/A,#N/A,FALSE,"in"}</definedName>
    <definedName name="dele" localSheetId="90" hidden="1">{#N/A,#N/A,FALSE,"Cov";#N/A,#N/A,FALSE,"sum";#N/A,#N/A,FALSE,"baladj";#N/A,#N/A,FALSE,"bs";#N/A,#N/A,FALSE,"is";#N/A,#N/A,FALSE,"pis";#N/A,#N/A,FALSE,"cf";#N/A,#N/A,FALSE,"balhist";#N/A,#N/A,FALSE,"wc";#N/A,#N/A,FALSE,"ltd";#N/A,#N/A,FALSE,"cover";#N/A,#N/A,FALSE,"fa";#N/A,#N/A,FALSE,"tax";#N/A,#N/A,FALSE,"irr";#N/A,#N/A,FALSE,"in"}</definedName>
    <definedName name="dele" localSheetId="19" hidden="1">{#N/A,#N/A,FALSE,"Cov";#N/A,#N/A,FALSE,"sum";#N/A,#N/A,FALSE,"baladj";#N/A,#N/A,FALSE,"bs";#N/A,#N/A,FALSE,"is";#N/A,#N/A,FALSE,"pis";#N/A,#N/A,FALSE,"cf";#N/A,#N/A,FALSE,"balhist";#N/A,#N/A,FALSE,"wc";#N/A,#N/A,FALSE,"ltd";#N/A,#N/A,FALSE,"cover";#N/A,#N/A,FALSE,"fa";#N/A,#N/A,FALSE,"tax";#N/A,#N/A,FALSE,"irr";#N/A,#N/A,FALSE,"in"}</definedName>
    <definedName name="dele" localSheetId="57" hidden="1">{#N/A,#N/A,FALSE,"Cov";#N/A,#N/A,FALSE,"sum";#N/A,#N/A,FALSE,"baladj";#N/A,#N/A,FALSE,"bs";#N/A,#N/A,FALSE,"is";#N/A,#N/A,FALSE,"pis";#N/A,#N/A,FALSE,"cf";#N/A,#N/A,FALSE,"balhist";#N/A,#N/A,FALSE,"wc";#N/A,#N/A,FALSE,"ltd";#N/A,#N/A,FALSE,"cover";#N/A,#N/A,FALSE,"fa";#N/A,#N/A,FALSE,"tax";#N/A,#N/A,FALSE,"irr";#N/A,#N/A,FALSE,"in"}</definedName>
    <definedName name="dele" hidden="1">{#N/A,#N/A,FALSE,"Cov";#N/A,#N/A,FALSE,"sum";#N/A,#N/A,FALSE,"baladj";#N/A,#N/A,FALSE,"bs";#N/A,#N/A,FALSE,"is";#N/A,#N/A,FALSE,"pis";#N/A,#N/A,FALSE,"cf";#N/A,#N/A,FALSE,"balhist";#N/A,#N/A,FALSE,"wc";#N/A,#N/A,FALSE,"ltd";#N/A,#N/A,FALSE,"cover";#N/A,#N/A,FALSE,"fa";#N/A,#N/A,FALSE,"tax";#N/A,#N/A,FALSE,"irr";#N/A,#N/A,FALSE,"in"}</definedName>
    <definedName name="delete" localSheetId="55" hidden="1">{#N/A,#N/A,FALSE,"DCF Cov";#N/A,#N/A,FALSE,"dcf"}</definedName>
    <definedName name="delete" localSheetId="59" hidden="1">{#N/A,#N/A,FALSE,"DCF Cov";#N/A,#N/A,FALSE,"dcf"}</definedName>
    <definedName name="delete" localSheetId="93" hidden="1">{#N/A,#N/A,FALSE,"DCF Cov";#N/A,#N/A,FALSE,"dcf"}</definedName>
    <definedName name="delete" localSheetId="12" hidden="1">{#N/A,#N/A,FALSE,"DCF Cov";#N/A,#N/A,FALSE,"dcf"}</definedName>
    <definedName name="delete" localSheetId="62" hidden="1">{#N/A,#N/A,FALSE,"DCF Cov";#N/A,#N/A,FALSE,"dcf"}</definedName>
    <definedName name="delete" localSheetId="47" hidden="1">{#N/A,#N/A,FALSE,"DCF Cov";#N/A,#N/A,FALSE,"dcf"}</definedName>
    <definedName name="delete" localSheetId="15" hidden="1">{#N/A,#N/A,FALSE,"DCF Cov";#N/A,#N/A,FALSE,"dcf"}</definedName>
    <definedName name="delete" localSheetId="101" hidden="1">{#N/A,#N/A,FALSE,"DCF Cov";#N/A,#N/A,FALSE,"dcf"}</definedName>
    <definedName name="delete" localSheetId="60" hidden="1">{#N/A,#N/A,FALSE,"DCF Cov";#N/A,#N/A,FALSE,"dcf"}</definedName>
    <definedName name="delete" localSheetId="39" hidden="1">{#N/A,#N/A,FALSE,"DCF Cov";#N/A,#N/A,FALSE,"dcf"}</definedName>
    <definedName name="delete" localSheetId="58" hidden="1">{#N/A,#N/A,FALSE,"DCF Cov";#N/A,#N/A,FALSE,"dcf"}</definedName>
    <definedName name="delete" localSheetId="64" hidden="1">{#N/A,#N/A,FALSE,"DCF Cov";#N/A,#N/A,FALSE,"dcf"}</definedName>
    <definedName name="delete" localSheetId="54" hidden="1">{#N/A,#N/A,FALSE,"DCF Cov";#N/A,#N/A,FALSE,"dcf"}</definedName>
    <definedName name="delete" localSheetId="13" hidden="1">{#N/A,#N/A,FALSE,"DCF Cov";#N/A,#N/A,FALSE,"dcf"}</definedName>
    <definedName name="delete" localSheetId="63" hidden="1">{#N/A,#N/A,FALSE,"DCF Cov";#N/A,#N/A,FALSE,"dcf"}</definedName>
    <definedName name="delete" localSheetId="31" hidden="1">{#N/A,#N/A,FALSE,"DCF Cov";#N/A,#N/A,FALSE,"dcf"}</definedName>
    <definedName name="delete" localSheetId="61" hidden="1">{#N/A,#N/A,FALSE,"DCF Cov";#N/A,#N/A,FALSE,"dcf"}</definedName>
    <definedName name="delete" localSheetId="45" hidden="1">{#N/A,#N/A,FALSE,"DCF Cov";#N/A,#N/A,FALSE,"dcf"}</definedName>
    <definedName name="delete" localSheetId="90" hidden="1">{#N/A,#N/A,FALSE,"DCF Cov";#N/A,#N/A,FALSE,"dcf"}</definedName>
    <definedName name="delete" localSheetId="19" hidden="1">{#N/A,#N/A,FALSE,"DCF Cov";#N/A,#N/A,FALSE,"dcf"}</definedName>
    <definedName name="delete" localSheetId="57" hidden="1">{#N/A,#N/A,FALSE,"DCF Cov";#N/A,#N/A,FALSE,"dcf"}</definedName>
    <definedName name="delete" hidden="1">{#N/A,#N/A,FALSE,"DCF Cov";#N/A,#N/A,FALSE,"dcf"}</definedName>
    <definedName name="DEN_NET">100</definedName>
    <definedName name="detail" localSheetId="47" hidden="1">{"umarea",#N/A,FALSE,"Starting Cost";"umagesex",#N/A,FALSE,"Starting Cost";"umbenlim",#N/A,FALSE,"Starting Cost";"umprovdisc",#N/A,FALSE,"Starting Cost";"umother",#N/A,FALSE,"Starting Cost";"umtrend",#N/A,FALSE,"Starting Cost"}</definedName>
    <definedName name="detail" localSheetId="54" hidden="1">{"umarea",#N/A,FALSE,"Starting Cost";"umagesex",#N/A,FALSE,"Starting Cost";"umbenlim",#N/A,FALSE,"Starting Cost";"umprovdisc",#N/A,FALSE,"Starting Cost";"umother",#N/A,FALSE,"Starting Cost";"umtrend",#N/A,FALSE,"Starting Cost"}</definedName>
    <definedName name="detail" hidden="1">{"umarea",#N/A,FALSE,"Starting Cost";"umagesex",#N/A,FALSE,"Starting Cost";"umbenlim",#N/A,FALSE,"Starting Cost";"umprovdisc",#N/A,FALSE,"Starting Cost";"umother",#N/A,FALSE,"Starting Cost";"umtrend",#N/A,FALSE,"Starting Cost"}</definedName>
    <definedName name="DEVELOPMENT">5</definedName>
    <definedName name="df" localSheetId="47">{"p1";"p2";"p3"}</definedName>
    <definedName name="df" localSheetId="57">{"p1";"p2";"p3"}</definedName>
    <definedName name="df">{"p1";"p2";"p3"}</definedName>
    <definedName name="dfd" localSheetId="47" hidden="1">{#N/A,#N/A,FALSE,"e-Svc Level";#N/A,#N/A,FALSE,"e-Hosted";#N/A,#N/A,FALSE,"e-Licensed";#N/A,#N/A,FALSE,"Assumptions"}</definedName>
    <definedName name="dfd" localSheetId="54" hidden="1">{#N/A,#N/A,FALSE,"e-Svc Level";#N/A,#N/A,FALSE,"e-Hosted";#N/A,#N/A,FALSE,"e-Licensed";#N/A,#N/A,FALSE,"Assumptions"}</definedName>
    <definedName name="dfd" hidden="1">{#N/A,#N/A,FALSE,"e-Svc Level";#N/A,#N/A,FALSE,"e-Hosted";#N/A,#N/A,FALSE,"e-Licensed";#N/A,#N/A,FALSE,"Assumptions"}</definedName>
    <definedName name="dhdhd" localSheetId="47">{"p1";"p2";"p3"}</definedName>
    <definedName name="dhdhd" localSheetId="57">{"p1";"p2";"p3"}</definedName>
    <definedName name="dhdhd">{"p1";"p2";"p3"}</definedName>
    <definedName name="DIRTY">4</definedName>
    <definedName name="DME_Dirty" hidden="1">"False"</definedName>
    <definedName name="DME_DocumentFlags" hidden="1">"1"</definedName>
    <definedName name="DME_DocumentID" hidden="1">"::ODMA\DME-MSE\London-44356"</definedName>
    <definedName name="DME_DocumentOpened" hidden="1">"True"</definedName>
    <definedName name="DME_DocumentTitle" hidden="1">"London-44356 - impress model"</definedName>
    <definedName name="DME_LocalFile" hidden="1">"False"</definedName>
    <definedName name="DME_NextWindowNumber" hidden="1">"2"</definedName>
    <definedName name="Drugs">'[18]Country View'!$AP$18:$AP$26</definedName>
    <definedName name="ds" localSheetId="47">{"a1";"a2"}</definedName>
    <definedName name="ds" localSheetId="57">{"a1";"a2"}</definedName>
    <definedName name="ds">{"a1";"a2"}</definedName>
    <definedName name="dse" localSheetId="55" hidden="1">{#N/A,#N/A,FALSE,"Model";#N/A,#N/A,FALSE,"Gen Pts &amp; Rts 2000";#N/A,#N/A,FALSE,"AcqsAss";#N/A,#N/A,FALSE,"Acqs &amp; De Novos"}</definedName>
    <definedName name="dse" localSheetId="93" hidden="1">{#N/A,#N/A,FALSE,"Model";#N/A,#N/A,FALSE,"Gen Pts &amp; Rts 2000";#N/A,#N/A,FALSE,"AcqsAss";#N/A,#N/A,FALSE,"Acqs &amp; De Novos"}</definedName>
    <definedName name="dse" localSheetId="12" hidden="1">{#N/A,#N/A,FALSE,"Model";#N/A,#N/A,FALSE,"Gen Pts &amp; Rts 2000";#N/A,#N/A,FALSE,"AcqsAss";#N/A,#N/A,FALSE,"Acqs &amp; De Novos"}</definedName>
    <definedName name="dse" localSheetId="47" hidden="1">{#N/A,#N/A,FALSE,"Model";#N/A,#N/A,FALSE,"Gen Pts &amp; Rts 2000";#N/A,#N/A,FALSE,"AcqsAss";#N/A,#N/A,FALSE,"Acqs &amp; De Novos"}</definedName>
    <definedName name="dse" localSheetId="15" hidden="1">{#N/A,#N/A,FALSE,"Model";#N/A,#N/A,FALSE,"Gen Pts &amp; Rts 2000";#N/A,#N/A,FALSE,"AcqsAss";#N/A,#N/A,FALSE,"Acqs &amp; De Novos"}</definedName>
    <definedName name="dse" localSheetId="101" hidden="1">{#N/A,#N/A,FALSE,"Model";#N/A,#N/A,FALSE,"Gen Pts &amp; Rts 2000";#N/A,#N/A,FALSE,"AcqsAss";#N/A,#N/A,FALSE,"Acqs &amp; De Novos"}</definedName>
    <definedName name="dse" localSheetId="39" hidden="1">{#N/A,#N/A,FALSE,"Model";#N/A,#N/A,FALSE,"Gen Pts &amp; Rts 2000";#N/A,#N/A,FALSE,"AcqsAss";#N/A,#N/A,FALSE,"Acqs &amp; De Novos"}</definedName>
    <definedName name="dse" localSheetId="64" hidden="1">{#N/A,#N/A,FALSE,"Model";#N/A,#N/A,FALSE,"Gen Pts &amp; Rts 2000";#N/A,#N/A,FALSE,"AcqsAss";#N/A,#N/A,FALSE,"Acqs &amp; De Novos"}</definedName>
    <definedName name="dse" localSheetId="54" hidden="1">{#N/A,#N/A,FALSE,"Model";#N/A,#N/A,FALSE,"Gen Pts &amp; Rts 2000";#N/A,#N/A,FALSE,"AcqsAss";#N/A,#N/A,FALSE,"Acqs &amp; De Novos"}</definedName>
    <definedName name="dse" localSheetId="13" hidden="1">{#N/A,#N/A,FALSE,"Model";#N/A,#N/A,FALSE,"Gen Pts &amp; Rts 2000";#N/A,#N/A,FALSE,"AcqsAss";#N/A,#N/A,FALSE,"Acqs &amp; De Novos"}</definedName>
    <definedName name="dse" localSheetId="63" hidden="1">{#N/A,#N/A,FALSE,"Model";#N/A,#N/A,FALSE,"Gen Pts &amp; Rts 2000";#N/A,#N/A,FALSE,"AcqsAss";#N/A,#N/A,FALSE,"Acqs &amp; De Novos"}</definedName>
    <definedName name="dse" localSheetId="31" hidden="1">{#N/A,#N/A,FALSE,"Model";#N/A,#N/A,FALSE,"Gen Pts &amp; Rts 2000";#N/A,#N/A,FALSE,"AcqsAss";#N/A,#N/A,FALSE,"Acqs &amp; De Novos"}</definedName>
    <definedName name="dse" localSheetId="45" hidden="1">{#N/A,#N/A,FALSE,"Model";#N/A,#N/A,FALSE,"Gen Pts &amp; Rts 2000";#N/A,#N/A,FALSE,"AcqsAss";#N/A,#N/A,FALSE,"Acqs &amp; De Novos"}</definedName>
    <definedName name="dse" localSheetId="90" hidden="1">{#N/A,#N/A,FALSE,"Model";#N/A,#N/A,FALSE,"Gen Pts &amp; Rts 2000";#N/A,#N/A,FALSE,"AcqsAss";#N/A,#N/A,FALSE,"Acqs &amp; De Novos"}</definedName>
    <definedName name="dse" localSheetId="19" hidden="1">{#N/A,#N/A,FALSE,"Model";#N/A,#N/A,FALSE,"Gen Pts &amp; Rts 2000";#N/A,#N/A,FALSE,"AcqsAss";#N/A,#N/A,FALSE,"Acqs &amp; De Novos"}</definedName>
    <definedName name="dse" localSheetId="57" hidden="1">{#N/A,#N/A,FALSE,"Model";#N/A,#N/A,FALSE,"Gen Pts &amp; Rts 2000";#N/A,#N/A,FALSE,"AcqsAss";#N/A,#N/A,FALSE,"Acqs &amp; De Novos"}</definedName>
    <definedName name="dse" hidden="1">{#N/A,#N/A,FALSE,"Model";#N/A,#N/A,FALSE,"Gen Pts &amp; Rts 2000";#N/A,#N/A,FALSE,"AcqsAss";#N/A,#N/A,FALSE,"Acqs &amp; De Novos"}</definedName>
    <definedName name="DYNO">"TARGET"</definedName>
    <definedName name="E" localSheetId="47">{0.1;0;0.382758620689655;0;0;0;0.258620689655172;0;0.258620689655172}</definedName>
    <definedName name="e" localSheetId="54" hidden="1">{#N/A,#N/A,FALSE,"e-Svc Level";#N/A,#N/A,FALSE,"e-Hosted";#N/A,#N/A,FALSE,"e-Licensed";#N/A,#N/A,FALSE,"Assumptions"}</definedName>
    <definedName name="E" localSheetId="57">{0.1;0;0.382758620689655;0;0;0;0.258620689655172;0;0.258620689655172}</definedName>
    <definedName name="E">{0.1;0;0.382758620689655;0;0;0;0.258620689655172;0;0.258620689655172}</definedName>
    <definedName name="ee" localSheetId="47" hidden="1">{#N/A,#N/A,FALSE,"e-Svc Level";#N/A,#N/A,FALSE,"e-Hosted";#N/A,#N/A,FALSE,"e-Licensed";#N/A,#N/A,FALSE,"Assumptions"}</definedName>
    <definedName name="ee" localSheetId="54" hidden="1">{#N/A,#N/A,FALSE,"e-Svc Level";#N/A,#N/A,FALSE,"e-Hosted";#N/A,#N/A,FALSE,"e-Licensed";#N/A,#N/A,FALSE,"Assumptions"}</definedName>
    <definedName name="ee" hidden="1">{#N/A,#N/A,FALSE,"e-Svc Level";#N/A,#N/A,FALSE,"e-Hosted";#N/A,#N/A,FALSE,"e-Licensed";#N/A,#N/A,FALSE,"Assumptions"}</definedName>
    <definedName name="ef." localSheetId="55" hidden="1">{#N/A,"A",FALSE,"DCF"}</definedName>
    <definedName name="ef." localSheetId="59" hidden="1">{#N/A,"A",FALSE,"DCF"}</definedName>
    <definedName name="ef." localSheetId="93" hidden="1">{#N/A,"A",FALSE,"DCF"}</definedName>
    <definedName name="ef." localSheetId="12" hidden="1">{#N/A,"A",FALSE,"DCF"}</definedName>
    <definedName name="ef." localSheetId="62" hidden="1">{#N/A,"A",FALSE,"DCF"}</definedName>
    <definedName name="ef." localSheetId="47" hidden="1">{#N/A,"A",FALSE,"DCF"}</definedName>
    <definedName name="ef." localSheetId="15" hidden="1">{#N/A,"A",FALSE,"DCF"}</definedName>
    <definedName name="ef." localSheetId="101" hidden="1">{#N/A,"A",FALSE,"DCF"}</definedName>
    <definedName name="ef." localSheetId="60" hidden="1">{#N/A,"A",FALSE,"DCF"}</definedName>
    <definedName name="ef." localSheetId="39" hidden="1">{#N/A,"A",FALSE,"DCF"}</definedName>
    <definedName name="ef." localSheetId="58" hidden="1">{#N/A,"A",FALSE,"DCF"}</definedName>
    <definedName name="ef." localSheetId="64" hidden="1">{#N/A,"A",FALSE,"DCF"}</definedName>
    <definedName name="ef." localSheetId="54" hidden="1">{#N/A,"A",FALSE,"DCF"}</definedName>
    <definedName name="ef." localSheetId="13" hidden="1">{#N/A,"A",FALSE,"DCF"}</definedName>
    <definedName name="ef." localSheetId="63" hidden="1">{#N/A,"A",FALSE,"DCF"}</definedName>
    <definedName name="ef." localSheetId="31" hidden="1">{#N/A,"A",FALSE,"DCF"}</definedName>
    <definedName name="ef." localSheetId="61" hidden="1">{#N/A,"A",FALSE,"DCF"}</definedName>
    <definedName name="ef." localSheetId="45" hidden="1">{#N/A,"A",FALSE,"DCF"}</definedName>
    <definedName name="ef." localSheetId="90" hidden="1">{#N/A,"A",FALSE,"DCF"}</definedName>
    <definedName name="ef." localSheetId="19" hidden="1">{#N/A,"A",FALSE,"DCF"}</definedName>
    <definedName name="ef." localSheetId="57" hidden="1">{#N/A,"A",FALSE,"DCF"}</definedName>
    <definedName name="ef." hidden="1">{#N/A,"A",FALSE,"DCF"}</definedName>
    <definedName name="EndDate">'[8]Acct Recon'!$E$3</definedName>
    <definedName name="eown" localSheetId="47" hidden="1">{#N/A,#N/A,FALSE,"Assumptions"}</definedName>
    <definedName name="eown" localSheetId="54" hidden="1">{#N/A,#N/A,FALSE,"Assumptions"}</definedName>
    <definedName name="eown" hidden="1">{#N/A,#N/A,FALSE,"Assumptions"}</definedName>
    <definedName name="Error_Amount" hidden="1">"'Error_Checks'!B10"</definedName>
    <definedName name="Error_Check" hidden="1">"ABS(Error_Amount)&gt;Error_Threshold"</definedName>
    <definedName name="Error_Threshold" hidden="1">0.05</definedName>
    <definedName name="EssOptions">"A1100000000021000011001111000_01000"</definedName>
    <definedName name="ev.Calculation" hidden="1">-4105</definedName>
    <definedName name="ev.Initialized" hidden="1">FALSE</definedName>
    <definedName name="ExactAddinReports" hidden="1">1</definedName>
    <definedName name="ExbMult_Total" localSheetId="106" hidden="1">#REF!</definedName>
    <definedName name="ExbMult_Total" localSheetId="95" hidden="1">#REF!</definedName>
    <definedName name="ExbMult_Total" localSheetId="94" hidden="1">#REF!</definedName>
    <definedName name="ExbMult_Total" localSheetId="33" hidden="1">#REF!</definedName>
    <definedName name="ExbMult_Total" localSheetId="34" hidden="1">#REF!</definedName>
    <definedName name="ExbMult_Total" localSheetId="35" hidden="1">#REF!</definedName>
    <definedName name="ExbMult_Total" localSheetId="102" hidden="1">#REF!</definedName>
    <definedName name="ExbMult_Total" localSheetId="4" hidden="1">#REF!</definedName>
    <definedName name="ExbMult_Total" localSheetId="55" hidden="1">#REF!</definedName>
    <definedName name="ExbMult_Total" localSheetId="59" hidden="1">#REF!</definedName>
    <definedName name="ExbMult_Total" localSheetId="93" hidden="1">#REF!</definedName>
    <definedName name="ExbMult_Total" localSheetId="62" hidden="1">#REF!</definedName>
    <definedName name="ExbMult_Total" localSheetId="47" hidden="1">#REF!</definedName>
    <definedName name="ExbMult_Total" localSheetId="101" hidden="1">#REF!</definedName>
    <definedName name="ExbMult_Total" localSheetId="40" hidden="1">#REF!</definedName>
    <definedName name="ExbMult_Total" localSheetId="41" hidden="1">#REF!</definedName>
    <definedName name="ExbMult_Total" localSheetId="46" hidden="1">#REF!</definedName>
    <definedName name="ExbMult_Total" localSheetId="60" hidden="1">#REF!</definedName>
    <definedName name="ExbMult_Total" localSheetId="39" hidden="1">#REF!</definedName>
    <definedName name="ExbMult_Total" localSheetId="58" hidden="1">#REF!</definedName>
    <definedName name="ExbMult_Total" localSheetId="44" hidden="1">#REF!</definedName>
    <definedName name="ExbMult_Total" localSheetId="64" hidden="1">#REF!</definedName>
    <definedName name="ExbMult_Total" localSheetId="63" hidden="1">#REF!</definedName>
    <definedName name="ExbMult_Total" localSheetId="31" hidden="1">#REF!</definedName>
    <definedName name="ExbMult_Total" localSheetId="104" hidden="1">#REF!</definedName>
    <definedName name="ExbMult_Total" localSheetId="96" hidden="1">#REF!</definedName>
    <definedName name="ExbMult_Total" localSheetId="61" hidden="1">#REF!</definedName>
    <definedName name="ExbMult_Total" localSheetId="90" hidden="1">#REF!</definedName>
    <definedName name="ExbMult_Total" localSheetId="19" hidden="1">#REF!</definedName>
    <definedName name="ExbMult_Total" localSheetId="57" hidden="1">#REF!</definedName>
    <definedName name="ExbMult_Total" hidden="1">#REF!</definedName>
    <definedName name="Excel_BuiltIn__FilterDatabase_1">[19]Value!$A$4:$V$61</definedName>
    <definedName name="Excel_BuiltIn__FilterDatabase_2">[19]Volume!$A$4:$V$63</definedName>
    <definedName name="Excel_BuiltIn__FilterDatabase_3">[19]CostofTherapy!$A$4:$AB$64</definedName>
    <definedName name="F_NET">6</definedName>
    <definedName name="Facilities">1700</definedName>
    <definedName name="factors" localSheetId="47" hidden="1">{#N/A,#N/A,FALSE,"Factors"}</definedName>
    <definedName name="factors" localSheetId="54" hidden="1">{#N/A,#N/A,FALSE,"Factors"}</definedName>
    <definedName name="factors" hidden="1">{#N/A,#N/A,FALSE,"Factors"}</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f" localSheetId="47" hidden="1">{#N/A,#N/A,FALSE,"e-Svc Level";#N/A,#N/A,FALSE,"e-Hosted";#N/A,#N/A,FALSE,"e-Licensed";#N/A,#N/A,FALSE,"Assumptions"}</definedName>
    <definedName name="ff" localSheetId="54" hidden="1">{#N/A,#N/A,FALSE,"e-Svc Level";#N/A,#N/A,FALSE,"e-Hosted";#N/A,#N/A,FALSE,"e-Licensed";#N/A,#N/A,FALSE,"Assumptions"}</definedName>
    <definedName name="ff" hidden="1">{#N/A,#N/A,FALSE,"e-Svc Level";#N/A,#N/A,FALSE,"e-Hosted";#N/A,#N/A,FALSE,"e-Licensed";#N/A,#N/A,FALSE,"Assumptions"}</definedName>
    <definedName name="FIN_NET">102</definedName>
    <definedName name="finres" localSheetId="106" hidden="1">#REF!</definedName>
    <definedName name="finres" localSheetId="95" hidden="1">#REF!</definedName>
    <definedName name="finres" localSheetId="94" hidden="1">#REF!</definedName>
    <definedName name="finres" localSheetId="33" hidden="1">#REF!</definedName>
    <definedName name="finres" localSheetId="34" hidden="1">#REF!</definedName>
    <definedName name="finres" localSheetId="35" hidden="1">#REF!</definedName>
    <definedName name="finres" localSheetId="102" hidden="1">#REF!</definedName>
    <definedName name="finres" localSheetId="4" hidden="1">#REF!</definedName>
    <definedName name="finres" localSheetId="55" hidden="1">#REF!</definedName>
    <definedName name="finres" localSheetId="59" hidden="1">#REF!</definedName>
    <definedName name="finres" localSheetId="93" hidden="1">#REF!</definedName>
    <definedName name="finres" localSheetId="62" hidden="1">#REF!</definedName>
    <definedName name="finres" localSheetId="47" hidden="1">#REF!</definedName>
    <definedName name="finres" localSheetId="101" hidden="1">#REF!</definedName>
    <definedName name="finres" localSheetId="40" hidden="1">#REF!</definedName>
    <definedName name="finres" localSheetId="41" hidden="1">#REF!</definedName>
    <definedName name="finres" localSheetId="46" hidden="1">#REF!</definedName>
    <definedName name="finres" localSheetId="60" hidden="1">#REF!</definedName>
    <definedName name="finres" localSheetId="39" hidden="1">#REF!</definedName>
    <definedName name="finres" localSheetId="58" hidden="1">#REF!</definedName>
    <definedName name="finres" localSheetId="44" hidden="1">#REF!</definedName>
    <definedName name="finres" localSheetId="64" hidden="1">#REF!</definedName>
    <definedName name="finres" localSheetId="63" hidden="1">#REF!</definedName>
    <definedName name="finres" localSheetId="31" hidden="1">#REF!</definedName>
    <definedName name="finres" localSheetId="104" hidden="1">#REF!</definedName>
    <definedName name="finres" localSheetId="96" hidden="1">#REF!</definedName>
    <definedName name="finres" localSheetId="61" hidden="1">#REF!</definedName>
    <definedName name="finres" localSheetId="90" hidden="1">#REF!</definedName>
    <definedName name="finres" localSheetId="19" hidden="1">#REF!</definedName>
    <definedName name="finres" localSheetId="57" hidden="1">#REF!</definedName>
    <definedName name="finres" hidden="1">#REF!</definedName>
    <definedName name="FirstProj">[12]Setup!$C$14</definedName>
    <definedName name="fleebarg" localSheetId="47" hidden="1">{"rates",#N/A,FALSE,"Summary"}</definedName>
    <definedName name="fleebarg" localSheetId="54" hidden="1">{"rates",#N/A,FALSE,"Summary"}</definedName>
    <definedName name="fleebarg" hidden="1">{"rates",#N/A,FALSE,"Summary"}</definedName>
    <definedName name="flurb" localSheetId="47" hidden="1">{"umarea",#N/A,FALSE,"Starting Cost";"umagesex",#N/A,FALSE,"Starting Cost";"umbenlim",#N/A,FALSE,"Starting Cost";"umprovdisc",#N/A,FALSE,"Starting Cost";"umother",#N/A,FALSE,"Starting Cost";"umtrend",#N/A,FALSE,"Starting Cost"}</definedName>
    <definedName name="flurb" localSheetId="54" hidden="1">{"umarea",#N/A,FALSE,"Starting Cost";"umagesex",#N/A,FALSE,"Starting Cost";"umbenlim",#N/A,FALSE,"Starting Cost";"umprovdisc",#N/A,FALSE,"Starting Cost";"umother",#N/A,FALSE,"Starting Cost";"umtrend",#N/A,FALSE,"Starting Cost"}</definedName>
    <definedName name="flurb" hidden="1">{"umarea",#N/A,FALSE,"Starting Cost";"umagesex",#N/A,FALSE,"Starting Cost";"umbenlim",#N/A,FALSE,"Starting Cost";"umprovdisc",#N/A,FALSE,"Starting Cost";"umother",#N/A,FALSE,"Starting Cost";"umtrend",#N/A,FALSE,"Starting Cost"}</definedName>
    <definedName name="FRA_NET">112</definedName>
    <definedName name="fw" localSheetId="55" hidden="1">{#N/A,#N/A,FALSE,"Model";#N/A,#N/A,FALSE,"Gen Pts &amp; Rts 2000";#N/A,#N/A,FALSE,"AcqsAss";#N/A,#N/A,FALSE,"Acqs &amp; De Novos"}</definedName>
    <definedName name="fw" localSheetId="93" hidden="1">{#N/A,#N/A,FALSE,"Model";#N/A,#N/A,FALSE,"Gen Pts &amp; Rts 2000";#N/A,#N/A,FALSE,"AcqsAss";#N/A,#N/A,FALSE,"Acqs &amp; De Novos"}</definedName>
    <definedName name="fw" localSheetId="12" hidden="1">{#N/A,#N/A,FALSE,"Model";#N/A,#N/A,FALSE,"Gen Pts &amp; Rts 2000";#N/A,#N/A,FALSE,"AcqsAss";#N/A,#N/A,FALSE,"Acqs &amp; De Novos"}</definedName>
    <definedName name="fw" localSheetId="47" hidden="1">{#N/A,#N/A,FALSE,"Model";#N/A,#N/A,FALSE,"Gen Pts &amp; Rts 2000";#N/A,#N/A,FALSE,"AcqsAss";#N/A,#N/A,FALSE,"Acqs &amp; De Novos"}</definedName>
    <definedName name="fw" localSheetId="15" hidden="1">{#N/A,#N/A,FALSE,"Model";#N/A,#N/A,FALSE,"Gen Pts &amp; Rts 2000";#N/A,#N/A,FALSE,"AcqsAss";#N/A,#N/A,FALSE,"Acqs &amp; De Novos"}</definedName>
    <definedName name="fw" localSheetId="101" hidden="1">{#N/A,#N/A,FALSE,"Model";#N/A,#N/A,FALSE,"Gen Pts &amp; Rts 2000";#N/A,#N/A,FALSE,"AcqsAss";#N/A,#N/A,FALSE,"Acqs &amp; De Novos"}</definedName>
    <definedName name="fw" localSheetId="39" hidden="1">{#N/A,#N/A,FALSE,"Model";#N/A,#N/A,FALSE,"Gen Pts &amp; Rts 2000";#N/A,#N/A,FALSE,"AcqsAss";#N/A,#N/A,FALSE,"Acqs &amp; De Novos"}</definedName>
    <definedName name="fw" localSheetId="64" hidden="1">{#N/A,#N/A,FALSE,"Model";#N/A,#N/A,FALSE,"Gen Pts &amp; Rts 2000";#N/A,#N/A,FALSE,"AcqsAss";#N/A,#N/A,FALSE,"Acqs &amp; De Novos"}</definedName>
    <definedName name="fw" localSheetId="54" hidden="1">{#N/A,#N/A,FALSE,"Model";#N/A,#N/A,FALSE,"Gen Pts &amp; Rts 2000";#N/A,#N/A,FALSE,"AcqsAss";#N/A,#N/A,FALSE,"Acqs &amp; De Novos"}</definedName>
    <definedName name="fw" localSheetId="13" hidden="1">{#N/A,#N/A,FALSE,"Model";#N/A,#N/A,FALSE,"Gen Pts &amp; Rts 2000";#N/A,#N/A,FALSE,"AcqsAss";#N/A,#N/A,FALSE,"Acqs &amp; De Novos"}</definedName>
    <definedName name="fw" localSheetId="63" hidden="1">{#N/A,#N/A,FALSE,"Model";#N/A,#N/A,FALSE,"Gen Pts &amp; Rts 2000";#N/A,#N/A,FALSE,"AcqsAss";#N/A,#N/A,FALSE,"Acqs &amp; De Novos"}</definedName>
    <definedName name="fw" localSheetId="31" hidden="1">{#N/A,#N/A,FALSE,"Model";#N/A,#N/A,FALSE,"Gen Pts &amp; Rts 2000";#N/A,#N/A,FALSE,"AcqsAss";#N/A,#N/A,FALSE,"Acqs &amp; De Novos"}</definedName>
    <definedName name="fw" localSheetId="45" hidden="1">{#N/A,#N/A,FALSE,"Model";#N/A,#N/A,FALSE,"Gen Pts &amp; Rts 2000";#N/A,#N/A,FALSE,"AcqsAss";#N/A,#N/A,FALSE,"Acqs &amp; De Novos"}</definedName>
    <definedName name="fw" localSheetId="90" hidden="1">{#N/A,#N/A,FALSE,"Model";#N/A,#N/A,FALSE,"Gen Pts &amp; Rts 2000";#N/A,#N/A,FALSE,"AcqsAss";#N/A,#N/A,FALSE,"Acqs &amp; De Novos"}</definedName>
    <definedName name="fw" localSheetId="19" hidden="1">{#N/A,#N/A,FALSE,"Model";#N/A,#N/A,FALSE,"Gen Pts &amp; Rts 2000";#N/A,#N/A,FALSE,"AcqsAss";#N/A,#N/A,FALSE,"Acqs &amp; De Novos"}</definedName>
    <definedName name="fw" localSheetId="57" hidden="1">{#N/A,#N/A,FALSE,"Model";#N/A,#N/A,FALSE,"Gen Pts &amp; Rts 2000";#N/A,#N/A,FALSE,"AcqsAss";#N/A,#N/A,FALSE,"Acqs &amp; De Novos"}</definedName>
    <definedName name="fw" hidden="1">{#N/A,#N/A,FALSE,"Model";#N/A,#N/A,FALSE,"Gen Pts &amp; Rts 2000";#N/A,#N/A,FALSE,"AcqsAss";#N/A,#N/A,FALSE,"Acqs &amp; De Novos"}</definedName>
    <definedName name="fwap" localSheetId="47" hidden="1">{#N/A,#N/A,FALSE,"Allocation"}</definedName>
    <definedName name="fwap" localSheetId="54" hidden="1">{#N/A,#N/A,FALSE,"Allocation"}</definedName>
    <definedName name="fwap" hidden="1">{#N/A,#N/A,FALSE,"Allocation"}</definedName>
    <definedName name="fweep" localSheetId="47" hidden="1">{"OM Visits",#N/A,TRUE,"Optimal";"OM Dollars per Hour",#N/A,TRUE,"Optimal";"OM Hours per Visit",#N/A,TRUE,"Optimal";"OM Dollars per Visit",#N/A,TRUE,"Optimal";"OM Total Visits",#N/A,TRUE,"Optimal";"OM PMPM",#N/A,TRUE,"Optimal"}</definedName>
    <definedName name="fweep" localSheetId="54" hidden="1">{"OM Visits",#N/A,TRUE,"Optimal";"OM Dollars per Hour",#N/A,TRUE,"Optimal";"OM Hours per Visit",#N/A,TRUE,"Optimal";"OM Dollars per Visit",#N/A,TRUE,"Optimal";"OM Total Visits",#N/A,TRUE,"Optimal";"OM PMPM",#N/A,TRUE,"Optimal"}</definedName>
    <definedName name="fweep" hidden="1">{"OM Visits",#N/A,TRUE,"Optimal";"OM Dollars per Hour",#N/A,TRUE,"Optimal";"OM Hours per Visit",#N/A,TRUE,"Optimal";"OM Dollars per Visit",#N/A,TRUE,"Optimal";"OM Total Visits",#N/A,TRUE,"Optimal";"OM PMPM",#N/A,TRUE,"Optimal"}</definedName>
    <definedName name="gasf" localSheetId="47" hidden="1">{#N/A,#N/A,FALSE,"Model"}</definedName>
    <definedName name="gasf" localSheetId="54" hidden="1">{#N/A,#N/A,FALSE,"Model"}</definedName>
    <definedName name="gasf" hidden="1">{#N/A,#N/A,FALSE,"Model"}</definedName>
    <definedName name="GER_NET">101</definedName>
    <definedName name="ggg" localSheetId="47" hidden="1">{#N/A,#N/A,FALSE,"e-Svc Level";#N/A,#N/A,FALSE,"e-Hosted";#N/A,#N/A,FALSE,"e-Licensed";#N/A,#N/A,FALSE,"Assumptions"}</definedName>
    <definedName name="ggg" localSheetId="54" hidden="1">{#N/A,#N/A,FALSE,"e-Svc Level";#N/A,#N/A,FALSE,"e-Hosted";#N/A,#N/A,FALSE,"e-Licensed";#N/A,#N/A,FALSE,"Assumptions"}</definedName>
    <definedName name="ggg" hidden="1">{#N/A,#N/A,FALSE,"e-Svc Level";#N/A,#N/A,FALSE,"e-Hosted";#N/A,#N/A,FALSE,"e-Licensed";#N/A,#N/A,FALSE,"Assumptions"}</definedName>
    <definedName name="gin" localSheetId="106" hidden="1">#REF!</definedName>
    <definedName name="gin" localSheetId="95" hidden="1">#REF!</definedName>
    <definedName name="gin" localSheetId="94" hidden="1">#REF!</definedName>
    <definedName name="gin" localSheetId="33" hidden="1">#REF!</definedName>
    <definedName name="gin" localSheetId="34" hidden="1">#REF!</definedName>
    <definedName name="gin" localSheetId="35" hidden="1">#REF!</definedName>
    <definedName name="gin" localSheetId="102" hidden="1">#REF!</definedName>
    <definedName name="gin" localSheetId="4" hidden="1">#REF!</definedName>
    <definedName name="gin" localSheetId="55" hidden="1">#REF!</definedName>
    <definedName name="gin" localSheetId="59" hidden="1">#REF!</definedName>
    <definedName name="gin" localSheetId="93" hidden="1">#REF!</definedName>
    <definedName name="gin" localSheetId="62" hidden="1">#REF!</definedName>
    <definedName name="gin" localSheetId="47" hidden="1">#REF!</definedName>
    <definedName name="gin" localSheetId="101" hidden="1">#REF!</definedName>
    <definedName name="gin" localSheetId="40" hidden="1">#REF!</definedName>
    <definedName name="gin" localSheetId="41" hidden="1">#REF!</definedName>
    <definedName name="gin" localSheetId="46" hidden="1">#REF!</definedName>
    <definedName name="gin" localSheetId="60" hidden="1">#REF!</definedName>
    <definedName name="gin" localSheetId="39" hidden="1">#REF!</definedName>
    <definedName name="gin" localSheetId="58" hidden="1">#REF!</definedName>
    <definedName name="gin" localSheetId="44" hidden="1">#REF!</definedName>
    <definedName name="gin" localSheetId="64" hidden="1">#REF!</definedName>
    <definedName name="gin" localSheetId="63" hidden="1">#REF!</definedName>
    <definedName name="gin" localSheetId="31" hidden="1">#REF!</definedName>
    <definedName name="gin" localSheetId="104" hidden="1">#REF!</definedName>
    <definedName name="gin" localSheetId="96" hidden="1">#REF!</definedName>
    <definedName name="gin" localSheetId="61" hidden="1">#REF!</definedName>
    <definedName name="gin" localSheetId="90" hidden="1">#REF!</definedName>
    <definedName name="gin" localSheetId="19" hidden="1">#REF!</definedName>
    <definedName name="gin" localSheetId="57" hidden="1">#REF!</definedName>
    <definedName name="gin" hidden="1">#REF!</definedName>
    <definedName name="GRE_NET">117</definedName>
    <definedName name="GVKey">""</definedName>
    <definedName name="h" localSheetId="47">{0.1;0;0.45;0;0;0;0;0;0.45}</definedName>
    <definedName name="h" localSheetId="57">{0.1;0;0.45;0;0;0;0;0;0.45}</definedName>
    <definedName name="h">{0.1;0;0.45;0;0;0;0;0;0.45}</definedName>
    <definedName name="Header_Row" localSheetId="59">ROW(#REF!)</definedName>
    <definedName name="Header_Row" localSheetId="47">ROW(#REF!)</definedName>
    <definedName name="Header_Row" localSheetId="46">ROW(#REF!)</definedName>
    <definedName name="Header_Row" localSheetId="60">ROW(#REF!)</definedName>
    <definedName name="Header_Row" localSheetId="63">ROW(#REF!)</definedName>
    <definedName name="Header_Row">ROW(#REF!)</definedName>
    <definedName name="hh" localSheetId="55" hidden="1">{#N/A,#N/A,FALSE,"Bakersfield PCs";#N/A,#N/A,FALSE,"Bremer PCs";#N/A,#N/A,FALSE,"Bakersfield Notebooks"}</definedName>
    <definedName name="hh" localSheetId="59" hidden="1">{#N/A,#N/A,FALSE,"Bakersfield PCs";#N/A,#N/A,FALSE,"Bremer PCs";#N/A,#N/A,FALSE,"Bakersfield Notebooks"}</definedName>
    <definedName name="hh" localSheetId="93" hidden="1">{#N/A,#N/A,FALSE,"Bakersfield PCs";#N/A,#N/A,FALSE,"Bremer PCs";#N/A,#N/A,FALSE,"Bakersfield Notebooks"}</definedName>
    <definedName name="hh" localSheetId="12" hidden="1">{#N/A,#N/A,FALSE,"Bakersfield PCs";#N/A,#N/A,FALSE,"Bremer PCs";#N/A,#N/A,FALSE,"Bakersfield Notebooks"}</definedName>
    <definedName name="hh" localSheetId="62" hidden="1">{#N/A,#N/A,FALSE,"Bakersfield PCs";#N/A,#N/A,FALSE,"Bremer PCs";#N/A,#N/A,FALSE,"Bakersfield Notebooks"}</definedName>
    <definedName name="hh" localSheetId="47" hidden="1">{#N/A,#N/A,FALSE,"Bakersfield PCs";#N/A,#N/A,FALSE,"Bremer PCs";#N/A,#N/A,FALSE,"Bakersfield Notebooks"}</definedName>
    <definedName name="hh" localSheetId="15" hidden="1">{#N/A,#N/A,FALSE,"Bakersfield PCs";#N/A,#N/A,FALSE,"Bremer PCs";#N/A,#N/A,FALSE,"Bakersfield Notebooks"}</definedName>
    <definedName name="hh" localSheetId="101" hidden="1">{#N/A,#N/A,FALSE,"Bakersfield PCs";#N/A,#N/A,FALSE,"Bremer PCs";#N/A,#N/A,FALSE,"Bakersfield Notebooks"}</definedName>
    <definedName name="hh" localSheetId="60" hidden="1">{#N/A,#N/A,FALSE,"Bakersfield PCs";#N/A,#N/A,FALSE,"Bremer PCs";#N/A,#N/A,FALSE,"Bakersfield Notebooks"}</definedName>
    <definedName name="hh" localSheetId="39" hidden="1">{#N/A,#N/A,FALSE,"Bakersfield PCs";#N/A,#N/A,FALSE,"Bremer PCs";#N/A,#N/A,FALSE,"Bakersfield Notebooks"}</definedName>
    <definedName name="hh" localSheetId="58" hidden="1">{#N/A,#N/A,FALSE,"Bakersfield PCs";#N/A,#N/A,FALSE,"Bremer PCs";#N/A,#N/A,FALSE,"Bakersfield Notebooks"}</definedName>
    <definedName name="hh" localSheetId="64" hidden="1">{#N/A,#N/A,FALSE,"Bakersfield PCs";#N/A,#N/A,FALSE,"Bremer PCs";#N/A,#N/A,FALSE,"Bakersfield Notebooks"}</definedName>
    <definedName name="hh" localSheetId="54" hidden="1">{#N/A,#N/A,FALSE,"Bakersfield PCs";#N/A,#N/A,FALSE,"Bremer PCs";#N/A,#N/A,FALSE,"Bakersfield Notebooks"}</definedName>
    <definedName name="hh" localSheetId="13" hidden="1">{#N/A,#N/A,FALSE,"Bakersfield PCs";#N/A,#N/A,FALSE,"Bremer PCs";#N/A,#N/A,FALSE,"Bakersfield Notebooks"}</definedName>
    <definedName name="hh" localSheetId="63" hidden="1">{#N/A,#N/A,FALSE,"Bakersfield PCs";#N/A,#N/A,FALSE,"Bremer PCs";#N/A,#N/A,FALSE,"Bakersfield Notebooks"}</definedName>
    <definedName name="hh" localSheetId="31" hidden="1">{#N/A,#N/A,FALSE,"Bakersfield PCs";#N/A,#N/A,FALSE,"Bremer PCs";#N/A,#N/A,FALSE,"Bakersfield Notebooks"}</definedName>
    <definedName name="hh" localSheetId="61" hidden="1">{#N/A,#N/A,FALSE,"Bakersfield PCs";#N/A,#N/A,FALSE,"Bremer PCs";#N/A,#N/A,FALSE,"Bakersfield Notebooks"}</definedName>
    <definedName name="hh" localSheetId="45" hidden="1">{#N/A,#N/A,FALSE,"Bakersfield PCs";#N/A,#N/A,FALSE,"Bremer PCs";#N/A,#N/A,FALSE,"Bakersfield Notebooks"}</definedName>
    <definedName name="hh" localSheetId="90" hidden="1">{#N/A,#N/A,FALSE,"Bakersfield PCs";#N/A,#N/A,FALSE,"Bremer PCs";#N/A,#N/A,FALSE,"Bakersfield Notebooks"}</definedName>
    <definedName name="hh" localSheetId="19" hidden="1">{#N/A,#N/A,FALSE,"Bakersfield PCs";#N/A,#N/A,FALSE,"Bremer PCs";#N/A,#N/A,FALSE,"Bakersfield Notebooks"}</definedName>
    <definedName name="hh" localSheetId="57" hidden="1">{#N/A,#N/A,FALSE,"Bakersfield PCs";#N/A,#N/A,FALSE,"Bremer PCs";#N/A,#N/A,FALSE,"Bakersfield Notebooks"}</definedName>
    <definedName name="hh" hidden="1">{#N/A,#N/A,FALSE,"Bakersfield PCs";#N/A,#N/A,FALSE,"Bremer PCs";#N/A,#N/A,FALSE,"Bakersfield Notebooks"}</definedName>
    <definedName name="hhhh" localSheetId="55" hidden="1">{#N/A,#N/A,FALSE,"Bakersfield PCs";#N/A,#N/A,FALSE,"Bremer PCs";#N/A,#N/A,FALSE,"Bakersfield Notebooks"}</definedName>
    <definedName name="hhhh" localSheetId="59" hidden="1">{#N/A,#N/A,FALSE,"Bakersfield PCs";#N/A,#N/A,FALSE,"Bremer PCs";#N/A,#N/A,FALSE,"Bakersfield Notebooks"}</definedName>
    <definedName name="hhhh" localSheetId="93" hidden="1">{#N/A,#N/A,FALSE,"Bakersfield PCs";#N/A,#N/A,FALSE,"Bremer PCs";#N/A,#N/A,FALSE,"Bakersfield Notebooks"}</definedName>
    <definedName name="hhhh" localSheetId="12" hidden="1">{#N/A,#N/A,FALSE,"Bakersfield PCs";#N/A,#N/A,FALSE,"Bremer PCs";#N/A,#N/A,FALSE,"Bakersfield Notebooks"}</definedName>
    <definedName name="hhhh" localSheetId="62" hidden="1">{#N/A,#N/A,FALSE,"Bakersfield PCs";#N/A,#N/A,FALSE,"Bremer PCs";#N/A,#N/A,FALSE,"Bakersfield Notebooks"}</definedName>
    <definedName name="hhhh" localSheetId="47" hidden="1">{#N/A,#N/A,FALSE,"Bakersfield PCs";#N/A,#N/A,FALSE,"Bremer PCs";#N/A,#N/A,FALSE,"Bakersfield Notebooks"}</definedName>
    <definedName name="hhhh" localSheetId="15" hidden="1">{#N/A,#N/A,FALSE,"Bakersfield PCs";#N/A,#N/A,FALSE,"Bremer PCs";#N/A,#N/A,FALSE,"Bakersfield Notebooks"}</definedName>
    <definedName name="hhhh" localSheetId="101" hidden="1">{#N/A,#N/A,FALSE,"Bakersfield PCs";#N/A,#N/A,FALSE,"Bremer PCs";#N/A,#N/A,FALSE,"Bakersfield Notebooks"}</definedName>
    <definedName name="hhhh" localSheetId="60" hidden="1">{#N/A,#N/A,FALSE,"Bakersfield PCs";#N/A,#N/A,FALSE,"Bremer PCs";#N/A,#N/A,FALSE,"Bakersfield Notebooks"}</definedName>
    <definedName name="hhhh" localSheetId="39" hidden="1">{#N/A,#N/A,FALSE,"Bakersfield PCs";#N/A,#N/A,FALSE,"Bremer PCs";#N/A,#N/A,FALSE,"Bakersfield Notebooks"}</definedName>
    <definedName name="hhhh" localSheetId="58" hidden="1">{#N/A,#N/A,FALSE,"Bakersfield PCs";#N/A,#N/A,FALSE,"Bremer PCs";#N/A,#N/A,FALSE,"Bakersfield Notebooks"}</definedName>
    <definedName name="hhhh" localSheetId="64" hidden="1">{#N/A,#N/A,FALSE,"Bakersfield PCs";#N/A,#N/A,FALSE,"Bremer PCs";#N/A,#N/A,FALSE,"Bakersfield Notebooks"}</definedName>
    <definedName name="hhhh" localSheetId="54" hidden="1">{#N/A,#N/A,FALSE,"Bakersfield PCs";#N/A,#N/A,FALSE,"Bremer PCs";#N/A,#N/A,FALSE,"Bakersfield Notebooks"}</definedName>
    <definedName name="hhhh" localSheetId="13" hidden="1">{#N/A,#N/A,FALSE,"Bakersfield PCs";#N/A,#N/A,FALSE,"Bremer PCs";#N/A,#N/A,FALSE,"Bakersfield Notebooks"}</definedName>
    <definedName name="hhhh" localSheetId="63" hidden="1">{#N/A,#N/A,FALSE,"Bakersfield PCs";#N/A,#N/A,FALSE,"Bremer PCs";#N/A,#N/A,FALSE,"Bakersfield Notebooks"}</definedName>
    <definedName name="hhhh" localSheetId="31" hidden="1">{#N/A,#N/A,FALSE,"Bakersfield PCs";#N/A,#N/A,FALSE,"Bremer PCs";#N/A,#N/A,FALSE,"Bakersfield Notebooks"}</definedName>
    <definedName name="hhhh" localSheetId="61" hidden="1">{#N/A,#N/A,FALSE,"Bakersfield PCs";#N/A,#N/A,FALSE,"Bremer PCs";#N/A,#N/A,FALSE,"Bakersfield Notebooks"}</definedName>
    <definedName name="hhhh" localSheetId="45" hidden="1">{#N/A,#N/A,FALSE,"Bakersfield PCs";#N/A,#N/A,FALSE,"Bremer PCs";#N/A,#N/A,FALSE,"Bakersfield Notebooks"}</definedName>
    <definedName name="hhhh" localSheetId="90" hidden="1">{#N/A,#N/A,FALSE,"Bakersfield PCs";#N/A,#N/A,FALSE,"Bremer PCs";#N/A,#N/A,FALSE,"Bakersfield Notebooks"}</definedName>
    <definedName name="hhhh" localSheetId="19" hidden="1">{#N/A,#N/A,FALSE,"Bakersfield PCs";#N/A,#N/A,FALSE,"Bremer PCs";#N/A,#N/A,FALSE,"Bakersfield Notebooks"}</definedName>
    <definedName name="hhhh" localSheetId="57" hidden="1">{#N/A,#N/A,FALSE,"Bakersfield PCs";#N/A,#N/A,FALSE,"Bremer PCs";#N/A,#N/A,FALSE,"Bakersfield Notebooks"}</definedName>
    <definedName name="hhhh" hidden="1">{#N/A,#N/A,FALSE,"Bakersfield PCs";#N/A,#N/A,FALSE,"Bremer PCs";#N/A,#N/A,FALSE,"Bakersfield Notebooks"}</definedName>
    <definedName name="hhhhh" localSheetId="55" hidden="1">{#N/A,#N/A,FALSE,"Bakersfield PCs";#N/A,#N/A,FALSE,"Bremer PCs";#N/A,#N/A,FALSE,"Bakersfield Notebooks"}</definedName>
    <definedName name="hhhhh" localSheetId="59" hidden="1">{#N/A,#N/A,FALSE,"Bakersfield PCs";#N/A,#N/A,FALSE,"Bremer PCs";#N/A,#N/A,FALSE,"Bakersfield Notebooks"}</definedName>
    <definedName name="hhhhh" localSheetId="93" hidden="1">{#N/A,#N/A,FALSE,"Bakersfield PCs";#N/A,#N/A,FALSE,"Bremer PCs";#N/A,#N/A,FALSE,"Bakersfield Notebooks"}</definedName>
    <definedName name="hhhhh" localSheetId="12" hidden="1">{#N/A,#N/A,FALSE,"Bakersfield PCs";#N/A,#N/A,FALSE,"Bremer PCs";#N/A,#N/A,FALSE,"Bakersfield Notebooks"}</definedName>
    <definedName name="hhhhh" localSheetId="62" hidden="1">{#N/A,#N/A,FALSE,"Bakersfield PCs";#N/A,#N/A,FALSE,"Bremer PCs";#N/A,#N/A,FALSE,"Bakersfield Notebooks"}</definedName>
    <definedName name="hhhhh" localSheetId="47" hidden="1">{#N/A,#N/A,FALSE,"Bakersfield PCs";#N/A,#N/A,FALSE,"Bremer PCs";#N/A,#N/A,FALSE,"Bakersfield Notebooks"}</definedName>
    <definedName name="hhhhh" localSheetId="15" hidden="1">{#N/A,#N/A,FALSE,"Bakersfield PCs";#N/A,#N/A,FALSE,"Bremer PCs";#N/A,#N/A,FALSE,"Bakersfield Notebooks"}</definedName>
    <definedName name="hhhhh" localSheetId="101" hidden="1">{#N/A,#N/A,FALSE,"Bakersfield PCs";#N/A,#N/A,FALSE,"Bremer PCs";#N/A,#N/A,FALSE,"Bakersfield Notebooks"}</definedName>
    <definedName name="hhhhh" localSheetId="60" hidden="1">{#N/A,#N/A,FALSE,"Bakersfield PCs";#N/A,#N/A,FALSE,"Bremer PCs";#N/A,#N/A,FALSE,"Bakersfield Notebooks"}</definedName>
    <definedName name="hhhhh" localSheetId="39" hidden="1">{#N/A,#N/A,FALSE,"Bakersfield PCs";#N/A,#N/A,FALSE,"Bremer PCs";#N/A,#N/A,FALSE,"Bakersfield Notebooks"}</definedName>
    <definedName name="hhhhh" localSheetId="58" hidden="1">{#N/A,#N/A,FALSE,"Bakersfield PCs";#N/A,#N/A,FALSE,"Bremer PCs";#N/A,#N/A,FALSE,"Bakersfield Notebooks"}</definedName>
    <definedName name="hhhhh" localSheetId="64" hidden="1">{#N/A,#N/A,FALSE,"Bakersfield PCs";#N/A,#N/A,FALSE,"Bremer PCs";#N/A,#N/A,FALSE,"Bakersfield Notebooks"}</definedName>
    <definedName name="hhhhh" localSheetId="54" hidden="1">{#N/A,#N/A,FALSE,"Bakersfield PCs";#N/A,#N/A,FALSE,"Bremer PCs";#N/A,#N/A,FALSE,"Bakersfield Notebooks"}</definedName>
    <definedName name="hhhhh" localSheetId="13" hidden="1">{#N/A,#N/A,FALSE,"Bakersfield PCs";#N/A,#N/A,FALSE,"Bremer PCs";#N/A,#N/A,FALSE,"Bakersfield Notebooks"}</definedName>
    <definedName name="hhhhh" localSheetId="63" hidden="1">{#N/A,#N/A,FALSE,"Bakersfield PCs";#N/A,#N/A,FALSE,"Bremer PCs";#N/A,#N/A,FALSE,"Bakersfield Notebooks"}</definedName>
    <definedName name="hhhhh" localSheetId="31" hidden="1">{#N/A,#N/A,FALSE,"Bakersfield PCs";#N/A,#N/A,FALSE,"Bremer PCs";#N/A,#N/A,FALSE,"Bakersfield Notebooks"}</definedName>
    <definedName name="hhhhh" localSheetId="61" hidden="1">{#N/A,#N/A,FALSE,"Bakersfield PCs";#N/A,#N/A,FALSE,"Bremer PCs";#N/A,#N/A,FALSE,"Bakersfield Notebooks"}</definedName>
    <definedName name="hhhhh" localSheetId="45" hidden="1">{#N/A,#N/A,FALSE,"Bakersfield PCs";#N/A,#N/A,FALSE,"Bremer PCs";#N/A,#N/A,FALSE,"Bakersfield Notebooks"}</definedName>
    <definedName name="hhhhh" localSheetId="90" hidden="1">{#N/A,#N/A,FALSE,"Bakersfield PCs";#N/A,#N/A,FALSE,"Bremer PCs";#N/A,#N/A,FALSE,"Bakersfield Notebooks"}</definedName>
    <definedName name="hhhhh" localSheetId="19" hidden="1">{#N/A,#N/A,FALSE,"Bakersfield PCs";#N/A,#N/A,FALSE,"Bremer PCs";#N/A,#N/A,FALSE,"Bakersfield Notebooks"}</definedName>
    <definedName name="hhhhh" localSheetId="57" hidden="1">{#N/A,#N/A,FALSE,"Bakersfield PCs";#N/A,#N/A,FALSE,"Bremer PCs";#N/A,#N/A,FALSE,"Bakersfield Notebooks"}</definedName>
    <definedName name="hhhhh" hidden="1">{#N/A,#N/A,FALSE,"Bakersfield PCs";#N/A,#N/A,FALSE,"Bremer PCs";#N/A,#N/A,FALSE,"Bakersfield Notebooks"}</definedName>
    <definedName name="hhhw" localSheetId="55" hidden="1">{#N/A,#N/A,FALSE,"Bakersfield PCs";#N/A,#N/A,FALSE,"Bremer PCs";#N/A,#N/A,FALSE,"Bakersfield Notebooks"}</definedName>
    <definedName name="hhhw" localSheetId="59" hidden="1">{#N/A,#N/A,FALSE,"Bakersfield PCs";#N/A,#N/A,FALSE,"Bremer PCs";#N/A,#N/A,FALSE,"Bakersfield Notebooks"}</definedName>
    <definedName name="hhhw" localSheetId="93" hidden="1">{#N/A,#N/A,FALSE,"Bakersfield PCs";#N/A,#N/A,FALSE,"Bremer PCs";#N/A,#N/A,FALSE,"Bakersfield Notebooks"}</definedName>
    <definedName name="hhhw" localSheetId="12" hidden="1">{#N/A,#N/A,FALSE,"Bakersfield PCs";#N/A,#N/A,FALSE,"Bremer PCs";#N/A,#N/A,FALSE,"Bakersfield Notebooks"}</definedName>
    <definedName name="hhhw" localSheetId="62" hidden="1">{#N/A,#N/A,FALSE,"Bakersfield PCs";#N/A,#N/A,FALSE,"Bremer PCs";#N/A,#N/A,FALSE,"Bakersfield Notebooks"}</definedName>
    <definedName name="hhhw" localSheetId="47" hidden="1">{#N/A,#N/A,FALSE,"Bakersfield PCs";#N/A,#N/A,FALSE,"Bremer PCs";#N/A,#N/A,FALSE,"Bakersfield Notebooks"}</definedName>
    <definedName name="hhhw" localSheetId="15" hidden="1">{#N/A,#N/A,FALSE,"Bakersfield PCs";#N/A,#N/A,FALSE,"Bremer PCs";#N/A,#N/A,FALSE,"Bakersfield Notebooks"}</definedName>
    <definedName name="hhhw" localSheetId="101" hidden="1">{#N/A,#N/A,FALSE,"Bakersfield PCs";#N/A,#N/A,FALSE,"Bremer PCs";#N/A,#N/A,FALSE,"Bakersfield Notebooks"}</definedName>
    <definedName name="hhhw" localSheetId="60" hidden="1">{#N/A,#N/A,FALSE,"Bakersfield PCs";#N/A,#N/A,FALSE,"Bremer PCs";#N/A,#N/A,FALSE,"Bakersfield Notebooks"}</definedName>
    <definedName name="hhhw" localSheetId="39" hidden="1">{#N/A,#N/A,FALSE,"Bakersfield PCs";#N/A,#N/A,FALSE,"Bremer PCs";#N/A,#N/A,FALSE,"Bakersfield Notebooks"}</definedName>
    <definedName name="hhhw" localSheetId="58" hidden="1">{#N/A,#N/A,FALSE,"Bakersfield PCs";#N/A,#N/A,FALSE,"Bremer PCs";#N/A,#N/A,FALSE,"Bakersfield Notebooks"}</definedName>
    <definedName name="hhhw" localSheetId="64" hidden="1">{#N/A,#N/A,FALSE,"Bakersfield PCs";#N/A,#N/A,FALSE,"Bremer PCs";#N/A,#N/A,FALSE,"Bakersfield Notebooks"}</definedName>
    <definedName name="hhhw" localSheetId="54" hidden="1">{#N/A,#N/A,FALSE,"Bakersfield PCs";#N/A,#N/A,FALSE,"Bremer PCs";#N/A,#N/A,FALSE,"Bakersfield Notebooks"}</definedName>
    <definedName name="hhhw" localSheetId="13" hidden="1">{#N/A,#N/A,FALSE,"Bakersfield PCs";#N/A,#N/A,FALSE,"Bremer PCs";#N/A,#N/A,FALSE,"Bakersfield Notebooks"}</definedName>
    <definedName name="hhhw" localSheetId="63" hidden="1">{#N/A,#N/A,FALSE,"Bakersfield PCs";#N/A,#N/A,FALSE,"Bremer PCs";#N/A,#N/A,FALSE,"Bakersfield Notebooks"}</definedName>
    <definedName name="hhhw" localSheetId="31" hidden="1">{#N/A,#N/A,FALSE,"Bakersfield PCs";#N/A,#N/A,FALSE,"Bremer PCs";#N/A,#N/A,FALSE,"Bakersfield Notebooks"}</definedName>
    <definedName name="hhhw" localSheetId="61" hidden="1">{#N/A,#N/A,FALSE,"Bakersfield PCs";#N/A,#N/A,FALSE,"Bremer PCs";#N/A,#N/A,FALSE,"Bakersfield Notebooks"}</definedName>
    <definedName name="hhhw" localSheetId="45" hidden="1">{#N/A,#N/A,FALSE,"Bakersfield PCs";#N/A,#N/A,FALSE,"Bremer PCs";#N/A,#N/A,FALSE,"Bakersfield Notebooks"}</definedName>
    <definedName name="hhhw" localSheetId="90" hidden="1">{#N/A,#N/A,FALSE,"Bakersfield PCs";#N/A,#N/A,FALSE,"Bremer PCs";#N/A,#N/A,FALSE,"Bakersfield Notebooks"}</definedName>
    <definedName name="hhhw" localSheetId="19" hidden="1">{#N/A,#N/A,FALSE,"Bakersfield PCs";#N/A,#N/A,FALSE,"Bremer PCs";#N/A,#N/A,FALSE,"Bakersfield Notebooks"}</definedName>
    <definedName name="hhhw" localSheetId="57" hidden="1">{#N/A,#N/A,FALSE,"Bakersfield PCs";#N/A,#N/A,FALSE,"Bremer PCs";#N/A,#N/A,FALSE,"Bakersfield Notebooks"}</definedName>
    <definedName name="hhhw" hidden="1">{#N/A,#N/A,FALSE,"Bakersfield PCs";#N/A,#N/A,FALSE,"Bremer PCs";#N/A,#N/A,FALSE,"Bakersfield Notebooks"}</definedName>
    <definedName name="hn.ExtDb" hidden="1">FALSE</definedName>
    <definedName name="hn.ModelType" hidden="1">"DEAL"</definedName>
    <definedName name="hn.ModelVersion" hidden="1">1</definedName>
    <definedName name="hn.NoUpload" hidden="1">0</definedName>
    <definedName name="HOL_NET">105</definedName>
    <definedName name="Home">"Home"</definedName>
    <definedName name="HTML_CodePage" hidden="1">1252</definedName>
    <definedName name="HTML_Control" localSheetId="55" hidden="1">{"'Leverage'!$B$2:$M$418"}</definedName>
    <definedName name="HTML_Control" localSheetId="59" hidden="1">{"'Leverage'!$B$2:$M$418"}</definedName>
    <definedName name="HTML_Control" localSheetId="93" hidden="1">{"'Leverage'!$B$2:$M$418"}</definedName>
    <definedName name="HTML_Control" localSheetId="12" hidden="1">{"'Leverage'!$B$2:$M$418"}</definedName>
    <definedName name="HTML_Control" localSheetId="62" hidden="1">{"'Leverage'!$B$2:$M$418"}</definedName>
    <definedName name="HTML_Control" localSheetId="47" hidden="1">{"'Leverage'!$B$2:$M$418"}</definedName>
    <definedName name="HTML_Control" localSheetId="15" hidden="1">{"'Leverage'!$B$2:$M$418"}</definedName>
    <definedName name="HTML_Control" localSheetId="101" hidden="1">{"'Leverage'!$B$2:$M$418"}</definedName>
    <definedName name="HTML_Control" localSheetId="60" hidden="1">{"'Leverage'!$B$2:$M$418"}</definedName>
    <definedName name="HTML_Control" localSheetId="39" hidden="1">{"'Leverage'!$B$2:$M$418"}</definedName>
    <definedName name="HTML_Control" localSheetId="58" hidden="1">{"'Leverage'!$B$2:$M$418"}</definedName>
    <definedName name="HTML_Control" localSheetId="64" hidden="1">{"'Leverage'!$B$2:$M$418"}</definedName>
    <definedName name="HTML_Control" localSheetId="54" hidden="1">{"'Leverage'!$B$2:$M$418"}</definedName>
    <definedName name="HTML_Control" localSheetId="13" hidden="1">{"'Leverage'!$B$2:$M$418"}</definedName>
    <definedName name="HTML_Control" localSheetId="63" hidden="1">{"'Leverage'!$B$2:$M$418"}</definedName>
    <definedName name="HTML_Control" localSheetId="31" hidden="1">{"'Leverage'!$B$2:$M$418"}</definedName>
    <definedName name="HTML_Control" localSheetId="61" hidden="1">{"'Leverage'!$B$2:$M$418"}</definedName>
    <definedName name="HTML_Control" localSheetId="45" hidden="1">{"'Leverage'!$B$2:$M$418"}</definedName>
    <definedName name="HTML_Control" localSheetId="90" hidden="1">{"'Leverage'!$B$2:$M$418"}</definedName>
    <definedName name="HTML_Control" localSheetId="19" hidden="1">{"'Leverage'!$B$2:$M$418"}</definedName>
    <definedName name="HTML_Control" localSheetId="57" hidden="1">{"'Leverage'!$B$2:$M$418"}</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3"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PathTemplate" hidden="1">"C:\Mes documents\HTMLTemp.htm"</definedName>
    <definedName name="HTML_Title" hidden="1">"leverage"</definedName>
    <definedName name="HTML1_1" hidden="1">"[BC死亡者数.xls]BCpts!$A$2:$I$51"</definedName>
    <definedName name="HTML1_10" hidden="1">""</definedName>
    <definedName name="HTML1_11" hidden="1">1</definedName>
    <definedName name="HTML1_12" hidden="1">"O:\CTAT\Z-mate\厚生省\BC-death.htm"</definedName>
    <definedName name="HTML1_2" hidden="1">1</definedName>
    <definedName name="HTML1_3" hidden="1">"BC死亡者数.xls"</definedName>
    <definedName name="HTML1_4" hidden="1">"BCpts"</definedName>
    <definedName name="HTML1_5" hidden="1">""</definedName>
    <definedName name="HTML1_6" hidden="1">-4146</definedName>
    <definedName name="HTML1_7" hidden="1">-4146</definedName>
    <definedName name="HTML1_8" hidden="1">"98/06/04"</definedName>
    <definedName name="HTML1_9" hidden="1">"j631091"</definedName>
    <definedName name="HTMLCount" hidden="1">1</definedName>
    <definedName name="ick" localSheetId="47" hidden="1">{"UM Visits",#N/A,FALSE,"Unmanaged";"UM Dollars per Hour",#N/A,FALSE,"Unmanaged";"UM Hours per Visit",#N/A,FALSE,"Unmanaged";"UM Dollars per Visit",#N/A,FALSE,"Unmanaged";"UM Total Visits",#N/A,FALSE,"Unmanaged";"UM PMPM",#N/A,FALSE,"Unmanaged"}</definedName>
    <definedName name="ick" localSheetId="54" hidden="1">{"UM Visits",#N/A,FALSE,"Unmanaged";"UM Dollars per Hour",#N/A,FALSE,"Unmanaged";"UM Hours per Visit",#N/A,FALSE,"Unmanaged";"UM Dollars per Visit",#N/A,FALSE,"Unmanaged";"UM Total Visits",#N/A,FALSE,"Unmanaged";"UM PMPM",#N/A,FALSE,"Unmanaged"}</definedName>
    <definedName name="ick" hidden="1">{"UM Visits",#N/A,FALSE,"Unmanaged";"UM Dollars per Hour",#N/A,FALSE,"Unmanaged";"UM Hours per Visit",#N/A,FALSE,"Unmanaged";"UM Dollars per Visit",#N/A,FALSE,"Unmanaged";"UM Total Visits",#N/A,FALSE,"Unmanaged";"UM PMPM",#N/A,FALSE,"Unmanaged"}</definedName>
    <definedName name="iiii" localSheetId="55" hidden="1">{#N/A,#N/A,FALSE,"Bakersfield PCs";#N/A,#N/A,FALSE,"Bremer PCs";#N/A,#N/A,FALSE,"Bakersfield Notebooks"}</definedName>
    <definedName name="iiii" localSheetId="59" hidden="1">{#N/A,#N/A,FALSE,"Bakersfield PCs";#N/A,#N/A,FALSE,"Bremer PCs";#N/A,#N/A,FALSE,"Bakersfield Notebooks"}</definedName>
    <definedName name="iiii" localSheetId="93" hidden="1">{#N/A,#N/A,FALSE,"Bakersfield PCs";#N/A,#N/A,FALSE,"Bremer PCs";#N/A,#N/A,FALSE,"Bakersfield Notebooks"}</definedName>
    <definedName name="iiii" localSheetId="12" hidden="1">{#N/A,#N/A,FALSE,"Bakersfield PCs";#N/A,#N/A,FALSE,"Bremer PCs";#N/A,#N/A,FALSE,"Bakersfield Notebooks"}</definedName>
    <definedName name="iiii" localSheetId="62" hidden="1">{#N/A,#N/A,FALSE,"Bakersfield PCs";#N/A,#N/A,FALSE,"Bremer PCs";#N/A,#N/A,FALSE,"Bakersfield Notebooks"}</definedName>
    <definedName name="iiii" localSheetId="47" hidden="1">{#N/A,#N/A,FALSE,"Bakersfield PCs";#N/A,#N/A,FALSE,"Bremer PCs";#N/A,#N/A,FALSE,"Bakersfield Notebooks"}</definedName>
    <definedName name="iiii" localSheetId="15" hidden="1">{#N/A,#N/A,FALSE,"Bakersfield PCs";#N/A,#N/A,FALSE,"Bremer PCs";#N/A,#N/A,FALSE,"Bakersfield Notebooks"}</definedName>
    <definedName name="iiii" localSheetId="101" hidden="1">{#N/A,#N/A,FALSE,"Bakersfield PCs";#N/A,#N/A,FALSE,"Bremer PCs";#N/A,#N/A,FALSE,"Bakersfield Notebooks"}</definedName>
    <definedName name="iiii" localSheetId="60" hidden="1">{#N/A,#N/A,FALSE,"Bakersfield PCs";#N/A,#N/A,FALSE,"Bremer PCs";#N/A,#N/A,FALSE,"Bakersfield Notebooks"}</definedName>
    <definedName name="iiii" localSheetId="39" hidden="1">{#N/A,#N/A,FALSE,"Bakersfield PCs";#N/A,#N/A,FALSE,"Bremer PCs";#N/A,#N/A,FALSE,"Bakersfield Notebooks"}</definedName>
    <definedName name="iiii" localSheetId="58" hidden="1">{#N/A,#N/A,FALSE,"Bakersfield PCs";#N/A,#N/A,FALSE,"Bremer PCs";#N/A,#N/A,FALSE,"Bakersfield Notebooks"}</definedName>
    <definedName name="iiii" localSheetId="64" hidden="1">{#N/A,#N/A,FALSE,"Bakersfield PCs";#N/A,#N/A,FALSE,"Bremer PCs";#N/A,#N/A,FALSE,"Bakersfield Notebooks"}</definedName>
    <definedName name="iiii" localSheetId="54" hidden="1">{#N/A,#N/A,FALSE,"Bakersfield PCs";#N/A,#N/A,FALSE,"Bremer PCs";#N/A,#N/A,FALSE,"Bakersfield Notebooks"}</definedName>
    <definedName name="iiii" localSheetId="13" hidden="1">{#N/A,#N/A,FALSE,"Bakersfield PCs";#N/A,#N/A,FALSE,"Bremer PCs";#N/A,#N/A,FALSE,"Bakersfield Notebooks"}</definedName>
    <definedName name="iiii" localSheetId="63" hidden="1">{#N/A,#N/A,FALSE,"Bakersfield PCs";#N/A,#N/A,FALSE,"Bremer PCs";#N/A,#N/A,FALSE,"Bakersfield Notebooks"}</definedName>
    <definedName name="iiii" localSheetId="31" hidden="1">{#N/A,#N/A,FALSE,"Bakersfield PCs";#N/A,#N/A,FALSE,"Bremer PCs";#N/A,#N/A,FALSE,"Bakersfield Notebooks"}</definedName>
    <definedName name="iiii" localSheetId="61" hidden="1">{#N/A,#N/A,FALSE,"Bakersfield PCs";#N/A,#N/A,FALSE,"Bremer PCs";#N/A,#N/A,FALSE,"Bakersfield Notebooks"}</definedName>
    <definedName name="iiii" localSheetId="45" hidden="1">{#N/A,#N/A,FALSE,"Bakersfield PCs";#N/A,#N/A,FALSE,"Bremer PCs";#N/A,#N/A,FALSE,"Bakersfield Notebooks"}</definedName>
    <definedName name="iiii" localSheetId="90" hidden="1">{#N/A,#N/A,FALSE,"Bakersfield PCs";#N/A,#N/A,FALSE,"Bremer PCs";#N/A,#N/A,FALSE,"Bakersfield Notebooks"}</definedName>
    <definedName name="iiii" localSheetId="19" hidden="1">{#N/A,#N/A,FALSE,"Bakersfield PCs";#N/A,#N/A,FALSE,"Bremer PCs";#N/A,#N/A,FALSE,"Bakersfield Notebooks"}</definedName>
    <definedName name="iiii" localSheetId="57" hidden="1">{#N/A,#N/A,FALSE,"Bakersfield PCs";#N/A,#N/A,FALSE,"Bremer PCs";#N/A,#N/A,FALSE,"Bakersfield Notebooks"}</definedName>
    <definedName name="iiii" hidden="1">{#N/A,#N/A,FALSE,"Bakersfield PCs";#N/A,#N/A,FALSE,"Bremer PCs";#N/A,#N/A,FALSE,"Bakersfield Notebooks"}</definedName>
    <definedName name="Ind">[14]Dashboard!$AR$22:$AR$23</definedName>
    <definedName name="int_ext_sel">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"c7"</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PRIMARY_GIC" hidden="1">"c15584"</definedName>
    <definedName name="IQ_BUS_SEG_PRIMARY_GIC_ABS" hidden="1">"c15572"</definedName>
    <definedName name="IQ_BUS_SEG_SECONDARY_GIC" hidden="1">"c15585"</definedName>
    <definedName name="IQ_BUS_SEG_SECONDARY_GIC_ABS" hidden="1">"c15573"</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hidden="1">"c100"</definedName>
    <definedName name="IQ_BV_SHARE" hidden="1">"c100"</definedName>
    <definedName name="IQ_BV_STDDEV_EST_REUT" hidden="1">"c5408"</definedName>
    <definedName name="IQ_BV_STDDEV_EST_THOM" hidden="1">"c5152"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_REUT" hidden="1">"c6800"</definedName>
    <definedName name="IQ_CAL_Y" hidden="1">"c102"</definedName>
    <definedName name="IQ_CAL_Y_EST_REUT" hidden="1">"c6801"</definedName>
    <definedName name="IQ_CALC_TYPE_BS" hidden="1">"c3086"</definedName>
    <definedName name="IQ_CALC_TYPE_CF" hidden="1">"c3085"</definedName>
    <definedName name="IQ_CALC_TYPE_IS" hidden="1">"c3084"</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DET_EST_REUT_CURRENCY_CURRENCY_REUT" hidden="1">"c12526"</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 hidden="1">"c2536"</definedName>
    <definedName name="IQ_CONVERT_DEBT" hidden="1">"c224"</definedName>
    <definedName name="IQ_CONVERT_PCT" hidden="1">"c2537"</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ROWTH_1" hidden="1">"c157"</definedName>
    <definedName name="IQ_EBIT_GROWTH_2" hidden="1">"c161"</definedName>
    <definedName name="IQ_EBIT_INT" hidden="1">"c360"</definedName>
    <definedName name="IQ_EBIT_MARGIN" hidden="1">"c359"</definedName>
    <definedName name="IQ_EBIT_OVER_IE" hidden="1">"c360"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_REUT" hidden="1">"c3641"</definedName>
    <definedName name="IQ_EBITDA_NO_EST" hidden="1">"c267"</definedName>
    <definedName name="IQ_EBITDA_NUM_EST" hidden="1">"c374"</definedName>
    <definedName name="IQ_EBITDA_NUM_EST_REUT" hidden="1">"c3644"</definedName>
    <definedName name="IQ_EBITDA_OVER_TOTAL_IE" hidden="1">"c373"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GW_DET_EST_REUT_CURRENCY_CURRENCY_REUT" hidden="1">"c12533"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hidden="1">"c403"</definedName>
    <definedName name="IQ_EPS_STDDEV_EST_REUT" hidden="1">"c5452"</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THOM" hidden="1">"c5153"</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SHARE_SHARE_THOM" hidden="1">"c4005"</definedName>
    <definedName name="IQ_EST_ACT_FFO_THOM" hidden="1">"c4005"</definedName>
    <definedName name="IQ_EST_ACT_NI_GW_THOM" hidden="1">"c5139"</definedName>
    <definedName name="IQ_EST_BV_DIFF_CIQ" hidden="1">"c4765"</definedName>
    <definedName name="IQ_EST_BV_DIFF_REUT" hidden="1">"c5433"</definedName>
    <definedName name="IQ_EST_BV_DIFF_THOM" hidden="1">"c5204"</definedName>
    <definedName name="IQ_EST_BV_SURPRISE_PERCENT_CIQ" hidden="1">"c4766"</definedName>
    <definedName name="IQ_EST_BV_SURPRISE_PERCENT_REUT" hidden="1">"c5434"</definedName>
    <definedName name="IQ_EST_BV_SURPRISE_PERCENT_THOM" hidden="1">"c5205"</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HARE_SHARE_DIFF_THOM" hidden="1">"c5186"</definedName>
    <definedName name="IQ_EST_FFO_SHARE_SHARE_SURPRISE_PERCENT_THOM" hidden="1">"c5187"</definedName>
    <definedName name="IQ_EST_FFO_SURPRISE_PERCENT_REUT" hidden="1">"c3891"</definedName>
    <definedName name="IQ_EST_FFO_SURPRISE_PERCENT_THOM" hidden="1">"c5187"</definedName>
    <definedName name="IQ_EST_NI_GW_DIFF_THOM" hidden="1">"c5200"</definedName>
    <definedName name="IQ_EST_NI_GW_SURPRISE_PERCENT_THOM" hidden="1">"c5201"</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UT_ACT_CAPEX" hidden="1">"c3975"</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"c165"</definedName>
    <definedName name="IQ_EV_OVER_REVENUE_EST_1" hidden="1">"c166"</definedName>
    <definedName name="IQ_EXCHANGE" hidden="1">"c405"</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_CODE_" hidden="1">"ajsdasd"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CURRENCY_THOM" hidden="1">"c12487"</definedName>
    <definedName name="IQ_FFO_EST_DET_EST_DATE" hidden="1">"c12212"</definedName>
    <definedName name="IQ_FFO_EST_DET_EST_DATE_CIQ" hidden="1">"c12267"</definedName>
    <definedName name="IQ_FFO_EST_DET_EST_DATE_REUT" hidden="1">"c12295"</definedName>
    <definedName name="IQ_FFO_EST_DET_EST_DATE_THOM" hidden="1">"c12238"</definedName>
    <definedName name="IQ_FFO_EST_DET_EST_INCL" hidden="1">"c12349"</definedName>
    <definedName name="IQ_FFO_EST_DET_EST_INCL_CIQ" hidden="1">"c12395"</definedName>
    <definedName name="IQ_FFO_EST_DET_EST_INCL_REUT" hidden="1">"c12419"</definedName>
    <definedName name="IQ_FFO_EST_DET_EST_INCL_THOM" hidden="1">"c12370"</definedName>
    <definedName name="IQ_FFO_EST_DET_EST_ORIGIN" hidden="1">"c12722"</definedName>
    <definedName name="IQ_FFO_EST_DET_EST_ORIGIN_CIQ" hidden="1">"c12720"</definedName>
    <definedName name="IQ_FFO_EST_DET_EST_ORIGIN_REUT" hidden="1">"c12724"</definedName>
    <definedName name="IQ_FFO_EST_DET_EST_ORIGIN_THOM" hidden="1">"c12608"</definedName>
    <definedName name="IQ_FFO_EST_DET_EST_REUT" hidden="1">"c12153"</definedName>
    <definedName name="IQ_FFO_EST_DET_EST_THOM" hidden="1">"c12088"</definedName>
    <definedName name="IQ_FFO_EST_REUT" hidden="1">"c3837"</definedName>
    <definedName name="IQ_FFO_EST_THOM" hidden="1">"c3999"</definedName>
    <definedName name="IQ_FFO_HIGH_EST" hidden="1">"c419"</definedName>
    <definedName name="IQ_FFO_HIGH_EST_CIQ" hidden="1">"c3670"</definedName>
    <definedName name="IQ_FFO_HIGH_EST_REUT" hidden="1">"c3839"</definedName>
    <definedName name="IQ_FFO_HIGH_EST_THOM" hidden="1">"c4001"</definedName>
    <definedName name="IQ_FFO_LOW_EST" hidden="1">"c420"</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TDDEV_EST" hidden="1">"c422"</definedName>
    <definedName name="IQ_FFO_STDDEV_EST_CIQ" hidden="1">"c3673"</definedName>
    <definedName name="IQ_FFO_STDDEV_EST_REUT" hidden="1">"c3842"</definedName>
    <definedName name="IQ_FFO_STDDEV_EST_THOM" hidden="1">"c4004"</definedName>
    <definedName name="IQ_FH">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_REUT" hidden="1">"c6798"</definedName>
    <definedName name="IQ_FISCAL_Y" hidden="1">"c441"</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"c511"</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D_GUARANTEED_US_FDIC" hidden="1">"c6404"</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ISTING_CURRENCY" hidden="1">"c2127"</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hidden="1">"c1304"</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REPAIR" hidden="1">"c2087"</definedName>
    <definedName name="IQ_MARKET_CAP_LFCF" hidden="1">"c2209"</definedName>
    <definedName name="IQ_MARKETCAP" hidden="1">"c712"</definedName>
    <definedName name="IQ_MARKETING" hidden="1">"c2239"</definedName>
    <definedName name="IQ_MARKTCAP" hidden="1">"c258"</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55" hidden="1">42616.3035069444</definedName>
    <definedName name="IQ_NAMES_REVISION_DATE_" localSheetId="12" hidden="1">43096.4881481481</definedName>
    <definedName name="IQ_NAMES_REVISION_DATE_" localSheetId="62" hidden="1">42583.8257523148</definedName>
    <definedName name="IQ_NAMES_REVISION_DATE_" localSheetId="15" hidden="1">43096.4881481481</definedName>
    <definedName name="IQ_NAMES_REVISION_DATE_" localSheetId="105" hidden="1">42418.5945138889</definedName>
    <definedName name="IQ_NAMES_REVISION_DATE_" localSheetId="39" hidden="1">43021.2359837963</definedName>
    <definedName name="IQ_NAMES_REVISION_DATE_" localSheetId="54" hidden="1">43041.0116550926</definedName>
    <definedName name="IQ_NAMES_REVISION_DATE_" localSheetId="31" hidden="1">43096.4881481481</definedName>
    <definedName name="IQ_NAMES_REVISION_DATE_" localSheetId="80" hidden="1">42571.2669444444</definedName>
    <definedName name="IQ_NAMES_REVISION_DATE_" localSheetId="61" hidden="1">42551.566412037</definedName>
    <definedName name="IQ_NAMES_REVISION_DATE_" localSheetId="45" hidden="1">42786.24</definedName>
    <definedName name="IQ_NAMES_REVISION_DATE_" localSheetId="19" hidden="1">43096.4881481481</definedName>
    <definedName name="IQ_NAMES_REVISION_DATE_" hidden="1">43096.4881481481</definedName>
    <definedName name="IQ_NAMES_REVISION_DATE__1" hidden="1">41449.5435763889</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"c158"</definedName>
    <definedName name="IQ_NET_INC_GROWTH_2" hidden="1">"c162"</definedName>
    <definedName name="IQ_NET_INC_MARGIN" hidden="1">"c794"</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GW_EST_THOM" hidden="1">"c5133"</definedName>
    <definedName name="IQ_NI_GW_HIGH_EST_THOM" hidden="1">"c5135"</definedName>
    <definedName name="IQ_NI_GW_LOW_EST_THOM" hidden="1">"c5136"</definedName>
    <definedName name="IQ_NI_GW_MEDIAN_EST_THOM" hidden="1">"c5134"</definedName>
    <definedName name="IQ_NI_GW_NUM_EST_THOM" hidden="1">"c5137"</definedName>
    <definedName name="IQ_NI_GW_STDDEV_EST_THOM" hidden="1">"c5138"</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MINING_REVENUE_COAL" hidden="1">"c15931"</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 hidden="1">"c1034"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INC_10K" hidden="1">"IQ_PRETAX_INC_10K"</definedName>
    <definedName name="IQ_PRETAX_INC_10Q" hidden="1">"IQ_PRETAX_INC_10Q"</definedName>
    <definedName name="IQ_PRETAX_INC_10Q1" hidden="1">"IQ_PRETAX_INC_10Q1"</definedName>
    <definedName name="IQ_PRETAX_RETURN_ASSETS_FDIC" hidden="1">"c6731"</definedName>
    <definedName name="IQ_PRICE_OVER_BVPS" hidden="1">"c1026"</definedName>
    <definedName name="IQ_PRICE_OVER_EPS_EST" hidden="1">"c174"</definedName>
    <definedName name="IQ_PRICE_OVER_EPS_EST_1" hidden="1">"c175"</definedName>
    <definedName name="IQ_PRICE_OVER_LTM_EPS" hidden="1">"c1029"</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EST" hidden="1">"c1126"</definedName>
    <definedName name="IQ_REVENUE_EST_REUT" hidden="1">"c3634"</definedName>
    <definedName name="IQ_REVENUE_GROWTH_1" hidden="1">"c155"</definedName>
    <definedName name="IQ_REVENUE_GROWTH_2" hidden="1">"c159"</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_REUT" hidden="1">"c3635"</definedName>
    <definedName name="IQ_REVENUE_NO_EST" hidden="1">"c263"</definedName>
    <definedName name="IQ_REVENUE_NUM_EST" hidden="1">"c1129"</definedName>
    <definedName name="IQ_REVENUE_NUM_EST_REUT" hidden="1">"c3638"</definedName>
    <definedName name="IQ_REVISION_DATE__1" hidden="1">39244.4696180556</definedName>
    <definedName name="IQ_Revision_date_2" hidden="1">38784.4474652778</definedName>
    <definedName name="IQ_REVOLVING_SECURED_1_–4_NON_ACCRUAL_FFIEC" hidden="1">"c15565"</definedName>
    <definedName name="IQ_RISK_ADJ_BANK_ASSETS" hidden="1">"c2670"</definedName>
    <definedName name="IQ_RISK_WEIGHTED_ASSETS_FDIC" hidden="1">"c6370"</definedName>
    <definedName name="IQ_ROYALTY_REVENUE_COAL" hidden="1">"c15932"</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 hidden="1">130000</definedName>
    <definedName name="IQ_Z_SCORE" hidden="1">"c1339"</definedName>
    <definedName name="IQRA1" hidden="1">"$A$2:$A$368"</definedName>
    <definedName name="IQRA10" hidden="1">"$A$11:$A$2912"</definedName>
    <definedName name="IQRA11" hidden="1">"$A$12:$A$73"</definedName>
    <definedName name="IQRA20" hidden="1">"$A$21:$A$31"</definedName>
    <definedName name="IQRA22" hidden="1">"$A$23:$A$42"</definedName>
    <definedName name="IQRA4" hidden="1">"$A$5:$A$15"</definedName>
    <definedName name="IQRA5" hidden="1">"$A$6"</definedName>
    <definedName name="IQRA6" hidden="1">"$A$7:$A$36"</definedName>
    <definedName name="IQRA7" hidden="1">"$A$8:$A$82"</definedName>
    <definedName name="IQRA8" hidden="1">"$A$9:$A$260"</definedName>
    <definedName name="IQRAB22" hidden="1">"$AB$23:$AB$42"</definedName>
    <definedName name="IQRAD53" hidden="1">"$AD$54:$AD$63"</definedName>
    <definedName name="IQRAD54" hidden="1">"$AE$54:$AG$54"</definedName>
    <definedName name="IQRAD55" hidden="1">"$AE$55:$AH$55"</definedName>
    <definedName name="IQRAD56" hidden="1">"$AE$56:$AO$56"</definedName>
    <definedName name="IQRAD57" hidden="1">"$AE$57:$AH$57"</definedName>
    <definedName name="IQRAE22" hidden="1">"$AE$23:$AE$42"</definedName>
    <definedName name="IQRAE53" hidden="1">"$AE$54:$AE$56"</definedName>
    <definedName name="IQRAF16" hidden="1">"$AF$17:$AF$268"</definedName>
    <definedName name="IQRAF17" hidden="1">"$AF$18:$AF$269"</definedName>
    <definedName name="IQRAF53" hidden="1">"$AF$54:$AF$57"</definedName>
    <definedName name="IQRAG53" hidden="1">"$AG$54:$AG$64"</definedName>
    <definedName name="IQRAH22" hidden="1">"$AH$23:$AH$42"</definedName>
    <definedName name="IQRAH53" hidden="1">"$AH$54:$AH$56"</definedName>
    <definedName name="IQRAJ53" hidden="1">"$AJ$54:$AJ$61"</definedName>
    <definedName name="IQRAK22" hidden="1">"$AK$23:$AK$42"</definedName>
    <definedName name="IQRAK53" hidden="1">"$AK$54:$AK$57"</definedName>
    <definedName name="IQRAL53" hidden="1">"$AL$54:$AL$64"</definedName>
    <definedName name="IQRAM53" hidden="1">"$AM$54:$AM$61"</definedName>
    <definedName name="IQRAN22" hidden="1">"$AN$23:$AN$42"</definedName>
    <definedName name="IQRAN53" hidden="1">"$AN$54:$AN$64"</definedName>
    <definedName name="IQRAP53" hidden="1">"$AP$54:$AP$61"</definedName>
    <definedName name="IQRAQ22" hidden="1">"$AQ$23:$AQ$42"</definedName>
    <definedName name="IQRAQ53" hidden="1">"$AQ$54:$AQ$57"</definedName>
    <definedName name="IQRAS53" hidden="1">"$AS$54:$AS$61"</definedName>
    <definedName name="IQRAV53" hidden="1">"$AV$54:$AV$118"</definedName>
    <definedName name="IQRAW53" hidden="1">"$AW$54:$AW$66"</definedName>
    <definedName name="IQRAX53" hidden="1">"$AX$54:$AX$182"</definedName>
    <definedName name="IQRB14" hidden="1">"$B$15:$B$518"</definedName>
    <definedName name="IQRB16" hidden="1">"$B$17:$B$520"</definedName>
    <definedName name="IQRB17" hidden="1">"$B$18:$B$78"</definedName>
    <definedName name="IQRB18" hidden="1">"$B$19:$B$522"</definedName>
    <definedName name="IQRB5" hidden="1">"$B$6:$B$2020"</definedName>
    <definedName name="IQRB6" hidden="1">"$B$7:$B$1730"</definedName>
    <definedName name="IQRB7" hidden="1">"$B$8:$B$385"</definedName>
    <definedName name="IQRB8" hidden="1">"$B$9:$B$260"</definedName>
    <definedName name="IQRBB17" hidden="1">"$BB$18:$BB$1299"</definedName>
    <definedName name="IQRC100" hidden="1">"$C$101:$C$102"</definedName>
    <definedName name="IQRC104" hidden="1">"$C$105:$C$107"</definedName>
    <definedName name="IQRC109" hidden="1">"$C$110:$C$113"</definedName>
    <definedName name="IQRC115" hidden="1">"$C$116:$C$117"</definedName>
    <definedName name="IQRC14" hidden="1">"$C$15:$C$119"</definedName>
    <definedName name="IQRC16" hidden="1">"$C$17:$C$19"</definedName>
    <definedName name="IQRC2" hidden="1">"$C$3:$C$13"</definedName>
    <definedName name="IQRC21" hidden="1">"$C$22:$C$26"</definedName>
    <definedName name="IQRC27" hidden="1">"$C$28:$C$32"</definedName>
    <definedName name="IQRC33" hidden="1">"$C$34:$C$36"</definedName>
    <definedName name="IQRC37" hidden="1">"$C$38:$C$40"</definedName>
    <definedName name="IQRC42" hidden="1">"$C$43:$C$47"</definedName>
    <definedName name="IQRC49" hidden="1">"$C$50:$C$54"</definedName>
    <definedName name="IQRC5" hidden="1">"$C$6:$C$70"</definedName>
    <definedName name="IQRC56" hidden="1">"$C$57:$C$59"</definedName>
    <definedName name="IQRC67" hidden="1">"$C$68:$C$72"</definedName>
    <definedName name="IQRC74" hidden="1">"$C$75:$C$77"</definedName>
    <definedName name="IQRC8" hidden="1">"$C$9:$C$260"</definedName>
    <definedName name="IQRC82" hidden="1">"$C$83:$C$87"</definedName>
    <definedName name="IQRC89" hidden="1">"$C$90:$C$94"</definedName>
    <definedName name="IQRC9" hidden="1">"$C$10:$C$14"</definedName>
    <definedName name="IQRCapitalIQDATAJ8" localSheetId="55" hidden="1">#REF!</definedName>
    <definedName name="IQRCapitalIQDATAJ8" localSheetId="59" hidden="1">#REF!</definedName>
    <definedName name="IQRCapitalIQDATAJ8" localSheetId="62" hidden="1">#REF!</definedName>
    <definedName name="IQRCapitalIQDATAJ8" localSheetId="60" hidden="1">#REF!</definedName>
    <definedName name="IQRCapitalIQDATAJ8" localSheetId="58" hidden="1">#REF!</definedName>
    <definedName name="IQRCapitalIQDATAJ8" localSheetId="64" hidden="1">#REF!</definedName>
    <definedName name="IQRCapitalIQDATAJ8" localSheetId="45" hidden="1">#REF!</definedName>
    <definedName name="IQRCapitalIQDATAJ8" localSheetId="57" hidden="1">#REF!</definedName>
    <definedName name="IQRCapitalIQDATAJ8" hidden="1">'GPC Linked'!$N$10</definedName>
    <definedName name="IQRCapitalIQDATAK8" localSheetId="55" hidden="1">#REF!</definedName>
    <definedName name="IQRCapitalIQDATAK8" localSheetId="59" hidden="1">#REF!</definedName>
    <definedName name="IQRCapitalIQDATAK8" localSheetId="62" hidden="1">#REF!</definedName>
    <definedName name="IQRCapitalIQDATAK8" localSheetId="60" hidden="1">#REF!</definedName>
    <definedName name="IQRCapitalIQDATAK8" localSheetId="58" hidden="1">#REF!</definedName>
    <definedName name="IQRCapitalIQDATAK8" localSheetId="64" hidden="1">#REF!</definedName>
    <definedName name="IQRCapitalIQDATAK8" localSheetId="57" hidden="1">#REF!</definedName>
    <definedName name="IQRCapitalIQDATAK8" hidden="1">'GPC Linked'!$O$10</definedName>
    <definedName name="IQRCapitalIQDATAL8" localSheetId="55" hidden="1">#REF!</definedName>
    <definedName name="IQRCapitalIQDATAL8" localSheetId="59" hidden="1">#REF!</definedName>
    <definedName name="IQRCapitalIQDATAL8" localSheetId="62" hidden="1">#REF!</definedName>
    <definedName name="IQRCapitalIQDATAL8" localSheetId="60" hidden="1">#REF!</definedName>
    <definedName name="IQRCapitalIQDATAL8" localSheetId="58" hidden="1">#REF!</definedName>
    <definedName name="IQRCapitalIQDATAL8" localSheetId="64" hidden="1">#REF!</definedName>
    <definedName name="IQRCapitalIQDATAL8" localSheetId="57" hidden="1">#REF!</definedName>
    <definedName name="IQRCapitalIQDATAL8" hidden="1">'GPC Linked'!$P$10</definedName>
    <definedName name="IQRCapitalIQDATAM8" localSheetId="55" hidden="1">#REF!</definedName>
    <definedName name="IQRCapitalIQDATAM8" localSheetId="59" hidden="1">#REF!</definedName>
    <definedName name="IQRCapitalIQDATAM8" localSheetId="62" hidden="1">#REF!</definedName>
    <definedName name="IQRCapitalIQDATAM8" localSheetId="60" hidden="1">#REF!</definedName>
    <definedName name="IQRCapitalIQDATAM8" localSheetId="58" hidden="1">#REF!</definedName>
    <definedName name="IQRCapitalIQDATAM8" localSheetId="64" hidden="1">#REF!</definedName>
    <definedName name="IQRCapitalIQDATAM8" localSheetId="57" hidden="1">#REF!</definedName>
    <definedName name="IQRCapitalIQDATAM8" hidden="1">'GPC Linked'!$Q$10</definedName>
    <definedName name="IQRComp11F44" localSheetId="59" hidden="1">#REF!</definedName>
    <definedName name="IQRComp11F44" localSheetId="47" hidden="1">#REF!</definedName>
    <definedName name="IQRComp11F44" localSheetId="46" hidden="1">#REF!</definedName>
    <definedName name="IQRComp11F44" localSheetId="60" hidden="1">#REF!</definedName>
    <definedName name="IQRComp11F44" localSheetId="63" hidden="1">#REF!</definedName>
    <definedName name="IQRComp11F44" hidden="1">#REF!</definedName>
    <definedName name="IQRComp13G98" localSheetId="59" hidden="1">#REF!</definedName>
    <definedName name="IQRComp13G98" localSheetId="47" hidden="1">#REF!</definedName>
    <definedName name="IQRComp13G98" localSheetId="46" hidden="1">#REF!</definedName>
    <definedName name="IQRComp13G98" localSheetId="60" hidden="1">#REF!</definedName>
    <definedName name="IQRComp13G98" localSheetId="63" hidden="1">#REF!</definedName>
    <definedName name="IQRComp13G98" hidden="1">#REF!</definedName>
    <definedName name="IQRComp13R109" localSheetId="59" hidden="1">#REF!</definedName>
    <definedName name="IQRComp13R109" localSheetId="47" hidden="1">#REF!</definedName>
    <definedName name="IQRComp13R109" localSheetId="46" hidden="1">#REF!</definedName>
    <definedName name="IQRComp13R109" localSheetId="60" hidden="1">#REF!</definedName>
    <definedName name="IQRComp13R109" localSheetId="63" hidden="1">#REF!</definedName>
    <definedName name="IQRComp13R109" hidden="1">#REF!</definedName>
    <definedName name="IQRComp8I85" localSheetId="59" hidden="1">#REF!</definedName>
    <definedName name="IQRComp8I85" localSheetId="47" hidden="1">#REF!</definedName>
    <definedName name="IQRComp8I85" localSheetId="46" hidden="1">#REF!</definedName>
    <definedName name="IQRComp8I85" localSheetId="60" hidden="1">#REF!</definedName>
    <definedName name="IQRComp8I85" localSheetId="63" hidden="1">#REF!</definedName>
    <definedName name="IQRComp8I85" hidden="1">#REF!</definedName>
    <definedName name="IQRD100" hidden="1">"$D$101:$D$102"</definedName>
    <definedName name="IQRD101" hidden="1">"$D$102:$D$103"</definedName>
    <definedName name="IQRD102" hidden="1">"$D$103:$D$104"</definedName>
    <definedName name="IQRD103" hidden="1">"$D$104:$D$108"</definedName>
    <definedName name="IQRD104" hidden="1">"$D$105:$D$109"</definedName>
    <definedName name="IQRD105" hidden="1">"$D$106:$D$108"</definedName>
    <definedName name="IQRD106" hidden="1">"$D$107:$D$109"</definedName>
    <definedName name="IQRD107" hidden="1">"$D$108:$D$110"</definedName>
    <definedName name="IQRD108" hidden="1">"$D$109:$D$111"</definedName>
    <definedName name="IQRD109" hidden="1">"$D$110:$D$112"</definedName>
    <definedName name="IQRD110" hidden="1">"$D$111:$D$114"</definedName>
    <definedName name="IQRD111" hidden="1">"$D$112:$D$115"</definedName>
    <definedName name="IQRD112" hidden="1">"$D$113:$D$116"</definedName>
    <definedName name="IQRD113" hidden="1">"$D$114:$D$117"</definedName>
    <definedName name="IQRD114" hidden="1">"$D$115:$D$118"</definedName>
    <definedName name="IQRD115" hidden="1">"$D$116:$D$119"</definedName>
    <definedName name="IQRD116" hidden="1">"$D$117:$D$118"</definedName>
    <definedName name="IQRD117" hidden="1">"$D$118:$D$119"</definedName>
    <definedName name="IQRD118" hidden="1">"$D$119:$D$120"</definedName>
    <definedName name="IQRD119" hidden="1">"$D$120:$D$121"</definedName>
    <definedName name="IQRD120" hidden="1">"$D$121:$D$123"</definedName>
    <definedName name="IQRD121" hidden="1">"$D$122:$D$123"</definedName>
    <definedName name="IQRD122" hidden="1">"$D$123:$D$125"</definedName>
    <definedName name="IQRD123" hidden="1">"$D$124:$D$125"</definedName>
    <definedName name="IQRD124" hidden="1">"$D$125:$D$128"</definedName>
    <definedName name="IQRD125" hidden="1">"$D$126:$D$127"</definedName>
    <definedName name="IQRD126" hidden="1">"$D$127:$D$130"</definedName>
    <definedName name="IQRD127" hidden="1">"$D$128:$D$129"</definedName>
    <definedName name="IQRD128" hidden="1">"$D$129:$D$130"</definedName>
    <definedName name="IQRD129" hidden="1">"$D$130"</definedName>
    <definedName name="IQRD130" hidden="1">"$D$131:$D$132"</definedName>
    <definedName name="IQRD131" hidden="1">"$D$132:$D$133"</definedName>
    <definedName name="IQRD132" hidden="1">"$D$133"</definedName>
    <definedName name="IQRD133" hidden="1">"$D$134:$D$135"</definedName>
    <definedName name="IQRD134" hidden="1">"$D$135"</definedName>
    <definedName name="IQRD135" hidden="1">"$D$136:$D$140"</definedName>
    <definedName name="IQRD136" hidden="1">"$D$137"</definedName>
    <definedName name="IQRD137" hidden="1">"$D$138:$D$141"</definedName>
    <definedName name="IQRD138" hidden="1">"$D$139"</definedName>
    <definedName name="IQRD139" hidden="1">"$D$140:$D$144"</definedName>
    <definedName name="IQRD14" hidden="1">"$D$15:$D$38"</definedName>
    <definedName name="IQRD140" hidden="1">"$D$141:$D$143"</definedName>
    <definedName name="IQRD141" hidden="1">"$D$142:$D$143"</definedName>
    <definedName name="IQRD142" hidden="1">"$D$143:$D$147"</definedName>
    <definedName name="IQRD143" hidden="1">"$D$144:$D$148"</definedName>
    <definedName name="IQRD144" hidden="1">"$D$145"</definedName>
    <definedName name="IQRD145" hidden="1">"$D$146"</definedName>
    <definedName name="IQRD146" hidden="1">"$D$147:$D$149"</definedName>
    <definedName name="IQRD147" hidden="1">"$D$148:$D$149"</definedName>
    <definedName name="IQRD148" hidden="1">"$D$149"</definedName>
    <definedName name="IQRD149" hidden="1">"$D$150:$D$154"</definedName>
    <definedName name="IQRD151" hidden="1">"$D$152:$D$156"</definedName>
    <definedName name="IQRD152" hidden="1">"$D$153:$D$154"</definedName>
    <definedName name="IQRD153" hidden="1">"$D$154"</definedName>
    <definedName name="IQRD154" hidden="1">"$D$155:$D$159"</definedName>
    <definedName name="IQRD155" hidden="1">"$D$156:$D$160"</definedName>
    <definedName name="IQRD156" hidden="1">"$D$157:$D$159"</definedName>
    <definedName name="IQRD157" hidden="1">"$D$158:$D$159"</definedName>
    <definedName name="IQRD158" hidden="1">"$D$159:$D$161"</definedName>
    <definedName name="IQRD16" hidden="1">"$D$17:$D$19"</definedName>
    <definedName name="IQRD160" hidden="1">"$D$161"</definedName>
    <definedName name="IQRD161" hidden="1">"$D$162:$D$163"</definedName>
    <definedName name="IQRD162" hidden="1">"$D$163:$D$167"</definedName>
    <definedName name="IQRD163" hidden="1">"$D$164:$D$168"</definedName>
    <definedName name="IQRD164" hidden="1">"$D$165:$D$166"</definedName>
    <definedName name="IQRD165" hidden="1">"$D$166:$D$167"</definedName>
    <definedName name="IQRD166" hidden="1">"$D$167"</definedName>
    <definedName name="IQRD167" hidden="1">"$D$168:$D$169"</definedName>
    <definedName name="IQRD168" hidden="1">"$D$169:$D$172"</definedName>
    <definedName name="IQRD169" hidden="1">"$D$170"</definedName>
    <definedName name="IQRD170" hidden="1">"$D$171:$D$173"</definedName>
    <definedName name="IQRD171" hidden="1">"$D$172:$D$173"</definedName>
    <definedName name="IQRD172" hidden="1">"$D$173:$D$177"</definedName>
    <definedName name="IQRD175" hidden="1">"$D$176"</definedName>
    <definedName name="IQRD176" hidden="1">"$D$177:$D$178"</definedName>
    <definedName name="IQRD177" hidden="1">"$D$178:$D$179"</definedName>
    <definedName name="IQRD178" hidden="1">"$D$179:$D$180"</definedName>
    <definedName name="IQRD180" hidden="1">"$D$181:$D$182"</definedName>
    <definedName name="IQRD181" hidden="1">"$D$182:$D$183"</definedName>
    <definedName name="IQRD185" hidden="1">"$D$186:$D$190"</definedName>
    <definedName name="IQRD186" hidden="1">"$D$187:$D$188"</definedName>
    <definedName name="IQRD189" hidden="1">"$D$190"</definedName>
    <definedName name="IQRD190" hidden="1">"$D$191:$D$195"</definedName>
    <definedName name="IQRD191" hidden="1">"$D$192:$D$196"</definedName>
    <definedName name="IQRD192" hidden="1">"$D$193:$D$194"</definedName>
    <definedName name="IQRD194" hidden="1">"$D$195:$D$199"</definedName>
    <definedName name="IQRD2" hidden="1">"$D$3"</definedName>
    <definedName name="IQRD200" hidden="1">"$D$201:$D$205"</definedName>
    <definedName name="IQRD206" hidden="1">"$D$207:$D$211"</definedName>
    <definedName name="IQRD21" hidden="1">"$D$22:$D$26"</definedName>
    <definedName name="IQRD214" hidden="1">"$D$215:$D$219"</definedName>
    <definedName name="IQRD22" hidden="1">"$D$23:$D$42"</definedName>
    <definedName name="IQRD24" hidden="1">"$D$25:$D$29"</definedName>
    <definedName name="IQRD27" hidden="1">"$D$28:$D$32"</definedName>
    <definedName name="IQRD28" hidden="1">"$D$29:$D$33"</definedName>
    <definedName name="IQRD29" hidden="1">"$D$30:$D$34"</definedName>
    <definedName name="IQRD30" hidden="1">"$D$31:$D$35"</definedName>
    <definedName name="IQRD33" hidden="1">"$D$34:$D$36"</definedName>
    <definedName name="IQRD35" hidden="1">"$D$36:$D$38"</definedName>
    <definedName name="IQRD36" hidden="1">"$D$37:$D$39"</definedName>
    <definedName name="IQRD37" hidden="1">"$D$38:$D$40"</definedName>
    <definedName name="IQRD39" hidden="1">"$D$40:$D$42"</definedName>
    <definedName name="IQRD40" hidden="1">"$D$41:$D$43"</definedName>
    <definedName name="IQRD42" hidden="1">"$D$43:$D$47"</definedName>
    <definedName name="IQRD44" hidden="1">"$D$45:$D$49"</definedName>
    <definedName name="IQRD45" hidden="1">"$D$46:$D$50"</definedName>
    <definedName name="IQRD48" hidden="1">"$D$49:$D$51"</definedName>
    <definedName name="IQRD49" hidden="1">"$D$50:$D$54"</definedName>
    <definedName name="IQRD5" hidden="1">"$D$6:$D$70"</definedName>
    <definedName name="IQRD50" hidden="1">"$D$51:$D$55"</definedName>
    <definedName name="IQRD51" hidden="1">"$D$52:$D$56"</definedName>
    <definedName name="IQRD52" hidden="1">"$D$53:$D$57"</definedName>
    <definedName name="IQRD53" hidden="1">"$D$54:$D$58"</definedName>
    <definedName name="IQRD55" hidden="1">"$D$56:$D$60"</definedName>
    <definedName name="IQRD56" hidden="1">"$D$57:$D$59"</definedName>
    <definedName name="IQRD57" hidden="1">"$D$58:$D$60"</definedName>
    <definedName name="IQRD58" hidden="1">"$D$59:$D$61"</definedName>
    <definedName name="IQRD59" hidden="1">"$D$60:$D$62"</definedName>
    <definedName name="IQRD60" hidden="1">"$D$61:$D$63"</definedName>
    <definedName name="IQRD61" hidden="1">"$D$62:$D$64"</definedName>
    <definedName name="IQRD62" hidden="1">"$D$63:$D$67"</definedName>
    <definedName name="IQRD64" hidden="1">"$D$65:$D$68"</definedName>
    <definedName name="IQRD65" hidden="1">"$D$66:$D$69"</definedName>
    <definedName name="IQRD66" hidden="1">"$D$67:$D$70"</definedName>
    <definedName name="IQRD67" hidden="1">"$D$68:$D$71"</definedName>
    <definedName name="IQRD69" hidden="1">"$D$70:$D$74"</definedName>
    <definedName name="IQRD70" hidden="1">"$D$71:$D$75"</definedName>
    <definedName name="IQRD71" hidden="1">"$D$72:$D$76"</definedName>
    <definedName name="IQRD72" hidden="1">"$D$73:$D$77"</definedName>
    <definedName name="IQRD73" hidden="1">"$D$74:$D$78"</definedName>
    <definedName name="IQRD74" hidden="1">"$D$75:$D$79"</definedName>
    <definedName name="IQRD75" hidden="1">"$D$76:$D$80"</definedName>
    <definedName name="IQRD76" hidden="1">"$D$77:$D$79"</definedName>
    <definedName name="IQRD77" hidden="1">"$D$78:$D$80"</definedName>
    <definedName name="IQRD78" hidden="1">"$D$79"</definedName>
    <definedName name="IQRD79" hidden="1">"$D$80:$D$82"</definedName>
    <definedName name="IQRD80" hidden="1">"$D$81"</definedName>
    <definedName name="IQRD81" hidden="1">"$D$82:$D$84"</definedName>
    <definedName name="IQRD82" hidden="1">"$D$83"</definedName>
    <definedName name="IQRD83" hidden="1">"$D$84:$D$86"</definedName>
    <definedName name="IQRD84" hidden="1">"$D$85"</definedName>
    <definedName name="IQRD85" hidden="1">"$D$86:$D$90"</definedName>
    <definedName name="IQRD86" hidden="1">"$D$87"</definedName>
    <definedName name="IQRD87" hidden="1">"$D$88:$D$92"</definedName>
    <definedName name="IQRD88" hidden="1">"$D$89"</definedName>
    <definedName name="IQRD89" hidden="1">"$D$90"</definedName>
    <definedName name="IQRD9" hidden="1">"$D$10:$D$14"</definedName>
    <definedName name="IQRD90" hidden="1">"$D$91"</definedName>
    <definedName name="IQRD91" hidden="1">"$D$92"</definedName>
    <definedName name="IQRD92" hidden="1">"$D$93:$D$97"</definedName>
    <definedName name="IQRD93" hidden="1">"$D$94:$D$98"</definedName>
    <definedName name="IQRD94" hidden="1">"$D$95"</definedName>
    <definedName name="IQRD95" hidden="1">"$D$96:$D$100"</definedName>
    <definedName name="IQRD96" hidden="1">"$D$97:$D$101"</definedName>
    <definedName name="IQRD97" hidden="1">"$D$98:$D$102"</definedName>
    <definedName name="IQRD98" hidden="1">"$D$99:$D$103"</definedName>
    <definedName name="IQRD99" hidden="1">"$D$100:$D$104"</definedName>
    <definedName name="IQRE27" hidden="1">"$E$28"</definedName>
    <definedName name="IQRE5" hidden="1">"$E$6:$E$70"</definedName>
    <definedName name="IQRF3" hidden="1">"$F$4:$F$68"</definedName>
    <definedName name="IQRF5" hidden="1">"$F$6:$F$70"</definedName>
    <definedName name="IQRF7" hidden="1">"$F$8:$F$1832"</definedName>
    <definedName name="IQRF8" hidden="1">"$F$9:$F$269"</definedName>
    <definedName name="IQRG22" hidden="1">"$G$23:$G$42"</definedName>
    <definedName name="IQRG3" hidden="1">"$G$4:$G$68"</definedName>
    <definedName name="IQRG41" hidden="1">"$G$42:$G$1300"</definedName>
    <definedName name="IQRG5" hidden="1">"$G$6:$G$70"</definedName>
    <definedName name="IQRG7" hidden="1">"$G$8:$G$1832"</definedName>
    <definedName name="IQRH13" hidden="1">"$H$14"</definedName>
    <definedName name="IQRHistoricMultiplesAR9" localSheetId="106" hidden="1">#REF!</definedName>
    <definedName name="IQRHistoricMultiplesAR9" localSheetId="95" hidden="1">#REF!</definedName>
    <definedName name="IQRHistoricMultiplesAR9" localSheetId="94" hidden="1">#REF!</definedName>
    <definedName name="IQRHistoricMultiplesAR9" localSheetId="33" hidden="1">#REF!</definedName>
    <definedName name="IQRHistoricMultiplesAR9" localSheetId="34" hidden="1">#REF!</definedName>
    <definedName name="IQRHistoricMultiplesAR9" localSheetId="35" hidden="1">#REF!</definedName>
    <definedName name="IQRHistoricMultiplesAR9" localSheetId="102" hidden="1">#REF!</definedName>
    <definedName name="IQRHistoricMultiplesAR9" localSheetId="4" hidden="1">#REF!</definedName>
    <definedName name="IQRHistoricMultiplesAR9" localSheetId="55" hidden="1">#REF!</definedName>
    <definedName name="IQRHistoricMultiplesAR9" localSheetId="59" hidden="1">#REF!</definedName>
    <definedName name="IQRHistoricMultiplesAR9" localSheetId="93" hidden="1">#REF!</definedName>
    <definedName name="IQRHistoricMultiplesAR9" localSheetId="62" hidden="1">#REF!</definedName>
    <definedName name="IQRHistoricMultiplesAR9" localSheetId="47" hidden="1">#REF!</definedName>
    <definedName name="IQRHistoricMultiplesAR9" localSheetId="101" hidden="1">#REF!</definedName>
    <definedName name="IQRHistoricMultiplesAR9" localSheetId="40" hidden="1">#REF!</definedName>
    <definedName name="IQRHistoricMultiplesAR9" localSheetId="41" hidden="1">#REF!</definedName>
    <definedName name="IQRHistoricMultiplesAR9" localSheetId="46" hidden="1">#REF!</definedName>
    <definedName name="IQRHistoricMultiplesAR9" localSheetId="60" hidden="1">#REF!</definedName>
    <definedName name="IQRHistoricMultiplesAR9" localSheetId="39" hidden="1">#REF!</definedName>
    <definedName name="IQRHistoricMultiplesAR9" localSheetId="58" hidden="1">#REF!</definedName>
    <definedName name="IQRHistoricMultiplesAR9" localSheetId="44" hidden="1">#REF!</definedName>
    <definedName name="IQRHistoricMultiplesAR9" localSheetId="64" hidden="1">#REF!</definedName>
    <definedName name="IQRHistoricMultiplesAR9" localSheetId="63" hidden="1">#REF!</definedName>
    <definedName name="IQRHistoricMultiplesAR9" localSheetId="31" hidden="1">#REF!</definedName>
    <definedName name="IQRHistoricMultiplesAR9" localSheetId="104" hidden="1">#REF!</definedName>
    <definedName name="IQRHistoricMultiplesAR9" localSheetId="96" hidden="1">#REF!</definedName>
    <definedName name="IQRHistoricMultiplesAR9" localSheetId="61" hidden="1">#REF!</definedName>
    <definedName name="IQRHistoricMultiplesAR9" localSheetId="90" hidden="1">#REF!</definedName>
    <definedName name="IQRHistoricMultiplesAR9" localSheetId="19" hidden="1">#REF!</definedName>
    <definedName name="IQRHistoricMultiplesAR9" localSheetId="57" hidden="1">#REF!</definedName>
    <definedName name="IQRHistoricMultiplesAR9" hidden="1">#REF!</definedName>
    <definedName name="IQRHistoricMultiplesAW9" localSheetId="106" hidden="1">#REF!</definedName>
    <definedName name="IQRHistoricMultiplesAW9" localSheetId="95" hidden="1">#REF!</definedName>
    <definedName name="IQRHistoricMultiplesAW9" localSheetId="94" hidden="1">#REF!</definedName>
    <definedName name="IQRHistoricMultiplesAW9" localSheetId="33" hidden="1">#REF!</definedName>
    <definedName name="IQRHistoricMultiplesAW9" localSheetId="34" hidden="1">#REF!</definedName>
    <definedName name="IQRHistoricMultiplesAW9" localSheetId="35" hidden="1">#REF!</definedName>
    <definedName name="IQRHistoricMultiplesAW9" localSheetId="102" hidden="1">#REF!</definedName>
    <definedName name="IQRHistoricMultiplesAW9" localSheetId="4" hidden="1">#REF!</definedName>
    <definedName name="IQRHistoricMultiplesAW9" localSheetId="55" hidden="1">#REF!</definedName>
    <definedName name="IQRHistoricMultiplesAW9" localSheetId="59" hidden="1">#REF!</definedName>
    <definedName name="IQRHistoricMultiplesAW9" localSheetId="93" hidden="1">#REF!</definedName>
    <definedName name="IQRHistoricMultiplesAW9" localSheetId="62" hidden="1">#REF!</definedName>
    <definedName name="IQRHistoricMultiplesAW9" localSheetId="47" hidden="1">#REF!</definedName>
    <definedName name="IQRHistoricMultiplesAW9" localSheetId="101" hidden="1">#REF!</definedName>
    <definedName name="IQRHistoricMultiplesAW9" localSheetId="40" hidden="1">#REF!</definedName>
    <definedName name="IQRHistoricMultiplesAW9" localSheetId="41" hidden="1">#REF!</definedName>
    <definedName name="IQRHistoricMultiplesAW9" localSheetId="46" hidden="1">#REF!</definedName>
    <definedName name="IQRHistoricMultiplesAW9" localSheetId="60" hidden="1">#REF!</definedName>
    <definedName name="IQRHistoricMultiplesAW9" localSheetId="39" hidden="1">#REF!</definedName>
    <definedName name="IQRHistoricMultiplesAW9" localSheetId="58" hidden="1">#REF!</definedName>
    <definedName name="IQRHistoricMultiplesAW9" localSheetId="44" hidden="1">#REF!</definedName>
    <definedName name="IQRHistoricMultiplesAW9" localSheetId="64" hidden="1">#REF!</definedName>
    <definedName name="IQRHistoricMultiplesAW9" localSheetId="63" hidden="1">#REF!</definedName>
    <definedName name="IQRHistoricMultiplesAW9" localSheetId="31" hidden="1">#REF!</definedName>
    <definedName name="IQRHistoricMultiplesAW9" localSheetId="104" hidden="1">#REF!</definedName>
    <definedName name="IQRHistoricMultiplesAW9" localSheetId="96" hidden="1">#REF!</definedName>
    <definedName name="IQRHistoricMultiplesAW9" localSheetId="61" hidden="1">#REF!</definedName>
    <definedName name="IQRHistoricMultiplesAW9" localSheetId="90" hidden="1">#REF!</definedName>
    <definedName name="IQRHistoricMultiplesAW9" localSheetId="19" hidden="1">#REF!</definedName>
    <definedName name="IQRHistoricMultiplesAW9" localSheetId="57" hidden="1">#REF!</definedName>
    <definedName name="IQRHistoricMultiplesAW9" hidden="1">#REF!</definedName>
    <definedName name="IQRHistoricMultiplesBB9" localSheetId="106" hidden="1">#REF!</definedName>
    <definedName name="IQRHistoricMultiplesBB9" localSheetId="95" hidden="1">#REF!</definedName>
    <definedName name="IQRHistoricMultiplesBB9" localSheetId="94" hidden="1">#REF!</definedName>
    <definedName name="IQRHistoricMultiplesBB9" localSheetId="33" hidden="1">#REF!</definedName>
    <definedName name="IQRHistoricMultiplesBB9" localSheetId="34" hidden="1">#REF!</definedName>
    <definedName name="IQRHistoricMultiplesBB9" localSheetId="35" hidden="1">#REF!</definedName>
    <definedName name="IQRHistoricMultiplesBB9" localSheetId="102" hidden="1">#REF!</definedName>
    <definedName name="IQRHistoricMultiplesBB9" localSheetId="4" hidden="1">#REF!</definedName>
    <definedName name="IQRHistoricMultiplesBB9" localSheetId="55" hidden="1">#REF!</definedName>
    <definedName name="IQRHistoricMultiplesBB9" localSheetId="59" hidden="1">#REF!</definedName>
    <definedName name="IQRHistoricMultiplesBB9" localSheetId="93" hidden="1">#REF!</definedName>
    <definedName name="IQRHistoricMultiplesBB9" localSheetId="62" hidden="1">#REF!</definedName>
    <definedName name="IQRHistoricMultiplesBB9" localSheetId="47" hidden="1">#REF!</definedName>
    <definedName name="IQRHistoricMultiplesBB9" localSheetId="101" hidden="1">#REF!</definedName>
    <definedName name="IQRHistoricMultiplesBB9" localSheetId="40" hidden="1">#REF!</definedName>
    <definedName name="IQRHistoricMultiplesBB9" localSheetId="41" hidden="1">#REF!</definedName>
    <definedName name="IQRHistoricMultiplesBB9" localSheetId="46" hidden="1">#REF!</definedName>
    <definedName name="IQRHistoricMultiplesBB9" localSheetId="60" hidden="1">#REF!</definedName>
    <definedName name="IQRHistoricMultiplesBB9" localSheetId="39" hidden="1">#REF!</definedName>
    <definedName name="IQRHistoricMultiplesBB9" localSheetId="58" hidden="1">#REF!</definedName>
    <definedName name="IQRHistoricMultiplesBB9" localSheetId="44" hidden="1">#REF!</definedName>
    <definedName name="IQRHistoricMultiplesBB9" localSheetId="64" hidden="1">#REF!</definedName>
    <definedName name="IQRHistoricMultiplesBB9" localSheetId="63" hidden="1">#REF!</definedName>
    <definedName name="IQRHistoricMultiplesBB9" localSheetId="31" hidden="1">#REF!</definedName>
    <definedName name="IQRHistoricMultiplesBB9" localSheetId="104" hidden="1">#REF!</definedName>
    <definedName name="IQRHistoricMultiplesBB9" localSheetId="96" hidden="1">#REF!</definedName>
    <definedName name="IQRHistoricMultiplesBB9" localSheetId="61" hidden="1">#REF!</definedName>
    <definedName name="IQRHistoricMultiplesBB9" localSheetId="90" hidden="1">#REF!</definedName>
    <definedName name="IQRHistoricMultiplesBB9" localSheetId="19" hidden="1">#REF!</definedName>
    <definedName name="IQRHistoricMultiplesBB9" localSheetId="57" hidden="1">#REF!</definedName>
    <definedName name="IQRHistoricMultiplesBB9" hidden="1">#REF!</definedName>
    <definedName name="IQRHistoricMultiplesBG9" localSheetId="106" hidden="1">#REF!</definedName>
    <definedName name="IQRHistoricMultiplesBG9" localSheetId="95" hidden="1">#REF!</definedName>
    <definedName name="IQRHistoricMultiplesBG9" localSheetId="94" hidden="1">#REF!</definedName>
    <definedName name="IQRHistoricMultiplesBG9" localSheetId="33" hidden="1">#REF!</definedName>
    <definedName name="IQRHistoricMultiplesBG9" localSheetId="34" hidden="1">#REF!</definedName>
    <definedName name="IQRHistoricMultiplesBG9" localSheetId="35" hidden="1">#REF!</definedName>
    <definedName name="IQRHistoricMultiplesBG9" localSheetId="102" hidden="1">#REF!</definedName>
    <definedName name="IQRHistoricMultiplesBG9" localSheetId="4" hidden="1">#REF!</definedName>
    <definedName name="IQRHistoricMultiplesBG9" localSheetId="55" hidden="1">#REF!</definedName>
    <definedName name="IQRHistoricMultiplesBG9" localSheetId="59" hidden="1">#REF!</definedName>
    <definedName name="IQRHistoricMultiplesBG9" localSheetId="93" hidden="1">#REF!</definedName>
    <definedName name="IQRHistoricMultiplesBG9" localSheetId="62" hidden="1">#REF!</definedName>
    <definedName name="IQRHistoricMultiplesBG9" localSheetId="47" hidden="1">#REF!</definedName>
    <definedName name="IQRHistoricMultiplesBG9" localSheetId="101" hidden="1">#REF!</definedName>
    <definedName name="IQRHistoricMultiplesBG9" localSheetId="40" hidden="1">#REF!</definedName>
    <definedName name="IQRHistoricMultiplesBG9" localSheetId="41" hidden="1">#REF!</definedName>
    <definedName name="IQRHistoricMultiplesBG9" localSheetId="46" hidden="1">#REF!</definedName>
    <definedName name="IQRHistoricMultiplesBG9" localSheetId="60" hidden="1">#REF!</definedName>
    <definedName name="IQRHistoricMultiplesBG9" localSheetId="39" hidden="1">#REF!</definedName>
    <definedName name="IQRHistoricMultiplesBG9" localSheetId="58" hidden="1">#REF!</definedName>
    <definedName name="IQRHistoricMultiplesBG9" localSheetId="44" hidden="1">#REF!</definedName>
    <definedName name="IQRHistoricMultiplesBG9" localSheetId="64" hidden="1">#REF!</definedName>
    <definedName name="IQRHistoricMultiplesBG9" localSheetId="63" hidden="1">#REF!</definedName>
    <definedName name="IQRHistoricMultiplesBG9" localSheetId="31" hidden="1">#REF!</definedName>
    <definedName name="IQRHistoricMultiplesBG9" localSheetId="104" hidden="1">#REF!</definedName>
    <definedName name="IQRHistoricMultiplesBG9" localSheetId="96" hidden="1">#REF!</definedName>
    <definedName name="IQRHistoricMultiplesBG9" localSheetId="90" hidden="1">#REF!</definedName>
    <definedName name="IQRHistoricMultiplesBG9" localSheetId="19" hidden="1">#REF!</definedName>
    <definedName name="IQRHistoricMultiplesBG9" localSheetId="57" hidden="1">#REF!</definedName>
    <definedName name="IQRHistoricMultiplesBG9" hidden="1">#REF!</definedName>
    <definedName name="IQRHistoricMultiplesBL9" localSheetId="106" hidden="1">#REF!</definedName>
    <definedName name="IQRHistoricMultiplesBL9" localSheetId="95" hidden="1">#REF!</definedName>
    <definedName name="IQRHistoricMultiplesBL9" localSheetId="94" hidden="1">#REF!</definedName>
    <definedName name="IQRHistoricMultiplesBL9" localSheetId="33" hidden="1">#REF!</definedName>
    <definedName name="IQRHistoricMultiplesBL9" localSheetId="34" hidden="1">#REF!</definedName>
    <definedName name="IQRHistoricMultiplesBL9" localSheetId="35" hidden="1">#REF!</definedName>
    <definedName name="IQRHistoricMultiplesBL9" localSheetId="102" hidden="1">#REF!</definedName>
    <definedName name="IQRHistoricMultiplesBL9" localSheetId="4" hidden="1">#REF!</definedName>
    <definedName name="IQRHistoricMultiplesBL9" localSheetId="55" hidden="1">#REF!</definedName>
    <definedName name="IQRHistoricMultiplesBL9" localSheetId="59" hidden="1">#REF!</definedName>
    <definedName name="IQRHistoricMultiplesBL9" localSheetId="93" hidden="1">#REF!</definedName>
    <definedName name="IQRHistoricMultiplesBL9" localSheetId="62" hidden="1">#REF!</definedName>
    <definedName name="IQRHistoricMultiplesBL9" localSheetId="47" hidden="1">#REF!</definedName>
    <definedName name="IQRHistoricMultiplesBL9" localSheetId="101" hidden="1">#REF!</definedName>
    <definedName name="IQRHistoricMultiplesBL9" localSheetId="40" hidden="1">#REF!</definedName>
    <definedName name="IQRHistoricMultiplesBL9" localSheetId="41" hidden="1">#REF!</definedName>
    <definedName name="IQRHistoricMultiplesBL9" localSheetId="46" hidden="1">#REF!</definedName>
    <definedName name="IQRHistoricMultiplesBL9" localSheetId="60" hidden="1">#REF!</definedName>
    <definedName name="IQRHistoricMultiplesBL9" localSheetId="39" hidden="1">#REF!</definedName>
    <definedName name="IQRHistoricMultiplesBL9" localSheetId="58" hidden="1">#REF!</definedName>
    <definedName name="IQRHistoricMultiplesBL9" localSheetId="44" hidden="1">#REF!</definedName>
    <definedName name="IQRHistoricMultiplesBL9" localSheetId="64" hidden="1">#REF!</definedName>
    <definedName name="IQRHistoricMultiplesBL9" localSheetId="63" hidden="1">#REF!</definedName>
    <definedName name="IQRHistoricMultiplesBL9" localSheetId="31" hidden="1">#REF!</definedName>
    <definedName name="IQRHistoricMultiplesBL9" localSheetId="104" hidden="1">#REF!</definedName>
    <definedName name="IQRHistoricMultiplesBL9" localSheetId="96" hidden="1">#REF!</definedName>
    <definedName name="IQRHistoricMultiplesBL9" localSheetId="90" hidden="1">#REF!</definedName>
    <definedName name="IQRHistoricMultiplesBL9" localSheetId="19" hidden="1">#REF!</definedName>
    <definedName name="IQRHistoricMultiplesBL9" localSheetId="57" hidden="1">#REF!</definedName>
    <definedName name="IQRHistoricMultiplesBL9" hidden="1">#REF!</definedName>
    <definedName name="IQRHistoricMultiplesBQ9" localSheetId="106" hidden="1">#REF!</definedName>
    <definedName name="IQRHistoricMultiplesBQ9" localSheetId="95" hidden="1">#REF!</definedName>
    <definedName name="IQRHistoricMultiplesBQ9" localSheetId="94" hidden="1">#REF!</definedName>
    <definedName name="IQRHistoricMultiplesBQ9" localSheetId="33" hidden="1">#REF!</definedName>
    <definedName name="IQRHistoricMultiplesBQ9" localSheetId="34" hidden="1">#REF!</definedName>
    <definedName name="IQRHistoricMultiplesBQ9" localSheetId="35" hidden="1">#REF!</definedName>
    <definedName name="IQRHistoricMultiplesBQ9" localSheetId="102" hidden="1">#REF!</definedName>
    <definedName name="IQRHistoricMultiplesBQ9" localSheetId="4" hidden="1">#REF!</definedName>
    <definedName name="IQRHistoricMultiplesBQ9" localSheetId="55" hidden="1">#REF!</definedName>
    <definedName name="IQRHistoricMultiplesBQ9" localSheetId="59" hidden="1">#REF!</definedName>
    <definedName name="IQRHistoricMultiplesBQ9" localSheetId="93" hidden="1">#REF!</definedName>
    <definedName name="IQRHistoricMultiplesBQ9" localSheetId="62" hidden="1">#REF!</definedName>
    <definedName name="IQRHistoricMultiplesBQ9" localSheetId="47" hidden="1">#REF!</definedName>
    <definedName name="IQRHistoricMultiplesBQ9" localSheetId="101" hidden="1">#REF!</definedName>
    <definedName name="IQRHistoricMultiplesBQ9" localSheetId="40" hidden="1">#REF!</definedName>
    <definedName name="IQRHistoricMultiplesBQ9" localSheetId="41" hidden="1">#REF!</definedName>
    <definedName name="IQRHistoricMultiplesBQ9" localSheetId="46" hidden="1">#REF!</definedName>
    <definedName name="IQRHistoricMultiplesBQ9" localSheetId="60" hidden="1">#REF!</definedName>
    <definedName name="IQRHistoricMultiplesBQ9" localSheetId="39" hidden="1">#REF!</definedName>
    <definedName name="IQRHistoricMultiplesBQ9" localSheetId="58" hidden="1">#REF!</definedName>
    <definedName name="IQRHistoricMultiplesBQ9" localSheetId="44" hidden="1">#REF!</definedName>
    <definedName name="IQRHistoricMultiplesBQ9" localSheetId="64" hidden="1">#REF!</definedName>
    <definedName name="IQRHistoricMultiplesBQ9" localSheetId="63" hidden="1">#REF!</definedName>
    <definedName name="IQRHistoricMultiplesBQ9" localSheetId="31" hidden="1">#REF!</definedName>
    <definedName name="IQRHistoricMultiplesBQ9" localSheetId="104" hidden="1">#REF!</definedName>
    <definedName name="IQRHistoricMultiplesBQ9" localSheetId="96" hidden="1">#REF!</definedName>
    <definedName name="IQRHistoricMultiplesBQ9" localSheetId="90" hidden="1">#REF!</definedName>
    <definedName name="IQRHistoricMultiplesBQ9" localSheetId="19" hidden="1">#REF!</definedName>
    <definedName name="IQRHistoricMultiplesBQ9" localSheetId="57" hidden="1">#REF!</definedName>
    <definedName name="IQRHistoricMultiplesBQ9" hidden="1">#REF!</definedName>
    <definedName name="IQRHistoricMultiplesBV9" localSheetId="106" hidden="1">#REF!</definedName>
    <definedName name="IQRHistoricMultiplesBV9" localSheetId="95" hidden="1">#REF!</definedName>
    <definedName name="IQRHistoricMultiplesBV9" localSheetId="94" hidden="1">#REF!</definedName>
    <definedName name="IQRHistoricMultiplesBV9" localSheetId="33" hidden="1">#REF!</definedName>
    <definedName name="IQRHistoricMultiplesBV9" localSheetId="34" hidden="1">#REF!</definedName>
    <definedName name="IQRHistoricMultiplesBV9" localSheetId="35" hidden="1">#REF!</definedName>
    <definedName name="IQRHistoricMultiplesBV9" localSheetId="102" hidden="1">#REF!</definedName>
    <definedName name="IQRHistoricMultiplesBV9" localSheetId="4" hidden="1">#REF!</definedName>
    <definedName name="IQRHistoricMultiplesBV9" localSheetId="55" hidden="1">#REF!</definedName>
    <definedName name="IQRHistoricMultiplesBV9" localSheetId="59" hidden="1">#REF!</definedName>
    <definedName name="IQRHistoricMultiplesBV9" localSheetId="93" hidden="1">#REF!</definedName>
    <definedName name="IQRHistoricMultiplesBV9" localSheetId="62" hidden="1">#REF!</definedName>
    <definedName name="IQRHistoricMultiplesBV9" localSheetId="47" hidden="1">#REF!</definedName>
    <definedName name="IQRHistoricMultiplesBV9" localSheetId="101" hidden="1">#REF!</definedName>
    <definedName name="IQRHistoricMultiplesBV9" localSheetId="40" hidden="1">#REF!</definedName>
    <definedName name="IQRHistoricMultiplesBV9" localSheetId="41" hidden="1">#REF!</definedName>
    <definedName name="IQRHistoricMultiplesBV9" localSheetId="46" hidden="1">#REF!</definedName>
    <definedName name="IQRHistoricMultiplesBV9" localSheetId="60" hidden="1">#REF!</definedName>
    <definedName name="IQRHistoricMultiplesBV9" localSheetId="39" hidden="1">#REF!</definedName>
    <definedName name="IQRHistoricMultiplesBV9" localSheetId="58" hidden="1">#REF!</definedName>
    <definedName name="IQRHistoricMultiplesBV9" localSheetId="44" hidden="1">#REF!</definedName>
    <definedName name="IQRHistoricMultiplesBV9" localSheetId="64" hidden="1">#REF!</definedName>
    <definedName name="IQRHistoricMultiplesBV9" localSheetId="63" hidden="1">#REF!</definedName>
    <definedName name="IQRHistoricMultiplesBV9" localSheetId="31" hidden="1">#REF!</definedName>
    <definedName name="IQRHistoricMultiplesBV9" localSheetId="104" hidden="1">#REF!</definedName>
    <definedName name="IQRHistoricMultiplesBV9" localSheetId="96" hidden="1">#REF!</definedName>
    <definedName name="IQRHistoricMultiplesBV9" localSheetId="90" hidden="1">#REF!</definedName>
    <definedName name="IQRHistoricMultiplesBV9" localSheetId="19" hidden="1">#REF!</definedName>
    <definedName name="IQRHistoricMultiplesBV9" localSheetId="57" hidden="1">#REF!</definedName>
    <definedName name="IQRHistoricMultiplesBV9" hidden="1">#REF!</definedName>
    <definedName name="IQRHistoricMultiplesCA9" localSheetId="106" hidden="1">#REF!</definedName>
    <definedName name="IQRHistoricMultiplesCA9" localSheetId="95" hidden="1">#REF!</definedName>
    <definedName name="IQRHistoricMultiplesCA9" localSheetId="94" hidden="1">#REF!</definedName>
    <definedName name="IQRHistoricMultiplesCA9" localSheetId="33" hidden="1">#REF!</definedName>
    <definedName name="IQRHistoricMultiplesCA9" localSheetId="34" hidden="1">#REF!</definedName>
    <definedName name="IQRHistoricMultiplesCA9" localSheetId="35" hidden="1">#REF!</definedName>
    <definedName name="IQRHistoricMultiplesCA9" localSheetId="102" hidden="1">#REF!</definedName>
    <definedName name="IQRHistoricMultiplesCA9" localSheetId="4" hidden="1">#REF!</definedName>
    <definedName name="IQRHistoricMultiplesCA9" localSheetId="55" hidden="1">#REF!</definedName>
    <definedName name="IQRHistoricMultiplesCA9" localSheetId="59" hidden="1">#REF!</definedName>
    <definedName name="IQRHistoricMultiplesCA9" localSheetId="93" hidden="1">#REF!</definedName>
    <definedName name="IQRHistoricMultiplesCA9" localSheetId="62" hidden="1">#REF!</definedName>
    <definedName name="IQRHistoricMultiplesCA9" localSheetId="47" hidden="1">#REF!</definedName>
    <definedName name="IQRHistoricMultiplesCA9" localSheetId="101" hidden="1">#REF!</definedName>
    <definedName name="IQRHistoricMultiplesCA9" localSheetId="40" hidden="1">#REF!</definedName>
    <definedName name="IQRHistoricMultiplesCA9" localSheetId="41" hidden="1">#REF!</definedName>
    <definedName name="IQRHistoricMultiplesCA9" localSheetId="46" hidden="1">#REF!</definedName>
    <definedName name="IQRHistoricMultiplesCA9" localSheetId="60" hidden="1">#REF!</definedName>
    <definedName name="IQRHistoricMultiplesCA9" localSheetId="39" hidden="1">#REF!</definedName>
    <definedName name="IQRHistoricMultiplesCA9" localSheetId="58" hidden="1">#REF!</definedName>
    <definedName name="IQRHistoricMultiplesCA9" localSheetId="44" hidden="1">#REF!</definedName>
    <definedName name="IQRHistoricMultiplesCA9" localSheetId="64" hidden="1">#REF!</definedName>
    <definedName name="IQRHistoricMultiplesCA9" localSheetId="63" hidden="1">#REF!</definedName>
    <definedName name="IQRHistoricMultiplesCA9" localSheetId="31" hidden="1">#REF!</definedName>
    <definedName name="IQRHistoricMultiplesCA9" localSheetId="104" hidden="1">#REF!</definedName>
    <definedName name="IQRHistoricMultiplesCA9" localSheetId="96" hidden="1">#REF!</definedName>
    <definedName name="IQRHistoricMultiplesCA9" localSheetId="90" hidden="1">#REF!</definedName>
    <definedName name="IQRHistoricMultiplesCA9" localSheetId="19" hidden="1">#REF!</definedName>
    <definedName name="IQRHistoricMultiplesCA9" localSheetId="57" hidden="1">#REF!</definedName>
    <definedName name="IQRHistoricMultiplesCA9" hidden="1">#REF!</definedName>
    <definedName name="IQRHistoricMultiplesCF9" localSheetId="106" hidden="1">#REF!</definedName>
    <definedName name="IQRHistoricMultiplesCF9" localSheetId="95" hidden="1">#REF!</definedName>
    <definedName name="IQRHistoricMultiplesCF9" localSheetId="94" hidden="1">#REF!</definedName>
    <definedName name="IQRHistoricMultiplesCF9" localSheetId="33" hidden="1">#REF!</definedName>
    <definedName name="IQRHistoricMultiplesCF9" localSheetId="34" hidden="1">#REF!</definedName>
    <definedName name="IQRHistoricMultiplesCF9" localSheetId="35" hidden="1">#REF!</definedName>
    <definedName name="IQRHistoricMultiplesCF9" localSheetId="102" hidden="1">#REF!</definedName>
    <definedName name="IQRHistoricMultiplesCF9" localSheetId="4" hidden="1">#REF!</definedName>
    <definedName name="IQRHistoricMultiplesCF9" localSheetId="55" hidden="1">#REF!</definedName>
    <definedName name="IQRHistoricMultiplesCF9" localSheetId="59" hidden="1">#REF!</definedName>
    <definedName name="IQRHistoricMultiplesCF9" localSheetId="93" hidden="1">#REF!</definedName>
    <definedName name="IQRHistoricMultiplesCF9" localSheetId="62" hidden="1">#REF!</definedName>
    <definedName name="IQRHistoricMultiplesCF9" localSheetId="47" hidden="1">#REF!</definedName>
    <definedName name="IQRHistoricMultiplesCF9" localSheetId="101" hidden="1">#REF!</definedName>
    <definedName name="IQRHistoricMultiplesCF9" localSheetId="40" hidden="1">#REF!</definedName>
    <definedName name="IQRHistoricMultiplesCF9" localSheetId="41" hidden="1">#REF!</definedName>
    <definedName name="IQRHistoricMultiplesCF9" localSheetId="46" hidden="1">#REF!</definedName>
    <definedName name="IQRHistoricMultiplesCF9" localSheetId="60" hidden="1">#REF!</definedName>
    <definedName name="IQRHistoricMultiplesCF9" localSheetId="39" hidden="1">#REF!</definedName>
    <definedName name="IQRHistoricMultiplesCF9" localSheetId="58" hidden="1">#REF!</definedName>
    <definedName name="IQRHistoricMultiplesCF9" localSheetId="44" hidden="1">#REF!</definedName>
    <definedName name="IQRHistoricMultiplesCF9" localSheetId="64" hidden="1">#REF!</definedName>
    <definedName name="IQRHistoricMultiplesCF9" localSheetId="63" hidden="1">#REF!</definedName>
    <definedName name="IQRHistoricMultiplesCF9" localSheetId="31" hidden="1">#REF!</definedName>
    <definedName name="IQRHistoricMultiplesCF9" localSheetId="104" hidden="1">#REF!</definedName>
    <definedName name="IQRHistoricMultiplesCF9" localSheetId="96" hidden="1">#REF!</definedName>
    <definedName name="IQRHistoricMultiplesCF9" localSheetId="90" hidden="1">#REF!</definedName>
    <definedName name="IQRHistoricMultiplesCF9" localSheetId="19" hidden="1">#REF!</definedName>
    <definedName name="IQRHistoricMultiplesCF9" localSheetId="57" hidden="1">#REF!</definedName>
    <definedName name="IQRHistoricMultiplesCF9" hidden="1">#REF!</definedName>
    <definedName name="IQRHistoricMultiplesCK9" localSheetId="106" hidden="1">#REF!</definedName>
    <definedName name="IQRHistoricMultiplesCK9" localSheetId="95" hidden="1">#REF!</definedName>
    <definedName name="IQRHistoricMultiplesCK9" localSheetId="94" hidden="1">#REF!</definedName>
    <definedName name="IQRHistoricMultiplesCK9" localSheetId="33" hidden="1">#REF!</definedName>
    <definedName name="IQRHistoricMultiplesCK9" localSheetId="34" hidden="1">#REF!</definedName>
    <definedName name="IQRHistoricMultiplesCK9" localSheetId="35" hidden="1">#REF!</definedName>
    <definedName name="IQRHistoricMultiplesCK9" localSheetId="102" hidden="1">#REF!</definedName>
    <definedName name="IQRHistoricMultiplesCK9" localSheetId="4" hidden="1">#REF!</definedName>
    <definedName name="IQRHistoricMultiplesCK9" localSheetId="55" hidden="1">#REF!</definedName>
    <definedName name="IQRHistoricMultiplesCK9" localSheetId="59" hidden="1">#REF!</definedName>
    <definedName name="IQRHistoricMultiplesCK9" localSheetId="93" hidden="1">#REF!</definedName>
    <definedName name="IQRHistoricMultiplesCK9" localSheetId="62" hidden="1">#REF!</definedName>
    <definedName name="IQRHistoricMultiplesCK9" localSheetId="47" hidden="1">#REF!</definedName>
    <definedName name="IQRHistoricMultiplesCK9" localSheetId="101" hidden="1">#REF!</definedName>
    <definedName name="IQRHistoricMultiplesCK9" localSheetId="40" hidden="1">#REF!</definedName>
    <definedName name="IQRHistoricMultiplesCK9" localSheetId="41" hidden="1">#REF!</definedName>
    <definedName name="IQRHistoricMultiplesCK9" localSheetId="46" hidden="1">#REF!</definedName>
    <definedName name="IQRHistoricMultiplesCK9" localSheetId="60" hidden="1">#REF!</definedName>
    <definedName name="IQRHistoricMultiplesCK9" localSheetId="39" hidden="1">#REF!</definedName>
    <definedName name="IQRHistoricMultiplesCK9" localSheetId="58" hidden="1">#REF!</definedName>
    <definedName name="IQRHistoricMultiplesCK9" localSheetId="44" hidden="1">#REF!</definedName>
    <definedName name="IQRHistoricMultiplesCK9" localSheetId="64" hidden="1">#REF!</definedName>
    <definedName name="IQRHistoricMultiplesCK9" localSheetId="63" hidden="1">#REF!</definedName>
    <definedName name="IQRHistoricMultiplesCK9" localSheetId="31" hidden="1">#REF!</definedName>
    <definedName name="IQRHistoricMultiplesCK9" localSheetId="104" hidden="1">#REF!</definedName>
    <definedName name="IQRHistoricMultiplesCK9" localSheetId="96" hidden="1">#REF!</definedName>
    <definedName name="IQRHistoricMultiplesCK9" localSheetId="90" hidden="1">#REF!</definedName>
    <definedName name="IQRHistoricMultiplesCK9" localSheetId="19" hidden="1">#REF!</definedName>
    <definedName name="IQRHistoricMultiplesCK9" localSheetId="57" hidden="1">#REF!</definedName>
    <definedName name="IQRHistoricMultiplesCK9" hidden="1">#REF!</definedName>
    <definedName name="IQRIPOAF12" localSheetId="106" hidden="1">#REF!</definedName>
    <definedName name="IQRIPOAF12" localSheetId="95" hidden="1">#REF!</definedName>
    <definedName name="IQRIPOAF12" localSheetId="94" hidden="1">#REF!</definedName>
    <definedName name="IQRIPOAF12" localSheetId="33" hidden="1">#REF!</definedName>
    <definedName name="IQRIPOAF12" localSheetId="34" hidden="1">#REF!</definedName>
    <definedName name="IQRIPOAF12" localSheetId="35" hidden="1">#REF!</definedName>
    <definedName name="IQRIPOAF12" localSheetId="102" hidden="1">#REF!</definedName>
    <definedName name="IQRIPOAF12" localSheetId="4" hidden="1">#REF!</definedName>
    <definedName name="IQRIPOAF12" localSheetId="55" hidden="1">#REF!</definedName>
    <definedName name="IQRIPOAF12" localSheetId="59" hidden="1">#REF!</definedName>
    <definedName name="IQRIPOAF12" localSheetId="93" hidden="1">#REF!</definedName>
    <definedName name="IQRIPOAF12" localSheetId="62" hidden="1">#REF!</definedName>
    <definedName name="IQRIPOAF12" localSheetId="47" hidden="1">#REF!</definedName>
    <definedName name="IQRIPOAF12" localSheetId="101" hidden="1">#REF!</definedName>
    <definedName name="IQRIPOAF12" localSheetId="40" hidden="1">#REF!</definedName>
    <definedName name="IQRIPOAF12" localSheetId="41" hidden="1">#REF!</definedName>
    <definedName name="IQRIPOAF12" localSheetId="46" hidden="1">#REF!</definedName>
    <definedName name="IQRIPOAF12" localSheetId="60" hidden="1">#REF!</definedName>
    <definedName name="IQRIPOAF12" localSheetId="39" hidden="1">#REF!</definedName>
    <definedName name="IQRIPOAF12" localSheetId="58" hidden="1">#REF!</definedName>
    <definedName name="IQRIPOAF12" localSheetId="44" hidden="1">#REF!</definedName>
    <definedName name="IQRIPOAF12" localSheetId="64" hidden="1">#REF!</definedName>
    <definedName name="IQRIPOAF12" localSheetId="63" hidden="1">#REF!</definedName>
    <definedName name="IQRIPOAF12" localSheetId="31" hidden="1">#REF!</definedName>
    <definedName name="IQRIPOAF12" localSheetId="104" hidden="1">#REF!</definedName>
    <definedName name="IQRIPOAF12" localSheetId="96" hidden="1">#REF!</definedName>
    <definedName name="IQRIPOAF12" localSheetId="61" hidden="1">#REF!</definedName>
    <definedName name="IQRIPOAF12" localSheetId="90" hidden="1">#REF!</definedName>
    <definedName name="IQRIPOAF12" localSheetId="19" hidden="1">#REF!</definedName>
    <definedName name="IQRIPOAF12" localSheetId="57" hidden="1">#REF!</definedName>
    <definedName name="IQRIPOAF12" hidden="1">#REF!</definedName>
    <definedName name="IQRIPOAF13" localSheetId="106" hidden="1">#REF!</definedName>
    <definedName name="IQRIPOAF13" localSheetId="95" hidden="1">#REF!</definedName>
    <definedName name="IQRIPOAF13" localSheetId="94" hidden="1">#REF!</definedName>
    <definedName name="IQRIPOAF13" localSheetId="33" hidden="1">#REF!</definedName>
    <definedName name="IQRIPOAF13" localSheetId="34" hidden="1">#REF!</definedName>
    <definedName name="IQRIPOAF13" localSheetId="35" hidden="1">#REF!</definedName>
    <definedName name="IQRIPOAF13" localSheetId="102" hidden="1">#REF!</definedName>
    <definedName name="IQRIPOAF13" localSheetId="4" hidden="1">#REF!</definedName>
    <definedName name="IQRIPOAF13" localSheetId="55" hidden="1">#REF!</definedName>
    <definedName name="IQRIPOAF13" localSheetId="59" hidden="1">#REF!</definedName>
    <definedName name="IQRIPOAF13" localSheetId="93" hidden="1">#REF!</definedName>
    <definedName name="IQRIPOAF13" localSheetId="62" hidden="1">#REF!</definedName>
    <definedName name="IQRIPOAF13" localSheetId="47" hidden="1">#REF!</definedName>
    <definedName name="IQRIPOAF13" localSheetId="101" hidden="1">#REF!</definedName>
    <definedName name="IQRIPOAF13" localSheetId="40" hidden="1">#REF!</definedName>
    <definedName name="IQRIPOAF13" localSheetId="41" hidden="1">#REF!</definedName>
    <definedName name="IQRIPOAF13" localSheetId="46" hidden="1">#REF!</definedName>
    <definedName name="IQRIPOAF13" localSheetId="60" hidden="1">#REF!</definedName>
    <definedName name="IQRIPOAF13" localSheetId="39" hidden="1">#REF!</definedName>
    <definedName name="IQRIPOAF13" localSheetId="58" hidden="1">#REF!</definedName>
    <definedName name="IQRIPOAF13" localSheetId="44" hidden="1">#REF!</definedName>
    <definedName name="IQRIPOAF13" localSheetId="64" hidden="1">#REF!</definedName>
    <definedName name="IQRIPOAF13" localSheetId="63" hidden="1">#REF!</definedName>
    <definedName name="IQRIPOAF13" localSheetId="31" hidden="1">#REF!</definedName>
    <definedName name="IQRIPOAF13" localSheetId="104" hidden="1">#REF!</definedName>
    <definedName name="IQRIPOAF13" localSheetId="96" hidden="1">#REF!</definedName>
    <definedName name="IQRIPOAF13" localSheetId="61" hidden="1">#REF!</definedName>
    <definedName name="IQRIPOAF13" localSheetId="90" hidden="1">#REF!</definedName>
    <definedName name="IQRIPOAF13" localSheetId="19" hidden="1">#REF!</definedName>
    <definedName name="IQRIPOAF13" localSheetId="57" hidden="1">#REF!</definedName>
    <definedName name="IQRIPOAF13" hidden="1">#REF!</definedName>
    <definedName name="IQRIPOAF14" localSheetId="106" hidden="1">[20]IPO!#REF!</definedName>
    <definedName name="IQRIPOAF14" localSheetId="95" hidden="1">[20]IPO!#REF!</definedName>
    <definedName name="IQRIPOAF14" localSheetId="94" hidden="1">[20]IPO!#REF!</definedName>
    <definedName name="IQRIPOAF14" localSheetId="102" hidden="1">[20]IPO!#REF!</definedName>
    <definedName name="IQRIPOAF14" localSheetId="55" hidden="1">[21]IPO!#REF!</definedName>
    <definedName name="IQRIPOAF14" localSheetId="59" hidden="1">[21]IPO!#REF!</definedName>
    <definedName name="IQRIPOAF14" localSheetId="93" hidden="1">[20]IPO!#REF!</definedName>
    <definedName name="IQRIPOAF14" localSheetId="62" hidden="1">[21]IPO!#REF!</definedName>
    <definedName name="IQRIPOAF14" localSheetId="47" hidden="1">[20]IPO!#REF!</definedName>
    <definedName name="IQRIPOAF14" localSheetId="101" hidden="1">[20]IPO!#REF!</definedName>
    <definedName name="IQRIPOAF14" localSheetId="46" hidden="1">[20]IPO!#REF!</definedName>
    <definedName name="IQRIPOAF14" localSheetId="60" hidden="1">[21]IPO!#REF!</definedName>
    <definedName name="IQRIPOAF14" localSheetId="58" hidden="1">[21]IPO!#REF!</definedName>
    <definedName name="IQRIPOAF14" localSheetId="64" hidden="1">[21]IPO!#REF!</definedName>
    <definedName name="IQRIPOAF14" localSheetId="63" hidden="1">[20]IPO!#REF!</definedName>
    <definedName name="IQRIPOAF14" localSheetId="104" hidden="1">[20]IPO!#REF!</definedName>
    <definedName name="IQRIPOAF14" localSheetId="96" hidden="1">[20]IPO!#REF!</definedName>
    <definedName name="IQRIPOAF14" localSheetId="61" hidden="1">[21]IPO!#REF!</definedName>
    <definedName name="IQRIPOAF14" localSheetId="45" hidden="1">[20]IPO!#REF!</definedName>
    <definedName name="IQRIPOAF14" localSheetId="90" hidden="1">[20]IPO!#REF!</definedName>
    <definedName name="IQRIPOAF14" localSheetId="57" hidden="1">[22]IPO!#REF!</definedName>
    <definedName name="IQRIPOAF14" hidden="1">[20]IPO!#REF!</definedName>
    <definedName name="IQRIPOAF15" localSheetId="106" hidden="1">#REF!</definedName>
    <definedName name="IQRIPOAF15" localSheetId="95" hidden="1">#REF!</definedName>
    <definedName name="IQRIPOAF15" localSheetId="94" hidden="1">#REF!</definedName>
    <definedName name="IQRIPOAF15" localSheetId="33" hidden="1">#REF!</definedName>
    <definedName name="IQRIPOAF15" localSheetId="34" hidden="1">#REF!</definedName>
    <definedName name="IQRIPOAF15" localSheetId="35" hidden="1">#REF!</definedName>
    <definedName name="IQRIPOAF15" localSheetId="102" hidden="1">#REF!</definedName>
    <definedName name="IQRIPOAF15" localSheetId="4" hidden="1">#REF!</definedName>
    <definedName name="IQRIPOAF15" localSheetId="55" hidden="1">#REF!</definedName>
    <definedName name="IQRIPOAF15" localSheetId="59" hidden="1">#REF!</definedName>
    <definedName name="IQRIPOAF15" localSheetId="93" hidden="1">#REF!</definedName>
    <definedName name="IQRIPOAF15" localSheetId="62" hidden="1">#REF!</definedName>
    <definedName name="IQRIPOAF15" localSheetId="47" hidden="1">#REF!</definedName>
    <definedName name="IQRIPOAF15" localSheetId="101" hidden="1">#REF!</definedName>
    <definedName name="IQRIPOAF15" localSheetId="40" hidden="1">#REF!</definedName>
    <definedName name="IQRIPOAF15" localSheetId="41" hidden="1">#REF!</definedName>
    <definedName name="IQRIPOAF15" localSheetId="46" hidden="1">#REF!</definedName>
    <definedName name="IQRIPOAF15" localSheetId="60" hidden="1">#REF!</definedName>
    <definedName name="IQRIPOAF15" localSheetId="39" hidden="1">#REF!</definedName>
    <definedName name="IQRIPOAF15" localSheetId="58" hidden="1">#REF!</definedName>
    <definedName name="IQRIPOAF15" localSheetId="44" hidden="1">#REF!</definedName>
    <definedName name="IQRIPOAF15" localSheetId="64" hidden="1">#REF!</definedName>
    <definedName name="IQRIPOAF15" localSheetId="63" hidden="1">#REF!</definedName>
    <definedName name="IQRIPOAF15" localSheetId="31" hidden="1">#REF!</definedName>
    <definedName name="IQRIPOAF15" localSheetId="104" hidden="1">#REF!</definedName>
    <definedName name="IQRIPOAF15" localSheetId="96" hidden="1">#REF!</definedName>
    <definedName name="IQRIPOAF15" localSheetId="61" hidden="1">#REF!</definedName>
    <definedName name="IQRIPOAF15" localSheetId="90" hidden="1">#REF!</definedName>
    <definedName name="IQRIPOAF15" localSheetId="19" hidden="1">#REF!</definedName>
    <definedName name="IQRIPOAF15" localSheetId="57" hidden="1">#REF!</definedName>
    <definedName name="IQRIPOAF15" hidden="1">#REF!</definedName>
    <definedName name="IQRIPOAF16" localSheetId="106" hidden="1">#REF!</definedName>
    <definedName name="IQRIPOAF16" localSheetId="95" hidden="1">#REF!</definedName>
    <definedName name="IQRIPOAF16" localSheetId="94" hidden="1">#REF!</definedName>
    <definedName name="IQRIPOAF16" localSheetId="33" hidden="1">#REF!</definedName>
    <definedName name="IQRIPOAF16" localSheetId="34" hidden="1">#REF!</definedName>
    <definedName name="IQRIPOAF16" localSheetId="35" hidden="1">#REF!</definedName>
    <definedName name="IQRIPOAF16" localSheetId="102" hidden="1">#REF!</definedName>
    <definedName name="IQRIPOAF16" localSheetId="4" hidden="1">#REF!</definedName>
    <definedName name="IQRIPOAF16" localSheetId="55" hidden="1">#REF!</definedName>
    <definedName name="IQRIPOAF16" localSheetId="59" hidden="1">#REF!</definedName>
    <definedName name="IQRIPOAF16" localSheetId="93" hidden="1">#REF!</definedName>
    <definedName name="IQRIPOAF16" localSheetId="62" hidden="1">#REF!</definedName>
    <definedName name="IQRIPOAF16" localSheetId="47" hidden="1">#REF!</definedName>
    <definedName name="IQRIPOAF16" localSheetId="101" hidden="1">#REF!</definedName>
    <definedName name="IQRIPOAF16" localSheetId="40" hidden="1">#REF!</definedName>
    <definedName name="IQRIPOAF16" localSheetId="41" hidden="1">#REF!</definedName>
    <definedName name="IQRIPOAF16" localSheetId="46" hidden="1">#REF!</definedName>
    <definedName name="IQRIPOAF16" localSheetId="60" hidden="1">#REF!</definedName>
    <definedName name="IQRIPOAF16" localSheetId="39" hidden="1">#REF!</definedName>
    <definedName name="IQRIPOAF16" localSheetId="58" hidden="1">#REF!</definedName>
    <definedName name="IQRIPOAF16" localSheetId="44" hidden="1">#REF!</definedName>
    <definedName name="IQRIPOAF16" localSheetId="64" hidden="1">#REF!</definedName>
    <definedName name="IQRIPOAF16" localSheetId="63" hidden="1">#REF!</definedName>
    <definedName name="IQRIPOAF16" localSheetId="31" hidden="1">#REF!</definedName>
    <definedName name="IQRIPOAF16" localSheetId="104" hidden="1">#REF!</definedName>
    <definedName name="IQRIPOAF16" localSheetId="96" hidden="1">#REF!</definedName>
    <definedName name="IQRIPOAF16" localSheetId="61" hidden="1">#REF!</definedName>
    <definedName name="IQRIPOAF16" localSheetId="90" hidden="1">#REF!</definedName>
    <definedName name="IQRIPOAF16" localSheetId="19" hidden="1">#REF!</definedName>
    <definedName name="IQRIPOAF16" localSheetId="57" hidden="1">#REF!</definedName>
    <definedName name="IQRIPOAF16" hidden="1">#REF!</definedName>
    <definedName name="IQRIPOAF17" localSheetId="106" hidden="1">#REF!</definedName>
    <definedName name="IQRIPOAF17" localSheetId="95" hidden="1">#REF!</definedName>
    <definedName name="IQRIPOAF17" localSheetId="94" hidden="1">#REF!</definedName>
    <definedName name="IQRIPOAF17" localSheetId="33" hidden="1">#REF!</definedName>
    <definedName name="IQRIPOAF17" localSheetId="34" hidden="1">#REF!</definedName>
    <definedName name="IQRIPOAF17" localSheetId="35" hidden="1">#REF!</definedName>
    <definedName name="IQRIPOAF17" localSheetId="102" hidden="1">#REF!</definedName>
    <definedName name="IQRIPOAF17" localSheetId="4" hidden="1">#REF!</definedName>
    <definedName name="IQRIPOAF17" localSheetId="55" hidden="1">#REF!</definedName>
    <definedName name="IQRIPOAF17" localSheetId="59" hidden="1">#REF!</definedName>
    <definedName name="IQRIPOAF17" localSheetId="93" hidden="1">#REF!</definedName>
    <definedName name="IQRIPOAF17" localSheetId="62" hidden="1">#REF!</definedName>
    <definedName name="IQRIPOAF17" localSheetId="47" hidden="1">#REF!</definedName>
    <definedName name="IQRIPOAF17" localSheetId="101" hidden="1">#REF!</definedName>
    <definedName name="IQRIPOAF17" localSheetId="40" hidden="1">#REF!</definedName>
    <definedName name="IQRIPOAF17" localSheetId="41" hidden="1">#REF!</definedName>
    <definedName name="IQRIPOAF17" localSheetId="46" hidden="1">#REF!</definedName>
    <definedName name="IQRIPOAF17" localSheetId="60" hidden="1">#REF!</definedName>
    <definedName name="IQRIPOAF17" localSheetId="39" hidden="1">#REF!</definedName>
    <definedName name="IQRIPOAF17" localSheetId="58" hidden="1">#REF!</definedName>
    <definedName name="IQRIPOAF17" localSheetId="44" hidden="1">#REF!</definedName>
    <definedName name="IQRIPOAF17" localSheetId="64" hidden="1">#REF!</definedName>
    <definedName name="IQRIPOAF17" localSheetId="63" hidden="1">#REF!</definedName>
    <definedName name="IQRIPOAF17" localSheetId="31" hidden="1">#REF!</definedName>
    <definedName name="IQRIPOAF17" localSheetId="104" hidden="1">#REF!</definedName>
    <definedName name="IQRIPOAF17" localSheetId="96" hidden="1">#REF!</definedName>
    <definedName name="IQRIPOAF17" localSheetId="61" hidden="1">#REF!</definedName>
    <definedName name="IQRIPOAF17" localSheetId="90" hidden="1">#REF!</definedName>
    <definedName name="IQRIPOAF17" localSheetId="19" hidden="1">#REF!</definedName>
    <definedName name="IQRIPOAF17" localSheetId="57" hidden="1">#REF!</definedName>
    <definedName name="IQRIPOAF17" hidden="1">#REF!</definedName>
    <definedName name="IQRIPOAF18" localSheetId="106" hidden="1">#REF!</definedName>
    <definedName name="IQRIPOAF18" localSheetId="95" hidden="1">#REF!</definedName>
    <definedName name="IQRIPOAF18" localSheetId="94" hidden="1">#REF!</definedName>
    <definedName name="IQRIPOAF18" localSheetId="33" hidden="1">#REF!</definedName>
    <definedName name="IQRIPOAF18" localSheetId="34" hidden="1">#REF!</definedName>
    <definedName name="IQRIPOAF18" localSheetId="35" hidden="1">#REF!</definedName>
    <definedName name="IQRIPOAF18" localSheetId="102" hidden="1">#REF!</definedName>
    <definedName name="IQRIPOAF18" localSheetId="4" hidden="1">#REF!</definedName>
    <definedName name="IQRIPOAF18" localSheetId="55" hidden="1">#REF!</definedName>
    <definedName name="IQRIPOAF18" localSheetId="59" hidden="1">#REF!</definedName>
    <definedName name="IQRIPOAF18" localSheetId="93" hidden="1">#REF!</definedName>
    <definedName name="IQRIPOAF18" localSheetId="62" hidden="1">#REF!</definedName>
    <definedName name="IQRIPOAF18" localSheetId="47" hidden="1">#REF!</definedName>
    <definedName name="IQRIPOAF18" localSheetId="101" hidden="1">#REF!</definedName>
    <definedName name="IQRIPOAF18" localSheetId="40" hidden="1">#REF!</definedName>
    <definedName name="IQRIPOAF18" localSheetId="41" hidden="1">#REF!</definedName>
    <definedName name="IQRIPOAF18" localSheetId="46" hidden="1">#REF!</definedName>
    <definedName name="IQRIPOAF18" localSheetId="60" hidden="1">#REF!</definedName>
    <definedName name="IQRIPOAF18" localSheetId="39" hidden="1">#REF!</definedName>
    <definedName name="IQRIPOAF18" localSheetId="58" hidden="1">#REF!</definedName>
    <definedName name="IQRIPOAF18" localSheetId="44" hidden="1">#REF!</definedName>
    <definedName name="IQRIPOAF18" localSheetId="64" hidden="1">#REF!</definedName>
    <definedName name="IQRIPOAF18" localSheetId="63" hidden="1">#REF!</definedName>
    <definedName name="IQRIPOAF18" localSheetId="31" hidden="1">#REF!</definedName>
    <definedName name="IQRIPOAF18" localSheetId="104" hidden="1">#REF!</definedName>
    <definedName name="IQRIPOAF18" localSheetId="96" hidden="1">#REF!</definedName>
    <definedName name="IQRIPOAF18" localSheetId="61" hidden="1">#REF!</definedName>
    <definedName name="IQRIPOAF18" localSheetId="90" hidden="1">#REF!</definedName>
    <definedName name="IQRIPOAF18" localSheetId="19" hidden="1">#REF!</definedName>
    <definedName name="IQRIPOAF18" localSheetId="57" hidden="1">#REF!</definedName>
    <definedName name="IQRIPOAF18" hidden="1">#REF!</definedName>
    <definedName name="IQRIPOAF19" localSheetId="106" hidden="1">#REF!</definedName>
    <definedName name="IQRIPOAF19" localSheetId="95" hidden="1">#REF!</definedName>
    <definedName name="IQRIPOAF19" localSheetId="94" hidden="1">#REF!</definedName>
    <definedName name="IQRIPOAF19" localSheetId="33" hidden="1">#REF!</definedName>
    <definedName name="IQRIPOAF19" localSheetId="34" hidden="1">#REF!</definedName>
    <definedName name="IQRIPOAF19" localSheetId="35" hidden="1">#REF!</definedName>
    <definedName name="IQRIPOAF19" localSheetId="102" hidden="1">#REF!</definedName>
    <definedName name="IQRIPOAF19" localSheetId="4" hidden="1">#REF!</definedName>
    <definedName name="IQRIPOAF19" localSheetId="55" hidden="1">#REF!</definedName>
    <definedName name="IQRIPOAF19" localSheetId="59" hidden="1">#REF!</definedName>
    <definedName name="IQRIPOAF19" localSheetId="93" hidden="1">#REF!</definedName>
    <definedName name="IQRIPOAF19" localSheetId="62" hidden="1">#REF!</definedName>
    <definedName name="IQRIPOAF19" localSheetId="47" hidden="1">#REF!</definedName>
    <definedName name="IQRIPOAF19" localSheetId="101" hidden="1">#REF!</definedName>
    <definedName name="IQRIPOAF19" localSheetId="40" hidden="1">#REF!</definedName>
    <definedName name="IQRIPOAF19" localSheetId="41" hidden="1">#REF!</definedName>
    <definedName name="IQRIPOAF19" localSheetId="46" hidden="1">#REF!</definedName>
    <definedName name="IQRIPOAF19" localSheetId="60" hidden="1">#REF!</definedName>
    <definedName name="IQRIPOAF19" localSheetId="39" hidden="1">#REF!</definedName>
    <definedName name="IQRIPOAF19" localSheetId="58" hidden="1">#REF!</definedName>
    <definedName name="IQRIPOAF19" localSheetId="44" hidden="1">#REF!</definedName>
    <definedName name="IQRIPOAF19" localSheetId="64" hidden="1">#REF!</definedName>
    <definedName name="IQRIPOAF19" localSheetId="63" hidden="1">#REF!</definedName>
    <definedName name="IQRIPOAF19" localSheetId="31" hidden="1">#REF!</definedName>
    <definedName name="IQRIPOAF19" localSheetId="104" hidden="1">#REF!</definedName>
    <definedName name="IQRIPOAF19" localSheetId="96" hidden="1">#REF!</definedName>
    <definedName name="IQRIPOAF19" localSheetId="61" hidden="1">#REF!</definedName>
    <definedName name="IQRIPOAF19" localSheetId="90" hidden="1">#REF!</definedName>
    <definedName name="IQRIPOAF19" localSheetId="19" hidden="1">#REF!</definedName>
    <definedName name="IQRIPOAF19" localSheetId="57" hidden="1">#REF!</definedName>
    <definedName name="IQRIPOAF19" hidden="1">#REF!</definedName>
    <definedName name="IQRIPOAF20" localSheetId="106" hidden="1">#REF!</definedName>
    <definedName name="IQRIPOAF20" localSheetId="95" hidden="1">#REF!</definedName>
    <definedName name="IQRIPOAF20" localSheetId="94" hidden="1">#REF!</definedName>
    <definedName name="IQRIPOAF20" localSheetId="33" hidden="1">#REF!</definedName>
    <definedName name="IQRIPOAF20" localSheetId="34" hidden="1">#REF!</definedName>
    <definedName name="IQRIPOAF20" localSheetId="35" hidden="1">#REF!</definedName>
    <definedName name="IQRIPOAF20" localSheetId="102" hidden="1">#REF!</definedName>
    <definedName name="IQRIPOAF20" localSheetId="4" hidden="1">#REF!</definedName>
    <definedName name="IQRIPOAF20" localSheetId="55" hidden="1">#REF!</definedName>
    <definedName name="IQRIPOAF20" localSheetId="59" hidden="1">#REF!</definedName>
    <definedName name="IQRIPOAF20" localSheetId="93" hidden="1">#REF!</definedName>
    <definedName name="IQRIPOAF20" localSheetId="62" hidden="1">#REF!</definedName>
    <definedName name="IQRIPOAF20" localSheetId="47" hidden="1">#REF!</definedName>
    <definedName name="IQRIPOAF20" localSheetId="101" hidden="1">#REF!</definedName>
    <definedName name="IQRIPOAF20" localSheetId="40" hidden="1">#REF!</definedName>
    <definedName name="IQRIPOAF20" localSheetId="41" hidden="1">#REF!</definedName>
    <definedName name="IQRIPOAF20" localSheetId="46" hidden="1">#REF!</definedName>
    <definedName name="IQRIPOAF20" localSheetId="60" hidden="1">#REF!</definedName>
    <definedName name="IQRIPOAF20" localSheetId="39" hidden="1">#REF!</definedName>
    <definedName name="IQRIPOAF20" localSheetId="58" hidden="1">#REF!</definedName>
    <definedName name="IQRIPOAF20" localSheetId="44" hidden="1">#REF!</definedName>
    <definedName name="IQRIPOAF20" localSheetId="64" hidden="1">#REF!</definedName>
    <definedName name="IQRIPOAF20" localSheetId="63" hidden="1">#REF!</definedName>
    <definedName name="IQRIPOAF20" localSheetId="31" hidden="1">#REF!</definedName>
    <definedName name="IQRIPOAF20" localSheetId="104" hidden="1">#REF!</definedName>
    <definedName name="IQRIPOAF20" localSheetId="96" hidden="1">#REF!</definedName>
    <definedName name="IQRIPOAF20" localSheetId="61" hidden="1">#REF!</definedName>
    <definedName name="IQRIPOAF20" localSheetId="90" hidden="1">#REF!</definedName>
    <definedName name="IQRIPOAF20" localSheetId="19" hidden="1">#REF!</definedName>
    <definedName name="IQRIPOAF20" localSheetId="57" hidden="1">#REF!</definedName>
    <definedName name="IQRIPOAF20" hidden="1">#REF!</definedName>
    <definedName name="IQRIPOAF21" localSheetId="106" hidden="1">#REF!</definedName>
    <definedName name="IQRIPOAF21" localSheetId="95" hidden="1">#REF!</definedName>
    <definedName name="IQRIPOAF21" localSheetId="94" hidden="1">#REF!</definedName>
    <definedName name="IQRIPOAF21" localSheetId="33" hidden="1">#REF!</definedName>
    <definedName name="IQRIPOAF21" localSheetId="34" hidden="1">#REF!</definedName>
    <definedName name="IQRIPOAF21" localSheetId="35" hidden="1">#REF!</definedName>
    <definedName name="IQRIPOAF21" localSheetId="102" hidden="1">#REF!</definedName>
    <definedName name="IQRIPOAF21" localSheetId="4" hidden="1">#REF!</definedName>
    <definedName name="IQRIPOAF21" localSheetId="55" hidden="1">#REF!</definedName>
    <definedName name="IQRIPOAF21" localSheetId="59" hidden="1">#REF!</definedName>
    <definedName name="IQRIPOAF21" localSheetId="93" hidden="1">#REF!</definedName>
    <definedName name="IQRIPOAF21" localSheetId="62" hidden="1">#REF!</definedName>
    <definedName name="IQRIPOAF21" localSheetId="47" hidden="1">#REF!</definedName>
    <definedName name="IQRIPOAF21" localSheetId="101" hidden="1">#REF!</definedName>
    <definedName name="IQRIPOAF21" localSheetId="40" hidden="1">#REF!</definedName>
    <definedName name="IQRIPOAF21" localSheetId="41" hidden="1">#REF!</definedName>
    <definedName name="IQRIPOAF21" localSheetId="46" hidden="1">#REF!</definedName>
    <definedName name="IQRIPOAF21" localSheetId="60" hidden="1">#REF!</definedName>
    <definedName name="IQRIPOAF21" localSheetId="39" hidden="1">#REF!</definedName>
    <definedName name="IQRIPOAF21" localSheetId="58" hidden="1">#REF!</definedName>
    <definedName name="IQRIPOAF21" localSheetId="44" hidden="1">#REF!</definedName>
    <definedName name="IQRIPOAF21" localSheetId="64" hidden="1">#REF!</definedName>
    <definedName name="IQRIPOAF21" localSheetId="63" hidden="1">#REF!</definedName>
    <definedName name="IQRIPOAF21" localSheetId="31" hidden="1">#REF!</definedName>
    <definedName name="IQRIPOAF21" localSheetId="104" hidden="1">#REF!</definedName>
    <definedName name="IQRIPOAF21" localSheetId="96" hidden="1">#REF!</definedName>
    <definedName name="IQRIPOAF21" localSheetId="61" hidden="1">#REF!</definedName>
    <definedName name="IQRIPOAF21" localSheetId="90" hidden="1">#REF!</definedName>
    <definedName name="IQRIPOAF21" localSheetId="19" hidden="1">#REF!</definedName>
    <definedName name="IQRIPOAF21" localSheetId="57" hidden="1">#REF!</definedName>
    <definedName name="IQRIPOAF21" hidden="1">#REF!</definedName>
    <definedName name="IQRIPOAF22" localSheetId="106" hidden="1">#REF!</definedName>
    <definedName name="IQRIPOAF22" localSheetId="95" hidden="1">#REF!</definedName>
    <definedName name="IQRIPOAF22" localSheetId="94" hidden="1">#REF!</definedName>
    <definedName name="IQRIPOAF22" localSheetId="33" hidden="1">#REF!</definedName>
    <definedName name="IQRIPOAF22" localSheetId="34" hidden="1">#REF!</definedName>
    <definedName name="IQRIPOAF22" localSheetId="35" hidden="1">#REF!</definedName>
    <definedName name="IQRIPOAF22" localSheetId="102" hidden="1">#REF!</definedName>
    <definedName name="IQRIPOAF22" localSheetId="4" hidden="1">#REF!</definedName>
    <definedName name="IQRIPOAF22" localSheetId="55" hidden="1">#REF!</definedName>
    <definedName name="IQRIPOAF22" localSheetId="59" hidden="1">#REF!</definedName>
    <definedName name="IQRIPOAF22" localSheetId="93" hidden="1">#REF!</definedName>
    <definedName name="IQRIPOAF22" localSheetId="62" hidden="1">#REF!</definedName>
    <definedName name="IQRIPOAF22" localSheetId="47" hidden="1">#REF!</definedName>
    <definedName name="IQRIPOAF22" localSheetId="101" hidden="1">#REF!</definedName>
    <definedName name="IQRIPOAF22" localSheetId="40" hidden="1">#REF!</definedName>
    <definedName name="IQRIPOAF22" localSheetId="41" hidden="1">#REF!</definedName>
    <definedName name="IQRIPOAF22" localSheetId="46" hidden="1">#REF!</definedName>
    <definedName name="IQRIPOAF22" localSheetId="60" hidden="1">#REF!</definedName>
    <definedName name="IQRIPOAF22" localSheetId="39" hidden="1">#REF!</definedName>
    <definedName name="IQRIPOAF22" localSheetId="58" hidden="1">#REF!</definedName>
    <definedName name="IQRIPOAF22" localSheetId="44" hidden="1">#REF!</definedName>
    <definedName name="IQRIPOAF22" localSheetId="64" hidden="1">#REF!</definedName>
    <definedName name="IQRIPOAF22" localSheetId="63" hidden="1">#REF!</definedName>
    <definedName name="IQRIPOAF22" localSheetId="31" hidden="1">#REF!</definedName>
    <definedName name="IQRIPOAF22" localSheetId="104" hidden="1">#REF!</definedName>
    <definedName name="IQRIPOAF22" localSheetId="96" hidden="1">#REF!</definedName>
    <definedName name="IQRIPOAF22" localSheetId="61" hidden="1">#REF!</definedName>
    <definedName name="IQRIPOAF22" localSheetId="90" hidden="1">#REF!</definedName>
    <definedName name="IQRIPOAF22" localSheetId="19" hidden="1">#REF!</definedName>
    <definedName name="IQRIPOAF22" localSheetId="57" hidden="1">#REF!</definedName>
    <definedName name="IQRIPOAF22" hidden="1">#REF!</definedName>
    <definedName name="IQRIPOAF23" localSheetId="106" hidden="1">#REF!</definedName>
    <definedName name="IQRIPOAF23" localSheetId="95" hidden="1">#REF!</definedName>
    <definedName name="IQRIPOAF23" localSheetId="94" hidden="1">#REF!</definedName>
    <definedName name="IQRIPOAF23" localSheetId="33" hidden="1">#REF!</definedName>
    <definedName name="IQRIPOAF23" localSheetId="34" hidden="1">#REF!</definedName>
    <definedName name="IQRIPOAF23" localSheetId="35" hidden="1">#REF!</definedName>
    <definedName name="IQRIPOAF23" localSheetId="102" hidden="1">#REF!</definedName>
    <definedName name="IQRIPOAF23" localSheetId="4" hidden="1">#REF!</definedName>
    <definedName name="IQRIPOAF23" localSheetId="55" hidden="1">#REF!</definedName>
    <definedName name="IQRIPOAF23" localSheetId="59" hidden="1">#REF!</definedName>
    <definedName name="IQRIPOAF23" localSheetId="93" hidden="1">#REF!</definedName>
    <definedName name="IQRIPOAF23" localSheetId="62" hidden="1">#REF!</definedName>
    <definedName name="IQRIPOAF23" localSheetId="47" hidden="1">#REF!</definedName>
    <definedName name="IQRIPOAF23" localSheetId="101" hidden="1">#REF!</definedName>
    <definedName name="IQRIPOAF23" localSheetId="40" hidden="1">#REF!</definedName>
    <definedName name="IQRIPOAF23" localSheetId="41" hidden="1">#REF!</definedName>
    <definedName name="IQRIPOAF23" localSheetId="46" hidden="1">#REF!</definedName>
    <definedName name="IQRIPOAF23" localSheetId="60" hidden="1">#REF!</definedName>
    <definedName name="IQRIPOAF23" localSheetId="39" hidden="1">#REF!</definedName>
    <definedName name="IQRIPOAF23" localSheetId="58" hidden="1">#REF!</definedName>
    <definedName name="IQRIPOAF23" localSheetId="44" hidden="1">#REF!</definedName>
    <definedName name="IQRIPOAF23" localSheetId="64" hidden="1">#REF!</definedName>
    <definedName name="IQRIPOAF23" localSheetId="63" hidden="1">#REF!</definedName>
    <definedName name="IQRIPOAF23" localSheetId="31" hidden="1">#REF!</definedName>
    <definedName name="IQRIPOAF23" localSheetId="104" hidden="1">#REF!</definedName>
    <definedName name="IQRIPOAF23" localSheetId="96" hidden="1">#REF!</definedName>
    <definedName name="IQRIPOAF23" localSheetId="61" hidden="1">#REF!</definedName>
    <definedName name="IQRIPOAF23" localSheetId="90" hidden="1">#REF!</definedName>
    <definedName name="IQRIPOAF23" localSheetId="19" hidden="1">#REF!</definedName>
    <definedName name="IQRIPOAF23" localSheetId="57" hidden="1">#REF!</definedName>
    <definedName name="IQRIPOAF23" hidden="1">#REF!</definedName>
    <definedName name="IQRIPOAF24" localSheetId="106" hidden="1">#REF!</definedName>
    <definedName name="IQRIPOAF24" localSheetId="95" hidden="1">#REF!</definedName>
    <definedName name="IQRIPOAF24" localSheetId="94" hidden="1">#REF!</definedName>
    <definedName name="IQRIPOAF24" localSheetId="33" hidden="1">#REF!</definedName>
    <definedName name="IQRIPOAF24" localSheetId="34" hidden="1">#REF!</definedName>
    <definedName name="IQRIPOAF24" localSheetId="35" hidden="1">#REF!</definedName>
    <definedName name="IQRIPOAF24" localSheetId="102" hidden="1">#REF!</definedName>
    <definedName name="IQRIPOAF24" localSheetId="4" hidden="1">#REF!</definedName>
    <definedName name="IQRIPOAF24" localSheetId="55" hidden="1">#REF!</definedName>
    <definedName name="IQRIPOAF24" localSheetId="59" hidden="1">#REF!</definedName>
    <definedName name="IQRIPOAF24" localSheetId="93" hidden="1">#REF!</definedName>
    <definedName name="IQRIPOAF24" localSheetId="62" hidden="1">#REF!</definedName>
    <definedName name="IQRIPOAF24" localSheetId="47" hidden="1">#REF!</definedName>
    <definedName name="IQRIPOAF24" localSheetId="101" hidden="1">#REF!</definedName>
    <definedName name="IQRIPOAF24" localSheetId="40" hidden="1">#REF!</definedName>
    <definedName name="IQRIPOAF24" localSheetId="41" hidden="1">#REF!</definedName>
    <definedName name="IQRIPOAF24" localSheetId="46" hidden="1">#REF!</definedName>
    <definedName name="IQRIPOAF24" localSheetId="60" hidden="1">#REF!</definedName>
    <definedName name="IQRIPOAF24" localSheetId="39" hidden="1">#REF!</definedName>
    <definedName name="IQRIPOAF24" localSheetId="58" hidden="1">#REF!</definedName>
    <definedName name="IQRIPOAF24" localSheetId="44" hidden="1">#REF!</definedName>
    <definedName name="IQRIPOAF24" localSheetId="64" hidden="1">#REF!</definedName>
    <definedName name="IQRIPOAF24" localSheetId="63" hidden="1">#REF!</definedName>
    <definedName name="IQRIPOAF24" localSheetId="31" hidden="1">#REF!</definedName>
    <definedName name="IQRIPOAF24" localSheetId="104" hidden="1">#REF!</definedName>
    <definedName name="IQRIPOAF24" localSheetId="96" hidden="1">#REF!</definedName>
    <definedName name="IQRIPOAF24" localSheetId="61" hidden="1">#REF!</definedName>
    <definedName name="IQRIPOAF24" localSheetId="90" hidden="1">#REF!</definedName>
    <definedName name="IQRIPOAF24" localSheetId="19" hidden="1">#REF!</definedName>
    <definedName name="IQRIPOAF24" localSheetId="57" hidden="1">#REF!</definedName>
    <definedName name="IQRIPOAF24" hidden="1">#REF!</definedName>
    <definedName name="IQRIPOAF25" localSheetId="106" hidden="1">[20]IPO!#REF!</definedName>
    <definedName name="IQRIPOAF25" localSheetId="95" hidden="1">[20]IPO!#REF!</definedName>
    <definedName name="IQRIPOAF25" localSheetId="94" hidden="1">[20]IPO!#REF!</definedName>
    <definedName name="IQRIPOAF25" localSheetId="102" hidden="1">[20]IPO!#REF!</definedName>
    <definedName name="IQRIPOAF25" localSheetId="55" hidden="1">[21]IPO!#REF!</definedName>
    <definedName name="IQRIPOAF25" localSheetId="59" hidden="1">[21]IPO!#REF!</definedName>
    <definedName name="IQRIPOAF25" localSheetId="93" hidden="1">[20]IPO!#REF!</definedName>
    <definedName name="IQRIPOAF25" localSheetId="62" hidden="1">[21]IPO!#REF!</definedName>
    <definedName name="IQRIPOAF25" localSheetId="47" hidden="1">[20]IPO!#REF!</definedName>
    <definedName name="IQRIPOAF25" localSheetId="101" hidden="1">[20]IPO!#REF!</definedName>
    <definedName name="IQRIPOAF25" localSheetId="46" hidden="1">[20]IPO!#REF!</definedName>
    <definedName name="IQRIPOAF25" localSheetId="60" hidden="1">[21]IPO!#REF!</definedName>
    <definedName name="IQRIPOAF25" localSheetId="58" hidden="1">[21]IPO!#REF!</definedName>
    <definedName name="IQRIPOAF25" localSheetId="64" hidden="1">[21]IPO!#REF!</definedName>
    <definedName name="IQRIPOAF25" localSheetId="63" hidden="1">[20]IPO!#REF!</definedName>
    <definedName name="IQRIPOAF25" localSheetId="104" hidden="1">[20]IPO!#REF!</definedName>
    <definedName name="IQRIPOAF25" localSheetId="96" hidden="1">[20]IPO!#REF!</definedName>
    <definedName name="IQRIPOAF25" localSheetId="61" hidden="1">[21]IPO!#REF!</definedName>
    <definedName name="IQRIPOAF25" localSheetId="45" hidden="1">[20]IPO!#REF!</definedName>
    <definedName name="IQRIPOAF25" localSheetId="90" hidden="1">[20]IPO!#REF!</definedName>
    <definedName name="IQRIPOAF25" localSheetId="57" hidden="1">[22]IPO!#REF!</definedName>
    <definedName name="IQRIPOAF25" hidden="1">[20]IPO!#REF!</definedName>
    <definedName name="IQRIPOAF26" localSheetId="106" hidden="1">#REF!</definedName>
    <definedName name="IQRIPOAF26" localSheetId="95" hidden="1">#REF!</definedName>
    <definedName name="IQRIPOAF26" localSheetId="94" hidden="1">#REF!</definedName>
    <definedName name="IQRIPOAF26" localSheetId="33" hidden="1">#REF!</definedName>
    <definedName name="IQRIPOAF26" localSheetId="34" hidden="1">#REF!</definedName>
    <definedName name="IQRIPOAF26" localSheetId="35" hidden="1">#REF!</definedName>
    <definedName name="IQRIPOAF26" localSheetId="102" hidden="1">#REF!</definedName>
    <definedName name="IQRIPOAF26" localSheetId="4" hidden="1">#REF!</definedName>
    <definedName name="IQRIPOAF26" localSheetId="55" hidden="1">#REF!</definedName>
    <definedName name="IQRIPOAF26" localSheetId="59" hidden="1">#REF!</definedName>
    <definedName name="IQRIPOAF26" localSheetId="93" hidden="1">#REF!</definedName>
    <definedName name="IQRIPOAF26" localSheetId="62" hidden="1">#REF!</definedName>
    <definedName name="IQRIPOAF26" localSheetId="47" hidden="1">#REF!</definedName>
    <definedName name="IQRIPOAF26" localSheetId="101" hidden="1">#REF!</definedName>
    <definedName name="IQRIPOAF26" localSheetId="40" hidden="1">#REF!</definedName>
    <definedName name="IQRIPOAF26" localSheetId="41" hidden="1">#REF!</definedName>
    <definedName name="IQRIPOAF26" localSheetId="46" hidden="1">#REF!</definedName>
    <definedName name="IQRIPOAF26" localSheetId="60" hidden="1">#REF!</definedName>
    <definedName name="IQRIPOAF26" localSheetId="39" hidden="1">#REF!</definedName>
    <definedName name="IQRIPOAF26" localSheetId="58" hidden="1">#REF!</definedName>
    <definedName name="IQRIPOAF26" localSheetId="44" hidden="1">#REF!</definedName>
    <definedName name="IQRIPOAF26" localSheetId="64" hidden="1">#REF!</definedName>
    <definedName name="IQRIPOAF26" localSheetId="63" hidden="1">#REF!</definedName>
    <definedName name="IQRIPOAF26" localSheetId="31" hidden="1">#REF!</definedName>
    <definedName name="IQRIPOAF26" localSheetId="104" hidden="1">#REF!</definedName>
    <definedName name="IQRIPOAF26" localSheetId="96" hidden="1">#REF!</definedName>
    <definedName name="IQRIPOAF26" localSheetId="61" hidden="1">#REF!</definedName>
    <definedName name="IQRIPOAF26" localSheetId="90" hidden="1">#REF!</definedName>
    <definedName name="IQRIPOAF26" localSheetId="19" hidden="1">#REF!</definedName>
    <definedName name="IQRIPOAF26" localSheetId="57" hidden="1">#REF!</definedName>
    <definedName name="IQRIPOAF26" hidden="1">#REF!</definedName>
    <definedName name="IQRIPOAF27" localSheetId="106" hidden="1">#REF!</definedName>
    <definedName name="IQRIPOAF27" localSheetId="95" hidden="1">#REF!</definedName>
    <definedName name="IQRIPOAF27" localSheetId="94" hidden="1">#REF!</definedName>
    <definedName name="IQRIPOAF27" localSheetId="33" hidden="1">#REF!</definedName>
    <definedName name="IQRIPOAF27" localSheetId="34" hidden="1">#REF!</definedName>
    <definedName name="IQRIPOAF27" localSheetId="35" hidden="1">#REF!</definedName>
    <definedName name="IQRIPOAF27" localSheetId="102" hidden="1">#REF!</definedName>
    <definedName name="IQRIPOAF27" localSheetId="4" hidden="1">#REF!</definedName>
    <definedName name="IQRIPOAF27" localSheetId="55" hidden="1">#REF!</definedName>
    <definedName name="IQRIPOAF27" localSheetId="59" hidden="1">#REF!</definedName>
    <definedName name="IQRIPOAF27" localSheetId="93" hidden="1">#REF!</definedName>
    <definedName name="IQRIPOAF27" localSheetId="62" hidden="1">#REF!</definedName>
    <definedName name="IQRIPOAF27" localSheetId="47" hidden="1">#REF!</definedName>
    <definedName name="IQRIPOAF27" localSheetId="101" hidden="1">#REF!</definedName>
    <definedName name="IQRIPOAF27" localSheetId="40" hidden="1">#REF!</definedName>
    <definedName name="IQRIPOAF27" localSheetId="41" hidden="1">#REF!</definedName>
    <definedName name="IQRIPOAF27" localSheetId="46" hidden="1">#REF!</definedName>
    <definedName name="IQRIPOAF27" localSheetId="60" hidden="1">#REF!</definedName>
    <definedName name="IQRIPOAF27" localSheetId="39" hidden="1">#REF!</definedName>
    <definedName name="IQRIPOAF27" localSheetId="58" hidden="1">#REF!</definedName>
    <definedName name="IQRIPOAF27" localSheetId="44" hidden="1">#REF!</definedName>
    <definedName name="IQRIPOAF27" localSheetId="64" hidden="1">#REF!</definedName>
    <definedName name="IQRIPOAF27" localSheetId="63" hidden="1">#REF!</definedName>
    <definedName name="IQRIPOAF27" localSheetId="31" hidden="1">#REF!</definedName>
    <definedName name="IQRIPOAF27" localSheetId="104" hidden="1">#REF!</definedName>
    <definedName name="IQRIPOAF27" localSheetId="96" hidden="1">#REF!</definedName>
    <definedName name="IQRIPOAF27" localSheetId="61" hidden="1">#REF!</definedName>
    <definedName name="IQRIPOAF27" localSheetId="90" hidden="1">#REF!</definedName>
    <definedName name="IQRIPOAF27" localSheetId="19" hidden="1">#REF!</definedName>
    <definedName name="IQRIPOAF27" localSheetId="57" hidden="1">#REF!</definedName>
    <definedName name="IQRIPOAF27" hidden="1">#REF!</definedName>
    <definedName name="IQRIPOAF28" localSheetId="106" hidden="1">#REF!</definedName>
    <definedName name="IQRIPOAF28" localSheetId="95" hidden="1">#REF!</definedName>
    <definedName name="IQRIPOAF28" localSheetId="94" hidden="1">#REF!</definedName>
    <definedName name="IQRIPOAF28" localSheetId="33" hidden="1">#REF!</definedName>
    <definedName name="IQRIPOAF28" localSheetId="34" hidden="1">#REF!</definedName>
    <definedName name="IQRIPOAF28" localSheetId="35" hidden="1">#REF!</definedName>
    <definedName name="IQRIPOAF28" localSheetId="102" hidden="1">#REF!</definedName>
    <definedName name="IQRIPOAF28" localSheetId="4" hidden="1">#REF!</definedName>
    <definedName name="IQRIPOAF28" localSheetId="55" hidden="1">#REF!</definedName>
    <definedName name="IQRIPOAF28" localSheetId="59" hidden="1">#REF!</definedName>
    <definedName name="IQRIPOAF28" localSheetId="93" hidden="1">#REF!</definedName>
    <definedName name="IQRIPOAF28" localSheetId="62" hidden="1">#REF!</definedName>
    <definedName name="IQRIPOAF28" localSheetId="47" hidden="1">#REF!</definedName>
    <definedName name="IQRIPOAF28" localSheetId="101" hidden="1">#REF!</definedName>
    <definedName name="IQRIPOAF28" localSheetId="40" hidden="1">#REF!</definedName>
    <definedName name="IQRIPOAF28" localSheetId="41" hidden="1">#REF!</definedName>
    <definedName name="IQRIPOAF28" localSheetId="46" hidden="1">#REF!</definedName>
    <definedName name="IQRIPOAF28" localSheetId="60" hidden="1">#REF!</definedName>
    <definedName name="IQRIPOAF28" localSheetId="39" hidden="1">#REF!</definedName>
    <definedName name="IQRIPOAF28" localSheetId="58" hidden="1">#REF!</definedName>
    <definedName name="IQRIPOAF28" localSheetId="44" hidden="1">#REF!</definedName>
    <definedName name="IQRIPOAF28" localSheetId="64" hidden="1">#REF!</definedName>
    <definedName name="IQRIPOAF28" localSheetId="63" hidden="1">#REF!</definedName>
    <definedName name="IQRIPOAF28" localSheetId="31" hidden="1">#REF!</definedName>
    <definedName name="IQRIPOAF28" localSheetId="104" hidden="1">#REF!</definedName>
    <definedName name="IQRIPOAF28" localSheetId="96" hidden="1">#REF!</definedName>
    <definedName name="IQRIPOAF28" localSheetId="61" hidden="1">#REF!</definedName>
    <definedName name="IQRIPOAF28" localSheetId="90" hidden="1">#REF!</definedName>
    <definedName name="IQRIPOAF28" localSheetId="19" hidden="1">#REF!</definedName>
    <definedName name="IQRIPOAF28" localSheetId="57" hidden="1">#REF!</definedName>
    <definedName name="IQRIPOAF28" hidden="1">#REF!</definedName>
    <definedName name="IQRIPOAF29" localSheetId="106" hidden="1">[20]IPO!#REF!</definedName>
    <definedName name="IQRIPOAF29" localSheetId="95" hidden="1">[20]IPO!#REF!</definedName>
    <definedName name="IQRIPOAF29" localSheetId="94" hidden="1">[20]IPO!#REF!</definedName>
    <definedName name="IQRIPOAF29" localSheetId="102" hidden="1">[20]IPO!#REF!</definedName>
    <definedName name="IQRIPOAF29" localSheetId="55" hidden="1">[21]IPO!#REF!</definedName>
    <definedName name="IQRIPOAF29" localSheetId="59" hidden="1">[21]IPO!#REF!</definedName>
    <definedName name="IQRIPOAF29" localSheetId="93" hidden="1">[20]IPO!#REF!</definedName>
    <definedName name="IQRIPOAF29" localSheetId="62" hidden="1">[21]IPO!#REF!</definedName>
    <definedName name="IQRIPOAF29" localSheetId="47" hidden="1">[20]IPO!#REF!</definedName>
    <definedName name="IQRIPOAF29" localSheetId="101" hidden="1">[20]IPO!#REF!</definedName>
    <definedName name="IQRIPOAF29" localSheetId="46" hidden="1">[20]IPO!#REF!</definedName>
    <definedName name="IQRIPOAF29" localSheetId="60" hidden="1">[21]IPO!#REF!</definedName>
    <definedName name="IQRIPOAF29" localSheetId="58" hidden="1">[21]IPO!#REF!</definedName>
    <definedName name="IQRIPOAF29" localSheetId="64" hidden="1">[21]IPO!#REF!</definedName>
    <definedName name="IQRIPOAF29" localSheetId="63" hidden="1">[20]IPO!#REF!</definedName>
    <definedName name="IQRIPOAF29" localSheetId="104" hidden="1">[20]IPO!#REF!</definedName>
    <definedName name="IQRIPOAF29" localSheetId="96" hidden="1">[20]IPO!#REF!</definedName>
    <definedName name="IQRIPOAF29" localSheetId="61" hidden="1">[21]IPO!#REF!</definedName>
    <definedName name="IQRIPOAF29" localSheetId="45" hidden="1">[20]IPO!#REF!</definedName>
    <definedName name="IQRIPOAF29" localSheetId="90" hidden="1">[20]IPO!#REF!</definedName>
    <definedName name="IQRIPOAF29" localSheetId="57" hidden="1">[22]IPO!#REF!</definedName>
    <definedName name="IQRIPOAF29" hidden="1">[20]IPO!#REF!</definedName>
    <definedName name="IQRJ22" hidden="1">"$J$23:$J$42"</definedName>
    <definedName name="IQRK7" hidden="1">"$K$8:$K$1832"</definedName>
    <definedName name="IQRK9" hidden="1">"$K$10:$K$1268"</definedName>
    <definedName name="IQRL3" hidden="1">"$L$4:$L$55"</definedName>
    <definedName name="IQRM22" hidden="1">"$M$23:$M$42"</definedName>
    <definedName name="IQRM3" hidden="1">"$M$4:$M$55"</definedName>
    <definedName name="IQRN3" hidden="1">"$N$4:$N$67"</definedName>
    <definedName name="IQROptionValI16" localSheetId="106" hidden="1">'[23]Option Val.'!#REF!</definedName>
    <definedName name="IQROptionValI16" localSheetId="95" hidden="1">'[23]Option Val.'!#REF!</definedName>
    <definedName name="IQROptionValI16" localSheetId="94" hidden="1">'[23]Option Val.'!#REF!</definedName>
    <definedName name="IQROptionValI16" localSheetId="102" hidden="1">'[23]Option Val.'!#REF!</definedName>
    <definedName name="IQROptionValI16" localSheetId="55" hidden="1">'[23]Option Val.'!#REF!</definedName>
    <definedName name="IQROptionValI16" localSheetId="59" hidden="1">'[23]Option Val.'!#REF!</definedName>
    <definedName name="IQROptionValI16" localSheetId="93" hidden="1">'[23]Option Val.'!#REF!</definedName>
    <definedName name="IQROptionValI16" localSheetId="47" hidden="1">'[23]Option Val.'!#REF!</definedName>
    <definedName name="IQROptionValI16" localSheetId="101" hidden="1">'[23]Option Val.'!#REF!</definedName>
    <definedName name="IQROptionValI16" localSheetId="46" hidden="1">'[23]Option Val.'!#REF!</definedName>
    <definedName name="IQROptionValI16" localSheetId="60" hidden="1">'[23]Option Val.'!#REF!</definedName>
    <definedName name="IQROptionValI16" localSheetId="64" hidden="1">'[23]Option Val.'!#REF!</definedName>
    <definedName name="IQROptionValI16" localSheetId="63" hidden="1">'[23]Option Val.'!#REF!</definedName>
    <definedName name="IQROptionValI16" localSheetId="104" hidden="1">'[23]Option Val.'!#REF!</definedName>
    <definedName name="IQROptionValI16" localSheetId="96" hidden="1">'[23]Option Val.'!#REF!</definedName>
    <definedName name="IQROptionValI16" localSheetId="45" hidden="1">'[23]Option Val.'!#REF!</definedName>
    <definedName name="IQROptionValI16" localSheetId="90" hidden="1">'[23]Option Val.'!#REF!</definedName>
    <definedName name="IQROptionValI16" localSheetId="57" hidden="1">'[23]Option Val.'!#REF!</definedName>
    <definedName name="IQROptionValI16" hidden="1">'[23]Option Val.'!#REF!</definedName>
    <definedName name="IQRP22" hidden="1">"$P$23:$P$42"</definedName>
    <definedName name="IQRQ27" hidden="1">"$Q$28"</definedName>
    <definedName name="IQRS115" hidden="1">"$S$116:$S$119"</definedName>
    <definedName name="IQRS22" hidden="1">"$S$23:$S$42"</definedName>
    <definedName name="IQRT115" hidden="1">"$T$116"</definedName>
    <definedName name="IQRT117" hidden="1">"$T$118:$T$121"</definedName>
    <definedName name="IQRT120" hidden="1">"$T$121:$T$124"</definedName>
    <definedName name="IQRT124" hidden="1">"$T$125:$T$128"</definedName>
    <definedName name="IQRT125" hidden="1">"$T$126:$T$129"</definedName>
    <definedName name="IQRT128" hidden="1">"$T$129:$T$132"</definedName>
    <definedName name="IQRT130" hidden="1">"$T$131:$T$132"</definedName>
    <definedName name="IQRT131" hidden="1">"$T$132:$T$135"</definedName>
    <definedName name="IQRT132" hidden="1">"$T$133:$T$134"</definedName>
    <definedName name="IQRT133" hidden="1">"$T$134:$T$137"</definedName>
    <definedName name="IQRT135" hidden="1">"$T$136:$T$137"</definedName>
    <definedName name="IQRT139" hidden="1">"$T$140:$T$141"</definedName>
    <definedName name="IQRT140" hidden="1">"$T$141:$T$142"</definedName>
    <definedName name="IQRT142" hidden="1">"$T$143:$T$146"</definedName>
    <definedName name="IQRT143" hidden="1">"$T$144:$T$145"</definedName>
    <definedName name="IQRT144" hidden="1">"$T$145:$T$148"</definedName>
    <definedName name="IQRT146" hidden="1">"$T$147:$T$148"</definedName>
    <definedName name="IQRT147" hidden="1">"$T$148:$T$151"</definedName>
    <definedName name="IQRT148" hidden="1">"$T$149:$T$150"</definedName>
    <definedName name="IQRT157" hidden="1">"$T$158:$T$159"</definedName>
    <definedName name="IQRT159" hidden="1">"$T$160:$T$161"</definedName>
    <definedName name="IQRT161" hidden="1">"$T$162:$T$165"</definedName>
    <definedName name="IQRT162" hidden="1">"$T$163:$T$164"</definedName>
    <definedName name="IQRT163" hidden="1">"$T$164:$T$167"</definedName>
    <definedName name="IQRT166" hidden="1">"$T$167:$T$170"</definedName>
    <definedName name="IQRT168" hidden="1">"$T$169:$T$172"</definedName>
    <definedName name="IQRT170" hidden="1">"$T$171:$T$172"</definedName>
    <definedName name="IQRT172" hidden="1">"$T$173:$T$174"</definedName>
    <definedName name="IQRT175" hidden="1">"$T$176:$T$177"</definedName>
    <definedName name="IQRT176" hidden="1">"$T$177:$T$178"</definedName>
    <definedName name="IQRT181" hidden="1">"$T$182:$T$183"</definedName>
    <definedName name="IQRT187" hidden="1">"$T$188:$T$189"</definedName>
    <definedName name="IQRT22" hidden="1">"$T$23:$T$32"</definedName>
    <definedName name="IQRU105" hidden="1">"$U$106:$U$109"</definedName>
    <definedName name="IQRU112" hidden="1">"$U$113:$U$114"</definedName>
    <definedName name="IQRU14" hidden="1">"$U$15:$U$266"</definedName>
    <definedName name="IQRU27" hidden="1">"$U$28:$U$31"</definedName>
    <definedName name="IQRU34" hidden="1">"$U$35:$U$36"</definedName>
    <definedName name="IQRU39" hidden="1">"$U$40:$U$44"</definedName>
    <definedName name="IQRU52" hidden="1">"$U$53:$U$56"</definedName>
    <definedName name="IQRU53" hidden="1">"$U$54:$U$58"</definedName>
    <definedName name="IQRU59" hidden="1">"$U$60:$U$61"</definedName>
    <definedName name="IQRU75" hidden="1">"$U$76:$U$79"</definedName>
    <definedName name="IQRU82" hidden="1">"$U$83:$U$84"</definedName>
    <definedName name="IQRV22" hidden="1">"$V$23:$V$42"</definedName>
    <definedName name="IQRV41" hidden="1">"$V$42:$V$45"</definedName>
    <definedName name="IQRV48" hidden="1">"$V$49:$V$50"</definedName>
    <definedName name="IQRWACCCapIQBV10" localSheetId="106" hidden="1">#REF!</definedName>
    <definedName name="IQRWACCCapIQBV10" localSheetId="95" hidden="1">#REF!</definedName>
    <definedName name="IQRWACCCapIQBV10" localSheetId="94" hidden="1">#REF!</definedName>
    <definedName name="IQRWACCCapIQBV10" localSheetId="33" hidden="1">#REF!</definedName>
    <definedName name="IQRWACCCapIQBV10" localSheetId="34" hidden="1">#REF!</definedName>
    <definedName name="IQRWACCCapIQBV10" localSheetId="35" hidden="1">#REF!</definedName>
    <definedName name="IQRWACCCapIQBV10" localSheetId="102" hidden="1">#REF!</definedName>
    <definedName name="IQRWACCCapIQBV10" localSheetId="4" hidden="1">#REF!</definedName>
    <definedName name="IQRWACCCapIQBV10" localSheetId="55" hidden="1">#REF!</definedName>
    <definedName name="IQRWACCCapIQBV10" localSheetId="59" hidden="1">#REF!</definedName>
    <definedName name="IQRWACCCapIQBV10" localSheetId="93" hidden="1">#REF!</definedName>
    <definedName name="IQRWACCCapIQBV10" localSheetId="47" hidden="1">#REF!</definedName>
    <definedName name="IQRWACCCapIQBV10" localSheetId="101" hidden="1">#REF!</definedName>
    <definedName name="IQRWACCCapIQBV10" localSheetId="41" hidden="1">#REF!</definedName>
    <definedName name="IQRWACCCapIQBV10" localSheetId="46" hidden="1">#REF!</definedName>
    <definedName name="IQRWACCCapIQBV10" localSheetId="60" hidden="1">#REF!</definedName>
    <definedName name="IQRWACCCapIQBV10" localSheetId="39" hidden="1">#REF!</definedName>
    <definedName name="IQRWACCCapIQBV10" localSheetId="64" hidden="1">#REF!</definedName>
    <definedName name="IQRWACCCapIQBV10" localSheetId="63" hidden="1">#REF!</definedName>
    <definedName name="IQRWACCCapIQBV10" localSheetId="31" hidden="1">#REF!</definedName>
    <definedName name="IQRWACCCapIQBV10" localSheetId="104" hidden="1">#REF!</definedName>
    <definedName name="IQRWACCCapIQBV10" localSheetId="96" hidden="1">#REF!</definedName>
    <definedName name="IQRWACCCapIQBV10" localSheetId="90" hidden="1">#REF!</definedName>
    <definedName name="IQRWACCCapIQBV10" localSheetId="19" hidden="1">#REF!</definedName>
    <definedName name="IQRWACCCapIQBV10" localSheetId="57" hidden="1">#REF!</definedName>
    <definedName name="IQRWACCCapIQBV10" hidden="1">#REF!</definedName>
    <definedName name="IQRWACCCapIQCD10" localSheetId="106" hidden="1">#REF!</definedName>
    <definedName name="IQRWACCCapIQCD10" localSheetId="95" hidden="1">#REF!</definedName>
    <definedName name="IQRWACCCapIQCD10" localSheetId="94" hidden="1">#REF!</definedName>
    <definedName name="IQRWACCCapIQCD10" localSheetId="33" hidden="1">#REF!</definedName>
    <definedName name="IQRWACCCapIQCD10" localSheetId="34" hidden="1">#REF!</definedName>
    <definedName name="IQRWACCCapIQCD10" localSheetId="35" hidden="1">#REF!</definedName>
    <definedName name="IQRWACCCapIQCD10" localSheetId="102" hidden="1">#REF!</definedName>
    <definedName name="IQRWACCCapIQCD10" localSheetId="4" hidden="1">#REF!</definedName>
    <definedName name="IQRWACCCapIQCD10" localSheetId="59" hidden="1">#REF!</definedName>
    <definedName name="IQRWACCCapIQCD10" localSheetId="93" hidden="1">#REF!</definedName>
    <definedName name="IQRWACCCapIQCD10" localSheetId="47" hidden="1">#REF!</definedName>
    <definedName name="IQRWACCCapIQCD10" localSheetId="101" hidden="1">#REF!</definedName>
    <definedName name="IQRWACCCapIQCD10" localSheetId="41" hidden="1">#REF!</definedName>
    <definedName name="IQRWACCCapIQCD10" localSheetId="46" hidden="1">#REF!</definedName>
    <definedName name="IQRWACCCapIQCD10" localSheetId="60" hidden="1">#REF!</definedName>
    <definedName name="IQRWACCCapIQCD10" localSheetId="39" hidden="1">#REF!</definedName>
    <definedName name="IQRWACCCapIQCD10" localSheetId="63" hidden="1">#REF!</definedName>
    <definedName name="IQRWACCCapIQCD10" localSheetId="31" hidden="1">#REF!</definedName>
    <definedName name="IQRWACCCapIQCD10" localSheetId="104" hidden="1">#REF!</definedName>
    <definedName name="IQRWACCCapIQCD10" localSheetId="96" hidden="1">#REF!</definedName>
    <definedName name="IQRWACCCapIQCD10" localSheetId="90" hidden="1">#REF!</definedName>
    <definedName name="IQRWACCCapIQCD10" localSheetId="19" hidden="1">#REF!</definedName>
    <definedName name="IQRWACCCapIQCD10" localSheetId="57" hidden="1">#REF!</definedName>
    <definedName name="IQRWACCCapIQCD10" hidden="1">#REF!</definedName>
    <definedName name="IQRY22" hidden="1">"$Y$23:$Y$42"</definedName>
    <definedName name="IRE_NET">103</definedName>
    <definedName name="IsColHidden" hidden="1">FALSE</definedName>
    <definedName name="IsLTMColHidden" hidden="1">FALSE</definedName>
    <definedName name="ITA_NET">115</definedName>
    <definedName name="j" localSheetId="47" hidden="1">{#N/A,#N/A,FALSE,"Allocation"}</definedName>
    <definedName name="j" localSheetId="54" hidden="1">{#N/A,#N/A,FALSE,"Allocation"}</definedName>
    <definedName name="j" hidden="1">{#N/A,#N/A,FALSE,"Allocation"}</definedName>
    <definedName name="JAP_NET">113</definedName>
    <definedName name="jjj" localSheetId="55" hidden="1">{#N/A,#N/A,FALSE,"Bakersfield PCs";#N/A,#N/A,FALSE,"Bremer PCs";#N/A,#N/A,FALSE,"Bakersfield Notebooks"}</definedName>
    <definedName name="jjj" localSheetId="59" hidden="1">{#N/A,#N/A,FALSE,"Bakersfield PCs";#N/A,#N/A,FALSE,"Bremer PCs";#N/A,#N/A,FALSE,"Bakersfield Notebooks"}</definedName>
    <definedName name="jjj" localSheetId="93" hidden="1">{#N/A,#N/A,FALSE,"Bakersfield PCs";#N/A,#N/A,FALSE,"Bremer PCs";#N/A,#N/A,FALSE,"Bakersfield Notebooks"}</definedName>
    <definedName name="jjj" localSheetId="12" hidden="1">{#N/A,#N/A,FALSE,"Bakersfield PCs";#N/A,#N/A,FALSE,"Bremer PCs";#N/A,#N/A,FALSE,"Bakersfield Notebooks"}</definedName>
    <definedName name="jjj" localSheetId="62" hidden="1">{#N/A,#N/A,FALSE,"Bakersfield PCs";#N/A,#N/A,FALSE,"Bremer PCs";#N/A,#N/A,FALSE,"Bakersfield Notebooks"}</definedName>
    <definedName name="jjj" localSheetId="47" hidden="1">{#N/A,#N/A,FALSE,"Bakersfield PCs";#N/A,#N/A,FALSE,"Bremer PCs";#N/A,#N/A,FALSE,"Bakersfield Notebooks"}</definedName>
    <definedName name="jjj" localSheetId="15" hidden="1">{#N/A,#N/A,FALSE,"Bakersfield PCs";#N/A,#N/A,FALSE,"Bremer PCs";#N/A,#N/A,FALSE,"Bakersfield Notebooks"}</definedName>
    <definedName name="jjj" localSheetId="101" hidden="1">{#N/A,#N/A,FALSE,"Bakersfield PCs";#N/A,#N/A,FALSE,"Bremer PCs";#N/A,#N/A,FALSE,"Bakersfield Notebooks"}</definedName>
    <definedName name="jjj" localSheetId="60" hidden="1">{#N/A,#N/A,FALSE,"Bakersfield PCs";#N/A,#N/A,FALSE,"Bremer PCs";#N/A,#N/A,FALSE,"Bakersfield Notebooks"}</definedName>
    <definedName name="jjj" localSheetId="39" hidden="1">{#N/A,#N/A,FALSE,"Bakersfield PCs";#N/A,#N/A,FALSE,"Bremer PCs";#N/A,#N/A,FALSE,"Bakersfield Notebooks"}</definedName>
    <definedName name="jjj" localSheetId="58" hidden="1">{#N/A,#N/A,FALSE,"Bakersfield PCs";#N/A,#N/A,FALSE,"Bremer PCs";#N/A,#N/A,FALSE,"Bakersfield Notebooks"}</definedName>
    <definedName name="jjj" localSheetId="64" hidden="1">{#N/A,#N/A,FALSE,"Bakersfield PCs";#N/A,#N/A,FALSE,"Bremer PCs";#N/A,#N/A,FALSE,"Bakersfield Notebooks"}</definedName>
    <definedName name="jjj" localSheetId="54" hidden="1">{#N/A,#N/A,FALSE,"Bakersfield PCs";#N/A,#N/A,FALSE,"Bremer PCs";#N/A,#N/A,FALSE,"Bakersfield Notebooks"}</definedName>
    <definedName name="jjj" localSheetId="13" hidden="1">{#N/A,#N/A,FALSE,"Bakersfield PCs";#N/A,#N/A,FALSE,"Bremer PCs";#N/A,#N/A,FALSE,"Bakersfield Notebooks"}</definedName>
    <definedName name="jjj" localSheetId="63" hidden="1">{#N/A,#N/A,FALSE,"Bakersfield PCs";#N/A,#N/A,FALSE,"Bremer PCs";#N/A,#N/A,FALSE,"Bakersfield Notebooks"}</definedName>
    <definedName name="jjj" localSheetId="31" hidden="1">{#N/A,#N/A,FALSE,"Bakersfield PCs";#N/A,#N/A,FALSE,"Bremer PCs";#N/A,#N/A,FALSE,"Bakersfield Notebooks"}</definedName>
    <definedName name="jjj" localSheetId="61" hidden="1">{#N/A,#N/A,FALSE,"Bakersfield PCs";#N/A,#N/A,FALSE,"Bremer PCs";#N/A,#N/A,FALSE,"Bakersfield Notebooks"}</definedName>
    <definedName name="jjj" localSheetId="45" hidden="1">{#N/A,#N/A,FALSE,"Bakersfield PCs";#N/A,#N/A,FALSE,"Bremer PCs";#N/A,#N/A,FALSE,"Bakersfield Notebooks"}</definedName>
    <definedName name="jjj" localSheetId="90" hidden="1">{#N/A,#N/A,FALSE,"Bakersfield PCs";#N/A,#N/A,FALSE,"Bremer PCs";#N/A,#N/A,FALSE,"Bakersfield Notebooks"}</definedName>
    <definedName name="jjj" localSheetId="19" hidden="1">{#N/A,#N/A,FALSE,"Bakersfield PCs";#N/A,#N/A,FALSE,"Bremer PCs";#N/A,#N/A,FALSE,"Bakersfield Notebooks"}</definedName>
    <definedName name="jjj" localSheetId="57" hidden="1">{#N/A,#N/A,FALSE,"Bakersfield PCs";#N/A,#N/A,FALSE,"Bremer PCs";#N/A,#N/A,FALSE,"Bakersfield Notebooks"}</definedName>
    <definedName name="jjj" hidden="1">{#N/A,#N/A,FALSE,"Bakersfield PCs";#N/A,#N/A,FALSE,"Bremer PCs";#N/A,#N/A,FALSE,"Bakersfield Notebooks"}</definedName>
    <definedName name="jlklkjlk" localSheetId="55" hidden="1">{#N/A,#N/A,FALSE,"Bakersfield PCs";#N/A,#N/A,FALSE,"Bremer PCs";#N/A,#N/A,FALSE,"Bakersfield Notebooks"}</definedName>
    <definedName name="jlklkjlk" localSheetId="59" hidden="1">{#N/A,#N/A,FALSE,"Bakersfield PCs";#N/A,#N/A,FALSE,"Bremer PCs";#N/A,#N/A,FALSE,"Bakersfield Notebooks"}</definedName>
    <definedName name="jlklkjlk" localSheetId="93" hidden="1">{#N/A,#N/A,FALSE,"Bakersfield PCs";#N/A,#N/A,FALSE,"Bremer PCs";#N/A,#N/A,FALSE,"Bakersfield Notebooks"}</definedName>
    <definedName name="jlklkjlk" localSheetId="12" hidden="1">{#N/A,#N/A,FALSE,"Bakersfield PCs";#N/A,#N/A,FALSE,"Bremer PCs";#N/A,#N/A,FALSE,"Bakersfield Notebooks"}</definedName>
    <definedName name="jlklkjlk" localSheetId="62" hidden="1">{#N/A,#N/A,FALSE,"Bakersfield PCs";#N/A,#N/A,FALSE,"Bremer PCs";#N/A,#N/A,FALSE,"Bakersfield Notebooks"}</definedName>
    <definedName name="jlklkjlk" localSheetId="47" hidden="1">{#N/A,#N/A,FALSE,"Bakersfield PCs";#N/A,#N/A,FALSE,"Bremer PCs";#N/A,#N/A,FALSE,"Bakersfield Notebooks"}</definedName>
    <definedName name="jlklkjlk" localSheetId="15" hidden="1">{#N/A,#N/A,FALSE,"Bakersfield PCs";#N/A,#N/A,FALSE,"Bremer PCs";#N/A,#N/A,FALSE,"Bakersfield Notebooks"}</definedName>
    <definedName name="jlklkjlk" localSheetId="101" hidden="1">{#N/A,#N/A,FALSE,"Bakersfield PCs";#N/A,#N/A,FALSE,"Bremer PCs";#N/A,#N/A,FALSE,"Bakersfield Notebooks"}</definedName>
    <definedName name="jlklkjlk" localSheetId="60" hidden="1">{#N/A,#N/A,FALSE,"Bakersfield PCs";#N/A,#N/A,FALSE,"Bremer PCs";#N/A,#N/A,FALSE,"Bakersfield Notebooks"}</definedName>
    <definedName name="jlklkjlk" localSheetId="39" hidden="1">{#N/A,#N/A,FALSE,"Bakersfield PCs";#N/A,#N/A,FALSE,"Bremer PCs";#N/A,#N/A,FALSE,"Bakersfield Notebooks"}</definedName>
    <definedName name="jlklkjlk" localSheetId="58" hidden="1">{#N/A,#N/A,FALSE,"Bakersfield PCs";#N/A,#N/A,FALSE,"Bremer PCs";#N/A,#N/A,FALSE,"Bakersfield Notebooks"}</definedName>
    <definedName name="jlklkjlk" localSheetId="64" hidden="1">{#N/A,#N/A,FALSE,"Bakersfield PCs";#N/A,#N/A,FALSE,"Bremer PCs";#N/A,#N/A,FALSE,"Bakersfield Notebooks"}</definedName>
    <definedName name="jlklkjlk" localSheetId="54" hidden="1">{#N/A,#N/A,FALSE,"Bakersfield PCs";#N/A,#N/A,FALSE,"Bremer PCs";#N/A,#N/A,FALSE,"Bakersfield Notebooks"}</definedName>
    <definedName name="jlklkjlk" localSheetId="13" hidden="1">{#N/A,#N/A,FALSE,"Bakersfield PCs";#N/A,#N/A,FALSE,"Bremer PCs";#N/A,#N/A,FALSE,"Bakersfield Notebooks"}</definedName>
    <definedName name="jlklkjlk" localSheetId="63" hidden="1">{#N/A,#N/A,FALSE,"Bakersfield PCs";#N/A,#N/A,FALSE,"Bremer PCs";#N/A,#N/A,FALSE,"Bakersfield Notebooks"}</definedName>
    <definedName name="jlklkjlk" localSheetId="31" hidden="1">{#N/A,#N/A,FALSE,"Bakersfield PCs";#N/A,#N/A,FALSE,"Bremer PCs";#N/A,#N/A,FALSE,"Bakersfield Notebooks"}</definedName>
    <definedName name="jlklkjlk" localSheetId="61" hidden="1">{#N/A,#N/A,FALSE,"Bakersfield PCs";#N/A,#N/A,FALSE,"Bremer PCs";#N/A,#N/A,FALSE,"Bakersfield Notebooks"}</definedName>
    <definedName name="jlklkjlk" localSheetId="45" hidden="1">{#N/A,#N/A,FALSE,"Bakersfield PCs";#N/A,#N/A,FALSE,"Bremer PCs";#N/A,#N/A,FALSE,"Bakersfield Notebooks"}</definedName>
    <definedName name="jlklkjlk" localSheetId="90" hidden="1">{#N/A,#N/A,FALSE,"Bakersfield PCs";#N/A,#N/A,FALSE,"Bremer PCs";#N/A,#N/A,FALSE,"Bakersfield Notebooks"}</definedName>
    <definedName name="jlklkjlk" localSheetId="19" hidden="1">{#N/A,#N/A,FALSE,"Bakersfield PCs";#N/A,#N/A,FALSE,"Bremer PCs";#N/A,#N/A,FALSE,"Bakersfield Notebooks"}</definedName>
    <definedName name="jlklkjlk" localSheetId="57" hidden="1">{#N/A,#N/A,FALSE,"Bakersfield PCs";#N/A,#N/A,FALSE,"Bremer PCs";#N/A,#N/A,FALSE,"Bakersfield Notebooks"}</definedName>
    <definedName name="jlklkjlk" hidden="1">{#N/A,#N/A,FALSE,"Bakersfield PCs";#N/A,#N/A,FALSE,"Bremer PCs";#N/A,#N/A,FALSE,"Bakersfield Notebooks"}</definedName>
    <definedName name="k" localSheetId="55" hidden="1">#REF!</definedName>
    <definedName name="k" localSheetId="59" hidden="1">#REF!</definedName>
    <definedName name="k" localSheetId="47" hidden="1">#REF!</definedName>
    <definedName name="k" localSheetId="46" hidden="1">#REF!</definedName>
    <definedName name="k" localSheetId="60" hidden="1">#REF!</definedName>
    <definedName name="k" localSheetId="64" hidden="1">#REF!</definedName>
    <definedName name="k" localSheetId="63" hidden="1">#REF!</definedName>
    <definedName name="k" localSheetId="57" hidden="1">#REF!</definedName>
    <definedName name="k" hidden="1">#REF!</definedName>
    <definedName name="K2_WBEVMODE" hidden="1">-1</definedName>
    <definedName name="kin" localSheetId="106" hidden="1">#REF!</definedName>
    <definedName name="kin" localSheetId="95" hidden="1">#REF!</definedName>
    <definedName name="kin" localSheetId="94" hidden="1">#REF!</definedName>
    <definedName name="kin" localSheetId="33" hidden="1">#REF!</definedName>
    <definedName name="kin" localSheetId="34" hidden="1">#REF!</definedName>
    <definedName name="kin" localSheetId="35" hidden="1">#REF!</definedName>
    <definedName name="kin" localSheetId="102" hidden="1">#REF!</definedName>
    <definedName name="kin" localSheetId="4" hidden="1">#REF!</definedName>
    <definedName name="kin" localSheetId="55" hidden="1">#REF!</definedName>
    <definedName name="kin" localSheetId="59" hidden="1">#REF!</definedName>
    <definedName name="kin" localSheetId="93" hidden="1">#REF!</definedName>
    <definedName name="kin" localSheetId="62" hidden="1">#REF!</definedName>
    <definedName name="kin" localSheetId="47" hidden="1">#REF!</definedName>
    <definedName name="kin" localSheetId="101" hidden="1">#REF!</definedName>
    <definedName name="kin" localSheetId="40" hidden="1">#REF!</definedName>
    <definedName name="kin" localSheetId="41" hidden="1">#REF!</definedName>
    <definedName name="kin" localSheetId="46" hidden="1">#REF!</definedName>
    <definedName name="kin" localSheetId="60" hidden="1">#REF!</definedName>
    <definedName name="kin" localSheetId="39" hidden="1">#REF!</definedName>
    <definedName name="kin" localSheetId="58" hidden="1">#REF!</definedName>
    <definedName name="kin" localSheetId="44" hidden="1">#REF!</definedName>
    <definedName name="kin" localSheetId="64" hidden="1">#REF!</definedName>
    <definedName name="kin" localSheetId="63" hidden="1">#REF!</definedName>
    <definedName name="kin" localSheetId="31" hidden="1">#REF!</definedName>
    <definedName name="kin" localSheetId="104" hidden="1">#REF!</definedName>
    <definedName name="kin" localSheetId="96" hidden="1">#REF!</definedName>
    <definedName name="kin" localSheetId="90" hidden="1">#REF!</definedName>
    <definedName name="kin" localSheetId="19" hidden="1">#REF!</definedName>
    <definedName name="kin" localSheetId="57" hidden="1">#REF!</definedName>
    <definedName name="kin" hidden="1">#REF!</definedName>
    <definedName name="kl" localSheetId="45">IF('Val Summ (2)'!Values_Entered,[0]!Header_Row+'Val Summ (2)'!Number_of_Payments,[0]!Header_Row)</definedName>
    <definedName name="kl" localSheetId="57">IF('YTW Large Pharma'!Values_Entered,[0]!Header_Row+'YTW Large Pharma'!Number_of_Payments,[0]!Header_Row)</definedName>
    <definedName name="Knowcraft">'[24]List Data'!$D$5:$D$14</definedName>
    <definedName name="KOR_NET">121</definedName>
    <definedName name="l" localSheetId="47">{0.1;0;0.382758620689655;0;0;0;0.258620689655172;0;0.258620689655172}</definedName>
    <definedName name="l" localSheetId="57">{0.1;0;0.382758620689655;0;0;0;0.258620689655172;0;0.258620689655172}</definedName>
    <definedName name="l">{0.1;0;0.382758620689655;0;0;0;0.258620689655172;0;0.258620689655172}</definedName>
    <definedName name="L_\LIBRARY\LONG\FMC\Aug98\_fbpd_model1.xls_5_Year_DCF__07_28_98__10_03_AM">"DCF2"</definedName>
    <definedName name="L_\LIBRARY\LONG\FMC\Aug98\_fbpd_model1.xls_Combined__PF_BS__07_28_98__10_01_AM">"DCF1"</definedName>
    <definedName name="Language">"English"</definedName>
    <definedName name="Last_Row" localSheetId="45">IF('Val Summ (2)'!Values_Entered,[0]!Header_Row+'Val Summ (2)'!Number_of_Payments,[0]!Header_Row)</definedName>
    <definedName name="Last_Row" localSheetId="57">IF('YTW Large Pharma'!Values_Entered,[0]!Header_Row+'YTW Large Pharma'!Number_of_Payments,[0]!Header_Row)</definedName>
    <definedName name="Layoff" localSheetId="59">IF('Diabetes_WW Summary'!Values_Entered,'Diabetes_WW Summary'!Header_Row+'Diabetes_WW Summary'!Number_of_Payments,'Diabetes_WW Summary'!Header_Row)</definedName>
    <definedName name="Layoff" localSheetId="47">IF('Fixed Research Payments'!Values_Entered,'Fixed Research Payments'!Header_Row+'Fixed Research Payments'!Number_of_Payments,'Fixed Research Payments'!Header_Row)</definedName>
    <definedName name="Layoff" localSheetId="46">IF('Milestone Calcs'!Values_Entered,'Milestone Calcs'!Header_Row+'Milestone Calcs'!Number_of_Payments,'Milestone Calcs'!Header_Row)</definedName>
    <definedName name="Layoff" localSheetId="60">IF('NASH_WW Summary'!Values_Entered,'NASH_WW Summary'!Header_Row+'NASH_WW Summary'!Number_of_Payments,'NASH_WW Summary'!Header_Row)</definedName>
    <definedName name="Layoff" localSheetId="63">IF(Values_Entered,'PoTS _rNPV'!Header_Row+Number_of_Payments,'PoTS _rNPV'!Header_Row)</definedName>
    <definedName name="Layoff">IF(Values_Entered,Header_Row+Number_of_Payments,Header_Row)</definedName>
    <definedName name="Ledger_Code" hidden="1">" "</definedName>
    <definedName name="Ledger_Selection" hidden="1">" "</definedName>
    <definedName name="LicenseCOS">0.01</definedName>
    <definedName name="limcount" hidden="1">2</definedName>
    <definedName name="lin" localSheetId="106" hidden="1">#REF!</definedName>
    <definedName name="lin" localSheetId="95" hidden="1">#REF!</definedName>
    <definedName name="lin" localSheetId="94" hidden="1">#REF!</definedName>
    <definedName name="lin" localSheetId="33" hidden="1">#REF!</definedName>
    <definedName name="lin" localSheetId="34" hidden="1">#REF!</definedName>
    <definedName name="lin" localSheetId="35" hidden="1">#REF!</definedName>
    <definedName name="lin" localSheetId="102" hidden="1">#REF!</definedName>
    <definedName name="lin" localSheetId="4" hidden="1">#REF!</definedName>
    <definedName name="lin" localSheetId="55" hidden="1">#REF!</definedName>
    <definedName name="lin" localSheetId="59" hidden="1">#REF!</definedName>
    <definedName name="lin" localSheetId="93" hidden="1">#REF!</definedName>
    <definedName name="lin" localSheetId="62" hidden="1">#REF!</definedName>
    <definedName name="lin" localSheetId="47" hidden="1">#REF!</definedName>
    <definedName name="lin" localSheetId="101" hidden="1">#REF!</definedName>
    <definedName name="lin" localSheetId="40" hidden="1">#REF!</definedName>
    <definedName name="lin" localSheetId="41" hidden="1">#REF!</definedName>
    <definedName name="lin" localSheetId="46" hidden="1">#REF!</definedName>
    <definedName name="lin" localSheetId="60" hidden="1">#REF!</definedName>
    <definedName name="lin" localSheetId="39" hidden="1">#REF!</definedName>
    <definedName name="lin" localSheetId="58" hidden="1">#REF!</definedName>
    <definedName name="lin" localSheetId="44" hidden="1">#REF!</definedName>
    <definedName name="lin" localSheetId="64" hidden="1">#REF!</definedName>
    <definedName name="lin" localSheetId="63" hidden="1">#REF!</definedName>
    <definedName name="lin" localSheetId="31" hidden="1">#REF!</definedName>
    <definedName name="lin" localSheetId="104" hidden="1">#REF!</definedName>
    <definedName name="lin" localSheetId="96" hidden="1">#REF!</definedName>
    <definedName name="lin" localSheetId="61" hidden="1">#REF!</definedName>
    <definedName name="lin" localSheetId="90" hidden="1">#REF!</definedName>
    <definedName name="lin" localSheetId="19" hidden="1">#REF!</definedName>
    <definedName name="lin" localSheetId="57" hidden="1">#REF!</definedName>
    <definedName name="lin" hidden="1">#REF!</definedName>
    <definedName name="ListOffset" hidden="1">1</definedName>
    <definedName name="LoanIsNotPaid" localSheetId="106">IF('Asset Vol_DLOM'!PaymentNumber&lt;=NumberOfPayments,1,0)</definedName>
    <definedName name="LoanIsNotPaid" localSheetId="95">IF('Asset Vol_DLOM_Implied Series B'!PaymentNumber&lt;=NumberOfPayments,1,0)</definedName>
    <definedName name="LoanIsNotPaid" localSheetId="94">IF('Asset Vol_Implied Series B'!PaymentNumber&lt;=NumberOfPayments,1,0)</definedName>
    <definedName name="LoanIsNotPaid" localSheetId="102">IF('Asset Vol_OPM_OIP'!PaymentNumber&lt;=NumberOfPayments,1,0)</definedName>
    <definedName name="LoanIsNotPaid" localSheetId="59">IF('Diabetes_WW Summary'!PaymentNumber&lt;=NumberOfPayments,1,0)</definedName>
    <definedName name="LoanIsNotPaid" localSheetId="93">IF('DLOM_Implied Series B'!PaymentNumber&lt;=NumberOfPayments,1,0)</definedName>
    <definedName name="LoanIsNotPaid" localSheetId="12">IF('Exit Probability'!PaymentNumber&lt;=NumberOfPayments,1,0)</definedName>
    <definedName name="LoanIsNotPaid" localSheetId="47">IF('Fixed Research Payments'!PaymentNumber&lt;=NumberOfPayments,1,0)</definedName>
    <definedName name="LoanIsNotPaid" localSheetId="101">IF('Full DLOM_OPM'!PaymentNumber&lt;=NumberOfPayments,1,0)</definedName>
    <definedName name="LoanIsNotPaid" localSheetId="41">IF('IPO Data_Comparables'!PaymentNumber&lt;=NumberOfPayments,1,0)</definedName>
    <definedName name="LoanIsNotPaid" localSheetId="46">IF('Milestone Calcs'!PaymentNumber&lt;=NumberOfPayments,1,0)</definedName>
    <definedName name="LoanIsNotPaid" localSheetId="60">IF('NASH_WW Summary'!PaymentNumber&lt;=NumberOfPayments,1,0)</definedName>
    <definedName name="LoanIsNotPaid" localSheetId="39">IF('Non-Diversification Risk'!PaymentNumber&lt;=NumberOfPayments,1,0)</definedName>
    <definedName name="LoanIsNotPaid" localSheetId="13">IF(PoTS!PaymentNumber&lt;=NumberOfPayments,1,0)</definedName>
    <definedName name="LoanIsNotPaid" localSheetId="63">IF('PoTS _rNPV'!PaymentNumber&lt;=NumberOfPayments,1,0)</definedName>
    <definedName name="LoanIsNotPaid" localSheetId="31">IF('PWERM DLOM'!PaymentNumber&lt;=NumberOfPayments,1,0)</definedName>
    <definedName name="LoanIsNotPaid" localSheetId="104">IF('PWERM Waterfall n Allocation_B'!PaymentNumber&lt;=NumberOfPayments,1,0)</definedName>
    <definedName name="LoanIsNotPaid" localSheetId="96">IF('Risk-Free Rates_OPM'!PaymentNumber&lt;=NumberOfPayments,1,0)</definedName>
    <definedName name="LoanIsNotPaid" localSheetId="90">IF('Val Summ_WPS'!PaymentNumber&lt;=NumberOfPayments,1,0)</definedName>
    <definedName name="LoanIsNotPaid" localSheetId="19">IF('WACC PWERM'!PaymentNumber&lt;=NumberOfPayments,1,0)</definedName>
    <definedName name="LoanIsNotPaid">IF(PaymentNumber&lt;=NumberOfPayments,1,0)</definedName>
    <definedName name="LOC">20000000</definedName>
    <definedName name="MA" localSheetId="106" hidden="1">#REF!</definedName>
    <definedName name="MA" localSheetId="95" hidden="1">#REF!</definedName>
    <definedName name="MA" localSheetId="94" hidden="1">#REF!</definedName>
    <definedName name="MA" localSheetId="102" hidden="1">#REF!</definedName>
    <definedName name="MA" localSheetId="59" hidden="1">#REF!</definedName>
    <definedName name="MA" localSheetId="47" hidden="1">#REF!</definedName>
    <definedName name="MA" localSheetId="41" hidden="1">#REF!</definedName>
    <definedName name="MA" localSheetId="46" hidden="1">#REF!</definedName>
    <definedName name="MA" localSheetId="60" hidden="1">#REF!</definedName>
    <definedName name="MA" localSheetId="39" hidden="1">#REF!</definedName>
    <definedName name="MA" localSheetId="63" hidden="1">#REF!</definedName>
    <definedName name="MA" localSheetId="31" hidden="1">#REF!</definedName>
    <definedName name="MA" localSheetId="104" hidden="1">#REF!</definedName>
    <definedName name="MA" localSheetId="96" hidden="1">#REF!</definedName>
    <definedName name="MA" localSheetId="19" hidden="1">#REF!</definedName>
    <definedName name="MA" hidden="1">#REF!</definedName>
    <definedName name="Maintenance">0.15</definedName>
    <definedName name="MakeDate">35653.7651731481</definedName>
    <definedName name="MaterialThreshold">0.1</definedName>
    <definedName name="MaterialThreshold2">0.5</definedName>
    <definedName name="mb_inputLocation" localSheetId="106" hidden="1">#REF!</definedName>
    <definedName name="mb_inputLocation" localSheetId="95" hidden="1">#REF!</definedName>
    <definedName name="mb_inputLocation" localSheetId="94" hidden="1">#REF!</definedName>
    <definedName name="mb_inputLocation" localSheetId="33" hidden="1">#REF!</definedName>
    <definedName name="mb_inputLocation" localSheetId="34" hidden="1">#REF!</definedName>
    <definedName name="mb_inputLocation" localSheetId="35" hidden="1">#REF!</definedName>
    <definedName name="mb_inputLocation" localSheetId="102" hidden="1">#REF!</definedName>
    <definedName name="mb_inputLocation" localSheetId="4" hidden="1">#REF!</definedName>
    <definedName name="mb_inputLocation" localSheetId="55" hidden="1">#REF!</definedName>
    <definedName name="mb_inputLocation" localSheetId="59" hidden="1">#REF!</definedName>
    <definedName name="mb_inputLocation" localSheetId="93" hidden="1">#REF!</definedName>
    <definedName name="mb_inputLocation" localSheetId="62" hidden="1">#REF!</definedName>
    <definedName name="mb_inputLocation" localSheetId="47" hidden="1">#REF!</definedName>
    <definedName name="mb_inputLocation" localSheetId="101" hidden="1">#REF!</definedName>
    <definedName name="mb_inputLocation" localSheetId="40" hidden="1">#REF!</definedName>
    <definedName name="mb_inputLocation" localSheetId="41" hidden="1">#REF!</definedName>
    <definedName name="mb_inputLocation" localSheetId="46" hidden="1">#REF!</definedName>
    <definedName name="mb_inputLocation" localSheetId="60" hidden="1">#REF!</definedName>
    <definedName name="mb_inputLocation" localSheetId="39" hidden="1">#REF!</definedName>
    <definedName name="mb_inputLocation" localSheetId="58" hidden="1">#REF!</definedName>
    <definedName name="mb_inputLocation" localSheetId="44" hidden="1">#REF!</definedName>
    <definedName name="mb_inputLocation" localSheetId="64" hidden="1">#REF!</definedName>
    <definedName name="mb_inputLocation" localSheetId="63" hidden="1">#REF!</definedName>
    <definedName name="mb_inputLocation" localSheetId="31" hidden="1">#REF!</definedName>
    <definedName name="mb_inputLocation" localSheetId="104" hidden="1">#REF!</definedName>
    <definedName name="mb_inputLocation" localSheetId="96" hidden="1">#REF!</definedName>
    <definedName name="mb_inputLocation" localSheetId="61" hidden="1">#REF!</definedName>
    <definedName name="mb_inputLocation" localSheetId="90" hidden="1">#REF!</definedName>
    <definedName name="mb_inputLocation" localSheetId="19" hidden="1">#REF!</definedName>
    <definedName name="mb_inputLocation" localSheetId="57" hidden="1">#REF!</definedName>
    <definedName name="mb_inputLocation" hidden="1">#REF!</definedName>
    <definedName name="mcs03g.ReqArray" localSheetId="47">{"Price","MEGT","LC125","N","0","0","H"}</definedName>
    <definedName name="mcs03g.ReqArray" localSheetId="57">{"Price","MEGT","LC125","N","0","0","H"}</definedName>
    <definedName name="mcs03g.ReqArray">{"Price","MEGT","LC125","N","0","0","H"}</definedName>
    <definedName name="medmult" localSheetId="106" hidden="1">#REF!</definedName>
    <definedName name="medmult" localSheetId="95" hidden="1">#REF!</definedName>
    <definedName name="medmult" localSheetId="94" hidden="1">#REF!</definedName>
    <definedName name="medmult" localSheetId="33" hidden="1">#REF!</definedName>
    <definedName name="medmult" localSheetId="34" hidden="1">#REF!</definedName>
    <definedName name="medmult" localSheetId="35" hidden="1">#REF!</definedName>
    <definedName name="medmult" localSheetId="102" hidden="1">#REF!</definedName>
    <definedName name="medmult" localSheetId="4" hidden="1">#REF!</definedName>
    <definedName name="medmult" localSheetId="55" hidden="1">#REF!</definedName>
    <definedName name="medmult" localSheetId="59" hidden="1">#REF!</definedName>
    <definedName name="medmult" localSheetId="93" hidden="1">#REF!</definedName>
    <definedName name="medmult" localSheetId="62" hidden="1">#REF!</definedName>
    <definedName name="medmult" localSheetId="47" hidden="1">#REF!</definedName>
    <definedName name="medmult" localSheetId="101" hidden="1">#REF!</definedName>
    <definedName name="medmult" localSheetId="40" hidden="1">#REF!</definedName>
    <definedName name="medmult" localSheetId="41" hidden="1">#REF!</definedName>
    <definedName name="medmult" localSheetId="46" hidden="1">#REF!</definedName>
    <definedName name="medmult" localSheetId="60" hidden="1">#REF!</definedName>
    <definedName name="medmult" localSheetId="39" hidden="1">#REF!</definedName>
    <definedName name="medmult" localSheetId="58" hidden="1">#REF!</definedName>
    <definedName name="medmult" localSheetId="44" hidden="1">#REF!</definedName>
    <definedName name="medmult" localSheetId="64" hidden="1">#REF!</definedName>
    <definedName name="medmult" localSheetId="63" hidden="1">#REF!</definedName>
    <definedName name="medmult" localSheetId="31" hidden="1">#REF!</definedName>
    <definedName name="medmult" localSheetId="104" hidden="1">#REF!</definedName>
    <definedName name="medmult" localSheetId="96" hidden="1">#REF!</definedName>
    <definedName name="medmult" localSheetId="61" hidden="1">#REF!</definedName>
    <definedName name="medmult" localSheetId="90" hidden="1">#REF!</definedName>
    <definedName name="medmult" localSheetId="19" hidden="1">#REF!</definedName>
    <definedName name="medmult" localSheetId="57" hidden="1">#REF!</definedName>
    <definedName name="medmult" hidden="1">#REF!</definedName>
    <definedName name="mingming" localSheetId="47" hidden="1">{"UM Visits",#N/A,FALSE,"Unmanaged";"UM Dollars per Hour",#N/A,FALSE,"Unmanaged";"UM Hours per Visit",#N/A,FALSE,"Unmanaged";"UM Dollars per Visit",#N/A,FALSE,"Unmanaged";"UM Total Visits",#N/A,FALSE,"Unmanaged";"UM PMPM",#N/A,FALSE,"Unmanaged"}</definedName>
    <definedName name="mingming" localSheetId="54" hidden="1">{"UM Visits",#N/A,FALSE,"Unmanaged";"UM Dollars per Hour",#N/A,FALSE,"Unmanaged";"UM Hours per Visit",#N/A,FALSE,"Unmanaged";"UM Dollars per Visit",#N/A,FALSE,"Unmanaged";"UM Total Visits",#N/A,FALSE,"Unmanaged";"UM PMPM",#N/A,FALSE,"Unmanaged"}</definedName>
    <definedName name="mingming" hidden="1">{"UM Visits",#N/A,FALSE,"Unmanaged";"UM Dollars per Hour",#N/A,FALSE,"Unmanaged";"UM Hours per Visit",#N/A,FALSE,"Unmanaged";"UM Dollars per Visit",#N/A,FALSE,"Unmanaged";"UM Total Visits",#N/A,FALSE,"Unmanaged";"UM PMPM",#N/A,FALSE,"Unmanaged"}</definedName>
    <definedName name="model" localSheetId="47" hidden="1">{#N/A,#N/A,FALSE,"Model"}</definedName>
    <definedName name="model" localSheetId="54" hidden="1">{#N/A,#N/A,FALSE,"Model"}</definedName>
    <definedName name="model" hidden="1">{#N/A,#N/A,FALSE,"Model"}</definedName>
    <definedName name="MonitorRow">1</definedName>
    <definedName name="Month_ID" hidden="1">" "</definedName>
    <definedName name="Name">'[8]Acct Recon'!$A$2</definedName>
    <definedName name="New" localSheetId="55" hidden="1">{#N/A,#N/A,FALSE,"Title Page";#N/A,#N/A,FALSE,"Conclusions";#N/A,#N/A,FALSE,"Assum.";#N/A,#N/A,FALSE,"Sun  DCF-WC-Dep";#N/A,#N/A,FALSE,"MarketValue";#N/A,#N/A,FALSE,"BalSheet";#N/A,#N/A,FALSE,"WACC";#N/A,#N/A,FALSE,"PC+ Info.";#N/A,#N/A,FALSE,"PC+Info_2"}</definedName>
    <definedName name="New" localSheetId="59" hidden="1">{#N/A,#N/A,FALSE,"Title Page";#N/A,#N/A,FALSE,"Conclusions";#N/A,#N/A,FALSE,"Assum.";#N/A,#N/A,FALSE,"Sun  DCF-WC-Dep";#N/A,#N/A,FALSE,"MarketValue";#N/A,#N/A,FALSE,"BalSheet";#N/A,#N/A,FALSE,"WACC";#N/A,#N/A,FALSE,"PC+ Info.";#N/A,#N/A,FALSE,"PC+Info_2"}</definedName>
    <definedName name="New" localSheetId="93" hidden="1">{#N/A,#N/A,FALSE,"Title Page";#N/A,#N/A,FALSE,"Conclusions";#N/A,#N/A,FALSE,"Assum.";#N/A,#N/A,FALSE,"Sun  DCF-WC-Dep";#N/A,#N/A,FALSE,"MarketValue";#N/A,#N/A,FALSE,"BalSheet";#N/A,#N/A,FALSE,"WACC";#N/A,#N/A,FALSE,"PC+ Info.";#N/A,#N/A,FALSE,"PC+Info_2"}</definedName>
    <definedName name="New" localSheetId="12" hidden="1">{#N/A,#N/A,FALSE,"Title Page";#N/A,#N/A,FALSE,"Conclusions";#N/A,#N/A,FALSE,"Assum.";#N/A,#N/A,FALSE,"Sun  DCF-WC-Dep";#N/A,#N/A,FALSE,"MarketValue";#N/A,#N/A,FALSE,"BalSheet";#N/A,#N/A,FALSE,"WACC";#N/A,#N/A,FALSE,"PC+ Info.";#N/A,#N/A,FALSE,"PC+Info_2"}</definedName>
    <definedName name="New" localSheetId="62" hidden="1">{#N/A,#N/A,FALSE,"Title Page";#N/A,#N/A,FALSE,"Conclusions";#N/A,#N/A,FALSE,"Assum.";#N/A,#N/A,FALSE,"Sun  DCF-WC-Dep";#N/A,#N/A,FALSE,"MarketValue";#N/A,#N/A,FALSE,"BalSheet";#N/A,#N/A,FALSE,"WACC";#N/A,#N/A,FALSE,"PC+ Info.";#N/A,#N/A,FALSE,"PC+Info_2"}</definedName>
    <definedName name="New" localSheetId="47" hidden="1">{#N/A,#N/A,FALSE,"Title Page";#N/A,#N/A,FALSE,"Conclusions";#N/A,#N/A,FALSE,"Assum.";#N/A,#N/A,FALSE,"Sun  DCF-WC-Dep";#N/A,#N/A,FALSE,"MarketValue";#N/A,#N/A,FALSE,"BalSheet";#N/A,#N/A,FALSE,"WACC";#N/A,#N/A,FALSE,"PC+ Info.";#N/A,#N/A,FALSE,"PC+Info_2"}</definedName>
    <definedName name="New" localSheetId="15" hidden="1">{#N/A,#N/A,FALSE,"Title Page";#N/A,#N/A,FALSE,"Conclusions";#N/A,#N/A,FALSE,"Assum.";#N/A,#N/A,FALSE,"Sun  DCF-WC-Dep";#N/A,#N/A,FALSE,"MarketValue";#N/A,#N/A,FALSE,"BalSheet";#N/A,#N/A,FALSE,"WACC";#N/A,#N/A,FALSE,"PC+ Info.";#N/A,#N/A,FALSE,"PC+Info_2"}</definedName>
    <definedName name="New" localSheetId="101" hidden="1">{#N/A,#N/A,FALSE,"Title Page";#N/A,#N/A,FALSE,"Conclusions";#N/A,#N/A,FALSE,"Assum.";#N/A,#N/A,FALSE,"Sun  DCF-WC-Dep";#N/A,#N/A,FALSE,"MarketValue";#N/A,#N/A,FALSE,"BalSheet";#N/A,#N/A,FALSE,"WACC";#N/A,#N/A,FALSE,"PC+ Info.";#N/A,#N/A,FALSE,"PC+Info_2"}</definedName>
    <definedName name="New" localSheetId="60" hidden="1">{#N/A,#N/A,FALSE,"Title Page";#N/A,#N/A,FALSE,"Conclusions";#N/A,#N/A,FALSE,"Assum.";#N/A,#N/A,FALSE,"Sun  DCF-WC-Dep";#N/A,#N/A,FALSE,"MarketValue";#N/A,#N/A,FALSE,"BalSheet";#N/A,#N/A,FALSE,"WACC";#N/A,#N/A,FALSE,"PC+ Info.";#N/A,#N/A,FALSE,"PC+Info_2"}</definedName>
    <definedName name="New" localSheetId="39" hidden="1">{#N/A,#N/A,FALSE,"Title Page";#N/A,#N/A,FALSE,"Conclusions";#N/A,#N/A,FALSE,"Assum.";#N/A,#N/A,FALSE,"Sun  DCF-WC-Dep";#N/A,#N/A,FALSE,"MarketValue";#N/A,#N/A,FALSE,"BalSheet";#N/A,#N/A,FALSE,"WACC";#N/A,#N/A,FALSE,"PC+ Info.";#N/A,#N/A,FALSE,"PC+Info_2"}</definedName>
    <definedName name="New" localSheetId="58" hidden="1">{#N/A,#N/A,FALSE,"Title Page";#N/A,#N/A,FALSE,"Conclusions";#N/A,#N/A,FALSE,"Assum.";#N/A,#N/A,FALSE,"Sun  DCF-WC-Dep";#N/A,#N/A,FALSE,"MarketValue";#N/A,#N/A,FALSE,"BalSheet";#N/A,#N/A,FALSE,"WACC";#N/A,#N/A,FALSE,"PC+ Info.";#N/A,#N/A,FALSE,"PC+Info_2"}</definedName>
    <definedName name="New" localSheetId="64" hidden="1">{#N/A,#N/A,FALSE,"Title Page";#N/A,#N/A,FALSE,"Conclusions";#N/A,#N/A,FALSE,"Assum.";#N/A,#N/A,FALSE,"Sun  DCF-WC-Dep";#N/A,#N/A,FALSE,"MarketValue";#N/A,#N/A,FALSE,"BalSheet";#N/A,#N/A,FALSE,"WACC";#N/A,#N/A,FALSE,"PC+ Info.";#N/A,#N/A,FALSE,"PC+Info_2"}</definedName>
    <definedName name="New" localSheetId="54" hidden="1">{#N/A,#N/A,FALSE,"Title Page";#N/A,#N/A,FALSE,"Conclusions";#N/A,#N/A,FALSE,"Assum.";#N/A,#N/A,FALSE,"Sun  DCF-WC-Dep";#N/A,#N/A,FALSE,"MarketValue";#N/A,#N/A,FALSE,"BalSheet";#N/A,#N/A,FALSE,"WACC";#N/A,#N/A,FALSE,"PC+ Info.";#N/A,#N/A,FALSE,"PC+Info_2"}</definedName>
    <definedName name="New" localSheetId="13" hidden="1">{#N/A,#N/A,FALSE,"Title Page";#N/A,#N/A,FALSE,"Conclusions";#N/A,#N/A,FALSE,"Assum.";#N/A,#N/A,FALSE,"Sun  DCF-WC-Dep";#N/A,#N/A,FALSE,"MarketValue";#N/A,#N/A,FALSE,"BalSheet";#N/A,#N/A,FALSE,"WACC";#N/A,#N/A,FALSE,"PC+ Info.";#N/A,#N/A,FALSE,"PC+Info_2"}</definedName>
    <definedName name="New" localSheetId="63" hidden="1">{#N/A,#N/A,FALSE,"Title Page";#N/A,#N/A,FALSE,"Conclusions";#N/A,#N/A,FALSE,"Assum.";#N/A,#N/A,FALSE,"Sun  DCF-WC-Dep";#N/A,#N/A,FALSE,"MarketValue";#N/A,#N/A,FALSE,"BalSheet";#N/A,#N/A,FALSE,"WACC";#N/A,#N/A,FALSE,"PC+ Info.";#N/A,#N/A,FALSE,"PC+Info_2"}</definedName>
    <definedName name="New" localSheetId="31" hidden="1">{#N/A,#N/A,FALSE,"Title Page";#N/A,#N/A,FALSE,"Conclusions";#N/A,#N/A,FALSE,"Assum.";#N/A,#N/A,FALSE,"Sun  DCF-WC-Dep";#N/A,#N/A,FALSE,"MarketValue";#N/A,#N/A,FALSE,"BalSheet";#N/A,#N/A,FALSE,"WACC";#N/A,#N/A,FALSE,"PC+ Info.";#N/A,#N/A,FALSE,"PC+Info_2"}</definedName>
    <definedName name="New" localSheetId="61" hidden="1">{#N/A,#N/A,FALSE,"Title Page";#N/A,#N/A,FALSE,"Conclusions";#N/A,#N/A,FALSE,"Assum.";#N/A,#N/A,FALSE,"Sun  DCF-WC-Dep";#N/A,#N/A,FALSE,"MarketValue";#N/A,#N/A,FALSE,"BalSheet";#N/A,#N/A,FALSE,"WACC";#N/A,#N/A,FALSE,"PC+ Info.";#N/A,#N/A,FALSE,"PC+Info_2"}</definedName>
    <definedName name="New" localSheetId="45" hidden="1">{#N/A,#N/A,FALSE,"Title Page";#N/A,#N/A,FALSE,"Conclusions";#N/A,#N/A,FALSE,"Assum.";#N/A,#N/A,FALSE,"Sun  DCF-WC-Dep";#N/A,#N/A,FALSE,"MarketValue";#N/A,#N/A,FALSE,"BalSheet";#N/A,#N/A,FALSE,"WACC";#N/A,#N/A,FALSE,"PC+ Info.";#N/A,#N/A,FALSE,"PC+Info_2"}</definedName>
    <definedName name="New" localSheetId="90" hidden="1">{#N/A,#N/A,FALSE,"Title Page";#N/A,#N/A,FALSE,"Conclusions";#N/A,#N/A,FALSE,"Assum.";#N/A,#N/A,FALSE,"Sun  DCF-WC-Dep";#N/A,#N/A,FALSE,"MarketValue";#N/A,#N/A,FALSE,"BalSheet";#N/A,#N/A,FALSE,"WACC";#N/A,#N/A,FALSE,"PC+ Info.";#N/A,#N/A,FALSE,"PC+Info_2"}</definedName>
    <definedName name="New" localSheetId="19" hidden="1">{#N/A,#N/A,FALSE,"Title Page";#N/A,#N/A,FALSE,"Conclusions";#N/A,#N/A,FALSE,"Assum.";#N/A,#N/A,FALSE,"Sun  DCF-WC-Dep";#N/A,#N/A,FALSE,"MarketValue";#N/A,#N/A,FALSE,"BalSheet";#N/A,#N/A,FALSE,"WACC";#N/A,#N/A,FALSE,"PC+ Info.";#N/A,#N/A,FALSE,"PC+Info_2"}</definedName>
    <definedName name="New" localSheetId="57" hidden="1">{#N/A,#N/A,FALSE,"Title Page";#N/A,#N/A,FALSE,"Conclusions";#N/A,#N/A,FALSE,"Assum.";#N/A,#N/A,FALSE,"Sun  DCF-WC-Dep";#N/A,#N/A,FALSE,"MarketValue";#N/A,#N/A,FALSE,"BalSheet";#N/A,#N/A,FALSE,"WACC";#N/A,#N/A,FALSE,"PC+ Info.";#N/A,#N/A,FALSE,"PC+Info_2"}</definedName>
    <definedName name="New" hidden="1">{#N/A,#N/A,FALSE,"Title Page";#N/A,#N/A,FALSE,"Conclusions";#N/A,#N/A,FALSE,"Assum.";#N/A,#N/A,FALSE,"Sun  DCF-WC-Dep";#N/A,#N/A,FALSE,"MarketValue";#N/A,#N/A,FALSE,"BalSheet";#N/A,#N/A,FALSE,"WACC";#N/A,#N/A,FALSE,"PC+ Info.";#N/A,#N/A,FALSE,"PC+Info_2"}</definedName>
    <definedName name="New_1" localSheetId="47">{1}</definedName>
    <definedName name="New_1" localSheetId="57">{1}</definedName>
    <definedName name="New_1">{1}</definedName>
    <definedName name="New_Report" localSheetId="47">{"Notes";"page1";"page2";"page3"}</definedName>
    <definedName name="New_Report" localSheetId="57">{"Notes";"page1";"page2";"page3"}</definedName>
    <definedName name="New_Report">{"Notes";"page1";"page2";"page3"}</definedName>
    <definedName name="NewHire">8500</definedName>
    <definedName name="newJSECcustomer" localSheetId="55" hidden="1">{#N/A,#N/A,FALSE,"Title Page";#N/A,#N/A,FALSE,"Conclusions";#N/A,#N/A,FALSE,"Assum.";#N/A,#N/A,FALSE,"Sun  DCF-WC-Dep";#N/A,#N/A,FALSE,"MarketValue";#N/A,#N/A,FALSE,"BalSheet";#N/A,#N/A,FALSE,"WACC";#N/A,#N/A,FALSE,"PC+ Info.";#N/A,#N/A,FALSE,"PC+Info_2"}</definedName>
    <definedName name="newJSECcustomer" localSheetId="59" hidden="1">{#N/A,#N/A,FALSE,"Title Page";#N/A,#N/A,FALSE,"Conclusions";#N/A,#N/A,FALSE,"Assum.";#N/A,#N/A,FALSE,"Sun  DCF-WC-Dep";#N/A,#N/A,FALSE,"MarketValue";#N/A,#N/A,FALSE,"BalSheet";#N/A,#N/A,FALSE,"WACC";#N/A,#N/A,FALSE,"PC+ Info.";#N/A,#N/A,FALSE,"PC+Info_2"}</definedName>
    <definedName name="newJSECcustomer" localSheetId="93" hidden="1">{#N/A,#N/A,FALSE,"Title Page";#N/A,#N/A,FALSE,"Conclusions";#N/A,#N/A,FALSE,"Assum.";#N/A,#N/A,FALSE,"Sun  DCF-WC-Dep";#N/A,#N/A,FALSE,"MarketValue";#N/A,#N/A,FALSE,"BalSheet";#N/A,#N/A,FALSE,"WACC";#N/A,#N/A,FALSE,"PC+ Info.";#N/A,#N/A,FALSE,"PC+Info_2"}</definedName>
    <definedName name="newJSECcustomer" localSheetId="12" hidden="1">{#N/A,#N/A,FALSE,"Title Page";#N/A,#N/A,FALSE,"Conclusions";#N/A,#N/A,FALSE,"Assum.";#N/A,#N/A,FALSE,"Sun  DCF-WC-Dep";#N/A,#N/A,FALSE,"MarketValue";#N/A,#N/A,FALSE,"BalSheet";#N/A,#N/A,FALSE,"WACC";#N/A,#N/A,FALSE,"PC+ Info.";#N/A,#N/A,FALSE,"PC+Info_2"}</definedName>
    <definedName name="newJSECcustomer" localSheetId="62" hidden="1">{#N/A,#N/A,FALSE,"Title Page";#N/A,#N/A,FALSE,"Conclusions";#N/A,#N/A,FALSE,"Assum.";#N/A,#N/A,FALSE,"Sun  DCF-WC-Dep";#N/A,#N/A,FALSE,"MarketValue";#N/A,#N/A,FALSE,"BalSheet";#N/A,#N/A,FALSE,"WACC";#N/A,#N/A,FALSE,"PC+ Info.";#N/A,#N/A,FALSE,"PC+Info_2"}</definedName>
    <definedName name="newJSECcustomer" localSheetId="47" hidden="1">{#N/A,#N/A,FALSE,"Title Page";#N/A,#N/A,FALSE,"Conclusions";#N/A,#N/A,FALSE,"Assum.";#N/A,#N/A,FALSE,"Sun  DCF-WC-Dep";#N/A,#N/A,FALSE,"MarketValue";#N/A,#N/A,FALSE,"BalSheet";#N/A,#N/A,FALSE,"WACC";#N/A,#N/A,FALSE,"PC+ Info.";#N/A,#N/A,FALSE,"PC+Info_2"}</definedName>
    <definedName name="newJSECcustomer" localSheetId="15" hidden="1">{#N/A,#N/A,FALSE,"Title Page";#N/A,#N/A,FALSE,"Conclusions";#N/A,#N/A,FALSE,"Assum.";#N/A,#N/A,FALSE,"Sun  DCF-WC-Dep";#N/A,#N/A,FALSE,"MarketValue";#N/A,#N/A,FALSE,"BalSheet";#N/A,#N/A,FALSE,"WACC";#N/A,#N/A,FALSE,"PC+ Info.";#N/A,#N/A,FALSE,"PC+Info_2"}</definedName>
    <definedName name="newJSECcustomer" localSheetId="101" hidden="1">{#N/A,#N/A,FALSE,"Title Page";#N/A,#N/A,FALSE,"Conclusions";#N/A,#N/A,FALSE,"Assum.";#N/A,#N/A,FALSE,"Sun  DCF-WC-Dep";#N/A,#N/A,FALSE,"MarketValue";#N/A,#N/A,FALSE,"BalSheet";#N/A,#N/A,FALSE,"WACC";#N/A,#N/A,FALSE,"PC+ Info.";#N/A,#N/A,FALSE,"PC+Info_2"}</definedName>
    <definedName name="newJSECcustomer" localSheetId="60" hidden="1">{#N/A,#N/A,FALSE,"Title Page";#N/A,#N/A,FALSE,"Conclusions";#N/A,#N/A,FALSE,"Assum.";#N/A,#N/A,FALSE,"Sun  DCF-WC-Dep";#N/A,#N/A,FALSE,"MarketValue";#N/A,#N/A,FALSE,"BalSheet";#N/A,#N/A,FALSE,"WACC";#N/A,#N/A,FALSE,"PC+ Info.";#N/A,#N/A,FALSE,"PC+Info_2"}</definedName>
    <definedName name="newJSECcustomer" localSheetId="39" hidden="1">{#N/A,#N/A,FALSE,"Title Page";#N/A,#N/A,FALSE,"Conclusions";#N/A,#N/A,FALSE,"Assum.";#N/A,#N/A,FALSE,"Sun  DCF-WC-Dep";#N/A,#N/A,FALSE,"MarketValue";#N/A,#N/A,FALSE,"BalSheet";#N/A,#N/A,FALSE,"WACC";#N/A,#N/A,FALSE,"PC+ Info.";#N/A,#N/A,FALSE,"PC+Info_2"}</definedName>
    <definedName name="newJSECcustomer" localSheetId="58" hidden="1">{#N/A,#N/A,FALSE,"Title Page";#N/A,#N/A,FALSE,"Conclusions";#N/A,#N/A,FALSE,"Assum.";#N/A,#N/A,FALSE,"Sun  DCF-WC-Dep";#N/A,#N/A,FALSE,"MarketValue";#N/A,#N/A,FALSE,"BalSheet";#N/A,#N/A,FALSE,"WACC";#N/A,#N/A,FALSE,"PC+ Info.";#N/A,#N/A,FALSE,"PC+Info_2"}</definedName>
    <definedName name="newJSECcustomer" localSheetId="64" hidden="1">{#N/A,#N/A,FALSE,"Title Page";#N/A,#N/A,FALSE,"Conclusions";#N/A,#N/A,FALSE,"Assum.";#N/A,#N/A,FALSE,"Sun  DCF-WC-Dep";#N/A,#N/A,FALSE,"MarketValue";#N/A,#N/A,FALSE,"BalSheet";#N/A,#N/A,FALSE,"WACC";#N/A,#N/A,FALSE,"PC+ Info.";#N/A,#N/A,FALSE,"PC+Info_2"}</definedName>
    <definedName name="newJSECcustomer" localSheetId="54" hidden="1">{#N/A,#N/A,FALSE,"Title Page";#N/A,#N/A,FALSE,"Conclusions";#N/A,#N/A,FALSE,"Assum.";#N/A,#N/A,FALSE,"Sun  DCF-WC-Dep";#N/A,#N/A,FALSE,"MarketValue";#N/A,#N/A,FALSE,"BalSheet";#N/A,#N/A,FALSE,"WACC";#N/A,#N/A,FALSE,"PC+ Info.";#N/A,#N/A,FALSE,"PC+Info_2"}</definedName>
    <definedName name="newJSECcustomer" localSheetId="13" hidden="1">{#N/A,#N/A,FALSE,"Title Page";#N/A,#N/A,FALSE,"Conclusions";#N/A,#N/A,FALSE,"Assum.";#N/A,#N/A,FALSE,"Sun  DCF-WC-Dep";#N/A,#N/A,FALSE,"MarketValue";#N/A,#N/A,FALSE,"BalSheet";#N/A,#N/A,FALSE,"WACC";#N/A,#N/A,FALSE,"PC+ Info.";#N/A,#N/A,FALSE,"PC+Info_2"}</definedName>
    <definedName name="newJSECcustomer" localSheetId="63" hidden="1">{#N/A,#N/A,FALSE,"Title Page";#N/A,#N/A,FALSE,"Conclusions";#N/A,#N/A,FALSE,"Assum.";#N/A,#N/A,FALSE,"Sun  DCF-WC-Dep";#N/A,#N/A,FALSE,"MarketValue";#N/A,#N/A,FALSE,"BalSheet";#N/A,#N/A,FALSE,"WACC";#N/A,#N/A,FALSE,"PC+ Info.";#N/A,#N/A,FALSE,"PC+Info_2"}</definedName>
    <definedName name="newJSECcustomer" localSheetId="31" hidden="1">{#N/A,#N/A,FALSE,"Title Page";#N/A,#N/A,FALSE,"Conclusions";#N/A,#N/A,FALSE,"Assum.";#N/A,#N/A,FALSE,"Sun  DCF-WC-Dep";#N/A,#N/A,FALSE,"MarketValue";#N/A,#N/A,FALSE,"BalSheet";#N/A,#N/A,FALSE,"WACC";#N/A,#N/A,FALSE,"PC+ Info.";#N/A,#N/A,FALSE,"PC+Info_2"}</definedName>
    <definedName name="newJSECcustomer" localSheetId="61" hidden="1">{#N/A,#N/A,FALSE,"Title Page";#N/A,#N/A,FALSE,"Conclusions";#N/A,#N/A,FALSE,"Assum.";#N/A,#N/A,FALSE,"Sun  DCF-WC-Dep";#N/A,#N/A,FALSE,"MarketValue";#N/A,#N/A,FALSE,"BalSheet";#N/A,#N/A,FALSE,"WACC";#N/A,#N/A,FALSE,"PC+ Info.";#N/A,#N/A,FALSE,"PC+Info_2"}</definedName>
    <definedName name="newJSECcustomer" localSheetId="45" hidden="1">{#N/A,#N/A,FALSE,"Title Page";#N/A,#N/A,FALSE,"Conclusions";#N/A,#N/A,FALSE,"Assum.";#N/A,#N/A,FALSE,"Sun  DCF-WC-Dep";#N/A,#N/A,FALSE,"MarketValue";#N/A,#N/A,FALSE,"BalSheet";#N/A,#N/A,FALSE,"WACC";#N/A,#N/A,FALSE,"PC+ Info.";#N/A,#N/A,FALSE,"PC+Info_2"}</definedName>
    <definedName name="newJSECcustomer" localSheetId="90" hidden="1">{#N/A,#N/A,FALSE,"Title Page";#N/A,#N/A,FALSE,"Conclusions";#N/A,#N/A,FALSE,"Assum.";#N/A,#N/A,FALSE,"Sun  DCF-WC-Dep";#N/A,#N/A,FALSE,"MarketValue";#N/A,#N/A,FALSE,"BalSheet";#N/A,#N/A,FALSE,"WACC";#N/A,#N/A,FALSE,"PC+ Info.";#N/A,#N/A,FALSE,"PC+Info_2"}</definedName>
    <definedName name="newJSECcustomer" localSheetId="19" hidden="1">{#N/A,#N/A,FALSE,"Title Page";#N/A,#N/A,FALSE,"Conclusions";#N/A,#N/A,FALSE,"Assum.";#N/A,#N/A,FALSE,"Sun  DCF-WC-Dep";#N/A,#N/A,FALSE,"MarketValue";#N/A,#N/A,FALSE,"BalSheet";#N/A,#N/A,FALSE,"WACC";#N/A,#N/A,FALSE,"PC+ Info.";#N/A,#N/A,FALSE,"PC+Info_2"}</definedName>
    <definedName name="newJSECcustomer" localSheetId="57" hidden="1">{#N/A,#N/A,FALSE,"Title Page";#N/A,#N/A,FALSE,"Conclusions";#N/A,#N/A,FALSE,"Assum.";#N/A,#N/A,FALSE,"Sun  DCF-WC-Dep";#N/A,#N/A,FALSE,"MarketValue";#N/A,#N/A,FALSE,"BalSheet";#N/A,#N/A,FALSE,"WACC";#N/A,#N/A,FALSE,"PC+ Info.";#N/A,#N/A,FALSE,"PC+Info_2"}</definedName>
    <definedName name="newJSECcustomer" hidden="1">{#N/A,#N/A,FALSE,"Title Page";#N/A,#N/A,FALSE,"Conclusions";#N/A,#N/A,FALSE,"Assum.";#N/A,#N/A,FALSE,"Sun  DCF-WC-Dep";#N/A,#N/A,FALSE,"MarketValue";#N/A,#N/A,FALSE,"BalSheet";#N/A,#N/A,FALSE,"WACC";#N/A,#N/A,FALSE,"PC+ Info.";#N/A,#N/A,FALSE,"PC+Info_2"}</definedName>
    <definedName name="NewName">"B45:G45"</definedName>
    <definedName name="NextButton">"Button 18"</definedName>
    <definedName name="NextLeft">!IV1</definedName>
    <definedName name="NextUp">!A65536</definedName>
    <definedName name="Niche_Industry_1">'[24]List Data'!$J$5:$J$30</definedName>
    <definedName name="Niche_Industry_2">'[24]List Data'!$K$5:$K$30</definedName>
    <definedName name="NM">"NM"</definedName>
    <definedName name="nn" localSheetId="55" hidden="1">{#N/A,#N/A,FALSE,"Bakersfield PCs";#N/A,#N/A,FALSE,"Bremer PCs";#N/A,#N/A,FALSE,"Bakersfield Notebooks"}</definedName>
    <definedName name="nn" localSheetId="59" hidden="1">{#N/A,#N/A,FALSE,"Bakersfield PCs";#N/A,#N/A,FALSE,"Bremer PCs";#N/A,#N/A,FALSE,"Bakersfield Notebooks"}</definedName>
    <definedName name="nn" localSheetId="93" hidden="1">{#N/A,#N/A,FALSE,"Bakersfield PCs";#N/A,#N/A,FALSE,"Bremer PCs";#N/A,#N/A,FALSE,"Bakersfield Notebooks"}</definedName>
    <definedName name="nn" localSheetId="12" hidden="1">{#N/A,#N/A,FALSE,"Bakersfield PCs";#N/A,#N/A,FALSE,"Bremer PCs";#N/A,#N/A,FALSE,"Bakersfield Notebooks"}</definedName>
    <definedName name="nn" localSheetId="62" hidden="1">{#N/A,#N/A,FALSE,"Bakersfield PCs";#N/A,#N/A,FALSE,"Bremer PCs";#N/A,#N/A,FALSE,"Bakersfield Notebooks"}</definedName>
    <definedName name="nn" localSheetId="47" hidden="1">{#N/A,#N/A,FALSE,"Bakersfield PCs";#N/A,#N/A,FALSE,"Bremer PCs";#N/A,#N/A,FALSE,"Bakersfield Notebooks"}</definedName>
    <definedName name="nn" localSheetId="15" hidden="1">{#N/A,#N/A,FALSE,"Bakersfield PCs";#N/A,#N/A,FALSE,"Bremer PCs";#N/A,#N/A,FALSE,"Bakersfield Notebooks"}</definedName>
    <definedName name="nn" localSheetId="101" hidden="1">{#N/A,#N/A,FALSE,"Bakersfield PCs";#N/A,#N/A,FALSE,"Bremer PCs";#N/A,#N/A,FALSE,"Bakersfield Notebooks"}</definedName>
    <definedName name="nn" localSheetId="60" hidden="1">{#N/A,#N/A,FALSE,"Bakersfield PCs";#N/A,#N/A,FALSE,"Bremer PCs";#N/A,#N/A,FALSE,"Bakersfield Notebooks"}</definedName>
    <definedName name="nn" localSheetId="39" hidden="1">{#N/A,#N/A,FALSE,"Bakersfield PCs";#N/A,#N/A,FALSE,"Bremer PCs";#N/A,#N/A,FALSE,"Bakersfield Notebooks"}</definedName>
    <definedName name="nn" localSheetId="58" hidden="1">{#N/A,#N/A,FALSE,"Bakersfield PCs";#N/A,#N/A,FALSE,"Bremer PCs";#N/A,#N/A,FALSE,"Bakersfield Notebooks"}</definedName>
    <definedName name="nn" localSheetId="64" hidden="1">{#N/A,#N/A,FALSE,"Bakersfield PCs";#N/A,#N/A,FALSE,"Bremer PCs";#N/A,#N/A,FALSE,"Bakersfield Notebooks"}</definedName>
    <definedName name="nn" localSheetId="54" hidden="1">{#N/A,#N/A,FALSE,"Bakersfield PCs";#N/A,#N/A,FALSE,"Bremer PCs";#N/A,#N/A,FALSE,"Bakersfield Notebooks"}</definedName>
    <definedName name="nn" localSheetId="13" hidden="1">{#N/A,#N/A,FALSE,"Bakersfield PCs";#N/A,#N/A,FALSE,"Bremer PCs";#N/A,#N/A,FALSE,"Bakersfield Notebooks"}</definedName>
    <definedName name="nn" localSheetId="63" hidden="1">{#N/A,#N/A,FALSE,"Bakersfield PCs";#N/A,#N/A,FALSE,"Bremer PCs";#N/A,#N/A,FALSE,"Bakersfield Notebooks"}</definedName>
    <definedName name="nn" localSheetId="31" hidden="1">{#N/A,#N/A,FALSE,"Bakersfield PCs";#N/A,#N/A,FALSE,"Bremer PCs";#N/A,#N/A,FALSE,"Bakersfield Notebooks"}</definedName>
    <definedName name="nn" localSheetId="61" hidden="1">{#N/A,#N/A,FALSE,"Bakersfield PCs";#N/A,#N/A,FALSE,"Bremer PCs";#N/A,#N/A,FALSE,"Bakersfield Notebooks"}</definedName>
    <definedName name="nn" localSheetId="45" hidden="1">{#N/A,#N/A,FALSE,"Bakersfield PCs";#N/A,#N/A,FALSE,"Bremer PCs";#N/A,#N/A,FALSE,"Bakersfield Notebooks"}</definedName>
    <definedName name="nn" localSheetId="90" hidden="1">{#N/A,#N/A,FALSE,"Bakersfield PCs";#N/A,#N/A,FALSE,"Bremer PCs";#N/A,#N/A,FALSE,"Bakersfield Notebooks"}</definedName>
    <definedName name="nn" localSheetId="19" hidden="1">{#N/A,#N/A,FALSE,"Bakersfield PCs";#N/A,#N/A,FALSE,"Bremer PCs";#N/A,#N/A,FALSE,"Bakersfield Notebooks"}</definedName>
    <definedName name="nn" localSheetId="57" hidden="1">{#N/A,#N/A,FALSE,"Bakersfield PCs";#N/A,#N/A,FALSE,"Bremer PCs";#N/A,#N/A,FALSE,"Bakersfield Notebooks"}</definedName>
    <definedName name="nn" hidden="1">{#N/A,#N/A,FALSE,"Bakersfield PCs";#N/A,#N/A,FALSE,"Bremer PCs";#N/A,#N/A,FALSE,"Bakersfield Notebooks"}</definedName>
    <definedName name="noobaH" localSheetId="47" hidden="1">{"MM Visits",#N/A,TRUE,"Moderately Managed";"MM Dollars per Hour",#N/A,TRUE,"Moderately Managed";"MM Hours per Visit",#N/A,TRUE,"Moderately Managed";"MM Dollars per Visit",#N/A,TRUE,"Moderately Managed";"MM Total Visits",#N/A,TRUE,"Moderately Managed";"MM PMPM",#N/A,TRUE,"Moderately Managed"}</definedName>
    <definedName name="noobaH" localSheetId="54" hidden="1">{"MM Visits",#N/A,TRUE,"Moderately Managed";"MM Dollars per Hour",#N/A,TRUE,"Moderately Managed";"MM Hours per Visit",#N/A,TRUE,"Moderately Managed";"MM Dollars per Visit",#N/A,TRUE,"Moderately Managed";"MM Total Visits",#N/A,TRUE,"Moderately Managed";"MM PMPM",#N/A,TRUE,"Moderately Managed"}</definedName>
    <definedName name="noobaH" hidden="1">{"MM Visits",#N/A,TRUE,"Moderately Managed";"MM Dollars per Hour",#N/A,TRUE,"Moderately Managed";"MM Hours per Visit",#N/A,TRUE,"Moderately Managed";"MM Dollars per Visit",#N/A,TRUE,"Moderately Managed";"MM Total Visits",#N/A,TRUE,"Moderately Managed";"MM PMPM",#N/A,TRUE,"Moderately Managed"}</definedName>
    <definedName name="NOR_NET">106</definedName>
    <definedName name="Number_of_Payments" localSheetId="106">MATCH(0.01,End_Bal,-1)+1</definedName>
    <definedName name="Number_of_Payments" localSheetId="95">MATCH(0.01,End_Bal,-1)+1</definedName>
    <definedName name="Number_of_Payments" localSheetId="94">MATCH(0.01,End_Bal,-1)+1</definedName>
    <definedName name="Number_of_Payments" localSheetId="33">MATCH(0.01,End_Bal,-1)+1</definedName>
    <definedName name="Number_of_Payments" localSheetId="34">MATCH(0.01,End_Bal,-1)+1</definedName>
    <definedName name="Number_of_Payments" localSheetId="35">MATCH(0.01,End_Bal,-1)+1</definedName>
    <definedName name="Number_of_Payments" localSheetId="102">MATCH(0.01,End_Bal,-1)+1</definedName>
    <definedName name="Number_of_Payments" localSheetId="4">MATCH(0.01,End_Bal,-1)+1</definedName>
    <definedName name="Number_of_Payments" localSheetId="59">MATCH(0.01,End_Bal,-1)+1</definedName>
    <definedName name="Number_of_Payments" localSheetId="93">MATCH(0.01,End_Bal,-1)+1</definedName>
    <definedName name="Number_of_Payments" localSheetId="12">MATCH(0.01,End_Bal,-1)+1</definedName>
    <definedName name="Number_of_Payments" localSheetId="47">MATCH(0.01,End_Bal,-1)+1</definedName>
    <definedName name="Number_of_Payments" localSheetId="15">MATCH(0.01,End_Bal,-1)+1</definedName>
    <definedName name="Number_of_Payments" localSheetId="101">MATCH(0.01,End_Bal,-1)+1</definedName>
    <definedName name="Number_of_Payments" localSheetId="41">MATCH(0.01,End_Bal,-1)+1</definedName>
    <definedName name="Number_of_Payments" localSheetId="46">MATCH(0.01,End_Bal,-1)+1</definedName>
    <definedName name="Number_of_Payments" localSheetId="60">MATCH(0.01,End_Bal,-1)+1</definedName>
    <definedName name="Number_of_Payments" localSheetId="39">MATCH(0.01,End_Bal,-1)+1</definedName>
    <definedName name="Number_of_Payments" localSheetId="54">MATCH(0.01,End_Bal,-1)+1</definedName>
    <definedName name="Number_of_Payments" localSheetId="13">MATCH(0.01,End_Bal,-1)+1</definedName>
    <definedName name="Number_of_Payments" localSheetId="63">MATCH(0.01,End_Bal,-1)+1</definedName>
    <definedName name="Number_of_Payments" localSheetId="31">MATCH(0.01,End_Bal,-1)+1</definedName>
    <definedName name="Number_of_Payments" localSheetId="104">MATCH(0.01,End_Bal,-1)+1</definedName>
    <definedName name="Number_of_Payments" localSheetId="96">MATCH(0.01,End_Bal,-1)+1</definedName>
    <definedName name="Number_of_Payments" localSheetId="45">MATCH(0.01,End_Bal,-1)+1</definedName>
    <definedName name="Number_of_Payments" localSheetId="90">MATCH(0.01,End_Bal,-1)+1</definedName>
    <definedName name="Number_of_Payments" localSheetId="19">MATCH(0.01,End_Bal,-1)+1</definedName>
    <definedName name="Number_of_Payments" localSheetId="57">MATCH(0.01,End_Bal,-1)+1</definedName>
    <definedName name="Number_of_Payments">MATCH(0.01,End_Bal,-1)+1</definedName>
    <definedName name="NumCUSIP" localSheetId="47">{1}</definedName>
    <definedName name="NumCUSIP" localSheetId="57">{1}</definedName>
    <definedName name="NumCUSIP">{1}</definedName>
    <definedName name="NumCUSIP_1" localSheetId="47">{1}</definedName>
    <definedName name="NumCUSIP_1" localSheetId="57">{1}</definedName>
    <definedName name="NumCUSIP_1">{1}</definedName>
    <definedName name="NumCUSIPMissing" localSheetId="47">{0}</definedName>
    <definedName name="NumCUSIPMissing" localSheetId="57">{0}</definedName>
    <definedName name="NumCUSIPMissing">{0}</definedName>
    <definedName name="NumCUSIPMissing_1" localSheetId="47">{0}</definedName>
    <definedName name="NumCUSIPMissing_1" localSheetId="57">{0}</definedName>
    <definedName name="NumCUSIPMissing_1">{0}</definedName>
    <definedName name="NumInst" localSheetId="47">{126}</definedName>
    <definedName name="NumInst" localSheetId="57">{126}</definedName>
    <definedName name="NumInst">{126}</definedName>
    <definedName name="NumInst_1" localSheetId="47">{126}</definedName>
    <definedName name="NumInst_1" localSheetId="57">{126}</definedName>
    <definedName name="NumInst_1">{126}</definedName>
    <definedName name="NumInstCSUM" localSheetId="47">{25}</definedName>
    <definedName name="NumInstCSUM" localSheetId="57">{25}</definedName>
    <definedName name="NumInstCSUM">{25}</definedName>
    <definedName name="NvsAnswerCol">"[ZGL_DETMIKE.xls]Sheet1!$A$7:$A$25"</definedName>
    <definedName name="NvsASD">"V2005-03-15"</definedName>
    <definedName name="NvsAutoDrillOk">"VN"</definedName>
    <definedName name="NvsElapsedTime">0.00355324074189411</definedName>
    <definedName name="NvsEndTime">38461.5949421296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"%,X,RZT.ACCOUNT.,CZF.."</definedName>
    <definedName name="NvsPanelEffdt">"V1910-01-01"</definedName>
    <definedName name="NvsPanelSetid">"VWORET"</definedName>
    <definedName name="NvsReqBU">"VWOMRT"</definedName>
    <definedName name="NvsReqBUOnly">"VN"</definedName>
    <definedName name="NvsTransLed">"VN"</definedName>
    <definedName name="NvsTreeASD">"V2005-03-15"</definedName>
    <definedName name="NvsValTbl.ACCOUNT">"GL_ACCOUNT_TBL"</definedName>
    <definedName name="NvsValTbl.AFFILIATE">"AFFILIATE_VW"</definedName>
    <definedName name="NvsValTbl.BUSINESS_UNIT">"BUS_UNIT_TBL_GL"</definedName>
    <definedName name="NvsValTbl.DEPTID">"DEPARTMENT_TBL"</definedName>
    <definedName name="o" localSheetId="55" hidden="1">{#N/A,#N/A,FALSE,"New Depr Sch-150% DB";#N/A,#N/A,FALSE,"Cash Flows RLP";#N/A,#N/A,FALSE,"IRR";#N/A,#N/A,FALSE,"Proforma IS";#N/A,#N/A,FALSE,"Assumptions"}</definedName>
    <definedName name="o" localSheetId="59" hidden="1">{#N/A,#N/A,FALSE,"New Depr Sch-150% DB";#N/A,#N/A,FALSE,"Cash Flows RLP";#N/A,#N/A,FALSE,"IRR";#N/A,#N/A,FALSE,"Proforma IS";#N/A,#N/A,FALSE,"Assumptions"}</definedName>
    <definedName name="o" localSheetId="93" hidden="1">{#N/A,#N/A,FALSE,"New Depr Sch-150% DB";#N/A,#N/A,FALSE,"Cash Flows RLP";#N/A,#N/A,FALSE,"IRR";#N/A,#N/A,FALSE,"Proforma IS";#N/A,#N/A,FALSE,"Assumptions"}</definedName>
    <definedName name="o" localSheetId="12" hidden="1">{#N/A,#N/A,FALSE,"New Depr Sch-150% DB";#N/A,#N/A,FALSE,"Cash Flows RLP";#N/A,#N/A,FALSE,"IRR";#N/A,#N/A,FALSE,"Proforma IS";#N/A,#N/A,FALSE,"Assumptions"}</definedName>
    <definedName name="o" localSheetId="62" hidden="1">{#N/A,#N/A,FALSE,"New Depr Sch-150% DB";#N/A,#N/A,FALSE,"Cash Flows RLP";#N/A,#N/A,FALSE,"IRR";#N/A,#N/A,FALSE,"Proforma IS";#N/A,#N/A,FALSE,"Assumptions"}</definedName>
    <definedName name="o" localSheetId="47" hidden="1">{#N/A,#N/A,FALSE,"New Depr Sch-150% DB";#N/A,#N/A,FALSE,"Cash Flows RLP";#N/A,#N/A,FALSE,"IRR";#N/A,#N/A,FALSE,"Proforma IS";#N/A,#N/A,FALSE,"Assumptions"}</definedName>
    <definedName name="o" localSheetId="15" hidden="1">{#N/A,#N/A,FALSE,"New Depr Sch-150% DB";#N/A,#N/A,FALSE,"Cash Flows RLP";#N/A,#N/A,FALSE,"IRR";#N/A,#N/A,FALSE,"Proforma IS";#N/A,#N/A,FALSE,"Assumptions"}</definedName>
    <definedName name="o" localSheetId="101" hidden="1">{#N/A,#N/A,FALSE,"New Depr Sch-150% DB";#N/A,#N/A,FALSE,"Cash Flows RLP";#N/A,#N/A,FALSE,"IRR";#N/A,#N/A,FALSE,"Proforma IS";#N/A,#N/A,FALSE,"Assumptions"}</definedName>
    <definedName name="o" localSheetId="60" hidden="1">{#N/A,#N/A,FALSE,"New Depr Sch-150% DB";#N/A,#N/A,FALSE,"Cash Flows RLP";#N/A,#N/A,FALSE,"IRR";#N/A,#N/A,FALSE,"Proforma IS";#N/A,#N/A,FALSE,"Assumptions"}</definedName>
    <definedName name="o" localSheetId="39" hidden="1">{#N/A,#N/A,FALSE,"New Depr Sch-150% DB";#N/A,#N/A,FALSE,"Cash Flows RLP";#N/A,#N/A,FALSE,"IRR";#N/A,#N/A,FALSE,"Proforma IS";#N/A,#N/A,FALSE,"Assumptions"}</definedName>
    <definedName name="o" localSheetId="58" hidden="1">{#N/A,#N/A,FALSE,"New Depr Sch-150% DB";#N/A,#N/A,FALSE,"Cash Flows RLP";#N/A,#N/A,FALSE,"IRR";#N/A,#N/A,FALSE,"Proforma IS";#N/A,#N/A,FALSE,"Assumptions"}</definedName>
    <definedName name="o" localSheetId="64" hidden="1">{#N/A,#N/A,FALSE,"New Depr Sch-150% DB";#N/A,#N/A,FALSE,"Cash Flows RLP";#N/A,#N/A,FALSE,"IRR";#N/A,#N/A,FALSE,"Proforma IS";#N/A,#N/A,FALSE,"Assumptions"}</definedName>
    <definedName name="o" localSheetId="54" hidden="1">{#N/A,#N/A,FALSE,"New Depr Sch-150% DB";#N/A,#N/A,FALSE,"Cash Flows RLP";#N/A,#N/A,FALSE,"IRR";#N/A,#N/A,FALSE,"Proforma IS";#N/A,#N/A,FALSE,"Assumptions"}</definedName>
    <definedName name="o" localSheetId="13" hidden="1">{#N/A,#N/A,FALSE,"New Depr Sch-150% DB";#N/A,#N/A,FALSE,"Cash Flows RLP";#N/A,#N/A,FALSE,"IRR";#N/A,#N/A,FALSE,"Proforma IS";#N/A,#N/A,FALSE,"Assumptions"}</definedName>
    <definedName name="o" localSheetId="63" hidden="1">{#N/A,#N/A,FALSE,"New Depr Sch-150% DB";#N/A,#N/A,FALSE,"Cash Flows RLP";#N/A,#N/A,FALSE,"IRR";#N/A,#N/A,FALSE,"Proforma IS";#N/A,#N/A,FALSE,"Assumptions"}</definedName>
    <definedName name="o" localSheetId="31" hidden="1">{#N/A,#N/A,FALSE,"New Depr Sch-150% DB";#N/A,#N/A,FALSE,"Cash Flows RLP";#N/A,#N/A,FALSE,"IRR";#N/A,#N/A,FALSE,"Proforma IS";#N/A,#N/A,FALSE,"Assumptions"}</definedName>
    <definedName name="o" localSheetId="80" hidden="1">{#N/A,#N/A,FALSE,"New Depr Sch-150% DB";#N/A,#N/A,FALSE,"Cash Flows RLP";#N/A,#N/A,FALSE,"IRR";#N/A,#N/A,FALSE,"Proforma IS";#N/A,#N/A,FALSE,"Assumptions"}</definedName>
    <definedName name="o" localSheetId="61" hidden="1">{#N/A,#N/A,FALSE,"New Depr Sch-150% DB";#N/A,#N/A,FALSE,"Cash Flows RLP";#N/A,#N/A,FALSE,"IRR";#N/A,#N/A,FALSE,"Proforma IS";#N/A,#N/A,FALSE,"Assumptions"}</definedName>
    <definedName name="o" localSheetId="45" hidden="1">{#N/A,#N/A,FALSE,"New Depr Sch-150% DB";#N/A,#N/A,FALSE,"Cash Flows RLP";#N/A,#N/A,FALSE,"IRR";#N/A,#N/A,FALSE,"Proforma IS";#N/A,#N/A,FALSE,"Assumptions"}</definedName>
    <definedName name="o" localSheetId="90" hidden="1">{#N/A,#N/A,FALSE,"New Depr Sch-150% DB";#N/A,#N/A,FALSE,"Cash Flows RLP";#N/A,#N/A,FALSE,"IRR";#N/A,#N/A,FALSE,"Proforma IS";#N/A,#N/A,FALSE,"Assumptions"}</definedName>
    <definedName name="o" localSheetId="19" hidden="1">{#N/A,#N/A,FALSE,"New Depr Sch-150% DB";#N/A,#N/A,FALSE,"Cash Flows RLP";#N/A,#N/A,FALSE,"IRR";#N/A,#N/A,FALSE,"Proforma IS";#N/A,#N/A,FALSE,"Assumptions"}</definedName>
    <definedName name="o" localSheetId="57" hidden="1">{#N/A,#N/A,FALSE,"New Depr Sch-150% DB";#N/A,#N/A,FALSE,"Cash Flows RLP";#N/A,#N/A,FALSE,"IRR";#N/A,#N/A,FALSE,"Proforma IS";#N/A,#N/A,FALSE,"Assumptions"}</definedName>
    <definedName name="o" hidden="1">{#N/A,#N/A,FALSE,"New Depr Sch-150% DB";#N/A,#N/A,FALSE,"Cash Flows RLP";#N/A,#N/A,FALSE,"IRR";#N/A,#N/A,FALSE,"Proforma IS";#N/A,#N/A,FALSE,"Assumptions"}</definedName>
    <definedName name="OF_A_32">9</definedName>
    <definedName name="OF_AN_01">8</definedName>
    <definedName name="ok" localSheetId="55" hidden="1">{"Opsys",#N/A,FALSE,"NPV_OPsys";"NT",#N/A,FALSE,"NPV_NT";"DevP",#N/A,FALSE,"NPV_DevPdt";"Office",#N/A,FALSE,"NPV_Office"}</definedName>
    <definedName name="ok" localSheetId="59" hidden="1">{"Opsys",#N/A,FALSE,"NPV_OPsys";"NT",#N/A,FALSE,"NPV_NT";"DevP",#N/A,FALSE,"NPV_DevPdt";"Office",#N/A,FALSE,"NPV_Office"}</definedName>
    <definedName name="ok" localSheetId="93" hidden="1">{"Opsys",#N/A,FALSE,"NPV_OPsys";"NT",#N/A,FALSE,"NPV_NT";"DevP",#N/A,FALSE,"NPV_DevPdt";"Office",#N/A,FALSE,"NPV_Office"}</definedName>
    <definedName name="ok" localSheetId="12" hidden="1">{"Opsys",#N/A,FALSE,"NPV_OPsys";"NT",#N/A,FALSE,"NPV_NT";"DevP",#N/A,FALSE,"NPV_DevPdt";"Office",#N/A,FALSE,"NPV_Office"}</definedName>
    <definedName name="ok" localSheetId="62" hidden="1">{"Opsys",#N/A,FALSE,"NPV_OPsys";"NT",#N/A,FALSE,"NPV_NT";"DevP",#N/A,FALSE,"NPV_DevPdt";"Office",#N/A,FALSE,"NPV_Office"}</definedName>
    <definedName name="ok" localSheetId="47" hidden="1">{"Opsys",#N/A,FALSE,"NPV_OPsys";"NT",#N/A,FALSE,"NPV_NT";"DevP",#N/A,FALSE,"NPV_DevPdt";"Office",#N/A,FALSE,"NPV_Office"}</definedName>
    <definedName name="ok" localSheetId="15" hidden="1">{"Opsys",#N/A,FALSE,"NPV_OPsys";"NT",#N/A,FALSE,"NPV_NT";"DevP",#N/A,FALSE,"NPV_DevPdt";"Office",#N/A,FALSE,"NPV_Office"}</definedName>
    <definedName name="ok" localSheetId="101" hidden="1">{"Opsys",#N/A,FALSE,"NPV_OPsys";"NT",#N/A,FALSE,"NPV_NT";"DevP",#N/A,FALSE,"NPV_DevPdt";"Office",#N/A,FALSE,"NPV_Office"}</definedName>
    <definedName name="ok" localSheetId="60" hidden="1">{"Opsys",#N/A,FALSE,"NPV_OPsys";"NT",#N/A,FALSE,"NPV_NT";"DevP",#N/A,FALSE,"NPV_DevPdt";"Office",#N/A,FALSE,"NPV_Office"}</definedName>
    <definedName name="ok" localSheetId="39" hidden="1">{"Opsys",#N/A,FALSE,"NPV_OPsys";"NT",#N/A,FALSE,"NPV_NT";"DevP",#N/A,FALSE,"NPV_DevPdt";"Office",#N/A,FALSE,"NPV_Office"}</definedName>
    <definedName name="ok" localSheetId="58" hidden="1">{"Opsys",#N/A,FALSE,"NPV_OPsys";"NT",#N/A,FALSE,"NPV_NT";"DevP",#N/A,FALSE,"NPV_DevPdt";"Office",#N/A,FALSE,"NPV_Office"}</definedName>
    <definedName name="ok" localSheetId="64" hidden="1">{"Opsys",#N/A,FALSE,"NPV_OPsys";"NT",#N/A,FALSE,"NPV_NT";"DevP",#N/A,FALSE,"NPV_DevPdt";"Office",#N/A,FALSE,"NPV_Office"}</definedName>
    <definedName name="ok" localSheetId="54" hidden="1">{"Opsys",#N/A,FALSE,"NPV_OPsys";"NT",#N/A,FALSE,"NPV_NT";"DevP",#N/A,FALSE,"NPV_DevPdt";"Office",#N/A,FALSE,"NPV_Office"}</definedName>
    <definedName name="ok" localSheetId="13" hidden="1">{"Opsys",#N/A,FALSE,"NPV_OPsys";"NT",#N/A,FALSE,"NPV_NT";"DevP",#N/A,FALSE,"NPV_DevPdt";"Office",#N/A,FALSE,"NPV_Office"}</definedName>
    <definedName name="ok" localSheetId="63" hidden="1">{"Opsys",#N/A,FALSE,"NPV_OPsys";"NT",#N/A,FALSE,"NPV_NT";"DevP",#N/A,FALSE,"NPV_DevPdt";"Office",#N/A,FALSE,"NPV_Office"}</definedName>
    <definedName name="ok" localSheetId="31" hidden="1">{"Opsys",#N/A,FALSE,"NPV_OPsys";"NT",#N/A,FALSE,"NPV_NT";"DevP",#N/A,FALSE,"NPV_DevPdt";"Office",#N/A,FALSE,"NPV_Office"}</definedName>
    <definedName name="ok" localSheetId="61" hidden="1">{"Opsys",#N/A,FALSE,"NPV_OPsys";"NT",#N/A,FALSE,"NPV_NT";"DevP",#N/A,FALSE,"NPV_DevPdt";"Office",#N/A,FALSE,"NPV_Office"}</definedName>
    <definedName name="ok" localSheetId="45" hidden="1">{"Opsys",#N/A,FALSE,"NPV_OPsys";"NT",#N/A,FALSE,"NPV_NT";"DevP",#N/A,FALSE,"NPV_DevPdt";"Office",#N/A,FALSE,"NPV_Office"}</definedName>
    <definedName name="ok" localSheetId="90" hidden="1">{"Opsys",#N/A,FALSE,"NPV_OPsys";"NT",#N/A,FALSE,"NPV_NT";"DevP",#N/A,FALSE,"NPV_DevPdt";"Office",#N/A,FALSE,"NPV_Office"}</definedName>
    <definedName name="ok" localSheetId="19" hidden="1">{"Opsys",#N/A,FALSE,"NPV_OPsys";"NT",#N/A,FALSE,"NPV_NT";"DevP",#N/A,FALSE,"NPV_DevPdt";"Office",#N/A,FALSE,"NPV_Office"}</definedName>
    <definedName name="ok" localSheetId="57" hidden="1">{"Opsys",#N/A,FALSE,"NPV_OPsys";"NT",#N/A,FALSE,"NPV_NT";"DevP",#N/A,FALSE,"NPV_DevPdt";"Office",#N/A,FALSE,"NPV_Office"}</definedName>
    <definedName name="ok" hidden="1">{"Opsys",#N/A,FALSE,"NPV_OPsys";"NT",#N/A,FALSE,"NPV_NT";"DevP",#N/A,FALSE,"NPV_DevPdt";"Office",#N/A,FALSE,"NPV_Office"}</definedName>
    <definedName name="old" localSheetId="47" hidden="1">{"'Projection USA'!$A$2:$M$191"}</definedName>
    <definedName name="old" localSheetId="54" hidden="1">{"'Projection USA'!$A$2:$M$191"}</definedName>
    <definedName name="old" hidden="1">{"'Projection USA'!$A$2:$M$191"}</definedName>
    <definedName name="oooo" localSheetId="55" hidden="1">{#N/A,#N/A,FALSE,"Bakersfield PCs";#N/A,#N/A,FALSE,"Bremer PCs";#N/A,#N/A,FALSE,"Bakersfield Notebooks"}</definedName>
    <definedName name="oooo" localSheetId="59" hidden="1">{#N/A,#N/A,FALSE,"Bakersfield PCs";#N/A,#N/A,FALSE,"Bremer PCs";#N/A,#N/A,FALSE,"Bakersfield Notebooks"}</definedName>
    <definedName name="oooo" localSheetId="93" hidden="1">{#N/A,#N/A,FALSE,"Bakersfield PCs";#N/A,#N/A,FALSE,"Bremer PCs";#N/A,#N/A,FALSE,"Bakersfield Notebooks"}</definedName>
    <definedName name="oooo" localSheetId="12" hidden="1">{#N/A,#N/A,FALSE,"Bakersfield PCs";#N/A,#N/A,FALSE,"Bremer PCs";#N/A,#N/A,FALSE,"Bakersfield Notebooks"}</definedName>
    <definedName name="oooo" localSheetId="62" hidden="1">{#N/A,#N/A,FALSE,"Bakersfield PCs";#N/A,#N/A,FALSE,"Bremer PCs";#N/A,#N/A,FALSE,"Bakersfield Notebooks"}</definedName>
    <definedName name="oooo" localSheetId="47" hidden="1">{#N/A,#N/A,FALSE,"Bakersfield PCs";#N/A,#N/A,FALSE,"Bremer PCs";#N/A,#N/A,FALSE,"Bakersfield Notebooks"}</definedName>
    <definedName name="oooo" localSheetId="15" hidden="1">{#N/A,#N/A,FALSE,"Bakersfield PCs";#N/A,#N/A,FALSE,"Bremer PCs";#N/A,#N/A,FALSE,"Bakersfield Notebooks"}</definedName>
    <definedName name="oooo" localSheetId="101" hidden="1">{#N/A,#N/A,FALSE,"Bakersfield PCs";#N/A,#N/A,FALSE,"Bremer PCs";#N/A,#N/A,FALSE,"Bakersfield Notebooks"}</definedName>
    <definedName name="oooo" localSheetId="60" hidden="1">{#N/A,#N/A,FALSE,"Bakersfield PCs";#N/A,#N/A,FALSE,"Bremer PCs";#N/A,#N/A,FALSE,"Bakersfield Notebooks"}</definedName>
    <definedName name="oooo" localSheetId="39" hidden="1">{#N/A,#N/A,FALSE,"Bakersfield PCs";#N/A,#N/A,FALSE,"Bremer PCs";#N/A,#N/A,FALSE,"Bakersfield Notebooks"}</definedName>
    <definedName name="oooo" localSheetId="58" hidden="1">{#N/A,#N/A,FALSE,"Bakersfield PCs";#N/A,#N/A,FALSE,"Bremer PCs";#N/A,#N/A,FALSE,"Bakersfield Notebooks"}</definedName>
    <definedName name="oooo" localSheetId="64" hidden="1">{#N/A,#N/A,FALSE,"Bakersfield PCs";#N/A,#N/A,FALSE,"Bremer PCs";#N/A,#N/A,FALSE,"Bakersfield Notebooks"}</definedName>
    <definedName name="oooo" localSheetId="54" hidden="1">{#N/A,#N/A,FALSE,"Bakersfield PCs";#N/A,#N/A,FALSE,"Bremer PCs";#N/A,#N/A,FALSE,"Bakersfield Notebooks"}</definedName>
    <definedName name="oooo" localSheetId="13" hidden="1">{#N/A,#N/A,FALSE,"Bakersfield PCs";#N/A,#N/A,FALSE,"Bremer PCs";#N/A,#N/A,FALSE,"Bakersfield Notebooks"}</definedName>
    <definedName name="oooo" localSheetId="63" hidden="1">{#N/A,#N/A,FALSE,"Bakersfield PCs";#N/A,#N/A,FALSE,"Bremer PCs";#N/A,#N/A,FALSE,"Bakersfield Notebooks"}</definedName>
    <definedName name="oooo" localSheetId="31" hidden="1">{#N/A,#N/A,FALSE,"Bakersfield PCs";#N/A,#N/A,FALSE,"Bremer PCs";#N/A,#N/A,FALSE,"Bakersfield Notebooks"}</definedName>
    <definedName name="oooo" localSheetId="61" hidden="1">{#N/A,#N/A,FALSE,"Bakersfield PCs";#N/A,#N/A,FALSE,"Bremer PCs";#N/A,#N/A,FALSE,"Bakersfield Notebooks"}</definedName>
    <definedName name="oooo" localSheetId="45" hidden="1">{#N/A,#N/A,FALSE,"Bakersfield PCs";#N/A,#N/A,FALSE,"Bremer PCs";#N/A,#N/A,FALSE,"Bakersfield Notebooks"}</definedName>
    <definedName name="oooo" localSheetId="90" hidden="1">{#N/A,#N/A,FALSE,"Bakersfield PCs";#N/A,#N/A,FALSE,"Bremer PCs";#N/A,#N/A,FALSE,"Bakersfield Notebooks"}</definedName>
    <definedName name="oooo" localSheetId="19" hidden="1">{#N/A,#N/A,FALSE,"Bakersfield PCs";#N/A,#N/A,FALSE,"Bremer PCs";#N/A,#N/A,FALSE,"Bakersfield Notebooks"}</definedName>
    <definedName name="oooo" localSheetId="57" hidden="1">{#N/A,#N/A,FALSE,"Bakersfield PCs";#N/A,#N/A,FALSE,"Bremer PCs";#N/A,#N/A,FALSE,"Bakersfield Notebooks"}</definedName>
    <definedName name="oooo" hidden="1">{#N/A,#N/A,FALSE,"Bakersfield PCs";#N/A,#N/A,FALSE,"Bremer PCs";#N/A,#N/A,FALSE,"Bakersfield Notebooks"}</definedName>
    <definedName name="Order_2" hidden="1">0</definedName>
    <definedName name="Ownership" localSheetId="106" hidden="1">OFFSET([0]!Data.Top.Left,1,0)</definedName>
    <definedName name="Ownership" localSheetId="95" hidden="1">OFFSET([0]!Data.Top.Left,1,0)</definedName>
    <definedName name="Ownership" localSheetId="94" hidden="1">OFFSET([0]!Data.Top.Left,1,0)</definedName>
    <definedName name="Ownership" localSheetId="33" hidden="1">OFFSET([0]!Data.Top.Left,1,0)</definedName>
    <definedName name="Ownership" localSheetId="34" hidden="1">OFFSET([0]!Data.Top.Left,1,0)</definedName>
    <definedName name="Ownership" localSheetId="35" hidden="1">OFFSET([0]!Data.Top.Left,1,0)</definedName>
    <definedName name="Ownership" localSheetId="102" hidden="1">OFFSET([0]!Data.Top.Left,1,0)</definedName>
    <definedName name="Ownership" localSheetId="4" hidden="1">OFFSET([0]!Data.Top.Left,1,0)</definedName>
    <definedName name="Ownership" localSheetId="55" hidden="1">OFFSET([0]!Data.Top.Left,1,0)</definedName>
    <definedName name="Ownership" localSheetId="59" hidden="1">OFFSET([0]!Data.Top.Left,1,0)</definedName>
    <definedName name="Ownership" localSheetId="93" hidden="1">OFFSET([0]!Data.Top.Left,1,0)</definedName>
    <definedName name="Ownership" localSheetId="12" hidden="1">OFFSET([0]!Data.Top.Left,1,0)</definedName>
    <definedName name="Ownership" localSheetId="62" hidden="1">OFFSET([0]!Data.Top.Left,1,0)</definedName>
    <definedName name="Ownership" localSheetId="47" hidden="1">OFFSET([0]!Data.Top.Left,1,0)</definedName>
    <definedName name="Ownership" localSheetId="15" hidden="1">OFFSET([0]!Data.Top.Left,1,0)</definedName>
    <definedName name="Ownership" localSheetId="101" hidden="1">OFFSET([0]!Data.Top.Left,1,0)</definedName>
    <definedName name="Ownership" localSheetId="40" hidden="1">OFFSET([0]!Data.Top.Left,1,0)</definedName>
    <definedName name="Ownership" localSheetId="41" hidden="1">OFFSET([0]!Data.Top.Left,1,0)</definedName>
    <definedName name="Ownership" localSheetId="46" hidden="1">OFFSET([0]!Data.Top.Left,1,0)</definedName>
    <definedName name="Ownership" localSheetId="60" hidden="1">OFFSET([0]!Data.Top.Left,1,0)</definedName>
    <definedName name="Ownership" localSheetId="39" hidden="1">OFFSET([0]!Data.Top.Left,1,0)</definedName>
    <definedName name="Ownership" localSheetId="58" hidden="1">OFFSET([0]!Data.Top.Left,1,0)</definedName>
    <definedName name="Ownership" localSheetId="44" hidden="1">OFFSET([0]!Data.Top.Left,1,0)</definedName>
    <definedName name="Ownership" localSheetId="64" hidden="1">OFFSET([0]!Data.Top.Left,1,0)</definedName>
    <definedName name="Ownership" localSheetId="54" hidden="1">OFFSET([0]!Data.Top.Left,1,0)</definedName>
    <definedName name="Ownership" localSheetId="13" hidden="1">OFFSET([0]!Data.Top.Left,1,0)</definedName>
    <definedName name="Ownership" localSheetId="63" hidden="1">OFFSET([0]!Data.Top.Left,1,0)</definedName>
    <definedName name="Ownership" localSheetId="31" hidden="1">OFFSET([0]!Data.Top.Left,1,0)</definedName>
    <definedName name="Ownership" localSheetId="104" hidden="1">OFFSET([0]!Data.Top.Left,1,0)</definedName>
    <definedName name="Ownership" localSheetId="96" hidden="1">OFFSET([0]!Data.Top.Left,1,0)</definedName>
    <definedName name="Ownership" localSheetId="61" hidden="1">OFFSET([0]!Data.Top.Left,1,0)</definedName>
    <definedName name="Ownership" localSheetId="45" hidden="1">OFFSET([0]!Data.Top.Left,1,0)</definedName>
    <definedName name="Ownership" localSheetId="90" hidden="1">OFFSET([0]!Data.Top.Left,1,0)</definedName>
    <definedName name="Ownership" localSheetId="19" hidden="1">OFFSET([0]!Data.Top.Left,1,0)</definedName>
    <definedName name="Ownership" localSheetId="57" hidden="1">OFFSET([0]!Data.Top.Left,1,0)</definedName>
    <definedName name="Ownership" hidden="1">OFFSET([0]!Data.Top.Left,1,0)</definedName>
    <definedName name="Parameter">'[18]Country View'!$AM$18:$AM$19</definedName>
    <definedName name="PAWHELP" localSheetId="55" hidden="1">{"'Page 2-4'!$A$1:$O$47","'Page 2-2'!$A$1:$P$58"}</definedName>
    <definedName name="PAWHELP" localSheetId="47" hidden="1">{"'Page 2-4'!$A$1:$O$47","'Page 2-2'!$A$1:$P$58"}</definedName>
    <definedName name="PAWHELP" localSheetId="64" hidden="1">{"'Page 2-4'!$A$1:$O$47","'Page 2-2'!$A$1:$P$58"}</definedName>
    <definedName name="PAWHELP" localSheetId="57" hidden="1">{"'Page 2-4'!$A$1:$O$47","'Page 2-2'!$A$1:$P$58"}</definedName>
    <definedName name="PAWHELP" hidden="1">{"'Page 2-4'!$A$1:$O$47","'Page 2-2'!$A$1:$P$58"}</definedName>
    <definedName name="Payment_Date" localSheetId="106">DATE(YEAR(Loan_Start),MONTH(Loan_Start)+Payment_Number,DAY(Loan_Start))</definedName>
    <definedName name="Payment_Date" localSheetId="95">DATE(YEAR(Loan_Start),MONTH(Loan_Start)+Payment_Number,DAY(Loan_Start))</definedName>
    <definedName name="Payment_Date" localSheetId="94">DATE(YEAR(Loan_Start),MONTH(Loan_Start)+Payment_Number,DAY(Loan_Start))</definedName>
    <definedName name="Payment_Date" localSheetId="33">DATE(YEAR(Loan_Start),MONTH(Loan_Start)+Payment_Number,DAY(Loan_Start))</definedName>
    <definedName name="Payment_Date" localSheetId="34">DATE(YEAR(Loan_Start),MONTH(Loan_Start)+Payment_Number,DAY(Loan_Start))</definedName>
    <definedName name="Payment_Date" localSheetId="35">DATE(YEAR(Loan_Start),MONTH(Loan_Start)+Payment_Number,DAY(Loan_Start))</definedName>
    <definedName name="Payment_Date" localSheetId="102">DATE(YEAR(Loan_Start),MONTH(Loan_Start)+Payment_Number,DAY(Loan_Start))</definedName>
    <definedName name="Payment_Date" localSheetId="4">DATE(YEAR(Loan_Start),MONTH(Loan_Start)+Payment_Number,DAY(Loan_Start))</definedName>
    <definedName name="Payment_Date" localSheetId="59">DATE(YEAR(Loan_Start),MONTH(Loan_Start)+Payment_Number,DAY(Loan_Start))</definedName>
    <definedName name="Payment_Date" localSheetId="93">DATE(YEAR(Loan_Start),MONTH(Loan_Start)+Payment_Number,DAY(Loan_Start))</definedName>
    <definedName name="Payment_Date" localSheetId="12">DATE(YEAR(Loan_Start),MONTH(Loan_Start)+Payment_Number,DAY(Loan_Start))</definedName>
    <definedName name="Payment_Date" localSheetId="47">DATE(YEAR(Loan_Start),MONTH(Loan_Start)+Payment_Number,DAY(Loan_Start))</definedName>
    <definedName name="Payment_Date" localSheetId="15">DATE(YEAR(Loan_Start),MONTH(Loan_Start)+Payment_Number,DAY(Loan_Start))</definedName>
    <definedName name="Payment_Date" localSheetId="101">DATE(YEAR(Loan_Start),MONTH(Loan_Start)+Payment_Number,DAY(Loan_Start))</definedName>
    <definedName name="Payment_Date" localSheetId="41">DATE(YEAR(Loan_Start),MONTH(Loan_Start)+Payment_Number,DAY(Loan_Start))</definedName>
    <definedName name="Payment_Date" localSheetId="46">DATE(YEAR(Loan_Start),MONTH(Loan_Start)+Payment_Number,DAY(Loan_Start))</definedName>
    <definedName name="Payment_Date" localSheetId="60">DATE(YEAR(Loan_Start),MONTH(Loan_Start)+Payment_Number,DAY(Loan_Start))</definedName>
    <definedName name="Payment_Date" localSheetId="39">DATE(YEAR(Loan_Start),MONTH(Loan_Start)+Payment_Number,DAY(Loan_Start))</definedName>
    <definedName name="Payment_Date" localSheetId="54">DATE(YEAR(Loan_Start),MONTH(Loan_Start)+Payment_Number,DAY(Loan_Start))</definedName>
    <definedName name="Payment_Date" localSheetId="13">DATE(YEAR(Loan_Start),MONTH(Loan_Start)+Payment_Number,DAY(Loan_Start))</definedName>
    <definedName name="Payment_Date" localSheetId="63">DATE(YEAR(Loan_Start),MONTH(Loan_Start)+Payment_Number,DAY(Loan_Start))</definedName>
    <definedName name="Payment_Date" localSheetId="31">DATE(YEAR(Loan_Start),MONTH(Loan_Start)+Payment_Number,DAY(Loan_Start))</definedName>
    <definedName name="Payment_Date" localSheetId="104">DATE(YEAR(Loan_Start),MONTH(Loan_Start)+Payment_Number,DAY(Loan_Start))</definedName>
    <definedName name="Payment_Date" localSheetId="96">DATE(YEAR(Loan_Start),MONTH(Loan_Start)+Payment_Number,DAY(Loan_Start))</definedName>
    <definedName name="Payment_Date" localSheetId="45">DATE(YEAR(Loan_Start),MONTH(Loan_Start)+Payment_Number,DAY(Loan_Start))</definedName>
    <definedName name="Payment_Date" localSheetId="90">DATE(YEAR(Loan_Start),MONTH(Loan_Start)+Payment_Number,DAY(Loan_Start))</definedName>
    <definedName name="Payment_Date" localSheetId="19">DATE(YEAR(Loan_Start),MONTH(Loan_Start)+Payment_Number,DAY(Loan_Start))</definedName>
    <definedName name="Payment_Date" localSheetId="57">DATE(YEAR(Loan_Start),MONTH(Loan_Start)+Payment_Number,DAY(Loan_Start))</definedName>
    <definedName name="Payment_Date">DATE(YEAR(Loan_Start),MONTH(Loan_Start)+Payment_Number,DAY(Loan_Start))</definedName>
    <definedName name="PaymentNumber" localSheetId="106">ROW()-HeaderRow</definedName>
    <definedName name="PaymentNumber" localSheetId="95">ROW()-HeaderRow</definedName>
    <definedName name="PaymentNumber" localSheetId="94">ROW()-HeaderRow</definedName>
    <definedName name="PaymentNumber" localSheetId="102">ROW()-HeaderRow</definedName>
    <definedName name="PaymentNumber" localSheetId="59">ROW()-HeaderRow</definedName>
    <definedName name="PaymentNumber" localSheetId="93">ROW()-HeaderRow</definedName>
    <definedName name="PaymentNumber" localSheetId="12">ROW()-HeaderRow</definedName>
    <definedName name="PaymentNumber" localSheetId="47">ROW()-HeaderRow</definedName>
    <definedName name="PaymentNumber" localSheetId="101">ROW()-HeaderRow</definedName>
    <definedName name="PaymentNumber" localSheetId="41">ROW()-HeaderRow</definedName>
    <definedName name="PaymentNumber" localSheetId="46">ROW()-HeaderRow</definedName>
    <definedName name="PaymentNumber" localSheetId="60">ROW()-HeaderRow</definedName>
    <definedName name="PaymentNumber" localSheetId="39">ROW()-HeaderRow</definedName>
    <definedName name="PaymentNumber" localSheetId="13">ROW()-HeaderRow</definedName>
    <definedName name="PaymentNumber" localSheetId="63">ROW()-HeaderRow</definedName>
    <definedName name="PaymentNumber" localSheetId="31">ROW()-HeaderRow</definedName>
    <definedName name="PaymentNumber" localSheetId="104">ROW()-HeaderRow</definedName>
    <definedName name="PaymentNumber" localSheetId="96">ROW()-HeaderRow</definedName>
    <definedName name="PaymentNumber" localSheetId="90">ROW()-HeaderRow</definedName>
    <definedName name="PaymentNumber" localSheetId="19">ROW()-HeaderRow</definedName>
    <definedName name="PaymentNumber">ROW()-HeaderRow</definedName>
    <definedName name="PCCnewcustomer" localSheetId="55" hidden="1">{#N/A,#N/A,FALSE,"Title Page";#N/A,#N/A,FALSE,"Conclusions";#N/A,#N/A,FALSE,"Assum.";#N/A,#N/A,FALSE,"Sun  DCF-WC-Dep";#N/A,#N/A,FALSE,"MarketValue";#N/A,#N/A,FALSE,"BalSheet";#N/A,#N/A,FALSE,"WACC";#N/A,#N/A,FALSE,"PC+ Info.";#N/A,#N/A,FALSE,"PC+Info_2"}</definedName>
    <definedName name="PCCnewcustomer" localSheetId="59" hidden="1">{#N/A,#N/A,FALSE,"Title Page";#N/A,#N/A,FALSE,"Conclusions";#N/A,#N/A,FALSE,"Assum.";#N/A,#N/A,FALSE,"Sun  DCF-WC-Dep";#N/A,#N/A,FALSE,"MarketValue";#N/A,#N/A,FALSE,"BalSheet";#N/A,#N/A,FALSE,"WACC";#N/A,#N/A,FALSE,"PC+ Info.";#N/A,#N/A,FALSE,"PC+Info_2"}</definedName>
    <definedName name="PCCnewcustomer" localSheetId="93" hidden="1">{#N/A,#N/A,FALSE,"Title Page";#N/A,#N/A,FALSE,"Conclusions";#N/A,#N/A,FALSE,"Assum.";#N/A,#N/A,FALSE,"Sun  DCF-WC-Dep";#N/A,#N/A,FALSE,"MarketValue";#N/A,#N/A,FALSE,"BalSheet";#N/A,#N/A,FALSE,"WACC";#N/A,#N/A,FALSE,"PC+ Info.";#N/A,#N/A,FALSE,"PC+Info_2"}</definedName>
    <definedName name="PCCnewcustomer" localSheetId="12" hidden="1">{#N/A,#N/A,FALSE,"Title Page";#N/A,#N/A,FALSE,"Conclusions";#N/A,#N/A,FALSE,"Assum.";#N/A,#N/A,FALSE,"Sun  DCF-WC-Dep";#N/A,#N/A,FALSE,"MarketValue";#N/A,#N/A,FALSE,"BalSheet";#N/A,#N/A,FALSE,"WACC";#N/A,#N/A,FALSE,"PC+ Info.";#N/A,#N/A,FALSE,"PC+Info_2"}</definedName>
    <definedName name="PCCnewcustomer" localSheetId="62" hidden="1">{#N/A,#N/A,FALSE,"Title Page";#N/A,#N/A,FALSE,"Conclusions";#N/A,#N/A,FALSE,"Assum.";#N/A,#N/A,FALSE,"Sun  DCF-WC-Dep";#N/A,#N/A,FALSE,"MarketValue";#N/A,#N/A,FALSE,"BalSheet";#N/A,#N/A,FALSE,"WACC";#N/A,#N/A,FALSE,"PC+ Info.";#N/A,#N/A,FALSE,"PC+Info_2"}</definedName>
    <definedName name="PCCnewcustomer" localSheetId="47" hidden="1">{#N/A,#N/A,FALSE,"Title Page";#N/A,#N/A,FALSE,"Conclusions";#N/A,#N/A,FALSE,"Assum.";#N/A,#N/A,FALSE,"Sun  DCF-WC-Dep";#N/A,#N/A,FALSE,"MarketValue";#N/A,#N/A,FALSE,"BalSheet";#N/A,#N/A,FALSE,"WACC";#N/A,#N/A,FALSE,"PC+ Info.";#N/A,#N/A,FALSE,"PC+Info_2"}</definedName>
    <definedName name="PCCnewcustomer" localSheetId="15" hidden="1">{#N/A,#N/A,FALSE,"Title Page";#N/A,#N/A,FALSE,"Conclusions";#N/A,#N/A,FALSE,"Assum.";#N/A,#N/A,FALSE,"Sun  DCF-WC-Dep";#N/A,#N/A,FALSE,"MarketValue";#N/A,#N/A,FALSE,"BalSheet";#N/A,#N/A,FALSE,"WACC";#N/A,#N/A,FALSE,"PC+ Info.";#N/A,#N/A,FALSE,"PC+Info_2"}</definedName>
    <definedName name="PCCnewcustomer" localSheetId="101" hidden="1">{#N/A,#N/A,FALSE,"Title Page";#N/A,#N/A,FALSE,"Conclusions";#N/A,#N/A,FALSE,"Assum.";#N/A,#N/A,FALSE,"Sun  DCF-WC-Dep";#N/A,#N/A,FALSE,"MarketValue";#N/A,#N/A,FALSE,"BalSheet";#N/A,#N/A,FALSE,"WACC";#N/A,#N/A,FALSE,"PC+ Info.";#N/A,#N/A,FALSE,"PC+Info_2"}</definedName>
    <definedName name="PCCnewcustomer" localSheetId="60" hidden="1">{#N/A,#N/A,FALSE,"Title Page";#N/A,#N/A,FALSE,"Conclusions";#N/A,#N/A,FALSE,"Assum.";#N/A,#N/A,FALSE,"Sun  DCF-WC-Dep";#N/A,#N/A,FALSE,"MarketValue";#N/A,#N/A,FALSE,"BalSheet";#N/A,#N/A,FALSE,"WACC";#N/A,#N/A,FALSE,"PC+ Info.";#N/A,#N/A,FALSE,"PC+Info_2"}</definedName>
    <definedName name="PCCnewcustomer" localSheetId="39" hidden="1">{#N/A,#N/A,FALSE,"Title Page";#N/A,#N/A,FALSE,"Conclusions";#N/A,#N/A,FALSE,"Assum.";#N/A,#N/A,FALSE,"Sun  DCF-WC-Dep";#N/A,#N/A,FALSE,"MarketValue";#N/A,#N/A,FALSE,"BalSheet";#N/A,#N/A,FALSE,"WACC";#N/A,#N/A,FALSE,"PC+ Info.";#N/A,#N/A,FALSE,"PC+Info_2"}</definedName>
    <definedName name="PCCnewcustomer" localSheetId="58" hidden="1">{#N/A,#N/A,FALSE,"Title Page";#N/A,#N/A,FALSE,"Conclusions";#N/A,#N/A,FALSE,"Assum.";#N/A,#N/A,FALSE,"Sun  DCF-WC-Dep";#N/A,#N/A,FALSE,"MarketValue";#N/A,#N/A,FALSE,"BalSheet";#N/A,#N/A,FALSE,"WACC";#N/A,#N/A,FALSE,"PC+ Info.";#N/A,#N/A,FALSE,"PC+Info_2"}</definedName>
    <definedName name="PCCnewcustomer" localSheetId="64" hidden="1">{#N/A,#N/A,FALSE,"Title Page";#N/A,#N/A,FALSE,"Conclusions";#N/A,#N/A,FALSE,"Assum.";#N/A,#N/A,FALSE,"Sun  DCF-WC-Dep";#N/A,#N/A,FALSE,"MarketValue";#N/A,#N/A,FALSE,"BalSheet";#N/A,#N/A,FALSE,"WACC";#N/A,#N/A,FALSE,"PC+ Info.";#N/A,#N/A,FALSE,"PC+Info_2"}</definedName>
    <definedName name="PCCnewcustomer" localSheetId="54" hidden="1">{#N/A,#N/A,FALSE,"Title Page";#N/A,#N/A,FALSE,"Conclusions";#N/A,#N/A,FALSE,"Assum.";#N/A,#N/A,FALSE,"Sun  DCF-WC-Dep";#N/A,#N/A,FALSE,"MarketValue";#N/A,#N/A,FALSE,"BalSheet";#N/A,#N/A,FALSE,"WACC";#N/A,#N/A,FALSE,"PC+ Info.";#N/A,#N/A,FALSE,"PC+Info_2"}</definedName>
    <definedName name="PCCnewcustomer" localSheetId="13" hidden="1">{#N/A,#N/A,FALSE,"Title Page";#N/A,#N/A,FALSE,"Conclusions";#N/A,#N/A,FALSE,"Assum.";#N/A,#N/A,FALSE,"Sun  DCF-WC-Dep";#N/A,#N/A,FALSE,"MarketValue";#N/A,#N/A,FALSE,"BalSheet";#N/A,#N/A,FALSE,"WACC";#N/A,#N/A,FALSE,"PC+ Info.";#N/A,#N/A,FALSE,"PC+Info_2"}</definedName>
    <definedName name="PCCnewcustomer" localSheetId="63" hidden="1">{#N/A,#N/A,FALSE,"Title Page";#N/A,#N/A,FALSE,"Conclusions";#N/A,#N/A,FALSE,"Assum.";#N/A,#N/A,FALSE,"Sun  DCF-WC-Dep";#N/A,#N/A,FALSE,"MarketValue";#N/A,#N/A,FALSE,"BalSheet";#N/A,#N/A,FALSE,"WACC";#N/A,#N/A,FALSE,"PC+ Info.";#N/A,#N/A,FALSE,"PC+Info_2"}</definedName>
    <definedName name="PCCnewcustomer" localSheetId="31" hidden="1">{#N/A,#N/A,FALSE,"Title Page";#N/A,#N/A,FALSE,"Conclusions";#N/A,#N/A,FALSE,"Assum.";#N/A,#N/A,FALSE,"Sun  DCF-WC-Dep";#N/A,#N/A,FALSE,"MarketValue";#N/A,#N/A,FALSE,"BalSheet";#N/A,#N/A,FALSE,"WACC";#N/A,#N/A,FALSE,"PC+ Info.";#N/A,#N/A,FALSE,"PC+Info_2"}</definedName>
    <definedName name="PCCnewcustomer" localSheetId="61" hidden="1">{#N/A,#N/A,FALSE,"Title Page";#N/A,#N/A,FALSE,"Conclusions";#N/A,#N/A,FALSE,"Assum.";#N/A,#N/A,FALSE,"Sun  DCF-WC-Dep";#N/A,#N/A,FALSE,"MarketValue";#N/A,#N/A,FALSE,"BalSheet";#N/A,#N/A,FALSE,"WACC";#N/A,#N/A,FALSE,"PC+ Info.";#N/A,#N/A,FALSE,"PC+Info_2"}</definedName>
    <definedName name="PCCnewcustomer" localSheetId="45" hidden="1">{#N/A,#N/A,FALSE,"Title Page";#N/A,#N/A,FALSE,"Conclusions";#N/A,#N/A,FALSE,"Assum.";#N/A,#N/A,FALSE,"Sun  DCF-WC-Dep";#N/A,#N/A,FALSE,"MarketValue";#N/A,#N/A,FALSE,"BalSheet";#N/A,#N/A,FALSE,"WACC";#N/A,#N/A,FALSE,"PC+ Info.";#N/A,#N/A,FALSE,"PC+Info_2"}</definedName>
    <definedName name="PCCnewcustomer" localSheetId="90" hidden="1">{#N/A,#N/A,FALSE,"Title Page";#N/A,#N/A,FALSE,"Conclusions";#N/A,#N/A,FALSE,"Assum.";#N/A,#N/A,FALSE,"Sun  DCF-WC-Dep";#N/A,#N/A,FALSE,"MarketValue";#N/A,#N/A,FALSE,"BalSheet";#N/A,#N/A,FALSE,"WACC";#N/A,#N/A,FALSE,"PC+ Info.";#N/A,#N/A,FALSE,"PC+Info_2"}</definedName>
    <definedName name="PCCnewcustomer" localSheetId="19" hidden="1">{#N/A,#N/A,FALSE,"Title Page";#N/A,#N/A,FALSE,"Conclusions";#N/A,#N/A,FALSE,"Assum.";#N/A,#N/A,FALSE,"Sun  DCF-WC-Dep";#N/A,#N/A,FALSE,"MarketValue";#N/A,#N/A,FALSE,"BalSheet";#N/A,#N/A,FALSE,"WACC";#N/A,#N/A,FALSE,"PC+ Info.";#N/A,#N/A,FALSE,"PC+Info_2"}</definedName>
    <definedName name="PCCnewcustomer" localSheetId="57" hidden="1">{#N/A,#N/A,FALSE,"Title Page";#N/A,#N/A,FALSE,"Conclusions";#N/A,#N/A,FALSE,"Assum.";#N/A,#N/A,FALSE,"Sun  DCF-WC-Dep";#N/A,#N/A,FALSE,"MarketValue";#N/A,#N/A,FALSE,"BalSheet";#N/A,#N/A,FALSE,"WACC";#N/A,#N/A,FALSE,"PC+ Info.";#N/A,#N/A,FALSE,"PC+Info_2"}</definedName>
    <definedName name="PCCnewcustomer" hidden="1">{#N/A,#N/A,FALSE,"Title Page";#N/A,#N/A,FALSE,"Conclusions";#N/A,#N/A,FALSE,"Assum.";#N/A,#N/A,FALSE,"Sun  DCF-WC-Dep";#N/A,#N/A,FALSE,"MarketValue";#N/A,#N/A,FALSE,"BalSheet";#N/A,#N/A,FALSE,"WACC";#N/A,#N/A,FALSE,"PC+ Info.";#N/A,#N/A,FALSE,"PC+Info_2"}</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pp" localSheetId="55" hidden="1">{#N/A,#N/A,FALSE,"Bakersfield PCs";#N/A,#N/A,FALSE,"Bremer PCs";#N/A,#N/A,FALSE,"Bakersfield Notebooks"}</definedName>
    <definedName name="ppp" localSheetId="59" hidden="1">{#N/A,#N/A,FALSE,"Bakersfield PCs";#N/A,#N/A,FALSE,"Bremer PCs";#N/A,#N/A,FALSE,"Bakersfield Notebooks"}</definedName>
    <definedName name="ppp" localSheetId="93" hidden="1">{#N/A,#N/A,FALSE,"Bakersfield PCs";#N/A,#N/A,FALSE,"Bremer PCs";#N/A,#N/A,FALSE,"Bakersfield Notebooks"}</definedName>
    <definedName name="ppp" localSheetId="12" hidden="1">{#N/A,#N/A,FALSE,"Bakersfield PCs";#N/A,#N/A,FALSE,"Bremer PCs";#N/A,#N/A,FALSE,"Bakersfield Notebooks"}</definedName>
    <definedName name="ppp" localSheetId="62" hidden="1">{#N/A,#N/A,FALSE,"Bakersfield PCs";#N/A,#N/A,FALSE,"Bremer PCs";#N/A,#N/A,FALSE,"Bakersfield Notebooks"}</definedName>
    <definedName name="ppp" localSheetId="47" hidden="1">{#N/A,#N/A,FALSE,"Bakersfield PCs";#N/A,#N/A,FALSE,"Bremer PCs";#N/A,#N/A,FALSE,"Bakersfield Notebooks"}</definedName>
    <definedName name="ppp" localSheetId="15" hidden="1">{#N/A,#N/A,FALSE,"Bakersfield PCs";#N/A,#N/A,FALSE,"Bremer PCs";#N/A,#N/A,FALSE,"Bakersfield Notebooks"}</definedName>
    <definedName name="ppp" localSheetId="101" hidden="1">{#N/A,#N/A,FALSE,"Bakersfield PCs";#N/A,#N/A,FALSE,"Bremer PCs";#N/A,#N/A,FALSE,"Bakersfield Notebooks"}</definedName>
    <definedName name="ppp" localSheetId="60" hidden="1">{#N/A,#N/A,FALSE,"Bakersfield PCs";#N/A,#N/A,FALSE,"Bremer PCs";#N/A,#N/A,FALSE,"Bakersfield Notebooks"}</definedName>
    <definedName name="ppp" localSheetId="39" hidden="1">{#N/A,#N/A,FALSE,"Bakersfield PCs";#N/A,#N/A,FALSE,"Bremer PCs";#N/A,#N/A,FALSE,"Bakersfield Notebooks"}</definedName>
    <definedName name="ppp" localSheetId="58" hidden="1">{#N/A,#N/A,FALSE,"Bakersfield PCs";#N/A,#N/A,FALSE,"Bremer PCs";#N/A,#N/A,FALSE,"Bakersfield Notebooks"}</definedName>
    <definedName name="ppp" localSheetId="64" hidden="1">{#N/A,#N/A,FALSE,"Bakersfield PCs";#N/A,#N/A,FALSE,"Bremer PCs";#N/A,#N/A,FALSE,"Bakersfield Notebooks"}</definedName>
    <definedName name="ppp" localSheetId="54" hidden="1">{#N/A,#N/A,FALSE,"Bakersfield PCs";#N/A,#N/A,FALSE,"Bremer PCs";#N/A,#N/A,FALSE,"Bakersfield Notebooks"}</definedName>
    <definedName name="ppp" localSheetId="13" hidden="1">{#N/A,#N/A,FALSE,"Bakersfield PCs";#N/A,#N/A,FALSE,"Bremer PCs";#N/A,#N/A,FALSE,"Bakersfield Notebooks"}</definedName>
    <definedName name="ppp" localSheetId="63" hidden="1">{#N/A,#N/A,FALSE,"Bakersfield PCs";#N/A,#N/A,FALSE,"Bremer PCs";#N/A,#N/A,FALSE,"Bakersfield Notebooks"}</definedName>
    <definedName name="ppp" localSheetId="31" hidden="1">{#N/A,#N/A,FALSE,"Bakersfield PCs";#N/A,#N/A,FALSE,"Bremer PCs";#N/A,#N/A,FALSE,"Bakersfield Notebooks"}</definedName>
    <definedName name="ppp" localSheetId="61" hidden="1">{#N/A,#N/A,FALSE,"Bakersfield PCs";#N/A,#N/A,FALSE,"Bremer PCs";#N/A,#N/A,FALSE,"Bakersfield Notebooks"}</definedName>
    <definedName name="ppp" localSheetId="45" hidden="1">{#N/A,#N/A,FALSE,"Bakersfield PCs";#N/A,#N/A,FALSE,"Bremer PCs";#N/A,#N/A,FALSE,"Bakersfield Notebooks"}</definedName>
    <definedName name="ppp" localSheetId="90" hidden="1">{#N/A,#N/A,FALSE,"Bakersfield PCs";#N/A,#N/A,FALSE,"Bremer PCs";#N/A,#N/A,FALSE,"Bakersfield Notebooks"}</definedName>
    <definedName name="ppp" localSheetId="19" hidden="1">{#N/A,#N/A,FALSE,"Bakersfield PCs";#N/A,#N/A,FALSE,"Bremer PCs";#N/A,#N/A,FALSE,"Bakersfield Notebooks"}</definedName>
    <definedName name="ppp" localSheetId="57" hidden="1">{#N/A,#N/A,FALSE,"Bakersfield PCs";#N/A,#N/A,FALSE,"Bremer PCs";#N/A,#N/A,FALSE,"Bakersfield Notebooks"}</definedName>
    <definedName name="ppp" hidden="1">{#N/A,#N/A,FALSE,"Bakersfield PCs";#N/A,#N/A,FALSE,"Bremer PCs";#N/A,#N/A,FALSE,"Bakersfield Notebooks"}</definedName>
    <definedName name="PRASIMSCENARIOS">"early launch,late launch,"</definedName>
    <definedName name="PreviousButton">"Button 19"</definedName>
    <definedName name="Primary_Industry">'[24]List Data'!$I$5:$I$14</definedName>
    <definedName name="_xlnm.Print_Area" localSheetId="10">'Allocation Method &gt;&gt;'!$A$1:$G$30</definedName>
    <definedName name="_xlnm.Print_Area" localSheetId="106">'Asset Vol_DLOM'!$A$1:$Z$56</definedName>
    <definedName name="_xlnm.Print_Area" localSheetId="95">'Asset Vol_DLOM_Implied Series B'!$A$1:$Z$56</definedName>
    <definedName name="_xlnm.Print_Area" localSheetId="94">'Asset Vol_Implied Series B'!$A$1:$Z$56</definedName>
    <definedName name="_xlnm.Print_Area" localSheetId="32">'Asset Vol_IPO Phase I'!$A$1:$Z$55</definedName>
    <definedName name="_xlnm.Print_Area" localSheetId="33">'Asset Vol_IPO Phase II'!$A$1:$Z$55</definedName>
    <definedName name="_xlnm.Print_Area" localSheetId="34">'Asset Vol_M&amp;A IND'!$A$1:$Z$55</definedName>
    <definedName name="_xlnm.Print_Area" localSheetId="35">'Asset Vol_M&amp;A Phase I'!$A$1:$Z$55</definedName>
    <definedName name="_xlnm.Print_Area" localSheetId="36">'Asset Vol_M&amp;A Phase II'!$A$1:$Z$55</definedName>
    <definedName name="_xlnm.Print_Area" localSheetId="102">'Asset Vol_OPM_OIP'!$A$1:$Z$56</definedName>
    <definedName name="_xlnm.Print_Area" localSheetId="83">'Beta Calc'!$A$1:$S$48</definedName>
    <definedName name="_xlnm.Print_Area" localSheetId="27">'Cap Structure FP &gt;&gt;'!$A$1:$G$30</definedName>
    <definedName name="_xlnm.Print_Area" localSheetId="28">'Cap Table'!$A$1:$K$34</definedName>
    <definedName name="_xlnm.Print_Area" localSheetId="68">'Cap Table (3)'!$A$1:$AR$131</definedName>
    <definedName name="_xlnm.Print_Area" localSheetId="77">'Capital IQ Sheet-GPC'!$A$1:$BZ$75</definedName>
    <definedName name="_xlnm.Print_Area" localSheetId="78">'Capital IQ Sheet-STM'!$A$1:$AJ$69</definedName>
    <definedName name="_xlnm.Print_Area" localSheetId="4">Checklist!$A$1:$F$32</definedName>
    <definedName name="_xlnm.Print_Area" localSheetId="71">'Common Stock'!$A$1:$R$120</definedName>
    <definedName name="_xlnm.Print_Area" localSheetId="22">'Comp.1'!$A$1:$AA$56</definedName>
    <definedName name="_xlnm.Print_Area" localSheetId="110">'Comp.2'!$A$1:$X$50</definedName>
    <definedName name="_xlnm.Print_Area" localSheetId="107">'Comp.4'!$A$1:$R$51</definedName>
    <definedName name="_xlnm.Print_Area" localSheetId="111">'Comp.5'!$A$1:$X$48</definedName>
    <definedName name="_xlnm.Print_Area" localSheetId="23">'Comp.6'!$A$1:$E$24</definedName>
    <definedName name="_xlnm.Print_Area" localSheetId="82">'Comparative Sheet'!$A$1:$G$102</definedName>
    <definedName name="_xlnm.Print_Area" localSheetId="55">'Cost of Capital_Avance'!$A$1:$H$44</definedName>
    <definedName name="_xlnm.Print_Area" localSheetId="59">'Diabetes_WW Summary'!$A$1:$Q$64</definedName>
    <definedName name="_xlnm.Print_Area" localSheetId="18">'Discount Rate FP &gt;&gt;'!$A$1:$G$30</definedName>
    <definedName name="_xlnm.Print_Area" localSheetId="108">'DLOM Rest Stock'!$A$1:$K$21</definedName>
    <definedName name="_xlnm.Print_Area" localSheetId="93">'DLOM_Implied Series B'!$A$1:$G$48</definedName>
    <definedName name="_xlnm.Print_Area" localSheetId="29">'Econ Rights'!$A$1:$H$31</definedName>
    <definedName name="_xlnm.Print_Area" localSheetId="37">'Equity Vol'!$A$1:$L$50</definedName>
    <definedName name="_xlnm.Print_Area" localSheetId="12">'Exit Probability'!$A$1:$I$48</definedName>
    <definedName name="_xlnm.Print_Area" localSheetId="62">'FDA Drug timeline'!$A$1:$G$45</definedName>
    <definedName name="_xlnm.Print_Area" localSheetId="47">'Fixed Research Payments'!$A$1:$AH$35</definedName>
    <definedName name="_xlnm.Print_Area" localSheetId="15">Forecast!$A$1:$G$18</definedName>
    <definedName name="_xlnm.Print_Area" localSheetId="14">'FS &gt;&gt;'!$A$1:$G$30</definedName>
    <definedName name="_xlnm.Print_Area" localSheetId="101">'Full DLOM_OPM'!$A$1:$G$48</definedName>
    <definedName name="_xlnm.Print_Area" localSheetId="21">'GCM FP &gt;&gt;'!$A$1:$G$30</definedName>
    <definedName name="_xlnm.Print_Area" localSheetId="79">'GPC Linked'!$A$1:$BZ$74</definedName>
    <definedName name="_xlnm.Print_Area" localSheetId="24">'GTM FP &gt;&gt;'!$A$1:$G$30</definedName>
    <definedName name="_xlnm.Print_Area" localSheetId="17">'Hist BS'!$A$1:$P$44</definedName>
    <definedName name="_xlnm.Print_Area" localSheetId="16">'Hist IS'!$A$1:$H$33</definedName>
    <definedName name="_xlnm.Print_Area" localSheetId="40">'IPO Data_BioPharma'!$A$1:$Q$194</definedName>
    <definedName name="_xlnm.Print_Area" localSheetId="41">'IPO Data_Comparables'!$A$1:$Q$79</definedName>
    <definedName name="_xlnm.Print_Area" localSheetId="109">'Lack Voting'!$A$1:$G$48</definedName>
    <definedName name="_xlnm.Print_Area" localSheetId="42">'Licensing Deals'!$A$1:$K$104</definedName>
    <definedName name="_xlnm.Print_Area" localSheetId="105">'Market Trends since Prior Val'!$A$1:$AA$49</definedName>
    <definedName name="_xlnm.Print_Area" localSheetId="46">'Milestone Calcs'!$A$1:$L$24</definedName>
    <definedName name="_xlnm.Print_Area" localSheetId="60">'NASH_WW Summary'!$A$1:$Q$57</definedName>
    <definedName name="_xlnm.Print_Area" localSheetId="39">'Non-Diversification Risk'!$A$1:$I$36</definedName>
    <definedName name="_xlnm.Print_Area" localSheetId="58">'Obesity_WW Summary'!$A$1:$Q$57</definedName>
    <definedName name="_xlnm.Print_Area" localSheetId="99">'OPM 1 Series B Warrants'!$A$1:$K$90</definedName>
    <definedName name="_xlnm.Print_Area" localSheetId="97">'OPM 1_OIP'!$A$1:$L$108</definedName>
    <definedName name="_xlnm.Print_Area" localSheetId="91">'OPM 1_Series B'!$A$1:$L$100</definedName>
    <definedName name="_xlnm.Print_Area" localSheetId="100">'OPM 2 Series B Warrants'!$A$1:$M$28</definedName>
    <definedName name="_xlnm.Print_Area" localSheetId="98">'OPM 2_OIP'!$A$1:$M$19</definedName>
    <definedName name="_xlnm.Print_Area" localSheetId="92">'OPM 2_Series B'!$A$1:$M$17</definedName>
    <definedName name="_xlnm.Print_Area" localSheetId="72">Options!$A$1:$T$101</definedName>
    <definedName name="_xlnm.Print_Area" localSheetId="7">Outline!$A$1:$H$48</definedName>
    <definedName name="_xlnm.Print_Area" localSheetId="44">Outline_Workpapers!$A$1:$G$22</definedName>
    <definedName name="_xlnm.Print_Area" localSheetId="64">'Patent Exclusivity'!$A$1:$D$18</definedName>
    <definedName name="_xlnm.Print_Area" localSheetId="54">'Penetration Curves'!$A$1:$P$96</definedName>
    <definedName name="_xlnm.Print_Area" localSheetId="13">PoTS!$A$1:$G$93</definedName>
    <definedName name="_xlnm.Print_Area" localSheetId="63">'PoTS _rNPV'!$A$1:$G$111</definedName>
    <definedName name="_xlnm.Print_Area" localSheetId="11">PWERM!$A$1:$O$231</definedName>
    <definedName name="_xlnm.Print_Area" localSheetId="31">'PWERM DLOM'!$A$1:$K$57</definedName>
    <definedName name="_xlnm.Print_Area" localSheetId="103">'PWERM Waterfall n Allocation'!$A$1:$L$108</definedName>
    <definedName name="_xlnm.Print_Area" localSheetId="104">'PWERM Waterfall n Allocation_B'!$A$1:$L$108</definedName>
    <definedName name="_xlnm.Print_Area" localSheetId="38">'Risk-Free Rates'!$A$1:$F$71</definedName>
    <definedName name="_xlnm.Print_Area" localSheetId="96">'Risk-Free Rates_OPM'!$A$1:$F$41</definedName>
    <definedName name="_xlnm.Print_Area" localSheetId="51">'rNPV Analysis_Diabetes'!$A$1:$AH$61</definedName>
    <definedName name="_xlnm.Print_Area" localSheetId="53">'rNPV Analysis_NASH'!$A$1:$AH$61</definedName>
    <definedName name="_xlnm.Print_Area" localSheetId="49">'rNPV Analysis_Obesity'!$A$1:$AH$61</definedName>
    <definedName name="_xlnm.Print_Area" localSheetId="50">'rNPV Assumptions_Diabetes'!$A$1:$J$88</definedName>
    <definedName name="_xlnm.Print_Area" localSheetId="52">'rNPV Assumptions_NASH'!$A$1:$J$89</definedName>
    <definedName name="_xlnm.Print_Area" localSheetId="48">'rNPV Assumptions_Obesity'!$A$1:$J$88</definedName>
    <definedName name="_xlnm.Print_Area" localSheetId="20">'RoR Stage of Dev'!$A$1:$I$30</definedName>
    <definedName name="_xlnm.Print_Area" localSheetId="80">'STM Linked'!$A$1:$AH$55</definedName>
    <definedName name="_xlnm.Print_Area" localSheetId="67">Summary!$A$1:$L$43</definedName>
    <definedName name="_xlnm.Print_Area" localSheetId="30">'Support FP &gt;&gt;'!$A$1:$G$30</definedName>
    <definedName name="_xlnm.Print_Area" localSheetId="61">'Timeline and Cost Research'!$A$1:$G$112</definedName>
    <definedName name="_xlnm.Print_Area" localSheetId="6">Title!$A$1:$G$28</definedName>
    <definedName name="_xlnm.Print_Area" localSheetId="43">'Title_Workpapers &gt; &gt;'!$A$1:$G$28</definedName>
    <definedName name="_xlnm.Print_Area" localSheetId="25">Trans.1!$A$1:$AK$57</definedName>
    <definedName name="_xlnm.Print_Area" localSheetId="26">Trans.2!$A$1:$E$26</definedName>
    <definedName name="_xlnm.Print_Area" localSheetId="9">'Val Summ'!$A$1:$K$12</definedName>
    <definedName name="_xlnm.Print_Area" localSheetId="45">'Val Summ (2)'!$A$1:$G$24</definedName>
    <definedName name="_xlnm.Print_Area" localSheetId="90">'Val Summ_WPS'!$A$1:$K$12</definedName>
    <definedName name="_xlnm.Print_Area" localSheetId="56">'WACC CAPM_rNPV'!$A$1:$K$46</definedName>
    <definedName name="_xlnm.Print_Area" localSheetId="19">'WACC PWERM'!$A$1:$O$33</definedName>
    <definedName name="_xlnm.Print_Area" localSheetId="57">'YTW Large Pharma'!$A$1:$AI$98</definedName>
    <definedName name="Print_Area_Reset" localSheetId="106">OFFSET(Full_Print,0,0,[0]!Last_Row)</definedName>
    <definedName name="Print_Area_Reset" localSheetId="95">OFFSET(Full_Print,0,0,'Val Summ (2)'!Last_Row)</definedName>
    <definedName name="Print_Area_Reset" localSheetId="94">OFFSET(Full_Print,0,0,'Val Summ (2)'!Last_Row)</definedName>
    <definedName name="Print_Area_Reset" localSheetId="33">OFFSET(Full_Print,0,0,'Val Summ (2)'!Last_Row)</definedName>
    <definedName name="Print_Area_Reset" localSheetId="34">OFFSET(Full_Print,0,0,'Val Summ (2)'!Last_Row)</definedName>
    <definedName name="Print_Area_Reset" localSheetId="35">OFFSET(Full_Print,0,0,'Val Summ (2)'!Last_Row)</definedName>
    <definedName name="Print_Area_Reset" localSheetId="102">OFFSET(Full_Print,0,0,'Val Summ (2)'!Last_Row)</definedName>
    <definedName name="Print_Area_Reset" localSheetId="4">OFFSET(Full_Print,0,0,'Val Summ (2)'!Last_Row)</definedName>
    <definedName name="Print_Area_Reset" localSheetId="55">OFFSET('Cost of Capital_Avance'!Full_Print,0,0,'Val Summ (2)'!Last_Row)</definedName>
    <definedName name="Print_Area_Reset" localSheetId="59">OFFSET([0]!Full_Print,0,0,'Val Summ (2)'!Last_Row)</definedName>
    <definedName name="Print_Area_Reset" localSheetId="93">OFFSET(Full_Print,0,0,'Val Summ (2)'!Last_Row)</definedName>
    <definedName name="Print_Area_Reset" localSheetId="12">OFFSET(Full_Print,0,0,'Val Summ (2)'!Last_Row)</definedName>
    <definedName name="Print_Area_Reset" localSheetId="62">OFFSET(Full_Print,0,0,'Val Summ (2)'!Last_Row)</definedName>
    <definedName name="Print_Area_Reset" localSheetId="47">OFFSET(Full_Print,0,0,'Val Summ (2)'!Last_Row)</definedName>
    <definedName name="Print_Area_Reset" localSheetId="15">OFFSET(Full_Print,0,0,'Val Summ (2)'!Last_Row)</definedName>
    <definedName name="Print_Area_Reset" localSheetId="101">OFFSET(Full_Print,0,0,'Val Summ (2)'!Last_Row)</definedName>
    <definedName name="Print_Area_Reset" localSheetId="40">OFFSET(Full_Print,0,0,'Val Summ (2)'!Last_Row)</definedName>
    <definedName name="Print_Area_Reset" localSheetId="41">OFFSET(Full_Print,0,0,'Val Summ (2)'!Last_Row)</definedName>
    <definedName name="Print_Area_Reset" localSheetId="46">OFFSET(Full_Print,0,0,'Val Summ (2)'!Last_Row)</definedName>
    <definedName name="Print_Area_Reset" localSheetId="60">OFFSET([0]!Full_Print,0,0,'Val Summ (2)'!Last_Row)</definedName>
    <definedName name="Print_Area_Reset" localSheetId="39">OFFSET(Full_Print,0,0,'Val Summ (2)'!Last_Row)</definedName>
    <definedName name="Print_Area_Reset" localSheetId="58">OFFSET([0]!Full_Print,0,0,'Val Summ (2)'!Last_Row)</definedName>
    <definedName name="Print_Area_Reset" localSheetId="44">OFFSET(Full_Print,0,0,'Val Summ (2)'!Last_Row)</definedName>
    <definedName name="Print_Area_Reset" localSheetId="64">OFFSET(Full_Print,0,0,'Val Summ (2)'!Last_Row)</definedName>
    <definedName name="Print_Area_Reset" localSheetId="54">OFFSET(Full_Print,0,0,'Penetration Curves'!Last_Row)</definedName>
    <definedName name="Print_Area_Reset" localSheetId="13">OFFSET(Full_Print,0,0,'Val Summ (2)'!Last_Row)</definedName>
    <definedName name="Print_Area_Reset" localSheetId="63">OFFSET(Full_Print,0,0,'Val Summ (2)'!Last_Row)</definedName>
    <definedName name="Print_Area_Reset" localSheetId="31">OFFSET(Full_Print,0,0,'Val Summ (2)'!Last_Row)</definedName>
    <definedName name="Print_Area_Reset" localSheetId="104">OFFSET(Full_Print,0,0,'Val Summ (2)'!Last_Row)</definedName>
    <definedName name="Print_Area_Reset" localSheetId="96">OFFSET(Full_Print,0,0,'Val Summ (2)'!Last_Row)</definedName>
    <definedName name="Print_Area_Reset" localSheetId="61">OFFSET([0]!Full_Print,0,0,'Val Summ (2)'!Last_Row)</definedName>
    <definedName name="Print_Area_Reset" localSheetId="45">OFFSET(Full_Print,0,0,'Val Summ (2)'!Last_Row)</definedName>
    <definedName name="Print_Area_Reset" localSheetId="90">OFFSET(Full_Print,0,0,'Val Summ (2)'!Last_Row)</definedName>
    <definedName name="Print_Area_Reset" localSheetId="19">OFFSET(Full_Print,0,0,'Val Summ (2)'!Last_Row)</definedName>
    <definedName name="Print_Area_Reset" localSheetId="57">OFFSET(Full_Print,0,0,'YTW Large Pharma'!Last_Row)</definedName>
    <definedName name="Print_Area_Reset">OFFSET(Full_Print,0,0,'Val Summ (2)'!Last_Row)</definedName>
    <definedName name="_xlnm.Print_Titles" localSheetId="71">'Common Stock'!$1:$7</definedName>
    <definedName name="_xlnm.Print_Titles" localSheetId="22">'Comp.1'!$A:$C,'Comp.1'!$1:$9</definedName>
    <definedName name="_xlnm.Print_Titles" localSheetId="110">'Comp.2'!$A:$C,'Comp.2'!$1:$9</definedName>
    <definedName name="_xlnm.Print_Titles" localSheetId="107">'Comp.4'!$A:$C,'Comp.4'!$1:$10</definedName>
    <definedName name="_xlnm.Print_Titles" localSheetId="111">'Comp.5'!$A:$C,'Comp.5'!$1:$5</definedName>
    <definedName name="_xlnm.Print_Titles" localSheetId="23">'Comp.6'!$2:$8</definedName>
    <definedName name="_xlnm.Print_Titles" localSheetId="82">'Comparative Sheet'!$1:$9</definedName>
    <definedName name="_xlnm.Print_Titles" localSheetId="59">'Diabetes_WW Summary'!$A:$B,'Diabetes_WW Summary'!$1:$7</definedName>
    <definedName name="_xlnm.Print_Titles" localSheetId="93">'DLOM_Implied Series B'!$1:$5</definedName>
    <definedName name="_xlnm.Print_Titles" localSheetId="62">'FDA Drug timeline'!$A:$G,'FDA Drug timeline'!$1:$4</definedName>
    <definedName name="_xlnm.Print_Titles" localSheetId="47">'Fixed Research Payments'!$A:$E,'Fixed Research Payments'!$1:$13</definedName>
    <definedName name="_xlnm.Print_Titles" localSheetId="15">Forecast!$2:$9</definedName>
    <definedName name="_xlnm.Print_Titles" localSheetId="101">'Full DLOM_OPM'!$1:$5</definedName>
    <definedName name="_xlnm.Print_Titles" localSheetId="40">'IPO Data_BioPharma'!$1:$9</definedName>
    <definedName name="_xlnm.Print_Titles" localSheetId="41">'IPO Data_Comparables'!$1:$9</definedName>
    <definedName name="_xlnm.Print_Titles" localSheetId="42">'Licensing Deals'!$1:$7</definedName>
    <definedName name="_xlnm.Print_Titles" localSheetId="105">'Market Trends since Prior Val'!$A:$B,'Market Trends since Prior Val'!$1:$8</definedName>
    <definedName name="_xlnm.Print_Titles" localSheetId="46">'Milestone Calcs'!$1:$5</definedName>
    <definedName name="_xlnm.Print_Titles" localSheetId="60">'NASH_WW Summary'!$A:$B,'NASH_WW Summary'!$1:$7</definedName>
    <definedName name="_xlnm.Print_Titles" localSheetId="39">'Non-Diversification Risk'!$1:$5</definedName>
    <definedName name="_xlnm.Print_Titles" localSheetId="58">'Obesity_WW Summary'!$A:$B,'Obesity_WW Summary'!$1:$7</definedName>
    <definedName name="_xlnm.Print_Titles" localSheetId="99">'OPM 1 Series B Warrants'!$1:$16</definedName>
    <definedName name="_xlnm.Print_Titles" localSheetId="97">'OPM 1_OIP'!$1:$16</definedName>
    <definedName name="_xlnm.Print_Titles" localSheetId="91">'OPM 1_Series B'!$1:$16</definedName>
    <definedName name="_xlnm.Print_Titles" localSheetId="54">'Penetration Curves'!$1:$4</definedName>
    <definedName name="_xlnm.Print_Titles" localSheetId="13">PoTS!$1:$4</definedName>
    <definedName name="_xlnm.Print_Titles" localSheetId="63">'PoTS _rNPV'!$1:$4</definedName>
    <definedName name="_xlnm.Print_Titles" localSheetId="11">PWERM!$1:$8</definedName>
    <definedName name="_xlnm.Print_Titles" localSheetId="31">'PWERM DLOM'!$1:$11</definedName>
    <definedName name="_xlnm.Print_Titles" localSheetId="103">'PWERM Waterfall n Allocation'!$1:$16</definedName>
    <definedName name="_xlnm.Print_Titles" localSheetId="104">'PWERM Waterfall n Allocation_B'!$1:$16</definedName>
    <definedName name="_xlnm.Print_Titles" localSheetId="38">'Risk-Free Rates'!$1:$20</definedName>
    <definedName name="_xlnm.Print_Titles" localSheetId="96">'Risk-Free Rates_OPM'!$1:$20</definedName>
    <definedName name="_xlnm.Print_Titles" localSheetId="51">'rNPV Analysis_Diabetes'!$A:$E,'rNPV Analysis_Diabetes'!$1:$4</definedName>
    <definedName name="_xlnm.Print_Titles" localSheetId="53">'rNPV Analysis_NASH'!$A:$E,'rNPV Analysis_NASH'!$1:$4</definedName>
    <definedName name="_xlnm.Print_Titles" localSheetId="49">'rNPV Analysis_Obesity'!$A:$E,'rNPV Analysis_Obesity'!$1:$11</definedName>
    <definedName name="_xlnm.Print_Titles" localSheetId="50">'rNPV Assumptions_Diabetes'!$1:$5</definedName>
    <definedName name="_xlnm.Print_Titles" localSheetId="52">'rNPV Assumptions_NASH'!$1:$5</definedName>
    <definedName name="_xlnm.Print_Titles" localSheetId="48">'rNPV Assumptions_Obesity'!$1:$5</definedName>
    <definedName name="_xlnm.Print_Titles" localSheetId="61">'Timeline and Cost Research'!$1:$5</definedName>
    <definedName name="_xlnm.Print_Titles" localSheetId="25">Trans.1!$A:$P,Trans.1!$1:$7</definedName>
    <definedName name="_xlnm.Print_Titles" localSheetId="26">Trans.2!$2:$7</definedName>
    <definedName name="_xlnm.Print_Titles" localSheetId="45">'Val Summ (2)'!$1:$7</definedName>
    <definedName name="_xlnm.Print_Titles" localSheetId="57">'YTW Large Pharma'!$1:$7</definedName>
    <definedName name="printit" localSheetId="47" hidden="1">{#N/A,#N/A,FALSE,"Assumptions";#N/A,#N/A,FALSE,"Factors";#N/A,#N/A,FALSE,"Model";#N/A,#N/A,FALSE,"Allocation"}</definedName>
    <definedName name="printit" localSheetId="54" hidden="1">{#N/A,#N/A,FALSE,"Assumptions";#N/A,#N/A,FALSE,"Factors";#N/A,#N/A,FALSE,"Model";#N/A,#N/A,FALSE,"Allocation"}</definedName>
    <definedName name="printit" hidden="1">{#N/A,#N/A,FALSE,"Assumptions";#N/A,#N/A,FALSE,"Factors";#N/A,#N/A,FALSE,"Model";#N/A,#N/A,FALSE,"Allocation"}</definedName>
    <definedName name="ProjectName" localSheetId="47">{"Client Name or Project Name"}</definedName>
    <definedName name="ProjectName" localSheetId="57">{"Client Name or Project Name"}</definedName>
    <definedName name="ProjectName">{"Client Name or Project Name"}</definedName>
    <definedName name="ProjectName3" localSheetId="47">{"Deutsche Post"}</definedName>
    <definedName name="ProjectName3" localSheetId="57">{"Deutsche Post"}</definedName>
    <definedName name="ProjectName3">{"Deutsche Post"}</definedName>
    <definedName name="PUB_UserID" hidden="1">"MAYERX"</definedName>
    <definedName name="Purpose">[12]Setup!$C$4</definedName>
    <definedName name="Purpose_IP">'[25]Setup - IP Val'!$C$4</definedName>
    <definedName name="pwerm1" localSheetId="59" hidden="1">#REF!</definedName>
    <definedName name="pwerm1" localSheetId="47" hidden="1">#REF!</definedName>
    <definedName name="pwerm1" localSheetId="46" hidden="1">#REF!</definedName>
    <definedName name="pwerm1" localSheetId="60" hidden="1">#REF!</definedName>
    <definedName name="pwerm1" localSheetId="63" hidden="1">#REF!</definedName>
    <definedName name="pwerm1" hidden="1">#REF!</definedName>
    <definedName name="pwn" localSheetId="47" hidden="1">{#N/A,#N/A,FALSE,"Model"}</definedName>
    <definedName name="pwn" localSheetId="54" hidden="1">{#N/A,#N/A,FALSE,"Model"}</definedName>
    <definedName name="pwn" hidden="1">{#N/A,#N/A,FALSE,"Model"}</definedName>
    <definedName name="PYR">"JANUARY 3, 1998"</definedName>
    <definedName name="q" localSheetId="55" hidden="1">{#N/A,#N/A,FALSE,"Bakersfield PCs";#N/A,#N/A,FALSE,"Bremer PCs";#N/A,#N/A,FALSE,"Bakersfield Notebooks"}</definedName>
    <definedName name="q" localSheetId="59" hidden="1">{#N/A,#N/A,FALSE,"Bakersfield PCs";#N/A,#N/A,FALSE,"Bremer PCs";#N/A,#N/A,FALSE,"Bakersfield Notebooks"}</definedName>
    <definedName name="q" localSheetId="93" hidden="1">{#N/A,#N/A,FALSE,"Bakersfield PCs";#N/A,#N/A,FALSE,"Bremer PCs";#N/A,#N/A,FALSE,"Bakersfield Notebooks"}</definedName>
    <definedName name="q" localSheetId="12" hidden="1">{#N/A,#N/A,FALSE,"Bakersfield PCs";#N/A,#N/A,FALSE,"Bremer PCs";#N/A,#N/A,FALSE,"Bakersfield Notebooks"}</definedName>
    <definedName name="q" localSheetId="62" hidden="1">{#N/A,#N/A,FALSE,"Bakersfield PCs";#N/A,#N/A,FALSE,"Bremer PCs";#N/A,#N/A,FALSE,"Bakersfield Notebooks"}</definedName>
    <definedName name="q" localSheetId="47" hidden="1">{#N/A,#N/A,FALSE,"Bakersfield PCs";#N/A,#N/A,FALSE,"Bremer PCs";#N/A,#N/A,FALSE,"Bakersfield Notebooks"}</definedName>
    <definedName name="q" localSheetId="15" hidden="1">{#N/A,#N/A,FALSE,"Bakersfield PCs";#N/A,#N/A,FALSE,"Bremer PCs";#N/A,#N/A,FALSE,"Bakersfield Notebooks"}</definedName>
    <definedName name="q" localSheetId="101" hidden="1">{#N/A,#N/A,FALSE,"Bakersfield PCs";#N/A,#N/A,FALSE,"Bremer PCs";#N/A,#N/A,FALSE,"Bakersfield Notebooks"}</definedName>
    <definedName name="q" localSheetId="60" hidden="1">{#N/A,#N/A,FALSE,"Bakersfield PCs";#N/A,#N/A,FALSE,"Bremer PCs";#N/A,#N/A,FALSE,"Bakersfield Notebooks"}</definedName>
    <definedName name="q" localSheetId="39" hidden="1">{#N/A,#N/A,FALSE,"Bakersfield PCs";#N/A,#N/A,FALSE,"Bremer PCs";#N/A,#N/A,FALSE,"Bakersfield Notebooks"}</definedName>
    <definedName name="q" localSheetId="58" hidden="1">{#N/A,#N/A,FALSE,"Bakersfield PCs";#N/A,#N/A,FALSE,"Bremer PCs";#N/A,#N/A,FALSE,"Bakersfield Notebooks"}</definedName>
    <definedName name="q" localSheetId="64" hidden="1">{#N/A,#N/A,FALSE,"Bakersfield PCs";#N/A,#N/A,FALSE,"Bremer PCs";#N/A,#N/A,FALSE,"Bakersfield Notebooks"}</definedName>
    <definedName name="q" localSheetId="54" hidden="1">{#N/A,#N/A,FALSE,"Bakersfield PCs";#N/A,#N/A,FALSE,"Bremer PCs";#N/A,#N/A,FALSE,"Bakersfield Notebooks"}</definedName>
    <definedName name="q" localSheetId="13" hidden="1">{#N/A,#N/A,FALSE,"Bakersfield PCs";#N/A,#N/A,FALSE,"Bremer PCs";#N/A,#N/A,FALSE,"Bakersfield Notebooks"}</definedName>
    <definedName name="q" localSheetId="63" hidden="1">{#N/A,#N/A,FALSE,"Bakersfield PCs";#N/A,#N/A,FALSE,"Bremer PCs";#N/A,#N/A,FALSE,"Bakersfield Notebooks"}</definedName>
    <definedName name="q" localSheetId="31" hidden="1">{#N/A,#N/A,FALSE,"Bakersfield PCs";#N/A,#N/A,FALSE,"Bremer PCs";#N/A,#N/A,FALSE,"Bakersfield Notebooks"}</definedName>
    <definedName name="q" localSheetId="61" hidden="1">{#N/A,#N/A,FALSE,"Bakersfield PCs";#N/A,#N/A,FALSE,"Bremer PCs";#N/A,#N/A,FALSE,"Bakersfield Notebooks"}</definedName>
    <definedName name="q" localSheetId="45" hidden="1">{#N/A,#N/A,FALSE,"Bakersfield PCs";#N/A,#N/A,FALSE,"Bremer PCs";#N/A,#N/A,FALSE,"Bakersfield Notebooks"}</definedName>
    <definedName name="q" localSheetId="90" hidden="1">{#N/A,#N/A,FALSE,"Bakersfield PCs";#N/A,#N/A,FALSE,"Bremer PCs";#N/A,#N/A,FALSE,"Bakersfield Notebooks"}</definedName>
    <definedName name="q" localSheetId="19" hidden="1">{#N/A,#N/A,FALSE,"Bakersfield PCs";#N/A,#N/A,FALSE,"Bremer PCs";#N/A,#N/A,FALSE,"Bakersfield Notebooks"}</definedName>
    <definedName name="q" localSheetId="57" hidden="1">{#N/A,#N/A,FALSE,"Bakersfield PCs";#N/A,#N/A,FALSE,"Bremer PCs";#N/A,#N/A,FALSE,"Bakersfield Notebooks"}</definedName>
    <definedName name="q" hidden="1">{#N/A,#N/A,FALSE,"Bakersfield PCs";#N/A,#N/A,FALSE,"Bremer PCs";#N/A,#N/A,FALSE,"Bakersfield Notebooks"}</definedName>
    <definedName name="qq" localSheetId="47" hidden="1">{#N/A,#N/A,FALSE,"e-Svc Level";#N/A,#N/A,FALSE,"e-Hosted";#N/A,#N/A,FALSE,"e-Licensed";#N/A,#N/A,FALSE,"Assumptions"}</definedName>
    <definedName name="qq" localSheetId="54" hidden="1">{#N/A,#N/A,FALSE,"e-Svc Level";#N/A,#N/A,FALSE,"e-Hosted";#N/A,#N/A,FALSE,"e-Licensed";#N/A,#N/A,FALSE,"Assumptions"}</definedName>
    <definedName name="qq" hidden="1">{#N/A,#N/A,FALSE,"e-Svc Level";#N/A,#N/A,FALSE,"e-Hosted";#N/A,#N/A,FALSE,"e-Licensed";#N/A,#N/A,FALSE,"Assumptions"}</definedName>
    <definedName name="qqq" localSheetId="47">{2}</definedName>
    <definedName name="qqq" localSheetId="57">{2}</definedName>
    <definedName name="qqq">{2}</definedName>
    <definedName name="qsummary" localSheetId="47">{"COVER";"facts";"baladj";"bal";"inc";"cash";"irr";"fees";"feeamort";"srsubdebt";"DCF"}</definedName>
    <definedName name="qsummary" localSheetId="57">{"COVER";"facts";"baladj";"bal";"inc";"cash";"irr";"fees";"feeamort";"srsubdebt";"DCF"}</definedName>
    <definedName name="qsummary">{"COVER";"facts";"baladj";"bal";"inc";"cash";"irr";"fees";"feeamort";"srsubdebt";"DCF"}</definedName>
    <definedName name="rarte" localSheetId="55" hidden="1">{#N/A,#N/A,FALSE,"Bakersfield PCs";#N/A,#N/A,FALSE,"Bremer PCs";#N/A,#N/A,FALSE,"Bakersfield Notebooks"}</definedName>
    <definedName name="rarte" localSheetId="59" hidden="1">{#N/A,#N/A,FALSE,"Bakersfield PCs";#N/A,#N/A,FALSE,"Bremer PCs";#N/A,#N/A,FALSE,"Bakersfield Notebooks"}</definedName>
    <definedName name="rarte" localSheetId="93" hidden="1">{#N/A,#N/A,FALSE,"Bakersfield PCs";#N/A,#N/A,FALSE,"Bremer PCs";#N/A,#N/A,FALSE,"Bakersfield Notebooks"}</definedName>
    <definedName name="rarte" localSheetId="12" hidden="1">{#N/A,#N/A,FALSE,"Bakersfield PCs";#N/A,#N/A,FALSE,"Bremer PCs";#N/A,#N/A,FALSE,"Bakersfield Notebooks"}</definedName>
    <definedName name="rarte" localSheetId="62" hidden="1">{#N/A,#N/A,FALSE,"Bakersfield PCs";#N/A,#N/A,FALSE,"Bremer PCs";#N/A,#N/A,FALSE,"Bakersfield Notebooks"}</definedName>
    <definedName name="rarte" localSheetId="47" hidden="1">{#N/A,#N/A,FALSE,"Bakersfield PCs";#N/A,#N/A,FALSE,"Bremer PCs";#N/A,#N/A,FALSE,"Bakersfield Notebooks"}</definedName>
    <definedName name="rarte" localSheetId="15" hidden="1">{#N/A,#N/A,FALSE,"Bakersfield PCs";#N/A,#N/A,FALSE,"Bremer PCs";#N/A,#N/A,FALSE,"Bakersfield Notebooks"}</definedName>
    <definedName name="rarte" localSheetId="101" hidden="1">{#N/A,#N/A,FALSE,"Bakersfield PCs";#N/A,#N/A,FALSE,"Bremer PCs";#N/A,#N/A,FALSE,"Bakersfield Notebooks"}</definedName>
    <definedName name="rarte" localSheetId="60" hidden="1">{#N/A,#N/A,FALSE,"Bakersfield PCs";#N/A,#N/A,FALSE,"Bremer PCs";#N/A,#N/A,FALSE,"Bakersfield Notebooks"}</definedName>
    <definedName name="rarte" localSheetId="39" hidden="1">{#N/A,#N/A,FALSE,"Bakersfield PCs";#N/A,#N/A,FALSE,"Bremer PCs";#N/A,#N/A,FALSE,"Bakersfield Notebooks"}</definedName>
    <definedName name="rarte" localSheetId="58" hidden="1">{#N/A,#N/A,FALSE,"Bakersfield PCs";#N/A,#N/A,FALSE,"Bremer PCs";#N/A,#N/A,FALSE,"Bakersfield Notebooks"}</definedName>
    <definedName name="rarte" localSheetId="64" hidden="1">{#N/A,#N/A,FALSE,"Bakersfield PCs";#N/A,#N/A,FALSE,"Bremer PCs";#N/A,#N/A,FALSE,"Bakersfield Notebooks"}</definedName>
    <definedName name="rarte" localSheetId="54" hidden="1">{#N/A,#N/A,FALSE,"Bakersfield PCs";#N/A,#N/A,FALSE,"Bremer PCs";#N/A,#N/A,FALSE,"Bakersfield Notebooks"}</definedName>
    <definedName name="rarte" localSheetId="13" hidden="1">{#N/A,#N/A,FALSE,"Bakersfield PCs";#N/A,#N/A,FALSE,"Bremer PCs";#N/A,#N/A,FALSE,"Bakersfield Notebooks"}</definedName>
    <definedName name="rarte" localSheetId="63" hidden="1">{#N/A,#N/A,FALSE,"Bakersfield PCs";#N/A,#N/A,FALSE,"Bremer PCs";#N/A,#N/A,FALSE,"Bakersfield Notebooks"}</definedName>
    <definedName name="rarte" localSheetId="31" hidden="1">{#N/A,#N/A,FALSE,"Bakersfield PCs";#N/A,#N/A,FALSE,"Bremer PCs";#N/A,#N/A,FALSE,"Bakersfield Notebooks"}</definedName>
    <definedName name="rarte" localSheetId="61" hidden="1">{#N/A,#N/A,FALSE,"Bakersfield PCs";#N/A,#N/A,FALSE,"Bremer PCs";#N/A,#N/A,FALSE,"Bakersfield Notebooks"}</definedName>
    <definedName name="rarte" localSheetId="45" hidden="1">{#N/A,#N/A,FALSE,"Bakersfield PCs";#N/A,#N/A,FALSE,"Bremer PCs";#N/A,#N/A,FALSE,"Bakersfield Notebooks"}</definedName>
    <definedName name="rarte" localSheetId="90" hidden="1">{#N/A,#N/A,FALSE,"Bakersfield PCs";#N/A,#N/A,FALSE,"Bremer PCs";#N/A,#N/A,FALSE,"Bakersfield Notebooks"}</definedName>
    <definedName name="rarte" localSheetId="19" hidden="1">{#N/A,#N/A,FALSE,"Bakersfield PCs";#N/A,#N/A,FALSE,"Bremer PCs";#N/A,#N/A,FALSE,"Bakersfield Notebooks"}</definedName>
    <definedName name="rarte" localSheetId="57" hidden="1">{#N/A,#N/A,FALSE,"Bakersfield PCs";#N/A,#N/A,FALSE,"Bremer PCs";#N/A,#N/A,FALSE,"Bakersfield Notebooks"}</definedName>
    <definedName name="rarte" hidden="1">{#N/A,#N/A,FALSE,"Bakersfield PCs";#N/A,#N/A,FALSE,"Bremer PCs";#N/A,#N/A,FALSE,"Bakersfield Notebooks"}</definedName>
    <definedName name="rates" localSheetId="47" hidden="1">{"rates",#N/A,FALSE,"Summary"}</definedName>
    <definedName name="rates" localSheetId="54" hidden="1">{"rates",#N/A,FALSE,"Summary"}</definedName>
    <definedName name="rates" hidden="1">{"rates",#N/A,FALSE,"Summary"}</definedName>
    <definedName name="RDVers">"2.10a"</definedName>
    <definedName name="reality" localSheetId="55" hidden="1">{#N/A,#N/A,FALSE,"Title Page";#N/A,#N/A,FALSE,"Conclusions";#N/A,#N/A,FALSE,"Assum.";#N/A,#N/A,FALSE,"Sun  DCF-WC-Dep";#N/A,#N/A,FALSE,"MarketValue";#N/A,#N/A,FALSE,"BalSheet";#N/A,#N/A,FALSE,"WACC";#N/A,#N/A,FALSE,"PC+ Info.";#N/A,#N/A,FALSE,"PC+Info_2"}</definedName>
    <definedName name="reality" localSheetId="59" hidden="1">{#N/A,#N/A,FALSE,"Title Page";#N/A,#N/A,FALSE,"Conclusions";#N/A,#N/A,FALSE,"Assum.";#N/A,#N/A,FALSE,"Sun  DCF-WC-Dep";#N/A,#N/A,FALSE,"MarketValue";#N/A,#N/A,FALSE,"BalSheet";#N/A,#N/A,FALSE,"WACC";#N/A,#N/A,FALSE,"PC+ Info.";#N/A,#N/A,FALSE,"PC+Info_2"}</definedName>
    <definedName name="reality" localSheetId="93" hidden="1">{#N/A,#N/A,FALSE,"Title Page";#N/A,#N/A,FALSE,"Conclusions";#N/A,#N/A,FALSE,"Assum.";#N/A,#N/A,FALSE,"Sun  DCF-WC-Dep";#N/A,#N/A,FALSE,"MarketValue";#N/A,#N/A,FALSE,"BalSheet";#N/A,#N/A,FALSE,"WACC";#N/A,#N/A,FALSE,"PC+ Info.";#N/A,#N/A,FALSE,"PC+Info_2"}</definedName>
    <definedName name="reality" localSheetId="12" hidden="1">{#N/A,#N/A,FALSE,"Title Page";#N/A,#N/A,FALSE,"Conclusions";#N/A,#N/A,FALSE,"Assum.";#N/A,#N/A,FALSE,"Sun  DCF-WC-Dep";#N/A,#N/A,FALSE,"MarketValue";#N/A,#N/A,FALSE,"BalSheet";#N/A,#N/A,FALSE,"WACC";#N/A,#N/A,FALSE,"PC+ Info.";#N/A,#N/A,FALSE,"PC+Info_2"}</definedName>
    <definedName name="reality" localSheetId="62" hidden="1">{#N/A,#N/A,FALSE,"Title Page";#N/A,#N/A,FALSE,"Conclusions";#N/A,#N/A,FALSE,"Assum.";#N/A,#N/A,FALSE,"Sun  DCF-WC-Dep";#N/A,#N/A,FALSE,"MarketValue";#N/A,#N/A,FALSE,"BalSheet";#N/A,#N/A,FALSE,"WACC";#N/A,#N/A,FALSE,"PC+ Info.";#N/A,#N/A,FALSE,"PC+Info_2"}</definedName>
    <definedName name="reality" localSheetId="47" hidden="1">{#N/A,#N/A,FALSE,"Title Page";#N/A,#N/A,FALSE,"Conclusions";#N/A,#N/A,FALSE,"Assum.";#N/A,#N/A,FALSE,"Sun  DCF-WC-Dep";#N/A,#N/A,FALSE,"MarketValue";#N/A,#N/A,FALSE,"BalSheet";#N/A,#N/A,FALSE,"WACC";#N/A,#N/A,FALSE,"PC+ Info.";#N/A,#N/A,FALSE,"PC+Info_2"}</definedName>
    <definedName name="reality" localSheetId="15" hidden="1">{#N/A,#N/A,FALSE,"Title Page";#N/A,#N/A,FALSE,"Conclusions";#N/A,#N/A,FALSE,"Assum.";#N/A,#N/A,FALSE,"Sun  DCF-WC-Dep";#N/A,#N/A,FALSE,"MarketValue";#N/A,#N/A,FALSE,"BalSheet";#N/A,#N/A,FALSE,"WACC";#N/A,#N/A,FALSE,"PC+ Info.";#N/A,#N/A,FALSE,"PC+Info_2"}</definedName>
    <definedName name="reality" localSheetId="101" hidden="1">{#N/A,#N/A,FALSE,"Title Page";#N/A,#N/A,FALSE,"Conclusions";#N/A,#N/A,FALSE,"Assum.";#N/A,#N/A,FALSE,"Sun  DCF-WC-Dep";#N/A,#N/A,FALSE,"MarketValue";#N/A,#N/A,FALSE,"BalSheet";#N/A,#N/A,FALSE,"WACC";#N/A,#N/A,FALSE,"PC+ Info.";#N/A,#N/A,FALSE,"PC+Info_2"}</definedName>
    <definedName name="reality" localSheetId="60" hidden="1">{#N/A,#N/A,FALSE,"Title Page";#N/A,#N/A,FALSE,"Conclusions";#N/A,#N/A,FALSE,"Assum.";#N/A,#N/A,FALSE,"Sun  DCF-WC-Dep";#N/A,#N/A,FALSE,"MarketValue";#N/A,#N/A,FALSE,"BalSheet";#N/A,#N/A,FALSE,"WACC";#N/A,#N/A,FALSE,"PC+ Info.";#N/A,#N/A,FALSE,"PC+Info_2"}</definedName>
    <definedName name="reality" localSheetId="39" hidden="1">{#N/A,#N/A,FALSE,"Title Page";#N/A,#N/A,FALSE,"Conclusions";#N/A,#N/A,FALSE,"Assum.";#N/A,#N/A,FALSE,"Sun  DCF-WC-Dep";#N/A,#N/A,FALSE,"MarketValue";#N/A,#N/A,FALSE,"BalSheet";#N/A,#N/A,FALSE,"WACC";#N/A,#N/A,FALSE,"PC+ Info.";#N/A,#N/A,FALSE,"PC+Info_2"}</definedName>
    <definedName name="reality" localSheetId="58" hidden="1">{#N/A,#N/A,FALSE,"Title Page";#N/A,#N/A,FALSE,"Conclusions";#N/A,#N/A,FALSE,"Assum.";#N/A,#N/A,FALSE,"Sun  DCF-WC-Dep";#N/A,#N/A,FALSE,"MarketValue";#N/A,#N/A,FALSE,"BalSheet";#N/A,#N/A,FALSE,"WACC";#N/A,#N/A,FALSE,"PC+ Info.";#N/A,#N/A,FALSE,"PC+Info_2"}</definedName>
    <definedName name="reality" localSheetId="64" hidden="1">{#N/A,#N/A,FALSE,"Title Page";#N/A,#N/A,FALSE,"Conclusions";#N/A,#N/A,FALSE,"Assum.";#N/A,#N/A,FALSE,"Sun  DCF-WC-Dep";#N/A,#N/A,FALSE,"MarketValue";#N/A,#N/A,FALSE,"BalSheet";#N/A,#N/A,FALSE,"WACC";#N/A,#N/A,FALSE,"PC+ Info.";#N/A,#N/A,FALSE,"PC+Info_2"}</definedName>
    <definedName name="reality" localSheetId="54" hidden="1">{#N/A,#N/A,FALSE,"Title Page";#N/A,#N/A,FALSE,"Conclusions";#N/A,#N/A,FALSE,"Assum.";#N/A,#N/A,FALSE,"Sun  DCF-WC-Dep";#N/A,#N/A,FALSE,"MarketValue";#N/A,#N/A,FALSE,"BalSheet";#N/A,#N/A,FALSE,"WACC";#N/A,#N/A,FALSE,"PC+ Info.";#N/A,#N/A,FALSE,"PC+Info_2"}</definedName>
    <definedName name="reality" localSheetId="13" hidden="1">{#N/A,#N/A,FALSE,"Title Page";#N/A,#N/A,FALSE,"Conclusions";#N/A,#N/A,FALSE,"Assum.";#N/A,#N/A,FALSE,"Sun  DCF-WC-Dep";#N/A,#N/A,FALSE,"MarketValue";#N/A,#N/A,FALSE,"BalSheet";#N/A,#N/A,FALSE,"WACC";#N/A,#N/A,FALSE,"PC+ Info.";#N/A,#N/A,FALSE,"PC+Info_2"}</definedName>
    <definedName name="reality" localSheetId="63" hidden="1">{#N/A,#N/A,FALSE,"Title Page";#N/A,#N/A,FALSE,"Conclusions";#N/A,#N/A,FALSE,"Assum.";#N/A,#N/A,FALSE,"Sun  DCF-WC-Dep";#N/A,#N/A,FALSE,"MarketValue";#N/A,#N/A,FALSE,"BalSheet";#N/A,#N/A,FALSE,"WACC";#N/A,#N/A,FALSE,"PC+ Info.";#N/A,#N/A,FALSE,"PC+Info_2"}</definedName>
    <definedName name="reality" localSheetId="31" hidden="1">{#N/A,#N/A,FALSE,"Title Page";#N/A,#N/A,FALSE,"Conclusions";#N/A,#N/A,FALSE,"Assum.";#N/A,#N/A,FALSE,"Sun  DCF-WC-Dep";#N/A,#N/A,FALSE,"MarketValue";#N/A,#N/A,FALSE,"BalSheet";#N/A,#N/A,FALSE,"WACC";#N/A,#N/A,FALSE,"PC+ Info.";#N/A,#N/A,FALSE,"PC+Info_2"}</definedName>
    <definedName name="reality" localSheetId="61" hidden="1">{#N/A,#N/A,FALSE,"Title Page";#N/A,#N/A,FALSE,"Conclusions";#N/A,#N/A,FALSE,"Assum.";#N/A,#N/A,FALSE,"Sun  DCF-WC-Dep";#N/A,#N/A,FALSE,"MarketValue";#N/A,#N/A,FALSE,"BalSheet";#N/A,#N/A,FALSE,"WACC";#N/A,#N/A,FALSE,"PC+ Info.";#N/A,#N/A,FALSE,"PC+Info_2"}</definedName>
    <definedName name="reality" localSheetId="45" hidden="1">{#N/A,#N/A,FALSE,"Title Page";#N/A,#N/A,FALSE,"Conclusions";#N/A,#N/A,FALSE,"Assum.";#N/A,#N/A,FALSE,"Sun  DCF-WC-Dep";#N/A,#N/A,FALSE,"MarketValue";#N/A,#N/A,FALSE,"BalSheet";#N/A,#N/A,FALSE,"WACC";#N/A,#N/A,FALSE,"PC+ Info.";#N/A,#N/A,FALSE,"PC+Info_2"}</definedName>
    <definedName name="reality" localSheetId="90" hidden="1">{#N/A,#N/A,FALSE,"Title Page";#N/A,#N/A,FALSE,"Conclusions";#N/A,#N/A,FALSE,"Assum.";#N/A,#N/A,FALSE,"Sun  DCF-WC-Dep";#N/A,#N/A,FALSE,"MarketValue";#N/A,#N/A,FALSE,"BalSheet";#N/A,#N/A,FALSE,"WACC";#N/A,#N/A,FALSE,"PC+ Info.";#N/A,#N/A,FALSE,"PC+Info_2"}</definedName>
    <definedName name="reality" localSheetId="19" hidden="1">{#N/A,#N/A,FALSE,"Title Page";#N/A,#N/A,FALSE,"Conclusions";#N/A,#N/A,FALSE,"Assum.";#N/A,#N/A,FALSE,"Sun  DCF-WC-Dep";#N/A,#N/A,FALSE,"MarketValue";#N/A,#N/A,FALSE,"BalSheet";#N/A,#N/A,FALSE,"WACC";#N/A,#N/A,FALSE,"PC+ Info.";#N/A,#N/A,FALSE,"PC+Info_2"}</definedName>
    <definedName name="reality" localSheetId="57" hidden="1">{#N/A,#N/A,FALSE,"Title Page";#N/A,#N/A,FALSE,"Conclusions";#N/A,#N/A,FALSE,"Assum.";#N/A,#N/A,FALSE,"Sun  DCF-WC-Dep";#N/A,#N/A,FALSE,"MarketValue";#N/A,#N/A,FALSE,"BalSheet";#N/A,#N/A,FALSE,"WACC";#N/A,#N/A,FALSE,"PC+ Info.";#N/A,#N/A,FALSE,"PC+Info_2"}</definedName>
    <definedName name="reality" hidden="1">{#N/A,#N/A,FALSE,"Title Page";#N/A,#N/A,FALSE,"Conclusions";#N/A,#N/A,FALSE,"Assum.";#N/A,#N/A,FALSE,"Sun  DCF-WC-Dep";#N/A,#N/A,FALSE,"MarketValue";#N/A,#N/A,FALSE,"BalSheet";#N/A,#N/A,FALSE,"WACC";#N/A,#N/A,FALSE,"PC+ Info.";#N/A,#N/A,FALSE,"PC+Info_2"}</definedName>
    <definedName name="Recruiting">0.1</definedName>
    <definedName name="Region">'[18]Country View'!$AO$18:$AO$26</definedName>
    <definedName name="regmult" localSheetId="106" hidden="1">#REF!</definedName>
    <definedName name="regmult" localSheetId="95" hidden="1">#REF!</definedName>
    <definedName name="regmult" localSheetId="94" hidden="1">#REF!</definedName>
    <definedName name="regmult" localSheetId="33" hidden="1">#REF!</definedName>
    <definedName name="regmult" localSheetId="34" hidden="1">#REF!</definedName>
    <definedName name="regmult" localSheetId="35" hidden="1">#REF!</definedName>
    <definedName name="regmult" localSheetId="102" hidden="1">#REF!</definedName>
    <definedName name="regmult" localSheetId="4" hidden="1">#REF!</definedName>
    <definedName name="regmult" localSheetId="55" hidden="1">#REF!</definedName>
    <definedName name="regmult" localSheetId="59" hidden="1">#REF!</definedName>
    <definedName name="regmult" localSheetId="93" hidden="1">#REF!</definedName>
    <definedName name="regmult" localSheetId="62" hidden="1">#REF!</definedName>
    <definedName name="regmult" localSheetId="47" hidden="1">#REF!</definedName>
    <definedName name="regmult" localSheetId="101" hidden="1">#REF!</definedName>
    <definedName name="regmult" localSheetId="40" hidden="1">#REF!</definedName>
    <definedName name="regmult" localSheetId="41" hidden="1">#REF!</definedName>
    <definedName name="regmult" localSheetId="46" hidden="1">#REF!</definedName>
    <definedName name="regmult" localSheetId="60" hidden="1">#REF!</definedName>
    <definedName name="regmult" localSheetId="39" hidden="1">#REF!</definedName>
    <definedName name="regmult" localSheetId="58" hidden="1">#REF!</definedName>
    <definedName name="regmult" localSheetId="44" hidden="1">#REF!</definedName>
    <definedName name="regmult" localSheetId="64" hidden="1">#REF!</definedName>
    <definedName name="regmult" localSheetId="63" hidden="1">#REF!</definedName>
    <definedName name="regmult" localSheetId="31" hidden="1">#REF!</definedName>
    <definedName name="regmult" localSheetId="104" hidden="1">#REF!</definedName>
    <definedName name="regmult" localSheetId="96" hidden="1">#REF!</definedName>
    <definedName name="regmult" localSheetId="61" hidden="1">#REF!</definedName>
    <definedName name="regmult" localSheetId="90" hidden="1">#REF!</definedName>
    <definedName name="regmult" localSheetId="19" hidden="1">#REF!</definedName>
    <definedName name="regmult" localSheetId="57" hidden="1">#REF!</definedName>
    <definedName name="regmult" hidden="1">#REF!</definedName>
    <definedName name="relativevalue2" localSheetId="55" hidden="1">{#N/A,#N/A,FALSE,"Bakersfield PCs";#N/A,#N/A,FALSE,"Bremer PCs";#N/A,#N/A,FALSE,"Bakersfield Notebooks"}</definedName>
    <definedName name="relativevalue2" localSheetId="59" hidden="1">{#N/A,#N/A,FALSE,"Bakersfield PCs";#N/A,#N/A,FALSE,"Bremer PCs";#N/A,#N/A,FALSE,"Bakersfield Notebooks"}</definedName>
    <definedName name="relativevalue2" localSheetId="93" hidden="1">{#N/A,#N/A,FALSE,"Bakersfield PCs";#N/A,#N/A,FALSE,"Bremer PCs";#N/A,#N/A,FALSE,"Bakersfield Notebooks"}</definedName>
    <definedName name="relativevalue2" localSheetId="12" hidden="1">{#N/A,#N/A,FALSE,"Bakersfield PCs";#N/A,#N/A,FALSE,"Bremer PCs";#N/A,#N/A,FALSE,"Bakersfield Notebooks"}</definedName>
    <definedName name="relativevalue2" localSheetId="62" hidden="1">{#N/A,#N/A,FALSE,"Bakersfield PCs";#N/A,#N/A,FALSE,"Bremer PCs";#N/A,#N/A,FALSE,"Bakersfield Notebooks"}</definedName>
    <definedName name="relativevalue2" localSheetId="47" hidden="1">{#N/A,#N/A,FALSE,"Bakersfield PCs";#N/A,#N/A,FALSE,"Bremer PCs";#N/A,#N/A,FALSE,"Bakersfield Notebooks"}</definedName>
    <definedName name="relativevalue2" localSheetId="15" hidden="1">{#N/A,#N/A,FALSE,"Bakersfield PCs";#N/A,#N/A,FALSE,"Bremer PCs";#N/A,#N/A,FALSE,"Bakersfield Notebooks"}</definedName>
    <definedName name="relativevalue2" localSheetId="101" hidden="1">{#N/A,#N/A,FALSE,"Bakersfield PCs";#N/A,#N/A,FALSE,"Bremer PCs";#N/A,#N/A,FALSE,"Bakersfield Notebooks"}</definedName>
    <definedName name="relativevalue2" localSheetId="60" hidden="1">{#N/A,#N/A,FALSE,"Bakersfield PCs";#N/A,#N/A,FALSE,"Bremer PCs";#N/A,#N/A,FALSE,"Bakersfield Notebooks"}</definedName>
    <definedName name="relativevalue2" localSheetId="39" hidden="1">{#N/A,#N/A,FALSE,"Bakersfield PCs";#N/A,#N/A,FALSE,"Bremer PCs";#N/A,#N/A,FALSE,"Bakersfield Notebooks"}</definedName>
    <definedName name="relativevalue2" localSheetId="58" hidden="1">{#N/A,#N/A,FALSE,"Bakersfield PCs";#N/A,#N/A,FALSE,"Bremer PCs";#N/A,#N/A,FALSE,"Bakersfield Notebooks"}</definedName>
    <definedName name="relativevalue2" localSheetId="64" hidden="1">{#N/A,#N/A,FALSE,"Bakersfield PCs";#N/A,#N/A,FALSE,"Bremer PCs";#N/A,#N/A,FALSE,"Bakersfield Notebooks"}</definedName>
    <definedName name="relativevalue2" localSheetId="54" hidden="1">{#N/A,#N/A,FALSE,"Bakersfield PCs";#N/A,#N/A,FALSE,"Bremer PCs";#N/A,#N/A,FALSE,"Bakersfield Notebooks"}</definedName>
    <definedName name="relativevalue2" localSheetId="13" hidden="1">{#N/A,#N/A,FALSE,"Bakersfield PCs";#N/A,#N/A,FALSE,"Bremer PCs";#N/A,#N/A,FALSE,"Bakersfield Notebooks"}</definedName>
    <definedName name="relativevalue2" localSheetId="63" hidden="1">{#N/A,#N/A,FALSE,"Bakersfield PCs";#N/A,#N/A,FALSE,"Bremer PCs";#N/A,#N/A,FALSE,"Bakersfield Notebooks"}</definedName>
    <definedName name="relativevalue2" localSheetId="31" hidden="1">{#N/A,#N/A,FALSE,"Bakersfield PCs";#N/A,#N/A,FALSE,"Bremer PCs";#N/A,#N/A,FALSE,"Bakersfield Notebooks"}</definedName>
    <definedName name="relativevalue2" localSheetId="61" hidden="1">{#N/A,#N/A,FALSE,"Bakersfield PCs";#N/A,#N/A,FALSE,"Bremer PCs";#N/A,#N/A,FALSE,"Bakersfield Notebooks"}</definedName>
    <definedName name="relativevalue2" localSheetId="45" hidden="1">{#N/A,#N/A,FALSE,"Bakersfield PCs";#N/A,#N/A,FALSE,"Bremer PCs";#N/A,#N/A,FALSE,"Bakersfield Notebooks"}</definedName>
    <definedName name="relativevalue2" localSheetId="90" hidden="1">{#N/A,#N/A,FALSE,"Bakersfield PCs";#N/A,#N/A,FALSE,"Bremer PCs";#N/A,#N/A,FALSE,"Bakersfield Notebooks"}</definedName>
    <definedName name="relativevalue2" localSheetId="19" hidden="1">{#N/A,#N/A,FALSE,"Bakersfield PCs";#N/A,#N/A,FALSE,"Bremer PCs";#N/A,#N/A,FALSE,"Bakersfield Notebooks"}</definedName>
    <definedName name="relativevalue2" localSheetId="57" hidden="1">{#N/A,#N/A,FALSE,"Bakersfield PCs";#N/A,#N/A,FALSE,"Bremer PCs";#N/A,#N/A,FALSE,"Bakersfield Notebooks"}</definedName>
    <definedName name="relativevalue2" hidden="1">{#N/A,#N/A,FALSE,"Bakersfield PCs";#N/A,#N/A,FALSE,"Bremer PCs";#N/A,#N/A,FALSE,"Bakersfield Notebooks"}</definedName>
    <definedName name="relativevalue3" localSheetId="55" hidden="1">{#N/A,#N/A,FALSE,"Bakersfield PCs";#N/A,#N/A,FALSE,"Bremer PCs";#N/A,#N/A,FALSE,"Bakersfield Notebooks"}</definedName>
    <definedName name="relativevalue3" localSheetId="59" hidden="1">{#N/A,#N/A,FALSE,"Bakersfield PCs";#N/A,#N/A,FALSE,"Bremer PCs";#N/A,#N/A,FALSE,"Bakersfield Notebooks"}</definedName>
    <definedName name="relativevalue3" localSheetId="93" hidden="1">{#N/A,#N/A,FALSE,"Bakersfield PCs";#N/A,#N/A,FALSE,"Bremer PCs";#N/A,#N/A,FALSE,"Bakersfield Notebooks"}</definedName>
    <definedName name="relativevalue3" localSheetId="12" hidden="1">{#N/A,#N/A,FALSE,"Bakersfield PCs";#N/A,#N/A,FALSE,"Bremer PCs";#N/A,#N/A,FALSE,"Bakersfield Notebooks"}</definedName>
    <definedName name="relativevalue3" localSheetId="62" hidden="1">{#N/A,#N/A,FALSE,"Bakersfield PCs";#N/A,#N/A,FALSE,"Bremer PCs";#N/A,#N/A,FALSE,"Bakersfield Notebooks"}</definedName>
    <definedName name="relativevalue3" localSheetId="47" hidden="1">{#N/A,#N/A,FALSE,"Bakersfield PCs";#N/A,#N/A,FALSE,"Bremer PCs";#N/A,#N/A,FALSE,"Bakersfield Notebooks"}</definedName>
    <definedName name="relativevalue3" localSheetId="15" hidden="1">{#N/A,#N/A,FALSE,"Bakersfield PCs";#N/A,#N/A,FALSE,"Bremer PCs";#N/A,#N/A,FALSE,"Bakersfield Notebooks"}</definedName>
    <definedName name="relativevalue3" localSheetId="101" hidden="1">{#N/A,#N/A,FALSE,"Bakersfield PCs";#N/A,#N/A,FALSE,"Bremer PCs";#N/A,#N/A,FALSE,"Bakersfield Notebooks"}</definedName>
    <definedName name="relativevalue3" localSheetId="60" hidden="1">{#N/A,#N/A,FALSE,"Bakersfield PCs";#N/A,#N/A,FALSE,"Bremer PCs";#N/A,#N/A,FALSE,"Bakersfield Notebooks"}</definedName>
    <definedName name="relativevalue3" localSheetId="39" hidden="1">{#N/A,#N/A,FALSE,"Bakersfield PCs";#N/A,#N/A,FALSE,"Bremer PCs";#N/A,#N/A,FALSE,"Bakersfield Notebooks"}</definedName>
    <definedName name="relativevalue3" localSheetId="58" hidden="1">{#N/A,#N/A,FALSE,"Bakersfield PCs";#N/A,#N/A,FALSE,"Bremer PCs";#N/A,#N/A,FALSE,"Bakersfield Notebooks"}</definedName>
    <definedName name="relativevalue3" localSheetId="64" hidden="1">{#N/A,#N/A,FALSE,"Bakersfield PCs";#N/A,#N/A,FALSE,"Bremer PCs";#N/A,#N/A,FALSE,"Bakersfield Notebooks"}</definedName>
    <definedName name="relativevalue3" localSheetId="54" hidden="1">{#N/A,#N/A,FALSE,"Bakersfield PCs";#N/A,#N/A,FALSE,"Bremer PCs";#N/A,#N/A,FALSE,"Bakersfield Notebooks"}</definedName>
    <definedName name="relativevalue3" localSheetId="13" hidden="1">{#N/A,#N/A,FALSE,"Bakersfield PCs";#N/A,#N/A,FALSE,"Bremer PCs";#N/A,#N/A,FALSE,"Bakersfield Notebooks"}</definedName>
    <definedName name="relativevalue3" localSheetId="63" hidden="1">{#N/A,#N/A,FALSE,"Bakersfield PCs";#N/A,#N/A,FALSE,"Bremer PCs";#N/A,#N/A,FALSE,"Bakersfield Notebooks"}</definedName>
    <definedName name="relativevalue3" localSheetId="31" hidden="1">{#N/A,#N/A,FALSE,"Bakersfield PCs";#N/A,#N/A,FALSE,"Bremer PCs";#N/A,#N/A,FALSE,"Bakersfield Notebooks"}</definedName>
    <definedName name="relativevalue3" localSheetId="61" hidden="1">{#N/A,#N/A,FALSE,"Bakersfield PCs";#N/A,#N/A,FALSE,"Bremer PCs";#N/A,#N/A,FALSE,"Bakersfield Notebooks"}</definedName>
    <definedName name="relativevalue3" localSheetId="45" hidden="1">{#N/A,#N/A,FALSE,"Bakersfield PCs";#N/A,#N/A,FALSE,"Bremer PCs";#N/A,#N/A,FALSE,"Bakersfield Notebooks"}</definedName>
    <definedName name="relativevalue3" localSheetId="90" hidden="1">{#N/A,#N/A,FALSE,"Bakersfield PCs";#N/A,#N/A,FALSE,"Bremer PCs";#N/A,#N/A,FALSE,"Bakersfield Notebooks"}</definedName>
    <definedName name="relativevalue3" localSheetId="19" hidden="1">{#N/A,#N/A,FALSE,"Bakersfield PCs";#N/A,#N/A,FALSE,"Bremer PCs";#N/A,#N/A,FALSE,"Bakersfield Notebooks"}</definedName>
    <definedName name="relativevalue3" localSheetId="57" hidden="1">{#N/A,#N/A,FALSE,"Bakersfield PCs";#N/A,#N/A,FALSE,"Bremer PCs";#N/A,#N/A,FALSE,"Bakersfield Notebooks"}</definedName>
    <definedName name="relativevalue3" hidden="1">{#N/A,#N/A,FALSE,"Bakersfield PCs";#N/A,#N/A,FALSE,"Bremer PCs";#N/A,#N/A,FALSE,"Bakersfield Notebooks"}</definedName>
    <definedName name="relconNEW" localSheetId="47">{2}</definedName>
    <definedName name="relconNEW" localSheetId="57">{2}</definedName>
    <definedName name="relconNEW">{2}</definedName>
    <definedName name="REPDATA">[26]SUBS!$B$10:$V$70</definedName>
    <definedName name="Report" localSheetId="47">{"p1";"p2";"p3"}</definedName>
    <definedName name="Report" localSheetId="57">{"p1";"p2";"p3"}</definedName>
    <definedName name="Report">{"p1";"p2";"p3"}</definedName>
    <definedName name="Report_Divisor" hidden="1">1000</definedName>
    <definedName name="Report_Divisor_000" hidden="1">1000000</definedName>
    <definedName name="Report_ID" hidden="1">"AL"</definedName>
    <definedName name="report1" localSheetId="47">{"p1";"p2";"p3"}</definedName>
    <definedName name="report1" localSheetId="57">{"p1";"p2";"p3"}</definedName>
    <definedName name="report1">{"p1";"p2";"p3"}</definedName>
    <definedName name="ReportGroup" hidden="1">0</definedName>
    <definedName name="RiskAfterRecalcMacro" hidden="1">""</definedName>
    <definedName name="RiskAfterSimMacro" hidden="1">""</definedName>
    <definedName name="RiskAutoStopPercChange">1.5</definedName>
    <definedName name="RiskBeforeRecalcMacro" hidden="1">""</definedName>
    <definedName name="RiskBeforeSimMacro" hidden="1">""</definedName>
    <definedName name="RiskCollectDistributionSamples" hidden="1">2</definedName>
    <definedName name="RiskDet">TRUE</definedName>
    <definedName name="RiskExcelReportsGoInNewWorkbook">TRUE</definedName>
    <definedName name="RiskExcelReportsToGenerate">7167</definedName>
    <definedName name="RiskFixedSeed" hidden="1">1</definedName>
    <definedName name="RiskGenerateExcelReportsAtEndOfSimulation">TRUE</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ealTimeResults">FALSE</definedName>
    <definedName name="RiskReportGraphFormat">0</definedName>
    <definedName name="RiskResultsUpdateFreq">100</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howRiskWindowAtEndOfSimulation">TRUE</definedName>
    <definedName name="RiskStandardRecalc" hidden="1">1</definedName>
    <definedName name="RiskStatFunctionsUpdateFreq">1</definedName>
    <definedName name="RiskTemplateSheetName">"myTemplate"</definedName>
    <definedName name="RiskUpdateDisplay" hidden="1">FALSE</definedName>
    <definedName name="RiskUpdateStatFunctions">TRUE</definedName>
    <definedName name="RiskUseDifferentSeedForEachSim" hidden="1">FALSE</definedName>
    <definedName name="RiskUseFixedSeed" hidden="1">FALSE</definedName>
    <definedName name="RiskUseMultipleCPUs" hidden="1">TRUE</definedName>
    <definedName name="rr" localSheetId="55" hidden="1">{#N/A,#N/A,FALSE,"Bakersfield PCs";#N/A,#N/A,FALSE,"Bremer PCs";#N/A,#N/A,FALSE,"Bakersfield Notebooks"}</definedName>
    <definedName name="rr" localSheetId="59" hidden="1">{#N/A,#N/A,FALSE,"Bakersfield PCs";#N/A,#N/A,FALSE,"Bremer PCs";#N/A,#N/A,FALSE,"Bakersfield Notebooks"}</definedName>
    <definedName name="rr" localSheetId="93" hidden="1">{#N/A,#N/A,FALSE,"Bakersfield PCs";#N/A,#N/A,FALSE,"Bremer PCs";#N/A,#N/A,FALSE,"Bakersfield Notebooks"}</definedName>
    <definedName name="rr" localSheetId="12" hidden="1">{#N/A,#N/A,FALSE,"Bakersfield PCs";#N/A,#N/A,FALSE,"Bremer PCs";#N/A,#N/A,FALSE,"Bakersfield Notebooks"}</definedName>
    <definedName name="rr" localSheetId="62" hidden="1">{#N/A,#N/A,FALSE,"Bakersfield PCs";#N/A,#N/A,FALSE,"Bremer PCs";#N/A,#N/A,FALSE,"Bakersfield Notebooks"}</definedName>
    <definedName name="rr" localSheetId="47" hidden="1">{#N/A,#N/A,FALSE,"Bakersfield PCs";#N/A,#N/A,FALSE,"Bremer PCs";#N/A,#N/A,FALSE,"Bakersfield Notebooks"}</definedName>
    <definedName name="rr" localSheetId="15" hidden="1">{#N/A,#N/A,FALSE,"Bakersfield PCs";#N/A,#N/A,FALSE,"Bremer PCs";#N/A,#N/A,FALSE,"Bakersfield Notebooks"}</definedName>
    <definedName name="rr" localSheetId="101" hidden="1">{#N/A,#N/A,FALSE,"Bakersfield PCs";#N/A,#N/A,FALSE,"Bremer PCs";#N/A,#N/A,FALSE,"Bakersfield Notebooks"}</definedName>
    <definedName name="rr" localSheetId="60" hidden="1">{#N/A,#N/A,FALSE,"Bakersfield PCs";#N/A,#N/A,FALSE,"Bremer PCs";#N/A,#N/A,FALSE,"Bakersfield Notebooks"}</definedName>
    <definedName name="rr" localSheetId="39" hidden="1">{#N/A,#N/A,FALSE,"Bakersfield PCs";#N/A,#N/A,FALSE,"Bremer PCs";#N/A,#N/A,FALSE,"Bakersfield Notebooks"}</definedName>
    <definedName name="rr" localSheetId="58" hidden="1">{#N/A,#N/A,FALSE,"Bakersfield PCs";#N/A,#N/A,FALSE,"Bremer PCs";#N/A,#N/A,FALSE,"Bakersfield Notebooks"}</definedName>
    <definedName name="rr" localSheetId="64" hidden="1">{#N/A,#N/A,FALSE,"Bakersfield PCs";#N/A,#N/A,FALSE,"Bremer PCs";#N/A,#N/A,FALSE,"Bakersfield Notebooks"}</definedName>
    <definedName name="rr" localSheetId="54" hidden="1">{#N/A,#N/A,FALSE,"Bakersfield PCs";#N/A,#N/A,FALSE,"Bremer PCs";#N/A,#N/A,FALSE,"Bakersfield Notebooks"}</definedName>
    <definedName name="rr" localSheetId="13" hidden="1">{#N/A,#N/A,FALSE,"Bakersfield PCs";#N/A,#N/A,FALSE,"Bremer PCs";#N/A,#N/A,FALSE,"Bakersfield Notebooks"}</definedName>
    <definedName name="rr" localSheetId="63" hidden="1">{#N/A,#N/A,FALSE,"Bakersfield PCs";#N/A,#N/A,FALSE,"Bremer PCs";#N/A,#N/A,FALSE,"Bakersfield Notebooks"}</definedName>
    <definedName name="rr" localSheetId="31" hidden="1">{#N/A,#N/A,FALSE,"Bakersfield PCs";#N/A,#N/A,FALSE,"Bremer PCs";#N/A,#N/A,FALSE,"Bakersfield Notebooks"}</definedName>
    <definedName name="rr" localSheetId="61" hidden="1">{#N/A,#N/A,FALSE,"Bakersfield PCs";#N/A,#N/A,FALSE,"Bremer PCs";#N/A,#N/A,FALSE,"Bakersfield Notebooks"}</definedName>
    <definedName name="rr" localSheetId="45" hidden="1">{#N/A,#N/A,FALSE,"Bakersfield PCs";#N/A,#N/A,FALSE,"Bremer PCs";#N/A,#N/A,FALSE,"Bakersfield Notebooks"}</definedName>
    <definedName name="rr" localSheetId="90" hidden="1">{#N/A,#N/A,FALSE,"Bakersfield PCs";#N/A,#N/A,FALSE,"Bremer PCs";#N/A,#N/A,FALSE,"Bakersfield Notebooks"}</definedName>
    <definedName name="rr" localSheetId="19" hidden="1">{#N/A,#N/A,FALSE,"Bakersfield PCs";#N/A,#N/A,FALSE,"Bremer PCs";#N/A,#N/A,FALSE,"Bakersfield Notebooks"}</definedName>
    <definedName name="rr" localSheetId="57" hidden="1">{#N/A,#N/A,FALSE,"Bakersfield PCs";#N/A,#N/A,FALSE,"Bremer PCs";#N/A,#N/A,FALSE,"Bakersfield Notebooks"}</definedName>
    <definedName name="rr" hidden="1">{#N/A,#N/A,FALSE,"Bakersfield PCs";#N/A,#N/A,FALSE,"Bremer PCs";#N/A,#N/A,FALSE,"Bakersfield Notebooks"}</definedName>
    <definedName name="rwn" localSheetId="47" hidden="1">{#N/A,#N/A,FALSE,"Assumptions";#N/A,#N/A,FALSE,"Factors";#N/A,#N/A,FALSE,"Model";#N/A,#N/A,FALSE,"Allocation"}</definedName>
    <definedName name="rwn" localSheetId="54" hidden="1">{#N/A,#N/A,FALSE,"Assumptions";#N/A,#N/A,FALSE,"Factors";#N/A,#N/A,FALSE,"Model";#N/A,#N/A,FALSE,"Allocation"}</definedName>
    <definedName name="rwn" hidden="1">{#N/A,#N/A,FALSE,"Assumptions";#N/A,#N/A,FALSE,"Factors";#N/A,#N/A,FALSE,"Model";#N/A,#N/A,FALSE,"Allocation"}</definedName>
    <definedName name="ryan" localSheetId="47">{"p1";"p2";"analys";"covrge";"notes";"page 1";"page 2";"page1";"roea";"source";"source2";"summary"}</definedName>
    <definedName name="ryan" localSheetId="57">{"p1";"p2";"analys";"covrge";"notes";"page 1";"page 2";"page1";"roea";"source";"source2";"summary"}</definedName>
    <definedName name="ryan">{"p1";"p2";"analys";"covrge";"notes";"page 1";"page 2";"page1";"roea";"source";"source2";"summary"}</definedName>
    <definedName name="s" localSheetId="47">{0.1;0;0.382758620689655;0;0;0;0.258620689655172;0;0.258620689655172}</definedName>
    <definedName name="s" localSheetId="57">{0.1;0;0.382758620689655;0;0;0;0.258620689655172;0;0.258620689655172}</definedName>
    <definedName name="s">{0.1;0;0.382758620689655;0;0;0;0.258620689655172;0;0.258620689655172}</definedName>
    <definedName name="Sales_Rep">'[17]Revenue Assumptions and Summary'!$T$24:$T$25</definedName>
    <definedName name="SAPBEXrevision" hidden="1">1</definedName>
    <definedName name="SAPBEXsysID" hidden="1">"PBL"</definedName>
    <definedName name="SAPBEXwbID" hidden="1">"3JWXP1JGVR0V27DB0INATEIH7"</definedName>
    <definedName name="SAPFuncF4Help" localSheetId="106" hidden="1">Main.SAPF4Help()</definedName>
    <definedName name="SAPFuncF4Help" localSheetId="95" hidden="1">Main.SAPF4Help()</definedName>
    <definedName name="SAPFuncF4Help" localSheetId="94" hidden="1">Main.SAPF4Help()</definedName>
    <definedName name="SAPFuncF4Help" localSheetId="33" hidden="1">Main.SAPF4Help()</definedName>
    <definedName name="SAPFuncF4Help" localSheetId="34" hidden="1">Main.SAPF4Help()</definedName>
    <definedName name="SAPFuncF4Help" localSheetId="35" hidden="1">Main.SAPF4Help()</definedName>
    <definedName name="SAPFuncF4Help" localSheetId="102" hidden="1">Main.SAPF4Help()</definedName>
    <definedName name="SAPFuncF4Help" localSheetId="4" hidden="1">Main.SAPF4Help()</definedName>
    <definedName name="SAPFuncF4Help" localSheetId="55" hidden="1">Main.SAPF4Help()</definedName>
    <definedName name="SAPFuncF4Help" localSheetId="59" hidden="1">Main.SAPF4Help()</definedName>
    <definedName name="SAPFuncF4Help" localSheetId="93" hidden="1">Main.SAPF4Help()</definedName>
    <definedName name="SAPFuncF4Help" localSheetId="12" hidden="1">Main.SAPF4Help()</definedName>
    <definedName name="SAPFuncF4Help" localSheetId="62" hidden="1">Main.SAPF4Help()</definedName>
    <definedName name="SAPFuncF4Help" localSheetId="47" hidden="1">Main.SAPF4Help()</definedName>
    <definedName name="SAPFuncF4Help" localSheetId="15" hidden="1">Main.SAPF4Help()</definedName>
    <definedName name="SAPFuncF4Help" localSheetId="101" hidden="1">Main.SAPF4Help()</definedName>
    <definedName name="SAPFuncF4Help" localSheetId="40" hidden="1">Main.SAPF4Help()</definedName>
    <definedName name="SAPFuncF4Help" localSheetId="41" hidden="1">Main.SAPF4Help()</definedName>
    <definedName name="SAPFuncF4Help" localSheetId="46" hidden="1">Main.SAPF4Help()</definedName>
    <definedName name="SAPFuncF4Help" localSheetId="60" hidden="1">Main.SAPF4Help()</definedName>
    <definedName name="SAPFuncF4Help" localSheetId="39" hidden="1">Main.SAPF4Help()</definedName>
    <definedName name="SAPFuncF4Help" localSheetId="58" hidden="1">Main.SAPF4Help()</definedName>
    <definedName name="SAPFuncF4Help" localSheetId="44" hidden="1">Main.SAPF4Help()</definedName>
    <definedName name="SAPFuncF4Help" localSheetId="64" hidden="1">Main.SAPF4Help()</definedName>
    <definedName name="SAPFuncF4Help" localSheetId="54" hidden="1">Main.SAPF4Help()</definedName>
    <definedName name="SAPFuncF4Help" localSheetId="13" hidden="1">Main.SAPF4Help()</definedName>
    <definedName name="SAPFuncF4Help" localSheetId="63" hidden="1">Main.SAPF4Help()</definedName>
    <definedName name="SAPFuncF4Help" localSheetId="31" hidden="1">Main.SAPF4Help()</definedName>
    <definedName name="SAPFuncF4Help" localSheetId="104" hidden="1">Main.SAPF4Help()</definedName>
    <definedName name="SAPFuncF4Help" localSheetId="96" hidden="1">Main.SAPF4Help()</definedName>
    <definedName name="SAPFuncF4Help" localSheetId="61" hidden="1">Main.SAPF4Help()</definedName>
    <definedName name="SAPFuncF4Help" localSheetId="45" hidden="1">Main.SAPF4Help()</definedName>
    <definedName name="SAPFuncF4Help" localSheetId="90" hidden="1">Main.SAPF4Help()</definedName>
    <definedName name="SAPFuncF4Help" localSheetId="19" hidden="1">Main.SAPF4Help()</definedName>
    <definedName name="SAPFuncF4Help" localSheetId="57" hidden="1">Main.SAPF4Help()</definedName>
    <definedName name="SAPFuncF4Help" hidden="1">Main.SAPF4Help()</definedName>
    <definedName name="sas" localSheetId="47">{0.1;0;0.382758620689655;0;0;0;0.258620689655172;0;0.258620689655172}</definedName>
    <definedName name="sas" localSheetId="57">{0.1;0;0.382758620689655;0;0;0;0.258620689655172;0;0.258620689655172}</definedName>
    <definedName name="sas">{0.1;0;0.382758620689655;0;0;0;0.258620689655172;0;0.258620689655172}</definedName>
    <definedName name="sbase" localSheetId="47">{0.1;0;0.382758620689655;0;0;0;0.258620689655172;0;0.258620689655172}</definedName>
    <definedName name="sbase" localSheetId="57">{0.1;0;0.382758620689655;0;0;0;0.258620689655172;0;0.258620689655172}</definedName>
    <definedName name="sbase">{0.1;0;0.382758620689655;0;0;0;0.258620689655172;0;0.258620689655172}</definedName>
    <definedName name="Sc" localSheetId="106" hidden="1">#REF!</definedName>
    <definedName name="Sc" localSheetId="95" hidden="1">#REF!</definedName>
    <definedName name="Sc" localSheetId="94" hidden="1">#REF!</definedName>
    <definedName name="Sc" localSheetId="102" hidden="1">#REF!</definedName>
    <definedName name="Sc" localSheetId="59" hidden="1">#REF!</definedName>
    <definedName name="Sc" localSheetId="47" hidden="1">#REF!</definedName>
    <definedName name="Sc" localSheetId="41" hidden="1">#REF!</definedName>
    <definedName name="Sc" localSheetId="46" hidden="1">#REF!</definedName>
    <definedName name="Sc" localSheetId="60" hidden="1">#REF!</definedName>
    <definedName name="Sc" localSheetId="39" hidden="1">#REF!</definedName>
    <definedName name="Sc" localSheetId="63" hidden="1">#REF!</definedName>
    <definedName name="Sc" localSheetId="31" hidden="1">#REF!</definedName>
    <definedName name="Sc" localSheetId="104" hidden="1">#REF!</definedName>
    <definedName name="Sc" localSheetId="96" hidden="1">#REF!</definedName>
    <definedName name="Sc" localSheetId="19" hidden="1">#REF!</definedName>
    <definedName name="Sc" hidden="1">#REF!</definedName>
    <definedName name="Science" localSheetId="93" hidden="1">{#N/A,#N/A,FALSE,"DCF Cov";#N/A,#N/A,FALSE,"dcf"}</definedName>
    <definedName name="Science" localSheetId="12" hidden="1">{#N/A,#N/A,FALSE,"DCF Cov";#N/A,#N/A,FALSE,"dcf"}</definedName>
    <definedName name="Science" localSheetId="47" hidden="1">{#N/A,#N/A,FALSE,"DCF Cov";#N/A,#N/A,FALSE,"dcf"}</definedName>
    <definedName name="Science" localSheetId="101" hidden="1">{#N/A,#N/A,FALSE,"DCF Cov";#N/A,#N/A,FALSE,"dcf"}</definedName>
    <definedName name="Science" localSheetId="39" hidden="1">{#N/A,#N/A,FALSE,"DCF Cov";#N/A,#N/A,FALSE,"dcf"}</definedName>
    <definedName name="Science" localSheetId="13" hidden="1">{#N/A,#N/A,FALSE,"DCF Cov";#N/A,#N/A,FALSE,"dcf"}</definedName>
    <definedName name="Science" localSheetId="63" hidden="1">{#N/A,#N/A,FALSE,"DCF Cov";#N/A,#N/A,FALSE,"dcf"}</definedName>
    <definedName name="Science" localSheetId="31" hidden="1">{#N/A,#N/A,FALSE,"DCF Cov";#N/A,#N/A,FALSE,"dcf"}</definedName>
    <definedName name="Science" localSheetId="90" hidden="1">{#N/A,#N/A,FALSE,"DCF Cov";#N/A,#N/A,FALSE,"dcf"}</definedName>
    <definedName name="Science" localSheetId="19" hidden="1">{#N/A,#N/A,FALSE,"DCF Cov";#N/A,#N/A,FALSE,"dcf"}</definedName>
    <definedName name="Science" hidden="1">{#N/A,#N/A,FALSE,"DCF Cov";#N/A,#N/A,FALSE,"dcf"}</definedName>
    <definedName name="sdf" localSheetId="55" hidden="1">{#N/A,"A",FALSE,"DCF"}</definedName>
    <definedName name="sdf" localSheetId="59" hidden="1">{#N/A,"A",FALSE,"DCF"}</definedName>
    <definedName name="sdf" localSheetId="93" hidden="1">{#N/A,"A",FALSE,"DCF"}</definedName>
    <definedName name="sdf" localSheetId="12" hidden="1">{#N/A,"A",FALSE,"DCF"}</definedName>
    <definedName name="sdf" localSheetId="62" hidden="1">{#N/A,"A",FALSE,"DCF"}</definedName>
    <definedName name="sdf" localSheetId="47" hidden="1">{#N/A,"A",FALSE,"DCF"}</definedName>
    <definedName name="sdf" localSheetId="15" hidden="1">{#N/A,"A",FALSE,"DCF"}</definedName>
    <definedName name="sdf" localSheetId="101" hidden="1">{#N/A,"A",FALSE,"DCF"}</definedName>
    <definedName name="sdf" localSheetId="60" hidden="1">{#N/A,"A",FALSE,"DCF"}</definedName>
    <definedName name="sdf" localSheetId="39" hidden="1">{#N/A,"A",FALSE,"DCF"}</definedName>
    <definedName name="sdf" localSheetId="58" hidden="1">{#N/A,"A",FALSE,"DCF"}</definedName>
    <definedName name="sdf" localSheetId="64" hidden="1">{#N/A,"A",FALSE,"DCF"}</definedName>
    <definedName name="sdf" localSheetId="54" hidden="1">{#N/A,"A",FALSE,"DCF"}</definedName>
    <definedName name="sdf" localSheetId="13" hidden="1">{#N/A,"A",FALSE,"DCF"}</definedName>
    <definedName name="sdf" localSheetId="63" hidden="1">{#N/A,"A",FALSE,"DCF"}</definedName>
    <definedName name="sdf" localSheetId="31" hidden="1">{#N/A,"A",FALSE,"DCF"}</definedName>
    <definedName name="sdf" localSheetId="61" hidden="1">{#N/A,"A",FALSE,"DCF"}</definedName>
    <definedName name="sdf" localSheetId="45" hidden="1">{#N/A,"A",FALSE,"DCF"}</definedName>
    <definedName name="sdf" localSheetId="90" hidden="1">{#N/A,"A",FALSE,"DCF"}</definedName>
    <definedName name="sdf" localSheetId="19" hidden="1">{#N/A,"A",FALSE,"DCF"}</definedName>
    <definedName name="sdf" localSheetId="57" hidden="1">{#N/A,"A",FALSE,"DCF"}</definedName>
    <definedName name="sdf" hidden="1">{#N/A,"A",FALSE,"DCF"}</definedName>
    <definedName name="sdfds" localSheetId="47" hidden="1">{#N/A,#N/A,FALSE,"e-Svc Level";#N/A,#N/A,FALSE,"e-Hosted";#N/A,#N/A,FALSE,"e-Licensed";#N/A,#N/A,FALSE,"Assumptions"}</definedName>
    <definedName name="sdfds" localSheetId="54" hidden="1">{#N/A,#N/A,FALSE,"e-Svc Level";#N/A,#N/A,FALSE,"e-Hosted";#N/A,#N/A,FALSE,"e-Licensed";#N/A,#N/A,FALSE,"Assumptions"}</definedName>
    <definedName name="sdfds" hidden="1">{#N/A,#N/A,FALSE,"e-Svc Level";#N/A,#N/A,FALSE,"e-Hosted";#N/A,#N/A,FALSE,"e-Licensed";#N/A,#N/A,FALSE,"Assumptions"}</definedName>
    <definedName name="sdfsd" localSheetId="47" hidden="1">{#N/A,#N/A,FALSE,"e-Svc Level";#N/A,#N/A,FALSE,"e-Hosted";#N/A,#N/A,FALSE,"e-Licensed";#N/A,#N/A,FALSE,"Assumptions"}</definedName>
    <definedName name="sdfsd" localSheetId="54" hidden="1">{#N/A,#N/A,FALSE,"e-Svc Level";#N/A,#N/A,FALSE,"e-Hosted";#N/A,#N/A,FALSE,"e-Licensed";#N/A,#N/A,FALSE,"Assumptions"}</definedName>
    <definedName name="sdfsd" hidden="1">{#N/A,#N/A,FALSE,"e-Svc Level";#N/A,#N/A,FALSE,"e-Hosted";#N/A,#N/A,FALSE,"e-Licensed";#N/A,#N/A,FALSE,"Assumptions"}</definedName>
    <definedName name="sdgfsg" localSheetId="47" hidden="1">{#N/A,#N/A,FALSE,"e-Svc Level";#N/A,#N/A,FALSE,"e-Hosted";#N/A,#N/A,FALSE,"e-Licensed";#N/A,#N/A,FALSE,"Assumptions"}</definedName>
    <definedName name="sdgfsg" localSheetId="54" hidden="1">{#N/A,#N/A,FALSE,"e-Svc Level";#N/A,#N/A,FALSE,"e-Hosted";#N/A,#N/A,FALSE,"e-Licensed";#N/A,#N/A,FALSE,"Assumptions"}</definedName>
    <definedName name="sdgfsg" hidden="1">{#N/A,#N/A,FALSE,"e-Svc Level";#N/A,#N/A,FALSE,"e-Hosted";#N/A,#N/A,FALSE,"e-Licensed";#N/A,#N/A,FALSE,"Assumptions"}</definedName>
    <definedName name="SecondProj">[12]Setup!$C$15</definedName>
    <definedName name="sencount" hidden="1">2</definedName>
    <definedName name="sgsdg" localSheetId="47" hidden="1">{#N/A,#N/A,FALSE,"e-Svc Level";#N/A,#N/A,FALSE,"e-Hosted";#N/A,#N/A,FALSE,"e-Licensed";#N/A,#N/A,FALSE,"Assumptions"}</definedName>
    <definedName name="sgsdg" localSheetId="54" hidden="1">{#N/A,#N/A,FALSE,"e-Svc Level";#N/A,#N/A,FALSE,"e-Hosted";#N/A,#N/A,FALSE,"e-Licensed";#N/A,#N/A,FALSE,"Assumptions"}</definedName>
    <definedName name="sgsdg" hidden="1">{#N/A,#N/A,FALSE,"e-Svc Level";#N/A,#N/A,FALSE,"e-Hosted";#N/A,#N/A,FALSE,"e-Licensed";#N/A,#N/A,FALSE,"Assumptions"}</definedName>
    <definedName name="Share">[14]Dashboard!$AT$22:$AT$23</definedName>
    <definedName name="Sheeet1" localSheetId="55" hidden="1">{#N/A,#N/A,FALSE,"Summary";#N/A,#N/A,FALSE,"Proforma";#N/A,#N/A,FALSE,"Tx"}</definedName>
    <definedName name="Sheeet1" localSheetId="59" hidden="1">{#N/A,#N/A,FALSE,"Summary";#N/A,#N/A,FALSE,"Proforma";#N/A,#N/A,FALSE,"Tx"}</definedName>
    <definedName name="Sheeet1" localSheetId="93" hidden="1">{#N/A,#N/A,FALSE,"Summary";#N/A,#N/A,FALSE,"Proforma";#N/A,#N/A,FALSE,"Tx"}</definedName>
    <definedName name="Sheeet1" localSheetId="12" hidden="1">{#N/A,#N/A,FALSE,"Summary";#N/A,#N/A,FALSE,"Proforma";#N/A,#N/A,FALSE,"Tx"}</definedName>
    <definedName name="Sheeet1" localSheetId="62" hidden="1">{#N/A,#N/A,FALSE,"Summary";#N/A,#N/A,FALSE,"Proforma";#N/A,#N/A,FALSE,"Tx"}</definedName>
    <definedName name="Sheeet1" localSheetId="47" hidden="1">{#N/A,#N/A,FALSE,"Summary";#N/A,#N/A,FALSE,"Proforma";#N/A,#N/A,FALSE,"Tx"}</definedName>
    <definedName name="Sheeet1" localSheetId="15" hidden="1">{#N/A,#N/A,FALSE,"Summary";#N/A,#N/A,FALSE,"Proforma";#N/A,#N/A,FALSE,"Tx"}</definedName>
    <definedName name="Sheeet1" localSheetId="101" hidden="1">{#N/A,#N/A,FALSE,"Summary";#N/A,#N/A,FALSE,"Proforma";#N/A,#N/A,FALSE,"Tx"}</definedName>
    <definedName name="Sheeet1" localSheetId="60" hidden="1">{#N/A,#N/A,FALSE,"Summary";#N/A,#N/A,FALSE,"Proforma";#N/A,#N/A,FALSE,"Tx"}</definedName>
    <definedName name="Sheeet1" localSheetId="39" hidden="1">{#N/A,#N/A,FALSE,"Summary";#N/A,#N/A,FALSE,"Proforma";#N/A,#N/A,FALSE,"Tx"}</definedName>
    <definedName name="Sheeet1" localSheetId="58" hidden="1">{#N/A,#N/A,FALSE,"Summary";#N/A,#N/A,FALSE,"Proforma";#N/A,#N/A,FALSE,"Tx"}</definedName>
    <definedName name="Sheeet1" localSheetId="64" hidden="1">{#N/A,#N/A,FALSE,"Summary";#N/A,#N/A,FALSE,"Proforma";#N/A,#N/A,FALSE,"Tx"}</definedName>
    <definedName name="Sheeet1" localSheetId="54" hidden="1">{#N/A,#N/A,FALSE,"Summary";#N/A,#N/A,FALSE,"Proforma";#N/A,#N/A,FALSE,"Tx"}</definedName>
    <definedName name="Sheeet1" localSheetId="13" hidden="1">{#N/A,#N/A,FALSE,"Summary";#N/A,#N/A,FALSE,"Proforma";#N/A,#N/A,FALSE,"Tx"}</definedName>
    <definedName name="Sheeet1" localSheetId="63" hidden="1">{#N/A,#N/A,FALSE,"Summary";#N/A,#N/A,FALSE,"Proforma";#N/A,#N/A,FALSE,"Tx"}</definedName>
    <definedName name="Sheeet1" localSheetId="31" hidden="1">{#N/A,#N/A,FALSE,"Summary";#N/A,#N/A,FALSE,"Proforma";#N/A,#N/A,FALSE,"Tx"}</definedName>
    <definedName name="Sheeet1" localSheetId="61" hidden="1">{#N/A,#N/A,FALSE,"Summary";#N/A,#N/A,FALSE,"Proforma";#N/A,#N/A,FALSE,"Tx"}</definedName>
    <definedName name="Sheeet1" localSheetId="45" hidden="1">{#N/A,#N/A,FALSE,"Summary";#N/A,#N/A,FALSE,"Proforma";#N/A,#N/A,FALSE,"Tx"}</definedName>
    <definedName name="Sheeet1" localSheetId="90" hidden="1">{#N/A,#N/A,FALSE,"Summary";#N/A,#N/A,FALSE,"Proforma";#N/A,#N/A,FALSE,"Tx"}</definedName>
    <definedName name="Sheeet1" localSheetId="19" hidden="1">{#N/A,#N/A,FALSE,"Summary";#N/A,#N/A,FALSE,"Proforma";#N/A,#N/A,FALSE,"Tx"}</definedName>
    <definedName name="Sheeet1" localSheetId="57" hidden="1">{#N/A,#N/A,FALSE,"Summary";#N/A,#N/A,FALSE,"Proforma";#N/A,#N/A,FALSE,"Tx"}</definedName>
    <definedName name="Sheeet1" hidden="1">{#N/A,#N/A,FALSE,"Summary";#N/A,#N/A,FALSE,"Proforma";#N/A,#N/A,FALSE,"Tx"}</definedName>
    <definedName name="sheet" localSheetId="55" hidden="1">{#N/A,#N/A,FALSE,"Summary";#N/A,#N/A,FALSE,"Proforma";#N/A,#N/A,FALSE,"Tx"}</definedName>
    <definedName name="sheet" localSheetId="59" hidden="1">{#N/A,#N/A,FALSE,"Summary";#N/A,#N/A,FALSE,"Proforma";#N/A,#N/A,FALSE,"Tx"}</definedName>
    <definedName name="sheet" localSheetId="93" hidden="1">{#N/A,#N/A,FALSE,"Summary";#N/A,#N/A,FALSE,"Proforma";#N/A,#N/A,FALSE,"Tx"}</definedName>
    <definedName name="sheet" localSheetId="12" hidden="1">{#N/A,#N/A,FALSE,"Summary";#N/A,#N/A,FALSE,"Proforma";#N/A,#N/A,FALSE,"Tx"}</definedName>
    <definedName name="sheet" localSheetId="62" hidden="1">{#N/A,#N/A,FALSE,"Summary";#N/A,#N/A,FALSE,"Proforma";#N/A,#N/A,FALSE,"Tx"}</definedName>
    <definedName name="sheet" localSheetId="47" hidden="1">{#N/A,#N/A,FALSE,"Summary";#N/A,#N/A,FALSE,"Proforma";#N/A,#N/A,FALSE,"Tx"}</definedName>
    <definedName name="sheet" localSheetId="15" hidden="1">{#N/A,#N/A,FALSE,"Summary";#N/A,#N/A,FALSE,"Proforma";#N/A,#N/A,FALSE,"Tx"}</definedName>
    <definedName name="sheet" localSheetId="101" hidden="1">{#N/A,#N/A,FALSE,"Summary";#N/A,#N/A,FALSE,"Proforma";#N/A,#N/A,FALSE,"Tx"}</definedName>
    <definedName name="sheet" localSheetId="60" hidden="1">{#N/A,#N/A,FALSE,"Summary";#N/A,#N/A,FALSE,"Proforma";#N/A,#N/A,FALSE,"Tx"}</definedName>
    <definedName name="sheet" localSheetId="39" hidden="1">{#N/A,#N/A,FALSE,"Summary";#N/A,#N/A,FALSE,"Proforma";#N/A,#N/A,FALSE,"Tx"}</definedName>
    <definedName name="sheet" localSheetId="58" hidden="1">{#N/A,#N/A,FALSE,"Summary";#N/A,#N/A,FALSE,"Proforma";#N/A,#N/A,FALSE,"Tx"}</definedName>
    <definedName name="sheet" localSheetId="64" hidden="1">{#N/A,#N/A,FALSE,"Summary";#N/A,#N/A,FALSE,"Proforma";#N/A,#N/A,FALSE,"Tx"}</definedName>
    <definedName name="sheet" localSheetId="54" hidden="1">{#N/A,#N/A,FALSE,"Summary";#N/A,#N/A,FALSE,"Proforma";#N/A,#N/A,FALSE,"Tx"}</definedName>
    <definedName name="sheet" localSheetId="13" hidden="1">{#N/A,#N/A,FALSE,"Summary";#N/A,#N/A,FALSE,"Proforma";#N/A,#N/A,FALSE,"Tx"}</definedName>
    <definedName name="sheet" localSheetId="63" hidden="1">{#N/A,#N/A,FALSE,"Summary";#N/A,#N/A,FALSE,"Proforma";#N/A,#N/A,FALSE,"Tx"}</definedName>
    <definedName name="sheet" localSheetId="31" hidden="1">{#N/A,#N/A,FALSE,"Summary";#N/A,#N/A,FALSE,"Proforma";#N/A,#N/A,FALSE,"Tx"}</definedName>
    <definedName name="sheet" localSheetId="61" hidden="1">{#N/A,#N/A,FALSE,"Summary";#N/A,#N/A,FALSE,"Proforma";#N/A,#N/A,FALSE,"Tx"}</definedName>
    <definedName name="sheet" localSheetId="45" hidden="1">{#N/A,#N/A,FALSE,"Summary";#N/A,#N/A,FALSE,"Proforma";#N/A,#N/A,FALSE,"Tx"}</definedName>
    <definedName name="sheet" localSheetId="90" hidden="1">{#N/A,#N/A,FALSE,"Summary";#N/A,#N/A,FALSE,"Proforma";#N/A,#N/A,FALSE,"Tx"}</definedName>
    <definedName name="sheet" localSheetId="19" hidden="1">{#N/A,#N/A,FALSE,"Summary";#N/A,#N/A,FALSE,"Proforma";#N/A,#N/A,FALSE,"Tx"}</definedName>
    <definedName name="sheet" localSheetId="57" hidden="1">{#N/A,#N/A,FALSE,"Summary";#N/A,#N/A,FALSE,"Proforma";#N/A,#N/A,FALSE,"Tx"}</definedName>
    <definedName name="sheet" hidden="1">{#N/A,#N/A,FALSE,"Summary";#N/A,#N/A,FALSE,"Proforma";#N/A,#N/A,FALSE,"Tx"}</definedName>
    <definedName name="sheet1" localSheetId="55" hidden="1">{#N/A,#N/A,FALSE,"Summary";#N/A,#N/A,FALSE,"Proforma";#N/A,#N/A,FALSE,"Tx"}</definedName>
    <definedName name="sheet1" localSheetId="59" hidden="1">{#N/A,#N/A,FALSE,"Summary";#N/A,#N/A,FALSE,"Proforma";#N/A,#N/A,FALSE,"Tx"}</definedName>
    <definedName name="sheet1" localSheetId="93" hidden="1">{#N/A,#N/A,FALSE,"Summary";#N/A,#N/A,FALSE,"Proforma";#N/A,#N/A,FALSE,"Tx"}</definedName>
    <definedName name="sheet1" localSheetId="12" hidden="1">{#N/A,#N/A,FALSE,"Summary";#N/A,#N/A,FALSE,"Proforma";#N/A,#N/A,FALSE,"Tx"}</definedName>
    <definedName name="sheet1" localSheetId="62" hidden="1">{#N/A,#N/A,FALSE,"Summary";#N/A,#N/A,FALSE,"Proforma";#N/A,#N/A,FALSE,"Tx"}</definedName>
    <definedName name="sheet1" localSheetId="47" hidden="1">{#N/A,#N/A,FALSE,"Summary";#N/A,#N/A,FALSE,"Proforma";#N/A,#N/A,FALSE,"Tx"}</definedName>
    <definedName name="sheet1" localSheetId="15" hidden="1">{#N/A,#N/A,FALSE,"Summary";#N/A,#N/A,FALSE,"Proforma";#N/A,#N/A,FALSE,"Tx"}</definedName>
    <definedName name="sheet1" localSheetId="101" hidden="1">{#N/A,#N/A,FALSE,"Summary";#N/A,#N/A,FALSE,"Proforma";#N/A,#N/A,FALSE,"Tx"}</definedName>
    <definedName name="sheet1" localSheetId="60" hidden="1">{#N/A,#N/A,FALSE,"Summary";#N/A,#N/A,FALSE,"Proforma";#N/A,#N/A,FALSE,"Tx"}</definedName>
    <definedName name="sheet1" localSheetId="39" hidden="1">{#N/A,#N/A,FALSE,"Summary";#N/A,#N/A,FALSE,"Proforma";#N/A,#N/A,FALSE,"Tx"}</definedName>
    <definedName name="sheet1" localSheetId="58" hidden="1">{#N/A,#N/A,FALSE,"Summary";#N/A,#N/A,FALSE,"Proforma";#N/A,#N/A,FALSE,"Tx"}</definedName>
    <definedName name="sheet1" localSheetId="64" hidden="1">{#N/A,#N/A,FALSE,"Summary";#N/A,#N/A,FALSE,"Proforma";#N/A,#N/A,FALSE,"Tx"}</definedName>
    <definedName name="sheet1" localSheetId="54" hidden="1">{#N/A,#N/A,FALSE,"Summary";#N/A,#N/A,FALSE,"Proforma";#N/A,#N/A,FALSE,"Tx"}</definedName>
    <definedName name="sheet1" localSheetId="13" hidden="1">{#N/A,#N/A,FALSE,"Summary";#N/A,#N/A,FALSE,"Proforma";#N/A,#N/A,FALSE,"Tx"}</definedName>
    <definedName name="sheet1" localSheetId="63" hidden="1">{#N/A,#N/A,FALSE,"Summary";#N/A,#N/A,FALSE,"Proforma";#N/A,#N/A,FALSE,"Tx"}</definedName>
    <definedName name="sheet1" localSheetId="31" hidden="1">{#N/A,#N/A,FALSE,"Summary";#N/A,#N/A,FALSE,"Proforma";#N/A,#N/A,FALSE,"Tx"}</definedName>
    <definedName name="sheet1" localSheetId="61" hidden="1">{#N/A,#N/A,FALSE,"Summary";#N/A,#N/A,FALSE,"Proforma";#N/A,#N/A,FALSE,"Tx"}</definedName>
    <definedName name="sheet1" localSheetId="45" hidden="1">{#N/A,#N/A,FALSE,"Summary";#N/A,#N/A,FALSE,"Proforma";#N/A,#N/A,FALSE,"Tx"}</definedName>
    <definedName name="sheet1" localSheetId="90" hidden="1">{#N/A,#N/A,FALSE,"Summary";#N/A,#N/A,FALSE,"Proforma";#N/A,#N/A,FALSE,"Tx"}</definedName>
    <definedName name="sheet1" localSheetId="19" hidden="1">{#N/A,#N/A,FALSE,"Summary";#N/A,#N/A,FALSE,"Proforma";#N/A,#N/A,FALSE,"Tx"}</definedName>
    <definedName name="sheet1" localSheetId="57" hidden="1">{#N/A,#N/A,FALSE,"Summary";#N/A,#N/A,FALSE,"Proforma";#N/A,#N/A,FALSE,"Tx"}</definedName>
    <definedName name="sheet1" hidden="1">{#N/A,#N/A,FALSE,"Summary";#N/A,#N/A,FALSE,"Proforma";#N/A,#N/A,FALSE,"Tx"}</definedName>
    <definedName name="Simple" localSheetId="47">{0.1;0;0.382758620689655;0;0;0;0.258620689655172;0;0.258620689655172}</definedName>
    <definedName name="Simple" localSheetId="57">{0.1;0;0.382758620689655;0;0;0;0.258620689655172;0;0.258620689655172}</definedName>
    <definedName name="Simple">{0.1;0;0.382758620689655;0;0;0;0.258620689655172;0;0.258620689655172}</definedName>
    <definedName name="SIN_NET">119</definedName>
    <definedName name="SINKING_FUND">10</definedName>
    <definedName name="smow" localSheetId="47" hidden="1">{#N/A,#N/A,FALSE,"Factors"}</definedName>
    <definedName name="smow" localSheetId="54" hidden="1">{#N/A,#N/A,FALSE,"Factors"}</definedName>
    <definedName name="smow" hidden="1">{#N/A,#N/A,FALSE,"Factors"}</definedName>
    <definedName name="snewcase" localSheetId="47">{0.1;0;0.45;0;0;0;0;0;0.45}</definedName>
    <definedName name="snewcase" localSheetId="57">{0.1;0;0.45;0;0;0;0;0;0.45}</definedName>
    <definedName name="snewcase">{0.1;0;0.45;0;0;0;0;0;0.45}</definedName>
    <definedName name="solver_adj" localSheetId="100" hidden="1">'OPM 2 Series B Warrants'!$P$7</definedName>
    <definedName name="solver_adj" localSheetId="92" hidden="1">'OPM 2_Series B'!$P$7</definedName>
    <definedName name="solver_cvg" localSheetId="100" hidden="1">0.0001</definedName>
    <definedName name="solver_cvg" localSheetId="92" hidden="1">0.0001</definedName>
    <definedName name="solver_cvg" hidden="1">0.001</definedName>
    <definedName name="solver_drv" localSheetId="100" hidden="1">1</definedName>
    <definedName name="solver_drv" localSheetId="92" hidden="1">1</definedName>
    <definedName name="solver_drv" hidden="1">1</definedName>
    <definedName name="solver_eng" localSheetId="100" hidden="1">1</definedName>
    <definedName name="solver_eng" localSheetId="92" hidden="1">1</definedName>
    <definedName name="solver_est" localSheetId="100" hidden="1">1</definedName>
    <definedName name="solver_est" localSheetId="92" hidden="1">1</definedName>
    <definedName name="solver_est" hidden="1">1</definedName>
    <definedName name="solver_itr" localSheetId="100" hidden="1">2147483647</definedName>
    <definedName name="solver_itr" localSheetId="92" hidden="1">2147483647</definedName>
    <definedName name="solver_itr" hidden="1">100</definedName>
    <definedName name="solver_lin" hidden="1">0</definedName>
    <definedName name="solver_mip" localSheetId="100" hidden="1">2147483647</definedName>
    <definedName name="solver_mip" localSheetId="92" hidden="1">2147483647</definedName>
    <definedName name="solver_mni" localSheetId="100" hidden="1">30</definedName>
    <definedName name="solver_mni" localSheetId="92" hidden="1">30</definedName>
    <definedName name="solver_mrt" localSheetId="100" hidden="1">0.075</definedName>
    <definedName name="solver_mrt" localSheetId="92" hidden="1">0.075</definedName>
    <definedName name="solver_msl" localSheetId="100" hidden="1">2</definedName>
    <definedName name="solver_msl" localSheetId="92" hidden="1">2</definedName>
    <definedName name="solver_neg" localSheetId="100" hidden="1">1</definedName>
    <definedName name="solver_neg" localSheetId="92" hidden="1">1</definedName>
    <definedName name="solver_neg" hidden="1">2</definedName>
    <definedName name="solver_nod" localSheetId="100" hidden="1">2147483647</definedName>
    <definedName name="solver_nod" localSheetId="92" hidden="1">2147483647</definedName>
    <definedName name="solver_num" localSheetId="100" hidden="1">0</definedName>
    <definedName name="solver_num" localSheetId="92" hidden="1">0</definedName>
    <definedName name="solver_num" hidden="1">0</definedName>
    <definedName name="solver_nwt" localSheetId="100" hidden="1">1</definedName>
    <definedName name="solver_nwt" localSheetId="92" hidden="1">1</definedName>
    <definedName name="solver_nwt" hidden="1">1</definedName>
    <definedName name="solver_opt" localSheetId="100" hidden="1">'OPM 2 Series B Warrants'!$P$6</definedName>
    <definedName name="solver_opt" localSheetId="92" hidden="1">'OPM 2_Series B'!$P$6</definedName>
    <definedName name="solver_pre" localSheetId="100" hidden="1">0.000001</definedName>
    <definedName name="solver_pre" localSheetId="92" hidden="1">0.000001</definedName>
    <definedName name="solver_pre" hidden="1">0.000001</definedName>
    <definedName name="solver_rbv" localSheetId="100" hidden="1">1</definedName>
    <definedName name="solver_rbv" localSheetId="92" hidden="1">1</definedName>
    <definedName name="solver_rlx" localSheetId="100" hidden="1">2</definedName>
    <definedName name="solver_rlx" localSheetId="92" hidden="1">2</definedName>
    <definedName name="solver_rsd" localSheetId="100" hidden="1">0</definedName>
    <definedName name="solver_rsd" localSheetId="92" hidden="1">0</definedName>
    <definedName name="solver_scl" localSheetId="100" hidden="1">1</definedName>
    <definedName name="solver_scl" localSheetId="92" hidden="1">1</definedName>
    <definedName name="solver_scl" hidden="1">2</definedName>
    <definedName name="solver_sho" localSheetId="100" hidden="1">2</definedName>
    <definedName name="solver_sho" localSheetId="92" hidden="1">2</definedName>
    <definedName name="solver_sho" hidden="1">2</definedName>
    <definedName name="solver_ssz" localSheetId="100" hidden="1">100</definedName>
    <definedName name="solver_ssz" localSheetId="92" hidden="1">100</definedName>
    <definedName name="solver_tim" localSheetId="100" hidden="1">2147483647</definedName>
    <definedName name="solver_tim" localSheetId="92" hidden="1">2147483647</definedName>
    <definedName name="solver_tim" hidden="1">100</definedName>
    <definedName name="solver_tol" localSheetId="100" hidden="1">0.01</definedName>
    <definedName name="solver_tol" localSheetId="92" hidden="1">0.01</definedName>
    <definedName name="solver_tol" hidden="1">0.05</definedName>
    <definedName name="solver_typ" localSheetId="100" hidden="1">3</definedName>
    <definedName name="solver_typ" localSheetId="92" hidden="1">3</definedName>
    <definedName name="solver_typ" hidden="1">3</definedName>
    <definedName name="solver_val" localSheetId="100" hidden="1">0</definedName>
    <definedName name="solver_val" localSheetId="92" hidden="1">0</definedName>
    <definedName name="solver_val" hidden="1">0</definedName>
    <definedName name="solver_ver" localSheetId="100" hidden="1">3</definedName>
    <definedName name="solver_ver" localSheetId="92" hidden="1">3</definedName>
    <definedName name="SPA_NET">114</definedName>
    <definedName name="Space">"          "</definedName>
    <definedName name="Spaces">"      "</definedName>
    <definedName name="SPSet">"current"</definedName>
    <definedName name="SPWS_WBID">"D2F27719-360C-11D4-8C2F-0010A4F868C7"</definedName>
    <definedName name="Ss" localSheetId="55" hidden="1">{#N/A,#N/A,FALSE,"Model";#N/A,#N/A,FALSE,"Gen Pts &amp; Rts 2000";#N/A,#N/A,FALSE,"AcqsAss";#N/A,#N/A,FALSE,"Acqs &amp; De Novos"}</definedName>
    <definedName name="Ss" localSheetId="93" hidden="1">{#N/A,#N/A,FALSE,"Model";#N/A,#N/A,FALSE,"Gen Pts &amp; Rts 2000";#N/A,#N/A,FALSE,"AcqsAss";#N/A,#N/A,FALSE,"Acqs &amp; De Novos"}</definedName>
    <definedName name="Ss" localSheetId="12" hidden="1">{#N/A,#N/A,FALSE,"Model";#N/A,#N/A,FALSE,"Gen Pts &amp; Rts 2000";#N/A,#N/A,FALSE,"AcqsAss";#N/A,#N/A,FALSE,"Acqs &amp; De Novos"}</definedName>
    <definedName name="Ss" localSheetId="47" hidden="1">{#N/A,#N/A,FALSE,"Model";#N/A,#N/A,FALSE,"Gen Pts &amp; Rts 2000";#N/A,#N/A,FALSE,"AcqsAss";#N/A,#N/A,FALSE,"Acqs &amp; De Novos"}</definedName>
    <definedName name="Ss" localSheetId="15" hidden="1">{#N/A,#N/A,FALSE,"Model";#N/A,#N/A,FALSE,"Gen Pts &amp; Rts 2000";#N/A,#N/A,FALSE,"AcqsAss";#N/A,#N/A,FALSE,"Acqs &amp; De Novos"}</definedName>
    <definedName name="Ss" localSheetId="101" hidden="1">{#N/A,#N/A,FALSE,"Model";#N/A,#N/A,FALSE,"Gen Pts &amp; Rts 2000";#N/A,#N/A,FALSE,"AcqsAss";#N/A,#N/A,FALSE,"Acqs &amp; De Novos"}</definedName>
    <definedName name="Ss" localSheetId="39" hidden="1">{#N/A,#N/A,FALSE,"Model";#N/A,#N/A,FALSE,"Gen Pts &amp; Rts 2000";#N/A,#N/A,FALSE,"AcqsAss";#N/A,#N/A,FALSE,"Acqs &amp; De Novos"}</definedName>
    <definedName name="Ss" localSheetId="64" hidden="1">{#N/A,#N/A,FALSE,"Model";#N/A,#N/A,FALSE,"Gen Pts &amp; Rts 2000";#N/A,#N/A,FALSE,"AcqsAss";#N/A,#N/A,FALSE,"Acqs &amp; De Novos"}</definedName>
    <definedName name="Ss" localSheetId="54" hidden="1">{#N/A,#N/A,FALSE,"Model";#N/A,#N/A,FALSE,"Gen Pts &amp; Rts 2000";#N/A,#N/A,FALSE,"AcqsAss";#N/A,#N/A,FALSE,"Acqs &amp; De Novos"}</definedName>
    <definedName name="Ss" localSheetId="13" hidden="1">{#N/A,#N/A,FALSE,"Model";#N/A,#N/A,FALSE,"Gen Pts &amp; Rts 2000";#N/A,#N/A,FALSE,"AcqsAss";#N/A,#N/A,FALSE,"Acqs &amp; De Novos"}</definedName>
    <definedName name="Ss" localSheetId="63" hidden="1">{#N/A,#N/A,FALSE,"Model";#N/A,#N/A,FALSE,"Gen Pts &amp; Rts 2000";#N/A,#N/A,FALSE,"AcqsAss";#N/A,#N/A,FALSE,"Acqs &amp; De Novos"}</definedName>
    <definedName name="Ss" localSheetId="31" hidden="1">{#N/A,#N/A,FALSE,"Model";#N/A,#N/A,FALSE,"Gen Pts &amp; Rts 2000";#N/A,#N/A,FALSE,"AcqsAss";#N/A,#N/A,FALSE,"Acqs &amp; De Novos"}</definedName>
    <definedName name="Ss" localSheetId="45" hidden="1">{#N/A,#N/A,FALSE,"Model";#N/A,#N/A,FALSE,"Gen Pts &amp; Rts 2000";#N/A,#N/A,FALSE,"AcqsAss";#N/A,#N/A,FALSE,"Acqs &amp; De Novos"}</definedName>
    <definedName name="Ss" localSheetId="90" hidden="1">{#N/A,#N/A,FALSE,"Model";#N/A,#N/A,FALSE,"Gen Pts &amp; Rts 2000";#N/A,#N/A,FALSE,"AcqsAss";#N/A,#N/A,FALSE,"Acqs &amp; De Novos"}</definedName>
    <definedName name="Ss" localSheetId="19" hidden="1">{#N/A,#N/A,FALSE,"Model";#N/A,#N/A,FALSE,"Gen Pts &amp; Rts 2000";#N/A,#N/A,FALSE,"AcqsAss";#N/A,#N/A,FALSE,"Acqs &amp; De Novos"}</definedName>
    <definedName name="Ss" localSheetId="57" hidden="1">{#N/A,#N/A,FALSE,"Model";#N/A,#N/A,FALSE,"Gen Pts &amp; Rts 2000";#N/A,#N/A,FALSE,"AcqsAss";#N/A,#N/A,FALSE,"Acqs &amp; De Novos"}</definedName>
    <definedName name="Ss" hidden="1">{#N/A,#N/A,FALSE,"Model";#N/A,#N/A,FALSE,"Gen Pts &amp; Rts 2000";#N/A,#N/A,FALSE,"AcqsAss";#N/A,#N/A,FALSE,"Acqs &amp; De Novos"}</definedName>
    <definedName name="sseprjt" localSheetId="47">{0.1;0;0.45;0;0;0;0;0;0.45}</definedName>
    <definedName name="sseprjt" localSheetId="57">{0.1;0;0.45;0;0;0;0;0;0.45}</definedName>
    <definedName name="sseprjt">{0.1;0;0.45;0;0;0;0;0;0.45}</definedName>
    <definedName name="StartCell">'[27]Per Tranche'!$B$11</definedName>
    <definedName name="States" localSheetId="47">{"Client Name or Project Name"}</definedName>
    <definedName name="States" localSheetId="57">{"Client Name or Project Name"}</definedName>
    <definedName name="States">{"Client Name or Project Name"}</definedName>
    <definedName name="steve" localSheetId="55" hidden="1">{#N/A,#N/A,FALSE,"Bakersfield PCs";#N/A,#N/A,FALSE,"Bremer PCs";#N/A,#N/A,FALSE,"Bakersfield Notebooks"}</definedName>
    <definedName name="steve" localSheetId="59" hidden="1">{#N/A,#N/A,FALSE,"Bakersfield PCs";#N/A,#N/A,FALSE,"Bremer PCs";#N/A,#N/A,FALSE,"Bakersfield Notebooks"}</definedName>
    <definedName name="steve" localSheetId="93" hidden="1">{#N/A,#N/A,FALSE,"Bakersfield PCs";#N/A,#N/A,FALSE,"Bremer PCs";#N/A,#N/A,FALSE,"Bakersfield Notebooks"}</definedName>
    <definedName name="steve" localSheetId="12" hidden="1">{#N/A,#N/A,FALSE,"Bakersfield PCs";#N/A,#N/A,FALSE,"Bremer PCs";#N/A,#N/A,FALSE,"Bakersfield Notebooks"}</definedName>
    <definedName name="steve" localSheetId="62" hidden="1">{#N/A,#N/A,FALSE,"Bakersfield PCs";#N/A,#N/A,FALSE,"Bremer PCs";#N/A,#N/A,FALSE,"Bakersfield Notebooks"}</definedName>
    <definedName name="steve" localSheetId="47" hidden="1">{#N/A,#N/A,FALSE,"Bakersfield PCs";#N/A,#N/A,FALSE,"Bremer PCs";#N/A,#N/A,FALSE,"Bakersfield Notebooks"}</definedName>
    <definedName name="steve" localSheetId="15" hidden="1">{#N/A,#N/A,FALSE,"Bakersfield PCs";#N/A,#N/A,FALSE,"Bremer PCs";#N/A,#N/A,FALSE,"Bakersfield Notebooks"}</definedName>
    <definedName name="steve" localSheetId="101" hidden="1">{#N/A,#N/A,FALSE,"Bakersfield PCs";#N/A,#N/A,FALSE,"Bremer PCs";#N/A,#N/A,FALSE,"Bakersfield Notebooks"}</definedName>
    <definedName name="steve" localSheetId="60" hidden="1">{#N/A,#N/A,FALSE,"Bakersfield PCs";#N/A,#N/A,FALSE,"Bremer PCs";#N/A,#N/A,FALSE,"Bakersfield Notebooks"}</definedName>
    <definedName name="steve" localSheetId="39" hidden="1">{#N/A,#N/A,FALSE,"Bakersfield PCs";#N/A,#N/A,FALSE,"Bremer PCs";#N/A,#N/A,FALSE,"Bakersfield Notebooks"}</definedName>
    <definedName name="steve" localSheetId="58" hidden="1">{#N/A,#N/A,FALSE,"Bakersfield PCs";#N/A,#N/A,FALSE,"Bremer PCs";#N/A,#N/A,FALSE,"Bakersfield Notebooks"}</definedName>
    <definedName name="steve" localSheetId="64" hidden="1">{#N/A,#N/A,FALSE,"Bakersfield PCs";#N/A,#N/A,FALSE,"Bremer PCs";#N/A,#N/A,FALSE,"Bakersfield Notebooks"}</definedName>
    <definedName name="steve" localSheetId="54" hidden="1">{#N/A,#N/A,FALSE,"Bakersfield PCs";#N/A,#N/A,FALSE,"Bremer PCs";#N/A,#N/A,FALSE,"Bakersfield Notebooks"}</definedName>
    <definedName name="steve" localSheetId="13" hidden="1">{#N/A,#N/A,FALSE,"Bakersfield PCs";#N/A,#N/A,FALSE,"Bremer PCs";#N/A,#N/A,FALSE,"Bakersfield Notebooks"}</definedName>
    <definedName name="steve" localSheetId="63" hidden="1">{#N/A,#N/A,FALSE,"Bakersfield PCs";#N/A,#N/A,FALSE,"Bremer PCs";#N/A,#N/A,FALSE,"Bakersfield Notebooks"}</definedName>
    <definedName name="steve" localSheetId="31" hidden="1">{#N/A,#N/A,FALSE,"Bakersfield PCs";#N/A,#N/A,FALSE,"Bremer PCs";#N/A,#N/A,FALSE,"Bakersfield Notebooks"}</definedName>
    <definedName name="steve" localSheetId="61" hidden="1">{#N/A,#N/A,FALSE,"Bakersfield PCs";#N/A,#N/A,FALSE,"Bremer PCs";#N/A,#N/A,FALSE,"Bakersfield Notebooks"}</definedName>
    <definedName name="steve" localSheetId="45" hidden="1">{#N/A,#N/A,FALSE,"Bakersfield PCs";#N/A,#N/A,FALSE,"Bremer PCs";#N/A,#N/A,FALSE,"Bakersfield Notebooks"}</definedName>
    <definedName name="steve" localSheetId="90" hidden="1">{#N/A,#N/A,FALSE,"Bakersfield PCs";#N/A,#N/A,FALSE,"Bremer PCs";#N/A,#N/A,FALSE,"Bakersfield Notebooks"}</definedName>
    <definedName name="steve" localSheetId="19" hidden="1">{#N/A,#N/A,FALSE,"Bakersfield PCs";#N/A,#N/A,FALSE,"Bremer PCs";#N/A,#N/A,FALSE,"Bakersfield Notebooks"}</definedName>
    <definedName name="steve" localSheetId="57" hidden="1">{#N/A,#N/A,FALSE,"Bakersfield PCs";#N/A,#N/A,FALSE,"Bremer PCs";#N/A,#N/A,FALSE,"Bakersfield Notebooks"}</definedName>
    <definedName name="steve" hidden="1">{#N/A,#N/A,FALSE,"Bakersfield PCs";#N/A,#N/A,FALSE,"Bremer PCs";#N/A,#N/A,FALSE,"Bakersfield Notebooks"}</definedName>
    <definedName name="steve2" localSheetId="55" hidden="1">{#N/A,#N/A,FALSE,"Bakersfield PCs";#N/A,#N/A,FALSE,"Bremer PCs";#N/A,#N/A,FALSE,"Bakersfield Notebooks"}</definedName>
    <definedName name="steve2" localSheetId="59" hidden="1">{#N/A,#N/A,FALSE,"Bakersfield PCs";#N/A,#N/A,FALSE,"Bremer PCs";#N/A,#N/A,FALSE,"Bakersfield Notebooks"}</definedName>
    <definedName name="steve2" localSheetId="93" hidden="1">{#N/A,#N/A,FALSE,"Bakersfield PCs";#N/A,#N/A,FALSE,"Bremer PCs";#N/A,#N/A,FALSE,"Bakersfield Notebooks"}</definedName>
    <definedName name="steve2" localSheetId="12" hidden="1">{#N/A,#N/A,FALSE,"Bakersfield PCs";#N/A,#N/A,FALSE,"Bremer PCs";#N/A,#N/A,FALSE,"Bakersfield Notebooks"}</definedName>
    <definedName name="steve2" localSheetId="62" hidden="1">{#N/A,#N/A,FALSE,"Bakersfield PCs";#N/A,#N/A,FALSE,"Bremer PCs";#N/A,#N/A,FALSE,"Bakersfield Notebooks"}</definedName>
    <definedName name="steve2" localSheetId="47" hidden="1">{#N/A,#N/A,FALSE,"Bakersfield PCs";#N/A,#N/A,FALSE,"Bremer PCs";#N/A,#N/A,FALSE,"Bakersfield Notebooks"}</definedName>
    <definedName name="steve2" localSheetId="15" hidden="1">{#N/A,#N/A,FALSE,"Bakersfield PCs";#N/A,#N/A,FALSE,"Bremer PCs";#N/A,#N/A,FALSE,"Bakersfield Notebooks"}</definedName>
    <definedName name="steve2" localSheetId="101" hidden="1">{#N/A,#N/A,FALSE,"Bakersfield PCs";#N/A,#N/A,FALSE,"Bremer PCs";#N/A,#N/A,FALSE,"Bakersfield Notebooks"}</definedName>
    <definedName name="steve2" localSheetId="60" hidden="1">{#N/A,#N/A,FALSE,"Bakersfield PCs";#N/A,#N/A,FALSE,"Bremer PCs";#N/A,#N/A,FALSE,"Bakersfield Notebooks"}</definedName>
    <definedName name="steve2" localSheetId="39" hidden="1">{#N/A,#N/A,FALSE,"Bakersfield PCs";#N/A,#N/A,FALSE,"Bremer PCs";#N/A,#N/A,FALSE,"Bakersfield Notebooks"}</definedName>
    <definedName name="steve2" localSheetId="58" hidden="1">{#N/A,#N/A,FALSE,"Bakersfield PCs";#N/A,#N/A,FALSE,"Bremer PCs";#N/A,#N/A,FALSE,"Bakersfield Notebooks"}</definedName>
    <definedName name="steve2" localSheetId="64" hidden="1">{#N/A,#N/A,FALSE,"Bakersfield PCs";#N/A,#N/A,FALSE,"Bremer PCs";#N/A,#N/A,FALSE,"Bakersfield Notebooks"}</definedName>
    <definedName name="steve2" localSheetId="54" hidden="1">{#N/A,#N/A,FALSE,"Bakersfield PCs";#N/A,#N/A,FALSE,"Bremer PCs";#N/A,#N/A,FALSE,"Bakersfield Notebooks"}</definedName>
    <definedName name="steve2" localSheetId="13" hidden="1">{#N/A,#N/A,FALSE,"Bakersfield PCs";#N/A,#N/A,FALSE,"Bremer PCs";#N/A,#N/A,FALSE,"Bakersfield Notebooks"}</definedName>
    <definedName name="steve2" localSheetId="63" hidden="1">{#N/A,#N/A,FALSE,"Bakersfield PCs";#N/A,#N/A,FALSE,"Bremer PCs";#N/A,#N/A,FALSE,"Bakersfield Notebooks"}</definedName>
    <definedName name="steve2" localSheetId="31" hidden="1">{#N/A,#N/A,FALSE,"Bakersfield PCs";#N/A,#N/A,FALSE,"Bremer PCs";#N/A,#N/A,FALSE,"Bakersfield Notebooks"}</definedName>
    <definedName name="steve2" localSheetId="61" hidden="1">{#N/A,#N/A,FALSE,"Bakersfield PCs";#N/A,#N/A,FALSE,"Bremer PCs";#N/A,#N/A,FALSE,"Bakersfield Notebooks"}</definedName>
    <definedName name="steve2" localSheetId="45" hidden="1">{#N/A,#N/A,FALSE,"Bakersfield PCs";#N/A,#N/A,FALSE,"Bremer PCs";#N/A,#N/A,FALSE,"Bakersfield Notebooks"}</definedName>
    <definedName name="steve2" localSheetId="90" hidden="1">{#N/A,#N/A,FALSE,"Bakersfield PCs";#N/A,#N/A,FALSE,"Bremer PCs";#N/A,#N/A,FALSE,"Bakersfield Notebooks"}</definedName>
    <definedName name="steve2" localSheetId="19" hidden="1">{#N/A,#N/A,FALSE,"Bakersfield PCs";#N/A,#N/A,FALSE,"Bremer PCs";#N/A,#N/A,FALSE,"Bakersfield Notebooks"}</definedName>
    <definedName name="steve2" localSheetId="57" hidden="1">{#N/A,#N/A,FALSE,"Bakersfield PCs";#N/A,#N/A,FALSE,"Bremer PCs";#N/A,#N/A,FALSE,"Bakersfield Notebooks"}</definedName>
    <definedName name="steve2" hidden="1">{#N/A,#N/A,FALSE,"Bakersfield PCs";#N/A,#N/A,FALSE,"Bremer PCs";#N/A,#N/A,FALSE,"Bakersfield Notebooks"}</definedName>
    <definedName name="suckit" localSheetId="106" hidden="1">#REF!</definedName>
    <definedName name="suckit" localSheetId="95" hidden="1">#REF!</definedName>
    <definedName name="suckit" localSheetId="94" hidden="1">#REF!</definedName>
    <definedName name="suckit" localSheetId="33" hidden="1">#REF!</definedName>
    <definedName name="suckit" localSheetId="34" hidden="1">#REF!</definedName>
    <definedName name="suckit" localSheetId="35" hidden="1">#REF!</definedName>
    <definedName name="suckit" localSheetId="102" hidden="1">#REF!</definedName>
    <definedName name="suckit" localSheetId="4" hidden="1">#REF!</definedName>
    <definedName name="suckit" localSheetId="55" hidden="1">#REF!</definedName>
    <definedName name="suckit" localSheetId="59" hidden="1">#REF!</definedName>
    <definedName name="suckit" localSheetId="93" hidden="1">#REF!</definedName>
    <definedName name="suckit" localSheetId="62" hidden="1">#REF!</definedName>
    <definedName name="suckit" localSheetId="47" hidden="1">#REF!</definedName>
    <definedName name="suckit" localSheetId="101" hidden="1">#REF!</definedName>
    <definedName name="suckit" localSheetId="40" hidden="1">#REF!</definedName>
    <definedName name="suckit" localSheetId="41" hidden="1">#REF!</definedName>
    <definedName name="suckit" localSheetId="46" hidden="1">#REF!</definedName>
    <definedName name="suckit" localSheetId="60" hidden="1">#REF!</definedName>
    <definedName name="suckit" localSheetId="39" hidden="1">#REF!</definedName>
    <definedName name="suckit" localSheetId="58" hidden="1">#REF!</definedName>
    <definedName name="suckit" localSheetId="44" hidden="1">#REF!</definedName>
    <definedName name="suckit" localSheetId="64" hidden="1">#REF!</definedName>
    <definedName name="suckit" localSheetId="63" hidden="1">#REF!</definedName>
    <definedName name="suckit" localSheetId="31" hidden="1">#REF!</definedName>
    <definedName name="suckit" localSheetId="104" hidden="1">#REF!</definedName>
    <definedName name="suckit" localSheetId="96" hidden="1">#REF!</definedName>
    <definedName name="suckit" localSheetId="61" hidden="1">#REF!</definedName>
    <definedName name="suckit" localSheetId="90" hidden="1">#REF!</definedName>
    <definedName name="suckit" localSheetId="19" hidden="1">#REF!</definedName>
    <definedName name="suckit" localSheetId="57" hidden="1">#REF!</definedName>
    <definedName name="suckit" hidden="1">#REF!</definedName>
    <definedName name="super" localSheetId="47">{"page 1";"page 2";"notes";"summary";"source";"analys";"covrge";"roea"}</definedName>
    <definedName name="super" localSheetId="57">{"page 1";"page 2";"notes";"summary";"source";"analys";"covrge";"roea"}</definedName>
    <definedName name="super">{"page 1";"page 2";"notes";"summary";"source";"analys";"covrge";"roea"}</definedName>
    <definedName name="SWE_NET">108</definedName>
    <definedName name="SWI_NET">118</definedName>
    <definedName name="t" localSheetId="55" hidden="1">{"bs",#N/A,FALSE,"SCF"}</definedName>
    <definedName name="t" localSheetId="59" hidden="1">{"bs",#N/A,FALSE,"SCF"}</definedName>
    <definedName name="t" localSheetId="93" hidden="1">{"bs",#N/A,FALSE,"SCF"}</definedName>
    <definedName name="t" localSheetId="12" hidden="1">{"bs",#N/A,FALSE,"SCF"}</definedName>
    <definedName name="t" localSheetId="62" hidden="1">{"bs",#N/A,FALSE,"SCF"}</definedName>
    <definedName name="t" localSheetId="47" hidden="1">{"bs",#N/A,FALSE,"SCF"}</definedName>
    <definedName name="t" localSheetId="15" hidden="1">{"bs",#N/A,FALSE,"SCF"}</definedName>
    <definedName name="t" localSheetId="101" hidden="1">{"bs",#N/A,FALSE,"SCF"}</definedName>
    <definedName name="t" localSheetId="60" hidden="1">{"bs",#N/A,FALSE,"SCF"}</definedName>
    <definedName name="t" localSheetId="39" hidden="1">{"bs",#N/A,FALSE,"SCF"}</definedName>
    <definedName name="t" localSheetId="58" hidden="1">{"bs",#N/A,FALSE,"SCF"}</definedName>
    <definedName name="t" localSheetId="64" hidden="1">{"bs",#N/A,FALSE,"SCF"}</definedName>
    <definedName name="t" localSheetId="54" hidden="1">{"bs",#N/A,FALSE,"SCF"}</definedName>
    <definedName name="t" localSheetId="13" hidden="1">{"bs",#N/A,FALSE,"SCF"}</definedName>
    <definedName name="t" localSheetId="63" hidden="1">{"bs",#N/A,FALSE,"SCF"}</definedName>
    <definedName name="t" localSheetId="31" hidden="1">{"bs",#N/A,FALSE,"SCF"}</definedName>
    <definedName name="t" localSheetId="61" hidden="1">{"bs",#N/A,FALSE,"SCF"}</definedName>
    <definedName name="t" localSheetId="45" hidden="1">{"bs",#N/A,FALSE,"SCF"}</definedName>
    <definedName name="t" localSheetId="90" hidden="1">{"bs",#N/A,FALSE,"SCF"}</definedName>
    <definedName name="t" localSheetId="19" hidden="1">{"bs",#N/A,FALSE,"SCF"}</definedName>
    <definedName name="t" localSheetId="57" hidden="1">{"bs",#N/A,FALSE,"SCF"}</definedName>
    <definedName name="t" hidden="1">{"bs",#N/A,FALSE,"SCF"}</definedName>
    <definedName name="TableName">"Dummy"</definedName>
    <definedName name="TablesII" localSheetId="47">{1}</definedName>
    <definedName name="TablesII" localSheetId="57">{1}</definedName>
    <definedName name="TablesII">{1}</definedName>
    <definedName name="Tax" localSheetId="47">{7}</definedName>
    <definedName name="Tax" localSheetId="57">{7}</definedName>
    <definedName name="Tax">{7}</definedName>
    <definedName name="Taxes">0.085</definedName>
    <definedName name="tejhre" localSheetId="55" hidden="1">{#N/A,#N/A,FALSE,"Bakersfield PCs";#N/A,#N/A,FALSE,"Bremer PCs";#N/A,#N/A,FALSE,"Bakersfield Notebooks"}</definedName>
    <definedName name="tejhre" localSheetId="59" hidden="1">{#N/A,#N/A,FALSE,"Bakersfield PCs";#N/A,#N/A,FALSE,"Bremer PCs";#N/A,#N/A,FALSE,"Bakersfield Notebooks"}</definedName>
    <definedName name="tejhre" localSheetId="93" hidden="1">{#N/A,#N/A,FALSE,"Bakersfield PCs";#N/A,#N/A,FALSE,"Bremer PCs";#N/A,#N/A,FALSE,"Bakersfield Notebooks"}</definedName>
    <definedName name="tejhre" localSheetId="12" hidden="1">{#N/A,#N/A,FALSE,"Bakersfield PCs";#N/A,#N/A,FALSE,"Bremer PCs";#N/A,#N/A,FALSE,"Bakersfield Notebooks"}</definedName>
    <definedName name="tejhre" localSheetId="62" hidden="1">{#N/A,#N/A,FALSE,"Bakersfield PCs";#N/A,#N/A,FALSE,"Bremer PCs";#N/A,#N/A,FALSE,"Bakersfield Notebooks"}</definedName>
    <definedName name="tejhre" localSheetId="47" hidden="1">{#N/A,#N/A,FALSE,"Bakersfield PCs";#N/A,#N/A,FALSE,"Bremer PCs";#N/A,#N/A,FALSE,"Bakersfield Notebooks"}</definedName>
    <definedName name="tejhre" localSheetId="15" hidden="1">{#N/A,#N/A,FALSE,"Bakersfield PCs";#N/A,#N/A,FALSE,"Bremer PCs";#N/A,#N/A,FALSE,"Bakersfield Notebooks"}</definedName>
    <definedName name="tejhre" localSheetId="101" hidden="1">{#N/A,#N/A,FALSE,"Bakersfield PCs";#N/A,#N/A,FALSE,"Bremer PCs";#N/A,#N/A,FALSE,"Bakersfield Notebooks"}</definedName>
    <definedName name="tejhre" localSheetId="60" hidden="1">{#N/A,#N/A,FALSE,"Bakersfield PCs";#N/A,#N/A,FALSE,"Bremer PCs";#N/A,#N/A,FALSE,"Bakersfield Notebooks"}</definedName>
    <definedName name="tejhre" localSheetId="39" hidden="1">{#N/A,#N/A,FALSE,"Bakersfield PCs";#N/A,#N/A,FALSE,"Bremer PCs";#N/A,#N/A,FALSE,"Bakersfield Notebooks"}</definedName>
    <definedName name="tejhre" localSheetId="58" hidden="1">{#N/A,#N/A,FALSE,"Bakersfield PCs";#N/A,#N/A,FALSE,"Bremer PCs";#N/A,#N/A,FALSE,"Bakersfield Notebooks"}</definedName>
    <definedName name="tejhre" localSheetId="64" hidden="1">{#N/A,#N/A,FALSE,"Bakersfield PCs";#N/A,#N/A,FALSE,"Bremer PCs";#N/A,#N/A,FALSE,"Bakersfield Notebooks"}</definedName>
    <definedName name="tejhre" localSheetId="54" hidden="1">{#N/A,#N/A,FALSE,"Bakersfield PCs";#N/A,#N/A,FALSE,"Bremer PCs";#N/A,#N/A,FALSE,"Bakersfield Notebooks"}</definedName>
    <definedName name="tejhre" localSheetId="13" hidden="1">{#N/A,#N/A,FALSE,"Bakersfield PCs";#N/A,#N/A,FALSE,"Bremer PCs";#N/A,#N/A,FALSE,"Bakersfield Notebooks"}</definedName>
    <definedName name="tejhre" localSheetId="63" hidden="1">{#N/A,#N/A,FALSE,"Bakersfield PCs";#N/A,#N/A,FALSE,"Bremer PCs";#N/A,#N/A,FALSE,"Bakersfield Notebooks"}</definedName>
    <definedName name="tejhre" localSheetId="31" hidden="1">{#N/A,#N/A,FALSE,"Bakersfield PCs";#N/A,#N/A,FALSE,"Bremer PCs";#N/A,#N/A,FALSE,"Bakersfield Notebooks"}</definedName>
    <definedName name="tejhre" localSheetId="61" hidden="1">{#N/A,#N/A,FALSE,"Bakersfield PCs";#N/A,#N/A,FALSE,"Bremer PCs";#N/A,#N/A,FALSE,"Bakersfield Notebooks"}</definedName>
    <definedName name="tejhre" localSheetId="45" hidden="1">{#N/A,#N/A,FALSE,"Bakersfield PCs";#N/A,#N/A,FALSE,"Bremer PCs";#N/A,#N/A,FALSE,"Bakersfield Notebooks"}</definedName>
    <definedName name="tejhre" localSheetId="90" hidden="1">{#N/A,#N/A,FALSE,"Bakersfield PCs";#N/A,#N/A,FALSE,"Bremer PCs";#N/A,#N/A,FALSE,"Bakersfield Notebooks"}</definedName>
    <definedName name="tejhre" localSheetId="19" hidden="1">{#N/A,#N/A,FALSE,"Bakersfield PCs";#N/A,#N/A,FALSE,"Bremer PCs";#N/A,#N/A,FALSE,"Bakersfield Notebooks"}</definedName>
    <definedName name="tejhre" localSheetId="57" hidden="1">{#N/A,#N/A,FALSE,"Bakersfield PCs";#N/A,#N/A,FALSE,"Bremer PCs";#N/A,#N/A,FALSE,"Bakersfield Notebooks"}</definedName>
    <definedName name="tejhre" hidden="1">{#N/A,#N/A,FALSE,"Bakersfield PCs";#N/A,#N/A,FALSE,"Bremer PCs";#N/A,#N/A,FALSE,"Bakersfield Notebooks"}</definedName>
    <definedName name="temp" localSheetId="55" hidden="1">{#N/A,#N/A,FALSE,"Bakersfield PCs";#N/A,#N/A,FALSE,"Bremer PCs";#N/A,#N/A,FALSE,"Bakersfield Notebooks"}</definedName>
    <definedName name="temp" localSheetId="59" hidden="1">{#N/A,#N/A,FALSE,"Bakersfield PCs";#N/A,#N/A,FALSE,"Bremer PCs";#N/A,#N/A,FALSE,"Bakersfield Notebooks"}</definedName>
    <definedName name="temp" localSheetId="93" hidden="1">{#N/A,#N/A,FALSE,"Bakersfield PCs";#N/A,#N/A,FALSE,"Bremer PCs";#N/A,#N/A,FALSE,"Bakersfield Notebooks"}</definedName>
    <definedName name="temp" localSheetId="12" hidden="1">{#N/A,#N/A,FALSE,"Bakersfield PCs";#N/A,#N/A,FALSE,"Bremer PCs";#N/A,#N/A,FALSE,"Bakersfield Notebooks"}</definedName>
    <definedName name="temp" localSheetId="62" hidden="1">{#N/A,#N/A,FALSE,"Bakersfield PCs";#N/A,#N/A,FALSE,"Bremer PCs";#N/A,#N/A,FALSE,"Bakersfield Notebooks"}</definedName>
    <definedName name="temp" localSheetId="47" hidden="1">{#N/A,#N/A,FALSE,"Bakersfield PCs";#N/A,#N/A,FALSE,"Bremer PCs";#N/A,#N/A,FALSE,"Bakersfield Notebooks"}</definedName>
    <definedName name="temp" localSheetId="15" hidden="1">{#N/A,#N/A,FALSE,"Bakersfield PCs";#N/A,#N/A,FALSE,"Bremer PCs";#N/A,#N/A,FALSE,"Bakersfield Notebooks"}</definedName>
    <definedName name="temp" localSheetId="101" hidden="1">{#N/A,#N/A,FALSE,"Bakersfield PCs";#N/A,#N/A,FALSE,"Bremer PCs";#N/A,#N/A,FALSE,"Bakersfield Notebooks"}</definedName>
    <definedName name="temp" localSheetId="60" hidden="1">{#N/A,#N/A,FALSE,"Bakersfield PCs";#N/A,#N/A,FALSE,"Bremer PCs";#N/A,#N/A,FALSE,"Bakersfield Notebooks"}</definedName>
    <definedName name="temp" localSheetId="39" hidden="1">{#N/A,#N/A,FALSE,"Bakersfield PCs";#N/A,#N/A,FALSE,"Bremer PCs";#N/A,#N/A,FALSE,"Bakersfield Notebooks"}</definedName>
    <definedName name="temp" localSheetId="58" hidden="1">{#N/A,#N/A,FALSE,"Bakersfield PCs";#N/A,#N/A,FALSE,"Bremer PCs";#N/A,#N/A,FALSE,"Bakersfield Notebooks"}</definedName>
    <definedName name="temp" localSheetId="64" hidden="1">{#N/A,#N/A,FALSE,"Bakersfield PCs";#N/A,#N/A,FALSE,"Bremer PCs";#N/A,#N/A,FALSE,"Bakersfield Notebooks"}</definedName>
    <definedName name="temp" localSheetId="54" hidden="1">{#N/A,#N/A,FALSE,"Bakersfield PCs";#N/A,#N/A,FALSE,"Bremer PCs";#N/A,#N/A,FALSE,"Bakersfield Notebooks"}</definedName>
    <definedName name="temp" localSheetId="13" hidden="1">{#N/A,#N/A,FALSE,"Bakersfield PCs";#N/A,#N/A,FALSE,"Bremer PCs";#N/A,#N/A,FALSE,"Bakersfield Notebooks"}</definedName>
    <definedName name="temp" localSheetId="63" hidden="1">{#N/A,#N/A,FALSE,"Bakersfield PCs";#N/A,#N/A,FALSE,"Bremer PCs";#N/A,#N/A,FALSE,"Bakersfield Notebooks"}</definedName>
    <definedName name="temp" localSheetId="31" hidden="1">{#N/A,#N/A,FALSE,"Bakersfield PCs";#N/A,#N/A,FALSE,"Bremer PCs";#N/A,#N/A,FALSE,"Bakersfield Notebooks"}</definedName>
    <definedName name="temp" localSheetId="61" hidden="1">{#N/A,#N/A,FALSE,"Bakersfield PCs";#N/A,#N/A,FALSE,"Bremer PCs";#N/A,#N/A,FALSE,"Bakersfield Notebooks"}</definedName>
    <definedName name="temp" localSheetId="45" hidden="1">{#N/A,#N/A,FALSE,"Bakersfield PCs";#N/A,#N/A,FALSE,"Bremer PCs";#N/A,#N/A,FALSE,"Bakersfield Notebooks"}</definedName>
    <definedName name="temp" localSheetId="90" hidden="1">{#N/A,#N/A,FALSE,"Bakersfield PCs";#N/A,#N/A,FALSE,"Bremer PCs";#N/A,#N/A,FALSE,"Bakersfield Notebooks"}</definedName>
    <definedName name="temp" localSheetId="19" hidden="1">{#N/A,#N/A,FALSE,"Bakersfield PCs";#N/A,#N/A,FALSE,"Bremer PCs";#N/A,#N/A,FALSE,"Bakersfield Notebooks"}</definedName>
    <definedName name="temp" localSheetId="57" hidden="1">{#N/A,#N/A,FALSE,"Bakersfield PCs";#N/A,#N/A,FALSE,"Bremer PCs";#N/A,#N/A,FALSE,"Bakersfield Notebooks"}</definedName>
    <definedName name="temp" hidden="1">{#N/A,#N/A,FALSE,"Bakersfield PCs";#N/A,#N/A,FALSE,"Bremer PCs";#N/A,#N/A,FALSE,"Bakersfield Notebooks"}</definedName>
    <definedName name="TemplateDate">32967</definedName>
    <definedName name="test" localSheetId="55" hidden="1">{#N/A,#N/A,TRUE,"Tax";#N/A,#N/A,TRUE,"Structure";#N/A,#N/A,TRUE,"Accounting";#N/A,#N/A,TRUE,"Equipment"}</definedName>
    <definedName name="test" localSheetId="93" hidden="1">{#N/A,#N/A,TRUE,"Tax";#N/A,#N/A,TRUE,"Structure";#N/A,#N/A,TRUE,"Accounting";#N/A,#N/A,TRUE,"Equipment"}</definedName>
    <definedName name="test" localSheetId="12" hidden="1">{#N/A,#N/A,TRUE,"Tax";#N/A,#N/A,TRUE,"Structure";#N/A,#N/A,TRUE,"Accounting";#N/A,#N/A,TRUE,"Equipment"}</definedName>
    <definedName name="test" localSheetId="47" hidden="1">{#N/A,#N/A,TRUE,"Tax";#N/A,#N/A,TRUE,"Structure";#N/A,#N/A,TRUE,"Accounting";#N/A,#N/A,TRUE,"Equipment"}</definedName>
    <definedName name="test" localSheetId="15" hidden="1">{#N/A,#N/A,TRUE,"Tax";#N/A,#N/A,TRUE,"Structure";#N/A,#N/A,TRUE,"Accounting";#N/A,#N/A,TRUE,"Equipment"}</definedName>
    <definedName name="test" localSheetId="101" hidden="1">{#N/A,#N/A,TRUE,"Tax";#N/A,#N/A,TRUE,"Structure";#N/A,#N/A,TRUE,"Accounting";#N/A,#N/A,TRUE,"Equipment"}</definedName>
    <definedName name="test" localSheetId="39" hidden="1">{#N/A,#N/A,TRUE,"Tax";#N/A,#N/A,TRUE,"Structure";#N/A,#N/A,TRUE,"Accounting";#N/A,#N/A,TRUE,"Equipment"}</definedName>
    <definedName name="test" localSheetId="64" hidden="1">{#N/A,#N/A,TRUE,"Tax";#N/A,#N/A,TRUE,"Structure";#N/A,#N/A,TRUE,"Accounting";#N/A,#N/A,TRUE,"Equipment"}</definedName>
    <definedName name="test" localSheetId="54" hidden="1">{"'Projection USA'!$A$2:$M$191"}</definedName>
    <definedName name="test" localSheetId="13" hidden="1">{#N/A,#N/A,TRUE,"Tax";#N/A,#N/A,TRUE,"Structure";#N/A,#N/A,TRUE,"Accounting";#N/A,#N/A,TRUE,"Equipment"}</definedName>
    <definedName name="test" localSheetId="63" hidden="1">{#N/A,#N/A,TRUE,"Tax";#N/A,#N/A,TRUE,"Structure";#N/A,#N/A,TRUE,"Accounting";#N/A,#N/A,TRUE,"Equipment"}</definedName>
    <definedName name="test" localSheetId="31" hidden="1">{#N/A,#N/A,TRUE,"Tax";#N/A,#N/A,TRUE,"Structure";#N/A,#N/A,TRUE,"Accounting";#N/A,#N/A,TRUE,"Equipment"}</definedName>
    <definedName name="test" localSheetId="90" hidden="1">{#N/A,#N/A,TRUE,"Tax";#N/A,#N/A,TRUE,"Structure";#N/A,#N/A,TRUE,"Accounting";#N/A,#N/A,TRUE,"Equipment"}</definedName>
    <definedName name="test" localSheetId="19" hidden="1">{#N/A,#N/A,TRUE,"Tax";#N/A,#N/A,TRUE,"Structure";#N/A,#N/A,TRUE,"Accounting";#N/A,#N/A,TRUE,"Equipment"}</definedName>
    <definedName name="test" localSheetId="57" hidden="1">{#N/A,#N/A,TRUE,"Tax";#N/A,#N/A,TRUE,"Structure";#N/A,#N/A,TRUE,"Accounting";#N/A,#N/A,TRUE,"Equipment"}</definedName>
    <definedName name="test" hidden="1">{#N/A,#N/A,TRUE,"Tax";#N/A,#N/A,TRUE,"Structure";#N/A,#N/A,TRUE,"Accounting";#N/A,#N/A,TRUE,"Equipment"}</definedName>
    <definedName name="test2" localSheetId="47" hidden="1">{"'Projection USA'!$A$2:$M$191"}</definedName>
    <definedName name="test2" localSheetId="54" hidden="1">{"'Projection USA'!$A$2:$M$191"}</definedName>
    <definedName name="test2" hidden="1">{"'Projection USA'!$A$2:$M$191"}</definedName>
    <definedName name="TestAdd">"Test RefersTo1"</definedName>
    <definedName name="ThirdProj">[12]Setup!$C$16</definedName>
    <definedName name="This_Year">"1998E"</definedName>
    <definedName name="TM1REBUILDOPTION">0</definedName>
    <definedName name="Toggle_DB_Location" hidden="1">2</definedName>
    <definedName name="Toggle_Freeze_View" hidden="1">0</definedName>
    <definedName name="TOTAL">3</definedName>
    <definedName name="totcap" localSheetId="106" hidden="1">#REF!,#REF!,#REF!,#REF!</definedName>
    <definedName name="totcap" localSheetId="95" hidden="1">#REF!,#REF!,#REF!,#REF!</definedName>
    <definedName name="totcap" localSheetId="94" hidden="1">#REF!,#REF!,#REF!,#REF!</definedName>
    <definedName name="totcap" localSheetId="33" hidden="1">#REF!,#REF!,#REF!,#REF!</definedName>
    <definedName name="totcap" localSheetId="34" hidden="1">#REF!,#REF!,#REF!,#REF!</definedName>
    <definedName name="totcap" localSheetId="35" hidden="1">#REF!,#REF!,#REF!,#REF!</definedName>
    <definedName name="totcap" localSheetId="102" hidden="1">#REF!,#REF!,#REF!,#REF!</definedName>
    <definedName name="totcap" localSheetId="4" hidden="1">#REF!,#REF!,#REF!,#REF!</definedName>
    <definedName name="totcap" localSheetId="55" hidden="1">#REF!,#REF!,#REF!,#REF!</definedName>
    <definedName name="totcap" localSheetId="59" hidden="1">#REF!,#REF!,#REF!,#REF!</definedName>
    <definedName name="totcap" localSheetId="93" hidden="1">#REF!,#REF!,#REF!,#REF!</definedName>
    <definedName name="totcap" localSheetId="62" hidden="1">#REF!,#REF!,#REF!,#REF!</definedName>
    <definedName name="totcap" localSheetId="47" hidden="1">#REF!,#REF!,#REF!,#REF!</definedName>
    <definedName name="totcap" localSheetId="101" hidden="1">#REF!,#REF!,#REF!,#REF!</definedName>
    <definedName name="totcap" localSheetId="40" hidden="1">#REF!,#REF!,#REF!,#REF!</definedName>
    <definedName name="totcap" localSheetId="41" hidden="1">#REF!,#REF!,#REF!,#REF!</definedName>
    <definedName name="totcap" localSheetId="46" hidden="1">#REF!,#REF!,#REF!,#REF!</definedName>
    <definedName name="totcap" localSheetId="60" hidden="1">#REF!,#REF!,#REF!,#REF!</definedName>
    <definedName name="totcap" localSheetId="39" hidden="1">#REF!,#REF!,#REF!,#REF!</definedName>
    <definedName name="totcap" localSheetId="58" hidden="1">#REF!,#REF!,#REF!,#REF!</definedName>
    <definedName name="totcap" localSheetId="44" hidden="1">#REF!,#REF!,#REF!,#REF!</definedName>
    <definedName name="totcap" localSheetId="64" hidden="1">#REF!,#REF!,#REF!,#REF!</definedName>
    <definedName name="totcap" localSheetId="63" hidden="1">#REF!,#REF!,#REF!,#REF!</definedName>
    <definedName name="totcap" localSheetId="31" hidden="1">#REF!,#REF!,#REF!,#REF!</definedName>
    <definedName name="totcap" localSheetId="104" hidden="1">#REF!,#REF!,#REF!,#REF!</definedName>
    <definedName name="totcap" localSheetId="96" hidden="1">#REF!,#REF!,#REF!,#REF!</definedName>
    <definedName name="totcap" localSheetId="61" hidden="1">#REF!,#REF!,#REF!,#REF!</definedName>
    <definedName name="totcap" localSheetId="90" hidden="1">#REF!,#REF!,#REF!,#REF!</definedName>
    <definedName name="totcap" localSheetId="19" hidden="1">#REF!,#REF!,#REF!,#REF!</definedName>
    <definedName name="totcap" localSheetId="57" hidden="1">#REF!,#REF!,#REF!,#REF!</definedName>
    <definedName name="totcap" hidden="1">#REF!,#REF!,#REF!,#REF!</definedName>
    <definedName name="Touteslestables" localSheetId="47">{2}</definedName>
    <definedName name="Touteslestables" localSheetId="57">{2}</definedName>
    <definedName name="Touteslestables">{2}</definedName>
    <definedName name="trc_XLS_DATASHEET_ProtectDate">36887.5232638888</definedName>
    <definedName name="trev" localSheetId="47">{"wac","93439010","Price"}</definedName>
    <definedName name="trev" localSheetId="57">{"wac","93439010","Price"}</definedName>
    <definedName name="trev">{"wac","93439010","Price"}</definedName>
    <definedName name="tt" localSheetId="47" hidden="1">{#N/A,#N/A,FALSE,"e-Svc Level";#N/A,#N/A,FALSE,"e-Hosted";#N/A,#N/A,FALSE,"e-Licensed";#N/A,#N/A,FALSE,"Assumptions"}</definedName>
    <definedName name="tt" localSheetId="54" hidden="1">{#N/A,#N/A,FALSE,"e-Svc Level";#N/A,#N/A,FALSE,"e-Hosted";#N/A,#N/A,FALSE,"e-Licensed";#N/A,#N/A,FALSE,"Assumptions"}</definedName>
    <definedName name="tt" hidden="1">{#N/A,#N/A,FALSE,"e-Svc Level";#N/A,#N/A,FALSE,"e-Hosted";#N/A,#N/A,FALSE,"e-Licensed";#N/A,#N/A,FALSE,"Assumptions"}</definedName>
    <definedName name="u" localSheetId="47">{0.1;0;0.382758620689655;0;0;0;0.258620689655172;0;0.258620689655172}</definedName>
    <definedName name="u" localSheetId="57">{0.1;0;0.382758620689655;0;0;0;0.258620689655172;0;0.258620689655172}</definedName>
    <definedName name="u">{0.1;0;0.382758620689655;0;0;0;0.258620689655172;0;0.258620689655172}</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S_Analyst">'[24]List Data'!$C$5:$C$14</definedName>
    <definedName name="USA_NET">109</definedName>
    <definedName name="uu" localSheetId="47" hidden="1">{#N/A,#N/A,FALSE,"e-Svc Level";#N/A,#N/A,FALSE,"e-Hosted";#N/A,#N/A,FALSE,"e-Licensed";#N/A,#N/A,FALSE,"Assumptions"}</definedName>
    <definedName name="uu" localSheetId="54" hidden="1">{#N/A,#N/A,FALSE,"e-Svc Level";#N/A,#N/A,FALSE,"e-Hosted";#N/A,#N/A,FALSE,"e-Licensed";#N/A,#N/A,FALSE,"Assumptions"}</definedName>
    <definedName name="uu" hidden="1">{#N/A,#N/A,FALSE,"e-Svc Level";#N/A,#N/A,FALSE,"e-Hosted";#N/A,#N/A,FALSE,"e-Licensed";#N/A,#N/A,FALSE,"Assumptions"}</definedName>
    <definedName name="Validation">"MAM"</definedName>
    <definedName name="Valuation_Lead">'[24]List Data'!$B$5:$B$14</definedName>
    <definedName name="ValuationDate">[12]Setup!$C$2</definedName>
    <definedName name="ValuationDate_IP">'[25]Setup - IP Val'!$C$2</definedName>
    <definedName name="ValuationProvider">[12]Setup!$C$5</definedName>
    <definedName name="Values_Entered" localSheetId="106">IF(Loan_Amount*Interest_Rate*Loan_Years*Loan_Start&gt;0,1,0)</definedName>
    <definedName name="Values_Entered" localSheetId="95">IF(Loan_Amount*Interest_Rate*Loan_Years*Loan_Start&gt;0,1,0)</definedName>
    <definedName name="Values_Entered" localSheetId="94">IF(Loan_Amount*Interest_Rate*Loan_Years*Loan_Start&gt;0,1,0)</definedName>
    <definedName name="Values_Entered" localSheetId="33">IF(Loan_Amount*Interest_Rate*Loan_Years*Loan_Start&gt;0,1,0)</definedName>
    <definedName name="Values_Entered" localSheetId="34">IF(Loan_Amount*Interest_Rate*Loan_Years*Loan_Start&gt;0,1,0)</definedName>
    <definedName name="Values_Entered" localSheetId="35">IF(Loan_Amount*Interest_Rate*Loan_Years*Loan_Start&gt;0,1,0)</definedName>
    <definedName name="Values_Entered" localSheetId="102">IF(Loan_Amount*Interest_Rate*Loan_Years*Loan_Start&gt;0,1,0)</definedName>
    <definedName name="Values_Entered" localSheetId="4">IF(Loan_Amount*Interest_Rate*Loan_Years*Loan_Start&gt;0,1,0)</definedName>
    <definedName name="Values_Entered" localSheetId="59">IF(Loan_Amount*Interest_Rate*Loan_Years*Loan_Start&gt;0,1,0)</definedName>
    <definedName name="Values_Entered" localSheetId="93">IF(Loan_Amount*Interest_Rate*Loan_Years*Loan_Start&gt;0,1,0)</definedName>
    <definedName name="Values_Entered" localSheetId="12">IF(Loan_Amount*Interest_Rate*Loan_Years*Loan_Start&gt;0,1,0)</definedName>
    <definedName name="Values_Entered" localSheetId="47">IF(Loan_Amount*Interest_Rate*Loan_Years*Loan_Start&gt;0,1,0)</definedName>
    <definedName name="Values_Entered" localSheetId="15">IF(Loan_Amount*Interest_Rate*Loan_Years*Loan_Start&gt;0,1,0)</definedName>
    <definedName name="Values_Entered" localSheetId="101">IF(Loan_Amount*Interest_Rate*Loan_Years*Loan_Start&gt;0,1,0)</definedName>
    <definedName name="Values_Entered" localSheetId="41">IF(Loan_Amount*Interest_Rate*Loan_Years*Loan_Start&gt;0,1,0)</definedName>
    <definedName name="Values_Entered" localSheetId="46">IF(Loan_Amount*Interest_Rate*Loan_Years*Loan_Start&gt;0,1,0)</definedName>
    <definedName name="Values_Entered" localSheetId="60">IF(Loan_Amount*Interest_Rate*Loan_Years*Loan_Start&gt;0,1,0)</definedName>
    <definedName name="Values_Entered" localSheetId="39">IF(Loan_Amount*Interest_Rate*Loan_Years*Loan_Start&gt;0,1,0)</definedName>
    <definedName name="Values_Entered" localSheetId="54">IF(Loan_Amount*Interest_Rate*Loan_Years*Loan_Start&gt;0,1,0)</definedName>
    <definedName name="Values_Entered" localSheetId="13">IF(Loan_Amount*Interest_Rate*Loan_Years*Loan_Start&gt;0,1,0)</definedName>
    <definedName name="Values_Entered" localSheetId="63">IF(Loan_Amount*Interest_Rate*Loan_Years*Loan_Start&gt;0,1,0)</definedName>
    <definedName name="Values_Entered" localSheetId="31">IF(Loan_Amount*Interest_Rate*Loan_Years*Loan_Start&gt;0,1,0)</definedName>
    <definedName name="Values_Entered" localSheetId="104">IF(Loan_Amount*Interest_Rate*Loan_Years*Loan_Start&gt;0,1,0)</definedName>
    <definedName name="Values_Entered" localSheetId="96">IF(Loan_Amount*Interest_Rate*Loan_Years*Loan_Start&gt;0,1,0)</definedName>
    <definedName name="Values_Entered" localSheetId="45">IF(Loan_Amount*Interest_Rate*Loan_Years*Loan_Start&gt;0,1,0)</definedName>
    <definedName name="Values_Entered" localSheetId="90">IF(Loan_Amount*Interest_Rate*Loan_Years*Loan_Start&gt;0,1,0)</definedName>
    <definedName name="Values_Entered" localSheetId="19">IF(Loan_Amount*Interest_Rate*Loan_Years*Loan_Start&gt;0,1,0)</definedName>
    <definedName name="Values_Entered" localSheetId="57">IF(Loan_Amount*Interest_Rate*Loan_Years*Loan_Start&gt;0,1,0)</definedName>
    <definedName name="Values_Entered">IF(Loan_Amount*Interest_Rate*Loan_Years*Loan_Start&gt;0,1,0)</definedName>
    <definedName name="Version">"June 29, 2004"</definedName>
    <definedName name="Version_Nbr" hidden="1">1</definedName>
    <definedName name="w" localSheetId="47" hidden="1">{#N/A,#N/A,FALSE,"AAPCC (HMO&amp;Non-HMO)"}</definedName>
    <definedName name="w" localSheetId="54" hidden="1">{#N/A,#N/A,FALSE,"AAPCC (HMO&amp;Non-HMO)"}</definedName>
    <definedName name="w" hidden="1">{#N/A,#N/A,FALSE,"AAPCC (HMO&amp;Non-HMO)"}</definedName>
    <definedName name="willie" localSheetId="55" hidden="1">{#N/A,#N/A,FALSE,"Bakersfield PCs";#N/A,#N/A,FALSE,"Bremer PCs";#N/A,#N/A,FALSE,"Bakersfield Notebooks"}</definedName>
    <definedName name="willie" localSheetId="59" hidden="1">{#N/A,#N/A,FALSE,"Bakersfield PCs";#N/A,#N/A,FALSE,"Bremer PCs";#N/A,#N/A,FALSE,"Bakersfield Notebooks"}</definedName>
    <definedName name="willie" localSheetId="93" hidden="1">{#N/A,#N/A,FALSE,"Bakersfield PCs";#N/A,#N/A,FALSE,"Bremer PCs";#N/A,#N/A,FALSE,"Bakersfield Notebooks"}</definedName>
    <definedName name="willie" localSheetId="12" hidden="1">{#N/A,#N/A,FALSE,"Bakersfield PCs";#N/A,#N/A,FALSE,"Bremer PCs";#N/A,#N/A,FALSE,"Bakersfield Notebooks"}</definedName>
    <definedName name="willie" localSheetId="62" hidden="1">{#N/A,#N/A,FALSE,"Bakersfield PCs";#N/A,#N/A,FALSE,"Bremer PCs";#N/A,#N/A,FALSE,"Bakersfield Notebooks"}</definedName>
    <definedName name="willie" localSheetId="47" hidden="1">{#N/A,#N/A,FALSE,"Bakersfield PCs";#N/A,#N/A,FALSE,"Bremer PCs";#N/A,#N/A,FALSE,"Bakersfield Notebooks"}</definedName>
    <definedName name="willie" localSheetId="15" hidden="1">{#N/A,#N/A,FALSE,"Bakersfield PCs";#N/A,#N/A,FALSE,"Bremer PCs";#N/A,#N/A,FALSE,"Bakersfield Notebooks"}</definedName>
    <definedName name="willie" localSheetId="101" hidden="1">{#N/A,#N/A,FALSE,"Bakersfield PCs";#N/A,#N/A,FALSE,"Bremer PCs";#N/A,#N/A,FALSE,"Bakersfield Notebooks"}</definedName>
    <definedName name="willie" localSheetId="60" hidden="1">{#N/A,#N/A,FALSE,"Bakersfield PCs";#N/A,#N/A,FALSE,"Bremer PCs";#N/A,#N/A,FALSE,"Bakersfield Notebooks"}</definedName>
    <definedName name="willie" localSheetId="39" hidden="1">{#N/A,#N/A,FALSE,"Bakersfield PCs";#N/A,#N/A,FALSE,"Bremer PCs";#N/A,#N/A,FALSE,"Bakersfield Notebooks"}</definedName>
    <definedName name="willie" localSheetId="58" hidden="1">{#N/A,#N/A,FALSE,"Bakersfield PCs";#N/A,#N/A,FALSE,"Bremer PCs";#N/A,#N/A,FALSE,"Bakersfield Notebooks"}</definedName>
    <definedName name="willie" localSheetId="64" hidden="1">{#N/A,#N/A,FALSE,"Bakersfield PCs";#N/A,#N/A,FALSE,"Bremer PCs";#N/A,#N/A,FALSE,"Bakersfield Notebooks"}</definedName>
    <definedName name="willie" localSheetId="54" hidden="1">{#N/A,#N/A,FALSE,"Bakersfield PCs";#N/A,#N/A,FALSE,"Bremer PCs";#N/A,#N/A,FALSE,"Bakersfield Notebooks"}</definedName>
    <definedName name="willie" localSheetId="13" hidden="1">{#N/A,#N/A,FALSE,"Bakersfield PCs";#N/A,#N/A,FALSE,"Bremer PCs";#N/A,#N/A,FALSE,"Bakersfield Notebooks"}</definedName>
    <definedName name="willie" localSheetId="63" hidden="1">{#N/A,#N/A,FALSE,"Bakersfield PCs";#N/A,#N/A,FALSE,"Bremer PCs";#N/A,#N/A,FALSE,"Bakersfield Notebooks"}</definedName>
    <definedName name="willie" localSheetId="31" hidden="1">{#N/A,#N/A,FALSE,"Bakersfield PCs";#N/A,#N/A,FALSE,"Bremer PCs";#N/A,#N/A,FALSE,"Bakersfield Notebooks"}</definedName>
    <definedName name="willie" localSheetId="61" hidden="1">{#N/A,#N/A,FALSE,"Bakersfield PCs";#N/A,#N/A,FALSE,"Bremer PCs";#N/A,#N/A,FALSE,"Bakersfield Notebooks"}</definedName>
    <definedName name="willie" localSheetId="45" hidden="1">{#N/A,#N/A,FALSE,"Bakersfield PCs";#N/A,#N/A,FALSE,"Bremer PCs";#N/A,#N/A,FALSE,"Bakersfield Notebooks"}</definedName>
    <definedName name="willie" localSheetId="90" hidden="1">{#N/A,#N/A,FALSE,"Bakersfield PCs";#N/A,#N/A,FALSE,"Bremer PCs";#N/A,#N/A,FALSE,"Bakersfield Notebooks"}</definedName>
    <definedName name="willie" localSheetId="19" hidden="1">{#N/A,#N/A,FALSE,"Bakersfield PCs";#N/A,#N/A,FALSE,"Bremer PCs";#N/A,#N/A,FALSE,"Bakersfield Notebooks"}</definedName>
    <definedName name="willie" localSheetId="57" hidden="1">{#N/A,#N/A,FALSE,"Bakersfield PCs";#N/A,#N/A,FALSE,"Bremer PCs";#N/A,#N/A,FALSE,"Bakersfield Notebooks"}</definedName>
    <definedName name="willie" hidden="1">{#N/A,#N/A,FALSE,"Bakersfield PCs";#N/A,#N/A,FALSE,"Bremer PCs";#N/A,#N/A,FALSE,"Bakersfield Notebooks"}</definedName>
    <definedName name="wrn.Adjusted._.Mod._.Managed." localSheetId="47" hidden="1">{"MM Visits",#N/A,TRUE,"Moderately Managed";"MM Dollars per Hour",#N/A,TRUE,"Moderately Managed";"MM Hours per Visit",#N/A,TRUE,"Moderately Managed";"MM Dollars per Visit",#N/A,TRUE,"Moderately Managed";"MM Total Visits",#N/A,TRUE,"Moderately Managed";"MM PMPM",#N/A,TRUE,"Moderately Managed"}</definedName>
    <definedName name="wrn.Adjusted._.Mod._.Managed." localSheetId="54" hidden="1">{"MM Visits",#N/A,TRUE,"Moderately Managed";"MM Dollars per Hour",#N/A,TRUE,"Moderately Managed";"MM Hours per Visit",#N/A,TRUE,"Moderately Managed";"MM Dollars per Visit",#N/A,TRUE,"Moderately Managed";"MM Total Visits",#N/A,TRUE,"Moderately Managed";"MM PMPM",#N/A,TRUE,"Moderately Managed"}</definedName>
    <definedName name="wrn.Adjusted._.Mod._.Managed." hidden="1">{"MM Visits",#N/A,TRUE,"Moderately Managed";"MM Dollars per Hour",#N/A,TRUE,"Moderately Managed";"MM Hours per Visit",#N/A,TRUE,"Moderately Managed";"MM Dollars per Visit",#N/A,TRUE,"Moderately Managed";"MM Total Visits",#N/A,TRUE,"Moderately Managed";"MM PMPM",#N/A,TRUE,"Moderately Managed"}</definedName>
    <definedName name="wrn.Adjusted._.Optimal." localSheetId="47" hidden="1">{"OM Visits",#N/A,TRUE,"Optimal";"OM Dollars per Hour",#N/A,TRUE,"Optimal";"OM Hours per Visit",#N/A,TRUE,"Optimal";"OM Dollars per Visit",#N/A,TRUE,"Optimal";"OM Total Visits",#N/A,TRUE,"Optimal";"OM PMPM",#N/A,TRUE,"Optimal"}</definedName>
    <definedName name="wrn.Adjusted._.Optimal." localSheetId="54" hidden="1">{"OM Visits",#N/A,TRUE,"Optimal";"OM Dollars per Hour",#N/A,TRUE,"Optimal";"OM Hours per Visit",#N/A,TRUE,"Optimal";"OM Dollars per Visit",#N/A,TRUE,"Optimal";"OM Total Visits",#N/A,TRUE,"Optimal";"OM PMPM",#N/A,TRUE,"Optimal"}</definedName>
    <definedName name="wrn.Adjusted._.Optimal." hidden="1">{"OM Visits",#N/A,TRUE,"Optimal";"OM Dollars per Hour",#N/A,TRUE,"Optimal";"OM Hours per Visit",#N/A,TRUE,"Optimal";"OM Dollars per Visit",#N/A,TRUE,"Optimal";"OM Total Visits",#N/A,TRUE,"Optimal";"OM PMPM",#N/A,TRUE,"Optimal"}</definedName>
    <definedName name="wrn.Adjusted._.Unmanaged." localSheetId="47" hidden="1">{"UM Visits",#N/A,FALSE,"Unmanaged";"UM Dollars per Hour",#N/A,FALSE,"Unmanaged";"UM Hours per Visit",#N/A,FALSE,"Unmanaged";"UM Dollars per Visit",#N/A,FALSE,"Unmanaged";"UM Total Visits",#N/A,FALSE,"Unmanaged";"UM PMPM",#N/A,FALSE,"Unmanaged"}</definedName>
    <definedName name="wrn.Adjusted._.Unmanaged." localSheetId="54" hidden="1">{"UM Visits",#N/A,FALSE,"Unmanaged";"UM Dollars per Hour",#N/A,FALSE,"Unmanaged";"UM Hours per Visit",#N/A,FALSE,"Unmanaged";"UM Dollars per Visit",#N/A,FALSE,"Unmanaged";"UM Total Visits",#N/A,FALSE,"Unmanaged";"UM PMPM",#N/A,FALSE,"Unmanaged"}</definedName>
    <definedName name="wrn.Adjusted._.Unmanaged." hidden="1">{"UM Visits",#N/A,FALSE,"Unmanaged";"UM Dollars per Hour",#N/A,FALSE,"Unmanaged";"UM Hours per Visit",#N/A,FALSE,"Unmanaged";"UM Dollars per Visit",#N/A,FALSE,"Unmanaged";"UM Total Visits",#N/A,FALSE,"Unmanaged";"UM PMPM",#N/A,FALSE,"Unmanaged"}</definedName>
    <definedName name="wrn.Aging._.and._.Trend._.Analysis." localSheetId="47" hidden="1">{#N/A,#N/A,FALSE,"Aging Summary";#N/A,#N/A,FALSE,"Ratio Analysis";#N/A,#N/A,FALSE,"Test 120 Day Accts";#N/A,#N/A,FALSE,"Tickmarks"}</definedName>
    <definedName name="wrn.Aging._.and._.Trend._.Analysis." localSheetId="54"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Counties." localSheetId="47"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wrn.All._.Counties." localSheetId="54"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wrn.All._.Counties."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wrn.All._.Sites." localSheetId="55" hidden="1">{#N/A,#N/A,FALSE,"Bakersfield PCs";#N/A,#N/A,FALSE,"Bremer PCs";#N/A,#N/A,FALSE,"Bakersfield Notebooks"}</definedName>
    <definedName name="wrn.All._.Sites." localSheetId="59" hidden="1">{#N/A,#N/A,FALSE,"Bakersfield PCs";#N/A,#N/A,FALSE,"Bremer PCs";#N/A,#N/A,FALSE,"Bakersfield Notebooks"}</definedName>
    <definedName name="wrn.All._.Sites." localSheetId="93" hidden="1">{#N/A,#N/A,FALSE,"Bakersfield PCs";#N/A,#N/A,FALSE,"Bremer PCs";#N/A,#N/A,FALSE,"Bakersfield Notebooks"}</definedName>
    <definedName name="wrn.All._.Sites." localSheetId="12" hidden="1">{#N/A,#N/A,FALSE,"Bakersfield PCs";#N/A,#N/A,FALSE,"Bremer PCs";#N/A,#N/A,FALSE,"Bakersfield Notebooks"}</definedName>
    <definedName name="wrn.All._.Sites." localSheetId="62" hidden="1">{#N/A,#N/A,FALSE,"Bakersfield PCs";#N/A,#N/A,FALSE,"Bremer PCs";#N/A,#N/A,FALSE,"Bakersfield Notebooks"}</definedName>
    <definedName name="wrn.All._.Sites." localSheetId="47" hidden="1">{#N/A,#N/A,FALSE,"Bakersfield PCs";#N/A,#N/A,FALSE,"Bremer PCs";#N/A,#N/A,FALSE,"Bakersfield Notebooks"}</definedName>
    <definedName name="wrn.All._.Sites." localSheetId="15" hidden="1">{#N/A,#N/A,FALSE,"Bakersfield PCs";#N/A,#N/A,FALSE,"Bremer PCs";#N/A,#N/A,FALSE,"Bakersfield Notebooks"}</definedName>
    <definedName name="wrn.All._.Sites." localSheetId="101" hidden="1">{#N/A,#N/A,FALSE,"Bakersfield PCs";#N/A,#N/A,FALSE,"Bremer PCs";#N/A,#N/A,FALSE,"Bakersfield Notebooks"}</definedName>
    <definedName name="wrn.All._.Sites." localSheetId="60" hidden="1">{#N/A,#N/A,FALSE,"Bakersfield PCs";#N/A,#N/A,FALSE,"Bremer PCs";#N/A,#N/A,FALSE,"Bakersfield Notebooks"}</definedName>
    <definedName name="wrn.All._.Sites." localSheetId="39" hidden="1">{#N/A,#N/A,FALSE,"Bakersfield PCs";#N/A,#N/A,FALSE,"Bremer PCs";#N/A,#N/A,FALSE,"Bakersfield Notebooks"}</definedName>
    <definedName name="wrn.All._.Sites." localSheetId="58" hidden="1">{#N/A,#N/A,FALSE,"Bakersfield PCs";#N/A,#N/A,FALSE,"Bremer PCs";#N/A,#N/A,FALSE,"Bakersfield Notebooks"}</definedName>
    <definedName name="wrn.All._.Sites." localSheetId="64" hidden="1">{#N/A,#N/A,FALSE,"Bakersfield PCs";#N/A,#N/A,FALSE,"Bremer PCs";#N/A,#N/A,FALSE,"Bakersfield Notebooks"}</definedName>
    <definedName name="wrn.All._.Sites." localSheetId="54" hidden="1">{#N/A,#N/A,FALSE,"Bakersfield PCs";#N/A,#N/A,FALSE,"Bremer PCs";#N/A,#N/A,FALSE,"Bakersfield Notebooks"}</definedName>
    <definedName name="wrn.All._.Sites." localSheetId="13" hidden="1">{#N/A,#N/A,FALSE,"Bakersfield PCs";#N/A,#N/A,FALSE,"Bremer PCs";#N/A,#N/A,FALSE,"Bakersfield Notebooks"}</definedName>
    <definedName name="wrn.All._.Sites." localSheetId="63" hidden="1">{#N/A,#N/A,FALSE,"Bakersfield PCs";#N/A,#N/A,FALSE,"Bremer PCs";#N/A,#N/A,FALSE,"Bakersfield Notebooks"}</definedName>
    <definedName name="wrn.All._.Sites." localSheetId="31" hidden="1">{#N/A,#N/A,FALSE,"Bakersfield PCs";#N/A,#N/A,FALSE,"Bremer PCs";#N/A,#N/A,FALSE,"Bakersfield Notebooks"}</definedName>
    <definedName name="wrn.All._.Sites." localSheetId="61" hidden="1">{#N/A,#N/A,FALSE,"Bakersfield PCs";#N/A,#N/A,FALSE,"Bremer PCs";#N/A,#N/A,FALSE,"Bakersfield Notebooks"}</definedName>
    <definedName name="wrn.All._.Sites." localSheetId="45" hidden="1">{#N/A,#N/A,FALSE,"Bakersfield PCs";#N/A,#N/A,FALSE,"Bremer PCs";#N/A,#N/A,FALSE,"Bakersfield Notebooks"}</definedName>
    <definedName name="wrn.All._.Sites." localSheetId="90" hidden="1">{#N/A,#N/A,FALSE,"Bakersfield PCs";#N/A,#N/A,FALSE,"Bremer PCs";#N/A,#N/A,FALSE,"Bakersfield Notebooks"}</definedName>
    <definedName name="wrn.All._.Sites." localSheetId="19" hidden="1">{#N/A,#N/A,FALSE,"Bakersfield PCs";#N/A,#N/A,FALSE,"Bremer PCs";#N/A,#N/A,FALSE,"Bakersfield Notebooks"}</definedName>
    <definedName name="wrn.All._.Sites." localSheetId="57" hidden="1">{#N/A,#N/A,FALSE,"Bakersfield PCs";#N/A,#N/A,FALSE,"Bremer PCs";#N/A,#N/A,FALSE,"Bakersfield Notebooks"}</definedName>
    <definedName name="wrn.All._.Sites." hidden="1">{#N/A,#N/A,FALSE,"Bakersfield PCs";#N/A,#N/A,FALSE,"Bremer PCs";#N/A,#N/A,FALSE,"Bakersfield Notebooks"}</definedName>
    <definedName name="wrn.Allocation." localSheetId="47" hidden="1">{#N/A,#N/A,FALSE,"Allocation"}</definedName>
    <definedName name="wrn.Allocation." localSheetId="54" hidden="1">{#N/A,#N/A,FALSE,"Allocation"}</definedName>
    <definedName name="wrn.Allocation." hidden="1">{#N/A,#N/A,FALSE,"Allocation"}</definedName>
    <definedName name="wrn.Assumptions." localSheetId="47" hidden="1">{#N/A,#N/A,FALSE,"Assumptions"}</definedName>
    <definedName name="wrn.Assumptions." localSheetId="54" hidden="1">{#N/A,#N/A,FALSE,"Assumptions"}</definedName>
    <definedName name="wrn.Assumptions." hidden="1">{#N/A,#N/A,FALSE,"Assumptions"}</definedName>
    <definedName name="wrn.BAC" localSheetId="55" hidden="1">{#N/A,#N/A,TRUE,"Tax";#N/A,#N/A,TRUE,"Structure";#N/A,#N/A,TRUE,"Accounting";#N/A,#N/A,TRUE,"Equipment"}</definedName>
    <definedName name="wrn.BAC" localSheetId="93" hidden="1">{#N/A,#N/A,TRUE,"Tax";#N/A,#N/A,TRUE,"Structure";#N/A,#N/A,TRUE,"Accounting";#N/A,#N/A,TRUE,"Equipment"}</definedName>
    <definedName name="wrn.BAC" localSheetId="12" hidden="1">{#N/A,#N/A,TRUE,"Tax";#N/A,#N/A,TRUE,"Structure";#N/A,#N/A,TRUE,"Accounting";#N/A,#N/A,TRUE,"Equipment"}</definedName>
    <definedName name="wrn.BAC" localSheetId="47" hidden="1">{#N/A,#N/A,TRUE,"Tax";#N/A,#N/A,TRUE,"Structure";#N/A,#N/A,TRUE,"Accounting";#N/A,#N/A,TRUE,"Equipment"}</definedName>
    <definedName name="wrn.BAC" localSheetId="15" hidden="1">{#N/A,#N/A,TRUE,"Tax";#N/A,#N/A,TRUE,"Structure";#N/A,#N/A,TRUE,"Accounting";#N/A,#N/A,TRUE,"Equipment"}</definedName>
    <definedName name="wrn.BAC" localSheetId="101" hidden="1">{#N/A,#N/A,TRUE,"Tax";#N/A,#N/A,TRUE,"Structure";#N/A,#N/A,TRUE,"Accounting";#N/A,#N/A,TRUE,"Equipment"}</definedName>
    <definedName name="wrn.BAC" localSheetId="39" hidden="1">{#N/A,#N/A,TRUE,"Tax";#N/A,#N/A,TRUE,"Structure";#N/A,#N/A,TRUE,"Accounting";#N/A,#N/A,TRUE,"Equipment"}</definedName>
    <definedName name="wrn.BAC" localSheetId="64" hidden="1">{#N/A,#N/A,TRUE,"Tax";#N/A,#N/A,TRUE,"Structure";#N/A,#N/A,TRUE,"Accounting";#N/A,#N/A,TRUE,"Equipment"}</definedName>
    <definedName name="wrn.BAC" localSheetId="54" hidden="1">{#N/A,#N/A,TRUE,"Tax";#N/A,#N/A,TRUE,"Structure";#N/A,#N/A,TRUE,"Accounting";#N/A,#N/A,TRUE,"Equipment"}</definedName>
    <definedName name="wrn.BAC" localSheetId="13" hidden="1">{#N/A,#N/A,TRUE,"Tax";#N/A,#N/A,TRUE,"Structure";#N/A,#N/A,TRUE,"Accounting";#N/A,#N/A,TRUE,"Equipment"}</definedName>
    <definedName name="wrn.BAC" localSheetId="63" hidden="1">{#N/A,#N/A,TRUE,"Tax";#N/A,#N/A,TRUE,"Structure";#N/A,#N/A,TRUE,"Accounting";#N/A,#N/A,TRUE,"Equipment"}</definedName>
    <definedName name="wrn.BAC" localSheetId="31" hidden="1">{#N/A,#N/A,TRUE,"Tax";#N/A,#N/A,TRUE,"Structure";#N/A,#N/A,TRUE,"Accounting";#N/A,#N/A,TRUE,"Equipment"}</definedName>
    <definedName name="wrn.BAC" localSheetId="61" hidden="1">{#N/A,#N/A,TRUE,"Tax";#N/A,#N/A,TRUE,"Structure";#N/A,#N/A,TRUE,"Accounting";#N/A,#N/A,TRUE,"Equipment"}</definedName>
    <definedName name="wrn.BAC" localSheetId="45" hidden="1">{#N/A,#N/A,TRUE,"Tax";#N/A,#N/A,TRUE,"Structure";#N/A,#N/A,TRUE,"Accounting";#N/A,#N/A,TRUE,"Equipment"}</definedName>
    <definedName name="wrn.BAC" localSheetId="90" hidden="1">{#N/A,#N/A,TRUE,"Tax";#N/A,#N/A,TRUE,"Structure";#N/A,#N/A,TRUE,"Accounting";#N/A,#N/A,TRUE,"Equipment"}</definedName>
    <definedName name="wrn.BAC" localSheetId="19" hidden="1">{#N/A,#N/A,TRUE,"Tax";#N/A,#N/A,TRUE,"Structure";#N/A,#N/A,TRUE,"Accounting";#N/A,#N/A,TRUE,"Equipment"}</definedName>
    <definedName name="wrn.BAC" localSheetId="57" hidden="1">{#N/A,#N/A,TRUE,"Tax";#N/A,#N/A,TRUE,"Structure";#N/A,#N/A,TRUE,"Accounting";#N/A,#N/A,TRUE,"Equipment"}</definedName>
    <definedName name="wrn.BAC" hidden="1">{#N/A,#N/A,TRUE,"Tax";#N/A,#N/A,TRUE,"Structure";#N/A,#N/A,TRUE,"Accounting";#N/A,#N/A,TRUE,"Equipment"}</definedName>
    <definedName name="wrn.balance._.sheet." localSheetId="55" hidden="1">{"bs",#N/A,FALSE,"SCF"}</definedName>
    <definedName name="wrn.balance._.sheet." localSheetId="59" hidden="1">{"bs",#N/A,FALSE,"SCF"}</definedName>
    <definedName name="wrn.balance._.sheet." localSheetId="93" hidden="1">{"bs",#N/A,FALSE,"SCF"}</definedName>
    <definedName name="wrn.balance._.sheet." localSheetId="12" hidden="1">{"bs",#N/A,FALSE,"SCF"}</definedName>
    <definedName name="wrn.balance._.sheet." localSheetId="62" hidden="1">{"bs",#N/A,FALSE,"SCF"}</definedName>
    <definedName name="wrn.balance._.sheet." localSheetId="47" hidden="1">{"bs",#N/A,FALSE,"SCF"}</definedName>
    <definedName name="wrn.balance._.sheet." localSheetId="15" hidden="1">{"bs",#N/A,FALSE,"SCF"}</definedName>
    <definedName name="wrn.balance._.sheet." localSheetId="101" hidden="1">{"bs",#N/A,FALSE,"SCF"}</definedName>
    <definedName name="wrn.balance._.sheet." localSheetId="60" hidden="1">{"bs",#N/A,FALSE,"SCF"}</definedName>
    <definedName name="wrn.balance._.sheet." localSheetId="39" hidden="1">{"bs",#N/A,FALSE,"SCF"}</definedName>
    <definedName name="wrn.balance._.sheet." localSheetId="58" hidden="1">{"bs",#N/A,FALSE,"SCF"}</definedName>
    <definedName name="wrn.balance._.sheet." localSheetId="64" hidden="1">{"bs",#N/A,FALSE,"SCF"}</definedName>
    <definedName name="wrn.balance._.sheet." localSheetId="54" hidden="1">{"bs",#N/A,FALSE,"SCF"}</definedName>
    <definedName name="wrn.balance._.sheet." localSheetId="13" hidden="1">{"bs",#N/A,FALSE,"SCF"}</definedName>
    <definedName name="wrn.balance._.sheet." localSheetId="63" hidden="1">{"bs",#N/A,FALSE,"SCF"}</definedName>
    <definedName name="wrn.balance._.sheet." localSheetId="31" hidden="1">{"bs",#N/A,FALSE,"SCF"}</definedName>
    <definedName name="wrn.balance._.sheet." localSheetId="61" hidden="1">{"bs",#N/A,FALSE,"SCF"}</definedName>
    <definedName name="wrn.balance._.sheet." localSheetId="45" hidden="1">{"bs",#N/A,FALSE,"SCF"}</definedName>
    <definedName name="wrn.balance._.sheet." localSheetId="90" hidden="1">{"bs",#N/A,FALSE,"SCF"}</definedName>
    <definedName name="wrn.balance._.sheet." localSheetId="19" hidden="1">{"bs",#N/A,FALSE,"SCF"}</definedName>
    <definedName name="wrn.balance._.sheet." localSheetId="57" hidden="1">{"bs",#N/A,FALSE,"SCF"}</definedName>
    <definedName name="wrn.balance._.sheet." hidden="1">{"bs",#N/A,FALSE,"SCF"}</definedName>
    <definedName name="wrn.Basic." localSheetId="47" hidden="1">{#N/A,#N/A,FALSE,"e-Svc Level";#N/A,#N/A,FALSE,"e-Hosted";#N/A,#N/A,FALSE,"e-Licensed";#N/A,#N/A,FALSE,"Assumptions"}</definedName>
    <definedName name="wrn.Basic." localSheetId="54" hidden="1">{#N/A,#N/A,FALSE,"e-Svc Level";#N/A,#N/A,FALSE,"e-Hosted";#N/A,#N/A,FALSE,"e-Licensed";#N/A,#N/A,FALSE,"Assumptions"}</definedName>
    <definedName name="wrn.Basic." hidden="1">{#N/A,#N/A,FALSE,"e-Svc Level";#N/A,#N/A,FALSE,"e-Hosted";#N/A,#N/A,FALSE,"e-Licensed";#N/A,#N/A,FALSE,"Assumptions"}</definedName>
    <definedName name="wrn.Basic._.Report." localSheetId="55" hidden="1">{#N/A,#N/A,FALSE,"New Depr Sch-150% DB";#N/A,#N/A,FALSE,"Cash Flows RLP";#N/A,#N/A,FALSE,"IRR";#N/A,#N/A,FALSE,"Proforma IS";#N/A,#N/A,FALSE,"Assumptions"}</definedName>
    <definedName name="wrn.Basic._.Report." localSheetId="59" hidden="1">{#N/A,#N/A,FALSE,"New Depr Sch-150% DB";#N/A,#N/A,FALSE,"Cash Flows RLP";#N/A,#N/A,FALSE,"IRR";#N/A,#N/A,FALSE,"Proforma IS";#N/A,#N/A,FALSE,"Assumptions"}</definedName>
    <definedName name="wrn.Basic._.Report." localSheetId="93" hidden="1">{#N/A,#N/A,FALSE,"New Depr Sch-150% DB";#N/A,#N/A,FALSE,"Cash Flows RLP";#N/A,#N/A,FALSE,"IRR";#N/A,#N/A,FALSE,"Proforma IS";#N/A,#N/A,FALSE,"Assumptions"}</definedName>
    <definedName name="wrn.Basic._.Report." localSheetId="12" hidden="1">{#N/A,#N/A,FALSE,"New Depr Sch-150% DB";#N/A,#N/A,FALSE,"Cash Flows RLP";#N/A,#N/A,FALSE,"IRR";#N/A,#N/A,FALSE,"Proforma IS";#N/A,#N/A,FALSE,"Assumptions"}</definedName>
    <definedName name="wrn.Basic._.Report." localSheetId="62" hidden="1">{#N/A,#N/A,FALSE,"New Depr Sch-150% DB";#N/A,#N/A,FALSE,"Cash Flows RLP";#N/A,#N/A,FALSE,"IRR";#N/A,#N/A,FALSE,"Proforma IS";#N/A,#N/A,FALSE,"Assumptions"}</definedName>
    <definedName name="wrn.Basic._.Report." localSheetId="47" hidden="1">{#N/A,#N/A,FALSE,"New Depr Sch-150% DB";#N/A,#N/A,FALSE,"Cash Flows RLP";#N/A,#N/A,FALSE,"IRR";#N/A,#N/A,FALSE,"Proforma IS";#N/A,#N/A,FALSE,"Assumptions"}</definedName>
    <definedName name="wrn.Basic._.Report." localSheetId="15" hidden="1">{#N/A,#N/A,FALSE,"New Depr Sch-150% DB";#N/A,#N/A,FALSE,"Cash Flows RLP";#N/A,#N/A,FALSE,"IRR";#N/A,#N/A,FALSE,"Proforma IS";#N/A,#N/A,FALSE,"Assumptions"}</definedName>
    <definedName name="wrn.Basic._.Report." localSheetId="101" hidden="1">{#N/A,#N/A,FALSE,"New Depr Sch-150% DB";#N/A,#N/A,FALSE,"Cash Flows RLP";#N/A,#N/A,FALSE,"IRR";#N/A,#N/A,FALSE,"Proforma IS";#N/A,#N/A,FALSE,"Assumptions"}</definedName>
    <definedName name="wrn.Basic._.Report." localSheetId="60" hidden="1">{#N/A,#N/A,FALSE,"New Depr Sch-150% DB";#N/A,#N/A,FALSE,"Cash Flows RLP";#N/A,#N/A,FALSE,"IRR";#N/A,#N/A,FALSE,"Proforma IS";#N/A,#N/A,FALSE,"Assumptions"}</definedName>
    <definedName name="wrn.Basic._.Report." localSheetId="39" hidden="1">{#N/A,#N/A,FALSE,"New Depr Sch-150% DB";#N/A,#N/A,FALSE,"Cash Flows RLP";#N/A,#N/A,FALSE,"IRR";#N/A,#N/A,FALSE,"Proforma IS";#N/A,#N/A,FALSE,"Assumptions"}</definedName>
    <definedName name="wrn.Basic._.Report." localSheetId="58" hidden="1">{#N/A,#N/A,FALSE,"New Depr Sch-150% DB";#N/A,#N/A,FALSE,"Cash Flows RLP";#N/A,#N/A,FALSE,"IRR";#N/A,#N/A,FALSE,"Proforma IS";#N/A,#N/A,FALSE,"Assumptions"}</definedName>
    <definedName name="wrn.Basic._.Report." localSheetId="64" hidden="1">{#N/A,#N/A,FALSE,"New Depr Sch-150% DB";#N/A,#N/A,FALSE,"Cash Flows RLP";#N/A,#N/A,FALSE,"IRR";#N/A,#N/A,FALSE,"Proforma IS";#N/A,#N/A,FALSE,"Assumptions"}</definedName>
    <definedName name="wrn.Basic._.Report." localSheetId="54" hidden="1">{#N/A,#N/A,FALSE,"New Depr Sch-150% DB";#N/A,#N/A,FALSE,"Cash Flows RLP";#N/A,#N/A,FALSE,"IRR";#N/A,#N/A,FALSE,"Proforma IS";#N/A,#N/A,FALSE,"Assumptions"}</definedName>
    <definedName name="wrn.Basic._.Report." localSheetId="13" hidden="1">{#N/A,#N/A,FALSE,"New Depr Sch-150% DB";#N/A,#N/A,FALSE,"Cash Flows RLP";#N/A,#N/A,FALSE,"IRR";#N/A,#N/A,FALSE,"Proforma IS";#N/A,#N/A,FALSE,"Assumptions"}</definedName>
    <definedName name="wrn.Basic._.Report." localSheetId="63" hidden="1">{#N/A,#N/A,FALSE,"New Depr Sch-150% DB";#N/A,#N/A,FALSE,"Cash Flows RLP";#N/A,#N/A,FALSE,"IRR";#N/A,#N/A,FALSE,"Proforma IS";#N/A,#N/A,FALSE,"Assumptions"}</definedName>
    <definedName name="wrn.Basic._.Report." localSheetId="31" hidden="1">{#N/A,#N/A,FALSE,"New Depr Sch-150% DB";#N/A,#N/A,FALSE,"Cash Flows RLP";#N/A,#N/A,FALSE,"IRR";#N/A,#N/A,FALSE,"Proforma IS";#N/A,#N/A,FALSE,"Assumptions"}</definedName>
    <definedName name="wrn.Basic._.Report." localSheetId="80" hidden="1">{#N/A,#N/A,FALSE,"New Depr Sch-150% DB";#N/A,#N/A,FALSE,"Cash Flows RLP";#N/A,#N/A,FALSE,"IRR";#N/A,#N/A,FALSE,"Proforma IS";#N/A,#N/A,FALSE,"Assumptions"}</definedName>
    <definedName name="wrn.Basic._.Report." localSheetId="61" hidden="1">{#N/A,#N/A,FALSE,"New Depr Sch-150% DB";#N/A,#N/A,FALSE,"Cash Flows RLP";#N/A,#N/A,FALSE,"IRR";#N/A,#N/A,FALSE,"Proforma IS";#N/A,#N/A,FALSE,"Assumptions"}</definedName>
    <definedName name="wrn.Basic._.Report." localSheetId="45" hidden="1">{#N/A,#N/A,FALSE,"New Depr Sch-150% DB";#N/A,#N/A,FALSE,"Cash Flows RLP";#N/A,#N/A,FALSE,"IRR";#N/A,#N/A,FALSE,"Proforma IS";#N/A,#N/A,FALSE,"Assumptions"}</definedName>
    <definedName name="wrn.Basic._.Report." localSheetId="90" hidden="1">{#N/A,#N/A,FALSE,"New Depr Sch-150% DB";#N/A,#N/A,FALSE,"Cash Flows RLP";#N/A,#N/A,FALSE,"IRR";#N/A,#N/A,FALSE,"Proforma IS";#N/A,#N/A,FALSE,"Assumptions"}</definedName>
    <definedName name="wrn.Basic._.Report." localSheetId="19" hidden="1">{#N/A,#N/A,FALSE,"New Depr Sch-150% DB";#N/A,#N/A,FALSE,"Cash Flows RLP";#N/A,#N/A,FALSE,"IRR";#N/A,#N/A,FALSE,"Proforma IS";#N/A,#N/A,FALSE,"Assumptions"}</definedName>
    <definedName name="wrn.Basic._.Report." localSheetId="57"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asic1." localSheetId="47" hidden="1">{#N/A,#N/A,FALSE,"e-Svc Level";#N/A,#N/A,FALSE,"e-Hosted";#N/A,#N/A,FALSE,"e-Licensed";#N/A,#N/A,FALSE,"Assumptions"}</definedName>
    <definedName name="wrn.Basic1." localSheetId="54" hidden="1">{#N/A,#N/A,FALSE,"e-Svc Level";#N/A,#N/A,FALSE,"e-Hosted";#N/A,#N/A,FALSE,"e-Licensed";#N/A,#N/A,FALSE,"Assumptions"}</definedName>
    <definedName name="wrn.Basic1." hidden="1">{#N/A,#N/A,FALSE,"e-Svc Level";#N/A,#N/A,FALSE,"e-Hosted";#N/A,#N/A,FALSE,"e-Licensed";#N/A,#N/A,FALSE,"Assumptions"}</definedName>
    <definedName name="wrn.BoeingAircraftChecklist." localSheetId="55" hidden="1">{#N/A,#N/A,TRUE,"Tax";#N/A,#N/A,TRUE,"Structure";#N/A,#N/A,TRUE,"Accounting";#N/A,#N/A,TRUE,"Equipment"}</definedName>
    <definedName name="wrn.BoeingAircraftChecklist." localSheetId="93" hidden="1">{#N/A,#N/A,TRUE,"Tax";#N/A,#N/A,TRUE,"Structure";#N/A,#N/A,TRUE,"Accounting";#N/A,#N/A,TRUE,"Equipment"}</definedName>
    <definedName name="wrn.BoeingAircraftChecklist." localSheetId="12" hidden="1">{#N/A,#N/A,TRUE,"Tax";#N/A,#N/A,TRUE,"Structure";#N/A,#N/A,TRUE,"Accounting";#N/A,#N/A,TRUE,"Equipment"}</definedName>
    <definedName name="wrn.BoeingAircraftChecklist." localSheetId="47" hidden="1">{#N/A,#N/A,TRUE,"Tax";#N/A,#N/A,TRUE,"Structure";#N/A,#N/A,TRUE,"Accounting";#N/A,#N/A,TRUE,"Equipment"}</definedName>
    <definedName name="wrn.BoeingAircraftChecklist." localSheetId="15" hidden="1">{#N/A,#N/A,TRUE,"Tax";#N/A,#N/A,TRUE,"Structure";#N/A,#N/A,TRUE,"Accounting";#N/A,#N/A,TRUE,"Equipment"}</definedName>
    <definedName name="wrn.BoeingAircraftChecklist." localSheetId="101" hidden="1">{#N/A,#N/A,TRUE,"Tax";#N/A,#N/A,TRUE,"Structure";#N/A,#N/A,TRUE,"Accounting";#N/A,#N/A,TRUE,"Equipment"}</definedName>
    <definedName name="wrn.BoeingAircraftChecklist." localSheetId="39" hidden="1">{#N/A,#N/A,TRUE,"Tax";#N/A,#N/A,TRUE,"Structure";#N/A,#N/A,TRUE,"Accounting";#N/A,#N/A,TRUE,"Equipment"}</definedName>
    <definedName name="wrn.BoeingAircraftChecklist." localSheetId="64" hidden="1">{#N/A,#N/A,TRUE,"Tax";#N/A,#N/A,TRUE,"Structure";#N/A,#N/A,TRUE,"Accounting";#N/A,#N/A,TRUE,"Equipment"}</definedName>
    <definedName name="wrn.BoeingAircraftChecklist." localSheetId="54" hidden="1">{#N/A,#N/A,TRUE,"Tax";#N/A,#N/A,TRUE,"Structure";#N/A,#N/A,TRUE,"Accounting";#N/A,#N/A,TRUE,"Equipment"}</definedName>
    <definedName name="wrn.BoeingAircraftChecklist." localSheetId="13" hidden="1">{#N/A,#N/A,TRUE,"Tax";#N/A,#N/A,TRUE,"Structure";#N/A,#N/A,TRUE,"Accounting";#N/A,#N/A,TRUE,"Equipment"}</definedName>
    <definedName name="wrn.BoeingAircraftChecklist." localSheetId="63" hidden="1">{#N/A,#N/A,TRUE,"Tax";#N/A,#N/A,TRUE,"Structure";#N/A,#N/A,TRUE,"Accounting";#N/A,#N/A,TRUE,"Equipment"}</definedName>
    <definedName name="wrn.BoeingAircraftChecklist." localSheetId="31" hidden="1">{#N/A,#N/A,TRUE,"Tax";#N/A,#N/A,TRUE,"Structure";#N/A,#N/A,TRUE,"Accounting";#N/A,#N/A,TRUE,"Equipment"}</definedName>
    <definedName name="wrn.BoeingAircraftChecklist." localSheetId="61" hidden="1">{#N/A,#N/A,TRUE,"Tax";#N/A,#N/A,TRUE,"Structure";#N/A,#N/A,TRUE,"Accounting";#N/A,#N/A,TRUE,"Equipment"}</definedName>
    <definedName name="wrn.BoeingAircraftChecklist." localSheetId="45" hidden="1">{#N/A,#N/A,TRUE,"Tax";#N/A,#N/A,TRUE,"Structure";#N/A,#N/A,TRUE,"Accounting";#N/A,#N/A,TRUE,"Equipment"}</definedName>
    <definedName name="wrn.BoeingAircraftChecklist." localSheetId="90" hidden="1">{#N/A,#N/A,TRUE,"Tax";#N/A,#N/A,TRUE,"Structure";#N/A,#N/A,TRUE,"Accounting";#N/A,#N/A,TRUE,"Equipment"}</definedName>
    <definedName name="wrn.BoeingAircraftChecklist." localSheetId="19" hidden="1">{#N/A,#N/A,TRUE,"Tax";#N/A,#N/A,TRUE,"Structure";#N/A,#N/A,TRUE,"Accounting";#N/A,#N/A,TRUE,"Equipment"}</definedName>
    <definedName name="wrn.BoeingAircraftChecklist." localSheetId="57" hidden="1">{#N/A,#N/A,TRUE,"Tax";#N/A,#N/A,TRUE,"Structure";#N/A,#N/A,TRUE,"Accounting";#N/A,#N/A,TRUE,"Equipment"}</definedName>
    <definedName name="wrn.BoeingAircraftChecklist." hidden="1">{#N/A,#N/A,TRUE,"Tax";#N/A,#N/A,TRUE,"Structure";#N/A,#N/A,TRUE,"Accounting";#N/A,#N/A,TRUE,"Equipment"}</definedName>
    <definedName name="wrn.brisbane." localSheetId="55" hidden="1">{#N/A,#N/A,FALSE,"LOAN";#N/A,#N/A,FALSE,"linereclass";#N/A,#N/A,FALSE,"softdraw"}</definedName>
    <definedName name="wrn.brisbane." localSheetId="93" hidden="1">{#N/A,#N/A,FALSE,"LOAN";#N/A,#N/A,FALSE,"linereclass";#N/A,#N/A,FALSE,"softdraw"}</definedName>
    <definedName name="wrn.brisbane." localSheetId="12" hidden="1">{#N/A,#N/A,FALSE,"LOAN";#N/A,#N/A,FALSE,"linereclass";#N/A,#N/A,FALSE,"softdraw"}</definedName>
    <definedName name="wrn.brisbane." localSheetId="47" hidden="1">{#N/A,#N/A,FALSE,"LOAN";#N/A,#N/A,FALSE,"linereclass";#N/A,#N/A,FALSE,"softdraw"}</definedName>
    <definedName name="wrn.brisbane." localSheetId="15" hidden="1">{#N/A,#N/A,FALSE,"LOAN";#N/A,#N/A,FALSE,"linereclass";#N/A,#N/A,FALSE,"softdraw"}</definedName>
    <definedName name="wrn.brisbane." localSheetId="101" hidden="1">{#N/A,#N/A,FALSE,"LOAN";#N/A,#N/A,FALSE,"linereclass";#N/A,#N/A,FALSE,"softdraw"}</definedName>
    <definedName name="wrn.brisbane." localSheetId="39" hidden="1">{#N/A,#N/A,FALSE,"LOAN";#N/A,#N/A,FALSE,"linereclass";#N/A,#N/A,FALSE,"softdraw"}</definedName>
    <definedName name="wrn.brisbane." localSheetId="64" hidden="1">{#N/A,#N/A,FALSE,"LOAN";#N/A,#N/A,FALSE,"linereclass";#N/A,#N/A,FALSE,"softdraw"}</definedName>
    <definedName name="wrn.brisbane." localSheetId="54" hidden="1">{#N/A,#N/A,FALSE,"LOAN";#N/A,#N/A,FALSE,"linereclass";#N/A,#N/A,FALSE,"softdraw"}</definedName>
    <definedName name="wrn.brisbane." localSheetId="13" hidden="1">{#N/A,#N/A,FALSE,"LOAN";#N/A,#N/A,FALSE,"linereclass";#N/A,#N/A,FALSE,"softdraw"}</definedName>
    <definedName name="wrn.brisbane." localSheetId="63" hidden="1">{#N/A,#N/A,FALSE,"LOAN";#N/A,#N/A,FALSE,"linereclass";#N/A,#N/A,FALSE,"softdraw"}</definedName>
    <definedName name="wrn.brisbane." localSheetId="31" hidden="1">{#N/A,#N/A,FALSE,"LOAN";#N/A,#N/A,FALSE,"linereclass";#N/A,#N/A,FALSE,"softdraw"}</definedName>
    <definedName name="wrn.brisbane." localSheetId="45" hidden="1">{#N/A,#N/A,FALSE,"LOAN";#N/A,#N/A,FALSE,"linereclass";#N/A,#N/A,FALSE,"softdraw"}</definedName>
    <definedName name="wrn.brisbane." localSheetId="90" hidden="1">{#N/A,#N/A,FALSE,"LOAN";#N/A,#N/A,FALSE,"linereclass";#N/A,#N/A,FALSE,"softdraw"}</definedName>
    <definedName name="wrn.brisbane." localSheetId="19" hidden="1">{#N/A,#N/A,FALSE,"LOAN";#N/A,#N/A,FALSE,"linereclass";#N/A,#N/A,FALSE,"softdraw"}</definedName>
    <definedName name="wrn.brisbane." localSheetId="57" hidden="1">{#N/A,#N/A,FALSE,"LOAN";#N/A,#N/A,FALSE,"linereclass";#N/A,#N/A,FALSE,"softdraw"}</definedName>
    <definedName name="wrn.brisbane." hidden="1">{#N/A,#N/A,FALSE,"LOAN";#N/A,#N/A,FALSE,"linereclass";#N/A,#N/A,FALSE,"softdraw"}</definedName>
    <definedName name="wrn.clientcopy." localSheetId="55"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93"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6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5"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0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60"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3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8"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64"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4"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3"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63"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3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80"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6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5"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90"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localSheetId="55" hidden="1">{#N/A,#N/A,FALSE,"Assumptions";#N/A,#N/A,FALSE,"Proforma IS";#N/A,#N/A,FALSE,"Cash Flows RLP";#N/A,#N/A,FALSE,"IRR";#N/A,#N/A,FALSE,"New Depr Sch-150% DB";#N/A,#N/A,FALSE,"Comments"}</definedName>
    <definedName name="wrn.Complete._.Report." localSheetId="59" hidden="1">{#N/A,#N/A,FALSE,"Assumptions";#N/A,#N/A,FALSE,"Proforma IS";#N/A,#N/A,FALSE,"Cash Flows RLP";#N/A,#N/A,FALSE,"IRR";#N/A,#N/A,FALSE,"New Depr Sch-150% DB";#N/A,#N/A,FALSE,"Comments"}</definedName>
    <definedName name="wrn.Complete._.Report." localSheetId="93" hidden="1">{#N/A,#N/A,FALSE,"Assumptions";#N/A,#N/A,FALSE,"Proforma IS";#N/A,#N/A,FALSE,"Cash Flows RLP";#N/A,#N/A,FALSE,"IRR";#N/A,#N/A,FALSE,"New Depr Sch-150% DB";#N/A,#N/A,FALSE,"Comments"}</definedName>
    <definedName name="wrn.Complete._.Report." localSheetId="12" hidden="1">{#N/A,#N/A,FALSE,"Assumptions";#N/A,#N/A,FALSE,"Proforma IS";#N/A,#N/A,FALSE,"Cash Flows RLP";#N/A,#N/A,FALSE,"IRR";#N/A,#N/A,FALSE,"New Depr Sch-150% DB";#N/A,#N/A,FALSE,"Comments"}</definedName>
    <definedName name="wrn.Complete._.Report." localSheetId="62" hidden="1">{#N/A,#N/A,FALSE,"Assumptions";#N/A,#N/A,FALSE,"Proforma IS";#N/A,#N/A,FALSE,"Cash Flows RLP";#N/A,#N/A,FALSE,"IRR";#N/A,#N/A,FALSE,"New Depr Sch-150% DB";#N/A,#N/A,FALSE,"Comments"}</definedName>
    <definedName name="wrn.Complete._.Report." localSheetId="47" hidden="1">{#N/A,#N/A,FALSE,"Assumptions";#N/A,#N/A,FALSE,"Proforma IS";#N/A,#N/A,FALSE,"Cash Flows RLP";#N/A,#N/A,FALSE,"IRR";#N/A,#N/A,FALSE,"New Depr Sch-150% DB";#N/A,#N/A,FALSE,"Comments"}</definedName>
    <definedName name="wrn.Complete._.Report." localSheetId="15" hidden="1">{#N/A,#N/A,FALSE,"Assumptions";#N/A,#N/A,FALSE,"Proforma IS";#N/A,#N/A,FALSE,"Cash Flows RLP";#N/A,#N/A,FALSE,"IRR";#N/A,#N/A,FALSE,"New Depr Sch-150% DB";#N/A,#N/A,FALSE,"Comments"}</definedName>
    <definedName name="wrn.Complete._.Report." localSheetId="101" hidden="1">{#N/A,#N/A,FALSE,"Assumptions";#N/A,#N/A,FALSE,"Proforma IS";#N/A,#N/A,FALSE,"Cash Flows RLP";#N/A,#N/A,FALSE,"IRR";#N/A,#N/A,FALSE,"New Depr Sch-150% DB";#N/A,#N/A,FALSE,"Comments"}</definedName>
    <definedName name="wrn.Complete._.Report." localSheetId="60" hidden="1">{#N/A,#N/A,FALSE,"Assumptions";#N/A,#N/A,FALSE,"Proforma IS";#N/A,#N/A,FALSE,"Cash Flows RLP";#N/A,#N/A,FALSE,"IRR";#N/A,#N/A,FALSE,"New Depr Sch-150% DB";#N/A,#N/A,FALSE,"Comments"}</definedName>
    <definedName name="wrn.Complete._.Report." localSheetId="39" hidden="1">{#N/A,#N/A,FALSE,"Assumptions";#N/A,#N/A,FALSE,"Proforma IS";#N/A,#N/A,FALSE,"Cash Flows RLP";#N/A,#N/A,FALSE,"IRR";#N/A,#N/A,FALSE,"New Depr Sch-150% DB";#N/A,#N/A,FALSE,"Comments"}</definedName>
    <definedName name="wrn.Complete._.Report." localSheetId="58" hidden="1">{#N/A,#N/A,FALSE,"Assumptions";#N/A,#N/A,FALSE,"Proforma IS";#N/A,#N/A,FALSE,"Cash Flows RLP";#N/A,#N/A,FALSE,"IRR";#N/A,#N/A,FALSE,"New Depr Sch-150% DB";#N/A,#N/A,FALSE,"Comments"}</definedName>
    <definedName name="wrn.Complete._.Report." localSheetId="64" hidden="1">{#N/A,#N/A,FALSE,"Assumptions";#N/A,#N/A,FALSE,"Proforma IS";#N/A,#N/A,FALSE,"Cash Flows RLP";#N/A,#N/A,FALSE,"IRR";#N/A,#N/A,FALSE,"New Depr Sch-150% DB";#N/A,#N/A,FALSE,"Comments"}</definedName>
    <definedName name="wrn.Complete._.Report." localSheetId="54" hidden="1">{#N/A,#N/A,FALSE,"Assumptions";#N/A,#N/A,FALSE,"Proforma IS";#N/A,#N/A,FALSE,"Cash Flows RLP";#N/A,#N/A,FALSE,"IRR";#N/A,#N/A,FALSE,"New Depr Sch-150% DB";#N/A,#N/A,FALSE,"Comments"}</definedName>
    <definedName name="wrn.Complete._.Report." localSheetId="13" hidden="1">{#N/A,#N/A,FALSE,"Assumptions";#N/A,#N/A,FALSE,"Proforma IS";#N/A,#N/A,FALSE,"Cash Flows RLP";#N/A,#N/A,FALSE,"IRR";#N/A,#N/A,FALSE,"New Depr Sch-150% DB";#N/A,#N/A,FALSE,"Comments"}</definedName>
    <definedName name="wrn.Complete._.Report." localSheetId="63" hidden="1">{#N/A,#N/A,FALSE,"Assumptions";#N/A,#N/A,FALSE,"Proforma IS";#N/A,#N/A,FALSE,"Cash Flows RLP";#N/A,#N/A,FALSE,"IRR";#N/A,#N/A,FALSE,"New Depr Sch-150% DB";#N/A,#N/A,FALSE,"Comments"}</definedName>
    <definedName name="wrn.Complete._.Report." localSheetId="31" hidden="1">{#N/A,#N/A,FALSE,"Assumptions";#N/A,#N/A,FALSE,"Proforma IS";#N/A,#N/A,FALSE,"Cash Flows RLP";#N/A,#N/A,FALSE,"IRR";#N/A,#N/A,FALSE,"New Depr Sch-150% DB";#N/A,#N/A,FALSE,"Comments"}</definedName>
    <definedName name="wrn.Complete._.Report." localSheetId="80" hidden="1">{#N/A,#N/A,FALSE,"Assumptions";#N/A,#N/A,FALSE,"Proforma IS";#N/A,#N/A,FALSE,"Cash Flows RLP";#N/A,#N/A,FALSE,"IRR";#N/A,#N/A,FALSE,"New Depr Sch-150% DB";#N/A,#N/A,FALSE,"Comments"}</definedName>
    <definedName name="wrn.Complete._.Report." localSheetId="61" hidden="1">{#N/A,#N/A,FALSE,"Assumptions";#N/A,#N/A,FALSE,"Proforma IS";#N/A,#N/A,FALSE,"Cash Flows RLP";#N/A,#N/A,FALSE,"IRR";#N/A,#N/A,FALSE,"New Depr Sch-150% DB";#N/A,#N/A,FALSE,"Comments"}</definedName>
    <definedName name="wrn.Complete._.Report." localSheetId="45" hidden="1">{#N/A,#N/A,FALSE,"Assumptions";#N/A,#N/A,FALSE,"Proforma IS";#N/A,#N/A,FALSE,"Cash Flows RLP";#N/A,#N/A,FALSE,"IRR";#N/A,#N/A,FALSE,"New Depr Sch-150% DB";#N/A,#N/A,FALSE,"Comments"}</definedName>
    <definedName name="wrn.Complete._.Report." localSheetId="90" hidden="1">{#N/A,#N/A,FALSE,"Assumptions";#N/A,#N/A,FALSE,"Proforma IS";#N/A,#N/A,FALSE,"Cash Flows RLP";#N/A,#N/A,FALSE,"IRR";#N/A,#N/A,FALSE,"New Depr Sch-150% DB";#N/A,#N/A,FALSE,"Comments"}</definedName>
    <definedName name="wrn.Complete._.Report." localSheetId="19" hidden="1">{#N/A,#N/A,FALSE,"Assumptions";#N/A,#N/A,FALSE,"Proforma IS";#N/A,#N/A,FALSE,"Cash Flows RLP";#N/A,#N/A,FALSE,"IRR";#N/A,#N/A,FALSE,"New Depr Sch-150% DB";#N/A,#N/A,FALSE,"Comments"}</definedName>
    <definedName name="wrn.Complete._.Report." localSheetId="57"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ntributory._.asset._.charges." localSheetId="55" hidden="1">{"contributory1",#N/A,FALSE,"Contributory Assets Detail";"contributory2",#N/A,FALSE,"Contributory Assets Detail"}</definedName>
    <definedName name="wrn.contributory._.asset._.charges." localSheetId="59" hidden="1">{"contributory1",#N/A,FALSE,"Contributory Assets Detail";"contributory2",#N/A,FALSE,"Contributory Assets Detail"}</definedName>
    <definedName name="wrn.contributory._.asset._.charges." localSheetId="93" hidden="1">{"contributory1",#N/A,FALSE,"Contributory Assets Detail";"contributory2",#N/A,FALSE,"Contributory Assets Detail"}</definedName>
    <definedName name="wrn.contributory._.asset._.charges." localSheetId="12" hidden="1">{"contributory1",#N/A,FALSE,"Contributory Assets Detail";"contributory2",#N/A,FALSE,"Contributory Assets Detail"}</definedName>
    <definedName name="wrn.contributory._.asset._.charges." localSheetId="62" hidden="1">{"contributory1",#N/A,FALSE,"Contributory Assets Detail";"contributory2",#N/A,FALSE,"Contributory Assets Detail"}</definedName>
    <definedName name="wrn.contributory._.asset._.charges." localSheetId="47" hidden="1">{"contributory1",#N/A,FALSE,"Contributory Assets Detail";"contributory2",#N/A,FALSE,"Contributory Assets Detail"}</definedName>
    <definedName name="wrn.contributory._.asset._.charges." localSheetId="15" hidden="1">{"contributory1",#N/A,FALSE,"Contributory Assets Detail";"contributory2",#N/A,FALSE,"Contributory Assets Detail"}</definedName>
    <definedName name="wrn.contributory._.asset._.charges." localSheetId="101" hidden="1">{"contributory1",#N/A,FALSE,"Contributory Assets Detail";"contributory2",#N/A,FALSE,"Contributory Assets Detail"}</definedName>
    <definedName name="wrn.contributory._.asset._.charges." localSheetId="60" hidden="1">{"contributory1",#N/A,FALSE,"Contributory Assets Detail";"contributory2",#N/A,FALSE,"Contributory Assets Detail"}</definedName>
    <definedName name="wrn.contributory._.asset._.charges." localSheetId="39" hidden="1">{"contributory1",#N/A,FALSE,"Contributory Assets Detail";"contributory2",#N/A,FALSE,"Contributory Assets Detail"}</definedName>
    <definedName name="wrn.contributory._.asset._.charges." localSheetId="58" hidden="1">{"contributory1",#N/A,FALSE,"Contributory Assets Detail";"contributory2",#N/A,FALSE,"Contributory Assets Detail"}</definedName>
    <definedName name="wrn.contributory._.asset._.charges." localSheetId="64" hidden="1">{"contributory1",#N/A,FALSE,"Contributory Assets Detail";"contributory2",#N/A,FALSE,"Contributory Assets Detail"}</definedName>
    <definedName name="wrn.contributory._.asset._.charges." localSheetId="54" hidden="1">{"contributory1",#N/A,FALSE,"Contributory Assets Detail";"contributory2",#N/A,FALSE,"Contributory Assets Detail"}</definedName>
    <definedName name="wrn.contributory._.asset._.charges." localSheetId="13" hidden="1">{"contributory1",#N/A,FALSE,"Contributory Assets Detail";"contributory2",#N/A,FALSE,"Contributory Assets Detail"}</definedName>
    <definedName name="wrn.contributory._.asset._.charges." localSheetId="63" hidden="1">{"contributory1",#N/A,FALSE,"Contributory Assets Detail";"contributory2",#N/A,FALSE,"Contributory Assets Detail"}</definedName>
    <definedName name="wrn.contributory._.asset._.charges." localSheetId="31" hidden="1">{"contributory1",#N/A,FALSE,"Contributory Assets Detail";"contributory2",#N/A,FALSE,"Contributory Assets Detail"}</definedName>
    <definedName name="wrn.contributory._.asset._.charges." localSheetId="61" hidden="1">{"contributory1",#N/A,FALSE,"Contributory Assets Detail";"contributory2",#N/A,FALSE,"Contributory Assets Detail"}</definedName>
    <definedName name="wrn.contributory._.asset._.charges." localSheetId="45" hidden="1">{"contributory1",#N/A,FALSE,"Contributory Assets Detail";"contributory2",#N/A,FALSE,"Contributory Assets Detail"}</definedName>
    <definedName name="wrn.contributory._.asset._.charges." localSheetId="90" hidden="1">{"contributory1",#N/A,FALSE,"Contributory Assets Detail";"contributory2",#N/A,FALSE,"Contributory Assets Detail"}</definedName>
    <definedName name="wrn.contributory._.asset._.charges." localSheetId="19" hidden="1">{"contributory1",#N/A,FALSE,"Contributory Assets Detail";"contributory2",#N/A,FALSE,"Contributory Assets Detail"}</definedName>
    <definedName name="wrn.contributory._.asset._.charges." localSheetId="57"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ustomer_base." localSheetId="55" hidden="1">{"customer base",#N/A,FALSE,"customer_base";"customer base perf estimates",#N/A,FALSE,"customer_base"}</definedName>
    <definedName name="wrn.Customer_base." localSheetId="59" hidden="1">{"customer base",#N/A,FALSE,"customer_base";"customer base perf estimates",#N/A,FALSE,"customer_base"}</definedName>
    <definedName name="wrn.Customer_base." localSheetId="93" hidden="1">{"customer base",#N/A,FALSE,"customer_base";"customer base perf estimates",#N/A,FALSE,"customer_base"}</definedName>
    <definedName name="wrn.Customer_base." localSheetId="12" hidden="1">{"customer base",#N/A,FALSE,"customer_base";"customer base perf estimates",#N/A,FALSE,"customer_base"}</definedName>
    <definedName name="wrn.Customer_base." localSheetId="62" hidden="1">{"customer base",#N/A,FALSE,"customer_base";"customer base perf estimates",#N/A,FALSE,"customer_base"}</definedName>
    <definedName name="wrn.Customer_base." localSheetId="47" hidden="1">{"customer base",#N/A,FALSE,"customer_base";"customer base perf estimates",#N/A,FALSE,"customer_base"}</definedName>
    <definedName name="wrn.Customer_base." localSheetId="15" hidden="1">{"customer base",#N/A,FALSE,"customer_base";"customer base perf estimates",#N/A,FALSE,"customer_base"}</definedName>
    <definedName name="wrn.Customer_base." localSheetId="101" hidden="1">{"customer base",#N/A,FALSE,"customer_base";"customer base perf estimates",#N/A,FALSE,"customer_base"}</definedName>
    <definedName name="wrn.Customer_base." localSheetId="60" hidden="1">{"customer base",#N/A,FALSE,"customer_base";"customer base perf estimates",#N/A,FALSE,"customer_base"}</definedName>
    <definedName name="wrn.Customer_base." localSheetId="39" hidden="1">{"customer base",#N/A,FALSE,"customer_base";"customer base perf estimates",#N/A,FALSE,"customer_base"}</definedName>
    <definedName name="wrn.Customer_base." localSheetId="58" hidden="1">{"customer base",#N/A,FALSE,"customer_base";"customer base perf estimates",#N/A,FALSE,"customer_base"}</definedName>
    <definedName name="wrn.Customer_base." localSheetId="64" hidden="1">{"customer base",#N/A,FALSE,"customer_base";"customer base perf estimates",#N/A,FALSE,"customer_base"}</definedName>
    <definedName name="wrn.Customer_base." localSheetId="54" hidden="1">{"customer base",#N/A,FALSE,"customer_base";"customer base perf estimates",#N/A,FALSE,"customer_base"}</definedName>
    <definedName name="wrn.Customer_base." localSheetId="13" hidden="1">{"customer base",#N/A,FALSE,"customer_base";"customer base perf estimates",#N/A,FALSE,"customer_base"}</definedName>
    <definedName name="wrn.Customer_base." localSheetId="63" hidden="1">{"customer base",#N/A,FALSE,"customer_base";"customer base perf estimates",#N/A,FALSE,"customer_base"}</definedName>
    <definedName name="wrn.Customer_base." localSheetId="31" hidden="1">{"customer base",#N/A,FALSE,"customer_base";"customer base perf estimates",#N/A,FALSE,"customer_base"}</definedName>
    <definedName name="wrn.Customer_base." localSheetId="61" hidden="1">{"customer base",#N/A,FALSE,"customer_base";"customer base perf estimates",#N/A,FALSE,"customer_base"}</definedName>
    <definedName name="wrn.Customer_base." localSheetId="45" hidden="1">{"customer base",#N/A,FALSE,"customer_base";"customer base perf estimates",#N/A,FALSE,"customer_base"}</definedName>
    <definedName name="wrn.Customer_base." localSheetId="90" hidden="1">{"customer base",#N/A,FALSE,"customer_base";"customer base perf estimates",#N/A,FALSE,"customer_base"}</definedName>
    <definedName name="wrn.Customer_base." localSheetId="19" hidden="1">{"customer base",#N/A,FALSE,"customer_base";"customer base perf estimates",#N/A,FALSE,"customer_base"}</definedName>
    <definedName name="wrn.Customer_base." localSheetId="57" hidden="1">{"customer base",#N/A,FALSE,"customer_base";"customer base perf estimates",#N/A,FALSE,"customer_base"}</definedName>
    <definedName name="wrn.Customer_base." hidden="1">{"customer base",#N/A,FALSE,"customer_base";"customer base perf estimates",#N/A,FALSE,"customer_base"}</definedName>
    <definedName name="wrn.DCF." localSheetId="55" hidden="1">{#N/A,#N/A,FALSE,"DCF Cov";#N/A,#N/A,FALSE,"dcf"}</definedName>
    <definedName name="wrn.DCF." localSheetId="59" hidden="1">{#N/A,#N/A,FALSE,"DCF Cov";#N/A,#N/A,FALSE,"dcf"}</definedName>
    <definedName name="wrn.DCF." localSheetId="93" hidden="1">{#N/A,#N/A,FALSE,"DCF Cov";#N/A,#N/A,FALSE,"dcf"}</definedName>
    <definedName name="wrn.DCF." localSheetId="12" hidden="1">{#N/A,#N/A,FALSE,"DCF Cov";#N/A,#N/A,FALSE,"dcf"}</definedName>
    <definedName name="wrn.DCF." localSheetId="62" hidden="1">{#N/A,#N/A,FALSE,"DCF Cov";#N/A,#N/A,FALSE,"dcf"}</definedName>
    <definedName name="wrn.DCF." localSheetId="47" hidden="1">{#N/A,#N/A,FALSE,"DCF Cov";#N/A,#N/A,FALSE,"dcf"}</definedName>
    <definedName name="wrn.DCF." localSheetId="15" hidden="1">{#N/A,#N/A,FALSE,"DCF Cov";#N/A,#N/A,FALSE,"dcf"}</definedName>
    <definedName name="wrn.DCF." localSheetId="101" hidden="1">{#N/A,#N/A,FALSE,"DCF Cov";#N/A,#N/A,FALSE,"dcf"}</definedName>
    <definedName name="wrn.DCF." localSheetId="60" hidden="1">{#N/A,#N/A,FALSE,"DCF Cov";#N/A,#N/A,FALSE,"dcf"}</definedName>
    <definedName name="wrn.DCF." localSheetId="39" hidden="1">{#N/A,#N/A,FALSE,"DCF Cov";#N/A,#N/A,FALSE,"dcf"}</definedName>
    <definedName name="wrn.DCF." localSheetId="58" hidden="1">{#N/A,#N/A,FALSE,"DCF Cov";#N/A,#N/A,FALSE,"dcf"}</definedName>
    <definedName name="wrn.DCF." localSheetId="64" hidden="1">{#N/A,#N/A,FALSE,"DCF Cov";#N/A,#N/A,FALSE,"dcf"}</definedName>
    <definedName name="wrn.DCF." localSheetId="54" hidden="1">{#N/A,#N/A,FALSE,"DCF Cov";#N/A,#N/A,FALSE,"dcf"}</definedName>
    <definedName name="wrn.DCF." localSheetId="13" hidden="1">{#N/A,#N/A,FALSE,"DCF Cov";#N/A,#N/A,FALSE,"dcf"}</definedName>
    <definedName name="wrn.DCF." localSheetId="63" hidden="1">{#N/A,#N/A,FALSE,"DCF Cov";#N/A,#N/A,FALSE,"dcf"}</definedName>
    <definedName name="wrn.DCF." localSheetId="31" hidden="1">{#N/A,#N/A,FALSE,"DCF Cov";#N/A,#N/A,FALSE,"dcf"}</definedName>
    <definedName name="wrn.DCF." localSheetId="61" hidden="1">{#N/A,#N/A,FALSE,"DCF Cov";#N/A,#N/A,FALSE,"dcf"}</definedName>
    <definedName name="wrn.DCF." localSheetId="45" hidden="1">{#N/A,#N/A,FALSE,"DCF Cov";#N/A,#N/A,FALSE,"dcf"}</definedName>
    <definedName name="wrn.DCF." localSheetId="90" hidden="1">{#N/A,#N/A,FALSE,"DCF Cov";#N/A,#N/A,FALSE,"dcf"}</definedName>
    <definedName name="wrn.DCF." localSheetId="19" hidden="1">{#N/A,#N/A,FALSE,"DCF Cov";#N/A,#N/A,FALSE,"dcf"}</definedName>
    <definedName name="wrn.DCF." localSheetId="57" hidden="1">{#N/A,#N/A,FALSE,"DCF Cov";#N/A,#N/A,FALSE,"dcf"}</definedName>
    <definedName name="wrn.DCF." hidden="1">{#N/A,#N/A,FALSE,"DCF Cov";#N/A,#N/A,FALSE,"dcf"}</definedName>
    <definedName name="wrn.Detail." localSheetId="47" hidden="1">{"umarea",#N/A,FALSE,"Starting Cost";"umagesex",#N/A,FALSE,"Starting Cost";"umbenlim",#N/A,FALSE,"Starting Cost";"umprovdisc",#N/A,FALSE,"Starting Cost";"umother",#N/A,FALSE,"Starting Cost";"umtrend",#N/A,FALSE,"Starting Cost"}</definedName>
    <definedName name="wrn.Detail." localSheetId="54" hidden="1">{"umarea",#N/A,FALSE,"Starting Cost";"umagesex",#N/A,FALSE,"Starting Cost";"umbenlim",#N/A,FALSE,"Starting Cost";"umprovdisc",#N/A,FALSE,"Starting Cost";"umother",#N/A,FALSE,"Starting Cost";"umtrend",#N/A,FALSE,"Starting Cost"}</definedName>
    <definedName name="wrn.Detail." hidden="1">{"umarea",#N/A,FALSE,"Starting Cost";"umagesex",#N/A,FALSE,"Starting Cost";"umbenlim",#N/A,FALSE,"Starting Cost";"umprovdisc",#N/A,FALSE,"Starting Cost";"umother",#N/A,FALSE,"Starting Cost";"umtrend",#N/A,FALSE,"Starting Cost"}</definedName>
    <definedName name="wrn.detalles._.total." localSheetId="55" hidden="1">{"total","abonados garantia",FALSE,"detalle19982007"}</definedName>
    <definedName name="wrn.detalles._.total." localSheetId="47" hidden="1">{"total","abonados garantia",FALSE,"detalle19982007"}</definedName>
    <definedName name="wrn.detalles._.total." localSheetId="64" hidden="1">{"total","abonados garantia",FALSE,"detalle19982007"}</definedName>
    <definedName name="wrn.detalles._.total." localSheetId="57" hidden="1">{"total","abonados garantia",FALSE,"detalle19982007"}</definedName>
    <definedName name="wrn.detalles._.total." hidden="1">{"total","abonados garantia",FALSE,"detalle19982007"}</definedName>
    <definedName name="wrn.documentation." localSheetId="55" hidden="1">{"documentation1",#N/A,FALSE,"Documentation";"documentation2",#N/A,FALSE,"Documentation"}</definedName>
    <definedName name="wrn.documentation." localSheetId="59" hidden="1">{"documentation1",#N/A,FALSE,"Documentation";"documentation2",#N/A,FALSE,"Documentation"}</definedName>
    <definedName name="wrn.documentation." localSheetId="93" hidden="1">{"documentation1",#N/A,FALSE,"Documentation";"documentation2",#N/A,FALSE,"Documentation"}</definedName>
    <definedName name="wrn.documentation." localSheetId="12" hidden="1">{"documentation1",#N/A,FALSE,"Documentation";"documentation2",#N/A,FALSE,"Documentation"}</definedName>
    <definedName name="wrn.documentation." localSheetId="62" hidden="1">{"documentation1",#N/A,FALSE,"Documentation";"documentation2",#N/A,FALSE,"Documentation"}</definedName>
    <definedName name="wrn.documentation." localSheetId="47" hidden="1">{"documentation1",#N/A,FALSE,"Documentation";"documentation2",#N/A,FALSE,"Documentation"}</definedName>
    <definedName name="wrn.documentation." localSheetId="15" hidden="1">{"documentation1",#N/A,FALSE,"Documentation";"documentation2",#N/A,FALSE,"Documentation"}</definedName>
    <definedName name="wrn.documentation." localSheetId="101" hidden="1">{"documentation1",#N/A,FALSE,"Documentation";"documentation2",#N/A,FALSE,"Documentation"}</definedName>
    <definedName name="wrn.documentation." localSheetId="60" hidden="1">{"documentation1",#N/A,FALSE,"Documentation";"documentation2",#N/A,FALSE,"Documentation"}</definedName>
    <definedName name="wrn.documentation." localSheetId="39" hidden="1">{"documentation1",#N/A,FALSE,"Documentation";"documentation2",#N/A,FALSE,"Documentation"}</definedName>
    <definedName name="wrn.documentation." localSheetId="58" hidden="1">{"documentation1",#N/A,FALSE,"Documentation";"documentation2",#N/A,FALSE,"Documentation"}</definedName>
    <definedName name="wrn.documentation." localSheetId="64" hidden="1">{"documentation1",#N/A,FALSE,"Documentation";"documentation2",#N/A,FALSE,"Documentation"}</definedName>
    <definedName name="wrn.documentation." localSheetId="54" hidden="1">{"documentation1",#N/A,FALSE,"Documentation";"documentation2",#N/A,FALSE,"Documentation"}</definedName>
    <definedName name="wrn.documentation." localSheetId="13" hidden="1">{"documentation1",#N/A,FALSE,"Documentation";"documentation2",#N/A,FALSE,"Documentation"}</definedName>
    <definedName name="wrn.documentation." localSheetId="63" hidden="1">{"documentation1",#N/A,FALSE,"Documentation";"documentation2",#N/A,FALSE,"Documentation"}</definedName>
    <definedName name="wrn.documentation." localSheetId="31" hidden="1">{"documentation1",#N/A,FALSE,"Documentation";"documentation2",#N/A,FALSE,"Documentation"}</definedName>
    <definedName name="wrn.documentation." localSheetId="61" hidden="1">{"documentation1",#N/A,FALSE,"Documentation";"documentation2",#N/A,FALSE,"Documentation"}</definedName>
    <definedName name="wrn.documentation." localSheetId="45" hidden="1">{"documentation1",#N/A,FALSE,"Documentation";"documentation2",#N/A,FALSE,"Documentation"}</definedName>
    <definedName name="wrn.documentation." localSheetId="90" hidden="1">{"documentation1",#N/A,FALSE,"Documentation";"documentation2",#N/A,FALSE,"Documentation"}</definedName>
    <definedName name="wrn.documentation." localSheetId="19" hidden="1">{"documentation1",#N/A,FALSE,"Documentation";"documentation2",#N/A,FALSE,"Documentation"}</definedName>
    <definedName name="wrn.documentation." localSheetId="57" hidden="1">{"documentation1",#N/A,FALSE,"Documentation";"documentation2",#N/A,FALSE,"Documentation"}</definedName>
    <definedName name="wrn.documentation." hidden="1">{"documentation1",#N/A,FALSE,"Documentation";"documentation2",#N/A,FALSE,"Documentation"}</definedName>
    <definedName name="wrn.ESPP." localSheetId="55" hidden="1">{#N/A,#N/A,FALSE,"REPORT"}</definedName>
    <definedName name="wrn.ESPP." localSheetId="93" hidden="1">{#N/A,#N/A,FALSE,"REPORT"}</definedName>
    <definedName name="wrn.ESPP." localSheetId="12" hidden="1">{#N/A,#N/A,FALSE,"REPORT"}</definedName>
    <definedName name="wrn.ESPP." localSheetId="47" hidden="1">{#N/A,#N/A,FALSE,"REPORT"}</definedName>
    <definedName name="wrn.ESPP." localSheetId="15" hidden="1">{#N/A,#N/A,FALSE,"REPORT"}</definedName>
    <definedName name="wrn.ESPP." localSheetId="101" hidden="1">{#N/A,#N/A,FALSE,"REPORT"}</definedName>
    <definedName name="wrn.ESPP." localSheetId="39" hidden="1">{#N/A,#N/A,FALSE,"REPORT"}</definedName>
    <definedName name="wrn.ESPP." localSheetId="64" hidden="1">{#N/A,#N/A,FALSE,"REPORT"}</definedName>
    <definedName name="wrn.ESPP." localSheetId="54" hidden="1">{#N/A,#N/A,FALSE,"REPORT"}</definedName>
    <definedName name="wrn.ESPP." localSheetId="13" hidden="1">{#N/A,#N/A,FALSE,"REPORT"}</definedName>
    <definedName name="wrn.ESPP." localSheetId="63" hidden="1">{#N/A,#N/A,FALSE,"REPORT"}</definedName>
    <definedName name="wrn.ESPP." localSheetId="31" hidden="1">{#N/A,#N/A,FALSE,"REPORT"}</definedName>
    <definedName name="wrn.ESPP." localSheetId="45" hidden="1">{#N/A,#N/A,FALSE,"REPORT"}</definedName>
    <definedName name="wrn.ESPP." localSheetId="90" hidden="1">{#N/A,#N/A,FALSE,"REPORT"}</definedName>
    <definedName name="wrn.ESPP." localSheetId="19" hidden="1">{#N/A,#N/A,FALSE,"REPORT"}</definedName>
    <definedName name="wrn.ESPP." localSheetId="57" hidden="1">{#N/A,#N/A,FALSE,"REPORT"}</definedName>
    <definedName name="wrn.ESPP." hidden="1">{#N/A,#N/A,FALSE,"REPORT"}</definedName>
    <definedName name="wrn.exhibits." localSheetId="55" hidden="1">{#N/A,#N/A,FALSE,"IS";#N/A,#N/A,FALSE,"BS";#N/A,#N/A,FALSE,"RMA";#N/A,#N/A,FALSE,"INCOME";#N/A,#N/A,FALSE,"DCF";#N/A,#N/A,FALSE,"MARKET"}</definedName>
    <definedName name="wrn.exhibits." localSheetId="59" hidden="1">{#N/A,#N/A,FALSE,"IS";#N/A,#N/A,FALSE,"BS";#N/A,#N/A,FALSE,"RMA";#N/A,#N/A,FALSE,"INCOME";#N/A,#N/A,FALSE,"DCF";#N/A,#N/A,FALSE,"MARKET"}</definedName>
    <definedName name="wrn.exhibits." localSheetId="93" hidden="1">{#N/A,#N/A,FALSE,"IS";#N/A,#N/A,FALSE,"BS";#N/A,#N/A,FALSE,"RMA";#N/A,#N/A,FALSE,"INCOME";#N/A,#N/A,FALSE,"DCF";#N/A,#N/A,FALSE,"MARKET"}</definedName>
    <definedName name="wrn.exhibits." localSheetId="12" hidden="1">{#N/A,#N/A,FALSE,"IS";#N/A,#N/A,FALSE,"BS";#N/A,#N/A,FALSE,"RMA";#N/A,#N/A,FALSE,"INCOME";#N/A,#N/A,FALSE,"DCF";#N/A,#N/A,FALSE,"MARKET"}</definedName>
    <definedName name="wrn.exhibits." localSheetId="62" hidden="1">{#N/A,#N/A,FALSE,"IS";#N/A,#N/A,FALSE,"BS";#N/A,#N/A,FALSE,"RMA";#N/A,#N/A,FALSE,"INCOME";#N/A,#N/A,FALSE,"DCF";#N/A,#N/A,FALSE,"MARKET"}</definedName>
    <definedName name="wrn.exhibits." localSheetId="47" hidden="1">{#N/A,#N/A,FALSE,"IS";#N/A,#N/A,FALSE,"BS";#N/A,#N/A,FALSE,"RMA";#N/A,#N/A,FALSE,"INCOME";#N/A,#N/A,FALSE,"DCF";#N/A,#N/A,FALSE,"MARKET"}</definedName>
    <definedName name="wrn.exhibits." localSheetId="15" hidden="1">{#N/A,#N/A,FALSE,"IS";#N/A,#N/A,FALSE,"BS";#N/A,#N/A,FALSE,"RMA";#N/A,#N/A,FALSE,"INCOME";#N/A,#N/A,FALSE,"DCF";#N/A,#N/A,FALSE,"MARKET"}</definedName>
    <definedName name="wrn.exhibits." localSheetId="101" hidden="1">{#N/A,#N/A,FALSE,"IS";#N/A,#N/A,FALSE,"BS";#N/A,#N/A,FALSE,"RMA";#N/A,#N/A,FALSE,"INCOME";#N/A,#N/A,FALSE,"DCF";#N/A,#N/A,FALSE,"MARKET"}</definedName>
    <definedName name="wrn.exhibits." localSheetId="60" hidden="1">{#N/A,#N/A,FALSE,"IS";#N/A,#N/A,FALSE,"BS";#N/A,#N/A,FALSE,"RMA";#N/A,#N/A,FALSE,"INCOME";#N/A,#N/A,FALSE,"DCF";#N/A,#N/A,FALSE,"MARKET"}</definedName>
    <definedName name="wrn.exhibits." localSheetId="39" hidden="1">{#N/A,#N/A,FALSE,"IS";#N/A,#N/A,FALSE,"BS";#N/A,#N/A,FALSE,"RMA";#N/A,#N/A,FALSE,"INCOME";#N/A,#N/A,FALSE,"DCF";#N/A,#N/A,FALSE,"MARKET"}</definedName>
    <definedName name="wrn.exhibits." localSheetId="58" hidden="1">{#N/A,#N/A,FALSE,"IS";#N/A,#N/A,FALSE,"BS";#N/A,#N/A,FALSE,"RMA";#N/A,#N/A,FALSE,"INCOME";#N/A,#N/A,FALSE,"DCF";#N/A,#N/A,FALSE,"MARKET"}</definedName>
    <definedName name="wrn.exhibits." localSheetId="64" hidden="1">{#N/A,#N/A,FALSE,"IS";#N/A,#N/A,FALSE,"BS";#N/A,#N/A,FALSE,"RMA";#N/A,#N/A,FALSE,"INCOME";#N/A,#N/A,FALSE,"DCF";#N/A,#N/A,FALSE,"MARKET"}</definedName>
    <definedName name="wrn.exhibits." localSheetId="54" hidden="1">{#N/A,#N/A,FALSE,"IS";#N/A,#N/A,FALSE,"BS";#N/A,#N/A,FALSE,"RMA";#N/A,#N/A,FALSE,"INCOME";#N/A,#N/A,FALSE,"DCF";#N/A,#N/A,FALSE,"MARKET"}</definedName>
    <definedName name="wrn.exhibits." localSheetId="13" hidden="1">{#N/A,#N/A,FALSE,"IS";#N/A,#N/A,FALSE,"BS";#N/A,#N/A,FALSE,"RMA";#N/A,#N/A,FALSE,"INCOME";#N/A,#N/A,FALSE,"DCF";#N/A,#N/A,FALSE,"MARKET"}</definedName>
    <definedName name="wrn.exhibits." localSheetId="63" hidden="1">{#N/A,#N/A,FALSE,"IS";#N/A,#N/A,FALSE,"BS";#N/A,#N/A,FALSE,"RMA";#N/A,#N/A,FALSE,"INCOME";#N/A,#N/A,FALSE,"DCF";#N/A,#N/A,FALSE,"MARKET"}</definedName>
    <definedName name="wrn.exhibits." localSheetId="31" hidden="1">{#N/A,#N/A,FALSE,"IS";#N/A,#N/A,FALSE,"BS";#N/A,#N/A,FALSE,"RMA";#N/A,#N/A,FALSE,"INCOME";#N/A,#N/A,FALSE,"DCF";#N/A,#N/A,FALSE,"MARKET"}</definedName>
    <definedName name="wrn.exhibits." localSheetId="61" hidden="1">{#N/A,#N/A,FALSE,"IS";#N/A,#N/A,FALSE,"BS";#N/A,#N/A,FALSE,"RMA";#N/A,#N/A,FALSE,"INCOME";#N/A,#N/A,FALSE,"DCF";#N/A,#N/A,FALSE,"MARKET"}</definedName>
    <definedName name="wrn.exhibits." localSheetId="45" hidden="1">{#N/A,#N/A,FALSE,"IS";#N/A,#N/A,FALSE,"BS";#N/A,#N/A,FALSE,"RMA";#N/A,#N/A,FALSE,"INCOME";#N/A,#N/A,FALSE,"DCF";#N/A,#N/A,FALSE,"MARKET"}</definedName>
    <definedName name="wrn.exhibits." localSheetId="90" hidden="1">{#N/A,#N/A,FALSE,"IS";#N/A,#N/A,FALSE,"BS";#N/A,#N/A,FALSE,"RMA";#N/A,#N/A,FALSE,"INCOME";#N/A,#N/A,FALSE,"DCF";#N/A,#N/A,FALSE,"MARKET"}</definedName>
    <definedName name="wrn.exhibits." localSheetId="19" hidden="1">{#N/A,#N/A,FALSE,"IS";#N/A,#N/A,FALSE,"BS";#N/A,#N/A,FALSE,"RMA";#N/A,#N/A,FALSE,"INCOME";#N/A,#N/A,FALSE,"DCF";#N/A,#N/A,FALSE,"MARKET"}</definedName>
    <definedName name="wrn.exhibits." localSheetId="57" hidden="1">{#N/A,#N/A,FALSE,"IS";#N/A,#N/A,FALSE,"BS";#N/A,#N/A,FALSE,"RMA";#N/A,#N/A,FALSE,"INCOME";#N/A,#N/A,FALSE,"DCF";#N/A,#N/A,FALSE,"MARKET"}</definedName>
    <definedName name="wrn.exhibits." hidden="1">{#N/A,#N/A,FALSE,"IS";#N/A,#N/A,FALSE,"BS";#N/A,#N/A,FALSE,"RMA";#N/A,#N/A,FALSE,"INCOME";#N/A,#N/A,FALSE,"DCF";#N/A,#N/A,FALSE,"MARKET"}</definedName>
    <definedName name="wrn.Factors." localSheetId="47" hidden="1">{#N/A,#N/A,FALSE,"Factors"}</definedName>
    <definedName name="wrn.Factors." localSheetId="54" hidden="1">{#N/A,#N/A,FALSE,"Factors"}</definedName>
    <definedName name="wrn.Factors." hidden="1">{#N/A,#N/A,FALSE,"Factors"}</definedName>
    <definedName name="wrn.Fcst._.by._.Mon." localSheetId="55" hidden="1">{"Fcst by Mon Full",#N/A,FALSE,"Tot PalmPalm";"Fcst by Mon Full",#N/A,FALSE,"Tot Device";"Fcst by Mon Full",#N/A,FALSE,"Platform";"Fcst by Mon Full",#N/A,FALSE,"Palm.Net";"Fcst by Mon Full",#N/A,FALSE,"Elim"}</definedName>
    <definedName name="wrn.Fcst._.by._.Mon." localSheetId="59" hidden="1">{"Fcst by Mon Full",#N/A,FALSE,"Tot PalmPalm";"Fcst by Mon Full",#N/A,FALSE,"Tot Device";"Fcst by Mon Full",#N/A,FALSE,"Platform";"Fcst by Mon Full",#N/A,FALSE,"Palm.Net";"Fcst by Mon Full",#N/A,FALSE,"Elim"}</definedName>
    <definedName name="wrn.Fcst._.by._.Mon." localSheetId="93" hidden="1">{"Fcst by Mon Full",#N/A,FALSE,"Tot PalmPalm";"Fcst by Mon Full",#N/A,FALSE,"Tot Device";"Fcst by Mon Full",#N/A,FALSE,"Platform";"Fcst by Mon Full",#N/A,FALSE,"Palm.Net";"Fcst by Mon Full",#N/A,FALSE,"Elim"}</definedName>
    <definedName name="wrn.Fcst._.by._.Mon." localSheetId="12" hidden="1">{"Fcst by Mon Full",#N/A,FALSE,"Tot PalmPalm";"Fcst by Mon Full",#N/A,FALSE,"Tot Device";"Fcst by Mon Full",#N/A,FALSE,"Platform";"Fcst by Mon Full",#N/A,FALSE,"Palm.Net";"Fcst by Mon Full",#N/A,FALSE,"Elim"}</definedName>
    <definedName name="wrn.Fcst._.by._.Mon." localSheetId="62" hidden="1">{"Fcst by Mon Full",#N/A,FALSE,"Tot PalmPalm";"Fcst by Mon Full",#N/A,FALSE,"Tot Device";"Fcst by Mon Full",#N/A,FALSE,"Platform";"Fcst by Mon Full",#N/A,FALSE,"Palm.Net";"Fcst by Mon Full",#N/A,FALSE,"Elim"}</definedName>
    <definedName name="wrn.Fcst._.by._.Mon." localSheetId="47" hidden="1">{"Fcst by Mon Full",#N/A,FALSE,"Tot PalmPalm";"Fcst by Mon Full",#N/A,FALSE,"Tot Device";"Fcst by Mon Full",#N/A,FALSE,"Platform";"Fcst by Mon Full",#N/A,FALSE,"Palm.Net";"Fcst by Mon Full",#N/A,FALSE,"Elim"}</definedName>
    <definedName name="wrn.Fcst._.by._.Mon." localSheetId="15" hidden="1">{"Fcst by Mon Full",#N/A,FALSE,"Tot PalmPalm";"Fcst by Mon Full",#N/A,FALSE,"Tot Device";"Fcst by Mon Full",#N/A,FALSE,"Platform";"Fcst by Mon Full",#N/A,FALSE,"Palm.Net";"Fcst by Mon Full",#N/A,FALSE,"Elim"}</definedName>
    <definedName name="wrn.Fcst._.by._.Mon." localSheetId="101" hidden="1">{"Fcst by Mon Full",#N/A,FALSE,"Tot PalmPalm";"Fcst by Mon Full",#N/A,FALSE,"Tot Device";"Fcst by Mon Full",#N/A,FALSE,"Platform";"Fcst by Mon Full",#N/A,FALSE,"Palm.Net";"Fcst by Mon Full",#N/A,FALSE,"Elim"}</definedName>
    <definedName name="wrn.Fcst._.by._.Mon." localSheetId="60" hidden="1">{"Fcst by Mon Full",#N/A,FALSE,"Tot PalmPalm";"Fcst by Mon Full",#N/A,FALSE,"Tot Device";"Fcst by Mon Full",#N/A,FALSE,"Platform";"Fcst by Mon Full",#N/A,FALSE,"Palm.Net";"Fcst by Mon Full",#N/A,FALSE,"Elim"}</definedName>
    <definedName name="wrn.Fcst._.by._.Mon." localSheetId="39" hidden="1">{"Fcst by Mon Full",#N/A,FALSE,"Tot PalmPalm";"Fcst by Mon Full",#N/A,FALSE,"Tot Device";"Fcst by Mon Full",#N/A,FALSE,"Platform";"Fcst by Mon Full",#N/A,FALSE,"Palm.Net";"Fcst by Mon Full",#N/A,FALSE,"Elim"}</definedName>
    <definedName name="wrn.Fcst._.by._.Mon." localSheetId="58" hidden="1">{"Fcst by Mon Full",#N/A,FALSE,"Tot PalmPalm";"Fcst by Mon Full",#N/A,FALSE,"Tot Device";"Fcst by Mon Full",#N/A,FALSE,"Platform";"Fcst by Mon Full",#N/A,FALSE,"Palm.Net";"Fcst by Mon Full",#N/A,FALSE,"Elim"}</definedName>
    <definedName name="wrn.Fcst._.by._.Mon." localSheetId="64" hidden="1">{"Fcst by Mon Full",#N/A,FALSE,"Tot PalmPalm";"Fcst by Mon Full",#N/A,FALSE,"Tot Device";"Fcst by Mon Full",#N/A,FALSE,"Platform";"Fcst by Mon Full",#N/A,FALSE,"Palm.Net";"Fcst by Mon Full",#N/A,FALSE,"Elim"}</definedName>
    <definedName name="wrn.Fcst._.by._.Mon." localSheetId="54" hidden="1">{"Fcst by Mon Full",#N/A,FALSE,"Tot PalmPalm";"Fcst by Mon Full",#N/A,FALSE,"Tot Device";"Fcst by Mon Full",#N/A,FALSE,"Platform";"Fcst by Mon Full",#N/A,FALSE,"Palm.Net";"Fcst by Mon Full",#N/A,FALSE,"Elim"}</definedName>
    <definedName name="wrn.Fcst._.by._.Mon." localSheetId="13" hidden="1">{"Fcst by Mon Full",#N/A,FALSE,"Tot PalmPalm";"Fcst by Mon Full",#N/A,FALSE,"Tot Device";"Fcst by Mon Full",#N/A,FALSE,"Platform";"Fcst by Mon Full",#N/A,FALSE,"Palm.Net";"Fcst by Mon Full",#N/A,FALSE,"Elim"}</definedName>
    <definedName name="wrn.Fcst._.by._.Mon." localSheetId="63" hidden="1">{"Fcst by Mon Full",#N/A,FALSE,"Tot PalmPalm";"Fcst by Mon Full",#N/A,FALSE,"Tot Device";"Fcst by Mon Full",#N/A,FALSE,"Platform";"Fcst by Mon Full",#N/A,FALSE,"Palm.Net";"Fcst by Mon Full",#N/A,FALSE,"Elim"}</definedName>
    <definedName name="wrn.Fcst._.by._.Mon." localSheetId="31" hidden="1">{"Fcst by Mon Full",#N/A,FALSE,"Tot PalmPalm";"Fcst by Mon Full",#N/A,FALSE,"Tot Device";"Fcst by Mon Full",#N/A,FALSE,"Platform";"Fcst by Mon Full",#N/A,FALSE,"Palm.Net";"Fcst by Mon Full",#N/A,FALSE,"Elim"}</definedName>
    <definedName name="wrn.Fcst._.by._.Mon." localSheetId="61" hidden="1">{"Fcst by Mon Full",#N/A,FALSE,"Tot PalmPalm";"Fcst by Mon Full",#N/A,FALSE,"Tot Device";"Fcst by Mon Full",#N/A,FALSE,"Platform";"Fcst by Mon Full",#N/A,FALSE,"Palm.Net";"Fcst by Mon Full",#N/A,FALSE,"Elim"}</definedName>
    <definedName name="wrn.Fcst._.by._.Mon." localSheetId="45" hidden="1">{"Fcst by Mon Full",#N/A,FALSE,"Tot PalmPalm";"Fcst by Mon Full",#N/A,FALSE,"Tot Device";"Fcst by Mon Full",#N/A,FALSE,"Platform";"Fcst by Mon Full",#N/A,FALSE,"Palm.Net";"Fcst by Mon Full",#N/A,FALSE,"Elim"}</definedName>
    <definedName name="wrn.Fcst._.by._.Mon." localSheetId="90" hidden="1">{"Fcst by Mon Full",#N/A,FALSE,"Tot PalmPalm";"Fcst by Mon Full",#N/A,FALSE,"Tot Device";"Fcst by Mon Full",#N/A,FALSE,"Platform";"Fcst by Mon Full",#N/A,FALSE,"Palm.Net";"Fcst by Mon Full",#N/A,FALSE,"Elim"}</definedName>
    <definedName name="wrn.Fcst._.by._.Mon." localSheetId="19" hidden="1">{"Fcst by Mon Full",#N/A,FALSE,"Tot PalmPalm";"Fcst by Mon Full",#N/A,FALSE,"Tot Device";"Fcst by Mon Full",#N/A,FALSE,"Platform";"Fcst by Mon Full",#N/A,FALSE,"Palm.Net";"Fcst by Mon Full",#N/A,FALSE,"Elim"}</definedName>
    <definedName name="wrn.Fcst._.by._.Mon." localSheetId="57"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55" hidden="1">{"Fcst by Qtr Full",#N/A,FALSE,"Tot PalmPalm";"Fcst by Qtr Full",#N/A,FALSE,"Tot Device";"Fcst by Qtr Full",#N/A,FALSE,"Platform";"Fcst by Qtr Full",#N/A,FALSE,"Palm.Net";"Fcst by Qtr Full",#N/A,FALSE,"Elim"}</definedName>
    <definedName name="wrn.Fcst._.by._.Qtr." localSheetId="59" hidden="1">{"Fcst by Qtr Full",#N/A,FALSE,"Tot PalmPalm";"Fcst by Qtr Full",#N/A,FALSE,"Tot Device";"Fcst by Qtr Full",#N/A,FALSE,"Platform";"Fcst by Qtr Full",#N/A,FALSE,"Palm.Net";"Fcst by Qtr Full",#N/A,FALSE,"Elim"}</definedName>
    <definedName name="wrn.Fcst._.by._.Qtr." localSheetId="93" hidden="1">{"Fcst by Qtr Full",#N/A,FALSE,"Tot PalmPalm";"Fcst by Qtr Full",#N/A,FALSE,"Tot Device";"Fcst by Qtr Full",#N/A,FALSE,"Platform";"Fcst by Qtr Full",#N/A,FALSE,"Palm.Net";"Fcst by Qtr Full",#N/A,FALSE,"Elim"}</definedName>
    <definedName name="wrn.Fcst._.by._.Qtr." localSheetId="12" hidden="1">{"Fcst by Qtr Full",#N/A,FALSE,"Tot PalmPalm";"Fcst by Qtr Full",#N/A,FALSE,"Tot Device";"Fcst by Qtr Full",#N/A,FALSE,"Platform";"Fcst by Qtr Full",#N/A,FALSE,"Palm.Net";"Fcst by Qtr Full",#N/A,FALSE,"Elim"}</definedName>
    <definedName name="wrn.Fcst._.by._.Qtr." localSheetId="62" hidden="1">{"Fcst by Qtr Full",#N/A,FALSE,"Tot PalmPalm";"Fcst by Qtr Full",#N/A,FALSE,"Tot Device";"Fcst by Qtr Full",#N/A,FALSE,"Platform";"Fcst by Qtr Full",#N/A,FALSE,"Palm.Net";"Fcst by Qtr Full",#N/A,FALSE,"Elim"}</definedName>
    <definedName name="wrn.Fcst._.by._.Qtr." localSheetId="47" hidden="1">{"Fcst by Qtr Full",#N/A,FALSE,"Tot PalmPalm";"Fcst by Qtr Full",#N/A,FALSE,"Tot Device";"Fcst by Qtr Full",#N/A,FALSE,"Platform";"Fcst by Qtr Full",#N/A,FALSE,"Palm.Net";"Fcst by Qtr Full",#N/A,FALSE,"Elim"}</definedName>
    <definedName name="wrn.Fcst._.by._.Qtr." localSheetId="15" hidden="1">{"Fcst by Qtr Full",#N/A,FALSE,"Tot PalmPalm";"Fcst by Qtr Full",#N/A,FALSE,"Tot Device";"Fcst by Qtr Full",#N/A,FALSE,"Platform";"Fcst by Qtr Full",#N/A,FALSE,"Palm.Net";"Fcst by Qtr Full",#N/A,FALSE,"Elim"}</definedName>
    <definedName name="wrn.Fcst._.by._.Qtr." localSheetId="101" hidden="1">{"Fcst by Qtr Full",#N/A,FALSE,"Tot PalmPalm";"Fcst by Qtr Full",#N/A,FALSE,"Tot Device";"Fcst by Qtr Full",#N/A,FALSE,"Platform";"Fcst by Qtr Full",#N/A,FALSE,"Palm.Net";"Fcst by Qtr Full",#N/A,FALSE,"Elim"}</definedName>
    <definedName name="wrn.Fcst._.by._.Qtr." localSheetId="60" hidden="1">{"Fcst by Qtr Full",#N/A,FALSE,"Tot PalmPalm";"Fcst by Qtr Full",#N/A,FALSE,"Tot Device";"Fcst by Qtr Full",#N/A,FALSE,"Platform";"Fcst by Qtr Full",#N/A,FALSE,"Palm.Net";"Fcst by Qtr Full",#N/A,FALSE,"Elim"}</definedName>
    <definedName name="wrn.Fcst._.by._.Qtr." localSheetId="39" hidden="1">{"Fcst by Qtr Full",#N/A,FALSE,"Tot PalmPalm";"Fcst by Qtr Full",#N/A,FALSE,"Tot Device";"Fcst by Qtr Full",#N/A,FALSE,"Platform";"Fcst by Qtr Full",#N/A,FALSE,"Palm.Net";"Fcst by Qtr Full",#N/A,FALSE,"Elim"}</definedName>
    <definedName name="wrn.Fcst._.by._.Qtr." localSheetId="58" hidden="1">{"Fcst by Qtr Full",#N/A,FALSE,"Tot PalmPalm";"Fcst by Qtr Full",#N/A,FALSE,"Tot Device";"Fcst by Qtr Full",#N/A,FALSE,"Platform";"Fcst by Qtr Full",#N/A,FALSE,"Palm.Net";"Fcst by Qtr Full",#N/A,FALSE,"Elim"}</definedName>
    <definedName name="wrn.Fcst._.by._.Qtr." localSheetId="64" hidden="1">{"Fcst by Qtr Full",#N/A,FALSE,"Tot PalmPalm";"Fcst by Qtr Full",#N/A,FALSE,"Tot Device";"Fcst by Qtr Full",#N/A,FALSE,"Platform";"Fcst by Qtr Full",#N/A,FALSE,"Palm.Net";"Fcst by Qtr Full",#N/A,FALSE,"Elim"}</definedName>
    <definedName name="wrn.Fcst._.by._.Qtr." localSheetId="54" hidden="1">{"Fcst by Qtr Full",#N/A,FALSE,"Tot PalmPalm";"Fcst by Qtr Full",#N/A,FALSE,"Tot Device";"Fcst by Qtr Full",#N/A,FALSE,"Platform";"Fcst by Qtr Full",#N/A,FALSE,"Palm.Net";"Fcst by Qtr Full",#N/A,FALSE,"Elim"}</definedName>
    <definedName name="wrn.Fcst._.by._.Qtr." localSheetId="13" hidden="1">{"Fcst by Qtr Full",#N/A,FALSE,"Tot PalmPalm";"Fcst by Qtr Full",#N/A,FALSE,"Tot Device";"Fcst by Qtr Full",#N/A,FALSE,"Platform";"Fcst by Qtr Full",#N/A,FALSE,"Palm.Net";"Fcst by Qtr Full",#N/A,FALSE,"Elim"}</definedName>
    <definedName name="wrn.Fcst._.by._.Qtr." localSheetId="63" hidden="1">{"Fcst by Qtr Full",#N/A,FALSE,"Tot PalmPalm";"Fcst by Qtr Full",#N/A,FALSE,"Tot Device";"Fcst by Qtr Full",#N/A,FALSE,"Platform";"Fcst by Qtr Full",#N/A,FALSE,"Palm.Net";"Fcst by Qtr Full",#N/A,FALSE,"Elim"}</definedName>
    <definedName name="wrn.Fcst._.by._.Qtr." localSheetId="31" hidden="1">{"Fcst by Qtr Full",#N/A,FALSE,"Tot PalmPalm";"Fcst by Qtr Full",#N/A,FALSE,"Tot Device";"Fcst by Qtr Full",#N/A,FALSE,"Platform";"Fcst by Qtr Full",#N/A,FALSE,"Palm.Net";"Fcst by Qtr Full",#N/A,FALSE,"Elim"}</definedName>
    <definedName name="wrn.Fcst._.by._.Qtr." localSheetId="61" hidden="1">{"Fcst by Qtr Full",#N/A,FALSE,"Tot PalmPalm";"Fcst by Qtr Full",#N/A,FALSE,"Tot Device";"Fcst by Qtr Full",#N/A,FALSE,"Platform";"Fcst by Qtr Full",#N/A,FALSE,"Palm.Net";"Fcst by Qtr Full",#N/A,FALSE,"Elim"}</definedName>
    <definedName name="wrn.Fcst._.by._.Qtr." localSheetId="45" hidden="1">{"Fcst by Qtr Full",#N/A,FALSE,"Tot PalmPalm";"Fcst by Qtr Full",#N/A,FALSE,"Tot Device";"Fcst by Qtr Full",#N/A,FALSE,"Platform";"Fcst by Qtr Full",#N/A,FALSE,"Palm.Net";"Fcst by Qtr Full",#N/A,FALSE,"Elim"}</definedName>
    <definedName name="wrn.Fcst._.by._.Qtr." localSheetId="90" hidden="1">{"Fcst by Qtr Full",#N/A,FALSE,"Tot PalmPalm";"Fcst by Qtr Full",#N/A,FALSE,"Tot Device";"Fcst by Qtr Full",#N/A,FALSE,"Platform";"Fcst by Qtr Full",#N/A,FALSE,"Palm.Net";"Fcst by Qtr Full",#N/A,FALSE,"Elim"}</definedName>
    <definedName name="wrn.Fcst._.by._.Qtr." localSheetId="19" hidden="1">{"Fcst by Qtr Full",#N/A,FALSE,"Tot PalmPalm";"Fcst by Qtr Full",#N/A,FALSE,"Tot Device";"Fcst by Qtr Full",#N/A,FALSE,"Platform";"Fcst by Qtr Full",#N/A,FALSE,"Palm.Net";"Fcst by Qtr Full",#N/A,FALSE,"Elim"}</definedName>
    <definedName name="wrn.Fcst._.by._.Qtr." localSheetId="57"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ile." localSheetId="55"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59"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93"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2"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62"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7"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5"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01"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60"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39"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58"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64"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54"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3"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63"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31"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61"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5"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90"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9"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57"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copy." localSheetId="55"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93"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6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5"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0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60"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3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8"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64"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4"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3"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63"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3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80"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6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5"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90"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ull._.Model." localSheetId="55"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59"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93"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2"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62"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7"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5"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01"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60"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39"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58"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64"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54"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3"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63"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31"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61"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5"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90"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9"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57" hidden="1">{#N/A,#N/A,FALSE,"Cov";#N/A,#N/A,FALSE,"sum";#N/A,#N/A,FALSE,"baladj";#N/A,#N/A,FALSE,"bs";#N/A,#N/A,FALSE,"is";#N/A,#N/A,FALSE,"pis";#N/A,#N/A,FALSE,"pis";#N/A,#N/A,FALSE,"cf";#N/A,#N/A,FALSE,"balhist";#N/A,#N/A,FALSE,"wc";#N/A,#N/A,FALSE,"ltd";#N/A,#N/A,FALSE,"cover";#N/A,#N/A,FALSE,"fa";#N/A,#N/A,FALSE,"tax";#N/A,#N/A,FALSE,"irr";#N/A,#N/A,FALSE,"in";#N/A,#N/A,FALSE,"DCF Cov";#N/A,#N/A,FALSE,"dcf"}</definedName>
    <definedName name="wrn.Full._.Model." hidden="1">{#N/A,#N/A,FALSE,"Cov";#N/A,#N/A,FALSE,"sum";#N/A,#N/A,FALSE,"baladj";#N/A,#N/A,FALSE,"bs";#N/A,#N/A,FALSE,"is";#N/A,#N/A,FALSE,"pis";#N/A,#N/A,FALSE,"pis";#N/A,#N/A,FALSE,"cf";#N/A,#N/A,FALSE,"balhist";#N/A,#N/A,FALSE,"wc";#N/A,#N/A,FALSE,"ltd";#N/A,#N/A,FALSE,"cover";#N/A,#N/A,FALSE,"fa";#N/A,#N/A,FALSE,"tax";#N/A,#N/A,FALSE,"irr";#N/A,#N/A,FALSE,"in";#N/A,#N/A,FALSE,"DCF Cov";#N/A,#N/A,FALSE,"dcf"}</definedName>
    <definedName name="wrn.Full._.Print." localSheetId="55"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93"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2"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7"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5"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01"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39"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64"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54"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3"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63"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31"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5"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90"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9"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57"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ACQ." localSheetId="55" hidden="1">{#N/A,#N/A,FALSE,"Summary";#N/A,#N/A,FALSE,"Proforma";#N/A,#N/A,FALSE,"Tx"}</definedName>
    <definedName name="wrn.FULL_ACQ." localSheetId="59" hidden="1">{#N/A,#N/A,FALSE,"Summary";#N/A,#N/A,FALSE,"Proforma";#N/A,#N/A,FALSE,"Tx"}</definedName>
    <definedName name="wrn.FULL_ACQ." localSheetId="93" hidden="1">{#N/A,#N/A,FALSE,"Summary";#N/A,#N/A,FALSE,"Proforma";#N/A,#N/A,FALSE,"Tx"}</definedName>
    <definedName name="wrn.FULL_ACQ." localSheetId="12" hidden="1">{#N/A,#N/A,FALSE,"Summary";#N/A,#N/A,FALSE,"Proforma";#N/A,#N/A,FALSE,"Tx"}</definedName>
    <definedName name="wrn.FULL_ACQ." localSheetId="62" hidden="1">{#N/A,#N/A,FALSE,"Summary";#N/A,#N/A,FALSE,"Proforma";#N/A,#N/A,FALSE,"Tx"}</definedName>
    <definedName name="wrn.FULL_ACQ." localSheetId="47" hidden="1">{#N/A,#N/A,FALSE,"Summary";#N/A,#N/A,FALSE,"Proforma";#N/A,#N/A,FALSE,"Tx"}</definedName>
    <definedName name="wrn.FULL_ACQ." localSheetId="15" hidden="1">{#N/A,#N/A,FALSE,"Summary";#N/A,#N/A,FALSE,"Proforma";#N/A,#N/A,FALSE,"Tx"}</definedName>
    <definedName name="wrn.FULL_ACQ." localSheetId="101" hidden="1">{#N/A,#N/A,FALSE,"Summary";#N/A,#N/A,FALSE,"Proforma";#N/A,#N/A,FALSE,"Tx"}</definedName>
    <definedName name="wrn.FULL_ACQ." localSheetId="60" hidden="1">{#N/A,#N/A,FALSE,"Summary";#N/A,#N/A,FALSE,"Proforma";#N/A,#N/A,FALSE,"Tx"}</definedName>
    <definedName name="wrn.FULL_ACQ." localSheetId="39" hidden="1">{#N/A,#N/A,FALSE,"Summary";#N/A,#N/A,FALSE,"Proforma";#N/A,#N/A,FALSE,"Tx"}</definedName>
    <definedName name="wrn.FULL_ACQ." localSheetId="58" hidden="1">{#N/A,#N/A,FALSE,"Summary";#N/A,#N/A,FALSE,"Proforma";#N/A,#N/A,FALSE,"Tx"}</definedName>
    <definedName name="wrn.FULL_ACQ." localSheetId="64" hidden="1">{#N/A,#N/A,FALSE,"Summary";#N/A,#N/A,FALSE,"Proforma";#N/A,#N/A,FALSE,"Tx"}</definedName>
    <definedName name="wrn.FULL_ACQ." localSheetId="54" hidden="1">{#N/A,#N/A,FALSE,"Summary";#N/A,#N/A,FALSE,"Proforma";#N/A,#N/A,FALSE,"Tx"}</definedName>
    <definedName name="wrn.FULL_ACQ." localSheetId="13" hidden="1">{#N/A,#N/A,FALSE,"Summary";#N/A,#N/A,FALSE,"Proforma";#N/A,#N/A,FALSE,"Tx"}</definedName>
    <definedName name="wrn.FULL_ACQ." localSheetId="63" hidden="1">{#N/A,#N/A,FALSE,"Summary";#N/A,#N/A,FALSE,"Proforma";#N/A,#N/A,FALSE,"Tx"}</definedName>
    <definedName name="wrn.FULL_ACQ." localSheetId="31" hidden="1">{#N/A,#N/A,FALSE,"Summary";#N/A,#N/A,FALSE,"Proforma";#N/A,#N/A,FALSE,"Tx"}</definedName>
    <definedName name="wrn.FULL_ACQ." localSheetId="61" hidden="1">{#N/A,#N/A,FALSE,"Summary";#N/A,#N/A,FALSE,"Proforma";#N/A,#N/A,FALSE,"Tx"}</definedName>
    <definedName name="wrn.FULL_ACQ." localSheetId="45" hidden="1">{#N/A,#N/A,FALSE,"Summary";#N/A,#N/A,FALSE,"Proforma";#N/A,#N/A,FALSE,"Tx"}</definedName>
    <definedName name="wrn.FULL_ACQ." localSheetId="90" hidden="1">{#N/A,#N/A,FALSE,"Summary";#N/A,#N/A,FALSE,"Proforma";#N/A,#N/A,FALSE,"Tx"}</definedName>
    <definedName name="wrn.FULL_ACQ." localSheetId="19" hidden="1">{#N/A,#N/A,FALSE,"Summary";#N/A,#N/A,FALSE,"Proforma";#N/A,#N/A,FALSE,"Tx"}</definedName>
    <definedName name="wrn.FULL_ACQ." localSheetId="57" hidden="1">{#N/A,#N/A,FALSE,"Summary";#N/A,#N/A,FALSE,"Proforma";#N/A,#N/A,FALSE,"Tx"}</definedName>
    <definedName name="wrn.FULL_ACQ." hidden="1">{#N/A,#N/A,FALSE,"Summary";#N/A,#N/A,FALSE,"Proforma";#N/A,#N/A,FALSE,"Tx"}</definedName>
    <definedName name="wrn.LBO." localSheetId="55" hidden="1">{#N/A,#N/A,FALSE,"Cov";#N/A,#N/A,FALSE,"sum";#N/A,#N/A,FALSE,"baladj";#N/A,#N/A,FALSE,"bs";#N/A,#N/A,FALSE,"is";#N/A,#N/A,FALSE,"pis";#N/A,#N/A,FALSE,"cf";#N/A,#N/A,FALSE,"balhist";#N/A,#N/A,FALSE,"wc";#N/A,#N/A,FALSE,"ltd";#N/A,#N/A,FALSE,"cover";#N/A,#N/A,FALSE,"fa";#N/A,#N/A,FALSE,"tax";#N/A,#N/A,FALSE,"irr";#N/A,#N/A,FALSE,"in"}</definedName>
    <definedName name="wrn.LBO." localSheetId="59" hidden="1">{#N/A,#N/A,FALSE,"Cov";#N/A,#N/A,FALSE,"sum";#N/A,#N/A,FALSE,"baladj";#N/A,#N/A,FALSE,"bs";#N/A,#N/A,FALSE,"is";#N/A,#N/A,FALSE,"pis";#N/A,#N/A,FALSE,"cf";#N/A,#N/A,FALSE,"balhist";#N/A,#N/A,FALSE,"wc";#N/A,#N/A,FALSE,"ltd";#N/A,#N/A,FALSE,"cover";#N/A,#N/A,FALSE,"fa";#N/A,#N/A,FALSE,"tax";#N/A,#N/A,FALSE,"irr";#N/A,#N/A,FALSE,"in"}</definedName>
    <definedName name="wrn.LBO." localSheetId="93" hidden="1">{#N/A,#N/A,FALSE,"Cov";#N/A,#N/A,FALSE,"sum";#N/A,#N/A,FALSE,"baladj";#N/A,#N/A,FALSE,"bs";#N/A,#N/A,FALSE,"is";#N/A,#N/A,FALSE,"pis";#N/A,#N/A,FALSE,"cf";#N/A,#N/A,FALSE,"balhist";#N/A,#N/A,FALSE,"wc";#N/A,#N/A,FALSE,"ltd";#N/A,#N/A,FALSE,"cover";#N/A,#N/A,FALSE,"fa";#N/A,#N/A,FALSE,"tax";#N/A,#N/A,FALSE,"irr";#N/A,#N/A,FALSE,"in"}</definedName>
    <definedName name="wrn.LBO." localSheetId="12" hidden="1">{#N/A,#N/A,FALSE,"Cov";#N/A,#N/A,FALSE,"sum";#N/A,#N/A,FALSE,"baladj";#N/A,#N/A,FALSE,"bs";#N/A,#N/A,FALSE,"is";#N/A,#N/A,FALSE,"pis";#N/A,#N/A,FALSE,"cf";#N/A,#N/A,FALSE,"balhist";#N/A,#N/A,FALSE,"wc";#N/A,#N/A,FALSE,"ltd";#N/A,#N/A,FALSE,"cover";#N/A,#N/A,FALSE,"fa";#N/A,#N/A,FALSE,"tax";#N/A,#N/A,FALSE,"irr";#N/A,#N/A,FALSE,"in"}</definedName>
    <definedName name="wrn.LBO." localSheetId="62" hidden="1">{#N/A,#N/A,FALSE,"Cov";#N/A,#N/A,FALSE,"sum";#N/A,#N/A,FALSE,"baladj";#N/A,#N/A,FALSE,"bs";#N/A,#N/A,FALSE,"is";#N/A,#N/A,FALSE,"pis";#N/A,#N/A,FALSE,"cf";#N/A,#N/A,FALSE,"balhist";#N/A,#N/A,FALSE,"wc";#N/A,#N/A,FALSE,"ltd";#N/A,#N/A,FALSE,"cover";#N/A,#N/A,FALSE,"fa";#N/A,#N/A,FALSE,"tax";#N/A,#N/A,FALSE,"irr";#N/A,#N/A,FALSE,"in"}</definedName>
    <definedName name="wrn.LBO." localSheetId="47" hidden="1">{#N/A,#N/A,FALSE,"Cov";#N/A,#N/A,FALSE,"sum";#N/A,#N/A,FALSE,"baladj";#N/A,#N/A,FALSE,"bs";#N/A,#N/A,FALSE,"is";#N/A,#N/A,FALSE,"pis";#N/A,#N/A,FALSE,"cf";#N/A,#N/A,FALSE,"balhist";#N/A,#N/A,FALSE,"wc";#N/A,#N/A,FALSE,"ltd";#N/A,#N/A,FALSE,"cover";#N/A,#N/A,FALSE,"fa";#N/A,#N/A,FALSE,"tax";#N/A,#N/A,FALSE,"irr";#N/A,#N/A,FALSE,"in"}</definedName>
    <definedName name="wrn.LBO." localSheetId="15" hidden="1">{#N/A,#N/A,FALSE,"Cov";#N/A,#N/A,FALSE,"sum";#N/A,#N/A,FALSE,"baladj";#N/A,#N/A,FALSE,"bs";#N/A,#N/A,FALSE,"is";#N/A,#N/A,FALSE,"pis";#N/A,#N/A,FALSE,"cf";#N/A,#N/A,FALSE,"balhist";#N/A,#N/A,FALSE,"wc";#N/A,#N/A,FALSE,"ltd";#N/A,#N/A,FALSE,"cover";#N/A,#N/A,FALSE,"fa";#N/A,#N/A,FALSE,"tax";#N/A,#N/A,FALSE,"irr";#N/A,#N/A,FALSE,"in"}</definedName>
    <definedName name="wrn.LBO." localSheetId="101" hidden="1">{#N/A,#N/A,FALSE,"Cov";#N/A,#N/A,FALSE,"sum";#N/A,#N/A,FALSE,"baladj";#N/A,#N/A,FALSE,"bs";#N/A,#N/A,FALSE,"is";#N/A,#N/A,FALSE,"pis";#N/A,#N/A,FALSE,"cf";#N/A,#N/A,FALSE,"balhist";#N/A,#N/A,FALSE,"wc";#N/A,#N/A,FALSE,"ltd";#N/A,#N/A,FALSE,"cover";#N/A,#N/A,FALSE,"fa";#N/A,#N/A,FALSE,"tax";#N/A,#N/A,FALSE,"irr";#N/A,#N/A,FALSE,"in"}</definedName>
    <definedName name="wrn.LBO." localSheetId="60" hidden="1">{#N/A,#N/A,FALSE,"Cov";#N/A,#N/A,FALSE,"sum";#N/A,#N/A,FALSE,"baladj";#N/A,#N/A,FALSE,"bs";#N/A,#N/A,FALSE,"is";#N/A,#N/A,FALSE,"pis";#N/A,#N/A,FALSE,"cf";#N/A,#N/A,FALSE,"balhist";#N/A,#N/A,FALSE,"wc";#N/A,#N/A,FALSE,"ltd";#N/A,#N/A,FALSE,"cover";#N/A,#N/A,FALSE,"fa";#N/A,#N/A,FALSE,"tax";#N/A,#N/A,FALSE,"irr";#N/A,#N/A,FALSE,"in"}</definedName>
    <definedName name="wrn.LBO." localSheetId="39" hidden="1">{#N/A,#N/A,FALSE,"Cov";#N/A,#N/A,FALSE,"sum";#N/A,#N/A,FALSE,"baladj";#N/A,#N/A,FALSE,"bs";#N/A,#N/A,FALSE,"is";#N/A,#N/A,FALSE,"pis";#N/A,#N/A,FALSE,"cf";#N/A,#N/A,FALSE,"balhist";#N/A,#N/A,FALSE,"wc";#N/A,#N/A,FALSE,"ltd";#N/A,#N/A,FALSE,"cover";#N/A,#N/A,FALSE,"fa";#N/A,#N/A,FALSE,"tax";#N/A,#N/A,FALSE,"irr";#N/A,#N/A,FALSE,"in"}</definedName>
    <definedName name="wrn.LBO." localSheetId="58" hidden="1">{#N/A,#N/A,FALSE,"Cov";#N/A,#N/A,FALSE,"sum";#N/A,#N/A,FALSE,"baladj";#N/A,#N/A,FALSE,"bs";#N/A,#N/A,FALSE,"is";#N/A,#N/A,FALSE,"pis";#N/A,#N/A,FALSE,"cf";#N/A,#N/A,FALSE,"balhist";#N/A,#N/A,FALSE,"wc";#N/A,#N/A,FALSE,"ltd";#N/A,#N/A,FALSE,"cover";#N/A,#N/A,FALSE,"fa";#N/A,#N/A,FALSE,"tax";#N/A,#N/A,FALSE,"irr";#N/A,#N/A,FALSE,"in"}</definedName>
    <definedName name="wrn.LBO." localSheetId="64" hidden="1">{#N/A,#N/A,FALSE,"Cov";#N/A,#N/A,FALSE,"sum";#N/A,#N/A,FALSE,"baladj";#N/A,#N/A,FALSE,"bs";#N/A,#N/A,FALSE,"is";#N/A,#N/A,FALSE,"pis";#N/A,#N/A,FALSE,"cf";#N/A,#N/A,FALSE,"balhist";#N/A,#N/A,FALSE,"wc";#N/A,#N/A,FALSE,"ltd";#N/A,#N/A,FALSE,"cover";#N/A,#N/A,FALSE,"fa";#N/A,#N/A,FALSE,"tax";#N/A,#N/A,FALSE,"irr";#N/A,#N/A,FALSE,"in"}</definedName>
    <definedName name="wrn.LBO." localSheetId="54" hidden="1">{#N/A,#N/A,FALSE,"Cov";#N/A,#N/A,FALSE,"sum";#N/A,#N/A,FALSE,"baladj";#N/A,#N/A,FALSE,"bs";#N/A,#N/A,FALSE,"is";#N/A,#N/A,FALSE,"pis";#N/A,#N/A,FALSE,"cf";#N/A,#N/A,FALSE,"balhist";#N/A,#N/A,FALSE,"wc";#N/A,#N/A,FALSE,"ltd";#N/A,#N/A,FALSE,"cover";#N/A,#N/A,FALSE,"fa";#N/A,#N/A,FALSE,"tax";#N/A,#N/A,FALSE,"irr";#N/A,#N/A,FALSE,"in"}</definedName>
    <definedName name="wrn.LBO." localSheetId="13" hidden="1">{#N/A,#N/A,FALSE,"Cov";#N/A,#N/A,FALSE,"sum";#N/A,#N/A,FALSE,"baladj";#N/A,#N/A,FALSE,"bs";#N/A,#N/A,FALSE,"is";#N/A,#N/A,FALSE,"pis";#N/A,#N/A,FALSE,"cf";#N/A,#N/A,FALSE,"balhist";#N/A,#N/A,FALSE,"wc";#N/A,#N/A,FALSE,"ltd";#N/A,#N/A,FALSE,"cover";#N/A,#N/A,FALSE,"fa";#N/A,#N/A,FALSE,"tax";#N/A,#N/A,FALSE,"irr";#N/A,#N/A,FALSE,"in"}</definedName>
    <definedName name="wrn.LBO." localSheetId="63" hidden="1">{#N/A,#N/A,FALSE,"Cov";#N/A,#N/A,FALSE,"sum";#N/A,#N/A,FALSE,"baladj";#N/A,#N/A,FALSE,"bs";#N/A,#N/A,FALSE,"is";#N/A,#N/A,FALSE,"pis";#N/A,#N/A,FALSE,"cf";#N/A,#N/A,FALSE,"balhist";#N/A,#N/A,FALSE,"wc";#N/A,#N/A,FALSE,"ltd";#N/A,#N/A,FALSE,"cover";#N/A,#N/A,FALSE,"fa";#N/A,#N/A,FALSE,"tax";#N/A,#N/A,FALSE,"irr";#N/A,#N/A,FALSE,"in"}</definedName>
    <definedName name="wrn.LBO." localSheetId="31" hidden="1">{#N/A,#N/A,FALSE,"Cov";#N/A,#N/A,FALSE,"sum";#N/A,#N/A,FALSE,"baladj";#N/A,#N/A,FALSE,"bs";#N/A,#N/A,FALSE,"is";#N/A,#N/A,FALSE,"pis";#N/A,#N/A,FALSE,"cf";#N/A,#N/A,FALSE,"balhist";#N/A,#N/A,FALSE,"wc";#N/A,#N/A,FALSE,"ltd";#N/A,#N/A,FALSE,"cover";#N/A,#N/A,FALSE,"fa";#N/A,#N/A,FALSE,"tax";#N/A,#N/A,FALSE,"irr";#N/A,#N/A,FALSE,"in"}</definedName>
    <definedName name="wrn.LBO." localSheetId="61" hidden="1">{#N/A,#N/A,FALSE,"Cov";#N/A,#N/A,FALSE,"sum";#N/A,#N/A,FALSE,"baladj";#N/A,#N/A,FALSE,"bs";#N/A,#N/A,FALSE,"is";#N/A,#N/A,FALSE,"pis";#N/A,#N/A,FALSE,"cf";#N/A,#N/A,FALSE,"balhist";#N/A,#N/A,FALSE,"wc";#N/A,#N/A,FALSE,"ltd";#N/A,#N/A,FALSE,"cover";#N/A,#N/A,FALSE,"fa";#N/A,#N/A,FALSE,"tax";#N/A,#N/A,FALSE,"irr";#N/A,#N/A,FALSE,"in"}</definedName>
    <definedName name="wrn.LBO." localSheetId="45" hidden="1">{#N/A,#N/A,FALSE,"Cov";#N/A,#N/A,FALSE,"sum";#N/A,#N/A,FALSE,"baladj";#N/A,#N/A,FALSE,"bs";#N/A,#N/A,FALSE,"is";#N/A,#N/A,FALSE,"pis";#N/A,#N/A,FALSE,"cf";#N/A,#N/A,FALSE,"balhist";#N/A,#N/A,FALSE,"wc";#N/A,#N/A,FALSE,"ltd";#N/A,#N/A,FALSE,"cover";#N/A,#N/A,FALSE,"fa";#N/A,#N/A,FALSE,"tax";#N/A,#N/A,FALSE,"irr";#N/A,#N/A,FALSE,"in"}</definedName>
    <definedName name="wrn.LBO." localSheetId="90" hidden="1">{#N/A,#N/A,FALSE,"Cov";#N/A,#N/A,FALSE,"sum";#N/A,#N/A,FALSE,"baladj";#N/A,#N/A,FALSE,"bs";#N/A,#N/A,FALSE,"is";#N/A,#N/A,FALSE,"pis";#N/A,#N/A,FALSE,"cf";#N/A,#N/A,FALSE,"balhist";#N/A,#N/A,FALSE,"wc";#N/A,#N/A,FALSE,"ltd";#N/A,#N/A,FALSE,"cover";#N/A,#N/A,FALSE,"fa";#N/A,#N/A,FALSE,"tax";#N/A,#N/A,FALSE,"irr";#N/A,#N/A,FALSE,"in"}</definedName>
    <definedName name="wrn.LBO." localSheetId="19" hidden="1">{#N/A,#N/A,FALSE,"Cov";#N/A,#N/A,FALSE,"sum";#N/A,#N/A,FALSE,"baladj";#N/A,#N/A,FALSE,"bs";#N/A,#N/A,FALSE,"is";#N/A,#N/A,FALSE,"pis";#N/A,#N/A,FALSE,"cf";#N/A,#N/A,FALSE,"balhist";#N/A,#N/A,FALSE,"wc";#N/A,#N/A,FALSE,"ltd";#N/A,#N/A,FALSE,"cover";#N/A,#N/A,FALSE,"fa";#N/A,#N/A,FALSE,"tax";#N/A,#N/A,FALSE,"irr";#N/A,#N/A,FALSE,"in"}</definedName>
    <definedName name="wrn.LBO." localSheetId="57" hidden="1">{#N/A,#N/A,FALSE,"Cov";#N/A,#N/A,FALSE,"sum";#N/A,#N/A,FALSE,"baladj";#N/A,#N/A,FALSE,"bs";#N/A,#N/A,FALSE,"is";#N/A,#N/A,FALSE,"pis";#N/A,#N/A,FALSE,"cf";#N/A,#N/A,FALSE,"balhist";#N/A,#N/A,FALSE,"wc";#N/A,#N/A,FALSE,"ltd";#N/A,#N/A,FALSE,"cover";#N/A,#N/A,FALSE,"fa";#N/A,#N/A,FALSE,"tax";#N/A,#N/A,FALSE,"irr";#N/A,#N/A,FALSE,"in"}</definedName>
    <definedName name="wrn.LBO." hidden="1">{#N/A,#N/A,FALSE,"Cov";#N/A,#N/A,FALSE,"sum";#N/A,#N/A,FALSE,"baladj";#N/A,#N/A,FALSE,"bs";#N/A,#N/A,FALSE,"is";#N/A,#N/A,FALSE,"pis";#N/A,#N/A,FALSE,"cf";#N/A,#N/A,FALSE,"balhist";#N/A,#N/A,FALSE,"wc";#N/A,#N/A,FALSE,"ltd";#N/A,#N/A,FALSE,"cover";#N/A,#N/A,FALSE,"fa";#N/A,#N/A,FALSE,"tax";#N/A,#N/A,FALSE,"irr";#N/A,#N/A,FALSE,"in"}</definedName>
    <definedName name="wrn.Model." localSheetId="47" hidden="1">{#N/A,#N/A,FALSE,"Model"}</definedName>
    <definedName name="wrn.Model." localSheetId="54" hidden="1">{#N/A,#N/A,FALSE,"Model"}</definedName>
    <definedName name="wrn.Model." hidden="1">{#N/A,#N/A,FALSE,"Model"}</definedName>
    <definedName name="wrn.northpoint." localSheetId="55" hidden="1">{#N/A,#N/A,FALSE,"softdraw";#N/A,#N/A,FALSE,"linereclass";"northpint loan",#N/A,FALSE,"LOAN"}</definedName>
    <definedName name="wrn.northpoint." localSheetId="93" hidden="1">{#N/A,#N/A,FALSE,"softdraw";#N/A,#N/A,FALSE,"linereclass";"northpint loan",#N/A,FALSE,"LOAN"}</definedName>
    <definedName name="wrn.northpoint." localSheetId="12" hidden="1">{#N/A,#N/A,FALSE,"softdraw";#N/A,#N/A,FALSE,"linereclass";"northpint loan",#N/A,FALSE,"LOAN"}</definedName>
    <definedName name="wrn.northpoint." localSheetId="47" hidden="1">{#N/A,#N/A,FALSE,"softdraw";#N/A,#N/A,FALSE,"linereclass";"northpint loan",#N/A,FALSE,"LOAN"}</definedName>
    <definedName name="wrn.northpoint." localSheetId="15" hidden="1">{#N/A,#N/A,FALSE,"softdraw";#N/A,#N/A,FALSE,"linereclass";"northpint loan",#N/A,FALSE,"LOAN"}</definedName>
    <definedName name="wrn.northpoint." localSheetId="101" hidden="1">{#N/A,#N/A,FALSE,"softdraw";#N/A,#N/A,FALSE,"linereclass";"northpint loan",#N/A,FALSE,"LOAN"}</definedName>
    <definedName name="wrn.northpoint." localSheetId="39" hidden="1">{#N/A,#N/A,FALSE,"softdraw";#N/A,#N/A,FALSE,"linereclass";"northpint loan",#N/A,FALSE,"LOAN"}</definedName>
    <definedName name="wrn.northpoint." localSheetId="64" hidden="1">{#N/A,#N/A,FALSE,"softdraw";#N/A,#N/A,FALSE,"linereclass";"northpint loan",#N/A,FALSE,"LOAN"}</definedName>
    <definedName name="wrn.northpoint." localSheetId="54" hidden="1">{#N/A,#N/A,FALSE,"softdraw";#N/A,#N/A,FALSE,"linereclass";"northpint loan",#N/A,FALSE,"LOAN"}</definedName>
    <definedName name="wrn.northpoint." localSheetId="13" hidden="1">{#N/A,#N/A,FALSE,"softdraw";#N/A,#N/A,FALSE,"linereclass";"northpint loan",#N/A,FALSE,"LOAN"}</definedName>
    <definedName name="wrn.northpoint." localSheetId="63" hidden="1">{#N/A,#N/A,FALSE,"softdraw";#N/A,#N/A,FALSE,"linereclass";"northpint loan",#N/A,FALSE,"LOAN"}</definedName>
    <definedName name="wrn.northpoint." localSheetId="31" hidden="1">{#N/A,#N/A,FALSE,"softdraw";#N/A,#N/A,FALSE,"linereclass";"northpint loan",#N/A,FALSE,"LOAN"}</definedName>
    <definedName name="wrn.northpoint." localSheetId="45" hidden="1">{#N/A,#N/A,FALSE,"softdraw";#N/A,#N/A,FALSE,"linereclass";"northpint loan",#N/A,FALSE,"LOAN"}</definedName>
    <definedName name="wrn.northpoint." localSheetId="90" hidden="1">{#N/A,#N/A,FALSE,"softdraw";#N/A,#N/A,FALSE,"linereclass";"northpint loan",#N/A,FALSE,"LOAN"}</definedName>
    <definedName name="wrn.northpoint." localSheetId="19" hidden="1">{#N/A,#N/A,FALSE,"softdraw";#N/A,#N/A,FALSE,"linereclass";"northpint loan",#N/A,FALSE,"LOAN"}</definedName>
    <definedName name="wrn.northpoint." localSheetId="57" hidden="1">{#N/A,#N/A,FALSE,"softdraw";#N/A,#N/A,FALSE,"linereclass";"northpint loan",#N/A,FALSE,"LOAN"}</definedName>
    <definedName name="wrn.northpoint." hidden="1">{#N/A,#N/A,FALSE,"softdraw";#N/A,#N/A,FALSE,"linereclass";"northpint loan",#N/A,FALSE,"LOAN"}</definedName>
    <definedName name="wrn.Olk._.by._.Qtr." localSheetId="55" hidden="1">{"Olk by Qtr Full",#N/A,FALSE,"Tot PalmPalm";"Olk by Qtr Full",#N/A,FALSE,"Tot Device";"Olk by Qtr Full",#N/A,FALSE,"Platform";"Olk by Qtr Full",#N/A,FALSE,"Palm.Net";"Olk by Qtr Full",#N/A,FALSE,"Elim"}</definedName>
    <definedName name="wrn.Olk._.by._.Qtr." localSheetId="59" hidden="1">{"Olk by Qtr Full",#N/A,FALSE,"Tot PalmPalm";"Olk by Qtr Full",#N/A,FALSE,"Tot Device";"Olk by Qtr Full",#N/A,FALSE,"Platform";"Olk by Qtr Full",#N/A,FALSE,"Palm.Net";"Olk by Qtr Full",#N/A,FALSE,"Elim"}</definedName>
    <definedName name="wrn.Olk._.by._.Qtr." localSheetId="93" hidden="1">{"Olk by Qtr Full",#N/A,FALSE,"Tot PalmPalm";"Olk by Qtr Full",#N/A,FALSE,"Tot Device";"Olk by Qtr Full",#N/A,FALSE,"Platform";"Olk by Qtr Full",#N/A,FALSE,"Palm.Net";"Olk by Qtr Full",#N/A,FALSE,"Elim"}</definedName>
    <definedName name="wrn.Olk._.by._.Qtr." localSheetId="12" hidden="1">{"Olk by Qtr Full",#N/A,FALSE,"Tot PalmPalm";"Olk by Qtr Full",#N/A,FALSE,"Tot Device";"Olk by Qtr Full",#N/A,FALSE,"Platform";"Olk by Qtr Full",#N/A,FALSE,"Palm.Net";"Olk by Qtr Full",#N/A,FALSE,"Elim"}</definedName>
    <definedName name="wrn.Olk._.by._.Qtr." localSheetId="62" hidden="1">{"Olk by Qtr Full",#N/A,FALSE,"Tot PalmPalm";"Olk by Qtr Full",#N/A,FALSE,"Tot Device";"Olk by Qtr Full",#N/A,FALSE,"Platform";"Olk by Qtr Full",#N/A,FALSE,"Palm.Net";"Olk by Qtr Full",#N/A,FALSE,"Elim"}</definedName>
    <definedName name="wrn.Olk._.by._.Qtr." localSheetId="47" hidden="1">{"Olk by Qtr Full",#N/A,FALSE,"Tot PalmPalm";"Olk by Qtr Full",#N/A,FALSE,"Tot Device";"Olk by Qtr Full",#N/A,FALSE,"Platform";"Olk by Qtr Full",#N/A,FALSE,"Palm.Net";"Olk by Qtr Full",#N/A,FALSE,"Elim"}</definedName>
    <definedName name="wrn.Olk._.by._.Qtr." localSheetId="15" hidden="1">{"Olk by Qtr Full",#N/A,FALSE,"Tot PalmPalm";"Olk by Qtr Full",#N/A,FALSE,"Tot Device";"Olk by Qtr Full",#N/A,FALSE,"Platform";"Olk by Qtr Full",#N/A,FALSE,"Palm.Net";"Olk by Qtr Full",#N/A,FALSE,"Elim"}</definedName>
    <definedName name="wrn.Olk._.by._.Qtr." localSheetId="101" hidden="1">{"Olk by Qtr Full",#N/A,FALSE,"Tot PalmPalm";"Olk by Qtr Full",#N/A,FALSE,"Tot Device";"Olk by Qtr Full",#N/A,FALSE,"Platform";"Olk by Qtr Full",#N/A,FALSE,"Palm.Net";"Olk by Qtr Full",#N/A,FALSE,"Elim"}</definedName>
    <definedName name="wrn.Olk._.by._.Qtr." localSheetId="60" hidden="1">{"Olk by Qtr Full",#N/A,FALSE,"Tot PalmPalm";"Olk by Qtr Full",#N/A,FALSE,"Tot Device";"Olk by Qtr Full",#N/A,FALSE,"Platform";"Olk by Qtr Full",#N/A,FALSE,"Palm.Net";"Olk by Qtr Full",#N/A,FALSE,"Elim"}</definedName>
    <definedName name="wrn.Olk._.by._.Qtr." localSheetId="39" hidden="1">{"Olk by Qtr Full",#N/A,FALSE,"Tot PalmPalm";"Olk by Qtr Full",#N/A,FALSE,"Tot Device";"Olk by Qtr Full",#N/A,FALSE,"Platform";"Olk by Qtr Full",#N/A,FALSE,"Palm.Net";"Olk by Qtr Full",#N/A,FALSE,"Elim"}</definedName>
    <definedName name="wrn.Olk._.by._.Qtr." localSheetId="58" hidden="1">{"Olk by Qtr Full",#N/A,FALSE,"Tot PalmPalm";"Olk by Qtr Full",#N/A,FALSE,"Tot Device";"Olk by Qtr Full",#N/A,FALSE,"Platform";"Olk by Qtr Full",#N/A,FALSE,"Palm.Net";"Olk by Qtr Full",#N/A,FALSE,"Elim"}</definedName>
    <definedName name="wrn.Olk._.by._.Qtr." localSheetId="64" hidden="1">{"Olk by Qtr Full",#N/A,FALSE,"Tot PalmPalm";"Olk by Qtr Full",#N/A,FALSE,"Tot Device";"Olk by Qtr Full",#N/A,FALSE,"Platform";"Olk by Qtr Full",#N/A,FALSE,"Palm.Net";"Olk by Qtr Full",#N/A,FALSE,"Elim"}</definedName>
    <definedName name="wrn.Olk._.by._.Qtr." localSheetId="54" hidden="1">{"Olk by Qtr Full",#N/A,FALSE,"Tot PalmPalm";"Olk by Qtr Full",#N/A,FALSE,"Tot Device";"Olk by Qtr Full",#N/A,FALSE,"Platform";"Olk by Qtr Full",#N/A,FALSE,"Palm.Net";"Olk by Qtr Full",#N/A,FALSE,"Elim"}</definedName>
    <definedName name="wrn.Olk._.by._.Qtr." localSheetId="13" hidden="1">{"Olk by Qtr Full",#N/A,FALSE,"Tot PalmPalm";"Olk by Qtr Full",#N/A,FALSE,"Tot Device";"Olk by Qtr Full",#N/A,FALSE,"Platform";"Olk by Qtr Full",#N/A,FALSE,"Palm.Net";"Olk by Qtr Full",#N/A,FALSE,"Elim"}</definedName>
    <definedName name="wrn.Olk._.by._.Qtr." localSheetId="63" hidden="1">{"Olk by Qtr Full",#N/A,FALSE,"Tot PalmPalm";"Olk by Qtr Full",#N/A,FALSE,"Tot Device";"Olk by Qtr Full",#N/A,FALSE,"Platform";"Olk by Qtr Full",#N/A,FALSE,"Palm.Net";"Olk by Qtr Full",#N/A,FALSE,"Elim"}</definedName>
    <definedName name="wrn.Olk._.by._.Qtr." localSheetId="31" hidden="1">{"Olk by Qtr Full",#N/A,FALSE,"Tot PalmPalm";"Olk by Qtr Full",#N/A,FALSE,"Tot Device";"Olk by Qtr Full",#N/A,FALSE,"Platform";"Olk by Qtr Full",#N/A,FALSE,"Palm.Net";"Olk by Qtr Full",#N/A,FALSE,"Elim"}</definedName>
    <definedName name="wrn.Olk._.by._.Qtr." localSheetId="61" hidden="1">{"Olk by Qtr Full",#N/A,FALSE,"Tot PalmPalm";"Olk by Qtr Full",#N/A,FALSE,"Tot Device";"Olk by Qtr Full",#N/A,FALSE,"Platform";"Olk by Qtr Full",#N/A,FALSE,"Palm.Net";"Olk by Qtr Full",#N/A,FALSE,"Elim"}</definedName>
    <definedName name="wrn.Olk._.by._.Qtr." localSheetId="45" hidden="1">{"Olk by Qtr Full",#N/A,FALSE,"Tot PalmPalm";"Olk by Qtr Full",#N/A,FALSE,"Tot Device";"Olk by Qtr Full",#N/A,FALSE,"Platform";"Olk by Qtr Full",#N/A,FALSE,"Palm.Net";"Olk by Qtr Full",#N/A,FALSE,"Elim"}</definedName>
    <definedName name="wrn.Olk._.by._.Qtr." localSheetId="90" hidden="1">{"Olk by Qtr Full",#N/A,FALSE,"Tot PalmPalm";"Olk by Qtr Full",#N/A,FALSE,"Tot Device";"Olk by Qtr Full",#N/A,FALSE,"Platform";"Olk by Qtr Full",#N/A,FALSE,"Palm.Net";"Olk by Qtr Full",#N/A,FALSE,"Elim"}</definedName>
    <definedName name="wrn.Olk._.by._.Qtr." localSheetId="19" hidden="1">{"Olk by Qtr Full",#N/A,FALSE,"Tot PalmPalm";"Olk by Qtr Full",#N/A,FALSE,"Tot Device";"Olk by Qtr Full",#N/A,FALSE,"Platform";"Olk by Qtr Full",#N/A,FALSE,"Palm.Net";"Olk by Qtr Full",#N/A,FALSE,"Elim"}</definedName>
    <definedName name="wrn.Olk._.by._.Qtr." localSheetId="57"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UTPUT." localSheetId="55" hidden="1">{"DCF","UPSIDE CASE",FALSE,"Sheet1";"DCF","BASE CASE",FALSE,"Sheet1";"DCF","DOWNSIDE CASE",FALSE,"Sheet1"}</definedName>
    <definedName name="wrn.OUTPUT." localSheetId="59" hidden="1">{"DCF","UPSIDE CASE",FALSE,"Sheet1";"DCF","BASE CASE",FALSE,"Sheet1";"DCF","DOWNSIDE CASE",FALSE,"Sheet1"}</definedName>
    <definedName name="wrn.OUTPUT." localSheetId="93" hidden="1">{"DCF","UPSIDE CASE",FALSE,"Sheet1";"DCF","BASE CASE",FALSE,"Sheet1";"DCF","DOWNSIDE CASE",FALSE,"Sheet1"}</definedName>
    <definedName name="wrn.OUTPUT." localSheetId="12" hidden="1">{"DCF","UPSIDE CASE",FALSE,"Sheet1";"DCF","BASE CASE",FALSE,"Sheet1";"DCF","DOWNSIDE CASE",FALSE,"Sheet1"}</definedName>
    <definedName name="wrn.OUTPUT." localSheetId="62" hidden="1">{"DCF","UPSIDE CASE",FALSE,"Sheet1";"DCF","BASE CASE",FALSE,"Sheet1";"DCF","DOWNSIDE CASE",FALSE,"Sheet1"}</definedName>
    <definedName name="wrn.OUTPUT." localSheetId="47" hidden="1">{"DCF","UPSIDE CASE",FALSE,"Sheet1";"DCF","BASE CASE",FALSE,"Sheet1";"DCF","DOWNSIDE CASE",FALSE,"Sheet1"}</definedName>
    <definedName name="wrn.OUTPUT." localSheetId="15" hidden="1">{"DCF","UPSIDE CASE",FALSE,"Sheet1";"DCF","BASE CASE",FALSE,"Sheet1";"DCF","DOWNSIDE CASE",FALSE,"Sheet1"}</definedName>
    <definedName name="wrn.OUTPUT." localSheetId="101" hidden="1">{"DCF","UPSIDE CASE",FALSE,"Sheet1";"DCF","BASE CASE",FALSE,"Sheet1";"DCF","DOWNSIDE CASE",FALSE,"Sheet1"}</definedName>
    <definedName name="wrn.OUTPUT." localSheetId="60" hidden="1">{"DCF","UPSIDE CASE",FALSE,"Sheet1";"DCF","BASE CASE",FALSE,"Sheet1";"DCF","DOWNSIDE CASE",FALSE,"Sheet1"}</definedName>
    <definedName name="wrn.OUTPUT." localSheetId="39" hidden="1">{"DCF","UPSIDE CASE",FALSE,"Sheet1";"DCF","BASE CASE",FALSE,"Sheet1";"DCF","DOWNSIDE CASE",FALSE,"Sheet1"}</definedName>
    <definedName name="wrn.OUTPUT." localSheetId="58" hidden="1">{"DCF","UPSIDE CASE",FALSE,"Sheet1";"DCF","BASE CASE",FALSE,"Sheet1";"DCF","DOWNSIDE CASE",FALSE,"Sheet1"}</definedName>
    <definedName name="wrn.OUTPUT." localSheetId="64" hidden="1">{"DCF","UPSIDE CASE",FALSE,"Sheet1";"DCF","BASE CASE",FALSE,"Sheet1";"DCF","DOWNSIDE CASE",FALSE,"Sheet1"}</definedName>
    <definedName name="wrn.OUTPUT." localSheetId="54" hidden="1">{"DCF","UPSIDE CASE",FALSE,"Sheet1";"DCF","BASE CASE",FALSE,"Sheet1";"DCF","DOWNSIDE CASE",FALSE,"Sheet1"}</definedName>
    <definedName name="wrn.OUTPUT." localSheetId="13" hidden="1">{"DCF","UPSIDE CASE",FALSE,"Sheet1";"DCF","BASE CASE",FALSE,"Sheet1";"DCF","DOWNSIDE CASE",FALSE,"Sheet1"}</definedName>
    <definedName name="wrn.OUTPUT." localSheetId="63" hidden="1">{"DCF","UPSIDE CASE",FALSE,"Sheet1";"DCF","BASE CASE",FALSE,"Sheet1";"DCF","DOWNSIDE CASE",FALSE,"Sheet1"}</definedName>
    <definedName name="wrn.OUTPUT." localSheetId="31" hidden="1">{"DCF","UPSIDE CASE",FALSE,"Sheet1";"DCF","BASE CASE",FALSE,"Sheet1";"DCF","DOWNSIDE CASE",FALSE,"Sheet1"}</definedName>
    <definedName name="wrn.OUTPUT." localSheetId="61" hidden="1">{"DCF","UPSIDE CASE",FALSE,"Sheet1";"DCF","BASE CASE",FALSE,"Sheet1";"DCF","DOWNSIDE CASE",FALSE,"Sheet1"}</definedName>
    <definedName name="wrn.OUTPUT." localSheetId="45" hidden="1">{"DCF","UPSIDE CASE",FALSE,"Sheet1";"DCF","BASE CASE",FALSE,"Sheet1";"DCF","DOWNSIDE CASE",FALSE,"Sheet1"}</definedName>
    <definedName name="wrn.OUTPUT." localSheetId="90" hidden="1">{"DCF","UPSIDE CASE",FALSE,"Sheet1";"DCF","BASE CASE",FALSE,"Sheet1";"DCF","DOWNSIDE CASE",FALSE,"Sheet1"}</definedName>
    <definedName name="wrn.OUTPUT." localSheetId="19" hidden="1">{"DCF","UPSIDE CASE",FALSE,"Sheet1";"DCF","BASE CASE",FALSE,"Sheet1";"DCF","DOWNSIDE CASE",FALSE,"Sheet1"}</definedName>
    <definedName name="wrn.OUTPUT." localSheetId="57" hidden="1">{"DCF","UPSIDE CASE",FALSE,"Sheet1";"DCF","BASE CASE",FALSE,"Sheet1";"DCF","DOWNSIDE CASE",FALSE,"Sheet1"}</definedName>
    <definedName name="wrn.OUTPUT." hidden="1">{"DCF","UPSIDE CASE",FALSE,"Sheet1";"DCF","BASE CASE",FALSE,"Sheet1";"DCF","DOWNSIDE CASE",FALSE,"Sheet1"}</definedName>
    <definedName name="wrn.PaperPanel." localSheetId="55" hidden="1">{#N/A,#N/A,FALSE,"Control"}</definedName>
    <definedName name="wrn.PaperPanel." localSheetId="59" hidden="1">{#N/A,#N/A,FALSE,"Control"}</definedName>
    <definedName name="wrn.PaperPanel." localSheetId="93" hidden="1">{#N/A,#N/A,FALSE,"Control"}</definedName>
    <definedName name="wrn.PaperPanel." localSheetId="12" hidden="1">{#N/A,#N/A,FALSE,"Control"}</definedName>
    <definedName name="wrn.PaperPanel." localSheetId="62" hidden="1">{#N/A,#N/A,FALSE,"Control"}</definedName>
    <definedName name="wrn.PaperPanel." localSheetId="47" hidden="1">{#N/A,#N/A,FALSE,"Control"}</definedName>
    <definedName name="wrn.PaperPanel." localSheetId="15" hidden="1">{#N/A,#N/A,FALSE,"Control"}</definedName>
    <definedName name="wrn.PaperPanel." localSheetId="101" hidden="1">{#N/A,#N/A,FALSE,"Control"}</definedName>
    <definedName name="wrn.PaperPanel." localSheetId="60" hidden="1">{#N/A,#N/A,FALSE,"Control"}</definedName>
    <definedName name="wrn.PaperPanel." localSheetId="39" hidden="1">{#N/A,#N/A,FALSE,"Control"}</definedName>
    <definedName name="wrn.PaperPanel." localSheetId="58" hidden="1">{#N/A,#N/A,FALSE,"Control"}</definedName>
    <definedName name="wrn.PaperPanel." localSheetId="64" hidden="1">{#N/A,#N/A,FALSE,"Control"}</definedName>
    <definedName name="wrn.PaperPanel." localSheetId="54" hidden="1">{#N/A,#N/A,FALSE,"Control"}</definedName>
    <definedName name="wrn.PaperPanel." localSheetId="13" hidden="1">{#N/A,#N/A,FALSE,"Control"}</definedName>
    <definedName name="wrn.PaperPanel." localSheetId="63" hidden="1">{#N/A,#N/A,FALSE,"Control"}</definedName>
    <definedName name="wrn.PaperPanel." localSheetId="31" hidden="1">{#N/A,#N/A,FALSE,"Control"}</definedName>
    <definedName name="wrn.PaperPanel." localSheetId="61" hidden="1">{#N/A,#N/A,FALSE,"Control"}</definedName>
    <definedName name="wrn.PaperPanel." localSheetId="45" hidden="1">{#N/A,#N/A,FALSE,"Control"}</definedName>
    <definedName name="wrn.PaperPanel." localSheetId="90" hidden="1">{#N/A,#N/A,FALSE,"Control"}</definedName>
    <definedName name="wrn.PaperPanel." localSheetId="19" hidden="1">{#N/A,#N/A,FALSE,"Control"}</definedName>
    <definedName name="wrn.PaperPanel." localSheetId="57" hidden="1">{#N/A,#N/A,FALSE,"Control"}</definedName>
    <definedName name="wrn.PaperPanel." hidden="1">{#N/A,#N/A,FALSE,"Control"}</definedName>
    <definedName name="wrn.partial._.Print." localSheetId="55"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93"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2"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7"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5"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01"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39"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64"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54"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3"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63"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31"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5"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90"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9"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57"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NERSHIP." localSheetId="55" hidden="1">{#N/A,#N/A,FALSE,"Ptnr Cash Flow";#N/A,#N/A,FALSE,"Pship Summary";#N/A,#N/A,FALSE,"Pship Proforma";#N/A,#N/A,FALSE,"Tx"}</definedName>
    <definedName name="wrn.PARTNERSHIP." localSheetId="59" hidden="1">{#N/A,#N/A,FALSE,"Ptnr Cash Flow";#N/A,#N/A,FALSE,"Pship Summary";#N/A,#N/A,FALSE,"Pship Proforma";#N/A,#N/A,FALSE,"Tx"}</definedName>
    <definedName name="wrn.PARTNERSHIP." localSheetId="93" hidden="1">{#N/A,#N/A,FALSE,"Ptnr Cash Flow";#N/A,#N/A,FALSE,"Pship Summary";#N/A,#N/A,FALSE,"Pship Proforma";#N/A,#N/A,FALSE,"Tx"}</definedName>
    <definedName name="wrn.PARTNERSHIP." localSheetId="12" hidden="1">{#N/A,#N/A,FALSE,"Ptnr Cash Flow";#N/A,#N/A,FALSE,"Pship Summary";#N/A,#N/A,FALSE,"Pship Proforma";#N/A,#N/A,FALSE,"Tx"}</definedName>
    <definedName name="wrn.PARTNERSHIP." localSheetId="62" hidden="1">{#N/A,#N/A,FALSE,"Ptnr Cash Flow";#N/A,#N/A,FALSE,"Pship Summary";#N/A,#N/A,FALSE,"Pship Proforma";#N/A,#N/A,FALSE,"Tx"}</definedName>
    <definedName name="wrn.PARTNERSHIP." localSheetId="47" hidden="1">{#N/A,#N/A,FALSE,"Ptnr Cash Flow";#N/A,#N/A,FALSE,"Pship Summary";#N/A,#N/A,FALSE,"Pship Proforma";#N/A,#N/A,FALSE,"Tx"}</definedName>
    <definedName name="wrn.PARTNERSHIP." localSheetId="15" hidden="1">{#N/A,#N/A,FALSE,"Ptnr Cash Flow";#N/A,#N/A,FALSE,"Pship Summary";#N/A,#N/A,FALSE,"Pship Proforma";#N/A,#N/A,FALSE,"Tx"}</definedName>
    <definedName name="wrn.PARTNERSHIP." localSheetId="101" hidden="1">{#N/A,#N/A,FALSE,"Ptnr Cash Flow";#N/A,#N/A,FALSE,"Pship Summary";#N/A,#N/A,FALSE,"Pship Proforma";#N/A,#N/A,FALSE,"Tx"}</definedName>
    <definedName name="wrn.PARTNERSHIP." localSheetId="60" hidden="1">{#N/A,#N/A,FALSE,"Ptnr Cash Flow";#N/A,#N/A,FALSE,"Pship Summary";#N/A,#N/A,FALSE,"Pship Proforma";#N/A,#N/A,FALSE,"Tx"}</definedName>
    <definedName name="wrn.PARTNERSHIP." localSheetId="39" hidden="1">{#N/A,#N/A,FALSE,"Ptnr Cash Flow";#N/A,#N/A,FALSE,"Pship Summary";#N/A,#N/A,FALSE,"Pship Proforma";#N/A,#N/A,FALSE,"Tx"}</definedName>
    <definedName name="wrn.PARTNERSHIP." localSheetId="58" hidden="1">{#N/A,#N/A,FALSE,"Ptnr Cash Flow";#N/A,#N/A,FALSE,"Pship Summary";#N/A,#N/A,FALSE,"Pship Proforma";#N/A,#N/A,FALSE,"Tx"}</definedName>
    <definedName name="wrn.PARTNERSHIP." localSheetId="64" hidden="1">{#N/A,#N/A,FALSE,"Ptnr Cash Flow";#N/A,#N/A,FALSE,"Pship Summary";#N/A,#N/A,FALSE,"Pship Proforma";#N/A,#N/A,FALSE,"Tx"}</definedName>
    <definedName name="wrn.PARTNERSHIP." localSheetId="54" hidden="1">{#N/A,#N/A,FALSE,"Ptnr Cash Flow";#N/A,#N/A,FALSE,"Pship Summary";#N/A,#N/A,FALSE,"Pship Proforma";#N/A,#N/A,FALSE,"Tx"}</definedName>
    <definedName name="wrn.PARTNERSHIP." localSheetId="13" hidden="1">{#N/A,#N/A,FALSE,"Ptnr Cash Flow";#N/A,#N/A,FALSE,"Pship Summary";#N/A,#N/A,FALSE,"Pship Proforma";#N/A,#N/A,FALSE,"Tx"}</definedName>
    <definedName name="wrn.PARTNERSHIP." localSheetId="63" hidden="1">{#N/A,#N/A,FALSE,"Ptnr Cash Flow";#N/A,#N/A,FALSE,"Pship Summary";#N/A,#N/A,FALSE,"Pship Proforma";#N/A,#N/A,FALSE,"Tx"}</definedName>
    <definedName name="wrn.PARTNERSHIP." localSheetId="31" hidden="1">{#N/A,#N/A,FALSE,"Ptnr Cash Flow";#N/A,#N/A,FALSE,"Pship Summary";#N/A,#N/A,FALSE,"Pship Proforma";#N/A,#N/A,FALSE,"Tx"}</definedName>
    <definedName name="wrn.PARTNERSHIP." localSheetId="61" hidden="1">{#N/A,#N/A,FALSE,"Ptnr Cash Flow";#N/A,#N/A,FALSE,"Pship Summary";#N/A,#N/A,FALSE,"Pship Proforma";#N/A,#N/A,FALSE,"Tx"}</definedName>
    <definedName name="wrn.PARTNERSHIP." localSheetId="45" hidden="1">{#N/A,#N/A,FALSE,"Ptnr Cash Flow";#N/A,#N/A,FALSE,"Pship Summary";#N/A,#N/A,FALSE,"Pship Proforma";#N/A,#N/A,FALSE,"Tx"}</definedName>
    <definedName name="wrn.PARTNERSHIP." localSheetId="90" hidden="1">{#N/A,#N/A,FALSE,"Ptnr Cash Flow";#N/A,#N/A,FALSE,"Pship Summary";#N/A,#N/A,FALSE,"Pship Proforma";#N/A,#N/A,FALSE,"Tx"}</definedName>
    <definedName name="wrn.PARTNERSHIP." localSheetId="19" hidden="1">{#N/A,#N/A,FALSE,"Ptnr Cash Flow";#N/A,#N/A,FALSE,"Pship Summary";#N/A,#N/A,FALSE,"Pship Proforma";#N/A,#N/A,FALSE,"Tx"}</definedName>
    <definedName name="wrn.PARTNERSHIP." localSheetId="57" hidden="1">{#N/A,#N/A,FALSE,"Ptnr Cash Flow";#N/A,#N/A,FALSE,"Pship Summary";#N/A,#N/A,FALSE,"Pship Proforma";#N/A,#N/A,FALSE,"Tx"}</definedName>
    <definedName name="wrn.PARTNERSHIP." hidden="1">{#N/A,#N/A,FALSE,"Ptnr Cash Flow";#N/A,#N/A,FALSE,"Pship Summary";#N/A,#N/A,FALSE,"Pship Proforma";#N/A,#N/A,FALSE,"Tx"}</definedName>
    <definedName name="wrn.print." localSheetId="55" hidden="1">{#N/A,#N/A,FALSE,"Japan 2003";#N/A,#N/A,FALSE,"Sheet2"}</definedName>
    <definedName name="wrn.print." localSheetId="59" hidden="1">{#N/A,#N/A,FALSE,"Japan 2003";#N/A,#N/A,FALSE,"Sheet2"}</definedName>
    <definedName name="wrn.print." localSheetId="93" hidden="1">{#N/A,#N/A,FALSE,"Japan 2003";#N/A,#N/A,FALSE,"Sheet2"}</definedName>
    <definedName name="wrn.print." localSheetId="12" hidden="1">{#N/A,#N/A,FALSE,"Japan 2003";#N/A,#N/A,FALSE,"Sheet2"}</definedName>
    <definedName name="wrn.print." localSheetId="62" hidden="1">{#N/A,#N/A,FALSE,"Japan 2003";#N/A,#N/A,FALSE,"Sheet2"}</definedName>
    <definedName name="wrn.print." localSheetId="47" hidden="1">{#N/A,#N/A,FALSE,"Japan 2003";#N/A,#N/A,FALSE,"Sheet2"}</definedName>
    <definedName name="wrn.print." localSheetId="15" hidden="1">{#N/A,#N/A,FALSE,"Japan 2003";#N/A,#N/A,FALSE,"Sheet2"}</definedName>
    <definedName name="wrn.print." localSheetId="101" hidden="1">{#N/A,#N/A,FALSE,"Japan 2003";#N/A,#N/A,FALSE,"Sheet2"}</definedName>
    <definedName name="wrn.print." localSheetId="60" hidden="1">{#N/A,#N/A,FALSE,"Japan 2003";#N/A,#N/A,FALSE,"Sheet2"}</definedName>
    <definedName name="wrn.print." localSheetId="39" hidden="1">{#N/A,#N/A,FALSE,"Japan 2003";#N/A,#N/A,FALSE,"Sheet2"}</definedName>
    <definedName name="wrn.print." localSheetId="58" hidden="1">{#N/A,#N/A,FALSE,"Japan 2003";#N/A,#N/A,FALSE,"Sheet2"}</definedName>
    <definedName name="wrn.print." localSheetId="64" hidden="1">{#N/A,#N/A,FALSE,"Japan 2003";#N/A,#N/A,FALSE,"Sheet2"}</definedName>
    <definedName name="wrn.print." localSheetId="54" hidden="1">{#N/A,#N/A,FALSE,"Japan 2003";#N/A,#N/A,FALSE,"Sheet2"}</definedName>
    <definedName name="wrn.print." localSheetId="13" hidden="1">{#N/A,#N/A,FALSE,"Japan 2003";#N/A,#N/A,FALSE,"Sheet2"}</definedName>
    <definedName name="wrn.print." localSheetId="63" hidden="1">{#N/A,#N/A,FALSE,"Japan 2003";#N/A,#N/A,FALSE,"Sheet2"}</definedName>
    <definedName name="wrn.print." localSheetId="31" hidden="1">{#N/A,#N/A,FALSE,"Japan 2003";#N/A,#N/A,FALSE,"Sheet2"}</definedName>
    <definedName name="wrn.print." localSheetId="80" hidden="1">{#N/A,#N/A,FALSE,"Japan 2003";#N/A,#N/A,FALSE,"Sheet2"}</definedName>
    <definedName name="wrn.print." localSheetId="61" hidden="1">{#N/A,#N/A,FALSE,"Japan 2003";#N/A,#N/A,FALSE,"Sheet2"}</definedName>
    <definedName name="wrn.print." localSheetId="45" hidden="1">{#N/A,#N/A,FALSE,"Japan 2003";#N/A,#N/A,FALSE,"Sheet2"}</definedName>
    <definedName name="wrn.print." localSheetId="90" hidden="1">{#N/A,#N/A,FALSE,"Japan 2003";#N/A,#N/A,FALSE,"Sheet2"}</definedName>
    <definedName name="wrn.print." localSheetId="19" hidden="1">{#N/A,#N/A,FALSE,"Japan 2003";#N/A,#N/A,FALSE,"Sheet2"}</definedName>
    <definedName name="wrn.print." localSheetId="57" hidden="1">{#N/A,#N/A,FALSE,"Japan 2003";#N/A,#N/A,FALSE,"Sheet2"}</definedName>
    <definedName name="wrn.print." hidden="1">{#N/A,#N/A,FALSE,"Japan 2003";#N/A,#N/A,FALSE,"Sheet2"}</definedName>
    <definedName name="wrn.Print._.ACR." localSheetId="47" hidden="1">{#N/A,#N/A,FALSE,"AAPCC (HMO&amp;Non-HMO)"}</definedName>
    <definedName name="wrn.Print._.ACR." localSheetId="54" hidden="1">{#N/A,#N/A,FALSE,"AAPCC (HMO&amp;Non-HMO)"}</definedName>
    <definedName name="wrn.Print._.ACR." hidden="1">{#N/A,#N/A,FALSE,"AAPCC (HMO&amp;Non-HMO)"}</definedName>
    <definedName name="wrn.Print._.All." localSheetId="47" hidden="1">{#N/A,#N/A,FALSE,"Assumptions";#N/A,#N/A,FALSE,"Factors";#N/A,#N/A,FALSE,"Model";#N/A,#N/A,FALSE,"Allocation"}</definedName>
    <definedName name="wrn.Print._.All." localSheetId="54" hidden="1">{#N/A,#N/A,FALSE,"Assumptions";#N/A,#N/A,FALSE,"Factors";#N/A,#N/A,FALSE,"Model";#N/A,#N/A,FALSE,"Allocation"}</definedName>
    <definedName name="wrn.Print._.All." hidden="1">{#N/A,#N/A,FALSE,"Assumptions";#N/A,#N/A,FALSE,"Factors";#N/A,#N/A,FALSE,"Model";#N/A,#N/A,FALSE,"Allocation"}</definedName>
    <definedName name="wrn.print._.all._.sheets." localSheetId="5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5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9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6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0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6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3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58"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64"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54"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6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3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6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9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5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localSheetId="55"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59"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93"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2"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62"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7"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5"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01"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60"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39"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58"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64"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54"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3"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63"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31"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61"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5"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90"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9"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57"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localSheetId="55" hidden="1">{"cap_structure",#N/A,FALSE,"Graph-Mkt Cap";"price",#N/A,FALSE,"Graph-Price";"ebit",#N/A,FALSE,"Graph-EBITDA";"ebitda",#N/A,FALSE,"Graph-EBITDA"}</definedName>
    <definedName name="wrn.print._.graphs." localSheetId="59" hidden="1">{"cap_structure",#N/A,FALSE,"Graph-Mkt Cap";"price",#N/A,FALSE,"Graph-Price";"ebit",#N/A,FALSE,"Graph-EBITDA";"ebitda",#N/A,FALSE,"Graph-EBITDA"}</definedName>
    <definedName name="wrn.print._.graphs." localSheetId="93"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62" hidden="1">{"cap_structure",#N/A,FALSE,"Graph-Mkt Cap";"price",#N/A,FALSE,"Graph-Price";"ebit",#N/A,FALSE,"Graph-EBITDA";"ebitda",#N/A,FALSE,"Graph-EBITDA"}</definedName>
    <definedName name="wrn.print._.graphs." localSheetId="47" hidden="1">{"cap_structure",#N/A,FALSE,"Graph-Mkt Cap";"price",#N/A,FALSE,"Graph-Price";"ebit",#N/A,FALSE,"Graph-EBITDA";"ebitda",#N/A,FALSE,"Graph-EBITDA"}</definedName>
    <definedName name="wrn.print._.graphs." localSheetId="15" hidden="1">{"cap_structure",#N/A,FALSE,"Graph-Mkt Cap";"price",#N/A,FALSE,"Graph-Price";"ebit",#N/A,FALSE,"Graph-EBITDA";"ebitda",#N/A,FALSE,"Graph-EBITDA"}</definedName>
    <definedName name="wrn.print._.graphs." localSheetId="101" hidden="1">{"cap_structure",#N/A,FALSE,"Graph-Mkt Cap";"price",#N/A,FALSE,"Graph-Price";"ebit",#N/A,FALSE,"Graph-EBITDA";"ebitda",#N/A,FALSE,"Graph-EBITDA"}</definedName>
    <definedName name="wrn.print._.graphs." localSheetId="60" hidden="1">{"cap_structure",#N/A,FALSE,"Graph-Mkt Cap";"price",#N/A,FALSE,"Graph-Price";"ebit",#N/A,FALSE,"Graph-EBITDA";"ebitda",#N/A,FALSE,"Graph-EBITDA"}</definedName>
    <definedName name="wrn.print._.graphs." localSheetId="39" hidden="1">{"cap_structure",#N/A,FALSE,"Graph-Mkt Cap";"price",#N/A,FALSE,"Graph-Price";"ebit",#N/A,FALSE,"Graph-EBITDA";"ebitda",#N/A,FALSE,"Graph-EBITDA"}</definedName>
    <definedName name="wrn.print._.graphs." localSheetId="58" hidden="1">{"cap_structure",#N/A,FALSE,"Graph-Mkt Cap";"price",#N/A,FALSE,"Graph-Price";"ebit",#N/A,FALSE,"Graph-EBITDA";"ebitda",#N/A,FALSE,"Graph-EBITDA"}</definedName>
    <definedName name="wrn.print._.graphs." localSheetId="64" hidden="1">{"cap_structure",#N/A,FALSE,"Graph-Mkt Cap";"price",#N/A,FALSE,"Graph-Price";"ebit",#N/A,FALSE,"Graph-EBITDA";"ebitda",#N/A,FALSE,"Graph-EBITDA"}</definedName>
    <definedName name="wrn.print._.graphs." localSheetId="54"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63" hidden="1">{"cap_structure",#N/A,FALSE,"Graph-Mkt Cap";"price",#N/A,FALSE,"Graph-Price";"ebit",#N/A,FALSE,"Graph-EBITDA";"ebitda",#N/A,FALSE,"Graph-EBITDA"}</definedName>
    <definedName name="wrn.print._.graphs." localSheetId="31" hidden="1">{"cap_structure",#N/A,FALSE,"Graph-Mkt Cap";"price",#N/A,FALSE,"Graph-Price";"ebit",#N/A,FALSE,"Graph-EBITDA";"ebitda",#N/A,FALSE,"Graph-EBITDA"}</definedName>
    <definedName name="wrn.print._.graphs." localSheetId="61" hidden="1">{"cap_structure",#N/A,FALSE,"Graph-Mkt Cap";"price",#N/A,FALSE,"Graph-Price";"ebit",#N/A,FALSE,"Graph-EBITDA";"ebitda",#N/A,FALSE,"Graph-EBITDA"}</definedName>
    <definedName name="wrn.print._.graphs." localSheetId="45" hidden="1">{"cap_structure",#N/A,FALSE,"Graph-Mkt Cap";"price",#N/A,FALSE,"Graph-Price";"ebit",#N/A,FALSE,"Graph-EBITDA";"ebitda",#N/A,FALSE,"Graph-EBITDA"}</definedName>
    <definedName name="wrn.print._.graphs." localSheetId="90" hidden="1">{"cap_structure",#N/A,FALSE,"Graph-Mkt Cap";"price",#N/A,FALSE,"Graph-Price";"ebit",#N/A,FALSE,"Graph-EBITDA";"ebitda",#N/A,FALSE,"Graph-EBITDA"}</definedName>
    <definedName name="wrn.print._.graphs." localSheetId="19" hidden="1">{"cap_structure",#N/A,FALSE,"Graph-Mkt Cap";"price",#N/A,FALSE,"Graph-Price";"ebit",#N/A,FALSE,"Graph-EBITDA";"ebitda",#N/A,FALSE,"Graph-EBITDA"}</definedName>
    <definedName name="wrn.print._.graphs." localSheetId="57"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55" hidden="1">{"inputs raw data",#N/A,TRUE,"INPUT"}</definedName>
    <definedName name="wrn.print._.raw._.data._.entry." localSheetId="59" hidden="1">{"inputs raw data",#N/A,TRUE,"INPUT"}</definedName>
    <definedName name="wrn.print._.raw._.data._.entry." localSheetId="93" hidden="1">{"inputs raw data",#N/A,TRUE,"INPUT"}</definedName>
    <definedName name="wrn.print._.raw._.data._.entry." localSheetId="12" hidden="1">{"inputs raw data",#N/A,TRUE,"INPUT"}</definedName>
    <definedName name="wrn.print._.raw._.data._.entry." localSheetId="62" hidden="1">{"inputs raw data",#N/A,TRUE,"INPUT"}</definedName>
    <definedName name="wrn.print._.raw._.data._.entry." localSheetId="47" hidden="1">{"inputs raw data",#N/A,TRUE,"INPUT"}</definedName>
    <definedName name="wrn.print._.raw._.data._.entry." localSheetId="15" hidden="1">{"inputs raw data",#N/A,TRUE,"INPUT"}</definedName>
    <definedName name="wrn.print._.raw._.data._.entry." localSheetId="101" hidden="1">{"inputs raw data",#N/A,TRUE,"INPUT"}</definedName>
    <definedName name="wrn.print._.raw._.data._.entry." localSheetId="60" hidden="1">{"inputs raw data",#N/A,TRUE,"INPUT"}</definedName>
    <definedName name="wrn.print._.raw._.data._.entry." localSheetId="39" hidden="1">{"inputs raw data",#N/A,TRUE,"INPUT"}</definedName>
    <definedName name="wrn.print._.raw._.data._.entry." localSheetId="58" hidden="1">{"inputs raw data",#N/A,TRUE,"INPUT"}</definedName>
    <definedName name="wrn.print._.raw._.data._.entry." localSheetId="64" hidden="1">{"inputs raw data",#N/A,TRUE,"INPUT"}</definedName>
    <definedName name="wrn.print._.raw._.data._.entry." localSheetId="54" hidden="1">{"inputs raw data",#N/A,TRUE,"INPUT"}</definedName>
    <definedName name="wrn.print._.raw._.data._.entry." localSheetId="13" hidden="1">{"inputs raw data",#N/A,TRUE,"INPUT"}</definedName>
    <definedName name="wrn.print._.raw._.data._.entry." localSheetId="63" hidden="1">{"inputs raw data",#N/A,TRUE,"INPUT"}</definedName>
    <definedName name="wrn.print._.raw._.data._.entry." localSheetId="31" hidden="1">{"inputs raw data",#N/A,TRUE,"INPUT"}</definedName>
    <definedName name="wrn.print._.raw._.data._.entry." localSheetId="61" hidden="1">{"inputs raw data",#N/A,TRUE,"INPUT"}</definedName>
    <definedName name="wrn.print._.raw._.data._.entry." localSheetId="45" hidden="1">{"inputs raw data",#N/A,TRUE,"INPUT"}</definedName>
    <definedName name="wrn.print._.raw._.data._.entry." localSheetId="90" hidden="1">{"inputs raw data",#N/A,TRUE,"INPUT"}</definedName>
    <definedName name="wrn.print._.raw._.data._.entry." localSheetId="19" hidden="1">{"inputs raw data",#N/A,TRUE,"INPUT"}</definedName>
    <definedName name="wrn.print._.raw._.data._.entry." localSheetId="57" hidden="1">{"inputs raw data",#N/A,TRUE,"INPUT"}</definedName>
    <definedName name="wrn.print._.raw._.data._.entry." hidden="1">{"inputs raw data",#N/A,TRUE,"INPUT"}</definedName>
    <definedName name="wrn.print._.summary._.sheets." localSheetId="55" hidden="1">{"summary1",#N/A,TRUE,"Comps";"summary2",#N/A,TRUE,"Comps";"summary3",#N/A,TRUE,"Comps"}</definedName>
    <definedName name="wrn.print._.summary._.sheets." localSheetId="59" hidden="1">{"summary1",#N/A,TRUE,"Comps";"summary2",#N/A,TRUE,"Comps";"summary3",#N/A,TRUE,"Comps"}</definedName>
    <definedName name="wrn.print._.summary._.sheets." localSheetId="93" hidden="1">{"summary1",#N/A,TRUE,"Comps";"summary2",#N/A,TRUE,"Comps";"summary3",#N/A,TRUE,"Comps"}</definedName>
    <definedName name="wrn.print._.summary._.sheets." localSheetId="12" hidden="1">{"summary1",#N/A,TRUE,"Comps";"summary2",#N/A,TRUE,"Comps";"summary3",#N/A,TRUE,"Comps"}</definedName>
    <definedName name="wrn.print._.summary._.sheets." localSheetId="62" hidden="1">{"summary1",#N/A,TRUE,"Comps";"summary2",#N/A,TRUE,"Comps";"summary3",#N/A,TRUE,"Comps"}</definedName>
    <definedName name="wrn.print._.summary._.sheets." localSheetId="47" hidden="1">{"summary1",#N/A,TRUE,"Comps";"summary2",#N/A,TRUE,"Comps";"summary3",#N/A,TRUE,"Comps"}</definedName>
    <definedName name="wrn.print._.summary._.sheets." localSheetId="15" hidden="1">{"summary1",#N/A,TRUE,"Comps";"summary2",#N/A,TRUE,"Comps";"summary3",#N/A,TRUE,"Comps"}</definedName>
    <definedName name="wrn.print._.summary._.sheets." localSheetId="101" hidden="1">{"summary1",#N/A,TRUE,"Comps";"summary2",#N/A,TRUE,"Comps";"summary3",#N/A,TRUE,"Comps"}</definedName>
    <definedName name="wrn.print._.summary._.sheets." localSheetId="60" hidden="1">{"summary1",#N/A,TRUE,"Comps";"summary2",#N/A,TRUE,"Comps";"summary3",#N/A,TRUE,"Comps"}</definedName>
    <definedName name="wrn.print._.summary._.sheets." localSheetId="39" hidden="1">{"summary1",#N/A,TRUE,"Comps";"summary2",#N/A,TRUE,"Comps";"summary3",#N/A,TRUE,"Comps"}</definedName>
    <definedName name="wrn.print._.summary._.sheets." localSheetId="58" hidden="1">{"summary1",#N/A,TRUE,"Comps";"summary2",#N/A,TRUE,"Comps";"summary3",#N/A,TRUE,"Comps"}</definedName>
    <definedName name="wrn.print._.summary._.sheets." localSheetId="64" hidden="1">{"summary1",#N/A,TRUE,"Comps";"summary2",#N/A,TRUE,"Comps";"summary3",#N/A,TRUE,"Comps"}</definedName>
    <definedName name="wrn.print._.summary._.sheets." localSheetId="54" hidden="1">{"summary1",#N/A,TRUE,"Comps";"summary2",#N/A,TRUE,"Comps";"summary3",#N/A,TRUE,"Comps"}</definedName>
    <definedName name="wrn.print._.summary._.sheets." localSheetId="13" hidden="1">{"summary1",#N/A,TRUE,"Comps";"summary2",#N/A,TRUE,"Comps";"summary3",#N/A,TRUE,"Comps"}</definedName>
    <definedName name="wrn.print._.summary._.sheets." localSheetId="63" hidden="1">{"summary1",#N/A,TRUE,"Comps";"summary2",#N/A,TRUE,"Comps";"summary3",#N/A,TRUE,"Comps"}</definedName>
    <definedName name="wrn.print._.summary._.sheets." localSheetId="31" hidden="1">{"summary1",#N/A,TRUE,"Comps";"summary2",#N/A,TRUE,"Comps";"summary3",#N/A,TRUE,"Comps"}</definedName>
    <definedName name="wrn.print._.summary._.sheets." localSheetId="61" hidden="1">{"summary1",#N/A,TRUE,"Comps";"summary2",#N/A,TRUE,"Comps";"summary3",#N/A,TRUE,"Comps"}</definedName>
    <definedName name="wrn.print._.summary._.sheets." localSheetId="45" hidden="1">{"summary1",#N/A,TRUE,"Comps";"summary2",#N/A,TRUE,"Comps";"summary3",#N/A,TRUE,"Comps"}</definedName>
    <definedName name="wrn.print._.summary._.sheets." localSheetId="90" hidden="1">{"summary1",#N/A,TRUE,"Comps";"summary2",#N/A,TRUE,"Comps";"summary3",#N/A,TRUE,"Comps"}</definedName>
    <definedName name="wrn.print._.summary._.sheets." localSheetId="19" hidden="1">{"summary1",#N/A,TRUE,"Comps";"summary2",#N/A,TRUE,"Comps";"summary3",#N/A,TRUE,"Comps"}</definedName>
    <definedName name="wrn.print._.summary._.sheets." localSheetId="57" hidden="1">{"summary1",#N/A,TRUE,"Comps";"summary2",#N/A,TRUE,"Comps";"summary3",#N/A,TRUE,"Comps"}</definedName>
    <definedName name="wrn.print._.summary._.sheets." hidden="1">{"summary1",#N/A,TRUE,"Comps";"summary2",#N/A,TRUE,"Comps";"summary3",#N/A,TRUE,"Comps"}</definedName>
    <definedName name="wrn.PrintSelected." localSheetId="55" hidden="1">{"ModelPage1",#N/A,TRUE,"Model";"ModelSum_Debt",#N/A,TRUE,"Model"}</definedName>
    <definedName name="wrn.PrintSelected." localSheetId="59" hidden="1">{"ModelPage1",#N/A,TRUE,"Model";"ModelSum_Debt",#N/A,TRUE,"Model"}</definedName>
    <definedName name="wrn.PrintSelected." localSheetId="93" hidden="1">{"ModelPage1",#N/A,TRUE,"Model";"ModelSum_Debt",#N/A,TRUE,"Model"}</definedName>
    <definedName name="wrn.PrintSelected." localSheetId="12" hidden="1">{"ModelPage1",#N/A,TRUE,"Model";"ModelSum_Debt",#N/A,TRUE,"Model"}</definedName>
    <definedName name="wrn.PrintSelected." localSheetId="62" hidden="1">{"ModelPage1",#N/A,TRUE,"Model";"ModelSum_Debt",#N/A,TRUE,"Model"}</definedName>
    <definedName name="wrn.PrintSelected." localSheetId="47" hidden="1">{"ModelPage1",#N/A,TRUE,"Model";"ModelSum_Debt",#N/A,TRUE,"Model"}</definedName>
    <definedName name="wrn.PrintSelected." localSheetId="15" hidden="1">{"ModelPage1",#N/A,TRUE,"Model";"ModelSum_Debt",#N/A,TRUE,"Model"}</definedName>
    <definedName name="wrn.PrintSelected." localSheetId="101" hidden="1">{"ModelPage1",#N/A,TRUE,"Model";"ModelSum_Debt",#N/A,TRUE,"Model"}</definedName>
    <definedName name="wrn.PrintSelected." localSheetId="60" hidden="1">{"ModelPage1",#N/A,TRUE,"Model";"ModelSum_Debt",#N/A,TRUE,"Model"}</definedName>
    <definedName name="wrn.PrintSelected." localSheetId="39" hidden="1">{"ModelPage1",#N/A,TRUE,"Model";"ModelSum_Debt",#N/A,TRUE,"Model"}</definedName>
    <definedName name="wrn.PrintSelected." localSheetId="58" hidden="1">{"ModelPage1",#N/A,TRUE,"Model";"ModelSum_Debt",#N/A,TRUE,"Model"}</definedName>
    <definedName name="wrn.PrintSelected." localSheetId="64" hidden="1">{"ModelPage1",#N/A,TRUE,"Model";"ModelSum_Debt",#N/A,TRUE,"Model"}</definedName>
    <definedName name="wrn.PrintSelected." localSheetId="54" hidden="1">{"ModelPage1",#N/A,TRUE,"Model";"ModelSum_Debt",#N/A,TRUE,"Model"}</definedName>
    <definedName name="wrn.PrintSelected." localSheetId="13" hidden="1">{"ModelPage1",#N/A,TRUE,"Model";"ModelSum_Debt",#N/A,TRUE,"Model"}</definedName>
    <definedName name="wrn.PrintSelected." localSheetId="63" hidden="1">{"ModelPage1",#N/A,TRUE,"Model";"ModelSum_Debt",#N/A,TRUE,"Model"}</definedName>
    <definedName name="wrn.PrintSelected." localSheetId="31" hidden="1">{"ModelPage1",#N/A,TRUE,"Model";"ModelSum_Debt",#N/A,TRUE,"Model"}</definedName>
    <definedName name="wrn.PrintSelected." localSheetId="61" hidden="1">{"ModelPage1",#N/A,TRUE,"Model";"ModelSum_Debt",#N/A,TRUE,"Model"}</definedName>
    <definedName name="wrn.PrintSelected." localSheetId="45" hidden="1">{"ModelPage1",#N/A,TRUE,"Model";"ModelSum_Debt",#N/A,TRUE,"Model"}</definedName>
    <definedName name="wrn.PrintSelected." localSheetId="90" hidden="1">{"ModelPage1",#N/A,TRUE,"Model";"ModelSum_Debt",#N/A,TRUE,"Model"}</definedName>
    <definedName name="wrn.PrintSelected." localSheetId="19" hidden="1">{"ModelPage1",#N/A,TRUE,"Model";"ModelSum_Debt",#N/A,TRUE,"Model"}</definedName>
    <definedName name="wrn.PrintSelected." localSheetId="57" hidden="1">{"ModelPage1",#N/A,TRUE,"Model";"ModelSum_Debt",#N/A,TRUE,"Model"}</definedName>
    <definedName name="wrn.PrintSelected." hidden="1">{"ModelPage1",#N/A,TRUE,"Model";"ModelSum_Debt",#N/A,TRUE,"Model"}</definedName>
    <definedName name="wrn.rates." localSheetId="47" hidden="1">{"rates",#N/A,FALSE,"Summary"}</definedName>
    <definedName name="wrn.rates." localSheetId="54" hidden="1">{"rates",#N/A,FALSE,"Summary"}</definedName>
    <definedName name="wrn.rates." hidden="1">{"rates",#N/A,FALSE,"Summary"}</definedName>
    <definedName name="wrn.Relevant." localSheetId="55" hidden="1">{#N/A,#N/A,FALSE,"Title Page";#N/A,#N/A,FALSE,"Conclusions";#N/A,#N/A,FALSE,"Assum.";#N/A,#N/A,FALSE,"Sun  DCF-WC-Dep";#N/A,#N/A,FALSE,"MarketValue";#N/A,#N/A,FALSE,"BalSheet";#N/A,#N/A,FALSE,"WACC";#N/A,#N/A,FALSE,"PC+ Info.";#N/A,#N/A,FALSE,"PC+Info_2"}</definedName>
    <definedName name="wrn.Relevant." localSheetId="59" hidden="1">{#N/A,#N/A,FALSE,"Title Page";#N/A,#N/A,FALSE,"Conclusions";#N/A,#N/A,FALSE,"Assum.";#N/A,#N/A,FALSE,"Sun  DCF-WC-Dep";#N/A,#N/A,FALSE,"MarketValue";#N/A,#N/A,FALSE,"BalSheet";#N/A,#N/A,FALSE,"WACC";#N/A,#N/A,FALSE,"PC+ Info.";#N/A,#N/A,FALSE,"PC+Info_2"}</definedName>
    <definedName name="wrn.Relevant." localSheetId="93" hidden="1">{#N/A,#N/A,FALSE,"Title Page";#N/A,#N/A,FALSE,"Conclusions";#N/A,#N/A,FALSE,"Assum.";#N/A,#N/A,FALSE,"Sun  DCF-WC-Dep";#N/A,#N/A,FALSE,"MarketValue";#N/A,#N/A,FALSE,"BalSheet";#N/A,#N/A,FALSE,"WACC";#N/A,#N/A,FALSE,"PC+ Info.";#N/A,#N/A,FALSE,"PC+Info_2"}</definedName>
    <definedName name="wrn.Relevant." localSheetId="12" hidden="1">{#N/A,#N/A,FALSE,"Title Page";#N/A,#N/A,FALSE,"Conclusions";#N/A,#N/A,FALSE,"Assum.";#N/A,#N/A,FALSE,"Sun  DCF-WC-Dep";#N/A,#N/A,FALSE,"MarketValue";#N/A,#N/A,FALSE,"BalSheet";#N/A,#N/A,FALSE,"WACC";#N/A,#N/A,FALSE,"PC+ Info.";#N/A,#N/A,FALSE,"PC+Info_2"}</definedName>
    <definedName name="wrn.Relevant." localSheetId="62" hidden="1">{#N/A,#N/A,FALSE,"Title Page";#N/A,#N/A,FALSE,"Conclusions";#N/A,#N/A,FALSE,"Assum.";#N/A,#N/A,FALSE,"Sun  DCF-WC-Dep";#N/A,#N/A,FALSE,"MarketValue";#N/A,#N/A,FALSE,"BalSheet";#N/A,#N/A,FALSE,"WACC";#N/A,#N/A,FALSE,"PC+ Info.";#N/A,#N/A,FALSE,"PC+Info_2"}</definedName>
    <definedName name="wrn.Relevant." localSheetId="47" hidden="1">{#N/A,#N/A,FALSE,"Title Page";#N/A,#N/A,FALSE,"Conclusions";#N/A,#N/A,FALSE,"Assum.";#N/A,#N/A,FALSE,"Sun  DCF-WC-Dep";#N/A,#N/A,FALSE,"MarketValue";#N/A,#N/A,FALSE,"BalSheet";#N/A,#N/A,FALSE,"WACC";#N/A,#N/A,FALSE,"PC+ Info.";#N/A,#N/A,FALSE,"PC+Info_2"}</definedName>
    <definedName name="wrn.Relevant." localSheetId="15" hidden="1">{#N/A,#N/A,FALSE,"Title Page";#N/A,#N/A,FALSE,"Conclusions";#N/A,#N/A,FALSE,"Assum.";#N/A,#N/A,FALSE,"Sun  DCF-WC-Dep";#N/A,#N/A,FALSE,"MarketValue";#N/A,#N/A,FALSE,"BalSheet";#N/A,#N/A,FALSE,"WACC";#N/A,#N/A,FALSE,"PC+ Info.";#N/A,#N/A,FALSE,"PC+Info_2"}</definedName>
    <definedName name="wrn.Relevant." localSheetId="101" hidden="1">{#N/A,#N/A,FALSE,"Title Page";#N/A,#N/A,FALSE,"Conclusions";#N/A,#N/A,FALSE,"Assum.";#N/A,#N/A,FALSE,"Sun  DCF-WC-Dep";#N/A,#N/A,FALSE,"MarketValue";#N/A,#N/A,FALSE,"BalSheet";#N/A,#N/A,FALSE,"WACC";#N/A,#N/A,FALSE,"PC+ Info.";#N/A,#N/A,FALSE,"PC+Info_2"}</definedName>
    <definedName name="wrn.Relevant." localSheetId="60" hidden="1">{#N/A,#N/A,FALSE,"Title Page";#N/A,#N/A,FALSE,"Conclusions";#N/A,#N/A,FALSE,"Assum.";#N/A,#N/A,FALSE,"Sun  DCF-WC-Dep";#N/A,#N/A,FALSE,"MarketValue";#N/A,#N/A,FALSE,"BalSheet";#N/A,#N/A,FALSE,"WACC";#N/A,#N/A,FALSE,"PC+ Info.";#N/A,#N/A,FALSE,"PC+Info_2"}</definedName>
    <definedName name="wrn.Relevant." localSheetId="39" hidden="1">{#N/A,#N/A,FALSE,"Title Page";#N/A,#N/A,FALSE,"Conclusions";#N/A,#N/A,FALSE,"Assum.";#N/A,#N/A,FALSE,"Sun  DCF-WC-Dep";#N/A,#N/A,FALSE,"MarketValue";#N/A,#N/A,FALSE,"BalSheet";#N/A,#N/A,FALSE,"WACC";#N/A,#N/A,FALSE,"PC+ Info.";#N/A,#N/A,FALSE,"PC+Info_2"}</definedName>
    <definedName name="wrn.Relevant." localSheetId="58" hidden="1">{#N/A,#N/A,FALSE,"Title Page";#N/A,#N/A,FALSE,"Conclusions";#N/A,#N/A,FALSE,"Assum.";#N/A,#N/A,FALSE,"Sun  DCF-WC-Dep";#N/A,#N/A,FALSE,"MarketValue";#N/A,#N/A,FALSE,"BalSheet";#N/A,#N/A,FALSE,"WACC";#N/A,#N/A,FALSE,"PC+ Info.";#N/A,#N/A,FALSE,"PC+Info_2"}</definedName>
    <definedName name="wrn.Relevant." localSheetId="64" hidden="1">{#N/A,#N/A,FALSE,"Title Page";#N/A,#N/A,FALSE,"Conclusions";#N/A,#N/A,FALSE,"Assum.";#N/A,#N/A,FALSE,"Sun  DCF-WC-Dep";#N/A,#N/A,FALSE,"MarketValue";#N/A,#N/A,FALSE,"BalSheet";#N/A,#N/A,FALSE,"WACC";#N/A,#N/A,FALSE,"PC+ Info.";#N/A,#N/A,FALSE,"PC+Info_2"}</definedName>
    <definedName name="wrn.Relevant." localSheetId="54" hidden="1">{#N/A,#N/A,FALSE,"Title Page";#N/A,#N/A,FALSE,"Conclusions";#N/A,#N/A,FALSE,"Assum.";#N/A,#N/A,FALSE,"Sun  DCF-WC-Dep";#N/A,#N/A,FALSE,"MarketValue";#N/A,#N/A,FALSE,"BalSheet";#N/A,#N/A,FALSE,"WACC";#N/A,#N/A,FALSE,"PC+ Info.";#N/A,#N/A,FALSE,"PC+Info_2"}</definedName>
    <definedName name="wrn.Relevant." localSheetId="13" hidden="1">{#N/A,#N/A,FALSE,"Title Page";#N/A,#N/A,FALSE,"Conclusions";#N/A,#N/A,FALSE,"Assum.";#N/A,#N/A,FALSE,"Sun  DCF-WC-Dep";#N/A,#N/A,FALSE,"MarketValue";#N/A,#N/A,FALSE,"BalSheet";#N/A,#N/A,FALSE,"WACC";#N/A,#N/A,FALSE,"PC+ Info.";#N/A,#N/A,FALSE,"PC+Info_2"}</definedName>
    <definedName name="wrn.Relevant." localSheetId="63" hidden="1">{#N/A,#N/A,FALSE,"Title Page";#N/A,#N/A,FALSE,"Conclusions";#N/A,#N/A,FALSE,"Assum.";#N/A,#N/A,FALSE,"Sun  DCF-WC-Dep";#N/A,#N/A,FALSE,"MarketValue";#N/A,#N/A,FALSE,"BalSheet";#N/A,#N/A,FALSE,"WACC";#N/A,#N/A,FALSE,"PC+ Info.";#N/A,#N/A,FALSE,"PC+Info_2"}</definedName>
    <definedName name="wrn.Relevant." localSheetId="31" hidden="1">{#N/A,#N/A,FALSE,"Title Page";#N/A,#N/A,FALSE,"Conclusions";#N/A,#N/A,FALSE,"Assum.";#N/A,#N/A,FALSE,"Sun  DCF-WC-Dep";#N/A,#N/A,FALSE,"MarketValue";#N/A,#N/A,FALSE,"BalSheet";#N/A,#N/A,FALSE,"WACC";#N/A,#N/A,FALSE,"PC+ Info.";#N/A,#N/A,FALSE,"PC+Info_2"}</definedName>
    <definedName name="wrn.Relevant." localSheetId="61" hidden="1">{#N/A,#N/A,FALSE,"Title Page";#N/A,#N/A,FALSE,"Conclusions";#N/A,#N/A,FALSE,"Assum.";#N/A,#N/A,FALSE,"Sun  DCF-WC-Dep";#N/A,#N/A,FALSE,"MarketValue";#N/A,#N/A,FALSE,"BalSheet";#N/A,#N/A,FALSE,"WACC";#N/A,#N/A,FALSE,"PC+ Info.";#N/A,#N/A,FALSE,"PC+Info_2"}</definedName>
    <definedName name="wrn.Relevant." localSheetId="45" hidden="1">{#N/A,#N/A,FALSE,"Title Page";#N/A,#N/A,FALSE,"Conclusions";#N/A,#N/A,FALSE,"Assum.";#N/A,#N/A,FALSE,"Sun  DCF-WC-Dep";#N/A,#N/A,FALSE,"MarketValue";#N/A,#N/A,FALSE,"BalSheet";#N/A,#N/A,FALSE,"WACC";#N/A,#N/A,FALSE,"PC+ Info.";#N/A,#N/A,FALSE,"PC+Info_2"}</definedName>
    <definedName name="wrn.Relevant." localSheetId="90" hidden="1">{#N/A,#N/A,FALSE,"Title Page";#N/A,#N/A,FALSE,"Conclusions";#N/A,#N/A,FALSE,"Assum.";#N/A,#N/A,FALSE,"Sun  DCF-WC-Dep";#N/A,#N/A,FALSE,"MarketValue";#N/A,#N/A,FALSE,"BalSheet";#N/A,#N/A,FALSE,"WACC";#N/A,#N/A,FALSE,"PC+ Info.";#N/A,#N/A,FALSE,"PC+Info_2"}</definedName>
    <definedName name="wrn.Relevant." localSheetId="19" hidden="1">{#N/A,#N/A,FALSE,"Title Page";#N/A,#N/A,FALSE,"Conclusions";#N/A,#N/A,FALSE,"Assum.";#N/A,#N/A,FALSE,"Sun  DCF-WC-Dep";#N/A,#N/A,FALSE,"MarketValue";#N/A,#N/A,FALSE,"BalSheet";#N/A,#N/A,FALSE,"WACC";#N/A,#N/A,FALSE,"PC+ Info.";#N/A,#N/A,FALSE,"PC+Info_2"}</definedName>
    <definedName name="wrn.Relevant." localSheetId="57"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1." localSheetId="55" hidden="1">{#N/A,#N/A,FALSE,"Title Page";#N/A,#N/A,FALSE,"Conclusions";#N/A,#N/A,FALSE,"Assum.";#N/A,#N/A,FALSE,"Sun  DCF-WC-Dep";#N/A,#N/A,FALSE,"MarketValue";#N/A,#N/A,FALSE,"BalSheet";#N/A,#N/A,FALSE,"WACC";#N/A,#N/A,FALSE,"PC+ Info.";#N/A,#N/A,FALSE,"PC+Info_2"}</definedName>
    <definedName name="wrn.Relevant1." localSheetId="59" hidden="1">{#N/A,#N/A,FALSE,"Title Page";#N/A,#N/A,FALSE,"Conclusions";#N/A,#N/A,FALSE,"Assum.";#N/A,#N/A,FALSE,"Sun  DCF-WC-Dep";#N/A,#N/A,FALSE,"MarketValue";#N/A,#N/A,FALSE,"BalSheet";#N/A,#N/A,FALSE,"WACC";#N/A,#N/A,FALSE,"PC+ Info.";#N/A,#N/A,FALSE,"PC+Info_2"}</definedName>
    <definedName name="wrn.Relevant1." localSheetId="93" hidden="1">{#N/A,#N/A,FALSE,"Title Page";#N/A,#N/A,FALSE,"Conclusions";#N/A,#N/A,FALSE,"Assum.";#N/A,#N/A,FALSE,"Sun  DCF-WC-Dep";#N/A,#N/A,FALSE,"MarketValue";#N/A,#N/A,FALSE,"BalSheet";#N/A,#N/A,FALSE,"WACC";#N/A,#N/A,FALSE,"PC+ Info.";#N/A,#N/A,FALSE,"PC+Info_2"}</definedName>
    <definedName name="wrn.Relevant1." localSheetId="12" hidden="1">{#N/A,#N/A,FALSE,"Title Page";#N/A,#N/A,FALSE,"Conclusions";#N/A,#N/A,FALSE,"Assum.";#N/A,#N/A,FALSE,"Sun  DCF-WC-Dep";#N/A,#N/A,FALSE,"MarketValue";#N/A,#N/A,FALSE,"BalSheet";#N/A,#N/A,FALSE,"WACC";#N/A,#N/A,FALSE,"PC+ Info.";#N/A,#N/A,FALSE,"PC+Info_2"}</definedName>
    <definedName name="wrn.Relevant1." localSheetId="62" hidden="1">{#N/A,#N/A,FALSE,"Title Page";#N/A,#N/A,FALSE,"Conclusions";#N/A,#N/A,FALSE,"Assum.";#N/A,#N/A,FALSE,"Sun  DCF-WC-Dep";#N/A,#N/A,FALSE,"MarketValue";#N/A,#N/A,FALSE,"BalSheet";#N/A,#N/A,FALSE,"WACC";#N/A,#N/A,FALSE,"PC+ Info.";#N/A,#N/A,FALSE,"PC+Info_2"}</definedName>
    <definedName name="wrn.Relevant1." localSheetId="47" hidden="1">{#N/A,#N/A,FALSE,"Title Page";#N/A,#N/A,FALSE,"Conclusions";#N/A,#N/A,FALSE,"Assum.";#N/A,#N/A,FALSE,"Sun  DCF-WC-Dep";#N/A,#N/A,FALSE,"MarketValue";#N/A,#N/A,FALSE,"BalSheet";#N/A,#N/A,FALSE,"WACC";#N/A,#N/A,FALSE,"PC+ Info.";#N/A,#N/A,FALSE,"PC+Info_2"}</definedName>
    <definedName name="wrn.Relevant1." localSheetId="15" hidden="1">{#N/A,#N/A,FALSE,"Title Page";#N/A,#N/A,FALSE,"Conclusions";#N/A,#N/A,FALSE,"Assum.";#N/A,#N/A,FALSE,"Sun  DCF-WC-Dep";#N/A,#N/A,FALSE,"MarketValue";#N/A,#N/A,FALSE,"BalSheet";#N/A,#N/A,FALSE,"WACC";#N/A,#N/A,FALSE,"PC+ Info.";#N/A,#N/A,FALSE,"PC+Info_2"}</definedName>
    <definedName name="wrn.Relevant1." localSheetId="101" hidden="1">{#N/A,#N/A,FALSE,"Title Page";#N/A,#N/A,FALSE,"Conclusions";#N/A,#N/A,FALSE,"Assum.";#N/A,#N/A,FALSE,"Sun  DCF-WC-Dep";#N/A,#N/A,FALSE,"MarketValue";#N/A,#N/A,FALSE,"BalSheet";#N/A,#N/A,FALSE,"WACC";#N/A,#N/A,FALSE,"PC+ Info.";#N/A,#N/A,FALSE,"PC+Info_2"}</definedName>
    <definedName name="wrn.Relevant1." localSheetId="60" hidden="1">{#N/A,#N/A,FALSE,"Title Page";#N/A,#N/A,FALSE,"Conclusions";#N/A,#N/A,FALSE,"Assum.";#N/A,#N/A,FALSE,"Sun  DCF-WC-Dep";#N/A,#N/A,FALSE,"MarketValue";#N/A,#N/A,FALSE,"BalSheet";#N/A,#N/A,FALSE,"WACC";#N/A,#N/A,FALSE,"PC+ Info.";#N/A,#N/A,FALSE,"PC+Info_2"}</definedName>
    <definedName name="wrn.Relevant1." localSheetId="39" hidden="1">{#N/A,#N/A,FALSE,"Title Page";#N/A,#N/A,FALSE,"Conclusions";#N/A,#N/A,FALSE,"Assum.";#N/A,#N/A,FALSE,"Sun  DCF-WC-Dep";#N/A,#N/A,FALSE,"MarketValue";#N/A,#N/A,FALSE,"BalSheet";#N/A,#N/A,FALSE,"WACC";#N/A,#N/A,FALSE,"PC+ Info.";#N/A,#N/A,FALSE,"PC+Info_2"}</definedName>
    <definedName name="wrn.Relevant1." localSheetId="58" hidden="1">{#N/A,#N/A,FALSE,"Title Page";#N/A,#N/A,FALSE,"Conclusions";#N/A,#N/A,FALSE,"Assum.";#N/A,#N/A,FALSE,"Sun  DCF-WC-Dep";#N/A,#N/A,FALSE,"MarketValue";#N/A,#N/A,FALSE,"BalSheet";#N/A,#N/A,FALSE,"WACC";#N/A,#N/A,FALSE,"PC+ Info.";#N/A,#N/A,FALSE,"PC+Info_2"}</definedName>
    <definedName name="wrn.Relevant1." localSheetId="64" hidden="1">{#N/A,#N/A,FALSE,"Title Page";#N/A,#N/A,FALSE,"Conclusions";#N/A,#N/A,FALSE,"Assum.";#N/A,#N/A,FALSE,"Sun  DCF-WC-Dep";#N/A,#N/A,FALSE,"MarketValue";#N/A,#N/A,FALSE,"BalSheet";#N/A,#N/A,FALSE,"WACC";#N/A,#N/A,FALSE,"PC+ Info.";#N/A,#N/A,FALSE,"PC+Info_2"}</definedName>
    <definedName name="wrn.Relevant1." localSheetId="54" hidden="1">{#N/A,#N/A,FALSE,"Title Page";#N/A,#N/A,FALSE,"Conclusions";#N/A,#N/A,FALSE,"Assum.";#N/A,#N/A,FALSE,"Sun  DCF-WC-Dep";#N/A,#N/A,FALSE,"MarketValue";#N/A,#N/A,FALSE,"BalSheet";#N/A,#N/A,FALSE,"WACC";#N/A,#N/A,FALSE,"PC+ Info.";#N/A,#N/A,FALSE,"PC+Info_2"}</definedName>
    <definedName name="wrn.Relevant1." localSheetId="13" hidden="1">{#N/A,#N/A,FALSE,"Title Page";#N/A,#N/A,FALSE,"Conclusions";#N/A,#N/A,FALSE,"Assum.";#N/A,#N/A,FALSE,"Sun  DCF-WC-Dep";#N/A,#N/A,FALSE,"MarketValue";#N/A,#N/A,FALSE,"BalSheet";#N/A,#N/A,FALSE,"WACC";#N/A,#N/A,FALSE,"PC+ Info.";#N/A,#N/A,FALSE,"PC+Info_2"}</definedName>
    <definedName name="wrn.Relevant1." localSheetId="63" hidden="1">{#N/A,#N/A,FALSE,"Title Page";#N/A,#N/A,FALSE,"Conclusions";#N/A,#N/A,FALSE,"Assum.";#N/A,#N/A,FALSE,"Sun  DCF-WC-Dep";#N/A,#N/A,FALSE,"MarketValue";#N/A,#N/A,FALSE,"BalSheet";#N/A,#N/A,FALSE,"WACC";#N/A,#N/A,FALSE,"PC+ Info.";#N/A,#N/A,FALSE,"PC+Info_2"}</definedName>
    <definedName name="wrn.Relevant1." localSheetId="31" hidden="1">{#N/A,#N/A,FALSE,"Title Page";#N/A,#N/A,FALSE,"Conclusions";#N/A,#N/A,FALSE,"Assum.";#N/A,#N/A,FALSE,"Sun  DCF-WC-Dep";#N/A,#N/A,FALSE,"MarketValue";#N/A,#N/A,FALSE,"BalSheet";#N/A,#N/A,FALSE,"WACC";#N/A,#N/A,FALSE,"PC+ Info.";#N/A,#N/A,FALSE,"PC+Info_2"}</definedName>
    <definedName name="wrn.Relevant1." localSheetId="61" hidden="1">{#N/A,#N/A,FALSE,"Title Page";#N/A,#N/A,FALSE,"Conclusions";#N/A,#N/A,FALSE,"Assum.";#N/A,#N/A,FALSE,"Sun  DCF-WC-Dep";#N/A,#N/A,FALSE,"MarketValue";#N/A,#N/A,FALSE,"BalSheet";#N/A,#N/A,FALSE,"WACC";#N/A,#N/A,FALSE,"PC+ Info.";#N/A,#N/A,FALSE,"PC+Info_2"}</definedName>
    <definedName name="wrn.Relevant1." localSheetId="45" hidden="1">{#N/A,#N/A,FALSE,"Title Page";#N/A,#N/A,FALSE,"Conclusions";#N/A,#N/A,FALSE,"Assum.";#N/A,#N/A,FALSE,"Sun  DCF-WC-Dep";#N/A,#N/A,FALSE,"MarketValue";#N/A,#N/A,FALSE,"BalSheet";#N/A,#N/A,FALSE,"WACC";#N/A,#N/A,FALSE,"PC+ Info.";#N/A,#N/A,FALSE,"PC+Info_2"}</definedName>
    <definedName name="wrn.Relevant1." localSheetId="90" hidden="1">{#N/A,#N/A,FALSE,"Title Page";#N/A,#N/A,FALSE,"Conclusions";#N/A,#N/A,FALSE,"Assum.";#N/A,#N/A,FALSE,"Sun  DCF-WC-Dep";#N/A,#N/A,FALSE,"MarketValue";#N/A,#N/A,FALSE,"BalSheet";#N/A,#N/A,FALSE,"WACC";#N/A,#N/A,FALSE,"PC+ Info.";#N/A,#N/A,FALSE,"PC+Info_2"}</definedName>
    <definedName name="wrn.Relevant1." localSheetId="19" hidden="1">{#N/A,#N/A,FALSE,"Title Page";#N/A,#N/A,FALSE,"Conclusions";#N/A,#N/A,FALSE,"Assum.";#N/A,#N/A,FALSE,"Sun  DCF-WC-Dep";#N/A,#N/A,FALSE,"MarketValue";#N/A,#N/A,FALSE,"BalSheet";#N/A,#N/A,FALSE,"WACC";#N/A,#N/A,FALSE,"PC+ Info.";#N/A,#N/A,FALSE,"PC+Info_2"}</definedName>
    <definedName name="wrn.Relevant1." localSheetId="57"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p." localSheetId="55" hidden="1">{#N/A,#N/A,FALSE,"Exh. 5A";#N/A,#N/A,FALSE,"Exh. 6"}</definedName>
    <definedName name="wrn.rep." localSheetId="59" hidden="1">{#N/A,#N/A,FALSE,"Exh. 5A";#N/A,#N/A,FALSE,"Exh. 6"}</definedName>
    <definedName name="wrn.rep." localSheetId="93" hidden="1">{#N/A,#N/A,FALSE,"Exh. 5A";#N/A,#N/A,FALSE,"Exh. 6"}</definedName>
    <definedName name="wrn.rep." localSheetId="12" hidden="1">{#N/A,#N/A,FALSE,"Exh. 5A";#N/A,#N/A,FALSE,"Exh. 6"}</definedName>
    <definedName name="wrn.rep." localSheetId="62" hidden="1">{#N/A,#N/A,FALSE,"Exh. 5A";#N/A,#N/A,FALSE,"Exh. 6"}</definedName>
    <definedName name="wrn.rep." localSheetId="47" hidden="1">{#N/A,#N/A,FALSE,"Exh. 5A";#N/A,#N/A,FALSE,"Exh. 6"}</definedName>
    <definedName name="wrn.rep." localSheetId="15" hidden="1">{#N/A,#N/A,FALSE,"Exh. 5A";#N/A,#N/A,FALSE,"Exh. 6"}</definedName>
    <definedName name="wrn.rep." localSheetId="101" hidden="1">{#N/A,#N/A,FALSE,"Exh. 5A";#N/A,#N/A,FALSE,"Exh. 6"}</definedName>
    <definedName name="wrn.rep." localSheetId="60" hidden="1">{#N/A,#N/A,FALSE,"Exh. 5A";#N/A,#N/A,FALSE,"Exh. 6"}</definedName>
    <definedName name="wrn.rep." localSheetId="39" hidden="1">{#N/A,#N/A,FALSE,"Exh. 5A";#N/A,#N/A,FALSE,"Exh. 6"}</definedName>
    <definedName name="wrn.rep." localSheetId="58" hidden="1">{#N/A,#N/A,FALSE,"Exh. 5A";#N/A,#N/A,FALSE,"Exh. 6"}</definedName>
    <definedName name="wrn.rep." localSheetId="64" hidden="1">{#N/A,#N/A,FALSE,"Exh. 5A";#N/A,#N/A,FALSE,"Exh. 6"}</definedName>
    <definedName name="wrn.rep." localSheetId="54" hidden="1">{#N/A,#N/A,FALSE,"Exh. 5A";#N/A,#N/A,FALSE,"Exh. 6"}</definedName>
    <definedName name="wrn.rep." localSheetId="13" hidden="1">{#N/A,#N/A,FALSE,"Exh. 5A";#N/A,#N/A,FALSE,"Exh. 6"}</definedName>
    <definedName name="wrn.rep." localSheetId="63" hidden="1">{#N/A,#N/A,FALSE,"Exh. 5A";#N/A,#N/A,FALSE,"Exh. 6"}</definedName>
    <definedName name="wrn.rep." localSheetId="31" hidden="1">{#N/A,#N/A,FALSE,"Exh. 5A";#N/A,#N/A,FALSE,"Exh. 6"}</definedName>
    <definedName name="wrn.rep." localSheetId="61" hidden="1">{#N/A,#N/A,FALSE,"Exh. 5A";#N/A,#N/A,FALSE,"Exh. 6"}</definedName>
    <definedName name="wrn.rep." localSheetId="45" hidden="1">{#N/A,#N/A,FALSE,"Exh. 5A";#N/A,#N/A,FALSE,"Exh. 6"}</definedName>
    <definedName name="wrn.rep." localSheetId="90" hidden="1">{#N/A,#N/A,FALSE,"Exh. 5A";#N/A,#N/A,FALSE,"Exh. 6"}</definedName>
    <definedName name="wrn.rep." localSheetId="19" hidden="1">{#N/A,#N/A,FALSE,"Exh. 5A";#N/A,#N/A,FALSE,"Exh. 6"}</definedName>
    <definedName name="wrn.rep." localSheetId="57" hidden="1">{#N/A,#N/A,FALSE,"Exh. 5A";#N/A,#N/A,FALSE,"Exh. 6"}</definedName>
    <definedName name="wrn.rep." hidden="1">{#N/A,#N/A,FALSE,"Exh. 5A";#N/A,#N/A,FALSE,"Exh. 6"}</definedName>
    <definedName name="wrn.REPORT." localSheetId="55"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59"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93"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2"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62"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7"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5"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01"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60"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39"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58"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64"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54"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3"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63"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31"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61"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5"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90"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9"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57"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venue._.detail." localSheetId="55" hidden="1">{"revenue detail 1",#N/A,FALSE,"Revenue Detail";"revenue detail 2",#N/A,FALSE,"Revenue Detail";"revenue detail 3",#N/A,FALSE,"Revenue Detail";"revenue detail 4",#N/A,FALSE,"Revenue Detail"}</definedName>
    <definedName name="wrn.revenue._.detail." localSheetId="59" hidden="1">{"revenue detail 1",#N/A,FALSE,"Revenue Detail";"revenue detail 2",#N/A,FALSE,"Revenue Detail";"revenue detail 3",#N/A,FALSE,"Revenue Detail";"revenue detail 4",#N/A,FALSE,"Revenue Detail"}</definedName>
    <definedName name="wrn.revenue._.detail." localSheetId="93" hidden="1">{"revenue detail 1",#N/A,FALSE,"Revenue Detail";"revenue detail 2",#N/A,FALSE,"Revenue Detail";"revenue detail 3",#N/A,FALSE,"Revenue Detail";"revenue detail 4",#N/A,FALSE,"Revenue Detail"}</definedName>
    <definedName name="wrn.revenue._.detail." localSheetId="12" hidden="1">{"revenue detail 1",#N/A,FALSE,"Revenue Detail";"revenue detail 2",#N/A,FALSE,"Revenue Detail";"revenue detail 3",#N/A,FALSE,"Revenue Detail";"revenue detail 4",#N/A,FALSE,"Revenue Detail"}</definedName>
    <definedName name="wrn.revenue._.detail." localSheetId="62" hidden="1">{"revenue detail 1",#N/A,FALSE,"Revenue Detail";"revenue detail 2",#N/A,FALSE,"Revenue Detail";"revenue detail 3",#N/A,FALSE,"Revenue Detail";"revenue detail 4",#N/A,FALSE,"Revenue Detail"}</definedName>
    <definedName name="wrn.revenue._.detail." localSheetId="47" hidden="1">{"revenue detail 1",#N/A,FALSE,"Revenue Detail";"revenue detail 2",#N/A,FALSE,"Revenue Detail";"revenue detail 3",#N/A,FALSE,"Revenue Detail";"revenue detail 4",#N/A,FALSE,"Revenue Detail"}</definedName>
    <definedName name="wrn.revenue._.detail." localSheetId="15" hidden="1">{"revenue detail 1",#N/A,FALSE,"Revenue Detail";"revenue detail 2",#N/A,FALSE,"Revenue Detail";"revenue detail 3",#N/A,FALSE,"Revenue Detail";"revenue detail 4",#N/A,FALSE,"Revenue Detail"}</definedName>
    <definedName name="wrn.revenue._.detail." localSheetId="101" hidden="1">{"revenue detail 1",#N/A,FALSE,"Revenue Detail";"revenue detail 2",#N/A,FALSE,"Revenue Detail";"revenue detail 3",#N/A,FALSE,"Revenue Detail";"revenue detail 4",#N/A,FALSE,"Revenue Detail"}</definedName>
    <definedName name="wrn.revenue._.detail." localSheetId="60" hidden="1">{"revenue detail 1",#N/A,FALSE,"Revenue Detail";"revenue detail 2",#N/A,FALSE,"Revenue Detail";"revenue detail 3",#N/A,FALSE,"Revenue Detail";"revenue detail 4",#N/A,FALSE,"Revenue Detail"}</definedName>
    <definedName name="wrn.revenue._.detail." localSheetId="39" hidden="1">{"revenue detail 1",#N/A,FALSE,"Revenue Detail";"revenue detail 2",#N/A,FALSE,"Revenue Detail";"revenue detail 3",#N/A,FALSE,"Revenue Detail";"revenue detail 4",#N/A,FALSE,"Revenue Detail"}</definedName>
    <definedName name="wrn.revenue._.detail." localSheetId="58" hidden="1">{"revenue detail 1",#N/A,FALSE,"Revenue Detail";"revenue detail 2",#N/A,FALSE,"Revenue Detail";"revenue detail 3",#N/A,FALSE,"Revenue Detail";"revenue detail 4",#N/A,FALSE,"Revenue Detail"}</definedName>
    <definedName name="wrn.revenue._.detail." localSheetId="64" hidden="1">{"revenue detail 1",#N/A,FALSE,"Revenue Detail";"revenue detail 2",#N/A,FALSE,"Revenue Detail";"revenue detail 3",#N/A,FALSE,"Revenue Detail";"revenue detail 4",#N/A,FALSE,"Revenue Detail"}</definedName>
    <definedName name="wrn.revenue._.detail." localSheetId="54" hidden="1">{"revenue detail 1",#N/A,FALSE,"Revenue Detail";"revenue detail 2",#N/A,FALSE,"Revenue Detail";"revenue detail 3",#N/A,FALSE,"Revenue Detail";"revenue detail 4",#N/A,FALSE,"Revenue Detail"}</definedName>
    <definedName name="wrn.revenue._.detail." localSheetId="13" hidden="1">{"revenue detail 1",#N/A,FALSE,"Revenue Detail";"revenue detail 2",#N/A,FALSE,"Revenue Detail";"revenue detail 3",#N/A,FALSE,"Revenue Detail";"revenue detail 4",#N/A,FALSE,"Revenue Detail"}</definedName>
    <definedName name="wrn.revenue._.detail." localSheetId="63" hidden="1">{"revenue detail 1",#N/A,FALSE,"Revenue Detail";"revenue detail 2",#N/A,FALSE,"Revenue Detail";"revenue detail 3",#N/A,FALSE,"Revenue Detail";"revenue detail 4",#N/A,FALSE,"Revenue Detail"}</definedName>
    <definedName name="wrn.revenue._.detail." localSheetId="31" hidden="1">{"revenue detail 1",#N/A,FALSE,"Revenue Detail";"revenue detail 2",#N/A,FALSE,"Revenue Detail";"revenue detail 3",#N/A,FALSE,"Revenue Detail";"revenue detail 4",#N/A,FALSE,"Revenue Detail"}</definedName>
    <definedName name="wrn.revenue._.detail." localSheetId="61" hidden="1">{"revenue detail 1",#N/A,FALSE,"Revenue Detail";"revenue detail 2",#N/A,FALSE,"Revenue Detail";"revenue detail 3",#N/A,FALSE,"Revenue Detail";"revenue detail 4",#N/A,FALSE,"Revenue Detail"}</definedName>
    <definedName name="wrn.revenue._.detail." localSheetId="45" hidden="1">{"revenue detail 1",#N/A,FALSE,"Revenue Detail";"revenue detail 2",#N/A,FALSE,"Revenue Detail";"revenue detail 3",#N/A,FALSE,"Revenue Detail";"revenue detail 4",#N/A,FALSE,"Revenue Detail"}</definedName>
    <definedName name="wrn.revenue._.detail." localSheetId="90" hidden="1">{"revenue detail 1",#N/A,FALSE,"Revenue Detail";"revenue detail 2",#N/A,FALSE,"Revenue Detail";"revenue detail 3",#N/A,FALSE,"Revenue Detail";"revenue detail 4",#N/A,FALSE,"Revenue Detail"}</definedName>
    <definedName name="wrn.revenue._.detail." localSheetId="19" hidden="1">{"revenue detail 1",#N/A,FALSE,"Revenue Detail";"revenue detail 2",#N/A,FALSE,"Revenue Detail";"revenue detail 3",#N/A,FALSE,"Revenue Detail";"revenue detail 4",#N/A,FALSE,"Revenue Detail"}</definedName>
    <definedName name="wrn.revenue._.detail." localSheetId="57"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s." localSheetId="55" hidden="1">{"Base_rev",#N/A,FALSE,"Proj_IS_Base";"Projrev",#N/A,FALSE,"Proj_IS_wOTLC";"Delta",#N/A,FALSE,"Delta Rev_PV"}</definedName>
    <definedName name="wrn.Revs." localSheetId="59" hidden="1">{"Base_rev",#N/A,FALSE,"Proj_IS_Base";"Projrev",#N/A,FALSE,"Proj_IS_wOTLC";"Delta",#N/A,FALSE,"Delta Rev_PV"}</definedName>
    <definedName name="wrn.Revs." localSheetId="93" hidden="1">{"Base_rev",#N/A,FALSE,"Proj_IS_Base";"Projrev",#N/A,FALSE,"Proj_IS_wOTLC";"Delta",#N/A,FALSE,"Delta Rev_PV"}</definedName>
    <definedName name="wrn.Revs." localSheetId="12" hidden="1">{"Base_rev",#N/A,FALSE,"Proj_IS_Base";"Projrev",#N/A,FALSE,"Proj_IS_wOTLC";"Delta",#N/A,FALSE,"Delta Rev_PV"}</definedName>
    <definedName name="wrn.Revs." localSheetId="62" hidden="1">{"Base_rev",#N/A,FALSE,"Proj_IS_Base";"Projrev",#N/A,FALSE,"Proj_IS_wOTLC";"Delta",#N/A,FALSE,"Delta Rev_PV"}</definedName>
    <definedName name="wrn.Revs." localSheetId="47" hidden="1">{"Base_rev",#N/A,FALSE,"Proj_IS_Base";"Projrev",#N/A,FALSE,"Proj_IS_wOTLC";"Delta",#N/A,FALSE,"Delta Rev_PV"}</definedName>
    <definedName name="wrn.Revs." localSheetId="15" hidden="1">{"Base_rev",#N/A,FALSE,"Proj_IS_Base";"Projrev",#N/A,FALSE,"Proj_IS_wOTLC";"Delta",#N/A,FALSE,"Delta Rev_PV"}</definedName>
    <definedName name="wrn.Revs." localSheetId="101" hidden="1">{"Base_rev",#N/A,FALSE,"Proj_IS_Base";"Projrev",#N/A,FALSE,"Proj_IS_wOTLC";"Delta",#N/A,FALSE,"Delta Rev_PV"}</definedName>
    <definedName name="wrn.Revs." localSheetId="60" hidden="1">{"Base_rev",#N/A,FALSE,"Proj_IS_Base";"Projrev",#N/A,FALSE,"Proj_IS_wOTLC";"Delta",#N/A,FALSE,"Delta Rev_PV"}</definedName>
    <definedName name="wrn.Revs." localSheetId="39" hidden="1">{"Base_rev",#N/A,FALSE,"Proj_IS_Base";"Projrev",#N/A,FALSE,"Proj_IS_wOTLC";"Delta",#N/A,FALSE,"Delta Rev_PV"}</definedName>
    <definedName name="wrn.Revs." localSheetId="58" hidden="1">{"Base_rev",#N/A,FALSE,"Proj_IS_Base";"Projrev",#N/A,FALSE,"Proj_IS_wOTLC";"Delta",#N/A,FALSE,"Delta Rev_PV"}</definedName>
    <definedName name="wrn.Revs." localSheetId="64" hidden="1">{"Base_rev",#N/A,FALSE,"Proj_IS_Base";"Projrev",#N/A,FALSE,"Proj_IS_wOTLC";"Delta",#N/A,FALSE,"Delta Rev_PV"}</definedName>
    <definedName name="wrn.Revs." localSheetId="54" hidden="1">{"Base_rev",#N/A,FALSE,"Proj_IS_Base";"Projrev",#N/A,FALSE,"Proj_IS_wOTLC";"Delta",#N/A,FALSE,"Delta Rev_PV"}</definedName>
    <definedName name="wrn.Revs." localSheetId="13" hidden="1">{"Base_rev",#N/A,FALSE,"Proj_IS_Base";"Projrev",#N/A,FALSE,"Proj_IS_wOTLC";"Delta",#N/A,FALSE,"Delta Rev_PV"}</definedName>
    <definedName name="wrn.Revs." localSheetId="63" hidden="1">{"Base_rev",#N/A,FALSE,"Proj_IS_Base";"Projrev",#N/A,FALSE,"Proj_IS_wOTLC";"Delta",#N/A,FALSE,"Delta Rev_PV"}</definedName>
    <definedName name="wrn.Revs." localSheetId="31" hidden="1">{"Base_rev",#N/A,FALSE,"Proj_IS_Base";"Projrev",#N/A,FALSE,"Proj_IS_wOTLC";"Delta",#N/A,FALSE,"Delta Rev_PV"}</definedName>
    <definedName name="wrn.Revs." localSheetId="61" hidden="1">{"Base_rev",#N/A,FALSE,"Proj_IS_Base";"Projrev",#N/A,FALSE,"Proj_IS_wOTLC";"Delta",#N/A,FALSE,"Delta Rev_PV"}</definedName>
    <definedName name="wrn.Revs." localSheetId="45" hidden="1">{"Base_rev",#N/A,FALSE,"Proj_IS_Base";"Projrev",#N/A,FALSE,"Proj_IS_wOTLC";"Delta",#N/A,FALSE,"Delta Rev_PV"}</definedName>
    <definedName name="wrn.Revs." localSheetId="90" hidden="1">{"Base_rev",#N/A,FALSE,"Proj_IS_Base";"Projrev",#N/A,FALSE,"Proj_IS_wOTLC";"Delta",#N/A,FALSE,"Delta Rev_PV"}</definedName>
    <definedName name="wrn.Revs." localSheetId="19" hidden="1">{"Base_rev",#N/A,FALSE,"Proj_IS_Base";"Projrev",#N/A,FALSE,"Proj_IS_wOTLC";"Delta",#N/A,FALSE,"Delta Rev_PV"}</definedName>
    <definedName name="wrn.Revs." localSheetId="57" hidden="1">{"Base_rev",#N/A,FALSE,"Proj_IS_Base";"Projrev",#N/A,FALSE,"Proj_IS_wOTLC";"Delta",#N/A,FALSE,"Delta Rev_PV"}</definedName>
    <definedName name="wrn.Revs." hidden="1">{"Base_rev",#N/A,FALSE,"Proj_IS_Base";"Projrev",#N/A,FALSE,"Proj_IS_wOTLC";"Delta",#N/A,FALSE,"Delta Rev_PV"}</definedName>
    <definedName name="wrn.Riverwood_comp_model." localSheetId="55" hidden="1">{#N/A,#N/A,FALSE,"Che-Ga";#N/A,#N/A,FALSE,"Iv-Sm";#N/A,#N/A,FALSE,"So-We";#N/A,#N/A,FALSE,"Me-Po";#N/A,#N/A,FALSE,"Be-Bo";#N/A,#N/A,FALSE,"Cha-Ki";#N/A,#N/A,FALSE,"In";#N/A,#N/A,FALSE,"Schedule 23";#N/A,#N/A,FALSE,"Schedule 22";#N/A,#N/A,FALSE,"WACC"}</definedName>
    <definedName name="wrn.Riverwood_comp_model." localSheetId="59" hidden="1">{#N/A,#N/A,FALSE,"Che-Ga";#N/A,#N/A,FALSE,"Iv-Sm";#N/A,#N/A,FALSE,"So-We";#N/A,#N/A,FALSE,"Me-Po";#N/A,#N/A,FALSE,"Be-Bo";#N/A,#N/A,FALSE,"Cha-Ki";#N/A,#N/A,FALSE,"In";#N/A,#N/A,FALSE,"Schedule 23";#N/A,#N/A,FALSE,"Schedule 22";#N/A,#N/A,FALSE,"WACC"}</definedName>
    <definedName name="wrn.Riverwood_comp_model." localSheetId="93" hidden="1">{#N/A,#N/A,FALSE,"Che-Ga";#N/A,#N/A,FALSE,"Iv-Sm";#N/A,#N/A,FALSE,"So-We";#N/A,#N/A,FALSE,"Me-Po";#N/A,#N/A,FALSE,"Be-Bo";#N/A,#N/A,FALSE,"Cha-Ki";#N/A,#N/A,FALSE,"In";#N/A,#N/A,FALSE,"Schedule 23";#N/A,#N/A,FALSE,"Schedule 22";#N/A,#N/A,FALSE,"WACC"}</definedName>
    <definedName name="wrn.Riverwood_comp_model." localSheetId="12" hidden="1">{#N/A,#N/A,FALSE,"Che-Ga";#N/A,#N/A,FALSE,"Iv-Sm";#N/A,#N/A,FALSE,"So-We";#N/A,#N/A,FALSE,"Me-Po";#N/A,#N/A,FALSE,"Be-Bo";#N/A,#N/A,FALSE,"Cha-Ki";#N/A,#N/A,FALSE,"In";#N/A,#N/A,FALSE,"Schedule 23";#N/A,#N/A,FALSE,"Schedule 22";#N/A,#N/A,FALSE,"WACC"}</definedName>
    <definedName name="wrn.Riverwood_comp_model." localSheetId="62" hidden="1">{#N/A,#N/A,FALSE,"Che-Ga";#N/A,#N/A,FALSE,"Iv-Sm";#N/A,#N/A,FALSE,"So-We";#N/A,#N/A,FALSE,"Me-Po";#N/A,#N/A,FALSE,"Be-Bo";#N/A,#N/A,FALSE,"Cha-Ki";#N/A,#N/A,FALSE,"In";#N/A,#N/A,FALSE,"Schedule 23";#N/A,#N/A,FALSE,"Schedule 22";#N/A,#N/A,FALSE,"WACC"}</definedName>
    <definedName name="wrn.Riverwood_comp_model." localSheetId="47" hidden="1">{#N/A,#N/A,FALSE,"Che-Ga";#N/A,#N/A,FALSE,"Iv-Sm";#N/A,#N/A,FALSE,"So-We";#N/A,#N/A,FALSE,"Me-Po";#N/A,#N/A,FALSE,"Be-Bo";#N/A,#N/A,FALSE,"Cha-Ki";#N/A,#N/A,FALSE,"In";#N/A,#N/A,FALSE,"Schedule 23";#N/A,#N/A,FALSE,"Schedule 22";#N/A,#N/A,FALSE,"WACC"}</definedName>
    <definedName name="wrn.Riverwood_comp_model." localSheetId="15" hidden="1">{#N/A,#N/A,FALSE,"Che-Ga";#N/A,#N/A,FALSE,"Iv-Sm";#N/A,#N/A,FALSE,"So-We";#N/A,#N/A,FALSE,"Me-Po";#N/A,#N/A,FALSE,"Be-Bo";#N/A,#N/A,FALSE,"Cha-Ki";#N/A,#N/A,FALSE,"In";#N/A,#N/A,FALSE,"Schedule 23";#N/A,#N/A,FALSE,"Schedule 22";#N/A,#N/A,FALSE,"WACC"}</definedName>
    <definedName name="wrn.Riverwood_comp_model." localSheetId="101" hidden="1">{#N/A,#N/A,FALSE,"Che-Ga";#N/A,#N/A,FALSE,"Iv-Sm";#N/A,#N/A,FALSE,"So-We";#N/A,#N/A,FALSE,"Me-Po";#N/A,#N/A,FALSE,"Be-Bo";#N/A,#N/A,FALSE,"Cha-Ki";#N/A,#N/A,FALSE,"In";#N/A,#N/A,FALSE,"Schedule 23";#N/A,#N/A,FALSE,"Schedule 22";#N/A,#N/A,FALSE,"WACC"}</definedName>
    <definedName name="wrn.Riverwood_comp_model." localSheetId="60" hidden="1">{#N/A,#N/A,FALSE,"Che-Ga";#N/A,#N/A,FALSE,"Iv-Sm";#N/A,#N/A,FALSE,"So-We";#N/A,#N/A,FALSE,"Me-Po";#N/A,#N/A,FALSE,"Be-Bo";#N/A,#N/A,FALSE,"Cha-Ki";#N/A,#N/A,FALSE,"In";#N/A,#N/A,FALSE,"Schedule 23";#N/A,#N/A,FALSE,"Schedule 22";#N/A,#N/A,FALSE,"WACC"}</definedName>
    <definedName name="wrn.Riverwood_comp_model." localSheetId="39" hidden="1">{#N/A,#N/A,FALSE,"Che-Ga";#N/A,#N/A,FALSE,"Iv-Sm";#N/A,#N/A,FALSE,"So-We";#N/A,#N/A,FALSE,"Me-Po";#N/A,#N/A,FALSE,"Be-Bo";#N/A,#N/A,FALSE,"Cha-Ki";#N/A,#N/A,FALSE,"In";#N/A,#N/A,FALSE,"Schedule 23";#N/A,#N/A,FALSE,"Schedule 22";#N/A,#N/A,FALSE,"WACC"}</definedName>
    <definedName name="wrn.Riverwood_comp_model." localSheetId="58" hidden="1">{#N/A,#N/A,FALSE,"Che-Ga";#N/A,#N/A,FALSE,"Iv-Sm";#N/A,#N/A,FALSE,"So-We";#N/A,#N/A,FALSE,"Me-Po";#N/A,#N/A,FALSE,"Be-Bo";#N/A,#N/A,FALSE,"Cha-Ki";#N/A,#N/A,FALSE,"In";#N/A,#N/A,FALSE,"Schedule 23";#N/A,#N/A,FALSE,"Schedule 22";#N/A,#N/A,FALSE,"WACC"}</definedName>
    <definedName name="wrn.Riverwood_comp_model." localSheetId="64" hidden="1">{#N/A,#N/A,FALSE,"Che-Ga";#N/A,#N/A,FALSE,"Iv-Sm";#N/A,#N/A,FALSE,"So-We";#N/A,#N/A,FALSE,"Me-Po";#N/A,#N/A,FALSE,"Be-Bo";#N/A,#N/A,FALSE,"Cha-Ki";#N/A,#N/A,FALSE,"In";#N/A,#N/A,FALSE,"Schedule 23";#N/A,#N/A,FALSE,"Schedule 22";#N/A,#N/A,FALSE,"WACC"}</definedName>
    <definedName name="wrn.Riverwood_comp_model." localSheetId="54" hidden="1">{#N/A,#N/A,FALSE,"Che-Ga";#N/A,#N/A,FALSE,"Iv-Sm";#N/A,#N/A,FALSE,"So-We";#N/A,#N/A,FALSE,"Me-Po";#N/A,#N/A,FALSE,"Be-Bo";#N/A,#N/A,FALSE,"Cha-Ki";#N/A,#N/A,FALSE,"In";#N/A,#N/A,FALSE,"Schedule 23";#N/A,#N/A,FALSE,"Schedule 22";#N/A,#N/A,FALSE,"WACC"}</definedName>
    <definedName name="wrn.Riverwood_comp_model." localSheetId="13" hidden="1">{#N/A,#N/A,FALSE,"Che-Ga";#N/A,#N/A,FALSE,"Iv-Sm";#N/A,#N/A,FALSE,"So-We";#N/A,#N/A,FALSE,"Me-Po";#N/A,#N/A,FALSE,"Be-Bo";#N/A,#N/A,FALSE,"Cha-Ki";#N/A,#N/A,FALSE,"In";#N/A,#N/A,FALSE,"Schedule 23";#N/A,#N/A,FALSE,"Schedule 22";#N/A,#N/A,FALSE,"WACC"}</definedName>
    <definedName name="wrn.Riverwood_comp_model." localSheetId="63" hidden="1">{#N/A,#N/A,FALSE,"Che-Ga";#N/A,#N/A,FALSE,"Iv-Sm";#N/A,#N/A,FALSE,"So-We";#N/A,#N/A,FALSE,"Me-Po";#N/A,#N/A,FALSE,"Be-Bo";#N/A,#N/A,FALSE,"Cha-Ki";#N/A,#N/A,FALSE,"In";#N/A,#N/A,FALSE,"Schedule 23";#N/A,#N/A,FALSE,"Schedule 22";#N/A,#N/A,FALSE,"WACC"}</definedName>
    <definedName name="wrn.Riverwood_comp_model." localSheetId="31" hidden="1">{#N/A,#N/A,FALSE,"Che-Ga";#N/A,#N/A,FALSE,"Iv-Sm";#N/A,#N/A,FALSE,"So-We";#N/A,#N/A,FALSE,"Me-Po";#N/A,#N/A,FALSE,"Be-Bo";#N/A,#N/A,FALSE,"Cha-Ki";#N/A,#N/A,FALSE,"In";#N/A,#N/A,FALSE,"Schedule 23";#N/A,#N/A,FALSE,"Schedule 22";#N/A,#N/A,FALSE,"WACC"}</definedName>
    <definedName name="wrn.Riverwood_comp_model." localSheetId="61" hidden="1">{#N/A,#N/A,FALSE,"Che-Ga";#N/A,#N/A,FALSE,"Iv-Sm";#N/A,#N/A,FALSE,"So-We";#N/A,#N/A,FALSE,"Me-Po";#N/A,#N/A,FALSE,"Be-Bo";#N/A,#N/A,FALSE,"Cha-Ki";#N/A,#N/A,FALSE,"In";#N/A,#N/A,FALSE,"Schedule 23";#N/A,#N/A,FALSE,"Schedule 22";#N/A,#N/A,FALSE,"WACC"}</definedName>
    <definedName name="wrn.Riverwood_comp_model." localSheetId="45" hidden="1">{#N/A,#N/A,FALSE,"Che-Ga";#N/A,#N/A,FALSE,"Iv-Sm";#N/A,#N/A,FALSE,"So-We";#N/A,#N/A,FALSE,"Me-Po";#N/A,#N/A,FALSE,"Be-Bo";#N/A,#N/A,FALSE,"Cha-Ki";#N/A,#N/A,FALSE,"In";#N/A,#N/A,FALSE,"Schedule 23";#N/A,#N/A,FALSE,"Schedule 22";#N/A,#N/A,FALSE,"WACC"}</definedName>
    <definedName name="wrn.Riverwood_comp_model." localSheetId="90" hidden="1">{#N/A,#N/A,FALSE,"Che-Ga";#N/A,#N/A,FALSE,"Iv-Sm";#N/A,#N/A,FALSE,"So-We";#N/A,#N/A,FALSE,"Me-Po";#N/A,#N/A,FALSE,"Be-Bo";#N/A,#N/A,FALSE,"Cha-Ki";#N/A,#N/A,FALSE,"In";#N/A,#N/A,FALSE,"Schedule 23";#N/A,#N/A,FALSE,"Schedule 22";#N/A,#N/A,FALSE,"WACC"}</definedName>
    <definedName name="wrn.Riverwood_comp_model." localSheetId="19" hidden="1">{#N/A,#N/A,FALSE,"Che-Ga";#N/A,#N/A,FALSE,"Iv-Sm";#N/A,#N/A,FALSE,"So-We";#N/A,#N/A,FALSE,"Me-Po";#N/A,#N/A,FALSE,"Be-Bo";#N/A,#N/A,FALSE,"Cha-Ki";#N/A,#N/A,FALSE,"In";#N/A,#N/A,FALSE,"Schedule 23";#N/A,#N/A,FALSE,"Schedule 22";#N/A,#N/A,FALSE,"WACC"}</definedName>
    <definedName name="wrn.Riverwood_comp_model." localSheetId="57" hidden="1">{#N/A,#N/A,FALSE,"Che-Ga";#N/A,#N/A,FALSE,"Iv-Sm";#N/A,#N/A,FALSE,"So-We";#N/A,#N/A,FALSE,"Me-Po";#N/A,#N/A,FALSE,"Be-Bo";#N/A,#N/A,FALSE,"Cha-Ki";#N/A,#N/A,FALSE,"In";#N/A,#N/A,FALSE,"Schedule 23";#N/A,#N/A,FALSE,"Schedule 22";#N/A,#N/A,FALSE,"WACC"}</definedName>
    <definedName name="wrn.Riverwood_comp_model." hidden="1">{#N/A,#N/A,FALSE,"Che-Ga";#N/A,#N/A,FALSE,"Iv-Sm";#N/A,#N/A,FALSE,"So-We";#N/A,#N/A,FALSE,"Me-Po";#N/A,#N/A,FALSE,"Be-Bo";#N/A,#N/A,FALSE,"Cha-Ki";#N/A,#N/A,FALSE,"In";#N/A,#N/A,FALSE,"Schedule 23";#N/A,#N/A,FALSE,"Schedule 22";#N/A,#N/A,FALSE,"WACC"}</definedName>
    <definedName name="wrn.ROUGH." localSheetId="55" hidden="1">{#N/A,#N/A,FALSE,"ROA";#N/A,#N/A,FALSE,"ROI";#N/A,#N/A,FALSE,"EBIT";#N/A,#N/A,FALSE,"MULT X"}</definedName>
    <definedName name="wrn.ROUGH." localSheetId="59" hidden="1">{#N/A,#N/A,FALSE,"ROA";#N/A,#N/A,FALSE,"ROI";#N/A,#N/A,FALSE,"EBIT";#N/A,#N/A,FALSE,"MULT X"}</definedName>
    <definedName name="wrn.ROUGH." localSheetId="93" hidden="1">{#N/A,#N/A,FALSE,"ROA";#N/A,#N/A,FALSE,"ROI";#N/A,#N/A,FALSE,"EBIT";#N/A,#N/A,FALSE,"MULT X"}</definedName>
    <definedName name="wrn.ROUGH." localSheetId="12" hidden="1">{#N/A,#N/A,FALSE,"ROA";#N/A,#N/A,FALSE,"ROI";#N/A,#N/A,FALSE,"EBIT";#N/A,#N/A,FALSE,"MULT X"}</definedName>
    <definedName name="wrn.ROUGH." localSheetId="62" hidden="1">{#N/A,#N/A,FALSE,"ROA";#N/A,#N/A,FALSE,"ROI";#N/A,#N/A,FALSE,"EBIT";#N/A,#N/A,FALSE,"MULT X"}</definedName>
    <definedName name="wrn.ROUGH." localSheetId="47" hidden="1">{#N/A,#N/A,FALSE,"ROA";#N/A,#N/A,FALSE,"ROI";#N/A,#N/A,FALSE,"EBIT";#N/A,#N/A,FALSE,"MULT X"}</definedName>
    <definedName name="wrn.ROUGH." localSheetId="15" hidden="1">{#N/A,#N/A,FALSE,"ROA";#N/A,#N/A,FALSE,"ROI";#N/A,#N/A,FALSE,"EBIT";#N/A,#N/A,FALSE,"MULT X"}</definedName>
    <definedName name="wrn.ROUGH." localSheetId="101" hidden="1">{#N/A,#N/A,FALSE,"ROA";#N/A,#N/A,FALSE,"ROI";#N/A,#N/A,FALSE,"EBIT";#N/A,#N/A,FALSE,"MULT X"}</definedName>
    <definedName name="wrn.ROUGH." localSheetId="60" hidden="1">{#N/A,#N/A,FALSE,"ROA";#N/A,#N/A,FALSE,"ROI";#N/A,#N/A,FALSE,"EBIT";#N/A,#N/A,FALSE,"MULT X"}</definedName>
    <definedName name="wrn.ROUGH." localSheetId="39" hidden="1">{#N/A,#N/A,FALSE,"ROA";#N/A,#N/A,FALSE,"ROI";#N/A,#N/A,FALSE,"EBIT";#N/A,#N/A,FALSE,"MULT X"}</definedName>
    <definedName name="wrn.ROUGH." localSheetId="58" hidden="1">{#N/A,#N/A,FALSE,"ROA";#N/A,#N/A,FALSE,"ROI";#N/A,#N/A,FALSE,"EBIT";#N/A,#N/A,FALSE,"MULT X"}</definedName>
    <definedName name="wrn.ROUGH." localSheetId="64" hidden="1">{#N/A,#N/A,FALSE,"ROA";#N/A,#N/A,FALSE,"ROI";#N/A,#N/A,FALSE,"EBIT";#N/A,#N/A,FALSE,"MULT X"}</definedName>
    <definedName name="wrn.ROUGH." localSheetId="54" hidden="1">{#N/A,#N/A,FALSE,"ROA";#N/A,#N/A,FALSE,"ROI";#N/A,#N/A,FALSE,"EBIT";#N/A,#N/A,FALSE,"MULT X"}</definedName>
    <definedName name="wrn.ROUGH." localSheetId="13" hidden="1">{#N/A,#N/A,FALSE,"ROA";#N/A,#N/A,FALSE,"ROI";#N/A,#N/A,FALSE,"EBIT";#N/A,#N/A,FALSE,"MULT X"}</definedName>
    <definedName name="wrn.ROUGH." localSheetId="63" hidden="1">{#N/A,#N/A,FALSE,"ROA";#N/A,#N/A,FALSE,"ROI";#N/A,#N/A,FALSE,"EBIT";#N/A,#N/A,FALSE,"MULT X"}</definedName>
    <definedName name="wrn.ROUGH." localSheetId="31" hidden="1">{#N/A,#N/A,FALSE,"ROA";#N/A,#N/A,FALSE,"ROI";#N/A,#N/A,FALSE,"EBIT";#N/A,#N/A,FALSE,"MULT X"}</definedName>
    <definedName name="wrn.ROUGH." localSheetId="61" hidden="1">{#N/A,#N/A,FALSE,"ROA";#N/A,#N/A,FALSE,"ROI";#N/A,#N/A,FALSE,"EBIT";#N/A,#N/A,FALSE,"MULT X"}</definedName>
    <definedName name="wrn.ROUGH." localSheetId="45" hidden="1">{#N/A,#N/A,FALSE,"ROA";#N/A,#N/A,FALSE,"ROI";#N/A,#N/A,FALSE,"EBIT";#N/A,#N/A,FALSE,"MULT X"}</definedName>
    <definedName name="wrn.ROUGH." localSheetId="90" hidden="1">{#N/A,#N/A,FALSE,"ROA";#N/A,#N/A,FALSE,"ROI";#N/A,#N/A,FALSE,"EBIT";#N/A,#N/A,FALSE,"MULT X"}</definedName>
    <definedName name="wrn.ROUGH." localSheetId="19" hidden="1">{#N/A,#N/A,FALSE,"ROA";#N/A,#N/A,FALSE,"ROI";#N/A,#N/A,FALSE,"EBIT";#N/A,#N/A,FALSE,"MULT X"}</definedName>
    <definedName name="wrn.ROUGH." localSheetId="57" hidden="1">{#N/A,#N/A,FALSE,"ROA";#N/A,#N/A,FALSE,"ROI";#N/A,#N/A,FALSE,"EBIT";#N/A,#N/A,FALSE,"MULT X"}</definedName>
    <definedName name="wrn.ROUGH." hidden="1">{#N/A,#N/A,FALSE,"ROA";#N/A,#N/A,FALSE,"ROI";#N/A,#N/A,FALSE,"EBIT";#N/A,#N/A,FALSE,"MULT X"}</definedName>
    <definedName name="wrn.rptexhibits." localSheetId="55" hidden="1">{#N/A,#N/A,FALSE,"BS";#N/A,#N/A,FALSE,"IS";#N/A,#N/A,FALSE,"RMA ";#N/A,#N/A,FALSE,"ADJ IS";#N/A,#N/A,FALSE,"DCF"}</definedName>
    <definedName name="wrn.rptexhibits." localSheetId="59" hidden="1">{#N/A,#N/A,FALSE,"BS";#N/A,#N/A,FALSE,"IS";#N/A,#N/A,FALSE,"RMA ";#N/A,#N/A,FALSE,"ADJ IS";#N/A,#N/A,FALSE,"DCF"}</definedName>
    <definedName name="wrn.rptexhibits." localSheetId="93" hidden="1">{#N/A,#N/A,FALSE,"BS";#N/A,#N/A,FALSE,"IS";#N/A,#N/A,FALSE,"RMA ";#N/A,#N/A,FALSE,"ADJ IS";#N/A,#N/A,FALSE,"DCF"}</definedName>
    <definedName name="wrn.rptexhibits." localSheetId="12" hidden="1">{#N/A,#N/A,FALSE,"BS";#N/A,#N/A,FALSE,"IS";#N/A,#N/A,FALSE,"RMA ";#N/A,#N/A,FALSE,"ADJ IS";#N/A,#N/A,FALSE,"DCF"}</definedName>
    <definedName name="wrn.rptexhibits." localSheetId="62" hidden="1">{#N/A,#N/A,FALSE,"BS";#N/A,#N/A,FALSE,"IS";#N/A,#N/A,FALSE,"RMA ";#N/A,#N/A,FALSE,"ADJ IS";#N/A,#N/A,FALSE,"DCF"}</definedName>
    <definedName name="wrn.rptexhibits." localSheetId="47" hidden="1">{#N/A,#N/A,FALSE,"BS";#N/A,#N/A,FALSE,"IS";#N/A,#N/A,FALSE,"RMA ";#N/A,#N/A,FALSE,"ADJ IS";#N/A,#N/A,FALSE,"DCF"}</definedName>
    <definedName name="wrn.rptexhibits." localSheetId="15" hidden="1">{#N/A,#N/A,FALSE,"BS";#N/A,#N/A,FALSE,"IS";#N/A,#N/A,FALSE,"RMA ";#N/A,#N/A,FALSE,"ADJ IS";#N/A,#N/A,FALSE,"DCF"}</definedName>
    <definedName name="wrn.rptexhibits." localSheetId="101" hidden="1">{#N/A,#N/A,FALSE,"BS";#N/A,#N/A,FALSE,"IS";#N/A,#N/A,FALSE,"RMA ";#N/A,#N/A,FALSE,"ADJ IS";#N/A,#N/A,FALSE,"DCF"}</definedName>
    <definedName name="wrn.rptexhibits." localSheetId="60" hidden="1">{#N/A,#N/A,FALSE,"BS";#N/A,#N/A,FALSE,"IS";#N/A,#N/A,FALSE,"RMA ";#N/A,#N/A,FALSE,"ADJ IS";#N/A,#N/A,FALSE,"DCF"}</definedName>
    <definedName name="wrn.rptexhibits." localSheetId="39" hidden="1">{#N/A,#N/A,FALSE,"BS";#N/A,#N/A,FALSE,"IS";#N/A,#N/A,FALSE,"RMA ";#N/A,#N/A,FALSE,"ADJ IS";#N/A,#N/A,FALSE,"DCF"}</definedName>
    <definedName name="wrn.rptexhibits." localSheetId="58" hidden="1">{#N/A,#N/A,FALSE,"BS";#N/A,#N/A,FALSE,"IS";#N/A,#N/A,FALSE,"RMA ";#N/A,#N/A,FALSE,"ADJ IS";#N/A,#N/A,FALSE,"DCF"}</definedName>
    <definedName name="wrn.rptexhibits." localSheetId="64" hidden="1">{#N/A,#N/A,FALSE,"BS";#N/A,#N/A,FALSE,"IS";#N/A,#N/A,FALSE,"RMA ";#N/A,#N/A,FALSE,"ADJ IS";#N/A,#N/A,FALSE,"DCF"}</definedName>
    <definedName name="wrn.rptexhibits." localSheetId="54" hidden="1">{#N/A,#N/A,FALSE,"BS";#N/A,#N/A,FALSE,"IS";#N/A,#N/A,FALSE,"RMA ";#N/A,#N/A,FALSE,"ADJ IS";#N/A,#N/A,FALSE,"DCF"}</definedName>
    <definedName name="wrn.rptexhibits." localSheetId="13" hidden="1">{#N/A,#N/A,FALSE,"BS";#N/A,#N/A,FALSE,"IS";#N/A,#N/A,FALSE,"RMA ";#N/A,#N/A,FALSE,"ADJ IS";#N/A,#N/A,FALSE,"DCF"}</definedName>
    <definedName name="wrn.rptexhibits." localSheetId="63" hidden="1">{#N/A,#N/A,FALSE,"BS";#N/A,#N/A,FALSE,"IS";#N/A,#N/A,FALSE,"RMA ";#N/A,#N/A,FALSE,"ADJ IS";#N/A,#N/A,FALSE,"DCF"}</definedName>
    <definedName name="wrn.rptexhibits." localSheetId="31" hidden="1">{#N/A,#N/A,FALSE,"BS";#N/A,#N/A,FALSE,"IS";#N/A,#N/A,FALSE,"RMA ";#N/A,#N/A,FALSE,"ADJ IS";#N/A,#N/A,FALSE,"DCF"}</definedName>
    <definedName name="wrn.rptexhibits." localSheetId="61" hidden="1">{#N/A,#N/A,FALSE,"BS";#N/A,#N/A,FALSE,"IS";#N/A,#N/A,FALSE,"RMA ";#N/A,#N/A,FALSE,"ADJ IS";#N/A,#N/A,FALSE,"DCF"}</definedName>
    <definedName name="wrn.rptexhibits." localSheetId="45" hidden="1">{#N/A,#N/A,FALSE,"BS";#N/A,#N/A,FALSE,"IS";#N/A,#N/A,FALSE,"RMA ";#N/A,#N/A,FALSE,"ADJ IS";#N/A,#N/A,FALSE,"DCF"}</definedName>
    <definedName name="wrn.rptexhibits." localSheetId="90" hidden="1">{#N/A,#N/A,FALSE,"BS";#N/A,#N/A,FALSE,"IS";#N/A,#N/A,FALSE,"RMA ";#N/A,#N/A,FALSE,"ADJ IS";#N/A,#N/A,FALSE,"DCF"}</definedName>
    <definedName name="wrn.rptexhibits." localSheetId="19" hidden="1">{#N/A,#N/A,FALSE,"BS";#N/A,#N/A,FALSE,"IS";#N/A,#N/A,FALSE,"RMA ";#N/A,#N/A,FALSE,"ADJ IS";#N/A,#N/A,FALSE,"DCF"}</definedName>
    <definedName name="wrn.rptexhibits." localSheetId="57" hidden="1">{#N/A,#N/A,FALSE,"BS";#N/A,#N/A,FALSE,"IS";#N/A,#N/A,FALSE,"RMA ";#N/A,#N/A,FALSE,"ADJ IS";#N/A,#N/A,FALSE,"DCF"}</definedName>
    <definedName name="wrn.rptexhibits." hidden="1">{#N/A,#N/A,FALSE,"BS";#N/A,#N/A,FALSE,"IS";#N/A,#N/A,FALSE,"RMA ";#N/A,#N/A,FALSE,"ADJ IS";#N/A,#N/A,FALSE,"DCF"}</definedName>
    <definedName name="wrn.subs." localSheetId="55" hidden="1">{#N/A,#N/A,FALSE,"Comp - War";#N/A,#N/A,FALSE,"Comp - War"}</definedName>
    <definedName name="wrn.subs." localSheetId="93" hidden="1">{#N/A,#N/A,FALSE,"Comp - War";#N/A,#N/A,FALSE,"Comp - War"}</definedName>
    <definedName name="wrn.subs." localSheetId="12" hidden="1">{#N/A,#N/A,FALSE,"Comp - War";#N/A,#N/A,FALSE,"Comp - War"}</definedName>
    <definedName name="wrn.subs." localSheetId="47" hidden="1">{#N/A,#N/A,FALSE,"Comp - War";#N/A,#N/A,FALSE,"Comp - War"}</definedName>
    <definedName name="wrn.subs." localSheetId="15" hidden="1">{#N/A,#N/A,FALSE,"Comp - War";#N/A,#N/A,FALSE,"Comp - War"}</definedName>
    <definedName name="wrn.subs." localSheetId="101" hidden="1">{#N/A,#N/A,FALSE,"Comp - War";#N/A,#N/A,FALSE,"Comp - War"}</definedName>
    <definedName name="wrn.subs." localSheetId="39" hidden="1">{#N/A,#N/A,FALSE,"Comp - War";#N/A,#N/A,FALSE,"Comp - War"}</definedName>
    <definedName name="wrn.subs." localSheetId="64" hidden="1">{#N/A,#N/A,FALSE,"Comp - War";#N/A,#N/A,FALSE,"Comp - War"}</definedName>
    <definedName name="wrn.subs." localSheetId="54" hidden="1">{#N/A,#N/A,FALSE,"Comp - War";#N/A,#N/A,FALSE,"Comp - War"}</definedName>
    <definedName name="wrn.subs." localSheetId="13" hidden="1">{#N/A,#N/A,FALSE,"Comp - War";#N/A,#N/A,FALSE,"Comp - War"}</definedName>
    <definedName name="wrn.subs." localSheetId="63" hidden="1">{#N/A,#N/A,FALSE,"Comp - War";#N/A,#N/A,FALSE,"Comp - War"}</definedName>
    <definedName name="wrn.subs." localSheetId="31" hidden="1">{#N/A,#N/A,FALSE,"Comp - War";#N/A,#N/A,FALSE,"Comp - War"}</definedName>
    <definedName name="wrn.subs." localSheetId="45" hidden="1">{#N/A,#N/A,FALSE,"Comp - War";#N/A,#N/A,FALSE,"Comp - War"}</definedName>
    <definedName name="wrn.subs." localSheetId="90" hidden="1">{#N/A,#N/A,FALSE,"Comp - War";#N/A,#N/A,FALSE,"Comp - War"}</definedName>
    <definedName name="wrn.subs." localSheetId="19" hidden="1">{#N/A,#N/A,FALSE,"Comp - War";#N/A,#N/A,FALSE,"Comp - War"}</definedName>
    <definedName name="wrn.subs." localSheetId="57" hidden="1">{#N/A,#N/A,FALSE,"Comp - War";#N/A,#N/A,FALSE,"Comp - War"}</definedName>
    <definedName name="wrn.subs." hidden="1">{#N/A,#N/A,FALSE,"Comp - War";#N/A,#N/A,FALSE,"Comp - War"}</definedName>
    <definedName name="wrn.sum." localSheetId="55" hidden="1">{"Opsys",#N/A,FALSE,"NPV_OPsys";"NT",#N/A,FALSE,"NPV_NT";"DevP",#N/A,FALSE,"NPV_DevPdt";"Office",#N/A,FALSE,"NPV_Office"}</definedName>
    <definedName name="wrn.sum." localSheetId="59" hidden="1">{"Opsys",#N/A,FALSE,"NPV_OPsys";"NT",#N/A,FALSE,"NPV_NT";"DevP",#N/A,FALSE,"NPV_DevPdt";"Office",#N/A,FALSE,"NPV_Office"}</definedName>
    <definedName name="wrn.sum." localSheetId="93" hidden="1">{"Opsys",#N/A,FALSE,"NPV_OPsys";"NT",#N/A,FALSE,"NPV_NT";"DevP",#N/A,FALSE,"NPV_DevPdt";"Office",#N/A,FALSE,"NPV_Office"}</definedName>
    <definedName name="wrn.sum." localSheetId="12" hidden="1">{"Opsys",#N/A,FALSE,"NPV_OPsys";"NT",#N/A,FALSE,"NPV_NT";"DevP",#N/A,FALSE,"NPV_DevPdt";"Office",#N/A,FALSE,"NPV_Office"}</definedName>
    <definedName name="wrn.sum." localSheetId="62" hidden="1">{"Opsys",#N/A,FALSE,"NPV_OPsys";"NT",#N/A,FALSE,"NPV_NT";"DevP",#N/A,FALSE,"NPV_DevPdt";"Office",#N/A,FALSE,"NPV_Office"}</definedName>
    <definedName name="wrn.sum." localSheetId="47" hidden="1">{"Opsys",#N/A,FALSE,"NPV_OPsys";"NT",#N/A,FALSE,"NPV_NT";"DevP",#N/A,FALSE,"NPV_DevPdt";"Office",#N/A,FALSE,"NPV_Office"}</definedName>
    <definedName name="wrn.sum." localSheetId="15" hidden="1">{"Opsys",#N/A,FALSE,"NPV_OPsys";"NT",#N/A,FALSE,"NPV_NT";"DevP",#N/A,FALSE,"NPV_DevPdt";"Office",#N/A,FALSE,"NPV_Office"}</definedName>
    <definedName name="wrn.sum." localSheetId="101" hidden="1">{"Opsys",#N/A,FALSE,"NPV_OPsys";"NT",#N/A,FALSE,"NPV_NT";"DevP",#N/A,FALSE,"NPV_DevPdt";"Office",#N/A,FALSE,"NPV_Office"}</definedName>
    <definedName name="wrn.sum." localSheetId="60" hidden="1">{"Opsys",#N/A,FALSE,"NPV_OPsys";"NT",#N/A,FALSE,"NPV_NT";"DevP",#N/A,FALSE,"NPV_DevPdt";"Office",#N/A,FALSE,"NPV_Office"}</definedName>
    <definedName name="wrn.sum." localSheetId="39" hidden="1">{"Opsys",#N/A,FALSE,"NPV_OPsys";"NT",#N/A,FALSE,"NPV_NT";"DevP",#N/A,FALSE,"NPV_DevPdt";"Office",#N/A,FALSE,"NPV_Office"}</definedName>
    <definedName name="wrn.sum." localSheetId="58" hidden="1">{"Opsys",#N/A,FALSE,"NPV_OPsys";"NT",#N/A,FALSE,"NPV_NT";"DevP",#N/A,FALSE,"NPV_DevPdt";"Office",#N/A,FALSE,"NPV_Office"}</definedName>
    <definedName name="wrn.sum." localSheetId="64" hidden="1">{"Opsys",#N/A,FALSE,"NPV_OPsys";"NT",#N/A,FALSE,"NPV_NT";"DevP",#N/A,FALSE,"NPV_DevPdt";"Office",#N/A,FALSE,"NPV_Office"}</definedName>
    <definedName name="wrn.sum." localSheetId="54" hidden="1">{"Opsys",#N/A,FALSE,"NPV_OPsys";"NT",#N/A,FALSE,"NPV_NT";"DevP",#N/A,FALSE,"NPV_DevPdt";"Office",#N/A,FALSE,"NPV_Office"}</definedName>
    <definedName name="wrn.sum." localSheetId="13" hidden="1">{"Opsys",#N/A,FALSE,"NPV_OPsys";"NT",#N/A,FALSE,"NPV_NT";"DevP",#N/A,FALSE,"NPV_DevPdt";"Office",#N/A,FALSE,"NPV_Office"}</definedName>
    <definedName name="wrn.sum." localSheetId="63" hidden="1">{"Opsys",#N/A,FALSE,"NPV_OPsys";"NT",#N/A,FALSE,"NPV_NT";"DevP",#N/A,FALSE,"NPV_DevPdt";"Office",#N/A,FALSE,"NPV_Office"}</definedName>
    <definedName name="wrn.sum." localSheetId="31" hidden="1">{"Opsys",#N/A,FALSE,"NPV_OPsys";"NT",#N/A,FALSE,"NPV_NT";"DevP",#N/A,FALSE,"NPV_DevPdt";"Office",#N/A,FALSE,"NPV_Office"}</definedName>
    <definedName name="wrn.sum." localSheetId="61" hidden="1">{"Opsys",#N/A,FALSE,"NPV_OPsys";"NT",#N/A,FALSE,"NPV_NT";"DevP",#N/A,FALSE,"NPV_DevPdt";"Office",#N/A,FALSE,"NPV_Office"}</definedName>
    <definedName name="wrn.sum." localSheetId="45" hidden="1">{"Opsys",#N/A,FALSE,"NPV_OPsys";"NT",#N/A,FALSE,"NPV_NT";"DevP",#N/A,FALSE,"NPV_DevPdt";"Office",#N/A,FALSE,"NPV_Office"}</definedName>
    <definedName name="wrn.sum." localSheetId="90" hidden="1">{"Opsys",#N/A,FALSE,"NPV_OPsys";"NT",#N/A,FALSE,"NPV_NT";"DevP",#N/A,FALSE,"NPV_DevPdt";"Office",#N/A,FALSE,"NPV_Office"}</definedName>
    <definedName name="wrn.sum." localSheetId="19" hidden="1">{"Opsys",#N/A,FALSE,"NPV_OPsys";"NT",#N/A,FALSE,"NPV_NT";"DevP",#N/A,FALSE,"NPV_DevPdt";"Office",#N/A,FALSE,"NPV_Office"}</definedName>
    <definedName name="wrn.sum." localSheetId="57" hidden="1">{"Opsys",#N/A,FALSE,"NPV_OPsys";"NT",#N/A,FALSE,"NPV_NT";"DevP",#N/A,FALSE,"NPV_DevPdt";"Office",#N/A,FALSE,"NPV_Office"}</definedName>
    <definedName name="wrn.sum." hidden="1">{"Opsys",#N/A,FALSE,"NPV_OPsys";"NT",#N/A,FALSE,"NPV_NT";"DevP",#N/A,FALSE,"NPV_DevPdt";"Office",#N/A,FALSE,"NPV_Office"}</definedName>
    <definedName name="wrn.summary._.schedules." localSheetId="55" hidden="1">{"summary1",#N/A,FALSE,"Summary of Values";"summary2",#N/A,FALSE,"Summary of Values"}</definedName>
    <definedName name="wrn.summary._.schedules." localSheetId="59" hidden="1">{"summary1",#N/A,FALSE,"Summary of Values";"summary2",#N/A,FALSE,"Summary of Values"}</definedName>
    <definedName name="wrn.summary._.schedules." localSheetId="93" hidden="1">{"summary1",#N/A,FALSE,"Summary of Values";"summary2",#N/A,FALSE,"Summary of Values"}</definedName>
    <definedName name="wrn.summary._.schedules." localSheetId="12" hidden="1">{"summary1",#N/A,FALSE,"Summary of Values";"summary2",#N/A,FALSE,"Summary of Values"}</definedName>
    <definedName name="wrn.summary._.schedules." localSheetId="62" hidden="1">{"summary1",#N/A,FALSE,"Summary of Values";"summary2",#N/A,FALSE,"Summary of Values"}</definedName>
    <definedName name="wrn.summary._.schedules." localSheetId="47" hidden="1">{"summary1",#N/A,FALSE,"Summary of Values";"summary2",#N/A,FALSE,"Summary of Values"}</definedName>
    <definedName name="wrn.summary._.schedules." localSheetId="15" hidden="1">{"summary1",#N/A,FALSE,"Summary of Values";"summary2",#N/A,FALSE,"Summary of Values"}</definedName>
    <definedName name="wrn.summary._.schedules." localSheetId="101" hidden="1">{"summary1",#N/A,FALSE,"Summary of Values";"summary2",#N/A,FALSE,"Summary of Values"}</definedName>
    <definedName name="wrn.summary._.schedules." localSheetId="60" hidden="1">{"summary1",#N/A,FALSE,"Summary of Values";"summary2",#N/A,FALSE,"Summary of Values"}</definedName>
    <definedName name="wrn.summary._.schedules." localSheetId="39" hidden="1">{"summary1",#N/A,FALSE,"Summary of Values";"summary2",#N/A,FALSE,"Summary of Values"}</definedName>
    <definedName name="wrn.summary._.schedules." localSheetId="58" hidden="1">{"summary1",#N/A,FALSE,"Summary of Values";"summary2",#N/A,FALSE,"Summary of Values"}</definedName>
    <definedName name="wrn.summary._.schedules." localSheetId="64" hidden="1">{"summary1",#N/A,FALSE,"Summary of Values";"summary2",#N/A,FALSE,"Summary of Values"}</definedName>
    <definedName name="wrn.summary._.schedules." localSheetId="54" hidden="1">{"summary1",#N/A,FALSE,"Summary of Values";"summary2",#N/A,FALSE,"Summary of Values"}</definedName>
    <definedName name="wrn.summary._.schedules." localSheetId="13" hidden="1">{"summary1",#N/A,FALSE,"Summary of Values";"summary2",#N/A,FALSE,"Summary of Values"}</definedName>
    <definedName name="wrn.summary._.schedules." localSheetId="63" hidden="1">{"summary1",#N/A,FALSE,"Summary of Values";"summary2",#N/A,FALSE,"Summary of Values"}</definedName>
    <definedName name="wrn.summary._.schedules." localSheetId="31" hidden="1">{"summary1",#N/A,FALSE,"Summary of Values";"summary2",#N/A,FALSE,"Summary of Values"}</definedName>
    <definedName name="wrn.summary._.schedules." localSheetId="61" hidden="1">{"summary1",#N/A,FALSE,"Summary of Values";"summary2",#N/A,FALSE,"Summary of Values"}</definedName>
    <definedName name="wrn.summary._.schedules." localSheetId="45" hidden="1">{"summary1",#N/A,FALSE,"Summary of Values";"summary2",#N/A,FALSE,"Summary of Values"}</definedName>
    <definedName name="wrn.summary._.schedules." localSheetId="90" hidden="1">{"summary1",#N/A,FALSE,"Summary of Values";"summary2",#N/A,FALSE,"Summary of Values"}</definedName>
    <definedName name="wrn.summary._.schedules." localSheetId="19" hidden="1">{"summary1",#N/A,FALSE,"Summary of Values";"summary2",#N/A,FALSE,"Summary of Values"}</definedName>
    <definedName name="wrn.summary._.schedules." localSheetId="57" hidden="1">{"summary1",#N/A,FALSE,"Summary of Values";"summary2",#N/A,FALSE,"Summary of Values"}</definedName>
    <definedName name="wrn.summary._.schedules." hidden="1">{"summary1",#N/A,FALSE,"Summary of Values";"summary2",#N/A,FALSE,"Summary of Values"}</definedName>
    <definedName name="wrn.technology." localSheetId="55" hidden="1">{"developed valuation",#N/A,FALSE,"Valuation Analysis";"developed income statement",#N/A,FALSE,"Abbreviated Income Statement";"inprocess valuation",#N/A,FALSE,"Valuation Analysis";"inprocess income statement",#N/A,FALSE,"Abbreviated Income Statement"}</definedName>
    <definedName name="wrn.technology." localSheetId="59" hidden="1">{"developed valuation",#N/A,FALSE,"Valuation Analysis";"developed income statement",#N/A,FALSE,"Abbreviated Income Statement";"inprocess valuation",#N/A,FALSE,"Valuation Analysis";"inprocess income statement",#N/A,FALSE,"Abbreviated Income Statement"}</definedName>
    <definedName name="wrn.technology." localSheetId="93" hidden="1">{"developed valuation",#N/A,FALSE,"Valuation Analysis";"developed income statement",#N/A,FALSE,"Abbreviated Income Statement";"inprocess valuation",#N/A,FALSE,"Valuation Analysis";"inprocess income statement",#N/A,FALSE,"Abbreviated Income Statement"}</definedName>
    <definedName name="wrn.technology." localSheetId="12" hidden="1">{"developed valuation",#N/A,FALSE,"Valuation Analysis";"developed income statement",#N/A,FALSE,"Abbreviated Income Statement";"inprocess valuation",#N/A,FALSE,"Valuation Analysis";"inprocess income statement",#N/A,FALSE,"Abbreviated Income Statement"}</definedName>
    <definedName name="wrn.technology." localSheetId="62" hidden="1">{"developed valuation",#N/A,FALSE,"Valuation Analysis";"developed income statement",#N/A,FALSE,"Abbreviated Income Statement";"inprocess valuation",#N/A,FALSE,"Valuation Analysis";"inprocess income statement",#N/A,FALSE,"Abbreviated Income Statement"}</definedName>
    <definedName name="wrn.technology." localSheetId="47" hidden="1">{"developed valuation",#N/A,FALSE,"Valuation Analysis";"developed income statement",#N/A,FALSE,"Abbreviated Income Statement";"inprocess valuation",#N/A,FALSE,"Valuation Analysis";"inprocess income statement",#N/A,FALSE,"Abbreviated Income Statement"}</definedName>
    <definedName name="wrn.technology." localSheetId="15" hidden="1">{"developed valuation",#N/A,FALSE,"Valuation Analysis";"developed income statement",#N/A,FALSE,"Abbreviated Income Statement";"inprocess valuation",#N/A,FALSE,"Valuation Analysis";"inprocess income statement",#N/A,FALSE,"Abbreviated Income Statement"}</definedName>
    <definedName name="wrn.technology." localSheetId="101" hidden="1">{"developed valuation",#N/A,FALSE,"Valuation Analysis";"developed income statement",#N/A,FALSE,"Abbreviated Income Statement";"inprocess valuation",#N/A,FALSE,"Valuation Analysis";"inprocess income statement",#N/A,FALSE,"Abbreviated Income Statement"}</definedName>
    <definedName name="wrn.technology." localSheetId="60" hidden="1">{"developed valuation",#N/A,FALSE,"Valuation Analysis";"developed income statement",#N/A,FALSE,"Abbreviated Income Statement";"inprocess valuation",#N/A,FALSE,"Valuation Analysis";"inprocess income statement",#N/A,FALSE,"Abbreviated Income Statement"}</definedName>
    <definedName name="wrn.technology." localSheetId="39" hidden="1">{"developed valuation",#N/A,FALSE,"Valuation Analysis";"developed income statement",#N/A,FALSE,"Abbreviated Income Statement";"inprocess valuation",#N/A,FALSE,"Valuation Analysis";"inprocess income statement",#N/A,FALSE,"Abbreviated Income Statement"}</definedName>
    <definedName name="wrn.technology." localSheetId="58" hidden="1">{"developed valuation",#N/A,FALSE,"Valuation Analysis";"developed income statement",#N/A,FALSE,"Abbreviated Income Statement";"inprocess valuation",#N/A,FALSE,"Valuation Analysis";"inprocess income statement",#N/A,FALSE,"Abbreviated Income Statement"}</definedName>
    <definedName name="wrn.technology." localSheetId="64" hidden="1">{"developed valuation",#N/A,FALSE,"Valuation Analysis";"developed income statement",#N/A,FALSE,"Abbreviated Income Statement";"inprocess valuation",#N/A,FALSE,"Valuation Analysis";"inprocess income statement",#N/A,FALSE,"Abbreviated Income Statement"}</definedName>
    <definedName name="wrn.technology." localSheetId="54" hidden="1">{"developed valuation",#N/A,FALSE,"Valuation Analysis";"developed income statement",#N/A,FALSE,"Abbreviated Income Statement";"inprocess valuation",#N/A,FALSE,"Valuation Analysis";"inprocess income statement",#N/A,FALSE,"Abbreviated Income Statement"}</definedName>
    <definedName name="wrn.technology." localSheetId="13" hidden="1">{"developed valuation",#N/A,FALSE,"Valuation Analysis";"developed income statement",#N/A,FALSE,"Abbreviated Income Statement";"inprocess valuation",#N/A,FALSE,"Valuation Analysis";"inprocess income statement",#N/A,FALSE,"Abbreviated Income Statement"}</definedName>
    <definedName name="wrn.technology." localSheetId="63" hidden="1">{"developed valuation",#N/A,FALSE,"Valuation Analysis";"developed income statement",#N/A,FALSE,"Abbreviated Income Statement";"inprocess valuation",#N/A,FALSE,"Valuation Analysis";"inprocess income statement",#N/A,FALSE,"Abbreviated Income Statement"}</definedName>
    <definedName name="wrn.technology." localSheetId="31" hidden="1">{"developed valuation",#N/A,FALSE,"Valuation Analysis";"developed income statement",#N/A,FALSE,"Abbreviated Income Statement";"inprocess valuation",#N/A,FALSE,"Valuation Analysis";"inprocess income statement",#N/A,FALSE,"Abbreviated Income Statement"}</definedName>
    <definedName name="wrn.technology." localSheetId="61" hidden="1">{"developed valuation",#N/A,FALSE,"Valuation Analysis";"developed income statement",#N/A,FALSE,"Abbreviated Income Statement";"inprocess valuation",#N/A,FALSE,"Valuation Analysis";"inprocess income statement",#N/A,FALSE,"Abbreviated Income Statement"}</definedName>
    <definedName name="wrn.technology." localSheetId="45" hidden="1">{"developed valuation",#N/A,FALSE,"Valuation Analysis";"developed income statement",#N/A,FALSE,"Abbreviated Income Statement";"inprocess valuation",#N/A,FALSE,"Valuation Analysis";"inprocess income statement",#N/A,FALSE,"Abbreviated Income Statement"}</definedName>
    <definedName name="wrn.technology." localSheetId="90" hidden="1">{"developed valuation",#N/A,FALSE,"Valuation Analysis";"developed income statement",#N/A,FALSE,"Abbreviated Income Statement";"inprocess valuation",#N/A,FALSE,"Valuation Analysis";"inprocess income statement",#N/A,FALSE,"Abbreviated Income Statement"}</definedName>
    <definedName name="wrn.technology." localSheetId="19" hidden="1">{"developed valuation",#N/A,FALSE,"Valuation Analysis";"developed income statement",#N/A,FALSE,"Abbreviated Income Statement";"inprocess valuation",#N/A,FALSE,"Valuation Analysis";"inprocess income statement",#N/A,FALSE,"Abbreviated Income Statement"}</definedName>
    <definedName name="wrn.technology." localSheetId="57"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hree._.Month._.I.S." localSheetId="55" hidden="1">{"Landscape Detail IS",#N/A,FALSE,"Three Months Ended 8.31.96";"Portrait Summary IS",#N/A,FALSE,"Three Months Ended 8.31.96"}</definedName>
    <definedName name="wrn.Three._.Month._.I.S." localSheetId="93" hidden="1">{"Landscape Detail IS",#N/A,FALSE,"Three Months Ended 8.31.96";"Portrait Summary IS",#N/A,FALSE,"Three Months Ended 8.31.96"}</definedName>
    <definedName name="wrn.Three._.Month._.I.S." localSheetId="12" hidden="1">{"Landscape Detail IS",#N/A,FALSE,"Three Months Ended 8.31.96";"Portrait Summary IS",#N/A,FALSE,"Three Months Ended 8.31.96"}</definedName>
    <definedName name="wrn.Three._.Month._.I.S." localSheetId="47" hidden="1">{"Landscape Detail IS",#N/A,FALSE,"Three Months Ended 8.31.96";"Portrait Summary IS",#N/A,FALSE,"Three Months Ended 8.31.96"}</definedName>
    <definedName name="wrn.Three._.Month._.I.S." localSheetId="15" hidden="1">{"Landscape Detail IS",#N/A,FALSE,"Three Months Ended 8.31.96";"Portrait Summary IS",#N/A,FALSE,"Three Months Ended 8.31.96"}</definedName>
    <definedName name="wrn.Three._.Month._.I.S." localSheetId="101" hidden="1">{"Landscape Detail IS",#N/A,FALSE,"Three Months Ended 8.31.96";"Portrait Summary IS",#N/A,FALSE,"Three Months Ended 8.31.96"}</definedName>
    <definedName name="wrn.Three._.Month._.I.S." localSheetId="39" hidden="1">{"Landscape Detail IS",#N/A,FALSE,"Three Months Ended 8.31.96";"Portrait Summary IS",#N/A,FALSE,"Three Months Ended 8.31.96"}</definedName>
    <definedName name="wrn.Three._.Month._.I.S." localSheetId="64" hidden="1">{"Landscape Detail IS",#N/A,FALSE,"Three Months Ended 8.31.96";"Portrait Summary IS",#N/A,FALSE,"Three Months Ended 8.31.96"}</definedName>
    <definedName name="wrn.Three._.Month._.I.S." localSheetId="54" hidden="1">{"Landscape Detail IS",#N/A,FALSE,"Three Months Ended 8.31.96";"Portrait Summary IS",#N/A,FALSE,"Three Months Ended 8.31.96"}</definedName>
    <definedName name="wrn.Three._.Month._.I.S." localSheetId="13" hidden="1">{"Landscape Detail IS",#N/A,FALSE,"Three Months Ended 8.31.96";"Portrait Summary IS",#N/A,FALSE,"Three Months Ended 8.31.96"}</definedName>
    <definedName name="wrn.Three._.Month._.I.S." localSheetId="63" hidden="1">{"Landscape Detail IS",#N/A,FALSE,"Three Months Ended 8.31.96";"Portrait Summary IS",#N/A,FALSE,"Three Months Ended 8.31.96"}</definedName>
    <definedName name="wrn.Three._.Month._.I.S." localSheetId="31" hidden="1">{"Landscape Detail IS",#N/A,FALSE,"Three Months Ended 8.31.96";"Portrait Summary IS",#N/A,FALSE,"Three Months Ended 8.31.96"}</definedName>
    <definedName name="wrn.Three._.Month._.I.S." localSheetId="61" hidden="1">{"Landscape Detail IS",#N/A,FALSE,"Three Months Ended 8.31.96";"Portrait Summary IS",#N/A,FALSE,"Three Months Ended 8.31.96"}</definedName>
    <definedName name="wrn.Three._.Month._.I.S." localSheetId="45" hidden="1">{"Landscape Detail IS",#N/A,FALSE,"Three Months Ended 8.31.96";"Portrait Summary IS",#N/A,FALSE,"Three Months Ended 8.31.96"}</definedName>
    <definedName name="wrn.Three._.Month._.I.S." localSheetId="90" hidden="1">{"Landscape Detail IS",#N/A,FALSE,"Three Months Ended 8.31.96";"Portrait Summary IS",#N/A,FALSE,"Three Months Ended 8.31.96"}</definedName>
    <definedName name="wrn.Three._.Month._.I.S." localSheetId="19" hidden="1">{"Landscape Detail IS",#N/A,FALSE,"Three Months Ended 8.31.96";"Portrait Summary IS",#N/A,FALSE,"Three Months Ended 8.31.96"}</definedName>
    <definedName name="wrn.Three._.Month._.I.S." localSheetId="57" hidden="1">{"Landscape Detail IS",#N/A,FALSE,"Three Months Ended 8.31.96";"Portrait Summary IS",#N/A,FALSE,"Three Months Ended 8.31.96"}</definedName>
    <definedName name="wrn.Three._.Month._.I.S." hidden="1">{"Landscape Detail IS",#N/A,FALSE,"Three Months Ended 8.31.96";"Portrait Summary IS",#N/A,FALSE,"Three Months Ended 8.31.96"}</definedName>
    <definedName name="wrn.trademark._.and._.trade._.name." localSheetId="55" hidden="1">{"trademark1",#N/A,FALSE,"Trademark(s) and Trade Name(s)"}</definedName>
    <definedName name="wrn.trademark._.and._.trade._.name." localSheetId="59" hidden="1">{"trademark1",#N/A,FALSE,"Trademark(s) and Trade Name(s)"}</definedName>
    <definedName name="wrn.trademark._.and._.trade._.name." localSheetId="93" hidden="1">{"trademark1",#N/A,FALSE,"Trademark(s) and Trade Name(s)"}</definedName>
    <definedName name="wrn.trademark._.and._.trade._.name." localSheetId="12" hidden="1">{"trademark1",#N/A,FALSE,"Trademark(s) and Trade Name(s)"}</definedName>
    <definedName name="wrn.trademark._.and._.trade._.name." localSheetId="62" hidden="1">{"trademark1",#N/A,FALSE,"Trademark(s) and Trade Name(s)"}</definedName>
    <definedName name="wrn.trademark._.and._.trade._.name." localSheetId="47" hidden="1">{"trademark1",#N/A,FALSE,"Trademark(s) and Trade Name(s)"}</definedName>
    <definedName name="wrn.trademark._.and._.trade._.name." localSheetId="15" hidden="1">{"trademark1",#N/A,FALSE,"Trademark(s) and Trade Name(s)"}</definedName>
    <definedName name="wrn.trademark._.and._.trade._.name." localSheetId="101" hidden="1">{"trademark1",#N/A,FALSE,"Trademark(s) and Trade Name(s)"}</definedName>
    <definedName name="wrn.trademark._.and._.trade._.name." localSheetId="60" hidden="1">{"trademark1",#N/A,FALSE,"Trademark(s) and Trade Name(s)"}</definedName>
    <definedName name="wrn.trademark._.and._.trade._.name." localSheetId="39" hidden="1">{"trademark1",#N/A,FALSE,"Trademark(s) and Trade Name(s)"}</definedName>
    <definedName name="wrn.trademark._.and._.trade._.name." localSheetId="58" hidden="1">{"trademark1",#N/A,FALSE,"Trademark(s) and Trade Name(s)"}</definedName>
    <definedName name="wrn.trademark._.and._.trade._.name." localSheetId="64" hidden="1">{"trademark1",#N/A,FALSE,"Trademark(s) and Trade Name(s)"}</definedName>
    <definedName name="wrn.trademark._.and._.trade._.name." localSheetId="54" hidden="1">{"trademark1",#N/A,FALSE,"Trademark(s) and Trade Name(s)"}</definedName>
    <definedName name="wrn.trademark._.and._.trade._.name." localSheetId="13" hidden="1">{"trademark1",#N/A,FALSE,"Trademark(s) and Trade Name(s)"}</definedName>
    <definedName name="wrn.trademark._.and._.trade._.name." localSheetId="63" hidden="1">{"trademark1",#N/A,FALSE,"Trademark(s) and Trade Name(s)"}</definedName>
    <definedName name="wrn.trademark._.and._.trade._.name." localSheetId="31" hidden="1">{"trademark1",#N/A,FALSE,"Trademark(s) and Trade Name(s)"}</definedName>
    <definedName name="wrn.trademark._.and._.trade._.name." localSheetId="61" hidden="1">{"trademark1",#N/A,FALSE,"Trademark(s) and Trade Name(s)"}</definedName>
    <definedName name="wrn.trademark._.and._.trade._.name." localSheetId="45" hidden="1">{"trademark1",#N/A,FALSE,"Trademark(s) and Trade Name(s)"}</definedName>
    <definedName name="wrn.trademark._.and._.trade._.name." localSheetId="90" hidden="1">{"trademark1",#N/A,FALSE,"Trademark(s) and Trade Name(s)"}</definedName>
    <definedName name="wrn.trademark._.and._.trade._.name." localSheetId="19" hidden="1">{"trademark1",#N/A,FALSE,"Trademark(s) and Trade Name(s)"}</definedName>
    <definedName name="wrn.trademark._.and._.trade._.name." localSheetId="57" hidden="1">{"trademark1",#N/A,FALSE,"Trademark(s) and Trade Name(s)"}</definedName>
    <definedName name="wrn.trademark._.and._.trade._.name." hidden="1">{"trademark1",#N/A,FALSE,"Trademark(s) and Trade Name(s)"}</definedName>
    <definedName name="wrn.wara." localSheetId="55" hidden="1">{"weighted average returns",#N/A,FALSE,"WACC and WARA"}</definedName>
    <definedName name="wrn.wara." localSheetId="59" hidden="1">{"weighted average returns",#N/A,FALSE,"WACC and WARA"}</definedName>
    <definedName name="wrn.wara." localSheetId="93" hidden="1">{"weighted average returns",#N/A,FALSE,"WACC and WARA"}</definedName>
    <definedName name="wrn.wara." localSheetId="12" hidden="1">{"weighted average returns",#N/A,FALSE,"WACC and WARA"}</definedName>
    <definedName name="wrn.wara." localSheetId="62" hidden="1">{"weighted average returns",#N/A,FALSE,"WACC and WARA"}</definedName>
    <definedName name="wrn.wara." localSheetId="47" hidden="1">{"weighted average returns",#N/A,FALSE,"WACC and WARA"}</definedName>
    <definedName name="wrn.wara." localSheetId="15" hidden="1">{"weighted average returns",#N/A,FALSE,"WACC and WARA"}</definedName>
    <definedName name="wrn.wara." localSheetId="101" hidden="1">{"weighted average returns",#N/A,FALSE,"WACC and WARA"}</definedName>
    <definedName name="wrn.wara." localSheetId="60" hidden="1">{"weighted average returns",#N/A,FALSE,"WACC and WARA"}</definedName>
    <definedName name="wrn.wara." localSheetId="39" hidden="1">{"weighted average returns",#N/A,FALSE,"WACC and WARA"}</definedName>
    <definedName name="wrn.wara." localSheetId="58" hidden="1">{"weighted average returns",#N/A,FALSE,"WACC and WARA"}</definedName>
    <definedName name="wrn.wara." localSheetId="64" hidden="1">{"weighted average returns",#N/A,FALSE,"WACC and WARA"}</definedName>
    <definedName name="wrn.wara." localSheetId="54" hidden="1">{"weighted average returns",#N/A,FALSE,"WACC and WARA"}</definedName>
    <definedName name="wrn.wara." localSheetId="13" hidden="1">{"weighted average returns",#N/A,FALSE,"WACC and WARA"}</definedName>
    <definedName name="wrn.wara." localSheetId="63" hidden="1">{"weighted average returns",#N/A,FALSE,"WACC and WARA"}</definedName>
    <definedName name="wrn.wara." localSheetId="31" hidden="1">{"weighted average returns",#N/A,FALSE,"WACC and WARA"}</definedName>
    <definedName name="wrn.wara." localSheetId="61" hidden="1">{"weighted average returns",#N/A,FALSE,"WACC and WARA"}</definedName>
    <definedName name="wrn.wara." localSheetId="45" hidden="1">{"weighted average returns",#N/A,FALSE,"WACC and WARA"}</definedName>
    <definedName name="wrn.wara." localSheetId="90" hidden="1">{"weighted average returns",#N/A,FALSE,"WACC and WARA"}</definedName>
    <definedName name="wrn.wara." localSheetId="19" hidden="1">{"weighted average returns",#N/A,FALSE,"WACC and WARA"}</definedName>
    <definedName name="wrn.wara." localSheetId="57" hidden="1">{"weighted average returns",#N/A,FALSE,"WACC and WARA"}</definedName>
    <definedName name="wrn.wara." hidden="1">{"weighted average returns",#N/A,FALSE,"WACC and WARA"}</definedName>
    <definedName name="wrn.Washington._.4._.Plans." localSheetId="47" hidden="1">{#N/A,#N/A,FALSE,"Washington Plan 1";#N/A,#N/A,FALSE,"Washington Plan 2";#N/A,#N/A,FALSE,"Washington Plan 3";#N/A,#N/A,FALSE,"Washington Plan 4";#N/A,#N/A,FALSE,"WA 50th";#N/A,#N/A,FALSE,"Summary"}</definedName>
    <definedName name="wrn.Washington._.4._.Plans." localSheetId="54" hidden="1">{#N/A,#N/A,FALSE,"Washington Plan 1";#N/A,#N/A,FALSE,"Washington Plan 2";#N/A,#N/A,FALSE,"Washington Plan 3";#N/A,#N/A,FALSE,"Washington Plan 4";#N/A,#N/A,FALSE,"WA 50th";#N/A,#N/A,FALSE,"Summary"}</definedName>
    <definedName name="wrn.Washington._.4._.Plans." hidden="1">{#N/A,#N/A,FALSE,"Washington Plan 1";#N/A,#N/A,FALSE,"Washington Plan 2";#N/A,#N/A,FALSE,"Washington Plan 3";#N/A,#N/A,FALSE,"Washington Plan 4";#N/A,#N/A,FALSE,"WA 50th";#N/A,#N/A,FALSE,"Summary"}</definedName>
    <definedName name="wrn.Whole._.Model." localSheetId="55" hidden="1">{#N/A,#N/A,FALSE,"Model";#N/A,#N/A,FALSE,"Gen Pts &amp; Rts 2000";#N/A,#N/A,FALSE,"AcqsAss";#N/A,#N/A,FALSE,"Acqs &amp; De Novos"}</definedName>
    <definedName name="wrn.Whole._.Model." localSheetId="59" hidden="1">{#N/A,#N/A,FALSE,"Model";#N/A,#N/A,FALSE,"Gen Pts &amp; Rts 2000";#N/A,#N/A,FALSE,"AcqsAss";#N/A,#N/A,FALSE,"Acqs &amp; De Novos"}</definedName>
    <definedName name="wrn.Whole._.Model." localSheetId="93" hidden="1">{#N/A,#N/A,FALSE,"Model";#N/A,#N/A,FALSE,"Gen Pts &amp; Rts 2000";#N/A,#N/A,FALSE,"AcqsAss";#N/A,#N/A,FALSE,"Acqs &amp; De Novos"}</definedName>
    <definedName name="wrn.Whole._.Model." localSheetId="12" hidden="1">{#N/A,#N/A,FALSE,"Model";#N/A,#N/A,FALSE,"Gen Pts &amp; Rts 2000";#N/A,#N/A,FALSE,"AcqsAss";#N/A,#N/A,FALSE,"Acqs &amp; De Novos"}</definedName>
    <definedName name="wrn.Whole._.Model." localSheetId="62" hidden="1">{#N/A,#N/A,FALSE,"Model";#N/A,#N/A,FALSE,"Gen Pts &amp; Rts 2000";#N/A,#N/A,FALSE,"AcqsAss";#N/A,#N/A,FALSE,"Acqs &amp; De Novos"}</definedName>
    <definedName name="wrn.Whole._.Model." localSheetId="47" hidden="1">{#N/A,#N/A,FALSE,"Model";#N/A,#N/A,FALSE,"Gen Pts &amp; Rts 2000";#N/A,#N/A,FALSE,"AcqsAss";#N/A,#N/A,FALSE,"Acqs &amp; De Novos"}</definedName>
    <definedName name="wrn.Whole._.Model." localSheetId="15" hidden="1">{#N/A,#N/A,FALSE,"Model";#N/A,#N/A,FALSE,"Gen Pts &amp; Rts 2000";#N/A,#N/A,FALSE,"AcqsAss";#N/A,#N/A,FALSE,"Acqs &amp; De Novos"}</definedName>
    <definedName name="wrn.Whole._.Model." localSheetId="101" hidden="1">{#N/A,#N/A,FALSE,"Model";#N/A,#N/A,FALSE,"Gen Pts &amp; Rts 2000";#N/A,#N/A,FALSE,"AcqsAss";#N/A,#N/A,FALSE,"Acqs &amp; De Novos"}</definedName>
    <definedName name="wrn.Whole._.Model." localSheetId="60" hidden="1">{#N/A,#N/A,FALSE,"Model";#N/A,#N/A,FALSE,"Gen Pts &amp; Rts 2000";#N/A,#N/A,FALSE,"AcqsAss";#N/A,#N/A,FALSE,"Acqs &amp; De Novos"}</definedName>
    <definedName name="wrn.Whole._.Model." localSheetId="39" hidden="1">{#N/A,#N/A,FALSE,"Model";#N/A,#N/A,FALSE,"Gen Pts &amp; Rts 2000";#N/A,#N/A,FALSE,"AcqsAss";#N/A,#N/A,FALSE,"Acqs &amp; De Novos"}</definedName>
    <definedName name="wrn.Whole._.Model." localSheetId="58" hidden="1">{#N/A,#N/A,FALSE,"Model";#N/A,#N/A,FALSE,"Gen Pts &amp; Rts 2000";#N/A,#N/A,FALSE,"AcqsAss";#N/A,#N/A,FALSE,"Acqs &amp; De Novos"}</definedName>
    <definedName name="wrn.Whole._.Model." localSheetId="64" hidden="1">{#N/A,#N/A,FALSE,"Model";#N/A,#N/A,FALSE,"Gen Pts &amp; Rts 2000";#N/A,#N/A,FALSE,"AcqsAss";#N/A,#N/A,FALSE,"Acqs &amp; De Novos"}</definedName>
    <definedName name="wrn.Whole._.Model." localSheetId="54" hidden="1">{#N/A,#N/A,FALSE,"Model";#N/A,#N/A,FALSE,"Gen Pts &amp; Rts 2000";#N/A,#N/A,FALSE,"AcqsAss";#N/A,#N/A,FALSE,"Acqs &amp; De Novos"}</definedName>
    <definedName name="wrn.Whole._.Model." localSheetId="13" hidden="1">{#N/A,#N/A,FALSE,"Model";#N/A,#N/A,FALSE,"Gen Pts &amp; Rts 2000";#N/A,#N/A,FALSE,"AcqsAss";#N/A,#N/A,FALSE,"Acqs &amp; De Novos"}</definedName>
    <definedName name="wrn.Whole._.Model." localSheetId="63" hidden="1">{#N/A,#N/A,FALSE,"Model";#N/A,#N/A,FALSE,"Gen Pts &amp; Rts 2000";#N/A,#N/A,FALSE,"AcqsAss";#N/A,#N/A,FALSE,"Acqs &amp; De Novos"}</definedName>
    <definedName name="wrn.Whole._.Model." localSheetId="31" hidden="1">{#N/A,#N/A,FALSE,"Model";#N/A,#N/A,FALSE,"Gen Pts &amp; Rts 2000";#N/A,#N/A,FALSE,"AcqsAss";#N/A,#N/A,FALSE,"Acqs &amp; De Novos"}</definedName>
    <definedName name="wrn.Whole._.Model." localSheetId="61" hidden="1">{#N/A,#N/A,FALSE,"Model";#N/A,#N/A,FALSE,"Gen Pts &amp; Rts 2000";#N/A,#N/A,FALSE,"AcqsAss";#N/A,#N/A,FALSE,"Acqs &amp; De Novos"}</definedName>
    <definedName name="wrn.Whole._.Model." localSheetId="45" hidden="1">{#N/A,#N/A,FALSE,"Model";#N/A,#N/A,FALSE,"Gen Pts &amp; Rts 2000";#N/A,#N/A,FALSE,"AcqsAss";#N/A,#N/A,FALSE,"Acqs &amp; De Novos"}</definedName>
    <definedName name="wrn.Whole._.Model." localSheetId="90" hidden="1">{#N/A,#N/A,FALSE,"Model";#N/A,#N/A,FALSE,"Gen Pts &amp; Rts 2000";#N/A,#N/A,FALSE,"AcqsAss";#N/A,#N/A,FALSE,"Acqs &amp; De Novos"}</definedName>
    <definedName name="wrn.Whole._.Model." localSheetId="19" hidden="1">{#N/A,#N/A,FALSE,"Model";#N/A,#N/A,FALSE,"Gen Pts &amp; Rts 2000";#N/A,#N/A,FALSE,"AcqsAss";#N/A,#N/A,FALSE,"Acqs &amp; De Novos"}</definedName>
    <definedName name="wrn.Whole._.Model." localSheetId="57" hidden="1">{#N/A,#N/A,FALSE,"Model";#N/A,#N/A,FALSE,"Gen Pts &amp; Rts 2000";#N/A,#N/A,FALSE,"AcqsAss";#N/A,#N/A,FALSE,"Acqs &amp; De Novos"}</definedName>
    <definedName name="wrn.Whole._.Model." hidden="1">{#N/A,#N/A,FALSE,"Model";#N/A,#N/A,FALSE,"Gen Pts &amp; Rts 2000";#N/A,#N/A,FALSE,"AcqsAss";#N/A,#N/A,FALSE,"Acqs &amp; De Novos"}</definedName>
    <definedName name="wrn.work._.paper._.shcedules." localSheetId="55" hidden="1">{"summary1",#N/A,FALSE,"Summary of Values";"summary2",#N/A,FALSE,"Summary of Values";"weighted average returns",#N/A,FALSE,"WACC and WARA";"fixed asset detail",#N/A,FALSE,"Fixed Asset Detail"}</definedName>
    <definedName name="wrn.work._.paper._.shcedules." localSheetId="59" hidden="1">{"summary1",#N/A,FALSE,"Summary of Values";"summary2",#N/A,FALSE,"Summary of Values";"weighted average returns",#N/A,FALSE,"WACC and WARA";"fixed asset detail",#N/A,FALSE,"Fixed Asset Detail"}</definedName>
    <definedName name="wrn.work._.paper._.shcedules." localSheetId="93" hidden="1">{"summary1",#N/A,FALSE,"Summary of Values";"summary2",#N/A,FALSE,"Summary of Values";"weighted average returns",#N/A,FALSE,"WACC and WARA";"fixed asset detail",#N/A,FALSE,"Fixed Asset Detail"}</definedName>
    <definedName name="wrn.work._.paper._.shcedules." localSheetId="12" hidden="1">{"summary1",#N/A,FALSE,"Summary of Values";"summary2",#N/A,FALSE,"Summary of Values";"weighted average returns",#N/A,FALSE,"WACC and WARA";"fixed asset detail",#N/A,FALSE,"Fixed Asset Detail"}</definedName>
    <definedName name="wrn.work._.paper._.shcedules." localSheetId="62" hidden="1">{"summary1",#N/A,FALSE,"Summary of Values";"summary2",#N/A,FALSE,"Summary of Values";"weighted average returns",#N/A,FALSE,"WACC and WARA";"fixed asset detail",#N/A,FALSE,"Fixed Asset Detail"}</definedName>
    <definedName name="wrn.work._.paper._.shcedules." localSheetId="47" hidden="1">{"summary1",#N/A,FALSE,"Summary of Values";"summary2",#N/A,FALSE,"Summary of Values";"weighted average returns",#N/A,FALSE,"WACC and WARA";"fixed asset detail",#N/A,FALSE,"Fixed Asset Detail"}</definedName>
    <definedName name="wrn.work._.paper._.shcedules." localSheetId="15" hidden="1">{"summary1",#N/A,FALSE,"Summary of Values";"summary2",#N/A,FALSE,"Summary of Values";"weighted average returns",#N/A,FALSE,"WACC and WARA";"fixed asset detail",#N/A,FALSE,"Fixed Asset Detail"}</definedName>
    <definedName name="wrn.work._.paper._.shcedules." localSheetId="101" hidden="1">{"summary1",#N/A,FALSE,"Summary of Values";"summary2",#N/A,FALSE,"Summary of Values";"weighted average returns",#N/A,FALSE,"WACC and WARA";"fixed asset detail",#N/A,FALSE,"Fixed Asset Detail"}</definedName>
    <definedName name="wrn.work._.paper._.shcedules." localSheetId="60" hidden="1">{"summary1",#N/A,FALSE,"Summary of Values";"summary2",#N/A,FALSE,"Summary of Values";"weighted average returns",#N/A,FALSE,"WACC and WARA";"fixed asset detail",#N/A,FALSE,"Fixed Asset Detail"}</definedName>
    <definedName name="wrn.work._.paper._.shcedules." localSheetId="39" hidden="1">{"summary1",#N/A,FALSE,"Summary of Values";"summary2",#N/A,FALSE,"Summary of Values";"weighted average returns",#N/A,FALSE,"WACC and WARA";"fixed asset detail",#N/A,FALSE,"Fixed Asset Detail"}</definedName>
    <definedName name="wrn.work._.paper._.shcedules." localSheetId="58" hidden="1">{"summary1",#N/A,FALSE,"Summary of Values";"summary2",#N/A,FALSE,"Summary of Values";"weighted average returns",#N/A,FALSE,"WACC and WARA";"fixed asset detail",#N/A,FALSE,"Fixed Asset Detail"}</definedName>
    <definedName name="wrn.work._.paper._.shcedules." localSheetId="64" hidden="1">{"summary1",#N/A,FALSE,"Summary of Values";"summary2",#N/A,FALSE,"Summary of Values";"weighted average returns",#N/A,FALSE,"WACC and WARA";"fixed asset detail",#N/A,FALSE,"Fixed Asset Detail"}</definedName>
    <definedName name="wrn.work._.paper._.shcedules." localSheetId="54" hidden="1">{"summary1",#N/A,FALSE,"Summary of Values";"summary2",#N/A,FALSE,"Summary of Values";"weighted average returns",#N/A,FALSE,"WACC and WARA";"fixed asset detail",#N/A,FALSE,"Fixed Asset Detail"}</definedName>
    <definedName name="wrn.work._.paper._.shcedules." localSheetId="13" hidden="1">{"summary1",#N/A,FALSE,"Summary of Values";"summary2",#N/A,FALSE,"Summary of Values";"weighted average returns",#N/A,FALSE,"WACC and WARA";"fixed asset detail",#N/A,FALSE,"Fixed Asset Detail"}</definedName>
    <definedName name="wrn.work._.paper._.shcedules." localSheetId="63" hidden="1">{"summary1",#N/A,FALSE,"Summary of Values";"summary2",#N/A,FALSE,"Summary of Values";"weighted average returns",#N/A,FALSE,"WACC and WARA";"fixed asset detail",#N/A,FALSE,"Fixed Asset Detail"}</definedName>
    <definedName name="wrn.work._.paper._.shcedules." localSheetId="31" hidden="1">{"summary1",#N/A,FALSE,"Summary of Values";"summary2",#N/A,FALSE,"Summary of Values";"weighted average returns",#N/A,FALSE,"WACC and WARA";"fixed asset detail",#N/A,FALSE,"Fixed Asset Detail"}</definedName>
    <definedName name="wrn.work._.paper._.shcedules." localSheetId="61" hidden="1">{"summary1",#N/A,FALSE,"Summary of Values";"summary2",#N/A,FALSE,"Summary of Values";"weighted average returns",#N/A,FALSE,"WACC and WARA";"fixed asset detail",#N/A,FALSE,"Fixed Asset Detail"}</definedName>
    <definedName name="wrn.work._.paper._.shcedules." localSheetId="45" hidden="1">{"summary1",#N/A,FALSE,"Summary of Values";"summary2",#N/A,FALSE,"Summary of Values";"weighted average returns",#N/A,FALSE,"WACC and WARA";"fixed asset detail",#N/A,FALSE,"Fixed Asset Detail"}</definedName>
    <definedName name="wrn.work._.paper._.shcedules." localSheetId="90" hidden="1">{"summary1",#N/A,FALSE,"Summary of Values";"summary2",#N/A,FALSE,"Summary of Values";"weighted average returns",#N/A,FALSE,"WACC and WARA";"fixed asset detail",#N/A,FALSE,"Fixed Asset Detail"}</definedName>
    <definedName name="wrn.work._.paper._.shcedules." localSheetId="19" hidden="1">{"summary1",#N/A,FALSE,"Summary of Values";"summary2",#N/A,FALSE,"Summary of Values";"weighted average returns",#N/A,FALSE,"WACC and WARA";"fixed asset detail",#N/A,FALSE,"Fixed Asset Detail"}</definedName>
    <definedName name="wrn.work._.paper._.shcedules." localSheetId="57"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rn2.Basic" localSheetId="47" hidden="1">{#N/A,#N/A,FALSE,"e-Svc Level";#N/A,#N/A,FALSE,"e-Hosted";#N/A,#N/A,FALSE,"e-Licensed";#N/A,#N/A,FALSE,"Assumptions"}</definedName>
    <definedName name="wrn2.Basic" localSheetId="54" hidden="1">{#N/A,#N/A,FALSE,"e-Svc Level";#N/A,#N/A,FALSE,"e-Hosted";#N/A,#N/A,FALSE,"e-Licensed";#N/A,#N/A,FALSE,"Assumptions"}</definedName>
    <definedName name="wrn2.Basic" hidden="1">{#N/A,#N/A,FALSE,"e-Svc Level";#N/A,#N/A,FALSE,"e-Hosted";#N/A,#N/A,FALSE,"e-Licensed";#N/A,#N/A,FALSE,"Assumptions"}</definedName>
    <definedName name="wrn2.Basic." localSheetId="47" hidden="1">{#N/A,#N/A,FALSE,"e-Svc Level";#N/A,#N/A,FALSE,"e-Hosted";#N/A,#N/A,FALSE,"e-Licensed";#N/A,#N/A,FALSE,"Assumptions"}</definedName>
    <definedName name="wrn2.Basic." localSheetId="54" hidden="1">{#N/A,#N/A,FALSE,"e-Svc Level";#N/A,#N/A,FALSE,"e-Hosted";#N/A,#N/A,FALSE,"e-Licensed";#N/A,#N/A,FALSE,"Assumptions"}</definedName>
    <definedName name="wrn2.Basic." hidden="1">{#N/A,#N/A,FALSE,"e-Svc Level";#N/A,#N/A,FALSE,"e-Hosted";#N/A,#N/A,FALSE,"e-Licensed";#N/A,#N/A,FALSE,"Assumptions"}</definedName>
    <definedName name="wrn2.Basic2" localSheetId="47" hidden="1">{#N/A,#N/A,FALSE,"e-Svc Level";#N/A,#N/A,FALSE,"e-Hosted";#N/A,#N/A,FALSE,"e-Licensed";#N/A,#N/A,FALSE,"Assumptions"}</definedName>
    <definedName name="wrn2.Basic2" localSheetId="54" hidden="1">{#N/A,#N/A,FALSE,"e-Svc Level";#N/A,#N/A,FALSE,"e-Hosted";#N/A,#N/A,FALSE,"e-Licensed";#N/A,#N/A,FALSE,"Assumptions"}</definedName>
    <definedName name="wrn2.Basic2" hidden="1">{#N/A,#N/A,FALSE,"e-Svc Level";#N/A,#N/A,FALSE,"e-Hosted";#N/A,#N/A,FALSE,"e-Licensed";#N/A,#N/A,FALSE,"Assumptions"}</definedName>
    <definedName name="wrn3.Basic." localSheetId="47" hidden="1">{#N/A,#N/A,FALSE,"e-Svc Level";#N/A,#N/A,FALSE,"e-Hosted";#N/A,#N/A,FALSE,"e-Licensed";#N/A,#N/A,FALSE,"Assumptions"}</definedName>
    <definedName name="wrn3.Basic." localSheetId="54" hidden="1">{#N/A,#N/A,FALSE,"e-Svc Level";#N/A,#N/A,FALSE,"e-Hosted";#N/A,#N/A,FALSE,"e-Licensed";#N/A,#N/A,FALSE,"Assumptions"}</definedName>
    <definedName name="wrn3.Basic." hidden="1">{#N/A,#N/A,FALSE,"e-Svc Level";#N/A,#N/A,FALSE,"e-Hosted";#N/A,#N/A,FALSE,"e-Licensed";#N/A,#N/A,FALSE,"Assumptions"}</definedName>
    <definedName name="wvu.inputs._.raw._.data." localSheetId="5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6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6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6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6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6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5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6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6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6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6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6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6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6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6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6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6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6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6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6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6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6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55" hidden="1">{#N/A,#N/A,FALSE,"Bakersfield PCs";#N/A,#N/A,FALSE,"Bremer PCs";#N/A,#N/A,FALSE,"Bakersfield Notebooks"}</definedName>
    <definedName name="ww" localSheetId="59" hidden="1">{#N/A,#N/A,FALSE,"Bakersfield PCs";#N/A,#N/A,FALSE,"Bremer PCs";#N/A,#N/A,FALSE,"Bakersfield Notebooks"}</definedName>
    <definedName name="ww" localSheetId="93" hidden="1">{#N/A,#N/A,FALSE,"Bakersfield PCs";#N/A,#N/A,FALSE,"Bremer PCs";#N/A,#N/A,FALSE,"Bakersfield Notebooks"}</definedName>
    <definedName name="ww" localSheetId="12" hidden="1">{#N/A,#N/A,FALSE,"Bakersfield PCs";#N/A,#N/A,FALSE,"Bremer PCs";#N/A,#N/A,FALSE,"Bakersfield Notebooks"}</definedName>
    <definedName name="ww" localSheetId="62" hidden="1">{#N/A,#N/A,FALSE,"Bakersfield PCs";#N/A,#N/A,FALSE,"Bremer PCs";#N/A,#N/A,FALSE,"Bakersfield Notebooks"}</definedName>
    <definedName name="ww" localSheetId="47" hidden="1">{#N/A,#N/A,FALSE,"Bakersfield PCs";#N/A,#N/A,FALSE,"Bremer PCs";#N/A,#N/A,FALSE,"Bakersfield Notebooks"}</definedName>
    <definedName name="ww" localSheetId="15" hidden="1">{#N/A,#N/A,FALSE,"Bakersfield PCs";#N/A,#N/A,FALSE,"Bremer PCs";#N/A,#N/A,FALSE,"Bakersfield Notebooks"}</definedName>
    <definedName name="ww" localSheetId="101" hidden="1">{#N/A,#N/A,FALSE,"Bakersfield PCs";#N/A,#N/A,FALSE,"Bremer PCs";#N/A,#N/A,FALSE,"Bakersfield Notebooks"}</definedName>
    <definedName name="ww" localSheetId="60" hidden="1">{#N/A,#N/A,FALSE,"Bakersfield PCs";#N/A,#N/A,FALSE,"Bremer PCs";#N/A,#N/A,FALSE,"Bakersfield Notebooks"}</definedName>
    <definedName name="ww" localSheetId="39" hidden="1">{#N/A,#N/A,FALSE,"Bakersfield PCs";#N/A,#N/A,FALSE,"Bremer PCs";#N/A,#N/A,FALSE,"Bakersfield Notebooks"}</definedName>
    <definedName name="ww" localSheetId="58" hidden="1">{#N/A,#N/A,FALSE,"Bakersfield PCs";#N/A,#N/A,FALSE,"Bremer PCs";#N/A,#N/A,FALSE,"Bakersfield Notebooks"}</definedName>
    <definedName name="ww" localSheetId="64" hidden="1">{#N/A,#N/A,FALSE,"Bakersfield PCs";#N/A,#N/A,FALSE,"Bremer PCs";#N/A,#N/A,FALSE,"Bakersfield Notebooks"}</definedName>
    <definedName name="ww" localSheetId="54" hidden="1">{#N/A,#N/A,FALSE,"Bakersfield PCs";#N/A,#N/A,FALSE,"Bremer PCs";#N/A,#N/A,FALSE,"Bakersfield Notebooks"}</definedName>
    <definedName name="ww" localSheetId="13" hidden="1">{#N/A,#N/A,FALSE,"Bakersfield PCs";#N/A,#N/A,FALSE,"Bremer PCs";#N/A,#N/A,FALSE,"Bakersfield Notebooks"}</definedName>
    <definedName name="ww" localSheetId="63" hidden="1">{#N/A,#N/A,FALSE,"Bakersfield PCs";#N/A,#N/A,FALSE,"Bremer PCs";#N/A,#N/A,FALSE,"Bakersfield Notebooks"}</definedName>
    <definedName name="ww" localSheetId="31" hidden="1">{#N/A,#N/A,FALSE,"Bakersfield PCs";#N/A,#N/A,FALSE,"Bremer PCs";#N/A,#N/A,FALSE,"Bakersfield Notebooks"}</definedName>
    <definedName name="ww" localSheetId="61" hidden="1">{#N/A,#N/A,FALSE,"Bakersfield PCs";#N/A,#N/A,FALSE,"Bremer PCs";#N/A,#N/A,FALSE,"Bakersfield Notebooks"}</definedName>
    <definedName name="ww" localSheetId="45" hidden="1">{#N/A,#N/A,FALSE,"Bakersfield PCs";#N/A,#N/A,FALSE,"Bremer PCs";#N/A,#N/A,FALSE,"Bakersfield Notebooks"}</definedName>
    <definedName name="ww" localSheetId="90" hidden="1">{#N/A,#N/A,FALSE,"Bakersfield PCs";#N/A,#N/A,FALSE,"Bremer PCs";#N/A,#N/A,FALSE,"Bakersfield Notebooks"}</definedName>
    <definedName name="ww" localSheetId="19" hidden="1">{#N/A,#N/A,FALSE,"Bakersfield PCs";#N/A,#N/A,FALSE,"Bremer PCs";#N/A,#N/A,FALSE,"Bakersfield Notebooks"}</definedName>
    <definedName name="ww" localSheetId="57" hidden="1">{#N/A,#N/A,FALSE,"Bakersfield PCs";#N/A,#N/A,FALSE,"Bremer PCs";#N/A,#N/A,FALSE,"Bakersfield Notebooks"}</definedName>
    <definedName name="ww" hidden="1">{#N/A,#N/A,FALSE,"Bakersfield PCs";#N/A,#N/A,FALSE,"Bremer PCs";#N/A,#N/A,FALSE,"Bakersfield Notebooks"}</definedName>
    <definedName name="ww.Rele" localSheetId="55" hidden="1">{#N/A,#N/A,FALSE,"Title Page";#N/A,#N/A,FALSE,"Conclusions";#N/A,#N/A,FALSE,"Assum.";#N/A,#N/A,FALSE,"Sun  DCF-WC-Dep";#N/A,#N/A,FALSE,"MarketValue";#N/A,#N/A,FALSE,"BalSheet";#N/A,#N/A,FALSE,"WACC";#N/A,#N/A,FALSE,"PC+ Info.";#N/A,#N/A,FALSE,"PC+Info_2"}</definedName>
    <definedName name="ww.Rele" localSheetId="59" hidden="1">{#N/A,#N/A,FALSE,"Title Page";#N/A,#N/A,FALSE,"Conclusions";#N/A,#N/A,FALSE,"Assum.";#N/A,#N/A,FALSE,"Sun  DCF-WC-Dep";#N/A,#N/A,FALSE,"MarketValue";#N/A,#N/A,FALSE,"BalSheet";#N/A,#N/A,FALSE,"WACC";#N/A,#N/A,FALSE,"PC+ Info.";#N/A,#N/A,FALSE,"PC+Info_2"}</definedName>
    <definedName name="ww.Rele" localSheetId="93" hidden="1">{#N/A,#N/A,FALSE,"Title Page";#N/A,#N/A,FALSE,"Conclusions";#N/A,#N/A,FALSE,"Assum.";#N/A,#N/A,FALSE,"Sun  DCF-WC-Dep";#N/A,#N/A,FALSE,"MarketValue";#N/A,#N/A,FALSE,"BalSheet";#N/A,#N/A,FALSE,"WACC";#N/A,#N/A,FALSE,"PC+ Info.";#N/A,#N/A,FALSE,"PC+Info_2"}</definedName>
    <definedName name="ww.Rele" localSheetId="12" hidden="1">{#N/A,#N/A,FALSE,"Title Page";#N/A,#N/A,FALSE,"Conclusions";#N/A,#N/A,FALSE,"Assum.";#N/A,#N/A,FALSE,"Sun  DCF-WC-Dep";#N/A,#N/A,FALSE,"MarketValue";#N/A,#N/A,FALSE,"BalSheet";#N/A,#N/A,FALSE,"WACC";#N/A,#N/A,FALSE,"PC+ Info.";#N/A,#N/A,FALSE,"PC+Info_2"}</definedName>
    <definedName name="ww.Rele" localSheetId="62" hidden="1">{#N/A,#N/A,FALSE,"Title Page";#N/A,#N/A,FALSE,"Conclusions";#N/A,#N/A,FALSE,"Assum.";#N/A,#N/A,FALSE,"Sun  DCF-WC-Dep";#N/A,#N/A,FALSE,"MarketValue";#N/A,#N/A,FALSE,"BalSheet";#N/A,#N/A,FALSE,"WACC";#N/A,#N/A,FALSE,"PC+ Info.";#N/A,#N/A,FALSE,"PC+Info_2"}</definedName>
    <definedName name="ww.Rele" localSheetId="47" hidden="1">{#N/A,#N/A,FALSE,"Title Page";#N/A,#N/A,FALSE,"Conclusions";#N/A,#N/A,FALSE,"Assum.";#N/A,#N/A,FALSE,"Sun  DCF-WC-Dep";#N/A,#N/A,FALSE,"MarketValue";#N/A,#N/A,FALSE,"BalSheet";#N/A,#N/A,FALSE,"WACC";#N/A,#N/A,FALSE,"PC+ Info.";#N/A,#N/A,FALSE,"PC+Info_2"}</definedName>
    <definedName name="ww.Rele" localSheetId="15" hidden="1">{#N/A,#N/A,FALSE,"Title Page";#N/A,#N/A,FALSE,"Conclusions";#N/A,#N/A,FALSE,"Assum.";#N/A,#N/A,FALSE,"Sun  DCF-WC-Dep";#N/A,#N/A,FALSE,"MarketValue";#N/A,#N/A,FALSE,"BalSheet";#N/A,#N/A,FALSE,"WACC";#N/A,#N/A,FALSE,"PC+ Info.";#N/A,#N/A,FALSE,"PC+Info_2"}</definedName>
    <definedName name="ww.Rele" localSheetId="101" hidden="1">{#N/A,#N/A,FALSE,"Title Page";#N/A,#N/A,FALSE,"Conclusions";#N/A,#N/A,FALSE,"Assum.";#N/A,#N/A,FALSE,"Sun  DCF-WC-Dep";#N/A,#N/A,FALSE,"MarketValue";#N/A,#N/A,FALSE,"BalSheet";#N/A,#N/A,FALSE,"WACC";#N/A,#N/A,FALSE,"PC+ Info.";#N/A,#N/A,FALSE,"PC+Info_2"}</definedName>
    <definedName name="ww.Rele" localSheetId="60" hidden="1">{#N/A,#N/A,FALSE,"Title Page";#N/A,#N/A,FALSE,"Conclusions";#N/A,#N/A,FALSE,"Assum.";#N/A,#N/A,FALSE,"Sun  DCF-WC-Dep";#N/A,#N/A,FALSE,"MarketValue";#N/A,#N/A,FALSE,"BalSheet";#N/A,#N/A,FALSE,"WACC";#N/A,#N/A,FALSE,"PC+ Info.";#N/A,#N/A,FALSE,"PC+Info_2"}</definedName>
    <definedName name="ww.Rele" localSheetId="39" hidden="1">{#N/A,#N/A,FALSE,"Title Page";#N/A,#N/A,FALSE,"Conclusions";#N/A,#N/A,FALSE,"Assum.";#N/A,#N/A,FALSE,"Sun  DCF-WC-Dep";#N/A,#N/A,FALSE,"MarketValue";#N/A,#N/A,FALSE,"BalSheet";#N/A,#N/A,FALSE,"WACC";#N/A,#N/A,FALSE,"PC+ Info.";#N/A,#N/A,FALSE,"PC+Info_2"}</definedName>
    <definedName name="ww.Rele" localSheetId="58" hidden="1">{#N/A,#N/A,FALSE,"Title Page";#N/A,#N/A,FALSE,"Conclusions";#N/A,#N/A,FALSE,"Assum.";#N/A,#N/A,FALSE,"Sun  DCF-WC-Dep";#N/A,#N/A,FALSE,"MarketValue";#N/A,#N/A,FALSE,"BalSheet";#N/A,#N/A,FALSE,"WACC";#N/A,#N/A,FALSE,"PC+ Info.";#N/A,#N/A,FALSE,"PC+Info_2"}</definedName>
    <definedName name="ww.Rele" localSheetId="64" hidden="1">{#N/A,#N/A,FALSE,"Title Page";#N/A,#N/A,FALSE,"Conclusions";#N/A,#N/A,FALSE,"Assum.";#N/A,#N/A,FALSE,"Sun  DCF-WC-Dep";#N/A,#N/A,FALSE,"MarketValue";#N/A,#N/A,FALSE,"BalSheet";#N/A,#N/A,FALSE,"WACC";#N/A,#N/A,FALSE,"PC+ Info.";#N/A,#N/A,FALSE,"PC+Info_2"}</definedName>
    <definedName name="ww.Rele" localSheetId="54" hidden="1">{#N/A,#N/A,FALSE,"Title Page";#N/A,#N/A,FALSE,"Conclusions";#N/A,#N/A,FALSE,"Assum.";#N/A,#N/A,FALSE,"Sun  DCF-WC-Dep";#N/A,#N/A,FALSE,"MarketValue";#N/A,#N/A,FALSE,"BalSheet";#N/A,#N/A,FALSE,"WACC";#N/A,#N/A,FALSE,"PC+ Info.";#N/A,#N/A,FALSE,"PC+Info_2"}</definedName>
    <definedName name="ww.Rele" localSheetId="13" hidden="1">{#N/A,#N/A,FALSE,"Title Page";#N/A,#N/A,FALSE,"Conclusions";#N/A,#N/A,FALSE,"Assum.";#N/A,#N/A,FALSE,"Sun  DCF-WC-Dep";#N/A,#N/A,FALSE,"MarketValue";#N/A,#N/A,FALSE,"BalSheet";#N/A,#N/A,FALSE,"WACC";#N/A,#N/A,FALSE,"PC+ Info.";#N/A,#N/A,FALSE,"PC+Info_2"}</definedName>
    <definedName name="ww.Rele" localSheetId="63" hidden="1">{#N/A,#N/A,FALSE,"Title Page";#N/A,#N/A,FALSE,"Conclusions";#N/A,#N/A,FALSE,"Assum.";#N/A,#N/A,FALSE,"Sun  DCF-WC-Dep";#N/A,#N/A,FALSE,"MarketValue";#N/A,#N/A,FALSE,"BalSheet";#N/A,#N/A,FALSE,"WACC";#N/A,#N/A,FALSE,"PC+ Info.";#N/A,#N/A,FALSE,"PC+Info_2"}</definedName>
    <definedName name="ww.Rele" localSheetId="31" hidden="1">{#N/A,#N/A,FALSE,"Title Page";#N/A,#N/A,FALSE,"Conclusions";#N/A,#N/A,FALSE,"Assum.";#N/A,#N/A,FALSE,"Sun  DCF-WC-Dep";#N/A,#N/A,FALSE,"MarketValue";#N/A,#N/A,FALSE,"BalSheet";#N/A,#N/A,FALSE,"WACC";#N/A,#N/A,FALSE,"PC+ Info.";#N/A,#N/A,FALSE,"PC+Info_2"}</definedName>
    <definedName name="ww.Rele" localSheetId="61" hidden="1">{#N/A,#N/A,FALSE,"Title Page";#N/A,#N/A,FALSE,"Conclusions";#N/A,#N/A,FALSE,"Assum.";#N/A,#N/A,FALSE,"Sun  DCF-WC-Dep";#N/A,#N/A,FALSE,"MarketValue";#N/A,#N/A,FALSE,"BalSheet";#N/A,#N/A,FALSE,"WACC";#N/A,#N/A,FALSE,"PC+ Info.";#N/A,#N/A,FALSE,"PC+Info_2"}</definedName>
    <definedName name="ww.Rele" localSheetId="45" hidden="1">{#N/A,#N/A,FALSE,"Title Page";#N/A,#N/A,FALSE,"Conclusions";#N/A,#N/A,FALSE,"Assum.";#N/A,#N/A,FALSE,"Sun  DCF-WC-Dep";#N/A,#N/A,FALSE,"MarketValue";#N/A,#N/A,FALSE,"BalSheet";#N/A,#N/A,FALSE,"WACC";#N/A,#N/A,FALSE,"PC+ Info.";#N/A,#N/A,FALSE,"PC+Info_2"}</definedName>
    <definedName name="ww.Rele" localSheetId="90" hidden="1">{#N/A,#N/A,FALSE,"Title Page";#N/A,#N/A,FALSE,"Conclusions";#N/A,#N/A,FALSE,"Assum.";#N/A,#N/A,FALSE,"Sun  DCF-WC-Dep";#N/A,#N/A,FALSE,"MarketValue";#N/A,#N/A,FALSE,"BalSheet";#N/A,#N/A,FALSE,"WACC";#N/A,#N/A,FALSE,"PC+ Info.";#N/A,#N/A,FALSE,"PC+Info_2"}</definedName>
    <definedName name="ww.Rele" localSheetId="19" hidden="1">{#N/A,#N/A,FALSE,"Title Page";#N/A,#N/A,FALSE,"Conclusions";#N/A,#N/A,FALSE,"Assum.";#N/A,#N/A,FALSE,"Sun  DCF-WC-Dep";#N/A,#N/A,FALSE,"MarketValue";#N/A,#N/A,FALSE,"BalSheet";#N/A,#N/A,FALSE,"WACC";#N/A,#N/A,FALSE,"PC+ Info.";#N/A,#N/A,FALSE,"PC+Info_2"}</definedName>
    <definedName name="ww.Rele" localSheetId="57"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w" localSheetId="55" hidden="1">{#N/A,#N/A,FALSE,"Bakersfield PCs";#N/A,#N/A,FALSE,"Bremer PCs";#N/A,#N/A,FALSE,"Bakersfield Notebooks"}</definedName>
    <definedName name="www" localSheetId="59" hidden="1">{#N/A,#N/A,FALSE,"Bakersfield PCs";#N/A,#N/A,FALSE,"Bremer PCs";#N/A,#N/A,FALSE,"Bakersfield Notebooks"}</definedName>
    <definedName name="www" localSheetId="93" hidden="1">{#N/A,#N/A,FALSE,"Bakersfield PCs";#N/A,#N/A,FALSE,"Bremer PCs";#N/A,#N/A,FALSE,"Bakersfield Notebooks"}</definedName>
    <definedName name="www" localSheetId="12" hidden="1">{#N/A,#N/A,FALSE,"Bakersfield PCs";#N/A,#N/A,FALSE,"Bremer PCs";#N/A,#N/A,FALSE,"Bakersfield Notebooks"}</definedName>
    <definedName name="www" localSheetId="62" hidden="1">{#N/A,#N/A,FALSE,"Bakersfield PCs";#N/A,#N/A,FALSE,"Bremer PCs";#N/A,#N/A,FALSE,"Bakersfield Notebooks"}</definedName>
    <definedName name="www" localSheetId="47" hidden="1">{#N/A,#N/A,FALSE,"Bakersfield PCs";#N/A,#N/A,FALSE,"Bremer PCs";#N/A,#N/A,FALSE,"Bakersfield Notebooks"}</definedName>
    <definedName name="www" localSheetId="15" hidden="1">{#N/A,#N/A,FALSE,"Bakersfield PCs";#N/A,#N/A,FALSE,"Bremer PCs";#N/A,#N/A,FALSE,"Bakersfield Notebooks"}</definedName>
    <definedName name="www" localSheetId="101" hidden="1">{#N/A,#N/A,FALSE,"Bakersfield PCs";#N/A,#N/A,FALSE,"Bremer PCs";#N/A,#N/A,FALSE,"Bakersfield Notebooks"}</definedName>
    <definedName name="www" localSheetId="60" hidden="1">{#N/A,#N/A,FALSE,"Bakersfield PCs";#N/A,#N/A,FALSE,"Bremer PCs";#N/A,#N/A,FALSE,"Bakersfield Notebooks"}</definedName>
    <definedName name="www" localSheetId="39" hidden="1">{#N/A,#N/A,FALSE,"Bakersfield PCs";#N/A,#N/A,FALSE,"Bremer PCs";#N/A,#N/A,FALSE,"Bakersfield Notebooks"}</definedName>
    <definedName name="www" localSheetId="58" hidden="1">{#N/A,#N/A,FALSE,"Bakersfield PCs";#N/A,#N/A,FALSE,"Bremer PCs";#N/A,#N/A,FALSE,"Bakersfield Notebooks"}</definedName>
    <definedName name="www" localSheetId="64" hidden="1">{#N/A,#N/A,FALSE,"Bakersfield PCs";#N/A,#N/A,FALSE,"Bremer PCs";#N/A,#N/A,FALSE,"Bakersfield Notebooks"}</definedName>
    <definedName name="www" localSheetId="54" hidden="1">{#N/A,#N/A,FALSE,"Bakersfield PCs";#N/A,#N/A,FALSE,"Bremer PCs";#N/A,#N/A,FALSE,"Bakersfield Notebooks"}</definedName>
    <definedName name="www" localSheetId="13" hidden="1">{#N/A,#N/A,FALSE,"Bakersfield PCs";#N/A,#N/A,FALSE,"Bremer PCs";#N/A,#N/A,FALSE,"Bakersfield Notebooks"}</definedName>
    <definedName name="www" localSheetId="63" hidden="1">{#N/A,#N/A,FALSE,"Bakersfield PCs";#N/A,#N/A,FALSE,"Bremer PCs";#N/A,#N/A,FALSE,"Bakersfield Notebooks"}</definedName>
    <definedName name="www" localSheetId="31" hidden="1">{#N/A,#N/A,FALSE,"Bakersfield PCs";#N/A,#N/A,FALSE,"Bremer PCs";#N/A,#N/A,FALSE,"Bakersfield Notebooks"}</definedName>
    <definedName name="www" localSheetId="61" hidden="1">{#N/A,#N/A,FALSE,"Bakersfield PCs";#N/A,#N/A,FALSE,"Bremer PCs";#N/A,#N/A,FALSE,"Bakersfield Notebooks"}</definedName>
    <definedName name="www" localSheetId="45" hidden="1">{#N/A,#N/A,FALSE,"Bakersfield PCs";#N/A,#N/A,FALSE,"Bremer PCs";#N/A,#N/A,FALSE,"Bakersfield Notebooks"}</definedName>
    <definedName name="www" localSheetId="90" hidden="1">{#N/A,#N/A,FALSE,"Bakersfield PCs";#N/A,#N/A,FALSE,"Bremer PCs";#N/A,#N/A,FALSE,"Bakersfield Notebooks"}</definedName>
    <definedName name="www" localSheetId="19" hidden="1">{#N/A,#N/A,FALSE,"Bakersfield PCs";#N/A,#N/A,FALSE,"Bremer PCs";#N/A,#N/A,FALSE,"Bakersfield Notebooks"}</definedName>
    <definedName name="www" localSheetId="57" hidden="1">{#N/A,#N/A,FALSE,"Bakersfield PCs";#N/A,#N/A,FALSE,"Bremer PCs";#N/A,#N/A,FALSE,"Bakersfield Notebooks"}</definedName>
    <definedName name="www" hidden="1">{#N/A,#N/A,FALSE,"Bakersfield PCs";#N/A,#N/A,FALSE,"Bremer PCs";#N/A,#N/A,FALSE,"Bakersfield Notebooks"}</definedName>
    <definedName name="x" localSheetId="55" hidden="1">{"contributory1",#N/A,FALSE,"Contributory Assets Detail";"contributory2",#N/A,FALSE,"Contributory Assets Detail"}</definedName>
    <definedName name="x" localSheetId="59" hidden="1">{"contributory1",#N/A,FALSE,"Contributory Assets Detail";"contributory2",#N/A,FALSE,"Contributory Assets Detail"}</definedName>
    <definedName name="x" localSheetId="93" hidden="1">{"contributory1",#N/A,FALSE,"Contributory Assets Detail";"contributory2",#N/A,FALSE,"Contributory Assets Detail"}</definedName>
    <definedName name="x" localSheetId="12" hidden="1">{"contributory1",#N/A,FALSE,"Contributory Assets Detail";"contributory2",#N/A,FALSE,"Contributory Assets Detail"}</definedName>
    <definedName name="x" localSheetId="62" hidden="1">{"contributory1",#N/A,FALSE,"Contributory Assets Detail";"contributory2",#N/A,FALSE,"Contributory Assets Detail"}</definedName>
    <definedName name="x" localSheetId="47" hidden="1">{"contributory1",#N/A,FALSE,"Contributory Assets Detail";"contributory2",#N/A,FALSE,"Contributory Assets Detail"}</definedName>
    <definedName name="x" localSheetId="15" hidden="1">{"contributory1",#N/A,FALSE,"Contributory Assets Detail";"contributory2",#N/A,FALSE,"Contributory Assets Detail"}</definedName>
    <definedName name="x" localSheetId="101" hidden="1">{"contributory1",#N/A,FALSE,"Contributory Assets Detail";"contributory2",#N/A,FALSE,"Contributory Assets Detail"}</definedName>
    <definedName name="x" localSheetId="60" hidden="1">{"contributory1",#N/A,FALSE,"Contributory Assets Detail";"contributory2",#N/A,FALSE,"Contributory Assets Detail"}</definedName>
    <definedName name="x" localSheetId="39" hidden="1">{"contributory1",#N/A,FALSE,"Contributory Assets Detail";"contributory2",#N/A,FALSE,"Contributory Assets Detail"}</definedName>
    <definedName name="x" localSheetId="58" hidden="1">{"contributory1",#N/A,FALSE,"Contributory Assets Detail";"contributory2",#N/A,FALSE,"Contributory Assets Detail"}</definedName>
    <definedName name="x" localSheetId="64" hidden="1">{"contributory1",#N/A,FALSE,"Contributory Assets Detail";"contributory2",#N/A,FALSE,"Contributory Assets Detail"}</definedName>
    <definedName name="x" localSheetId="54" hidden="1">{"contributory1",#N/A,FALSE,"Contributory Assets Detail";"contributory2",#N/A,FALSE,"Contributory Assets Detail"}</definedName>
    <definedName name="x" localSheetId="13" hidden="1">{"contributory1",#N/A,FALSE,"Contributory Assets Detail";"contributory2",#N/A,FALSE,"Contributory Assets Detail"}</definedName>
    <definedName name="x" localSheetId="63" hidden="1">{"contributory1",#N/A,FALSE,"Contributory Assets Detail";"contributory2",#N/A,FALSE,"Contributory Assets Detail"}</definedName>
    <definedName name="x" localSheetId="31" hidden="1">{"contributory1",#N/A,FALSE,"Contributory Assets Detail";"contributory2",#N/A,FALSE,"Contributory Assets Detail"}</definedName>
    <definedName name="x" localSheetId="61" hidden="1">{"contributory1",#N/A,FALSE,"Contributory Assets Detail";"contributory2",#N/A,FALSE,"Contributory Assets Detail"}</definedName>
    <definedName name="x" localSheetId="45" hidden="1">{"contributory1",#N/A,FALSE,"Contributory Assets Detail";"contributory2",#N/A,FALSE,"Contributory Assets Detail"}</definedName>
    <definedName name="x" localSheetId="90" hidden="1">{"contributory1",#N/A,FALSE,"Contributory Assets Detail";"contributory2",#N/A,FALSE,"Contributory Assets Detail"}</definedName>
    <definedName name="x" localSheetId="19" hidden="1">{"contributory1",#N/A,FALSE,"Contributory Assets Detail";"contributory2",#N/A,FALSE,"Contributory Assets Detail"}</definedName>
    <definedName name="x" localSheetId="57" hidden="1">{"contributory1",#N/A,FALSE,"Contributory Assets Detail";"contributory2",#N/A,FALSE,"Contributory Assets Detail"}</definedName>
    <definedName name="x" hidden="1">{"contributory1",#N/A,FALSE,"Contributory Assets Detail";"contributory2",#N/A,FALSE,"Contributory Assets Detail"}</definedName>
    <definedName name="X_rate">1.7974</definedName>
    <definedName name="XREF_COLUMN_1" localSheetId="59" hidden="1">#REF!</definedName>
    <definedName name="XREF_COLUMN_1" localSheetId="47" hidden="1">#REF!</definedName>
    <definedName name="XREF_COLUMN_1" localSheetId="46" hidden="1">#REF!</definedName>
    <definedName name="XREF_COLUMN_1" localSheetId="60" hidden="1">#REF!</definedName>
    <definedName name="XREF_COLUMN_1" localSheetId="63" hidden="1">#REF!</definedName>
    <definedName name="XREF_COLUMN_1" hidden="1">#REF!</definedName>
    <definedName name="XREF_COLUMN_2" localSheetId="59" hidden="1">#REF!</definedName>
    <definedName name="XREF_COLUMN_2" localSheetId="47" hidden="1">#REF!</definedName>
    <definedName name="XREF_COLUMN_2" localSheetId="46" hidden="1">#REF!</definedName>
    <definedName name="XREF_COLUMN_2" localSheetId="60" hidden="1">#REF!</definedName>
    <definedName name="XREF_COLUMN_2" localSheetId="63" hidden="1">#REF!</definedName>
    <definedName name="XREF_COLUMN_2" hidden="1">#REF!</definedName>
    <definedName name="XRefActiveRow" localSheetId="59" hidden="1">#REF!</definedName>
    <definedName name="XRefActiveRow" localSheetId="47" hidden="1">#REF!</definedName>
    <definedName name="XRefActiveRow" localSheetId="46" hidden="1">#REF!</definedName>
    <definedName name="XRefActiveRow" localSheetId="60" hidden="1">#REF!</definedName>
    <definedName name="XRefActiveRow" localSheetId="63" hidden="1">#REF!</definedName>
    <definedName name="XRefActiveRow" hidden="1">#REF!</definedName>
    <definedName name="XRefColumnsCount" hidden="1">4</definedName>
    <definedName name="XRefCopy1" localSheetId="59" hidden="1">#REF!</definedName>
    <definedName name="XRefCopy1" localSheetId="47" hidden="1">#REF!</definedName>
    <definedName name="XRefCopy1" localSheetId="46" hidden="1">#REF!</definedName>
    <definedName name="XRefCopy1" localSheetId="60" hidden="1">#REF!</definedName>
    <definedName name="XRefCopy1" localSheetId="63" hidden="1">#REF!</definedName>
    <definedName name="XRefCopy1" hidden="1">#REF!</definedName>
    <definedName name="XRefCopy1Row" localSheetId="59" hidden="1">#REF!</definedName>
    <definedName name="XRefCopy1Row" localSheetId="47" hidden="1">#REF!</definedName>
    <definedName name="XRefCopy1Row" localSheetId="46" hidden="1">#REF!</definedName>
    <definedName name="XRefCopy1Row" localSheetId="60" hidden="1">#REF!</definedName>
    <definedName name="XRefCopy1Row" localSheetId="63" hidden="1">#REF!</definedName>
    <definedName name="XRefCopy1Row" hidden="1">#REF!</definedName>
    <definedName name="XRefCopyRangeCount" hidden="1">2</definedName>
    <definedName name="XRefPasteRangeCount" hidden="1">11</definedName>
    <definedName name="XX" localSheetId="47">{0.1;0;0.382758620689655;0;0;0;0.258620689655172;0;0.258620689655172}</definedName>
    <definedName name="XX" localSheetId="57">{0.1;0;0.382758620689655;0;0;0;0.258620689655172;0;0.258620689655172}</definedName>
    <definedName name="XX">{0.1;0;0.382758620689655;0;0;0;0.258620689655172;0;0.258620689655172}</definedName>
    <definedName name="xxs" localSheetId="55" hidden="1">{#N/A,#N/A,TRUE,"Tax";#N/A,#N/A,TRUE,"Structure";#N/A,#N/A,TRUE,"Accounting";#N/A,#N/A,TRUE,"Equipment"}</definedName>
    <definedName name="xxs" localSheetId="93" hidden="1">{#N/A,#N/A,TRUE,"Tax";#N/A,#N/A,TRUE,"Structure";#N/A,#N/A,TRUE,"Accounting";#N/A,#N/A,TRUE,"Equipment"}</definedName>
    <definedName name="xxs" localSheetId="12" hidden="1">{#N/A,#N/A,TRUE,"Tax";#N/A,#N/A,TRUE,"Structure";#N/A,#N/A,TRUE,"Accounting";#N/A,#N/A,TRUE,"Equipment"}</definedName>
    <definedName name="xxs" localSheetId="47" hidden="1">{#N/A,#N/A,TRUE,"Tax";#N/A,#N/A,TRUE,"Structure";#N/A,#N/A,TRUE,"Accounting";#N/A,#N/A,TRUE,"Equipment"}</definedName>
    <definedName name="xxs" localSheetId="15" hidden="1">{#N/A,#N/A,TRUE,"Tax";#N/A,#N/A,TRUE,"Structure";#N/A,#N/A,TRUE,"Accounting";#N/A,#N/A,TRUE,"Equipment"}</definedName>
    <definedName name="xxs" localSheetId="101" hidden="1">{#N/A,#N/A,TRUE,"Tax";#N/A,#N/A,TRUE,"Structure";#N/A,#N/A,TRUE,"Accounting";#N/A,#N/A,TRUE,"Equipment"}</definedName>
    <definedName name="xxs" localSheetId="39" hidden="1">{#N/A,#N/A,TRUE,"Tax";#N/A,#N/A,TRUE,"Structure";#N/A,#N/A,TRUE,"Accounting";#N/A,#N/A,TRUE,"Equipment"}</definedName>
    <definedName name="xxs" localSheetId="64" hidden="1">{#N/A,#N/A,TRUE,"Tax";#N/A,#N/A,TRUE,"Structure";#N/A,#N/A,TRUE,"Accounting";#N/A,#N/A,TRUE,"Equipment"}</definedName>
    <definedName name="xxs" localSheetId="54" hidden="1">{#N/A,#N/A,TRUE,"Tax";#N/A,#N/A,TRUE,"Structure";#N/A,#N/A,TRUE,"Accounting";#N/A,#N/A,TRUE,"Equipment"}</definedName>
    <definedName name="xxs" localSheetId="13" hidden="1">{#N/A,#N/A,TRUE,"Tax";#N/A,#N/A,TRUE,"Structure";#N/A,#N/A,TRUE,"Accounting";#N/A,#N/A,TRUE,"Equipment"}</definedName>
    <definedName name="xxs" localSheetId="63" hidden="1">{#N/A,#N/A,TRUE,"Tax";#N/A,#N/A,TRUE,"Structure";#N/A,#N/A,TRUE,"Accounting";#N/A,#N/A,TRUE,"Equipment"}</definedName>
    <definedName name="xxs" localSheetId="31" hidden="1">{#N/A,#N/A,TRUE,"Tax";#N/A,#N/A,TRUE,"Structure";#N/A,#N/A,TRUE,"Accounting";#N/A,#N/A,TRUE,"Equipment"}</definedName>
    <definedName name="xxs" localSheetId="61" hidden="1">{#N/A,#N/A,TRUE,"Tax";#N/A,#N/A,TRUE,"Structure";#N/A,#N/A,TRUE,"Accounting";#N/A,#N/A,TRUE,"Equipment"}</definedName>
    <definedName name="xxs" localSheetId="45" hidden="1">{#N/A,#N/A,TRUE,"Tax";#N/A,#N/A,TRUE,"Structure";#N/A,#N/A,TRUE,"Accounting";#N/A,#N/A,TRUE,"Equipment"}</definedName>
    <definedName name="xxs" localSheetId="90" hidden="1">{#N/A,#N/A,TRUE,"Tax";#N/A,#N/A,TRUE,"Structure";#N/A,#N/A,TRUE,"Accounting";#N/A,#N/A,TRUE,"Equipment"}</definedName>
    <definedName name="xxs" localSheetId="19" hidden="1">{#N/A,#N/A,TRUE,"Tax";#N/A,#N/A,TRUE,"Structure";#N/A,#N/A,TRUE,"Accounting";#N/A,#N/A,TRUE,"Equipment"}</definedName>
    <definedName name="xxs" localSheetId="57" hidden="1">{#N/A,#N/A,TRUE,"Tax";#N/A,#N/A,TRUE,"Structure";#N/A,#N/A,TRUE,"Accounting";#N/A,#N/A,TRUE,"Equipment"}</definedName>
    <definedName name="xxs" hidden="1">{#N/A,#N/A,TRUE,"Tax";#N/A,#N/A,TRUE,"Structure";#N/A,#N/A,TRUE,"Accounting";#N/A,#N/A,TRUE,"Equipment"}</definedName>
    <definedName name="xxx" localSheetId="5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5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9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1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6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4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1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10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6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3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58"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64"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54"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1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6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3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6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4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9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1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5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x" localSheetId="106" hidden="1">#REF!</definedName>
    <definedName name="xxxx" localSheetId="95" hidden="1">#REF!</definedName>
    <definedName name="xxxx" localSheetId="94" hidden="1">#REF!</definedName>
    <definedName name="xxxx" localSheetId="33" hidden="1">#REF!</definedName>
    <definedName name="xxxx" localSheetId="34" hidden="1">#REF!</definedName>
    <definedName name="xxxx" localSheetId="35" hidden="1">#REF!</definedName>
    <definedName name="xxxx" localSheetId="102" hidden="1">#REF!</definedName>
    <definedName name="xxxx" localSheetId="4" hidden="1">#REF!</definedName>
    <definedName name="xxxx" localSheetId="55" hidden="1">#REF!</definedName>
    <definedName name="xxxx" localSheetId="59" hidden="1">#REF!</definedName>
    <definedName name="xxxx" localSheetId="93" hidden="1">#REF!</definedName>
    <definedName name="xxxx" localSheetId="62" hidden="1">#REF!</definedName>
    <definedName name="xxxx" localSheetId="47" hidden="1">#REF!</definedName>
    <definedName name="xxxx" localSheetId="101" hidden="1">#REF!</definedName>
    <definedName name="xxxx" localSheetId="40" hidden="1">#REF!</definedName>
    <definedName name="xxxx" localSheetId="41" hidden="1">#REF!</definedName>
    <definedName name="xxxx" localSheetId="46" hidden="1">#REF!</definedName>
    <definedName name="xxxx" localSheetId="60" hidden="1">#REF!</definedName>
    <definedName name="xxxx" localSheetId="39" hidden="1">#REF!</definedName>
    <definedName name="xxxx" localSheetId="58" hidden="1">#REF!</definedName>
    <definedName name="xxxx" localSheetId="44" hidden="1">#REF!</definedName>
    <definedName name="xxxx" localSheetId="64" hidden="1">#REF!</definedName>
    <definedName name="xxxx" localSheetId="63" hidden="1">#REF!</definedName>
    <definedName name="xxxx" localSheetId="31" hidden="1">#REF!</definedName>
    <definedName name="xxxx" localSheetId="104" hidden="1">#REF!</definedName>
    <definedName name="xxxx" localSheetId="96" hidden="1">#REF!</definedName>
    <definedName name="xxxx" localSheetId="61" hidden="1">#REF!</definedName>
    <definedName name="xxxx" localSheetId="90" hidden="1">#REF!</definedName>
    <definedName name="xxxx" localSheetId="19" hidden="1">#REF!</definedName>
    <definedName name="xxxx" localSheetId="57" hidden="1">#REF!</definedName>
    <definedName name="xxxx" hidden="1">#REF!</definedName>
    <definedName name="yale" localSheetId="55" hidden="1">{"Opsys",#N/A,FALSE,"NPV_OPsys";"NT",#N/A,FALSE,"NPV_NT";"DevP",#N/A,FALSE,"NPV_DevPdt";"Office",#N/A,FALSE,"NPV_Office"}</definedName>
    <definedName name="yale" localSheetId="59" hidden="1">{"Opsys",#N/A,FALSE,"NPV_OPsys";"NT",#N/A,FALSE,"NPV_NT";"DevP",#N/A,FALSE,"NPV_DevPdt";"Office",#N/A,FALSE,"NPV_Office"}</definedName>
    <definedName name="yale" localSheetId="93" hidden="1">{"Opsys",#N/A,FALSE,"NPV_OPsys";"NT",#N/A,FALSE,"NPV_NT";"DevP",#N/A,FALSE,"NPV_DevPdt";"Office",#N/A,FALSE,"NPV_Office"}</definedName>
    <definedName name="yale" localSheetId="12" hidden="1">{"Opsys",#N/A,FALSE,"NPV_OPsys";"NT",#N/A,FALSE,"NPV_NT";"DevP",#N/A,FALSE,"NPV_DevPdt";"Office",#N/A,FALSE,"NPV_Office"}</definedName>
    <definedName name="yale" localSheetId="62" hidden="1">{"Opsys",#N/A,FALSE,"NPV_OPsys";"NT",#N/A,FALSE,"NPV_NT";"DevP",#N/A,FALSE,"NPV_DevPdt";"Office",#N/A,FALSE,"NPV_Office"}</definedName>
    <definedName name="yale" localSheetId="47" hidden="1">{"Opsys",#N/A,FALSE,"NPV_OPsys";"NT",#N/A,FALSE,"NPV_NT";"DevP",#N/A,FALSE,"NPV_DevPdt";"Office",#N/A,FALSE,"NPV_Office"}</definedName>
    <definedName name="yale" localSheetId="15" hidden="1">{"Opsys",#N/A,FALSE,"NPV_OPsys";"NT",#N/A,FALSE,"NPV_NT";"DevP",#N/A,FALSE,"NPV_DevPdt";"Office",#N/A,FALSE,"NPV_Office"}</definedName>
    <definedName name="yale" localSheetId="101" hidden="1">{"Opsys",#N/A,FALSE,"NPV_OPsys";"NT",#N/A,FALSE,"NPV_NT";"DevP",#N/A,FALSE,"NPV_DevPdt";"Office",#N/A,FALSE,"NPV_Office"}</definedName>
    <definedName name="yale" localSheetId="60" hidden="1">{"Opsys",#N/A,FALSE,"NPV_OPsys";"NT",#N/A,FALSE,"NPV_NT";"DevP",#N/A,FALSE,"NPV_DevPdt";"Office",#N/A,FALSE,"NPV_Office"}</definedName>
    <definedName name="yale" localSheetId="39" hidden="1">{"Opsys",#N/A,FALSE,"NPV_OPsys";"NT",#N/A,FALSE,"NPV_NT";"DevP",#N/A,FALSE,"NPV_DevPdt";"Office",#N/A,FALSE,"NPV_Office"}</definedName>
    <definedName name="yale" localSheetId="58" hidden="1">{"Opsys",#N/A,FALSE,"NPV_OPsys";"NT",#N/A,FALSE,"NPV_NT";"DevP",#N/A,FALSE,"NPV_DevPdt";"Office",#N/A,FALSE,"NPV_Office"}</definedName>
    <definedName name="yale" localSheetId="64" hidden="1">{"Opsys",#N/A,FALSE,"NPV_OPsys";"NT",#N/A,FALSE,"NPV_NT";"DevP",#N/A,FALSE,"NPV_DevPdt";"Office",#N/A,FALSE,"NPV_Office"}</definedName>
    <definedName name="yale" localSheetId="54" hidden="1">{"Opsys",#N/A,FALSE,"NPV_OPsys";"NT",#N/A,FALSE,"NPV_NT";"DevP",#N/A,FALSE,"NPV_DevPdt";"Office",#N/A,FALSE,"NPV_Office"}</definedName>
    <definedName name="yale" localSheetId="13" hidden="1">{"Opsys",#N/A,FALSE,"NPV_OPsys";"NT",#N/A,FALSE,"NPV_NT";"DevP",#N/A,FALSE,"NPV_DevPdt";"Office",#N/A,FALSE,"NPV_Office"}</definedName>
    <definedName name="yale" localSheetId="63" hidden="1">{"Opsys",#N/A,FALSE,"NPV_OPsys";"NT",#N/A,FALSE,"NPV_NT";"DevP",#N/A,FALSE,"NPV_DevPdt";"Office",#N/A,FALSE,"NPV_Office"}</definedName>
    <definedName name="yale" localSheetId="31" hidden="1">{"Opsys",#N/A,FALSE,"NPV_OPsys";"NT",#N/A,FALSE,"NPV_NT";"DevP",#N/A,FALSE,"NPV_DevPdt";"Office",#N/A,FALSE,"NPV_Office"}</definedName>
    <definedName name="yale" localSheetId="61" hidden="1">{"Opsys",#N/A,FALSE,"NPV_OPsys";"NT",#N/A,FALSE,"NPV_NT";"DevP",#N/A,FALSE,"NPV_DevPdt";"Office",#N/A,FALSE,"NPV_Office"}</definedName>
    <definedName name="yale" localSheetId="45" hidden="1">{"Opsys",#N/A,FALSE,"NPV_OPsys";"NT",#N/A,FALSE,"NPV_NT";"DevP",#N/A,FALSE,"NPV_DevPdt";"Office",#N/A,FALSE,"NPV_Office"}</definedName>
    <definedName name="yale" localSheetId="90" hidden="1">{"Opsys",#N/A,FALSE,"NPV_OPsys";"NT",#N/A,FALSE,"NPV_NT";"DevP",#N/A,FALSE,"NPV_DevPdt";"Office",#N/A,FALSE,"NPV_Office"}</definedName>
    <definedName name="yale" localSheetId="19" hidden="1">{"Opsys",#N/A,FALSE,"NPV_OPsys";"NT",#N/A,FALSE,"NPV_NT";"DevP",#N/A,FALSE,"NPV_DevPdt";"Office",#N/A,FALSE,"NPV_Office"}</definedName>
    <definedName name="yale" localSheetId="57" hidden="1">{"Opsys",#N/A,FALSE,"NPV_OPsys";"NT",#N/A,FALSE,"NPV_NT";"DevP",#N/A,FALSE,"NPV_DevPdt";"Office",#N/A,FALSE,"NPV_Office"}</definedName>
    <definedName name="yale" hidden="1">{"Opsys",#N/A,FALSE,"NPV_OPsys";"NT",#N/A,FALSE,"NPV_NT";"DevP",#N/A,FALSE,"NPV_DevPdt";"Office",#N/A,FALSE,"NPV_Office"}</definedName>
    <definedName name="Year_ID" hidden="1">" "</definedName>
    <definedName name="yr" hidden="1">39686.6865509259</definedName>
    <definedName name="YrEnd_FFr_USD">0.1767</definedName>
    <definedName name="Yrs">'[18]Country View'!$AS$18:$AS$25</definedName>
    <definedName name="yy" localSheetId="47" hidden="1">{#N/A,#N/A,FALSE,"e-Svc Level";#N/A,#N/A,FALSE,"e-Hosted";#N/A,#N/A,FALSE,"e-Licensed";#N/A,#N/A,FALSE,"Assumptions"}</definedName>
    <definedName name="yy" localSheetId="54" hidden="1">{#N/A,#N/A,FALSE,"e-Svc Level";#N/A,#N/A,FALSE,"e-Hosted";#N/A,#N/A,FALSE,"e-Licensed";#N/A,#N/A,FALSE,"Assumptions"}</definedName>
    <definedName name="yy" hidden="1">{#N/A,#N/A,FALSE,"e-Svc Level";#N/A,#N/A,FALSE,"e-Hosted";#N/A,#N/A,FALSE,"e-Licensed";#N/A,#N/A,FALSE,"Assumptions"}</definedName>
    <definedName name="yyy" localSheetId="55" hidden="1">{#N/A,#N/A,FALSE,"Bakersfield PCs";#N/A,#N/A,FALSE,"Bremer PCs";#N/A,#N/A,FALSE,"Bakersfield Notebooks"}</definedName>
    <definedName name="yyy" localSheetId="59" hidden="1">{#N/A,#N/A,FALSE,"Bakersfield PCs";#N/A,#N/A,FALSE,"Bremer PCs";#N/A,#N/A,FALSE,"Bakersfield Notebooks"}</definedName>
    <definedName name="yyy" localSheetId="93" hidden="1">{#N/A,#N/A,FALSE,"Bakersfield PCs";#N/A,#N/A,FALSE,"Bremer PCs";#N/A,#N/A,FALSE,"Bakersfield Notebooks"}</definedName>
    <definedName name="yyy" localSheetId="12" hidden="1">{#N/A,#N/A,FALSE,"Bakersfield PCs";#N/A,#N/A,FALSE,"Bremer PCs";#N/A,#N/A,FALSE,"Bakersfield Notebooks"}</definedName>
    <definedName name="yyy" localSheetId="62" hidden="1">{#N/A,#N/A,FALSE,"Bakersfield PCs";#N/A,#N/A,FALSE,"Bremer PCs";#N/A,#N/A,FALSE,"Bakersfield Notebooks"}</definedName>
    <definedName name="yyy" localSheetId="47" hidden="1">{#N/A,#N/A,FALSE,"Bakersfield PCs";#N/A,#N/A,FALSE,"Bremer PCs";#N/A,#N/A,FALSE,"Bakersfield Notebooks"}</definedName>
    <definedName name="yyy" localSheetId="15" hidden="1">{#N/A,#N/A,FALSE,"Bakersfield PCs";#N/A,#N/A,FALSE,"Bremer PCs";#N/A,#N/A,FALSE,"Bakersfield Notebooks"}</definedName>
    <definedName name="yyy" localSheetId="101" hidden="1">{#N/A,#N/A,FALSE,"Bakersfield PCs";#N/A,#N/A,FALSE,"Bremer PCs";#N/A,#N/A,FALSE,"Bakersfield Notebooks"}</definedName>
    <definedName name="yyy" localSheetId="60" hidden="1">{#N/A,#N/A,FALSE,"Bakersfield PCs";#N/A,#N/A,FALSE,"Bremer PCs";#N/A,#N/A,FALSE,"Bakersfield Notebooks"}</definedName>
    <definedName name="yyy" localSheetId="39" hidden="1">{#N/A,#N/A,FALSE,"Bakersfield PCs";#N/A,#N/A,FALSE,"Bremer PCs";#N/A,#N/A,FALSE,"Bakersfield Notebooks"}</definedName>
    <definedName name="yyy" localSheetId="58" hidden="1">{#N/A,#N/A,FALSE,"Bakersfield PCs";#N/A,#N/A,FALSE,"Bremer PCs";#N/A,#N/A,FALSE,"Bakersfield Notebooks"}</definedName>
    <definedName name="yyy" localSheetId="64" hidden="1">{#N/A,#N/A,FALSE,"Bakersfield PCs";#N/A,#N/A,FALSE,"Bremer PCs";#N/A,#N/A,FALSE,"Bakersfield Notebooks"}</definedName>
    <definedName name="yyy" localSheetId="54" hidden="1">{#N/A,#N/A,FALSE,"Bakersfield PCs";#N/A,#N/A,FALSE,"Bremer PCs";#N/A,#N/A,FALSE,"Bakersfield Notebooks"}</definedName>
    <definedName name="yyy" localSheetId="13" hidden="1">{#N/A,#N/A,FALSE,"Bakersfield PCs";#N/A,#N/A,FALSE,"Bremer PCs";#N/A,#N/A,FALSE,"Bakersfield Notebooks"}</definedName>
    <definedName name="yyy" localSheetId="63" hidden="1">{#N/A,#N/A,FALSE,"Bakersfield PCs";#N/A,#N/A,FALSE,"Bremer PCs";#N/A,#N/A,FALSE,"Bakersfield Notebooks"}</definedName>
    <definedName name="yyy" localSheetId="31" hidden="1">{#N/A,#N/A,FALSE,"Bakersfield PCs";#N/A,#N/A,FALSE,"Bremer PCs";#N/A,#N/A,FALSE,"Bakersfield Notebooks"}</definedName>
    <definedName name="yyy" localSheetId="61" hidden="1">{#N/A,#N/A,FALSE,"Bakersfield PCs";#N/A,#N/A,FALSE,"Bremer PCs";#N/A,#N/A,FALSE,"Bakersfield Notebooks"}</definedName>
    <definedName name="yyy" localSheetId="45" hidden="1">{#N/A,#N/A,FALSE,"Bakersfield PCs";#N/A,#N/A,FALSE,"Bremer PCs";#N/A,#N/A,FALSE,"Bakersfield Notebooks"}</definedName>
    <definedName name="yyy" localSheetId="90" hidden="1">{#N/A,#N/A,FALSE,"Bakersfield PCs";#N/A,#N/A,FALSE,"Bremer PCs";#N/A,#N/A,FALSE,"Bakersfield Notebooks"}</definedName>
    <definedName name="yyy" localSheetId="19" hidden="1">{#N/A,#N/A,FALSE,"Bakersfield PCs";#N/A,#N/A,FALSE,"Bremer PCs";#N/A,#N/A,FALSE,"Bakersfield Notebooks"}</definedName>
    <definedName name="yyy" localSheetId="57" hidden="1">{#N/A,#N/A,FALSE,"Bakersfield PCs";#N/A,#N/A,FALSE,"Bremer PCs";#N/A,#N/A,FALSE,"Bakersfield Notebooks"}</definedName>
    <definedName name="yyy" hidden="1">{#N/A,#N/A,FALSE,"Bakersfield PCs";#N/A,#N/A,FALSE,"Bremer PCs";#N/A,#N/A,FALSE,"Bakersfield Notebooks"}</definedName>
    <definedName name="yyyy" localSheetId="55" hidden="1">{#N/A,#N/A,FALSE,"Bakersfield PCs";#N/A,#N/A,FALSE,"Bremer PCs";#N/A,#N/A,FALSE,"Bakersfield Notebooks"}</definedName>
    <definedName name="yyyy" localSheetId="59" hidden="1">{#N/A,#N/A,FALSE,"Bakersfield PCs";#N/A,#N/A,FALSE,"Bremer PCs";#N/A,#N/A,FALSE,"Bakersfield Notebooks"}</definedName>
    <definedName name="yyyy" localSheetId="93" hidden="1">{#N/A,#N/A,FALSE,"Bakersfield PCs";#N/A,#N/A,FALSE,"Bremer PCs";#N/A,#N/A,FALSE,"Bakersfield Notebooks"}</definedName>
    <definedName name="yyyy" localSheetId="12" hidden="1">{#N/A,#N/A,FALSE,"Bakersfield PCs";#N/A,#N/A,FALSE,"Bremer PCs";#N/A,#N/A,FALSE,"Bakersfield Notebooks"}</definedName>
    <definedName name="yyyy" localSheetId="62" hidden="1">{#N/A,#N/A,FALSE,"Bakersfield PCs";#N/A,#N/A,FALSE,"Bremer PCs";#N/A,#N/A,FALSE,"Bakersfield Notebooks"}</definedName>
    <definedName name="yyyy" localSheetId="47" hidden="1">{#N/A,#N/A,FALSE,"Bakersfield PCs";#N/A,#N/A,FALSE,"Bremer PCs";#N/A,#N/A,FALSE,"Bakersfield Notebooks"}</definedName>
    <definedName name="yyyy" localSheetId="15" hidden="1">{#N/A,#N/A,FALSE,"Bakersfield PCs";#N/A,#N/A,FALSE,"Bremer PCs";#N/A,#N/A,FALSE,"Bakersfield Notebooks"}</definedName>
    <definedName name="yyyy" localSheetId="101" hidden="1">{#N/A,#N/A,FALSE,"Bakersfield PCs";#N/A,#N/A,FALSE,"Bremer PCs";#N/A,#N/A,FALSE,"Bakersfield Notebooks"}</definedName>
    <definedName name="yyyy" localSheetId="60" hidden="1">{#N/A,#N/A,FALSE,"Bakersfield PCs";#N/A,#N/A,FALSE,"Bremer PCs";#N/A,#N/A,FALSE,"Bakersfield Notebooks"}</definedName>
    <definedName name="yyyy" localSheetId="39" hidden="1">{#N/A,#N/A,FALSE,"Bakersfield PCs";#N/A,#N/A,FALSE,"Bremer PCs";#N/A,#N/A,FALSE,"Bakersfield Notebooks"}</definedName>
    <definedName name="yyyy" localSheetId="58" hidden="1">{#N/A,#N/A,FALSE,"Bakersfield PCs";#N/A,#N/A,FALSE,"Bremer PCs";#N/A,#N/A,FALSE,"Bakersfield Notebooks"}</definedName>
    <definedName name="yyyy" localSheetId="64" hidden="1">{#N/A,#N/A,FALSE,"Bakersfield PCs";#N/A,#N/A,FALSE,"Bremer PCs";#N/A,#N/A,FALSE,"Bakersfield Notebooks"}</definedName>
    <definedName name="yyyy" localSheetId="54" hidden="1">{#N/A,#N/A,FALSE,"Bakersfield PCs";#N/A,#N/A,FALSE,"Bremer PCs";#N/A,#N/A,FALSE,"Bakersfield Notebooks"}</definedName>
    <definedName name="yyyy" localSheetId="13" hidden="1">{#N/A,#N/A,FALSE,"Bakersfield PCs";#N/A,#N/A,FALSE,"Bremer PCs";#N/A,#N/A,FALSE,"Bakersfield Notebooks"}</definedName>
    <definedName name="yyyy" localSheetId="63" hidden="1">{#N/A,#N/A,FALSE,"Bakersfield PCs";#N/A,#N/A,FALSE,"Bremer PCs";#N/A,#N/A,FALSE,"Bakersfield Notebooks"}</definedName>
    <definedName name="yyyy" localSheetId="31" hidden="1">{#N/A,#N/A,FALSE,"Bakersfield PCs";#N/A,#N/A,FALSE,"Bremer PCs";#N/A,#N/A,FALSE,"Bakersfield Notebooks"}</definedName>
    <definedName name="yyyy" localSheetId="61" hidden="1">{#N/A,#N/A,FALSE,"Bakersfield PCs";#N/A,#N/A,FALSE,"Bremer PCs";#N/A,#N/A,FALSE,"Bakersfield Notebooks"}</definedName>
    <definedName name="yyyy" localSheetId="45" hidden="1">{#N/A,#N/A,FALSE,"Bakersfield PCs";#N/A,#N/A,FALSE,"Bremer PCs";#N/A,#N/A,FALSE,"Bakersfield Notebooks"}</definedName>
    <definedName name="yyyy" localSheetId="90" hidden="1">{#N/A,#N/A,FALSE,"Bakersfield PCs";#N/A,#N/A,FALSE,"Bremer PCs";#N/A,#N/A,FALSE,"Bakersfield Notebooks"}</definedName>
    <definedName name="yyyy" localSheetId="19" hidden="1">{#N/A,#N/A,FALSE,"Bakersfield PCs";#N/A,#N/A,FALSE,"Bremer PCs";#N/A,#N/A,FALSE,"Bakersfield Notebooks"}</definedName>
    <definedName name="yyyy" localSheetId="57" hidden="1">{#N/A,#N/A,FALSE,"Bakersfield PCs";#N/A,#N/A,FALSE,"Bremer PCs";#N/A,#N/A,FALSE,"Bakersfield Notebooks"}</definedName>
    <definedName name="yyyy" hidden="1">{#N/A,#N/A,FALSE,"Bakersfield PCs";#N/A,#N/A,FALSE,"Bremer PCs";#N/A,#N/A,FALSE,"Bakersfield Notebooks"}</definedName>
    <definedName name="yyyyw" localSheetId="55" hidden="1">{#N/A,#N/A,FALSE,"Bakersfield PCs";#N/A,#N/A,FALSE,"Bremer PCs";#N/A,#N/A,FALSE,"Bakersfield Notebooks"}</definedName>
    <definedName name="yyyyw" localSheetId="59" hidden="1">{#N/A,#N/A,FALSE,"Bakersfield PCs";#N/A,#N/A,FALSE,"Bremer PCs";#N/A,#N/A,FALSE,"Bakersfield Notebooks"}</definedName>
    <definedName name="yyyyw" localSheetId="93" hidden="1">{#N/A,#N/A,FALSE,"Bakersfield PCs";#N/A,#N/A,FALSE,"Bremer PCs";#N/A,#N/A,FALSE,"Bakersfield Notebooks"}</definedName>
    <definedName name="yyyyw" localSheetId="12" hidden="1">{#N/A,#N/A,FALSE,"Bakersfield PCs";#N/A,#N/A,FALSE,"Bremer PCs";#N/A,#N/A,FALSE,"Bakersfield Notebooks"}</definedName>
    <definedName name="yyyyw" localSheetId="62" hidden="1">{#N/A,#N/A,FALSE,"Bakersfield PCs";#N/A,#N/A,FALSE,"Bremer PCs";#N/A,#N/A,FALSE,"Bakersfield Notebooks"}</definedName>
    <definedName name="yyyyw" localSheetId="47" hidden="1">{#N/A,#N/A,FALSE,"Bakersfield PCs";#N/A,#N/A,FALSE,"Bremer PCs";#N/A,#N/A,FALSE,"Bakersfield Notebooks"}</definedName>
    <definedName name="yyyyw" localSheetId="15" hidden="1">{#N/A,#N/A,FALSE,"Bakersfield PCs";#N/A,#N/A,FALSE,"Bremer PCs";#N/A,#N/A,FALSE,"Bakersfield Notebooks"}</definedName>
    <definedName name="yyyyw" localSheetId="101" hidden="1">{#N/A,#N/A,FALSE,"Bakersfield PCs";#N/A,#N/A,FALSE,"Bremer PCs";#N/A,#N/A,FALSE,"Bakersfield Notebooks"}</definedName>
    <definedName name="yyyyw" localSheetId="60" hidden="1">{#N/A,#N/A,FALSE,"Bakersfield PCs";#N/A,#N/A,FALSE,"Bremer PCs";#N/A,#N/A,FALSE,"Bakersfield Notebooks"}</definedName>
    <definedName name="yyyyw" localSheetId="39" hidden="1">{#N/A,#N/A,FALSE,"Bakersfield PCs";#N/A,#N/A,FALSE,"Bremer PCs";#N/A,#N/A,FALSE,"Bakersfield Notebooks"}</definedName>
    <definedName name="yyyyw" localSheetId="58" hidden="1">{#N/A,#N/A,FALSE,"Bakersfield PCs";#N/A,#N/A,FALSE,"Bremer PCs";#N/A,#N/A,FALSE,"Bakersfield Notebooks"}</definedName>
    <definedName name="yyyyw" localSheetId="64" hidden="1">{#N/A,#N/A,FALSE,"Bakersfield PCs";#N/A,#N/A,FALSE,"Bremer PCs";#N/A,#N/A,FALSE,"Bakersfield Notebooks"}</definedName>
    <definedName name="yyyyw" localSheetId="54" hidden="1">{#N/A,#N/A,FALSE,"Bakersfield PCs";#N/A,#N/A,FALSE,"Bremer PCs";#N/A,#N/A,FALSE,"Bakersfield Notebooks"}</definedName>
    <definedName name="yyyyw" localSheetId="13" hidden="1">{#N/A,#N/A,FALSE,"Bakersfield PCs";#N/A,#N/A,FALSE,"Bremer PCs";#N/A,#N/A,FALSE,"Bakersfield Notebooks"}</definedName>
    <definedName name="yyyyw" localSheetId="63" hidden="1">{#N/A,#N/A,FALSE,"Bakersfield PCs";#N/A,#N/A,FALSE,"Bremer PCs";#N/A,#N/A,FALSE,"Bakersfield Notebooks"}</definedName>
    <definedName name="yyyyw" localSheetId="31" hidden="1">{#N/A,#N/A,FALSE,"Bakersfield PCs";#N/A,#N/A,FALSE,"Bremer PCs";#N/A,#N/A,FALSE,"Bakersfield Notebooks"}</definedName>
    <definedName name="yyyyw" localSheetId="61" hidden="1">{#N/A,#N/A,FALSE,"Bakersfield PCs";#N/A,#N/A,FALSE,"Bremer PCs";#N/A,#N/A,FALSE,"Bakersfield Notebooks"}</definedName>
    <definedName name="yyyyw" localSheetId="45" hidden="1">{#N/A,#N/A,FALSE,"Bakersfield PCs";#N/A,#N/A,FALSE,"Bremer PCs";#N/A,#N/A,FALSE,"Bakersfield Notebooks"}</definedName>
    <definedName name="yyyyw" localSheetId="90" hidden="1">{#N/A,#N/A,FALSE,"Bakersfield PCs";#N/A,#N/A,FALSE,"Bremer PCs";#N/A,#N/A,FALSE,"Bakersfield Notebooks"}</definedName>
    <definedName name="yyyyw" localSheetId="19" hidden="1">{#N/A,#N/A,FALSE,"Bakersfield PCs";#N/A,#N/A,FALSE,"Bremer PCs";#N/A,#N/A,FALSE,"Bakersfield Notebooks"}</definedName>
    <definedName name="yyyyw" localSheetId="57" hidden="1">{#N/A,#N/A,FALSE,"Bakersfield PCs";#N/A,#N/A,FALSE,"Bremer PCs";#N/A,#N/A,FALSE,"Bakersfield Notebooks"}</definedName>
    <definedName name="yyyyw" hidden="1">{#N/A,#N/A,FALSE,"Bakersfield PCs";#N/A,#N/A,FALSE,"Bremer PCs";#N/A,#N/A,FALSE,"Bakersfield Notebooks"}</definedName>
    <definedName name="Z_2FAC22D6_47BC_4470_AEFD_84E9E2C01290_.wvu.PrintArea" localSheetId="55" hidden="1">'Cost of Capital_Avance'!$A$1:$H$7</definedName>
    <definedName name="Z_2FAC22D6_47BC_4470_AEFD_84E9E2C01290_.wvu.PrintArea" localSheetId="54" hidden="1">'Penetration Curves'!$A$1:$P$4</definedName>
    <definedName name="Z_9597C69B_B417_4E77_96EE_805ABC3393EE_.wvu.PrintArea" localSheetId="55" hidden="1">'Cost of Capital_Avance'!$A$1:$H$7</definedName>
    <definedName name="Z_9597C69B_B417_4E77_96EE_805ABC3393EE_.wvu.PrintArea" localSheetId="54" hidden="1">'Penetration Curves'!$A$1:$P$4</definedName>
    <definedName name="Z_E6112CED_8F9A_4569_8C88_F356B7B9E7B1_.wvu.PrintArea" localSheetId="55" hidden="1">'Cost of Capital_Avance'!$A$1:$H$7</definedName>
    <definedName name="Z_E6112CED_8F9A_4569_8C88_F356B7B9E7B1_.wvu.PrintArea" localSheetId="54" hidden="1">'Penetration Curves'!$A$1:$P$4</definedName>
    <definedName name="zowp" localSheetId="47"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zowp" localSheetId="54"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zowp"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zzz" localSheetId="59">MATCH(0.01,End_Bal,-1)+1</definedName>
    <definedName name="zzz" localSheetId="47">MATCH(0.01,End_Bal,-1)+1</definedName>
    <definedName name="zzz" localSheetId="46">MATCH(0.01,End_Bal,-1)+1</definedName>
    <definedName name="zzz" localSheetId="60">MATCH(0.01,End_Bal,-1)+1</definedName>
    <definedName name="zzz" localSheetId="63">MATCH(0.01,End_Bal,-1)+1</definedName>
    <definedName name="zzz">MATCH(0.01,End_Bal,-1)+1</definedName>
    <definedName name="zzz.com" localSheetId="55" hidden="1">{#N/A,#N/A,FALSE,"Title Page";#N/A,#N/A,FALSE,"Conclusions";#N/A,#N/A,FALSE,"Assum.";#N/A,#N/A,FALSE,"Sun  DCF-WC-Dep";#N/A,#N/A,FALSE,"MarketValue";#N/A,#N/A,FALSE,"BalSheet";#N/A,#N/A,FALSE,"WACC";#N/A,#N/A,FALSE,"PC+ Info.";#N/A,#N/A,FALSE,"PC+Info_2"}</definedName>
    <definedName name="zzz.com" localSheetId="59" hidden="1">{#N/A,#N/A,FALSE,"Title Page";#N/A,#N/A,FALSE,"Conclusions";#N/A,#N/A,FALSE,"Assum.";#N/A,#N/A,FALSE,"Sun  DCF-WC-Dep";#N/A,#N/A,FALSE,"MarketValue";#N/A,#N/A,FALSE,"BalSheet";#N/A,#N/A,FALSE,"WACC";#N/A,#N/A,FALSE,"PC+ Info.";#N/A,#N/A,FALSE,"PC+Info_2"}</definedName>
    <definedName name="zzz.com" localSheetId="93" hidden="1">{#N/A,#N/A,FALSE,"Title Page";#N/A,#N/A,FALSE,"Conclusions";#N/A,#N/A,FALSE,"Assum.";#N/A,#N/A,FALSE,"Sun  DCF-WC-Dep";#N/A,#N/A,FALSE,"MarketValue";#N/A,#N/A,FALSE,"BalSheet";#N/A,#N/A,FALSE,"WACC";#N/A,#N/A,FALSE,"PC+ Info.";#N/A,#N/A,FALSE,"PC+Info_2"}</definedName>
    <definedName name="zzz.com" localSheetId="12" hidden="1">{#N/A,#N/A,FALSE,"Title Page";#N/A,#N/A,FALSE,"Conclusions";#N/A,#N/A,FALSE,"Assum.";#N/A,#N/A,FALSE,"Sun  DCF-WC-Dep";#N/A,#N/A,FALSE,"MarketValue";#N/A,#N/A,FALSE,"BalSheet";#N/A,#N/A,FALSE,"WACC";#N/A,#N/A,FALSE,"PC+ Info.";#N/A,#N/A,FALSE,"PC+Info_2"}</definedName>
    <definedName name="zzz.com" localSheetId="62" hidden="1">{#N/A,#N/A,FALSE,"Title Page";#N/A,#N/A,FALSE,"Conclusions";#N/A,#N/A,FALSE,"Assum.";#N/A,#N/A,FALSE,"Sun  DCF-WC-Dep";#N/A,#N/A,FALSE,"MarketValue";#N/A,#N/A,FALSE,"BalSheet";#N/A,#N/A,FALSE,"WACC";#N/A,#N/A,FALSE,"PC+ Info.";#N/A,#N/A,FALSE,"PC+Info_2"}</definedName>
    <definedName name="zzz.com" localSheetId="47" hidden="1">{#N/A,#N/A,FALSE,"Title Page";#N/A,#N/A,FALSE,"Conclusions";#N/A,#N/A,FALSE,"Assum.";#N/A,#N/A,FALSE,"Sun  DCF-WC-Dep";#N/A,#N/A,FALSE,"MarketValue";#N/A,#N/A,FALSE,"BalSheet";#N/A,#N/A,FALSE,"WACC";#N/A,#N/A,FALSE,"PC+ Info.";#N/A,#N/A,FALSE,"PC+Info_2"}</definedName>
    <definedName name="zzz.com" localSheetId="15" hidden="1">{#N/A,#N/A,FALSE,"Title Page";#N/A,#N/A,FALSE,"Conclusions";#N/A,#N/A,FALSE,"Assum.";#N/A,#N/A,FALSE,"Sun  DCF-WC-Dep";#N/A,#N/A,FALSE,"MarketValue";#N/A,#N/A,FALSE,"BalSheet";#N/A,#N/A,FALSE,"WACC";#N/A,#N/A,FALSE,"PC+ Info.";#N/A,#N/A,FALSE,"PC+Info_2"}</definedName>
    <definedName name="zzz.com" localSheetId="101" hidden="1">{#N/A,#N/A,FALSE,"Title Page";#N/A,#N/A,FALSE,"Conclusions";#N/A,#N/A,FALSE,"Assum.";#N/A,#N/A,FALSE,"Sun  DCF-WC-Dep";#N/A,#N/A,FALSE,"MarketValue";#N/A,#N/A,FALSE,"BalSheet";#N/A,#N/A,FALSE,"WACC";#N/A,#N/A,FALSE,"PC+ Info.";#N/A,#N/A,FALSE,"PC+Info_2"}</definedName>
    <definedName name="zzz.com" localSheetId="60" hidden="1">{#N/A,#N/A,FALSE,"Title Page";#N/A,#N/A,FALSE,"Conclusions";#N/A,#N/A,FALSE,"Assum.";#N/A,#N/A,FALSE,"Sun  DCF-WC-Dep";#N/A,#N/A,FALSE,"MarketValue";#N/A,#N/A,FALSE,"BalSheet";#N/A,#N/A,FALSE,"WACC";#N/A,#N/A,FALSE,"PC+ Info.";#N/A,#N/A,FALSE,"PC+Info_2"}</definedName>
    <definedName name="zzz.com" localSheetId="39" hidden="1">{#N/A,#N/A,FALSE,"Title Page";#N/A,#N/A,FALSE,"Conclusions";#N/A,#N/A,FALSE,"Assum.";#N/A,#N/A,FALSE,"Sun  DCF-WC-Dep";#N/A,#N/A,FALSE,"MarketValue";#N/A,#N/A,FALSE,"BalSheet";#N/A,#N/A,FALSE,"WACC";#N/A,#N/A,FALSE,"PC+ Info.";#N/A,#N/A,FALSE,"PC+Info_2"}</definedName>
    <definedName name="zzz.com" localSheetId="58" hidden="1">{#N/A,#N/A,FALSE,"Title Page";#N/A,#N/A,FALSE,"Conclusions";#N/A,#N/A,FALSE,"Assum.";#N/A,#N/A,FALSE,"Sun  DCF-WC-Dep";#N/A,#N/A,FALSE,"MarketValue";#N/A,#N/A,FALSE,"BalSheet";#N/A,#N/A,FALSE,"WACC";#N/A,#N/A,FALSE,"PC+ Info.";#N/A,#N/A,FALSE,"PC+Info_2"}</definedName>
    <definedName name="zzz.com" localSheetId="64" hidden="1">{#N/A,#N/A,FALSE,"Title Page";#N/A,#N/A,FALSE,"Conclusions";#N/A,#N/A,FALSE,"Assum.";#N/A,#N/A,FALSE,"Sun  DCF-WC-Dep";#N/A,#N/A,FALSE,"MarketValue";#N/A,#N/A,FALSE,"BalSheet";#N/A,#N/A,FALSE,"WACC";#N/A,#N/A,FALSE,"PC+ Info.";#N/A,#N/A,FALSE,"PC+Info_2"}</definedName>
    <definedName name="zzz.com" localSheetId="54" hidden="1">{#N/A,#N/A,FALSE,"Title Page";#N/A,#N/A,FALSE,"Conclusions";#N/A,#N/A,FALSE,"Assum.";#N/A,#N/A,FALSE,"Sun  DCF-WC-Dep";#N/A,#N/A,FALSE,"MarketValue";#N/A,#N/A,FALSE,"BalSheet";#N/A,#N/A,FALSE,"WACC";#N/A,#N/A,FALSE,"PC+ Info.";#N/A,#N/A,FALSE,"PC+Info_2"}</definedName>
    <definedName name="zzz.com" localSheetId="13" hidden="1">{#N/A,#N/A,FALSE,"Title Page";#N/A,#N/A,FALSE,"Conclusions";#N/A,#N/A,FALSE,"Assum.";#N/A,#N/A,FALSE,"Sun  DCF-WC-Dep";#N/A,#N/A,FALSE,"MarketValue";#N/A,#N/A,FALSE,"BalSheet";#N/A,#N/A,FALSE,"WACC";#N/A,#N/A,FALSE,"PC+ Info.";#N/A,#N/A,FALSE,"PC+Info_2"}</definedName>
    <definedName name="zzz.com" localSheetId="63" hidden="1">{#N/A,#N/A,FALSE,"Title Page";#N/A,#N/A,FALSE,"Conclusions";#N/A,#N/A,FALSE,"Assum.";#N/A,#N/A,FALSE,"Sun  DCF-WC-Dep";#N/A,#N/A,FALSE,"MarketValue";#N/A,#N/A,FALSE,"BalSheet";#N/A,#N/A,FALSE,"WACC";#N/A,#N/A,FALSE,"PC+ Info.";#N/A,#N/A,FALSE,"PC+Info_2"}</definedName>
    <definedName name="zzz.com" localSheetId="31" hidden="1">{#N/A,#N/A,FALSE,"Title Page";#N/A,#N/A,FALSE,"Conclusions";#N/A,#N/A,FALSE,"Assum.";#N/A,#N/A,FALSE,"Sun  DCF-WC-Dep";#N/A,#N/A,FALSE,"MarketValue";#N/A,#N/A,FALSE,"BalSheet";#N/A,#N/A,FALSE,"WACC";#N/A,#N/A,FALSE,"PC+ Info.";#N/A,#N/A,FALSE,"PC+Info_2"}</definedName>
    <definedName name="zzz.com" localSheetId="61" hidden="1">{#N/A,#N/A,FALSE,"Title Page";#N/A,#N/A,FALSE,"Conclusions";#N/A,#N/A,FALSE,"Assum.";#N/A,#N/A,FALSE,"Sun  DCF-WC-Dep";#N/A,#N/A,FALSE,"MarketValue";#N/A,#N/A,FALSE,"BalSheet";#N/A,#N/A,FALSE,"WACC";#N/A,#N/A,FALSE,"PC+ Info.";#N/A,#N/A,FALSE,"PC+Info_2"}</definedName>
    <definedName name="zzz.com" localSheetId="45" hidden="1">{#N/A,#N/A,FALSE,"Title Page";#N/A,#N/A,FALSE,"Conclusions";#N/A,#N/A,FALSE,"Assum.";#N/A,#N/A,FALSE,"Sun  DCF-WC-Dep";#N/A,#N/A,FALSE,"MarketValue";#N/A,#N/A,FALSE,"BalSheet";#N/A,#N/A,FALSE,"WACC";#N/A,#N/A,FALSE,"PC+ Info.";#N/A,#N/A,FALSE,"PC+Info_2"}</definedName>
    <definedName name="zzz.com" localSheetId="90" hidden="1">{#N/A,#N/A,FALSE,"Title Page";#N/A,#N/A,FALSE,"Conclusions";#N/A,#N/A,FALSE,"Assum.";#N/A,#N/A,FALSE,"Sun  DCF-WC-Dep";#N/A,#N/A,FALSE,"MarketValue";#N/A,#N/A,FALSE,"BalSheet";#N/A,#N/A,FALSE,"WACC";#N/A,#N/A,FALSE,"PC+ Info.";#N/A,#N/A,FALSE,"PC+Info_2"}</definedName>
    <definedName name="zzz.com" localSheetId="19" hidden="1">{#N/A,#N/A,FALSE,"Title Page";#N/A,#N/A,FALSE,"Conclusions";#N/A,#N/A,FALSE,"Assum.";#N/A,#N/A,FALSE,"Sun  DCF-WC-Dep";#N/A,#N/A,FALSE,"MarketValue";#N/A,#N/A,FALSE,"BalSheet";#N/A,#N/A,FALSE,"WACC";#N/A,#N/A,FALSE,"PC+ Info.";#N/A,#N/A,FALSE,"PC+Info_2"}</definedName>
    <definedName name="zzz.com" localSheetId="57"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s>
  <calcPr calcId="152511"/>
</workbook>
</file>

<file path=xl/calcChain.xml><?xml version="1.0" encoding="utf-8"?>
<calcChain xmlns="http://schemas.openxmlformats.org/spreadsheetml/2006/main">
  <c r="B85" i="306" l="1"/>
  <c r="H11" i="316" l="1"/>
  <c r="I11" i="316" s="1"/>
  <c r="J11" i="316" s="1"/>
  <c r="K11" i="316" s="1"/>
  <c r="L11" i="316" s="1"/>
  <c r="M11" i="316" s="1"/>
  <c r="N11" i="316" s="1"/>
  <c r="O11" i="316" s="1"/>
  <c r="P11" i="316" s="1"/>
  <c r="Q11" i="316" s="1"/>
  <c r="R11" i="316" s="1"/>
  <c r="S11" i="316" s="1"/>
  <c r="T11" i="316" s="1"/>
  <c r="U11" i="316" s="1"/>
  <c r="V11" i="316" s="1"/>
  <c r="W11" i="316" s="1"/>
  <c r="X11" i="316" s="1"/>
  <c r="Y11" i="316" s="1"/>
  <c r="Z11" i="316" s="1"/>
  <c r="AA11" i="316" s="1"/>
  <c r="AB11" i="316" s="1"/>
  <c r="AC11" i="316" s="1"/>
  <c r="AD11" i="316" s="1"/>
  <c r="AE11" i="316" s="1"/>
  <c r="AF11" i="316" s="1"/>
  <c r="AG11" i="316" s="1"/>
  <c r="G11" i="316"/>
  <c r="B86" i="282"/>
  <c r="B54" i="282"/>
  <c r="B62" i="281"/>
  <c r="B50" i="281"/>
  <c r="B33" i="281"/>
  <c r="B16" i="281"/>
  <c r="B180" i="280"/>
  <c r="B144" i="280"/>
  <c r="B85" i="280"/>
  <c r="B31" i="280"/>
  <c r="W4" i="57"/>
  <c r="A55" i="47"/>
  <c r="B25" i="59" l="1"/>
  <c r="D25" i="59"/>
  <c r="P4" i="308"/>
  <c r="W4" i="308"/>
  <c r="Y4" i="344"/>
  <c r="R4" i="344"/>
  <c r="Y4" i="346"/>
  <c r="R4" i="346"/>
  <c r="C100" i="311"/>
  <c r="B100" i="311"/>
  <c r="E23" i="345"/>
  <c r="E23" i="343"/>
  <c r="E46" i="345"/>
  <c r="E47" i="345" s="1"/>
  <c r="E48" i="345" s="1"/>
  <c r="E49" i="345" s="1"/>
  <c r="E50" i="345" s="1"/>
  <c r="B88" i="345"/>
  <c r="E47" i="343"/>
  <c r="E48" i="343" s="1"/>
  <c r="E49" i="343" s="1"/>
  <c r="E50" i="343" s="1"/>
  <c r="E46" i="343"/>
  <c r="B88" i="343"/>
  <c r="B88" i="306"/>
  <c r="E46" i="306"/>
  <c r="E47" i="306" s="1"/>
  <c r="E48" i="306" s="1"/>
  <c r="E49" i="306" s="1"/>
  <c r="E50" i="306" s="1"/>
  <c r="E23" i="306"/>
  <c r="E15" i="313"/>
  <c r="J33" i="316"/>
  <c r="N33" i="316" s="1"/>
  <c r="R33" i="316" s="1"/>
  <c r="V33" i="316" s="1"/>
  <c r="Y33" i="316" s="1"/>
  <c r="AD33" i="316" s="1"/>
  <c r="AA4" i="316"/>
  <c r="X4" i="316"/>
  <c r="F24" i="316" l="1"/>
  <c r="G24" i="316"/>
  <c r="H24" i="316"/>
  <c r="I24" i="316" s="1"/>
  <c r="J24" i="316" s="1"/>
  <c r="K24" i="316" s="1"/>
  <c r="L24" i="316" s="1"/>
  <c r="M24" i="316" s="1"/>
  <c r="N24" i="316" s="1"/>
  <c r="O24" i="316" s="1"/>
  <c r="P24" i="316" s="1"/>
  <c r="Q24" i="316" s="1"/>
  <c r="R24" i="316" s="1"/>
  <c r="S24" i="316" s="1"/>
  <c r="T24" i="316" s="1"/>
  <c r="U24" i="316" s="1"/>
  <c r="V24" i="316" s="1"/>
  <c r="W24" i="316" s="1"/>
  <c r="X24" i="316" s="1"/>
  <c r="Y24" i="316" s="1"/>
  <c r="Z24" i="316" s="1"/>
  <c r="AA24" i="316" s="1"/>
  <c r="AB24" i="316" s="1"/>
  <c r="AC24" i="316" s="1"/>
  <c r="AD24" i="316" s="1"/>
  <c r="AE24" i="316" s="1"/>
  <c r="AF24" i="316" s="1"/>
  <c r="AG24" i="316" s="1"/>
  <c r="C6" i="316"/>
  <c r="D15" i="313"/>
  <c r="BP53" i="213" l="1"/>
  <c r="BQ53" i="213"/>
  <c r="BO53" i="213"/>
  <c r="BM53" i="213"/>
  <c r="BN53" i="213"/>
  <c r="BL53" i="213"/>
  <c r="BI53" i="213"/>
  <c r="BJ53" i="213"/>
  <c r="BK53" i="213"/>
  <c r="BF53" i="213"/>
  <c r="BG53" i="213"/>
  <c r="BH53" i="213"/>
  <c r="BD53" i="213"/>
  <c r="BE53" i="213"/>
  <c r="BA53" i="213"/>
  <c r="BB53" i="213"/>
  <c r="BC53" i="213"/>
  <c r="AY53" i="213"/>
  <c r="AZ53" i="213"/>
  <c r="AV53" i="213"/>
  <c r="AW53" i="213"/>
  <c r="AX53" i="213"/>
  <c r="AR53" i="213"/>
  <c r="AS53" i="213"/>
  <c r="AU53" i="213"/>
  <c r="AO53" i="213"/>
  <c r="AP53" i="213"/>
  <c r="AQ53" i="213"/>
  <c r="AN53" i="213"/>
  <c r="AL53" i="213"/>
  <c r="AM53" i="213"/>
  <c r="AK53" i="213"/>
  <c r="AI53" i="213"/>
  <c r="AJ53" i="213"/>
  <c r="AF53" i="213"/>
  <c r="AG53" i="213"/>
  <c r="AH53" i="213"/>
  <c r="AD53" i="213"/>
  <c r="AE53" i="213"/>
  <c r="AC53" i="213"/>
  <c r="AA53" i="213"/>
  <c r="AB53" i="213"/>
  <c r="X53" i="213"/>
  <c r="Y53" i="213"/>
  <c r="Z53" i="213"/>
  <c r="V53" i="213"/>
  <c r="W53" i="213"/>
  <c r="U53" i="213"/>
  <c r="S53" i="213"/>
  <c r="T53" i="213"/>
  <c r="Q53" i="213"/>
  <c r="BR53" i="213" s="1"/>
  <c r="R53" i="213"/>
  <c r="N53" i="213"/>
  <c r="O53" i="213"/>
  <c r="P53" i="213"/>
  <c r="K53" i="213"/>
  <c r="L53" i="213"/>
  <c r="M53" i="213"/>
  <c r="F53" i="213"/>
  <c r="H53" i="213"/>
  <c r="I53" i="213"/>
  <c r="C53" i="213"/>
  <c r="D53" i="213"/>
  <c r="E53" i="213"/>
  <c r="BQ52" i="213"/>
  <c r="BO52" i="213"/>
  <c r="BP52" i="213"/>
  <c r="BN52" i="213"/>
  <c r="BL52" i="213"/>
  <c r="BM52" i="213"/>
  <c r="BJ52" i="213"/>
  <c r="BK52" i="213"/>
  <c r="BG52" i="213"/>
  <c r="BH52" i="213"/>
  <c r="BI52" i="213"/>
  <c r="BD52" i="213"/>
  <c r="BE52" i="213"/>
  <c r="BF52" i="213"/>
  <c r="BB52" i="213"/>
  <c r="BC52" i="213"/>
  <c r="AY52" i="213"/>
  <c r="AZ52" i="213"/>
  <c r="BA52" i="213"/>
  <c r="AW52" i="213"/>
  <c r="AX52" i="213"/>
  <c r="AS52" i="213"/>
  <c r="AU52" i="213"/>
  <c r="AV52" i="213"/>
  <c r="AP52" i="213"/>
  <c r="AQ52" i="213"/>
  <c r="AR52" i="213"/>
  <c r="AN52" i="213"/>
  <c r="AO52" i="213"/>
  <c r="AM52" i="213"/>
  <c r="AK52" i="213"/>
  <c r="AL52" i="213"/>
  <c r="AJ52" i="213"/>
  <c r="AG52" i="213"/>
  <c r="AH52" i="213"/>
  <c r="AI52" i="213"/>
  <c r="AE52" i="213"/>
  <c r="AF52" i="213"/>
  <c r="AC52" i="213"/>
  <c r="AD52" i="213"/>
  <c r="AB52" i="213"/>
  <c r="Y52" i="213"/>
  <c r="Z52" i="213"/>
  <c r="AA52" i="213"/>
  <c r="W52" i="213"/>
  <c r="X52" i="213"/>
  <c r="U52" i="213"/>
  <c r="V52" i="213"/>
  <c r="T52" i="213"/>
  <c r="R52" i="213"/>
  <c r="S52" i="213"/>
  <c r="O52" i="213"/>
  <c r="P52" i="213"/>
  <c r="Q52" i="213"/>
  <c r="BR52" i="213" s="1"/>
  <c r="L52" i="213"/>
  <c r="M52" i="213"/>
  <c r="N52" i="213"/>
  <c r="H52" i="213"/>
  <c r="I52" i="213"/>
  <c r="K52" i="213"/>
  <c r="D52" i="213"/>
  <c r="E52" i="213"/>
  <c r="F52" i="213"/>
  <c r="BQ51" i="213"/>
  <c r="C52" i="213"/>
  <c r="BP51" i="213"/>
  <c r="BN51" i="213"/>
  <c r="BO51" i="213"/>
  <c r="BM51" i="213"/>
  <c r="BK51" i="213"/>
  <c r="BL51" i="213"/>
  <c r="BH51" i="213"/>
  <c r="BI51" i="213"/>
  <c r="BJ51" i="213"/>
  <c r="BE51" i="213"/>
  <c r="BF51" i="213"/>
  <c r="BG51" i="213"/>
  <c r="BC51" i="213"/>
  <c r="BD51" i="213"/>
  <c r="AZ51" i="213"/>
  <c r="BA51" i="213"/>
  <c r="BB51" i="213"/>
  <c r="AX51" i="213"/>
  <c r="AY51" i="213"/>
  <c r="AU51" i="213"/>
  <c r="AV51" i="213"/>
  <c r="AW51" i="213"/>
  <c r="AQ51" i="213"/>
  <c r="AR51" i="213"/>
  <c r="AS51" i="213"/>
  <c r="AO51" i="213"/>
  <c r="AP51" i="213"/>
  <c r="AM51" i="213"/>
  <c r="AN51" i="213"/>
  <c r="AL51" i="213"/>
  <c r="AJ51" i="213"/>
  <c r="AK51" i="213"/>
  <c r="AH51" i="213"/>
  <c r="AI51" i="213"/>
  <c r="AE51" i="213"/>
  <c r="AF51" i="213"/>
  <c r="AG51" i="213"/>
  <c r="AD51" i="213"/>
  <c r="AB51" i="213"/>
  <c r="AC51" i="213"/>
  <c r="Z51" i="213"/>
  <c r="AA51" i="213"/>
  <c r="W51" i="213"/>
  <c r="X51" i="213"/>
  <c r="Y51" i="213"/>
  <c r="V51" i="213"/>
  <c r="T51" i="213"/>
  <c r="U51" i="213"/>
  <c r="S51" i="213"/>
  <c r="P51" i="213"/>
  <c r="Q51" i="213"/>
  <c r="BR51" i="213" s="1"/>
  <c r="R51" i="213"/>
  <c r="M51" i="213"/>
  <c r="N51" i="213"/>
  <c r="O51" i="213"/>
  <c r="I51" i="213"/>
  <c r="K51" i="213"/>
  <c r="L51" i="213"/>
  <c r="E51" i="213"/>
  <c r="F51" i="213"/>
  <c r="H51" i="213"/>
  <c r="C51" i="213"/>
  <c r="D51" i="213"/>
  <c r="BP50" i="213"/>
  <c r="BQ50" i="213"/>
  <c r="BO50" i="213"/>
  <c r="BM50" i="213"/>
  <c r="BN50" i="213"/>
  <c r="BL50" i="213"/>
  <c r="BI50" i="213"/>
  <c r="BJ50" i="213"/>
  <c r="BK50" i="213"/>
  <c r="BF50" i="213"/>
  <c r="BG50" i="213"/>
  <c r="BH50" i="213"/>
  <c r="BD50" i="213"/>
  <c r="BE50" i="213"/>
  <c r="BA50" i="213"/>
  <c r="BB50" i="213"/>
  <c r="BC50" i="213"/>
  <c r="AY50" i="213"/>
  <c r="AZ50" i="213"/>
  <c r="AV50" i="213"/>
  <c r="AW50" i="213"/>
  <c r="AX50" i="213"/>
  <c r="AR50" i="213"/>
  <c r="AS50" i="213"/>
  <c r="AU50" i="213"/>
  <c r="AO50" i="213"/>
  <c r="AP50" i="213"/>
  <c r="AQ50" i="213"/>
  <c r="AN50" i="213"/>
  <c r="AL50" i="213"/>
  <c r="AM50" i="213"/>
  <c r="AK50" i="213"/>
  <c r="AI50" i="213"/>
  <c r="AJ50" i="213"/>
  <c r="AF50" i="213"/>
  <c r="AG50" i="213"/>
  <c r="AH50" i="213"/>
  <c r="AD50" i="213"/>
  <c r="AE50" i="213"/>
  <c r="AC50" i="213"/>
  <c r="AA50" i="213"/>
  <c r="AB50" i="213"/>
  <c r="X50" i="213"/>
  <c r="Y50" i="213"/>
  <c r="Z50" i="213"/>
  <c r="V50" i="213"/>
  <c r="W50" i="213"/>
  <c r="U50" i="213"/>
  <c r="S50" i="213"/>
  <c r="T50" i="213"/>
  <c r="Q50" i="213"/>
  <c r="BR50" i="213" s="1"/>
  <c r="R50" i="213"/>
  <c r="N50" i="213"/>
  <c r="O50" i="213"/>
  <c r="P50" i="213"/>
  <c r="K50" i="213"/>
  <c r="L50" i="213"/>
  <c r="M50" i="213"/>
  <c r="F50" i="213"/>
  <c r="H50" i="213"/>
  <c r="I50" i="213"/>
  <c r="C50" i="213"/>
  <c r="D50" i="213"/>
  <c r="E50" i="213"/>
  <c r="BQ49" i="213"/>
  <c r="BO49" i="213"/>
  <c r="BP49" i="213"/>
  <c r="BN49" i="213"/>
  <c r="BL49" i="213"/>
  <c r="BM49" i="213"/>
  <c r="BJ49" i="213"/>
  <c r="BK49" i="213"/>
  <c r="BG49" i="213"/>
  <c r="BH49" i="213"/>
  <c r="BI49" i="213"/>
  <c r="BD49" i="213"/>
  <c r="BE49" i="213"/>
  <c r="BF49" i="213"/>
  <c r="BB49" i="213"/>
  <c r="BC49" i="213"/>
  <c r="AY49" i="213"/>
  <c r="AZ49" i="213"/>
  <c r="BA49" i="213"/>
  <c r="AW49" i="213"/>
  <c r="AX49" i="213"/>
  <c r="AS49" i="213"/>
  <c r="AU49" i="213"/>
  <c r="AV49" i="213"/>
  <c r="AP49" i="213"/>
  <c r="AQ49" i="213"/>
  <c r="AR49" i="213"/>
  <c r="AN49" i="213"/>
  <c r="AO49" i="213"/>
  <c r="AM49" i="213"/>
  <c r="AK49" i="213"/>
  <c r="AL49" i="213"/>
  <c r="AJ49" i="213"/>
  <c r="AG49" i="213"/>
  <c r="AH49" i="213"/>
  <c r="AI49" i="213"/>
  <c r="AE49" i="213"/>
  <c r="AF49" i="213"/>
  <c r="AC49" i="213"/>
  <c r="AD49" i="213"/>
  <c r="AB49" i="213"/>
  <c r="Y49" i="213"/>
  <c r="Z49" i="213"/>
  <c r="AA49" i="213"/>
  <c r="W49" i="213"/>
  <c r="X49" i="213"/>
  <c r="U49" i="213"/>
  <c r="V49" i="213"/>
  <c r="T49" i="213"/>
  <c r="R49" i="213"/>
  <c r="S49" i="213"/>
  <c r="O49" i="213"/>
  <c r="P49" i="213"/>
  <c r="Q49" i="213"/>
  <c r="BR49" i="213" s="1"/>
  <c r="L49" i="213"/>
  <c r="M49" i="213"/>
  <c r="N49" i="213"/>
  <c r="H49" i="213"/>
  <c r="I49" i="213"/>
  <c r="K49" i="213"/>
  <c r="D49" i="213"/>
  <c r="E49" i="213"/>
  <c r="F49" i="213"/>
  <c r="BQ48" i="213"/>
  <c r="C49" i="213"/>
  <c r="BP48" i="213"/>
  <c r="BN48" i="213"/>
  <c r="BO48" i="213"/>
  <c r="BM48" i="213"/>
  <c r="BK48" i="213"/>
  <c r="BL48" i="213"/>
  <c r="BH48" i="213"/>
  <c r="BI48" i="213"/>
  <c r="BJ48" i="213"/>
  <c r="BE48" i="213"/>
  <c r="BF48" i="213"/>
  <c r="BG48" i="213"/>
  <c r="BC48" i="213"/>
  <c r="BD48" i="213"/>
  <c r="AZ48" i="213"/>
  <c r="BA48" i="213"/>
  <c r="BB48" i="213"/>
  <c r="AX48" i="213"/>
  <c r="AY48" i="213"/>
  <c r="AU48" i="213"/>
  <c r="AV48" i="213"/>
  <c r="AW48" i="213"/>
  <c r="AQ48" i="213"/>
  <c r="AR48" i="213"/>
  <c r="AS48" i="213"/>
  <c r="AO48" i="213"/>
  <c r="AP48" i="213"/>
  <c r="AM48" i="213"/>
  <c r="AN48" i="213"/>
  <c r="AL48" i="213"/>
  <c r="AJ48" i="213"/>
  <c r="AK48" i="213"/>
  <c r="AH48" i="213"/>
  <c r="AI48" i="213"/>
  <c r="AE48" i="213"/>
  <c r="AF48" i="213"/>
  <c r="AG48" i="213"/>
  <c r="AD48" i="213"/>
  <c r="AB48" i="213"/>
  <c r="AC48" i="213"/>
  <c r="Z48" i="213"/>
  <c r="AA48" i="213"/>
  <c r="W48" i="213"/>
  <c r="X48" i="213"/>
  <c r="Y48" i="213"/>
  <c r="V48" i="213"/>
  <c r="T48" i="213"/>
  <c r="U48" i="213"/>
  <c r="S48" i="213"/>
  <c r="P48" i="213"/>
  <c r="Q48" i="213"/>
  <c r="BR48" i="213" s="1"/>
  <c r="R48" i="213"/>
  <c r="M48" i="213"/>
  <c r="N48" i="213"/>
  <c r="O48" i="213"/>
  <c r="I48" i="213"/>
  <c r="K48" i="213"/>
  <c r="L48" i="213"/>
  <c r="E48" i="213"/>
  <c r="F48" i="213"/>
  <c r="H48" i="213"/>
  <c r="C48" i="213"/>
  <c r="D48" i="213"/>
  <c r="BP47" i="213"/>
  <c r="BQ47" i="213"/>
  <c r="BO47" i="213"/>
  <c r="BM47" i="213"/>
  <c r="BN47" i="213"/>
  <c r="BL47" i="213"/>
  <c r="BI47" i="213"/>
  <c r="BJ47" i="213"/>
  <c r="BK47" i="213"/>
  <c r="BF47" i="213"/>
  <c r="BG47" i="213"/>
  <c r="BH47" i="213"/>
  <c r="BD47" i="213"/>
  <c r="BE47" i="213"/>
  <c r="BA47" i="213"/>
  <c r="BB47" i="213"/>
  <c r="BC47" i="213"/>
  <c r="AY47" i="213"/>
  <c r="AZ47" i="213"/>
  <c r="AV47" i="213"/>
  <c r="AW47" i="213"/>
  <c r="AX47" i="213"/>
  <c r="AR47" i="213"/>
  <c r="AS47" i="213"/>
  <c r="AU47" i="213"/>
  <c r="AO47" i="213"/>
  <c r="AP47" i="213"/>
  <c r="AQ47" i="213"/>
  <c r="AN47" i="213"/>
  <c r="AL47" i="213"/>
  <c r="AM47" i="213"/>
  <c r="AK47" i="213"/>
  <c r="AI47" i="213"/>
  <c r="AJ47" i="213"/>
  <c r="AF47" i="213"/>
  <c r="AG47" i="213"/>
  <c r="AH47" i="213"/>
  <c r="AD47" i="213"/>
  <c r="AE47" i="213"/>
  <c r="AC47" i="213"/>
  <c r="AA47" i="213"/>
  <c r="AB47" i="213"/>
  <c r="X47" i="213"/>
  <c r="Y47" i="213"/>
  <c r="Z47" i="213"/>
  <c r="V47" i="213"/>
  <c r="W47" i="213"/>
  <c r="U47" i="213"/>
  <c r="S47" i="213"/>
  <c r="T47" i="213"/>
  <c r="Q47" i="213"/>
  <c r="BR47" i="213" s="1"/>
  <c r="R47" i="213"/>
  <c r="N47" i="213"/>
  <c r="O47" i="213"/>
  <c r="P47" i="213"/>
  <c r="K47" i="213"/>
  <c r="L47" i="213"/>
  <c r="M47" i="213"/>
  <c r="F47" i="213"/>
  <c r="H47" i="213"/>
  <c r="I47" i="213"/>
  <c r="C47" i="213"/>
  <c r="D47" i="213"/>
  <c r="E47" i="213"/>
  <c r="BQ46" i="213"/>
  <c r="BO46" i="213"/>
  <c r="BP46" i="213"/>
  <c r="BN46" i="213"/>
  <c r="BL46" i="213"/>
  <c r="BM46" i="213"/>
  <c r="BJ46" i="213"/>
  <c r="BK46" i="213"/>
  <c r="BG46" i="213"/>
  <c r="BH46" i="213"/>
  <c r="BI46" i="213"/>
  <c r="BD46" i="213"/>
  <c r="BE46" i="213"/>
  <c r="BF46" i="213"/>
  <c r="BB46" i="213"/>
  <c r="BC46" i="213"/>
  <c r="AY46" i="213"/>
  <c r="AZ46" i="213"/>
  <c r="BA46" i="213"/>
  <c r="AW46" i="213"/>
  <c r="AX46" i="213"/>
  <c r="AS46" i="213"/>
  <c r="AU46" i="213"/>
  <c r="AV46" i="213"/>
  <c r="AP46" i="213"/>
  <c r="AQ46" i="213"/>
  <c r="AR46" i="213"/>
  <c r="AN46" i="213"/>
  <c r="AO46" i="213"/>
  <c r="AM46" i="213"/>
  <c r="AK46" i="213"/>
  <c r="AL46" i="213"/>
  <c r="AJ46" i="213"/>
  <c r="AG46" i="213"/>
  <c r="AH46" i="213"/>
  <c r="AI46" i="213"/>
  <c r="AE46" i="213"/>
  <c r="AF46" i="213"/>
  <c r="AC46" i="213"/>
  <c r="AD46" i="213"/>
  <c r="AB46" i="213"/>
  <c r="Y46" i="213"/>
  <c r="Z46" i="213"/>
  <c r="AA46" i="213"/>
  <c r="W46" i="213"/>
  <c r="X46" i="213"/>
  <c r="U46" i="213"/>
  <c r="V46" i="213"/>
  <c r="T46" i="213"/>
  <c r="R46" i="213"/>
  <c r="S46" i="213"/>
  <c r="O46" i="213"/>
  <c r="P46" i="213"/>
  <c r="Q46" i="213"/>
  <c r="BR46" i="213" s="1"/>
  <c r="L46" i="213"/>
  <c r="M46" i="213"/>
  <c r="N46" i="213"/>
  <c r="H46" i="213"/>
  <c r="I46" i="213"/>
  <c r="K46" i="213"/>
  <c r="D46" i="213"/>
  <c r="E46" i="213"/>
  <c r="F46" i="213"/>
  <c r="BQ45" i="213"/>
  <c r="C46" i="213"/>
  <c r="BP45" i="213"/>
  <c r="BN45" i="213"/>
  <c r="BO45" i="213"/>
  <c r="BM45" i="213"/>
  <c r="BK45" i="213"/>
  <c r="BL45" i="213"/>
  <c r="BH45" i="213"/>
  <c r="BI45" i="213"/>
  <c r="BJ45" i="213"/>
  <c r="BE45" i="213"/>
  <c r="BF45" i="213"/>
  <c r="BG45" i="213"/>
  <c r="BC45" i="213"/>
  <c r="BD45" i="213"/>
  <c r="AZ45" i="213"/>
  <c r="BA45" i="213"/>
  <c r="BB45" i="213"/>
  <c r="AX45" i="213"/>
  <c r="AY45" i="213"/>
  <c r="AU45" i="213"/>
  <c r="AV45" i="213"/>
  <c r="AW45" i="213"/>
  <c r="AQ45" i="213"/>
  <c r="AR45" i="213"/>
  <c r="AS45" i="213"/>
  <c r="AO45" i="213"/>
  <c r="AP45" i="213"/>
  <c r="AM45" i="213"/>
  <c r="AN45" i="213"/>
  <c r="AL45" i="213"/>
  <c r="AJ45" i="213"/>
  <c r="AK45" i="213"/>
  <c r="AH45" i="213"/>
  <c r="AI45" i="213"/>
  <c r="AE45" i="213"/>
  <c r="AF45" i="213"/>
  <c r="AG45" i="213"/>
  <c r="AD45" i="213"/>
  <c r="AB45" i="213"/>
  <c r="AC45" i="213"/>
  <c r="Z45" i="213"/>
  <c r="AA45" i="213"/>
  <c r="W45" i="213"/>
  <c r="X45" i="213"/>
  <c r="Y45" i="213"/>
  <c r="V45" i="213"/>
  <c r="T45" i="213"/>
  <c r="U45" i="213"/>
  <c r="S45" i="213"/>
  <c r="P45" i="213"/>
  <c r="Q45" i="213"/>
  <c r="BR45" i="213" s="1"/>
  <c r="R45" i="213"/>
  <c r="M45" i="213"/>
  <c r="N45" i="213"/>
  <c r="O45" i="213"/>
  <c r="I45" i="213"/>
  <c r="K45" i="213"/>
  <c r="L45" i="213"/>
  <c r="E45" i="213"/>
  <c r="F45" i="213"/>
  <c r="H45" i="213"/>
  <c r="C45" i="213"/>
  <c r="D45" i="213"/>
  <c r="BP44" i="213"/>
  <c r="BQ44" i="213"/>
  <c r="BO44" i="213"/>
  <c r="BM44" i="213"/>
  <c r="BN44" i="213"/>
  <c r="BL44" i="213"/>
  <c r="BI44" i="213"/>
  <c r="BJ44" i="213"/>
  <c r="BK44" i="213"/>
  <c r="BF44" i="213"/>
  <c r="BG44" i="213"/>
  <c r="BH44" i="213"/>
  <c r="BD44" i="213"/>
  <c r="BE44" i="213"/>
  <c r="BA44" i="213"/>
  <c r="BB44" i="213"/>
  <c r="BC44" i="213"/>
  <c r="AY44" i="213"/>
  <c r="AZ44" i="213"/>
  <c r="AV44" i="213"/>
  <c r="AW44" i="213"/>
  <c r="AX44" i="213"/>
  <c r="AR44" i="213"/>
  <c r="AS44" i="213"/>
  <c r="AU44" i="213"/>
  <c r="AO44" i="213"/>
  <c r="AP44" i="213"/>
  <c r="AQ44" i="213"/>
  <c r="AN44" i="213"/>
  <c r="AL44" i="213"/>
  <c r="AM44" i="213"/>
  <c r="AK44" i="213"/>
  <c r="AI44" i="213"/>
  <c r="AJ44" i="213"/>
  <c r="AF44" i="213"/>
  <c r="AG44" i="213"/>
  <c r="AH44" i="213"/>
  <c r="AD44" i="213"/>
  <c r="AE44" i="213"/>
  <c r="AC44" i="213"/>
  <c r="AA44" i="213"/>
  <c r="AB44" i="213"/>
  <c r="X44" i="213"/>
  <c r="Y44" i="213"/>
  <c r="Z44" i="213"/>
  <c r="V44" i="213"/>
  <c r="W44" i="213"/>
  <c r="U44" i="213"/>
  <c r="S44" i="213"/>
  <c r="T44" i="213"/>
  <c r="Q44" i="213"/>
  <c r="BR44" i="213" s="1"/>
  <c r="R44" i="213"/>
  <c r="N44" i="213"/>
  <c r="O44" i="213"/>
  <c r="P44" i="213"/>
  <c r="K44" i="213"/>
  <c r="L44" i="213"/>
  <c r="M44" i="213"/>
  <c r="F44" i="213"/>
  <c r="H44" i="213"/>
  <c r="I44" i="213"/>
  <c r="C44" i="213"/>
  <c r="D44" i="213"/>
  <c r="E44" i="213"/>
  <c r="BQ42" i="213"/>
  <c r="BO42" i="213"/>
  <c r="BP42" i="213"/>
  <c r="BN42" i="213"/>
  <c r="BL42" i="213"/>
  <c r="BM42" i="213"/>
  <c r="BJ42" i="213"/>
  <c r="BK42" i="213"/>
  <c r="BG42" i="213"/>
  <c r="BH42" i="213"/>
  <c r="BI42" i="213"/>
  <c r="BD42" i="213"/>
  <c r="BE42" i="213"/>
  <c r="BF42" i="213"/>
  <c r="BB42" i="213"/>
  <c r="BC42" i="213"/>
  <c r="AY42" i="213"/>
  <c r="AZ42" i="213"/>
  <c r="BA42" i="213"/>
  <c r="AW42" i="213"/>
  <c r="AX42" i="213"/>
  <c r="AT42" i="213"/>
  <c r="AU42" i="213"/>
  <c r="AV42" i="213"/>
  <c r="AQ42" i="213"/>
  <c r="AR42" i="213"/>
  <c r="AS42" i="213"/>
  <c r="AO42" i="213"/>
  <c r="AP42" i="213"/>
  <c r="AM42" i="213"/>
  <c r="AN42" i="213"/>
  <c r="AL42" i="213"/>
  <c r="AJ42" i="213"/>
  <c r="AK42" i="213"/>
  <c r="AH42" i="213"/>
  <c r="AI42" i="213"/>
  <c r="AE42" i="213"/>
  <c r="AF42" i="213"/>
  <c r="AG42" i="213"/>
  <c r="AD42" i="213"/>
  <c r="AB42" i="213"/>
  <c r="AC42" i="213"/>
  <c r="Z42" i="213"/>
  <c r="AA42" i="213"/>
  <c r="W42" i="213"/>
  <c r="X42" i="213"/>
  <c r="Y42" i="213"/>
  <c r="V42" i="213"/>
  <c r="T42" i="213"/>
  <c r="U42" i="213"/>
  <c r="S42" i="213"/>
  <c r="P42" i="213"/>
  <c r="Q42" i="213"/>
  <c r="BR42" i="213" s="1"/>
  <c r="R42" i="213"/>
  <c r="M42" i="213"/>
  <c r="N42" i="213"/>
  <c r="O42" i="213"/>
  <c r="J42" i="213"/>
  <c r="K42" i="213"/>
  <c r="L42" i="213"/>
  <c r="F42" i="213"/>
  <c r="H42" i="213"/>
  <c r="I42" i="213"/>
  <c r="C42" i="213"/>
  <c r="D42" i="213"/>
  <c r="E42" i="213"/>
  <c r="BQ41" i="213"/>
  <c r="BO41" i="213"/>
  <c r="BP41" i="213"/>
  <c r="BN41" i="213"/>
  <c r="BL41" i="213"/>
  <c r="BM41" i="213"/>
  <c r="BJ41" i="213"/>
  <c r="BK41" i="213"/>
  <c r="BG41" i="213"/>
  <c r="BH41" i="213"/>
  <c r="BI41" i="213"/>
  <c r="BD41" i="213"/>
  <c r="BE41" i="213"/>
  <c r="BF41" i="213"/>
  <c r="BB41" i="213"/>
  <c r="BC41" i="213"/>
  <c r="AY41" i="213"/>
  <c r="AZ41" i="213"/>
  <c r="BA41" i="213"/>
  <c r="AW41" i="213"/>
  <c r="AX41" i="213"/>
  <c r="AT41" i="213"/>
  <c r="AU41" i="213"/>
  <c r="AV41" i="213"/>
  <c r="AQ41" i="213"/>
  <c r="AR41" i="213"/>
  <c r="AS41" i="213"/>
  <c r="AO41" i="213"/>
  <c r="AP41" i="213"/>
  <c r="AM41" i="213"/>
  <c r="AN41" i="213"/>
  <c r="AL41" i="213"/>
  <c r="AJ41" i="213"/>
  <c r="AK41" i="213"/>
  <c r="AH41" i="213"/>
  <c r="AI41" i="213"/>
  <c r="AE41" i="213"/>
  <c r="AF41" i="213"/>
  <c r="AG41" i="213"/>
  <c r="AD41" i="213"/>
  <c r="AB41" i="213"/>
  <c r="AC41" i="213"/>
  <c r="Z41" i="213"/>
  <c r="AA41" i="213"/>
  <c r="W41" i="213"/>
  <c r="X41" i="213"/>
  <c r="Y41" i="213"/>
  <c r="V41" i="213"/>
  <c r="T41" i="213"/>
  <c r="U41" i="213"/>
  <c r="S41" i="213"/>
  <c r="P41" i="213"/>
  <c r="Q41" i="213"/>
  <c r="BR41" i="213" s="1"/>
  <c r="R41" i="213"/>
  <c r="M41" i="213"/>
  <c r="N41" i="213"/>
  <c r="O41" i="213"/>
  <c r="J41" i="213"/>
  <c r="K41" i="213"/>
  <c r="L41" i="213"/>
  <c r="F41" i="213"/>
  <c r="H41" i="213"/>
  <c r="I41" i="213"/>
  <c r="C41" i="213"/>
  <c r="D41" i="213"/>
  <c r="E41" i="213"/>
  <c r="BQ40" i="213"/>
  <c r="BO40" i="213"/>
  <c r="BP40" i="213"/>
  <c r="BN40" i="213"/>
  <c r="BL40" i="213"/>
  <c r="BM40" i="213"/>
  <c r="BJ40" i="213"/>
  <c r="BK40" i="213"/>
  <c r="BG40" i="213"/>
  <c r="BH40" i="213"/>
  <c r="BI40" i="213"/>
  <c r="BD40" i="213"/>
  <c r="BE40" i="213"/>
  <c r="BF40" i="213"/>
  <c r="BB40" i="213"/>
  <c r="BC40" i="213"/>
  <c r="AY40" i="213"/>
  <c r="AZ40" i="213"/>
  <c r="BA40" i="213"/>
  <c r="AW40" i="213"/>
  <c r="AX40" i="213"/>
  <c r="AT40" i="213"/>
  <c r="AU40" i="213"/>
  <c r="AV40" i="213"/>
  <c r="AQ40" i="213"/>
  <c r="AR40" i="213"/>
  <c r="AS40" i="213"/>
  <c r="AO40" i="213"/>
  <c r="AP40" i="213"/>
  <c r="AM40" i="213"/>
  <c r="AN40" i="213"/>
  <c r="AL40" i="213"/>
  <c r="AJ40" i="213"/>
  <c r="AK40" i="213"/>
  <c r="AH40" i="213"/>
  <c r="AI40" i="213"/>
  <c r="AE40" i="213"/>
  <c r="AF40" i="213"/>
  <c r="AG40" i="213"/>
  <c r="AD40" i="213"/>
  <c r="AB40" i="213"/>
  <c r="AC40" i="213"/>
  <c r="Z40" i="213"/>
  <c r="AA40" i="213"/>
  <c r="W40" i="213"/>
  <c r="X40" i="213"/>
  <c r="Y40" i="213"/>
  <c r="V40" i="213"/>
  <c r="T40" i="213"/>
  <c r="U40" i="213"/>
  <c r="S40" i="213"/>
  <c r="P40" i="213"/>
  <c r="Q40" i="213"/>
  <c r="BR40" i="213" s="1"/>
  <c r="R40" i="213"/>
  <c r="M40" i="213"/>
  <c r="N40" i="213"/>
  <c r="O40" i="213"/>
  <c r="J40" i="213"/>
  <c r="K40" i="213"/>
  <c r="L40" i="213"/>
  <c r="F40" i="213"/>
  <c r="H40" i="213"/>
  <c r="I40" i="213"/>
  <c r="C40" i="213"/>
  <c r="D40" i="213"/>
  <c r="E40" i="213"/>
  <c r="BQ39" i="213"/>
  <c r="BO39" i="213"/>
  <c r="BP39" i="213"/>
  <c r="BN39" i="213"/>
  <c r="BL39" i="213"/>
  <c r="BM39" i="213"/>
  <c r="BJ39" i="213"/>
  <c r="BK39" i="213"/>
  <c r="BG39" i="213"/>
  <c r="BH39" i="213"/>
  <c r="BI39" i="213"/>
  <c r="BD39" i="213"/>
  <c r="BE39" i="213"/>
  <c r="BF39" i="213"/>
  <c r="BB39" i="213"/>
  <c r="BC39" i="213"/>
  <c r="AY39" i="213"/>
  <c r="AZ39" i="213"/>
  <c r="BA39" i="213"/>
  <c r="AW39" i="213"/>
  <c r="AX39" i="213"/>
  <c r="AT39" i="213"/>
  <c r="AU39" i="213"/>
  <c r="AV39" i="213"/>
  <c r="AQ39" i="213"/>
  <c r="AR39" i="213"/>
  <c r="AS39" i="213"/>
  <c r="AO39" i="213"/>
  <c r="AP39" i="213"/>
  <c r="AM39" i="213"/>
  <c r="AN39" i="213"/>
  <c r="AL39" i="213"/>
  <c r="AJ39" i="213"/>
  <c r="AK39" i="213"/>
  <c r="AH39" i="213"/>
  <c r="AI39" i="213"/>
  <c r="AE39" i="213"/>
  <c r="AF39" i="213"/>
  <c r="AG39" i="213"/>
  <c r="AD39" i="213"/>
  <c r="AB39" i="213"/>
  <c r="AC39" i="213"/>
  <c r="Z39" i="213"/>
  <c r="AA39" i="213"/>
  <c r="W39" i="213"/>
  <c r="X39" i="213"/>
  <c r="Y39" i="213"/>
  <c r="V39" i="213"/>
  <c r="T39" i="213"/>
  <c r="U39" i="213"/>
  <c r="S39" i="213"/>
  <c r="P39" i="213"/>
  <c r="Q39" i="213"/>
  <c r="BR39" i="213" s="1"/>
  <c r="R39" i="213"/>
  <c r="M39" i="213"/>
  <c r="N39" i="213"/>
  <c r="O39" i="213"/>
  <c r="J39" i="213"/>
  <c r="K39" i="213"/>
  <c r="L39" i="213"/>
  <c r="F39" i="213"/>
  <c r="H39" i="213"/>
  <c r="I39" i="213"/>
  <c r="C39" i="213"/>
  <c r="D39" i="213"/>
  <c r="E39" i="213"/>
  <c r="BQ38" i="213"/>
  <c r="BO38" i="213"/>
  <c r="BP38" i="213"/>
  <c r="BN38" i="213"/>
  <c r="BL38" i="213"/>
  <c r="BM38" i="213"/>
  <c r="BJ38" i="213"/>
  <c r="BK38" i="213"/>
  <c r="BG38" i="213"/>
  <c r="BH38" i="213"/>
  <c r="BI38" i="213"/>
  <c r="BD38" i="213"/>
  <c r="BE38" i="213"/>
  <c r="BF38" i="213"/>
  <c r="BB38" i="213"/>
  <c r="BC38" i="213"/>
  <c r="AY38" i="213"/>
  <c r="AZ38" i="213"/>
  <c r="BA38" i="213"/>
  <c r="AW38" i="213"/>
  <c r="AX38" i="213"/>
  <c r="AT38" i="213"/>
  <c r="AU38" i="213"/>
  <c r="AV38" i="213"/>
  <c r="AQ38" i="213"/>
  <c r="AR38" i="213"/>
  <c r="AS38" i="213"/>
  <c r="AO38" i="213"/>
  <c r="AP38" i="213"/>
  <c r="AM38" i="213"/>
  <c r="AN38" i="213"/>
  <c r="AL38" i="213"/>
  <c r="AJ38" i="213"/>
  <c r="AK38" i="213"/>
  <c r="AH38" i="213"/>
  <c r="AI38" i="213"/>
  <c r="AE38" i="213"/>
  <c r="AF38" i="213"/>
  <c r="AG38" i="213"/>
  <c r="AD38" i="213"/>
  <c r="AB38" i="213"/>
  <c r="AC38" i="213"/>
  <c r="Z38" i="213"/>
  <c r="AA38" i="213"/>
  <c r="W38" i="213"/>
  <c r="X38" i="213"/>
  <c r="Y38" i="213"/>
  <c r="V38" i="213"/>
  <c r="T38" i="213"/>
  <c r="U38" i="213"/>
  <c r="S38" i="213"/>
  <c r="P38" i="213"/>
  <c r="Q38" i="213"/>
  <c r="BR38" i="213" s="1"/>
  <c r="R38" i="213"/>
  <c r="M38" i="213"/>
  <c r="N38" i="213"/>
  <c r="O38" i="213"/>
  <c r="J38" i="213"/>
  <c r="K38" i="213"/>
  <c r="L38" i="213"/>
  <c r="F38" i="213"/>
  <c r="H38" i="213"/>
  <c r="I38" i="213"/>
  <c r="C38" i="213"/>
  <c r="D38" i="213"/>
  <c r="E38" i="213"/>
  <c r="BQ37" i="213"/>
  <c r="BO37" i="213"/>
  <c r="BP37" i="213"/>
  <c r="BN37" i="213"/>
  <c r="BL37" i="213"/>
  <c r="BM37" i="213"/>
  <c r="BJ37" i="213"/>
  <c r="BK37" i="213"/>
  <c r="BG37" i="213"/>
  <c r="BH37" i="213"/>
  <c r="BI37" i="213"/>
  <c r="BD37" i="213"/>
  <c r="BE37" i="213"/>
  <c r="BF37" i="213"/>
  <c r="BB37" i="213"/>
  <c r="BC37" i="213"/>
  <c r="AY37" i="213"/>
  <c r="AZ37" i="213"/>
  <c r="BA37" i="213"/>
  <c r="AW37" i="213"/>
  <c r="AX37" i="213"/>
  <c r="AT37" i="213"/>
  <c r="AU37" i="213"/>
  <c r="AV37" i="213"/>
  <c r="AQ37" i="213"/>
  <c r="AR37" i="213"/>
  <c r="AS37" i="213"/>
  <c r="AO37" i="213"/>
  <c r="AP37" i="213"/>
  <c r="AM37" i="213"/>
  <c r="AN37" i="213"/>
  <c r="AL37" i="213"/>
  <c r="AJ37" i="213"/>
  <c r="AK37" i="213"/>
  <c r="AH37" i="213"/>
  <c r="AI37" i="213"/>
  <c r="AE37" i="213"/>
  <c r="AF37" i="213"/>
  <c r="AG37" i="213"/>
  <c r="AD37" i="213"/>
  <c r="AB37" i="213"/>
  <c r="AC37" i="213"/>
  <c r="Z37" i="213"/>
  <c r="AA37" i="213"/>
  <c r="W37" i="213"/>
  <c r="X37" i="213"/>
  <c r="Y37" i="213"/>
  <c r="V37" i="213"/>
  <c r="T37" i="213"/>
  <c r="U37" i="213"/>
  <c r="S37" i="213"/>
  <c r="P37" i="213"/>
  <c r="Q37" i="213"/>
  <c r="BR37" i="213" s="1"/>
  <c r="R37" i="213"/>
  <c r="M37" i="213"/>
  <c r="N37" i="213"/>
  <c r="O37" i="213"/>
  <c r="J37" i="213"/>
  <c r="K37" i="213"/>
  <c r="L37" i="213"/>
  <c r="F37" i="213"/>
  <c r="H37" i="213"/>
  <c r="I37" i="213"/>
  <c r="C37" i="213"/>
  <c r="D37" i="213"/>
  <c r="E37" i="213"/>
  <c r="BQ36" i="213"/>
  <c r="BO36" i="213"/>
  <c r="BP36" i="213"/>
  <c r="BN36" i="213"/>
  <c r="BL36" i="213"/>
  <c r="BM36" i="213"/>
  <c r="BJ36" i="213"/>
  <c r="BK36" i="213"/>
  <c r="BG36" i="213"/>
  <c r="BH36" i="213"/>
  <c r="BI36" i="213"/>
  <c r="BD36" i="213"/>
  <c r="BE36" i="213"/>
  <c r="BF36" i="213"/>
  <c r="BB36" i="213"/>
  <c r="BC36" i="213"/>
  <c r="AY36" i="213"/>
  <c r="AZ36" i="213"/>
  <c r="BA36" i="213"/>
  <c r="AW36" i="213"/>
  <c r="AX36" i="213"/>
  <c r="AT36" i="213"/>
  <c r="AU36" i="213"/>
  <c r="AV36" i="213"/>
  <c r="AQ36" i="213"/>
  <c r="AR36" i="213"/>
  <c r="AS36" i="213"/>
  <c r="AO36" i="213"/>
  <c r="AP36" i="213"/>
  <c r="AM36" i="213"/>
  <c r="AN36" i="213"/>
  <c r="AL36" i="213"/>
  <c r="AJ36" i="213"/>
  <c r="AK36" i="213"/>
  <c r="AH36" i="213"/>
  <c r="AI36" i="213"/>
  <c r="AE36" i="213"/>
  <c r="AF36" i="213"/>
  <c r="AG36" i="213"/>
  <c r="AD36" i="213"/>
  <c r="AB36" i="213"/>
  <c r="AC36" i="213"/>
  <c r="Z36" i="213"/>
  <c r="AA36" i="213"/>
  <c r="W36" i="213"/>
  <c r="X36" i="213"/>
  <c r="Y36" i="213"/>
  <c r="V36" i="213"/>
  <c r="T36" i="213"/>
  <c r="U36" i="213"/>
  <c r="S36" i="213"/>
  <c r="P36" i="213"/>
  <c r="Q36" i="213"/>
  <c r="BR36" i="213" s="1"/>
  <c r="R36" i="213"/>
  <c r="M36" i="213"/>
  <c r="N36" i="213"/>
  <c r="O36" i="213"/>
  <c r="J36" i="213"/>
  <c r="K36" i="213"/>
  <c r="L36" i="213"/>
  <c r="F36" i="213"/>
  <c r="H36" i="213"/>
  <c r="I36" i="213"/>
  <c r="C36" i="213"/>
  <c r="D36" i="213"/>
  <c r="E36" i="213"/>
  <c r="BQ35" i="213"/>
  <c r="BO35" i="213"/>
  <c r="BP35" i="213"/>
  <c r="BN35" i="213"/>
  <c r="BL35" i="213"/>
  <c r="BM35" i="213"/>
  <c r="BJ35" i="213"/>
  <c r="BK35" i="213"/>
  <c r="BG35" i="213"/>
  <c r="BH35" i="213"/>
  <c r="BI35" i="213"/>
  <c r="BD35" i="213"/>
  <c r="BE35" i="213"/>
  <c r="BF35" i="213"/>
  <c r="BB35" i="213"/>
  <c r="BC35" i="213"/>
  <c r="AY35" i="213"/>
  <c r="AZ35" i="213"/>
  <c r="BA35" i="213"/>
  <c r="AW35" i="213"/>
  <c r="AX35" i="213"/>
  <c r="AT35" i="213"/>
  <c r="AU35" i="213"/>
  <c r="AV35" i="213"/>
  <c r="AQ35" i="213"/>
  <c r="AR35" i="213"/>
  <c r="AS35" i="213"/>
  <c r="AO35" i="213"/>
  <c r="AP35" i="213"/>
  <c r="AM35" i="213"/>
  <c r="AN35" i="213"/>
  <c r="AL35" i="213"/>
  <c r="AJ35" i="213"/>
  <c r="AK35" i="213"/>
  <c r="AH35" i="213"/>
  <c r="AI35" i="213"/>
  <c r="AE35" i="213"/>
  <c r="AF35" i="213"/>
  <c r="AG35" i="213"/>
  <c r="AD35" i="213"/>
  <c r="AB35" i="213"/>
  <c r="AC35" i="213"/>
  <c r="Z35" i="213"/>
  <c r="AA35" i="213"/>
  <c r="W35" i="213"/>
  <c r="X35" i="213"/>
  <c r="Y35" i="213"/>
  <c r="V35" i="213"/>
  <c r="T35" i="213"/>
  <c r="U35" i="213"/>
  <c r="S35" i="213"/>
  <c r="P35" i="213"/>
  <c r="Q35" i="213"/>
  <c r="BR35" i="213" s="1"/>
  <c r="R35" i="213"/>
  <c r="M35" i="213"/>
  <c r="N35" i="213"/>
  <c r="O35" i="213"/>
  <c r="J35" i="213"/>
  <c r="K35" i="213"/>
  <c r="L35" i="213"/>
  <c r="F35" i="213"/>
  <c r="H35" i="213"/>
  <c r="I35" i="213"/>
  <c r="C35" i="213"/>
  <c r="D35" i="213"/>
  <c r="E35" i="213"/>
  <c r="BQ34" i="213"/>
  <c r="BO34" i="213"/>
  <c r="BP34" i="213"/>
  <c r="BN34" i="213"/>
  <c r="BL34" i="213"/>
  <c r="BM34" i="213"/>
  <c r="BJ34" i="213"/>
  <c r="BK34" i="213"/>
  <c r="BG34" i="213"/>
  <c r="BH34" i="213"/>
  <c r="BI34" i="213"/>
  <c r="BD34" i="213"/>
  <c r="BE34" i="213"/>
  <c r="BF34" i="213"/>
  <c r="BB34" i="213"/>
  <c r="BC34" i="213"/>
  <c r="AY34" i="213"/>
  <c r="AZ34" i="213"/>
  <c r="BA34" i="213"/>
  <c r="AW34" i="213"/>
  <c r="AX34" i="213"/>
  <c r="AT34" i="213"/>
  <c r="AU34" i="213"/>
  <c r="AV34" i="213"/>
  <c r="AQ34" i="213"/>
  <c r="AR34" i="213"/>
  <c r="AS34" i="213"/>
  <c r="AO34" i="213"/>
  <c r="AP34" i="213"/>
  <c r="AM34" i="213"/>
  <c r="AN34" i="213"/>
  <c r="AL34" i="213"/>
  <c r="AJ34" i="213"/>
  <c r="AK34" i="213"/>
  <c r="AH34" i="213"/>
  <c r="AI34" i="213"/>
  <c r="AE34" i="213"/>
  <c r="AF34" i="213"/>
  <c r="AG34" i="213"/>
  <c r="AD34" i="213"/>
  <c r="AB34" i="213"/>
  <c r="AC34" i="213"/>
  <c r="Z34" i="213"/>
  <c r="AA34" i="213"/>
  <c r="W34" i="213"/>
  <c r="X34" i="213"/>
  <c r="Y34" i="213"/>
  <c r="V34" i="213"/>
  <c r="T34" i="213"/>
  <c r="U34" i="213"/>
  <c r="S34" i="213"/>
  <c r="P34" i="213"/>
  <c r="Q34" i="213"/>
  <c r="BR34" i="213" s="1"/>
  <c r="R34" i="213"/>
  <c r="M34" i="213"/>
  <c r="N34" i="213"/>
  <c r="O34" i="213"/>
  <c r="J34" i="213"/>
  <c r="K34" i="213"/>
  <c r="L34" i="213"/>
  <c r="F34" i="213"/>
  <c r="H34" i="213"/>
  <c r="I34" i="213"/>
  <c r="C34" i="213"/>
  <c r="D34" i="213"/>
  <c r="E34" i="213"/>
  <c r="BQ33" i="213"/>
  <c r="BO33" i="213"/>
  <c r="BP33" i="213"/>
  <c r="BN33" i="213"/>
  <c r="BL33" i="213"/>
  <c r="BM33" i="213"/>
  <c r="BJ33" i="213"/>
  <c r="BK33" i="213"/>
  <c r="BG33" i="213"/>
  <c r="BH33" i="213"/>
  <c r="BI33" i="213"/>
  <c r="BD33" i="213"/>
  <c r="BE33" i="213"/>
  <c r="BF33" i="213"/>
  <c r="BB33" i="213"/>
  <c r="BC33" i="213"/>
  <c r="AY33" i="213"/>
  <c r="AZ33" i="213"/>
  <c r="BA33" i="213"/>
  <c r="AW33" i="213"/>
  <c r="AX33" i="213"/>
  <c r="AT33" i="213"/>
  <c r="AU33" i="213"/>
  <c r="AV33" i="213"/>
  <c r="AQ33" i="213"/>
  <c r="AR33" i="213"/>
  <c r="AS33" i="213"/>
  <c r="AO33" i="213"/>
  <c r="AP33" i="213"/>
  <c r="AM33" i="213"/>
  <c r="AN33" i="213"/>
  <c r="AL33" i="213"/>
  <c r="AJ33" i="213"/>
  <c r="AK33" i="213"/>
  <c r="AH33" i="213"/>
  <c r="AI33" i="213"/>
  <c r="AE33" i="213"/>
  <c r="AF33" i="213"/>
  <c r="AG33" i="213"/>
  <c r="AD33" i="213"/>
  <c r="AB33" i="213"/>
  <c r="AC33" i="213"/>
  <c r="Z33" i="213"/>
  <c r="AA33" i="213"/>
  <c r="W33" i="213"/>
  <c r="X33" i="213"/>
  <c r="Y33" i="213"/>
  <c r="V33" i="213"/>
  <c r="T33" i="213"/>
  <c r="U33" i="213"/>
  <c r="S33" i="213"/>
  <c r="P33" i="213"/>
  <c r="Q33" i="213"/>
  <c r="BR33" i="213" s="1"/>
  <c r="R33" i="213"/>
  <c r="M33" i="213"/>
  <c r="N33" i="213"/>
  <c r="O33" i="213"/>
  <c r="J33" i="213"/>
  <c r="K33" i="213"/>
  <c r="L33" i="213"/>
  <c r="F33" i="213"/>
  <c r="H33" i="213"/>
  <c r="I33" i="213"/>
  <c r="C33" i="213"/>
  <c r="D33" i="213"/>
  <c r="E33" i="213"/>
  <c r="BQ32" i="213"/>
  <c r="BO32" i="213"/>
  <c r="BP32" i="213"/>
  <c r="BN32" i="213"/>
  <c r="BL32" i="213"/>
  <c r="BM32" i="213"/>
  <c r="BJ32" i="213"/>
  <c r="BK32" i="213"/>
  <c r="BG32" i="213"/>
  <c r="BH32" i="213"/>
  <c r="BI32" i="213"/>
  <c r="BD32" i="213"/>
  <c r="BE32" i="213"/>
  <c r="BF32" i="213"/>
  <c r="BB32" i="213"/>
  <c r="BC32" i="213"/>
  <c r="AY32" i="213"/>
  <c r="AZ32" i="213"/>
  <c r="BA32" i="213"/>
  <c r="AW32" i="213"/>
  <c r="AX32" i="213"/>
  <c r="AT32" i="213"/>
  <c r="AU32" i="213"/>
  <c r="AV32" i="213"/>
  <c r="AQ32" i="213"/>
  <c r="AR32" i="213"/>
  <c r="AS32" i="213"/>
  <c r="AO32" i="213"/>
  <c r="AP32" i="213"/>
  <c r="AM32" i="213"/>
  <c r="AN32" i="213"/>
  <c r="AL32" i="213"/>
  <c r="AJ32" i="213"/>
  <c r="AK32" i="213"/>
  <c r="AH32" i="213"/>
  <c r="AI32" i="213"/>
  <c r="AE32" i="213"/>
  <c r="AF32" i="213"/>
  <c r="AG32" i="213"/>
  <c r="AD32" i="213"/>
  <c r="AB32" i="213"/>
  <c r="AC32" i="213"/>
  <c r="Z32" i="213"/>
  <c r="AA32" i="213"/>
  <c r="W32" i="213"/>
  <c r="X32" i="213"/>
  <c r="Y32" i="213"/>
  <c r="V32" i="213"/>
  <c r="T32" i="213"/>
  <c r="U32" i="213"/>
  <c r="S32" i="213"/>
  <c r="P32" i="213"/>
  <c r="Q32" i="213"/>
  <c r="BR32" i="213" s="1"/>
  <c r="R32" i="213"/>
  <c r="M32" i="213"/>
  <c r="N32" i="213"/>
  <c r="O32" i="213"/>
  <c r="J32" i="213"/>
  <c r="K32" i="213"/>
  <c r="L32" i="213"/>
  <c r="F32" i="213"/>
  <c r="H32" i="213"/>
  <c r="I32" i="213"/>
  <c r="C32" i="213"/>
  <c r="D32" i="213"/>
  <c r="E32" i="213"/>
  <c r="BQ31" i="213"/>
  <c r="BO31" i="213"/>
  <c r="BP31" i="213"/>
  <c r="BN31" i="213"/>
  <c r="BL31" i="213"/>
  <c r="BM31" i="213"/>
  <c r="BJ31" i="213"/>
  <c r="BK31" i="213"/>
  <c r="BG31" i="213"/>
  <c r="BH31" i="213"/>
  <c r="BI31" i="213"/>
  <c r="BD31" i="213"/>
  <c r="BE31" i="213"/>
  <c r="BF31" i="213"/>
  <c r="BB31" i="213"/>
  <c r="BC31" i="213"/>
  <c r="AY31" i="213"/>
  <c r="AZ31" i="213"/>
  <c r="BA31" i="213"/>
  <c r="AW31" i="213"/>
  <c r="AX31" i="213"/>
  <c r="AT31" i="213"/>
  <c r="AU31" i="213"/>
  <c r="AV31" i="213"/>
  <c r="AQ31" i="213"/>
  <c r="AR31" i="213"/>
  <c r="AS31" i="213"/>
  <c r="AO31" i="213"/>
  <c r="AP31" i="213"/>
  <c r="AM31" i="213"/>
  <c r="AN31" i="213"/>
  <c r="AL31" i="213"/>
  <c r="AJ31" i="213"/>
  <c r="AK31" i="213"/>
  <c r="AH31" i="213"/>
  <c r="AI31" i="213"/>
  <c r="AE31" i="213"/>
  <c r="AF31" i="213"/>
  <c r="AG31" i="213"/>
  <c r="AD31" i="213"/>
  <c r="AB31" i="213"/>
  <c r="AC31" i="213"/>
  <c r="Z31" i="213"/>
  <c r="AA31" i="213"/>
  <c r="W31" i="213"/>
  <c r="X31" i="213"/>
  <c r="Y31" i="213"/>
  <c r="V31" i="213"/>
  <c r="T31" i="213"/>
  <c r="U31" i="213"/>
  <c r="S31" i="213"/>
  <c r="P31" i="213"/>
  <c r="Q31" i="213"/>
  <c r="BR31" i="213" s="1"/>
  <c r="R31" i="213"/>
  <c r="M31" i="213"/>
  <c r="N31" i="213"/>
  <c r="O31" i="213"/>
  <c r="J31" i="213"/>
  <c r="K31" i="213"/>
  <c r="L31" i="213"/>
  <c r="F31" i="213"/>
  <c r="H31" i="213"/>
  <c r="I31" i="213"/>
  <c r="C31" i="213"/>
  <c r="D31" i="213"/>
  <c r="E31" i="213"/>
  <c r="BQ30" i="213"/>
  <c r="BO30" i="213"/>
  <c r="BP30" i="213"/>
  <c r="BN30" i="213"/>
  <c r="BL30" i="213"/>
  <c r="BM30" i="213"/>
  <c r="BJ30" i="213"/>
  <c r="BK30" i="213"/>
  <c r="BG30" i="213"/>
  <c r="BH30" i="213"/>
  <c r="BI30" i="213"/>
  <c r="BD30" i="213"/>
  <c r="BE30" i="213"/>
  <c r="BF30" i="213"/>
  <c r="BB30" i="213"/>
  <c r="BC30" i="213"/>
  <c r="AY30" i="213"/>
  <c r="AZ30" i="213"/>
  <c r="BA30" i="213"/>
  <c r="AW30" i="213"/>
  <c r="AX30" i="213"/>
  <c r="AT30" i="213"/>
  <c r="AU30" i="213"/>
  <c r="AV30" i="213"/>
  <c r="AQ30" i="213"/>
  <c r="AR30" i="213"/>
  <c r="AS30" i="213"/>
  <c r="AO30" i="213"/>
  <c r="AP30" i="213"/>
  <c r="AM30" i="213"/>
  <c r="AN30" i="213"/>
  <c r="AL30" i="213"/>
  <c r="AJ30" i="213"/>
  <c r="AK30" i="213"/>
  <c r="AH30" i="213"/>
  <c r="AI30" i="213"/>
  <c r="AE30" i="213"/>
  <c r="AF30" i="213"/>
  <c r="AG30" i="213"/>
  <c r="AD30" i="213"/>
  <c r="AB30" i="213"/>
  <c r="AC30" i="213"/>
  <c r="Z30" i="213"/>
  <c r="AA30" i="213"/>
  <c r="W30" i="213"/>
  <c r="X30" i="213"/>
  <c r="Y30" i="213"/>
  <c r="V30" i="213"/>
  <c r="T30" i="213"/>
  <c r="U30" i="213"/>
  <c r="S30" i="213"/>
  <c r="P30" i="213"/>
  <c r="Q30" i="213"/>
  <c r="BR30" i="213" s="1"/>
  <c r="R30" i="213"/>
  <c r="M30" i="213"/>
  <c r="N30" i="213"/>
  <c r="O30" i="213"/>
  <c r="J30" i="213"/>
  <c r="K30" i="213"/>
  <c r="L30" i="213"/>
  <c r="F30" i="213"/>
  <c r="H30" i="213"/>
  <c r="I30" i="213"/>
  <c r="C30" i="213"/>
  <c r="D30" i="213"/>
  <c r="E30" i="213"/>
  <c r="BQ29" i="213"/>
  <c r="BO29" i="213"/>
  <c r="BP29" i="213"/>
  <c r="BN29" i="213"/>
  <c r="BL29" i="213"/>
  <c r="BM29" i="213"/>
  <c r="BJ29" i="213"/>
  <c r="BK29" i="213"/>
  <c r="BG29" i="213"/>
  <c r="BH29" i="213"/>
  <c r="BI29" i="213"/>
  <c r="BD29" i="213"/>
  <c r="BE29" i="213"/>
  <c r="BF29" i="213"/>
  <c r="BB29" i="213"/>
  <c r="BC29" i="213"/>
  <c r="AY29" i="213"/>
  <c r="AZ29" i="213"/>
  <c r="BA29" i="213"/>
  <c r="AW29" i="213"/>
  <c r="AX29" i="213"/>
  <c r="AT29" i="213"/>
  <c r="AU29" i="213"/>
  <c r="AV29" i="213"/>
  <c r="AQ29" i="213"/>
  <c r="AR29" i="213"/>
  <c r="AS29" i="213"/>
  <c r="AO29" i="213"/>
  <c r="AP29" i="213"/>
  <c r="AM29" i="213"/>
  <c r="AN29" i="213"/>
  <c r="AL29" i="213"/>
  <c r="AJ29" i="213"/>
  <c r="AK29" i="213"/>
  <c r="AH29" i="213"/>
  <c r="AI29" i="213"/>
  <c r="AE29" i="213"/>
  <c r="AF29" i="213"/>
  <c r="AG29" i="213"/>
  <c r="AD29" i="213"/>
  <c r="AB29" i="213"/>
  <c r="AC29" i="213"/>
  <c r="Z29" i="213"/>
  <c r="AA29" i="213"/>
  <c r="W29" i="213"/>
  <c r="X29" i="213"/>
  <c r="Y29" i="213"/>
  <c r="V29" i="213"/>
  <c r="T29" i="213"/>
  <c r="U29" i="213"/>
  <c r="S29" i="213"/>
  <c r="P29" i="213"/>
  <c r="Q29" i="213"/>
  <c r="BR29" i="213" s="1"/>
  <c r="R29" i="213"/>
  <c r="M29" i="213"/>
  <c r="N29" i="213"/>
  <c r="O29" i="213"/>
  <c r="J29" i="213"/>
  <c r="K29" i="213"/>
  <c r="L29" i="213"/>
  <c r="F29" i="213"/>
  <c r="H29" i="213"/>
  <c r="I29" i="213"/>
  <c r="C29" i="213"/>
  <c r="D29" i="213"/>
  <c r="E29" i="213"/>
  <c r="BQ28" i="213"/>
  <c r="BO28" i="213"/>
  <c r="BP28" i="213"/>
  <c r="BN28" i="213"/>
  <c r="BL28" i="213"/>
  <c r="BM28" i="213"/>
  <c r="BJ28" i="213"/>
  <c r="BK28" i="213"/>
  <c r="BG28" i="213"/>
  <c r="BH28" i="213"/>
  <c r="BI28" i="213"/>
  <c r="BD28" i="213"/>
  <c r="BE28" i="213"/>
  <c r="BF28" i="213"/>
  <c r="BB28" i="213"/>
  <c r="BC28" i="213"/>
  <c r="AY28" i="213"/>
  <c r="AZ28" i="213"/>
  <c r="BA28" i="213"/>
  <c r="AW28" i="213"/>
  <c r="AX28" i="213"/>
  <c r="AT28" i="213"/>
  <c r="AU28" i="213"/>
  <c r="AV28" i="213"/>
  <c r="AQ28" i="213"/>
  <c r="AR28" i="213"/>
  <c r="AS28" i="213"/>
  <c r="AO28" i="213"/>
  <c r="AP28" i="213"/>
  <c r="AM28" i="213"/>
  <c r="AN28" i="213"/>
  <c r="AL28" i="213"/>
  <c r="AJ28" i="213"/>
  <c r="AK28" i="213"/>
  <c r="AH28" i="213"/>
  <c r="AI28" i="213"/>
  <c r="AE28" i="213"/>
  <c r="AF28" i="213"/>
  <c r="AG28" i="213"/>
  <c r="AD28" i="213"/>
  <c r="AB28" i="213"/>
  <c r="AC28" i="213"/>
  <c r="Z28" i="213"/>
  <c r="AA28" i="213"/>
  <c r="W28" i="213"/>
  <c r="X28" i="213"/>
  <c r="Y28" i="213"/>
  <c r="V28" i="213"/>
  <c r="T28" i="213"/>
  <c r="U28" i="213"/>
  <c r="S28" i="213"/>
  <c r="P28" i="213"/>
  <c r="Q28" i="213"/>
  <c r="BR28" i="213" s="1"/>
  <c r="R28" i="213"/>
  <c r="M28" i="213"/>
  <c r="N28" i="213"/>
  <c r="O28" i="213"/>
  <c r="J28" i="213"/>
  <c r="K28" i="213"/>
  <c r="L28" i="213"/>
  <c r="F28" i="213"/>
  <c r="H28" i="213"/>
  <c r="I28" i="213"/>
  <c r="C28" i="213"/>
  <c r="D28" i="213"/>
  <c r="E28" i="213"/>
  <c r="BQ27" i="213"/>
  <c r="BO27" i="213"/>
  <c r="BP27" i="213"/>
  <c r="BN27" i="213"/>
  <c r="BL27" i="213"/>
  <c r="BM27" i="213"/>
  <c r="BJ27" i="213"/>
  <c r="BK27" i="213"/>
  <c r="BG27" i="213"/>
  <c r="BH27" i="213"/>
  <c r="BI27" i="213"/>
  <c r="BD27" i="213"/>
  <c r="BE27" i="213"/>
  <c r="BF27" i="213"/>
  <c r="BB27" i="213"/>
  <c r="BC27" i="213"/>
  <c r="AY27" i="213"/>
  <c r="AZ27" i="213"/>
  <c r="BA27" i="213"/>
  <c r="AW27" i="213"/>
  <c r="AX27" i="213"/>
  <c r="AT27" i="213"/>
  <c r="AU27" i="213"/>
  <c r="AV27" i="213"/>
  <c r="AQ27" i="213"/>
  <c r="AR27" i="213"/>
  <c r="AS27" i="213"/>
  <c r="AO27" i="213"/>
  <c r="AP27" i="213"/>
  <c r="AM27" i="213"/>
  <c r="AN27" i="213"/>
  <c r="AL27" i="213"/>
  <c r="AJ27" i="213"/>
  <c r="AK27" i="213"/>
  <c r="AH27" i="213"/>
  <c r="AI27" i="213"/>
  <c r="AE27" i="213"/>
  <c r="AF27" i="213"/>
  <c r="AG27" i="213"/>
  <c r="AD27" i="213"/>
  <c r="AB27" i="213"/>
  <c r="AC27" i="213"/>
  <c r="Z27" i="213"/>
  <c r="AA27" i="213"/>
  <c r="W27" i="213"/>
  <c r="X27" i="213"/>
  <c r="Y27" i="213"/>
  <c r="V27" i="213"/>
  <c r="T27" i="213"/>
  <c r="U27" i="213"/>
  <c r="S27" i="213"/>
  <c r="P27" i="213"/>
  <c r="Q27" i="213"/>
  <c r="BR27" i="213" s="1"/>
  <c r="R27" i="213"/>
  <c r="M27" i="213"/>
  <c r="N27" i="213"/>
  <c r="O27" i="213"/>
  <c r="J27" i="213"/>
  <c r="K27" i="213"/>
  <c r="L27" i="213"/>
  <c r="F27" i="213"/>
  <c r="H27" i="213"/>
  <c r="I27" i="213"/>
  <c r="C27" i="213"/>
  <c r="D27" i="213"/>
  <c r="E27" i="213"/>
  <c r="BQ26" i="213"/>
  <c r="BO26" i="213"/>
  <c r="BP26" i="213"/>
  <c r="BN26" i="213"/>
  <c r="BL26" i="213"/>
  <c r="BM26" i="213"/>
  <c r="BJ26" i="213"/>
  <c r="BK26" i="213"/>
  <c r="BG26" i="213"/>
  <c r="BH26" i="213"/>
  <c r="BI26" i="213"/>
  <c r="BD26" i="213"/>
  <c r="BE26" i="213"/>
  <c r="BF26" i="213"/>
  <c r="BB26" i="213"/>
  <c r="BC26" i="213"/>
  <c r="AY26" i="213"/>
  <c r="AZ26" i="213"/>
  <c r="BA26" i="213"/>
  <c r="AW26" i="213"/>
  <c r="AX26" i="213"/>
  <c r="AT26" i="213"/>
  <c r="AU26" i="213"/>
  <c r="AV26" i="213"/>
  <c r="AQ26" i="213"/>
  <c r="AR26" i="213"/>
  <c r="AS26" i="213"/>
  <c r="AO26" i="213"/>
  <c r="AP26" i="213"/>
  <c r="AM26" i="213"/>
  <c r="AN26" i="213"/>
  <c r="AL26" i="213"/>
  <c r="AJ26" i="213"/>
  <c r="AK26" i="213"/>
  <c r="AH26" i="213"/>
  <c r="AI26" i="213"/>
  <c r="AE26" i="213"/>
  <c r="AF26" i="213"/>
  <c r="AG26" i="213"/>
  <c r="AD26" i="213"/>
  <c r="AB26" i="213"/>
  <c r="AC26" i="213"/>
  <c r="Z26" i="213"/>
  <c r="AA26" i="213"/>
  <c r="W26" i="213"/>
  <c r="X26" i="213"/>
  <c r="Y26" i="213"/>
  <c r="V26" i="213"/>
  <c r="T26" i="213"/>
  <c r="U26" i="213"/>
  <c r="S26" i="213"/>
  <c r="P26" i="213"/>
  <c r="Q26" i="213"/>
  <c r="BR26" i="213" s="1"/>
  <c r="R26" i="213"/>
  <c r="M26" i="213"/>
  <c r="N26" i="213"/>
  <c r="O26" i="213"/>
  <c r="J26" i="213"/>
  <c r="K26" i="213"/>
  <c r="L26" i="213"/>
  <c r="G26" i="213"/>
  <c r="H26" i="213"/>
  <c r="I26" i="213"/>
  <c r="D26" i="213"/>
  <c r="E26" i="213"/>
  <c r="F26" i="213"/>
  <c r="BQ25" i="213"/>
  <c r="C26" i="213"/>
  <c r="BP25" i="213"/>
  <c r="BN25" i="213"/>
  <c r="BO25" i="213"/>
  <c r="BM25" i="213"/>
  <c r="BK25" i="213"/>
  <c r="BL25" i="213"/>
  <c r="BH25" i="213"/>
  <c r="BI25" i="213"/>
  <c r="BJ25" i="213"/>
  <c r="BE25" i="213"/>
  <c r="BF25" i="213"/>
  <c r="BG25" i="213"/>
  <c r="BC25" i="213"/>
  <c r="BD25" i="213"/>
  <c r="AZ25" i="213"/>
  <c r="BA25" i="213"/>
  <c r="BB25" i="213"/>
  <c r="AX25" i="213"/>
  <c r="AY25" i="213"/>
  <c r="AU25" i="213"/>
  <c r="AV25" i="213"/>
  <c r="AW25" i="213"/>
  <c r="AR25" i="213"/>
  <c r="AS25" i="213"/>
  <c r="AT25" i="213"/>
  <c r="AO25" i="213"/>
  <c r="AP25" i="213"/>
  <c r="AQ25" i="213"/>
  <c r="AN25" i="213"/>
  <c r="AL25" i="213"/>
  <c r="AM25" i="213"/>
  <c r="AK25" i="213"/>
  <c r="AI25" i="213"/>
  <c r="AJ25" i="213"/>
  <c r="AF25" i="213"/>
  <c r="AG25" i="213"/>
  <c r="AH25" i="213"/>
  <c r="AD25" i="213"/>
  <c r="AE25" i="213"/>
  <c r="AC25" i="213"/>
  <c r="AA25" i="213"/>
  <c r="AB25" i="213"/>
  <c r="X25" i="213"/>
  <c r="Y25" i="213"/>
  <c r="Z25" i="213"/>
  <c r="V25" i="213"/>
  <c r="W25" i="213"/>
  <c r="U25" i="213"/>
  <c r="S25" i="213"/>
  <c r="T25" i="213"/>
  <c r="Q25" i="213"/>
  <c r="BR25" i="213" s="1"/>
  <c r="R25" i="213"/>
  <c r="N25" i="213"/>
  <c r="O25" i="213"/>
  <c r="P25" i="213"/>
  <c r="K25" i="213"/>
  <c r="L25" i="213"/>
  <c r="M25" i="213"/>
  <c r="H25" i="213"/>
  <c r="I25" i="213"/>
  <c r="J25" i="213"/>
  <c r="E25" i="213"/>
  <c r="F25" i="213"/>
  <c r="G25" i="213"/>
  <c r="C25" i="213"/>
  <c r="D25" i="213"/>
  <c r="BP24" i="213"/>
  <c r="BQ24" i="213"/>
  <c r="BO24" i="213"/>
  <c r="BM24" i="213"/>
  <c r="BN24" i="213"/>
  <c r="BL24" i="213"/>
  <c r="BI24" i="213"/>
  <c r="BJ24" i="213"/>
  <c r="BK24" i="213"/>
  <c r="BF24" i="213"/>
  <c r="BG24" i="213"/>
  <c r="BH24" i="213"/>
  <c r="BD24" i="213"/>
  <c r="BE24" i="213"/>
  <c r="BA24" i="213"/>
  <c r="BB24" i="213"/>
  <c r="BC24" i="213"/>
  <c r="AY24" i="213"/>
  <c r="AZ24" i="213"/>
  <c r="AV24" i="213"/>
  <c r="AW24" i="213"/>
  <c r="AX24" i="213"/>
  <c r="AS24" i="213"/>
  <c r="AT24" i="213"/>
  <c r="AU24" i="213"/>
  <c r="AP24" i="213"/>
  <c r="AQ24" i="213"/>
  <c r="AR24" i="213"/>
  <c r="AN24" i="213"/>
  <c r="AO24" i="213"/>
  <c r="AM24" i="213"/>
  <c r="AK24" i="213"/>
  <c r="AL24" i="213"/>
  <c r="AJ24" i="213"/>
  <c r="AG24" i="213"/>
  <c r="AH24" i="213"/>
  <c r="AI24" i="213"/>
  <c r="AE24" i="213"/>
  <c r="AF24" i="213"/>
  <c r="AC24" i="213"/>
  <c r="AD24" i="213"/>
  <c r="AB24" i="213"/>
  <c r="Y24" i="213"/>
  <c r="Z24" i="213"/>
  <c r="AA24" i="213"/>
  <c r="W24" i="213"/>
  <c r="X24" i="213"/>
  <c r="U24" i="213"/>
  <c r="V24" i="213"/>
  <c r="T24" i="213"/>
  <c r="R24" i="213"/>
  <c r="S24" i="213"/>
  <c r="O24" i="213"/>
  <c r="P24" i="213"/>
  <c r="Q24" i="213"/>
  <c r="BR24" i="213" s="1"/>
  <c r="L24" i="213"/>
  <c r="M24" i="213"/>
  <c r="N24" i="213"/>
  <c r="I24" i="213"/>
  <c r="J24" i="213"/>
  <c r="K24" i="213"/>
  <c r="F24" i="213"/>
  <c r="G24" i="213"/>
  <c r="H24" i="213"/>
  <c r="C24" i="213"/>
  <c r="D24" i="213"/>
  <c r="E24" i="213"/>
  <c r="BQ23" i="213"/>
  <c r="BO23" i="213"/>
  <c r="BP23" i="213"/>
  <c r="BN23" i="213"/>
  <c r="BL23" i="213"/>
  <c r="BM23" i="213"/>
  <c r="BJ23" i="213"/>
  <c r="BK23" i="213"/>
  <c r="BG23" i="213"/>
  <c r="BH23" i="213"/>
  <c r="BI23" i="213"/>
  <c r="BD23" i="213"/>
  <c r="BE23" i="213"/>
  <c r="BF23" i="213"/>
  <c r="BB23" i="213"/>
  <c r="BC23" i="213"/>
  <c r="AY23" i="213"/>
  <c r="AZ23" i="213"/>
  <c r="BA23" i="213"/>
  <c r="AW23" i="213"/>
  <c r="AX23" i="213"/>
  <c r="AT23" i="213"/>
  <c r="AU23" i="213"/>
  <c r="AV23" i="213"/>
  <c r="AQ23" i="213"/>
  <c r="AR23" i="213"/>
  <c r="AS23" i="213"/>
  <c r="AO23" i="213"/>
  <c r="AP23" i="213"/>
  <c r="AM23" i="213"/>
  <c r="AN23" i="213"/>
  <c r="AL23" i="213"/>
  <c r="AJ23" i="213"/>
  <c r="AK23" i="213"/>
  <c r="AH23" i="213"/>
  <c r="AI23" i="213"/>
  <c r="AE23" i="213"/>
  <c r="AF23" i="213"/>
  <c r="AG23" i="213"/>
  <c r="AD23" i="213"/>
  <c r="AB23" i="213"/>
  <c r="AC23" i="213"/>
  <c r="Z23" i="213"/>
  <c r="AA23" i="213"/>
  <c r="W23" i="213"/>
  <c r="X23" i="213"/>
  <c r="Y23" i="213"/>
  <c r="V23" i="213"/>
  <c r="T23" i="213"/>
  <c r="U23" i="213"/>
  <c r="S23" i="213"/>
  <c r="P23" i="213"/>
  <c r="Q23" i="213"/>
  <c r="BR23" i="213" s="1"/>
  <c r="R23" i="213"/>
  <c r="M23" i="213"/>
  <c r="N23" i="213"/>
  <c r="O23" i="213"/>
  <c r="J23" i="213"/>
  <c r="K23" i="213"/>
  <c r="L23" i="213"/>
  <c r="G23" i="213"/>
  <c r="H23" i="213"/>
  <c r="I23" i="213"/>
  <c r="D23" i="213"/>
  <c r="E23" i="213"/>
  <c r="F23" i="213"/>
  <c r="BQ22" i="213"/>
  <c r="C23" i="213"/>
  <c r="BP22" i="213"/>
  <c r="BN22" i="213"/>
  <c r="BO22" i="213"/>
  <c r="BM22" i="213"/>
  <c r="BK22" i="213"/>
  <c r="BL22" i="213"/>
  <c r="BH22" i="213"/>
  <c r="BI22" i="213"/>
  <c r="BJ22" i="213"/>
  <c r="BE22" i="213"/>
  <c r="BF22" i="213"/>
  <c r="BG22" i="213"/>
  <c r="BC22" i="213"/>
  <c r="BD22" i="213"/>
  <c r="AZ22" i="213"/>
  <c r="BA22" i="213"/>
  <c r="BB22" i="213"/>
  <c r="AX22" i="213"/>
  <c r="AY22" i="213"/>
  <c r="AU22" i="213"/>
  <c r="AV22" i="213"/>
  <c r="AW22" i="213"/>
  <c r="AR22" i="213"/>
  <c r="AS22" i="213"/>
  <c r="AT22" i="213"/>
  <c r="AO22" i="213"/>
  <c r="AP22" i="213"/>
  <c r="AQ22" i="213"/>
  <c r="AN22" i="213"/>
  <c r="AL22" i="213"/>
  <c r="AM22" i="213"/>
  <c r="AK22" i="213"/>
  <c r="AI22" i="213"/>
  <c r="AJ22" i="213"/>
  <c r="AF22" i="213"/>
  <c r="AG22" i="213"/>
  <c r="AH22" i="213"/>
  <c r="AD22" i="213"/>
  <c r="AE22" i="213"/>
  <c r="AC22" i="213"/>
  <c r="AA22" i="213"/>
  <c r="AB22" i="213"/>
  <c r="X22" i="213"/>
  <c r="Y22" i="213"/>
  <c r="Z22" i="213"/>
  <c r="V22" i="213"/>
  <c r="W22" i="213"/>
  <c r="U22" i="213"/>
  <c r="S22" i="213"/>
  <c r="T22" i="213"/>
  <c r="Q22" i="213"/>
  <c r="BR22" i="213" s="1"/>
  <c r="R22" i="213"/>
  <c r="N22" i="213"/>
  <c r="O22" i="213"/>
  <c r="P22" i="213"/>
  <c r="K22" i="213"/>
  <c r="L22" i="213"/>
  <c r="M22" i="213"/>
  <c r="H22" i="213"/>
  <c r="I22" i="213"/>
  <c r="J22" i="213"/>
  <c r="E22" i="213"/>
  <c r="F22" i="213"/>
  <c r="G22" i="213"/>
  <c r="C22" i="213"/>
  <c r="D22" i="213"/>
  <c r="BP21" i="213"/>
  <c r="BQ21" i="213"/>
  <c r="BO21" i="213"/>
  <c r="BM21" i="213"/>
  <c r="BN21" i="213"/>
  <c r="BL21" i="213"/>
  <c r="BI21" i="213"/>
  <c r="BJ21" i="213"/>
  <c r="BK21" i="213"/>
  <c r="BF21" i="213"/>
  <c r="BG21" i="213"/>
  <c r="BH21" i="213"/>
  <c r="BD21" i="213"/>
  <c r="BE21" i="213"/>
  <c r="BA21" i="213"/>
  <c r="BB21" i="213"/>
  <c r="BC21" i="213"/>
  <c r="AY21" i="213"/>
  <c r="AZ21" i="213"/>
  <c r="AV21" i="213"/>
  <c r="AW21" i="213"/>
  <c r="AX21" i="213"/>
  <c r="AS21" i="213"/>
  <c r="AT21" i="213"/>
  <c r="AU21" i="213"/>
  <c r="AP21" i="213"/>
  <c r="AQ21" i="213"/>
  <c r="AR21" i="213"/>
  <c r="AN21" i="213"/>
  <c r="AO21" i="213"/>
  <c r="AM21" i="213"/>
  <c r="AK21" i="213"/>
  <c r="AL21" i="213"/>
  <c r="AJ21" i="213"/>
  <c r="AG21" i="213"/>
  <c r="AH21" i="213"/>
  <c r="AI21" i="213"/>
  <c r="AE21" i="213"/>
  <c r="AF21" i="213"/>
  <c r="AC21" i="213"/>
  <c r="AD21" i="213"/>
  <c r="AB21" i="213"/>
  <c r="Y21" i="213"/>
  <c r="Z21" i="213"/>
  <c r="AA21" i="213"/>
  <c r="W21" i="213"/>
  <c r="X21" i="213"/>
  <c r="U21" i="213"/>
  <c r="V21" i="213"/>
  <c r="T21" i="213"/>
  <c r="R21" i="213"/>
  <c r="S21" i="213"/>
  <c r="O21" i="213"/>
  <c r="P21" i="213"/>
  <c r="Q21" i="213"/>
  <c r="BR21" i="213" s="1"/>
  <c r="L21" i="213"/>
  <c r="M21" i="213"/>
  <c r="N21" i="213"/>
  <c r="I21" i="213"/>
  <c r="J21" i="213"/>
  <c r="K21" i="213"/>
  <c r="F21" i="213"/>
  <c r="G21" i="213"/>
  <c r="H21" i="213"/>
  <c r="C21" i="213"/>
  <c r="D21" i="213"/>
  <c r="E21" i="213"/>
  <c r="BQ20" i="213"/>
  <c r="BO20" i="213"/>
  <c r="BP20" i="213"/>
  <c r="BN20" i="213"/>
  <c r="BL20" i="213"/>
  <c r="BM20" i="213"/>
  <c r="BJ20" i="213"/>
  <c r="BK20" i="213"/>
  <c r="BG20" i="213"/>
  <c r="BH20" i="213"/>
  <c r="BI20" i="213"/>
  <c r="BD20" i="213"/>
  <c r="BE20" i="213"/>
  <c r="BF20" i="213"/>
  <c r="BB20" i="213"/>
  <c r="BC20" i="213"/>
  <c r="AY20" i="213"/>
  <c r="AZ20" i="213"/>
  <c r="BA20" i="213"/>
  <c r="AW20" i="213"/>
  <c r="AX20" i="213"/>
  <c r="AT20" i="213"/>
  <c r="AU20" i="213"/>
  <c r="AV20" i="213"/>
  <c r="AQ20" i="213"/>
  <c r="AR20" i="213"/>
  <c r="AS20" i="213"/>
  <c r="AO20" i="213"/>
  <c r="AP20" i="213"/>
  <c r="AM20" i="213"/>
  <c r="AN20" i="213"/>
  <c r="AL20" i="213"/>
  <c r="AJ20" i="213"/>
  <c r="AK20" i="213"/>
  <c r="AH20" i="213"/>
  <c r="AI20" i="213"/>
  <c r="AE20" i="213"/>
  <c r="AF20" i="213"/>
  <c r="AG20" i="213"/>
  <c r="AD20" i="213"/>
  <c r="AB20" i="213"/>
  <c r="AC20" i="213"/>
  <c r="Z20" i="213"/>
  <c r="AA20" i="213"/>
  <c r="W20" i="213"/>
  <c r="X20" i="213"/>
  <c r="Y20" i="213"/>
  <c r="V20" i="213"/>
  <c r="T20" i="213"/>
  <c r="U20" i="213"/>
  <c r="S20" i="213"/>
  <c r="P20" i="213"/>
  <c r="Q20" i="213"/>
  <c r="BR20" i="213" s="1"/>
  <c r="R20" i="213"/>
  <c r="M20" i="213"/>
  <c r="N20" i="213"/>
  <c r="O20" i="213"/>
  <c r="J20" i="213"/>
  <c r="K20" i="213"/>
  <c r="L20" i="213"/>
  <c r="G20" i="213"/>
  <c r="H20" i="213"/>
  <c r="I20" i="213"/>
  <c r="D20" i="213"/>
  <c r="E20" i="213"/>
  <c r="F20" i="213"/>
  <c r="BQ19" i="213"/>
  <c r="C20" i="213"/>
  <c r="BP19" i="213"/>
  <c r="BN19" i="213"/>
  <c r="BO19" i="213"/>
  <c r="BM19" i="213"/>
  <c r="BK19" i="213"/>
  <c r="BL19" i="213"/>
  <c r="BH19" i="213"/>
  <c r="BI19" i="213"/>
  <c r="BJ19" i="213"/>
  <c r="BE19" i="213"/>
  <c r="BF19" i="213"/>
  <c r="BG19" i="213"/>
  <c r="BC19" i="213"/>
  <c r="BD19" i="213"/>
  <c r="AZ19" i="213"/>
  <c r="BA19" i="213"/>
  <c r="BB19" i="213"/>
  <c r="AX19" i="213"/>
  <c r="AY19" i="213"/>
  <c r="AU19" i="213"/>
  <c r="AV19" i="213"/>
  <c r="AW19" i="213"/>
  <c r="AR19" i="213"/>
  <c r="AS19" i="213"/>
  <c r="AT19" i="213"/>
  <c r="AO19" i="213"/>
  <c r="AP19" i="213"/>
  <c r="AQ19" i="213"/>
  <c r="AN19" i="213"/>
  <c r="AL19" i="213"/>
  <c r="AM19" i="213"/>
  <c r="AK19" i="213"/>
  <c r="AI19" i="213"/>
  <c r="AJ19" i="213"/>
  <c r="AF19" i="213"/>
  <c r="AG19" i="213"/>
  <c r="AH19" i="213"/>
  <c r="AD19" i="213"/>
  <c r="AE19" i="213"/>
  <c r="AC19" i="213"/>
  <c r="AA19" i="213"/>
  <c r="AB19" i="213"/>
  <c r="X19" i="213"/>
  <c r="Y19" i="213"/>
  <c r="Z19" i="213"/>
  <c r="V19" i="213"/>
  <c r="W19" i="213"/>
  <c r="U19" i="213"/>
  <c r="S19" i="213"/>
  <c r="T19" i="213"/>
  <c r="Q19" i="213"/>
  <c r="BR19" i="213" s="1"/>
  <c r="R19" i="213"/>
  <c r="N19" i="213"/>
  <c r="O19" i="213"/>
  <c r="P19" i="213"/>
  <c r="K19" i="213"/>
  <c r="L19" i="213"/>
  <c r="M19" i="213"/>
  <c r="H19" i="213"/>
  <c r="I19" i="213"/>
  <c r="J19" i="213"/>
  <c r="E19" i="213"/>
  <c r="F19" i="213"/>
  <c r="G19" i="213"/>
  <c r="C19" i="213"/>
  <c r="D19" i="213"/>
  <c r="BP18" i="213"/>
  <c r="BQ18" i="213"/>
  <c r="BO18" i="213"/>
  <c r="BM18" i="213"/>
  <c r="BN18" i="213"/>
  <c r="BL18" i="213"/>
  <c r="BI18" i="213"/>
  <c r="BJ18" i="213"/>
  <c r="BK18" i="213"/>
  <c r="BF18" i="213"/>
  <c r="BG18" i="213"/>
  <c r="BH18" i="213"/>
  <c r="BD18" i="213"/>
  <c r="BE18" i="213"/>
  <c r="BA18" i="213"/>
  <c r="BB18" i="213"/>
  <c r="BC18" i="213"/>
  <c r="AY18" i="213"/>
  <c r="AZ18" i="213"/>
  <c r="AV18" i="213"/>
  <c r="AW18" i="213"/>
  <c r="AX18" i="213"/>
  <c r="AS18" i="213"/>
  <c r="AT18" i="213"/>
  <c r="AU18" i="213"/>
  <c r="AP18" i="213"/>
  <c r="AQ18" i="213"/>
  <c r="AR18" i="213"/>
  <c r="AN18" i="213"/>
  <c r="AO18" i="213"/>
  <c r="AM18" i="213"/>
  <c r="AK18" i="213"/>
  <c r="AL18" i="213"/>
  <c r="AJ18" i="213"/>
  <c r="AG18" i="213"/>
  <c r="AH18" i="213"/>
  <c r="AI18" i="213"/>
  <c r="AE18" i="213"/>
  <c r="AF18" i="213"/>
  <c r="AC18" i="213"/>
  <c r="AD18" i="213"/>
  <c r="AB18" i="213"/>
  <c r="Y18" i="213"/>
  <c r="Z18" i="213"/>
  <c r="AA18" i="213"/>
  <c r="W18" i="213"/>
  <c r="X18" i="213"/>
  <c r="U18" i="213"/>
  <c r="V18" i="213"/>
  <c r="T18" i="213"/>
  <c r="R18" i="213"/>
  <c r="S18" i="213"/>
  <c r="O18" i="213"/>
  <c r="P18" i="213"/>
  <c r="Q18" i="213"/>
  <c r="BR18" i="213" s="1"/>
  <c r="L18" i="213"/>
  <c r="M18" i="213"/>
  <c r="N18" i="213"/>
  <c r="I18" i="213"/>
  <c r="J18" i="213"/>
  <c r="K18" i="213"/>
  <c r="F18" i="213"/>
  <c r="G18" i="213"/>
  <c r="H18" i="213"/>
  <c r="C18" i="213"/>
  <c r="D18" i="213"/>
  <c r="E18" i="213"/>
  <c r="BQ17" i="213"/>
  <c r="BO17" i="213"/>
  <c r="BP17" i="213"/>
  <c r="BN17" i="213"/>
  <c r="BL17" i="213"/>
  <c r="BM17" i="213"/>
  <c r="BJ17" i="213"/>
  <c r="BK17" i="213"/>
  <c r="BG17" i="213"/>
  <c r="BH17" i="213"/>
  <c r="BI17" i="213"/>
  <c r="BD17" i="213"/>
  <c r="BE17" i="213"/>
  <c r="BF17" i="213"/>
  <c r="BB17" i="213"/>
  <c r="BC17" i="213"/>
  <c r="AY17" i="213"/>
  <c r="AZ17" i="213"/>
  <c r="BA17" i="213"/>
  <c r="AW17" i="213"/>
  <c r="AX17" i="213"/>
  <c r="AT17" i="213"/>
  <c r="AU17" i="213"/>
  <c r="AV17" i="213"/>
  <c r="AQ17" i="213"/>
  <c r="AR17" i="213"/>
  <c r="AS17" i="213"/>
  <c r="AO17" i="213"/>
  <c r="AP17" i="213"/>
  <c r="AM17" i="213"/>
  <c r="AN17" i="213"/>
  <c r="AL17" i="213"/>
  <c r="AJ17" i="213"/>
  <c r="AK17" i="213"/>
  <c r="AH17" i="213"/>
  <c r="AI17" i="213"/>
  <c r="AE17" i="213"/>
  <c r="AF17" i="213"/>
  <c r="AG17" i="213"/>
  <c r="AD17" i="213"/>
  <c r="AB17" i="213"/>
  <c r="AC17" i="213"/>
  <c r="Z17" i="213"/>
  <c r="AA17" i="213"/>
  <c r="W17" i="213"/>
  <c r="X17" i="213"/>
  <c r="Y17" i="213"/>
  <c r="V17" i="213"/>
  <c r="T17" i="213"/>
  <c r="U17" i="213"/>
  <c r="S17" i="213"/>
  <c r="P17" i="213"/>
  <c r="Q17" i="213"/>
  <c r="BR17" i="213" s="1"/>
  <c r="R17" i="213"/>
  <c r="M17" i="213"/>
  <c r="N17" i="213"/>
  <c r="O17" i="213"/>
  <c r="J17" i="213"/>
  <c r="K17" i="213"/>
  <c r="L17" i="213"/>
  <c r="G17" i="213"/>
  <c r="H17" i="213"/>
  <c r="I17" i="213"/>
  <c r="D17" i="213"/>
  <c r="E17" i="213"/>
  <c r="F17" i="213"/>
  <c r="BQ16" i="213"/>
  <c r="C17" i="213"/>
  <c r="BP16" i="213"/>
  <c r="BN16" i="213"/>
  <c r="BO16" i="213"/>
  <c r="BM16" i="213"/>
  <c r="BK16" i="213"/>
  <c r="BL16" i="213"/>
  <c r="BH16" i="213"/>
  <c r="BI16" i="213"/>
  <c r="BJ16" i="213"/>
  <c r="BE16" i="213"/>
  <c r="BF16" i="213"/>
  <c r="BG16" i="213"/>
  <c r="BC16" i="213"/>
  <c r="BD16" i="213"/>
  <c r="AZ16" i="213"/>
  <c r="BA16" i="213"/>
  <c r="BB16" i="213"/>
  <c r="AX16" i="213"/>
  <c r="AY16" i="213"/>
  <c r="AU16" i="213"/>
  <c r="AV16" i="213"/>
  <c r="AW16" i="213"/>
  <c r="AR16" i="213"/>
  <c r="AS16" i="213"/>
  <c r="AT16" i="213"/>
  <c r="AO16" i="213"/>
  <c r="AP16" i="213"/>
  <c r="AQ16" i="213"/>
  <c r="AN16" i="213"/>
  <c r="AL16" i="213"/>
  <c r="AM16" i="213"/>
  <c r="AK16" i="213"/>
  <c r="AI16" i="213"/>
  <c r="AJ16" i="213"/>
  <c r="AF16" i="213"/>
  <c r="AG16" i="213"/>
  <c r="AH16" i="213"/>
  <c r="AD16" i="213"/>
  <c r="AE16" i="213"/>
  <c r="AC16" i="213"/>
  <c r="AA16" i="213"/>
  <c r="AB16" i="213"/>
  <c r="X16" i="213"/>
  <c r="Y16" i="213"/>
  <c r="Z16" i="213"/>
  <c r="V16" i="213"/>
  <c r="W16" i="213"/>
  <c r="U16" i="213"/>
  <c r="S16" i="213"/>
  <c r="T16" i="213"/>
  <c r="Q16" i="213"/>
  <c r="BR16" i="213" s="1"/>
  <c r="R16" i="213"/>
  <c r="N16" i="213"/>
  <c r="O16" i="213"/>
  <c r="P16" i="213"/>
  <c r="K16" i="213"/>
  <c r="L16" i="213"/>
  <c r="M16" i="213"/>
  <c r="H16" i="213"/>
  <c r="I16" i="213"/>
  <c r="J16" i="213"/>
  <c r="E16" i="213"/>
  <c r="F16" i="213"/>
  <c r="G16" i="213"/>
  <c r="C16" i="213"/>
  <c r="D16" i="213"/>
  <c r="BP15" i="213"/>
  <c r="BQ15" i="213"/>
  <c r="BO15" i="213"/>
  <c r="BM15" i="213"/>
  <c r="BN15" i="213"/>
  <c r="BL15" i="213"/>
  <c r="BI15" i="213"/>
  <c r="BJ15" i="213"/>
  <c r="BK15" i="213"/>
  <c r="BF15" i="213"/>
  <c r="BG15" i="213"/>
  <c r="BH15" i="213"/>
  <c r="BD15" i="213"/>
  <c r="BE15" i="213"/>
  <c r="BA15" i="213"/>
  <c r="BB15" i="213"/>
  <c r="BC15" i="213"/>
  <c r="AY15" i="213"/>
  <c r="AZ15" i="213"/>
  <c r="AV15" i="213"/>
  <c r="AW15" i="213"/>
  <c r="AX15" i="213"/>
  <c r="AS15" i="213"/>
  <c r="AT15" i="213"/>
  <c r="AU15" i="213"/>
  <c r="AP15" i="213"/>
  <c r="AQ15" i="213"/>
  <c r="AR15" i="213"/>
  <c r="AN15" i="213"/>
  <c r="AO15" i="213"/>
  <c r="AM15" i="213"/>
  <c r="AK15" i="213"/>
  <c r="AL15" i="213"/>
  <c r="AJ15" i="213"/>
  <c r="AG15" i="213"/>
  <c r="AH15" i="213"/>
  <c r="AI15" i="213"/>
  <c r="AE15" i="213"/>
  <c r="AF15" i="213"/>
  <c r="AC15" i="213"/>
  <c r="AD15" i="213"/>
  <c r="AB15" i="213"/>
  <c r="Y15" i="213"/>
  <c r="Z15" i="213"/>
  <c r="AA15" i="213"/>
  <c r="W15" i="213"/>
  <c r="X15" i="213"/>
  <c r="U15" i="213"/>
  <c r="V15" i="213"/>
  <c r="T15" i="213"/>
  <c r="R15" i="213"/>
  <c r="S15" i="213"/>
  <c r="O15" i="213"/>
  <c r="P15" i="213"/>
  <c r="Q15" i="213"/>
  <c r="BR15" i="213" s="1"/>
  <c r="L15" i="213"/>
  <c r="M15" i="213"/>
  <c r="N15" i="213"/>
  <c r="I15" i="213"/>
  <c r="J15" i="213"/>
  <c r="K15" i="213"/>
  <c r="F15" i="213"/>
  <c r="G15" i="213"/>
  <c r="H15" i="213"/>
  <c r="C15" i="213"/>
  <c r="D15" i="213"/>
  <c r="E15" i="213"/>
  <c r="BQ14" i="213"/>
  <c r="BO14" i="213"/>
  <c r="BP14" i="213"/>
  <c r="BN14" i="213"/>
  <c r="BL14" i="213"/>
  <c r="BM14" i="213"/>
  <c r="BJ14" i="213"/>
  <c r="BK14" i="213"/>
  <c r="BG14" i="213"/>
  <c r="BH14" i="213"/>
  <c r="BI14" i="213"/>
  <c r="BD14" i="213"/>
  <c r="BE14" i="213"/>
  <c r="BF14" i="213"/>
  <c r="BB14" i="213"/>
  <c r="BC14" i="213"/>
  <c r="AY14" i="213"/>
  <c r="AZ14" i="213"/>
  <c r="BA14" i="213"/>
  <c r="AW14" i="213"/>
  <c r="AX14" i="213"/>
  <c r="AT14" i="213"/>
  <c r="AU14" i="213"/>
  <c r="AV14" i="213"/>
  <c r="AQ14" i="213"/>
  <c r="AR14" i="213"/>
  <c r="AS14" i="213"/>
  <c r="AO14" i="213"/>
  <c r="AP14" i="213"/>
  <c r="AM14" i="213"/>
  <c r="AN14" i="213"/>
  <c r="AL14" i="213"/>
  <c r="AJ14" i="213"/>
  <c r="AK14" i="213"/>
  <c r="AH14" i="213"/>
  <c r="AI14" i="213"/>
  <c r="AE14" i="213"/>
  <c r="AF14" i="213"/>
  <c r="AG14" i="213"/>
  <c r="AD14" i="213"/>
  <c r="AB14" i="213"/>
  <c r="AC14" i="213"/>
  <c r="Z14" i="213"/>
  <c r="AA14" i="213"/>
  <c r="W14" i="213"/>
  <c r="X14" i="213"/>
  <c r="Y14" i="213"/>
  <c r="V14" i="213"/>
  <c r="T14" i="213"/>
  <c r="U14" i="213"/>
  <c r="S14" i="213"/>
  <c r="P14" i="213"/>
  <c r="Q14" i="213"/>
  <c r="BR14" i="213" s="1"/>
  <c r="R14" i="213"/>
  <c r="M14" i="213"/>
  <c r="N14" i="213"/>
  <c r="O14" i="213"/>
  <c r="J14" i="213"/>
  <c r="K14" i="213"/>
  <c r="L14" i="213"/>
  <c r="G14" i="213"/>
  <c r="H14" i="213"/>
  <c r="I14" i="213"/>
  <c r="D14" i="213"/>
  <c r="E14" i="213"/>
  <c r="F14" i="213"/>
  <c r="BQ13" i="213"/>
  <c r="C14" i="213"/>
  <c r="BP13" i="213"/>
  <c r="BN13" i="213"/>
  <c r="BO13" i="213"/>
  <c r="BM13" i="213"/>
  <c r="BK13" i="213"/>
  <c r="BL13" i="213"/>
  <c r="BH13" i="213"/>
  <c r="BI13" i="213"/>
  <c r="BJ13" i="213"/>
  <c r="BE13" i="213"/>
  <c r="BF13" i="213"/>
  <c r="BG13" i="213"/>
  <c r="BC13" i="213"/>
  <c r="BD13" i="213"/>
  <c r="AZ13" i="213"/>
  <c r="BA13" i="213"/>
  <c r="BB13" i="213"/>
  <c r="AX13" i="213"/>
  <c r="AY13" i="213"/>
  <c r="AU13" i="213"/>
  <c r="AV13" i="213"/>
  <c r="AW13" i="213"/>
  <c r="AR13" i="213"/>
  <c r="AS13" i="213"/>
  <c r="AT13" i="213"/>
  <c r="AO13" i="213"/>
  <c r="AP13" i="213"/>
  <c r="AQ13" i="213"/>
  <c r="AN13" i="213"/>
  <c r="AL13" i="213"/>
  <c r="AM13" i="213"/>
  <c r="AK13" i="213"/>
  <c r="AI13" i="213"/>
  <c r="AJ13" i="213"/>
  <c r="AF13" i="213"/>
  <c r="AG13" i="213"/>
  <c r="AH13" i="213"/>
  <c r="AD13" i="213"/>
  <c r="AE13" i="213"/>
  <c r="AC13" i="213"/>
  <c r="AA13" i="213"/>
  <c r="AB13" i="213"/>
  <c r="X13" i="213"/>
  <c r="Y13" i="213"/>
  <c r="Z13" i="213"/>
  <c r="V13" i="213"/>
  <c r="W13" i="213"/>
  <c r="U13" i="213"/>
  <c r="S13" i="213"/>
  <c r="T13" i="213"/>
  <c r="Q13" i="213"/>
  <c r="BR13" i="213" s="1"/>
  <c r="R13" i="213"/>
  <c r="N13" i="213"/>
  <c r="O13" i="213"/>
  <c r="P13" i="213"/>
  <c r="K13" i="213"/>
  <c r="L13" i="213"/>
  <c r="M13" i="213"/>
  <c r="H13" i="213"/>
  <c r="I13" i="213"/>
  <c r="J13" i="213"/>
  <c r="E13" i="213"/>
  <c r="F13" i="213"/>
  <c r="G13" i="213"/>
  <c r="AT53" i="213"/>
  <c r="C13" i="213"/>
  <c r="D13" i="213"/>
  <c r="AT50" i="213"/>
  <c r="AT51" i="213"/>
  <c r="AT52" i="213"/>
  <c r="AT47" i="213"/>
  <c r="AT48" i="213"/>
  <c r="AT49" i="213"/>
  <c r="AT44" i="213"/>
  <c r="AT45" i="213"/>
  <c r="AT46" i="213"/>
  <c r="J44" i="213"/>
  <c r="J46" i="213"/>
  <c r="J45" i="213"/>
  <c r="J47" i="213"/>
  <c r="J49" i="213"/>
  <c r="J48" i="213"/>
  <c r="J50" i="213"/>
  <c r="J52" i="213"/>
  <c r="J51" i="213"/>
  <c r="D57" i="213"/>
  <c r="J53" i="213"/>
  <c r="D60" i="213"/>
  <c r="D59" i="213"/>
  <c r="D58" i="213"/>
  <c r="D63" i="213"/>
  <c r="D62" i="213"/>
  <c r="D61" i="213"/>
  <c r="D66" i="213"/>
  <c r="D65" i="213"/>
  <c r="D64" i="213"/>
  <c r="C71" i="213"/>
  <c r="C74" i="213"/>
  <c r="D67" i="213"/>
  <c r="C10" i="214"/>
  <c r="D10" i="214"/>
  <c r="E10" i="214"/>
  <c r="F10" i="214"/>
  <c r="J10" i="214"/>
  <c r="G10" i="214"/>
  <c r="I10" i="214"/>
  <c r="P10" i="214"/>
  <c r="K10" i="214"/>
  <c r="L10" i="214"/>
  <c r="U10" i="214"/>
  <c r="N10" i="214"/>
  <c r="O10" i="214"/>
  <c r="V10" i="214"/>
  <c r="X10" i="214"/>
  <c r="Y10" i="214"/>
  <c r="Z10" i="214"/>
  <c r="AF10" i="214"/>
  <c r="AG10" i="214"/>
  <c r="D11" i="214"/>
  <c r="E11" i="214"/>
  <c r="AJ10" i="214"/>
  <c r="G11" i="214"/>
  <c r="I11" i="214"/>
  <c r="C11" i="214"/>
  <c r="J11" i="214"/>
  <c r="K11" i="214"/>
  <c r="F11" i="214"/>
  <c r="L11" i="214"/>
  <c r="N11" i="214"/>
  <c r="O11" i="214"/>
  <c r="X11" i="214"/>
  <c r="P11" i="214"/>
  <c r="U11" i="214"/>
  <c r="Z11" i="214"/>
  <c r="AF11" i="214"/>
  <c r="V11" i="214"/>
  <c r="AG11" i="214"/>
  <c r="AJ11" i="214"/>
  <c r="Y11" i="214"/>
  <c r="G12" i="214"/>
  <c r="C12" i="214"/>
  <c r="D12" i="214"/>
  <c r="I12" i="214"/>
  <c r="E12" i="214"/>
  <c r="F12" i="214"/>
  <c r="N12" i="214"/>
  <c r="J12" i="214"/>
  <c r="K12" i="214"/>
  <c r="O12" i="214"/>
  <c r="P12" i="214"/>
  <c r="L12" i="214"/>
  <c r="Z12" i="214"/>
  <c r="U12" i="214"/>
  <c r="V12" i="214"/>
  <c r="AJ12" i="214"/>
  <c r="X12" i="214"/>
  <c r="Y12" i="214"/>
  <c r="C13" i="214"/>
  <c r="AF12" i="214"/>
  <c r="AG12" i="214"/>
  <c r="D13" i="214"/>
  <c r="E13" i="214"/>
  <c r="F13" i="214"/>
  <c r="J13" i="214"/>
  <c r="G13" i="214"/>
  <c r="I13" i="214"/>
  <c r="P13" i="214"/>
  <c r="K13" i="214"/>
  <c r="L13" i="214"/>
  <c r="U13" i="214"/>
  <c r="N13" i="214"/>
  <c r="O13" i="214"/>
  <c r="V13" i="214"/>
  <c r="X13" i="214"/>
  <c r="Y13" i="214"/>
  <c r="Z13" i="214"/>
  <c r="AF13" i="214"/>
  <c r="AG13" i="214"/>
  <c r="D14" i="214"/>
  <c r="E14" i="214"/>
  <c r="AJ13" i="214"/>
  <c r="G14" i="214"/>
  <c r="I14" i="214"/>
  <c r="C14" i="214"/>
  <c r="J14" i="214"/>
  <c r="K14" i="214"/>
  <c r="F14" i="214"/>
  <c r="L14" i="214"/>
  <c r="N14" i="214"/>
  <c r="O14" i="214"/>
  <c r="X14" i="214"/>
  <c r="P14" i="214"/>
  <c r="U14" i="214"/>
  <c r="Z14" i="214"/>
  <c r="AF14" i="214"/>
  <c r="V14" i="214"/>
  <c r="AG14" i="214"/>
  <c r="AJ14" i="214"/>
  <c r="Y14" i="214"/>
  <c r="G15" i="214"/>
  <c r="C15" i="214"/>
  <c r="D15" i="214"/>
  <c r="I15" i="214"/>
  <c r="E15" i="214"/>
  <c r="F15" i="214"/>
  <c r="N15" i="214"/>
  <c r="J15" i="214"/>
  <c r="K15" i="214"/>
  <c r="O15" i="214"/>
  <c r="P15" i="214"/>
  <c r="L15" i="214"/>
  <c r="Z15" i="214"/>
  <c r="U15" i="214"/>
  <c r="V15" i="214"/>
  <c r="AJ15" i="214"/>
  <c r="X15" i="214"/>
  <c r="Y15" i="214"/>
  <c r="C16" i="214"/>
  <c r="AF15" i="214"/>
  <c r="AG15" i="214"/>
  <c r="D16" i="214"/>
  <c r="E16" i="214"/>
  <c r="F16" i="214"/>
  <c r="J16" i="214"/>
  <c r="G16" i="214"/>
  <c r="I16" i="214"/>
  <c r="P16" i="214"/>
  <c r="K16" i="214"/>
  <c r="L16" i="214"/>
  <c r="U16" i="214"/>
  <c r="N16" i="214"/>
  <c r="O16" i="214"/>
  <c r="V16" i="214"/>
  <c r="X16" i="214"/>
  <c r="Y16" i="214"/>
  <c r="Z16" i="214"/>
  <c r="AF16" i="214"/>
  <c r="AG16" i="214"/>
  <c r="D17" i="214"/>
  <c r="E17" i="214"/>
  <c r="AJ16" i="214"/>
  <c r="G17" i="214"/>
  <c r="I17" i="214"/>
  <c r="C17" i="214"/>
  <c r="J17" i="214"/>
  <c r="K17" i="214"/>
  <c r="F17" i="214"/>
  <c r="L17" i="214"/>
  <c r="N17" i="214"/>
  <c r="O17" i="214"/>
  <c r="X17" i="214"/>
  <c r="P17" i="214"/>
  <c r="U17" i="214"/>
  <c r="Z17" i="214"/>
  <c r="AF17" i="214"/>
  <c r="V17" i="214"/>
  <c r="AG17" i="214"/>
  <c r="AJ17" i="214"/>
  <c r="Y17" i="214"/>
  <c r="G18" i="214"/>
  <c r="C18" i="214"/>
  <c r="D18" i="214"/>
  <c r="I18" i="214"/>
  <c r="E18" i="214"/>
  <c r="F18" i="214"/>
  <c r="N18" i="214"/>
  <c r="J18" i="214"/>
  <c r="K18" i="214"/>
  <c r="O18" i="214"/>
  <c r="P18" i="214"/>
  <c r="L18" i="214"/>
  <c r="Z18" i="214"/>
  <c r="U18" i="214"/>
  <c r="V18" i="214"/>
  <c r="AJ18" i="214"/>
  <c r="X18" i="214"/>
  <c r="Y18" i="214"/>
  <c r="C19" i="214"/>
  <c r="AF18" i="214"/>
  <c r="AG18" i="214"/>
  <c r="D19" i="214"/>
  <c r="E19" i="214"/>
  <c r="F19" i="214"/>
  <c r="J19" i="214"/>
  <c r="G19" i="214"/>
  <c r="I19" i="214"/>
  <c r="P19" i="214"/>
  <c r="K19" i="214"/>
  <c r="L19" i="214"/>
  <c r="U19" i="214"/>
  <c r="N19" i="214"/>
  <c r="O19" i="214"/>
  <c r="V19" i="214"/>
  <c r="X19" i="214"/>
  <c r="Y19" i="214"/>
  <c r="Z19" i="214"/>
  <c r="AF19" i="214"/>
  <c r="AG19" i="214"/>
  <c r="D20" i="214"/>
  <c r="E20" i="214"/>
  <c r="AJ19" i="214"/>
  <c r="G20" i="214"/>
  <c r="I20" i="214"/>
  <c r="C20" i="214"/>
  <c r="J20" i="214"/>
  <c r="K20" i="214"/>
  <c r="F20" i="214"/>
  <c r="L20" i="214"/>
  <c r="N20" i="214"/>
  <c r="O20" i="214"/>
  <c r="X20" i="214"/>
  <c r="P20" i="214"/>
  <c r="U20" i="214"/>
  <c r="Z20" i="214"/>
  <c r="AF20" i="214"/>
  <c r="V20" i="214"/>
  <c r="AG20" i="214"/>
  <c r="AJ20" i="214"/>
  <c r="Y20" i="214"/>
  <c r="G21" i="214"/>
  <c r="C21" i="214"/>
  <c r="D21" i="214"/>
  <c r="I21" i="214"/>
  <c r="E21" i="214"/>
  <c r="F21" i="214"/>
  <c r="N21" i="214"/>
  <c r="J21" i="214"/>
  <c r="K21" i="214"/>
  <c r="O21" i="214"/>
  <c r="P21" i="214"/>
  <c r="L21" i="214"/>
  <c r="Z21" i="214"/>
  <c r="U21" i="214"/>
  <c r="V21" i="214"/>
  <c r="AJ21" i="214"/>
  <c r="X21" i="214"/>
  <c r="Y21" i="214"/>
  <c r="C22" i="214"/>
  <c r="AF21" i="214"/>
  <c r="AG21" i="214"/>
  <c r="D22" i="214"/>
  <c r="E22" i="214"/>
  <c r="F22" i="214"/>
  <c r="J22" i="214"/>
  <c r="G22" i="214"/>
  <c r="I22" i="214"/>
  <c r="P22" i="214"/>
  <c r="K22" i="214"/>
  <c r="L22" i="214"/>
  <c r="U22" i="214"/>
  <c r="N22" i="214"/>
  <c r="O22" i="214"/>
  <c r="V22" i="214"/>
  <c r="X22" i="214"/>
  <c r="Y22" i="214"/>
  <c r="Z22" i="214"/>
  <c r="AF22" i="214"/>
  <c r="AG22" i="214"/>
  <c r="D23" i="214"/>
  <c r="E23" i="214"/>
  <c r="AJ22" i="214"/>
  <c r="G23" i="214"/>
  <c r="I23" i="214"/>
  <c r="C23" i="214"/>
  <c r="J23" i="214"/>
  <c r="K23" i="214"/>
  <c r="F23" i="214"/>
  <c r="L23" i="214"/>
  <c r="N23" i="214"/>
  <c r="O23" i="214"/>
  <c r="X23" i="214"/>
  <c r="P23" i="214"/>
  <c r="U23" i="214"/>
  <c r="Z23" i="214"/>
  <c r="AF23" i="214"/>
  <c r="V23" i="214"/>
  <c r="AG23" i="214"/>
  <c r="AJ23" i="214"/>
  <c r="Y23" i="214"/>
  <c r="G24" i="214"/>
  <c r="C24" i="214"/>
  <c r="D24" i="214"/>
  <c r="I24" i="214"/>
  <c r="E24" i="214"/>
  <c r="F24" i="214"/>
  <c r="N24" i="214"/>
  <c r="J24" i="214"/>
  <c r="K24" i="214"/>
  <c r="O24" i="214"/>
  <c r="P24" i="214"/>
  <c r="L24" i="214"/>
  <c r="Z24" i="214"/>
  <c r="U24" i="214"/>
  <c r="V24" i="214"/>
  <c r="AJ24" i="214"/>
  <c r="X24" i="214"/>
  <c r="Y24" i="214"/>
  <c r="C25" i="214"/>
  <c r="AF24" i="214"/>
  <c r="AG24" i="214"/>
  <c r="D25" i="214"/>
  <c r="E25" i="214"/>
  <c r="F25" i="214"/>
  <c r="J25" i="214"/>
  <c r="G25" i="214"/>
  <c r="I25" i="214"/>
  <c r="P25" i="214"/>
  <c r="K25" i="214"/>
  <c r="L25" i="214"/>
  <c r="U25" i="214"/>
  <c r="N25" i="214"/>
  <c r="O25" i="214"/>
  <c r="V25" i="214"/>
  <c r="X25" i="214"/>
  <c r="Y25" i="214"/>
  <c r="Z25" i="214"/>
  <c r="AF25" i="214"/>
  <c r="AG25" i="214"/>
  <c r="D26" i="214"/>
  <c r="E26" i="214"/>
  <c r="AJ25" i="214"/>
  <c r="G26" i="214"/>
  <c r="I26" i="214"/>
  <c r="C26" i="214"/>
  <c r="J26" i="214"/>
  <c r="K26" i="214"/>
  <c r="F26" i="214"/>
  <c r="L26" i="214"/>
  <c r="N26" i="214"/>
  <c r="O26" i="214"/>
  <c r="X26" i="214"/>
  <c r="P26" i="214"/>
  <c r="U26" i="214"/>
  <c r="Z26" i="214"/>
  <c r="AF26" i="214"/>
  <c r="V26" i="214"/>
  <c r="AG26" i="214"/>
  <c r="AJ26" i="214"/>
  <c r="Y26" i="214"/>
  <c r="G27" i="214"/>
  <c r="C27" i="214"/>
  <c r="D27" i="214"/>
  <c r="I27" i="214"/>
  <c r="E27" i="214"/>
  <c r="F27" i="214"/>
  <c r="N27" i="214"/>
  <c r="J27" i="214"/>
  <c r="K27" i="214"/>
  <c r="O27" i="214"/>
  <c r="P27" i="214"/>
  <c r="L27" i="214"/>
  <c r="Z27" i="214"/>
  <c r="U27" i="214"/>
  <c r="V27" i="214"/>
  <c r="AJ27" i="214"/>
  <c r="X27" i="214"/>
  <c r="Y27" i="214"/>
  <c r="C28" i="214"/>
  <c r="AF27" i="214"/>
  <c r="AG27" i="214"/>
  <c r="D28" i="214"/>
  <c r="E28" i="214"/>
  <c r="F28" i="214"/>
  <c r="J28" i="214"/>
  <c r="G28" i="214"/>
  <c r="I28" i="214"/>
  <c r="P28" i="214"/>
  <c r="K28" i="214"/>
  <c r="L28" i="214"/>
  <c r="U28" i="214"/>
  <c r="N28" i="214"/>
  <c r="O28" i="214"/>
  <c r="V28" i="214"/>
  <c r="X28" i="214"/>
  <c r="Y28" i="214"/>
  <c r="Z28" i="214"/>
  <c r="AF28" i="214"/>
  <c r="AG28" i="214"/>
  <c r="D29" i="214"/>
  <c r="E29" i="214"/>
  <c r="AJ28" i="214"/>
  <c r="G29" i="214"/>
  <c r="I29" i="214"/>
  <c r="C29" i="214"/>
  <c r="J29" i="214"/>
  <c r="K29" i="214"/>
  <c r="F29" i="214"/>
  <c r="L29" i="214"/>
  <c r="N29" i="214"/>
  <c r="O29" i="214"/>
  <c r="X29" i="214"/>
  <c r="P29" i="214"/>
  <c r="U29" i="214"/>
  <c r="Z29" i="214"/>
  <c r="AF29" i="214"/>
  <c r="V29" i="214"/>
  <c r="AG29" i="214"/>
  <c r="AJ29" i="214"/>
  <c r="Y29" i="214"/>
  <c r="E67" i="213"/>
  <c r="E66" i="213"/>
  <c r="E65" i="213"/>
  <c r="E64" i="213"/>
  <c r="E63" i="213"/>
  <c r="E62" i="213"/>
  <c r="E61" i="213"/>
  <c r="E60" i="213"/>
  <c r="E59" i="213"/>
  <c r="E58" i="213"/>
  <c r="E57" i="213"/>
  <c r="BN120" i="280"/>
  <c r="AB118" i="280"/>
  <c r="AC118" i="280"/>
  <c r="Y118" i="280"/>
  <c r="Z118" i="280"/>
  <c r="AB116" i="280"/>
  <c r="AC116" i="280"/>
  <c r="Y116" i="280"/>
  <c r="Z116" i="280"/>
  <c r="B8" i="88"/>
  <c r="B9" i="88" s="1"/>
  <c r="B10" i="88" s="1"/>
  <c r="B11" i="88" s="1"/>
  <c r="B12" i="88" s="1"/>
  <c r="B13" i="88" s="1"/>
  <c r="B14" i="88" s="1"/>
  <c r="B15" i="88" s="1"/>
  <c r="B16" i="88" s="1"/>
  <c r="B17" i="88" s="1"/>
  <c r="B18" i="88" s="1"/>
  <c r="B19" i="88" s="1"/>
  <c r="B20" i="88" s="1"/>
  <c r="B21" i="88" s="1"/>
  <c r="B22" i="88" s="1"/>
  <c r="B2" i="53"/>
  <c r="AA3" i="53"/>
  <c r="K4" i="53"/>
  <c r="W4" i="53"/>
  <c r="AA4" i="53"/>
  <c r="AA5" i="53"/>
  <c r="D10" i="53"/>
  <c r="E10" i="53"/>
  <c r="F10" i="53"/>
  <c r="G10" i="53"/>
  <c r="I10" i="53"/>
  <c r="J10" i="53"/>
  <c r="K10" i="53"/>
  <c r="Q10" i="53"/>
  <c r="R10" i="53"/>
  <c r="S10" i="53"/>
  <c r="D11" i="53"/>
  <c r="E11" i="53"/>
  <c r="F11" i="53"/>
  <c r="G11" i="53"/>
  <c r="I11" i="53"/>
  <c r="J11" i="53"/>
  <c r="K11" i="53"/>
  <c r="Q11" i="53"/>
  <c r="R11" i="53"/>
  <c r="S11" i="53"/>
  <c r="D12" i="53"/>
  <c r="E12" i="53"/>
  <c r="F12" i="53"/>
  <c r="G12" i="53"/>
  <c r="I12" i="53"/>
  <c r="J12" i="53"/>
  <c r="K12" i="53"/>
  <c r="Q12" i="53"/>
  <c r="R12" i="53"/>
  <c r="S12" i="53"/>
  <c r="D13" i="53"/>
  <c r="E13" i="53"/>
  <c r="F13" i="53"/>
  <c r="G13" i="53"/>
  <c r="I13" i="53"/>
  <c r="J13" i="53"/>
  <c r="K13" i="53"/>
  <c r="Q13" i="53"/>
  <c r="R13" i="53"/>
  <c r="S13" i="53"/>
  <c r="D14" i="53"/>
  <c r="E14" i="53"/>
  <c r="F14" i="53"/>
  <c r="G14" i="53"/>
  <c r="I14" i="53"/>
  <c r="J14" i="53"/>
  <c r="K14" i="53"/>
  <c r="Q14" i="53"/>
  <c r="R14" i="53"/>
  <c r="S14" i="53"/>
  <c r="D15" i="53"/>
  <c r="E15" i="53"/>
  <c r="F15" i="53"/>
  <c r="G15" i="53"/>
  <c r="I15" i="53"/>
  <c r="J15" i="53"/>
  <c r="K15" i="53"/>
  <c r="Q15" i="53"/>
  <c r="R15" i="53"/>
  <c r="S15" i="53"/>
  <c r="D16" i="53"/>
  <c r="E16" i="53"/>
  <c r="F16" i="53"/>
  <c r="G16" i="53"/>
  <c r="I16" i="53"/>
  <c r="J16" i="53"/>
  <c r="K16" i="53"/>
  <c r="Q16" i="53"/>
  <c r="R16" i="53"/>
  <c r="S16" i="53"/>
  <c r="D17" i="53"/>
  <c r="E17" i="53"/>
  <c r="F17" i="53"/>
  <c r="G17" i="53"/>
  <c r="I17" i="53"/>
  <c r="J17" i="53"/>
  <c r="K17" i="53"/>
  <c r="Q17" i="53"/>
  <c r="R17" i="53"/>
  <c r="S17" i="53"/>
  <c r="D18" i="53"/>
  <c r="E18" i="53"/>
  <c r="F18" i="53"/>
  <c r="G18" i="53"/>
  <c r="I18" i="53"/>
  <c r="J18" i="53"/>
  <c r="K18" i="53"/>
  <c r="Q18" i="53"/>
  <c r="R18" i="53"/>
  <c r="S18" i="53"/>
  <c r="D19" i="53"/>
  <c r="E19" i="53"/>
  <c r="F19" i="53"/>
  <c r="G19" i="53"/>
  <c r="I19" i="53"/>
  <c r="J19" i="53"/>
  <c r="K19" i="53"/>
  <c r="Q19" i="53"/>
  <c r="R19" i="53"/>
  <c r="S19" i="53"/>
  <c r="D20" i="53"/>
  <c r="E20" i="53"/>
  <c r="F20" i="53"/>
  <c r="G20" i="53"/>
  <c r="I20" i="53"/>
  <c r="J20" i="53"/>
  <c r="K20" i="53"/>
  <c r="Q20" i="53"/>
  <c r="R20" i="53"/>
  <c r="S20" i="53"/>
  <c r="D21" i="53"/>
  <c r="E21" i="53"/>
  <c r="F21" i="53"/>
  <c r="G21" i="53"/>
  <c r="I21" i="53"/>
  <c r="J21" i="53"/>
  <c r="K21" i="53"/>
  <c r="Q21" i="53"/>
  <c r="R21" i="53"/>
  <c r="S21" i="53"/>
  <c r="D22" i="53"/>
  <c r="E22" i="53"/>
  <c r="F22" i="53"/>
  <c r="G22" i="53"/>
  <c r="I22" i="53"/>
  <c r="J22" i="53"/>
  <c r="K22" i="53"/>
  <c r="Q22" i="53"/>
  <c r="R22" i="53"/>
  <c r="S22" i="53"/>
  <c r="D23" i="53"/>
  <c r="E23" i="53"/>
  <c r="F23" i="53"/>
  <c r="G23" i="53"/>
  <c r="I23" i="53"/>
  <c r="J23" i="53"/>
  <c r="K23" i="53"/>
  <c r="Q23" i="53"/>
  <c r="R23" i="53"/>
  <c r="S23" i="53"/>
  <c r="B24" i="53"/>
  <c r="D24" i="53"/>
  <c r="E24" i="53"/>
  <c r="F24" i="53"/>
  <c r="G24" i="53"/>
  <c r="I24" i="53"/>
  <c r="M24" i="53" s="1"/>
  <c r="J24" i="53"/>
  <c r="K24" i="53"/>
  <c r="N24" i="53"/>
  <c r="O24" i="53"/>
  <c r="Q24" i="53"/>
  <c r="R24" i="53"/>
  <c r="V24" i="53" s="1"/>
  <c r="S24" i="53"/>
  <c r="W24" i="53" s="1"/>
  <c r="U24" i="53"/>
  <c r="B25" i="53"/>
  <c r="D25" i="53"/>
  <c r="E25" i="53"/>
  <c r="F25" i="53"/>
  <c r="G25" i="53"/>
  <c r="I25" i="53"/>
  <c r="M25" i="53" s="1"/>
  <c r="J25" i="53"/>
  <c r="N25" i="53" s="1"/>
  <c r="K25" i="53"/>
  <c r="O25" i="53" s="1"/>
  <c r="Q25" i="53"/>
  <c r="U25" i="53" s="1"/>
  <c r="R25" i="53"/>
  <c r="S25" i="53"/>
  <c r="V25" i="53"/>
  <c r="W25" i="53"/>
  <c r="B26" i="53"/>
  <c r="D26" i="53"/>
  <c r="E26" i="53"/>
  <c r="F26" i="53"/>
  <c r="G26" i="53"/>
  <c r="I26" i="53"/>
  <c r="J26" i="53"/>
  <c r="K26" i="53"/>
  <c r="O26" i="53" s="1"/>
  <c r="M26" i="53"/>
  <c r="N26" i="53"/>
  <c r="Q26" i="53"/>
  <c r="U26" i="53" s="1"/>
  <c r="R26" i="53"/>
  <c r="V26" i="53" s="1"/>
  <c r="S26" i="53"/>
  <c r="W26" i="53"/>
  <c r="B27" i="53"/>
  <c r="D27" i="53"/>
  <c r="E27" i="53"/>
  <c r="F27" i="53"/>
  <c r="G27" i="53"/>
  <c r="I27" i="53"/>
  <c r="M27" i="53" s="1"/>
  <c r="J27" i="53"/>
  <c r="K27" i="53"/>
  <c r="N27" i="53"/>
  <c r="O27" i="53"/>
  <c r="Q27" i="53"/>
  <c r="R27" i="53"/>
  <c r="V27" i="53" s="1"/>
  <c r="S27" i="53"/>
  <c r="W27" i="53" s="1"/>
  <c r="U27" i="53"/>
  <c r="B28" i="53"/>
  <c r="D28" i="53"/>
  <c r="E28" i="53"/>
  <c r="F28" i="53"/>
  <c r="G28" i="53"/>
  <c r="I28" i="53"/>
  <c r="M28" i="53" s="1"/>
  <c r="J28" i="53"/>
  <c r="N28" i="53" s="1"/>
  <c r="K28" i="53"/>
  <c r="O28" i="53"/>
  <c r="Q28" i="53"/>
  <c r="R28" i="53"/>
  <c r="S28" i="53"/>
  <c r="W28" i="53" s="1"/>
  <c r="U28" i="53"/>
  <c r="V28" i="53"/>
  <c r="B29" i="53"/>
  <c r="D29" i="53"/>
  <c r="E29" i="53"/>
  <c r="F29" i="53"/>
  <c r="G29" i="53"/>
  <c r="I29" i="53"/>
  <c r="J29" i="53"/>
  <c r="N29" i="53" s="1"/>
  <c r="K29" i="53"/>
  <c r="O29" i="53" s="1"/>
  <c r="M29" i="53"/>
  <c r="Q29" i="53"/>
  <c r="U29" i="53" s="1"/>
  <c r="R29" i="53"/>
  <c r="S29" i="53"/>
  <c r="V29" i="53"/>
  <c r="W29" i="53"/>
  <c r="B30" i="53"/>
  <c r="D30" i="53"/>
  <c r="E30" i="53"/>
  <c r="F30" i="53"/>
  <c r="G30" i="53"/>
  <c r="I30" i="53"/>
  <c r="J30" i="53"/>
  <c r="K30" i="53"/>
  <c r="O30" i="53" s="1"/>
  <c r="M30" i="53"/>
  <c r="N30" i="53"/>
  <c r="Q30" i="53"/>
  <c r="U30" i="53" s="1"/>
  <c r="R30" i="53"/>
  <c r="V30" i="53" s="1"/>
  <c r="S30" i="53"/>
  <c r="W30" i="53"/>
  <c r="B31" i="53"/>
  <c r="D31" i="53"/>
  <c r="E31" i="53"/>
  <c r="F31" i="53"/>
  <c r="G31" i="53"/>
  <c r="I31" i="53"/>
  <c r="M31" i="53" s="1"/>
  <c r="J31" i="53"/>
  <c r="K31" i="53"/>
  <c r="N31" i="53"/>
  <c r="O31" i="53"/>
  <c r="Q31" i="53"/>
  <c r="R31" i="53"/>
  <c r="V31" i="53" s="1"/>
  <c r="S31" i="53"/>
  <c r="W31" i="53" s="1"/>
  <c r="U31" i="53"/>
  <c r="B32" i="53"/>
  <c r="D32" i="53"/>
  <c r="E32" i="53"/>
  <c r="F32" i="53"/>
  <c r="G32" i="53"/>
  <c r="I32" i="53"/>
  <c r="M32" i="53" s="1"/>
  <c r="J32" i="53"/>
  <c r="N32" i="53" s="1"/>
  <c r="K32" i="53"/>
  <c r="O32" i="53"/>
  <c r="Q32" i="53"/>
  <c r="R32" i="53"/>
  <c r="S32" i="53"/>
  <c r="W32" i="53" s="1"/>
  <c r="U32" i="53"/>
  <c r="V32" i="53"/>
  <c r="B33" i="53"/>
  <c r="D33" i="53"/>
  <c r="E33" i="53"/>
  <c r="F33" i="53"/>
  <c r="G33" i="53"/>
  <c r="I33" i="53"/>
  <c r="J33" i="53"/>
  <c r="N33" i="53" s="1"/>
  <c r="K33" i="53"/>
  <c r="O33" i="53" s="1"/>
  <c r="M33" i="53"/>
  <c r="Q33" i="53"/>
  <c r="U33" i="53" s="1"/>
  <c r="R33" i="53"/>
  <c r="S33" i="53"/>
  <c r="V33" i="53"/>
  <c r="W33" i="53"/>
  <c r="B34" i="53"/>
  <c r="D34" i="53"/>
  <c r="E34" i="53"/>
  <c r="F34" i="53"/>
  <c r="G34" i="53"/>
  <c r="I34" i="53"/>
  <c r="J34" i="53"/>
  <c r="K34" i="53"/>
  <c r="M34" i="53"/>
  <c r="N34" i="53"/>
  <c r="O34" i="53"/>
  <c r="Q34" i="53"/>
  <c r="R34" i="53"/>
  <c r="V34" i="53" s="1"/>
  <c r="S34" i="53"/>
  <c r="U34" i="53"/>
  <c r="W34" i="53"/>
  <c r="B35" i="53"/>
  <c r="D35" i="53"/>
  <c r="E35" i="53"/>
  <c r="E41" i="53" s="1"/>
  <c r="F35" i="53"/>
  <c r="G35" i="53"/>
  <c r="I35" i="53"/>
  <c r="M35" i="53" s="1"/>
  <c r="J35" i="53"/>
  <c r="J41" i="53" s="1"/>
  <c r="K35" i="53"/>
  <c r="N35" i="53"/>
  <c r="O35" i="53"/>
  <c r="Q35" i="53"/>
  <c r="R35" i="53"/>
  <c r="S35" i="53"/>
  <c r="W35" i="53" s="1"/>
  <c r="U35" i="53"/>
  <c r="V35" i="53"/>
  <c r="B36" i="53"/>
  <c r="D36" i="53"/>
  <c r="E36" i="53"/>
  <c r="E42" i="53" s="1"/>
  <c r="F36" i="53"/>
  <c r="G36" i="53"/>
  <c r="I36" i="53"/>
  <c r="J36" i="53"/>
  <c r="N36" i="53" s="1"/>
  <c r="K36" i="53"/>
  <c r="M36" i="53"/>
  <c r="O36" i="53"/>
  <c r="Q36" i="53"/>
  <c r="R36" i="53"/>
  <c r="S36" i="53"/>
  <c r="U36" i="53"/>
  <c r="V36" i="53"/>
  <c r="W36" i="53"/>
  <c r="B37" i="53"/>
  <c r="D37" i="53"/>
  <c r="E37" i="53"/>
  <c r="F37" i="53"/>
  <c r="G37" i="53"/>
  <c r="I37" i="53"/>
  <c r="J37" i="53"/>
  <c r="K37" i="53"/>
  <c r="O37" i="53" s="1"/>
  <c r="M37" i="53"/>
  <c r="N37" i="53"/>
  <c r="Q37" i="53"/>
  <c r="U37" i="53" s="1"/>
  <c r="R37" i="53"/>
  <c r="S37" i="53"/>
  <c r="V37" i="53"/>
  <c r="W37" i="53"/>
  <c r="B38" i="53"/>
  <c r="D38" i="53"/>
  <c r="E38" i="53"/>
  <c r="F38" i="53"/>
  <c r="G38" i="53"/>
  <c r="I38" i="53"/>
  <c r="J38" i="53"/>
  <c r="K38" i="53"/>
  <c r="M38" i="53"/>
  <c r="N38" i="53"/>
  <c r="O38" i="53"/>
  <c r="Q38" i="53"/>
  <c r="R38" i="53"/>
  <c r="V38" i="53" s="1"/>
  <c r="S38" i="53"/>
  <c r="U38" i="53"/>
  <c r="W38" i="53"/>
  <c r="B39" i="53"/>
  <c r="D39" i="53"/>
  <c r="E39" i="53"/>
  <c r="E43" i="53" s="1"/>
  <c r="F39" i="53"/>
  <c r="G39" i="53"/>
  <c r="I39" i="53"/>
  <c r="J39" i="53"/>
  <c r="K39" i="53"/>
  <c r="N39" i="53"/>
  <c r="O39" i="53"/>
  <c r="Q39" i="53"/>
  <c r="R39" i="53"/>
  <c r="S39" i="53"/>
  <c r="U39" i="53"/>
  <c r="V39" i="53"/>
  <c r="F41" i="53"/>
  <c r="G41" i="53"/>
  <c r="K41" i="53"/>
  <c r="Q41" i="53"/>
  <c r="R41" i="53"/>
  <c r="F42" i="53"/>
  <c r="G42" i="53"/>
  <c r="K42" i="53"/>
  <c r="Q42" i="53"/>
  <c r="R42" i="53"/>
  <c r="F43" i="53"/>
  <c r="G43" i="53"/>
  <c r="K43" i="53"/>
  <c r="Q43" i="53"/>
  <c r="R43" i="53"/>
  <c r="F44" i="53"/>
  <c r="G44" i="53"/>
  <c r="I44" i="53"/>
  <c r="K44" i="53"/>
  <c r="Q44" i="53"/>
  <c r="R44" i="53"/>
  <c r="S44" i="53"/>
  <c r="D45" i="53"/>
  <c r="F45" i="53"/>
  <c r="G45" i="53"/>
  <c r="I45" i="53"/>
  <c r="K45" i="53"/>
  <c r="Q45" i="53"/>
  <c r="R45" i="53"/>
  <c r="S45" i="53"/>
  <c r="D46" i="53"/>
  <c r="E46" i="53"/>
  <c r="F46" i="53"/>
  <c r="G46" i="53"/>
  <c r="I46" i="53"/>
  <c r="J46" i="53"/>
  <c r="K46" i="53"/>
  <c r="Q46" i="53"/>
  <c r="R46" i="53"/>
  <c r="S46" i="53"/>
  <c r="B2" i="172"/>
  <c r="Y2" i="172"/>
  <c r="AA2" i="172"/>
  <c r="AI2" i="172"/>
  <c r="Y3" i="172"/>
  <c r="AA3" i="172"/>
  <c r="W4" i="172"/>
  <c r="K8" i="172"/>
  <c r="L8" i="172" s="1"/>
  <c r="AA4" i="172"/>
  <c r="O8" i="172"/>
  <c r="P8" i="172"/>
  <c r="Q8" i="172"/>
  <c r="E12" i="172"/>
  <c r="F12" i="172"/>
  <c r="G12" i="172"/>
  <c r="I12" i="172"/>
  <c r="J12" i="172"/>
  <c r="K12" i="172"/>
  <c r="L12" i="172"/>
  <c r="M12" i="172"/>
  <c r="E13" i="172"/>
  <c r="F13" i="172"/>
  <c r="G13" i="172"/>
  <c r="I13" i="172"/>
  <c r="J13" i="172"/>
  <c r="K13" i="172"/>
  <c r="L13" i="172"/>
  <c r="M13" i="172"/>
  <c r="E14" i="172"/>
  <c r="F14" i="172"/>
  <c r="G14" i="172"/>
  <c r="I14" i="172"/>
  <c r="J14" i="172"/>
  <c r="K14" i="172"/>
  <c r="L14" i="172"/>
  <c r="M14" i="172"/>
  <c r="E15" i="172"/>
  <c r="F15" i="172"/>
  <c r="G15" i="172"/>
  <c r="I15" i="172"/>
  <c r="J15" i="172"/>
  <c r="K15" i="172"/>
  <c r="L15" i="172"/>
  <c r="M15" i="172"/>
  <c r="E16" i="172"/>
  <c r="F16" i="172"/>
  <c r="G16" i="172"/>
  <c r="I16" i="172"/>
  <c r="J16" i="172"/>
  <c r="K16" i="172"/>
  <c r="L16" i="172"/>
  <c r="M16" i="172"/>
  <c r="E17" i="172"/>
  <c r="F17" i="172"/>
  <c r="G17" i="172"/>
  <c r="I17" i="172"/>
  <c r="J17" i="172"/>
  <c r="K17" i="172"/>
  <c r="L17" i="172"/>
  <c r="M17" i="172"/>
  <c r="E18" i="172"/>
  <c r="F18" i="172"/>
  <c r="G18" i="172"/>
  <c r="I18" i="172"/>
  <c r="J18" i="172"/>
  <c r="K18" i="172"/>
  <c r="L18" i="172"/>
  <c r="M18" i="172"/>
  <c r="E19" i="172"/>
  <c r="F19" i="172"/>
  <c r="G19" i="172"/>
  <c r="I19" i="172"/>
  <c r="J19" i="172"/>
  <c r="K19" i="172"/>
  <c r="L19" i="172"/>
  <c r="M19" i="172"/>
  <c r="E20" i="172"/>
  <c r="F20" i="172"/>
  <c r="G20" i="172"/>
  <c r="I20" i="172"/>
  <c r="J20" i="172"/>
  <c r="K20" i="172"/>
  <c r="L20" i="172"/>
  <c r="M20" i="172"/>
  <c r="E21" i="172"/>
  <c r="F21" i="172"/>
  <c r="G21" i="172"/>
  <c r="I21" i="172"/>
  <c r="J21" i="172"/>
  <c r="K21" i="172"/>
  <c r="L21" i="172"/>
  <c r="M21" i="172"/>
  <c r="E22" i="172"/>
  <c r="F22" i="172"/>
  <c r="G22" i="172"/>
  <c r="I22" i="172"/>
  <c r="J22" i="172"/>
  <c r="K22" i="172"/>
  <c r="L22" i="172"/>
  <c r="M22" i="172"/>
  <c r="E23" i="172"/>
  <c r="F23" i="172"/>
  <c r="G23" i="172"/>
  <c r="I23" i="172"/>
  <c r="J23" i="172"/>
  <c r="K23" i="172"/>
  <c r="L23" i="172"/>
  <c r="M23" i="172"/>
  <c r="E24" i="172"/>
  <c r="F24" i="172"/>
  <c r="G24" i="172"/>
  <c r="I24" i="172"/>
  <c r="J24" i="172"/>
  <c r="K24" i="172"/>
  <c r="L24" i="172"/>
  <c r="M24" i="172"/>
  <c r="E25" i="172"/>
  <c r="F25" i="172"/>
  <c r="G25" i="172"/>
  <c r="I25" i="172"/>
  <c r="J25" i="172"/>
  <c r="K25" i="172"/>
  <c r="L25" i="172"/>
  <c r="M25" i="172"/>
  <c r="B26" i="172"/>
  <c r="C26" i="172"/>
  <c r="E26" i="172"/>
  <c r="F26" i="172"/>
  <c r="G26" i="172"/>
  <c r="I26" i="172"/>
  <c r="J26" i="172"/>
  <c r="K26" i="172"/>
  <c r="L26" i="172"/>
  <c r="M26" i="172"/>
  <c r="O26" i="172"/>
  <c r="P26" i="172"/>
  <c r="Q26" i="172"/>
  <c r="S26" i="172"/>
  <c r="T26" i="172"/>
  <c r="U26" i="172"/>
  <c r="V26" i="172"/>
  <c r="W26" i="172"/>
  <c r="Y26" i="172"/>
  <c r="Z26" i="172"/>
  <c r="AC26" i="172" s="1"/>
  <c r="AA26" i="172"/>
  <c r="AB26" i="172"/>
  <c r="AD26" i="172"/>
  <c r="AF26" i="172" s="1"/>
  <c r="AE26" i="172"/>
  <c r="AI26" i="172"/>
  <c r="AA24" i="53" s="1"/>
  <c r="B27" i="172"/>
  <c r="C27" i="172"/>
  <c r="E27" i="172"/>
  <c r="F27" i="172"/>
  <c r="G27" i="172"/>
  <c r="I27" i="172"/>
  <c r="J27" i="172"/>
  <c r="K27" i="172"/>
  <c r="L27" i="172"/>
  <c r="M27" i="172"/>
  <c r="O27" i="172"/>
  <c r="P27" i="172"/>
  <c r="Q27" i="172"/>
  <c r="S27" i="172"/>
  <c r="T27" i="172"/>
  <c r="U27" i="172"/>
  <c r="V27" i="172"/>
  <c r="W27" i="172"/>
  <c r="Y27" i="172"/>
  <c r="Z27" i="172"/>
  <c r="AC27" i="172" s="1"/>
  <c r="AA27" i="172"/>
  <c r="AB27" i="172"/>
  <c r="AD27" i="172"/>
  <c r="AF27" i="172" s="1"/>
  <c r="AE27" i="172"/>
  <c r="AI27" i="172"/>
  <c r="AA25" i="53" s="1"/>
  <c r="B28" i="172"/>
  <c r="C28" i="172"/>
  <c r="E28" i="172"/>
  <c r="F28" i="172"/>
  <c r="G28" i="172"/>
  <c r="I28" i="172"/>
  <c r="J28" i="172"/>
  <c r="K28" i="172"/>
  <c r="L28" i="172"/>
  <c r="M28" i="172"/>
  <c r="O28" i="172"/>
  <c r="P28" i="172"/>
  <c r="Q28" i="172"/>
  <c r="S28" i="172"/>
  <c r="T28" i="172"/>
  <c r="U28" i="172"/>
  <c r="V28" i="172"/>
  <c r="W28" i="172"/>
  <c r="Y28" i="172"/>
  <c r="Z28" i="172"/>
  <c r="AC28" i="172" s="1"/>
  <c r="AA28" i="172"/>
  <c r="AB28" i="172"/>
  <c r="AD28" i="172"/>
  <c r="AF28" i="172" s="1"/>
  <c r="AE28" i="172"/>
  <c r="AI28" i="172"/>
  <c r="AA26" i="53" s="1"/>
  <c r="B29" i="172"/>
  <c r="C29" i="172"/>
  <c r="Q29" i="172" s="1"/>
  <c r="E29" i="172"/>
  <c r="F29" i="172"/>
  <c r="G29" i="172"/>
  <c r="I29" i="172"/>
  <c r="J29" i="172"/>
  <c r="K29" i="172"/>
  <c r="L29" i="172"/>
  <c r="M29" i="172"/>
  <c r="O29" i="172"/>
  <c r="P29" i="172"/>
  <c r="S29" i="172"/>
  <c r="T29" i="172"/>
  <c r="U29" i="172"/>
  <c r="V29" i="172"/>
  <c r="W29" i="172"/>
  <c r="Y29" i="172"/>
  <c r="Z29" i="172"/>
  <c r="AC29" i="172" s="1"/>
  <c r="AA29" i="172"/>
  <c r="AB29" i="172"/>
  <c r="AD29" i="172"/>
  <c r="AF29" i="172" s="1"/>
  <c r="AE29" i="172"/>
  <c r="AI29" i="172"/>
  <c r="AA27" i="53" s="1"/>
  <c r="B30" i="172"/>
  <c r="C30" i="172"/>
  <c r="Q30" i="172" s="1"/>
  <c r="E30" i="172"/>
  <c r="F30" i="172"/>
  <c r="G30" i="172"/>
  <c r="I30" i="172"/>
  <c r="J30" i="172"/>
  <c r="K30" i="172"/>
  <c r="L30" i="172"/>
  <c r="M30" i="172"/>
  <c r="O30" i="172"/>
  <c r="P30" i="172"/>
  <c r="S30" i="172"/>
  <c r="T30" i="172"/>
  <c r="U30" i="172"/>
  <c r="W30" i="172"/>
  <c r="Y30" i="172"/>
  <c r="Z30" i="172"/>
  <c r="AC30" i="172" s="1"/>
  <c r="AA30" i="172"/>
  <c r="AB30" i="172"/>
  <c r="AD30" i="172"/>
  <c r="AF30" i="172" s="1"/>
  <c r="AE30" i="172"/>
  <c r="AI30" i="172"/>
  <c r="AA28" i="53" s="1"/>
  <c r="B31" i="172"/>
  <c r="C31" i="172"/>
  <c r="Q31" i="172" s="1"/>
  <c r="E31" i="172"/>
  <c r="F31" i="172"/>
  <c r="G31" i="172"/>
  <c r="I31" i="172"/>
  <c r="J31" i="172"/>
  <c r="K31" i="172"/>
  <c r="L31" i="172"/>
  <c r="M31" i="172"/>
  <c r="O31" i="172"/>
  <c r="P31" i="172"/>
  <c r="S31" i="172"/>
  <c r="T31" i="172"/>
  <c r="U31" i="172"/>
  <c r="W31" i="172"/>
  <c r="Y31" i="172"/>
  <c r="Z31" i="172"/>
  <c r="AC31" i="172" s="1"/>
  <c r="AA31" i="172"/>
  <c r="AB31" i="172"/>
  <c r="AD31" i="172"/>
  <c r="AF31" i="172" s="1"/>
  <c r="AE31" i="172"/>
  <c r="AI31" i="172"/>
  <c r="AA29" i="53" s="1"/>
  <c r="B32" i="172"/>
  <c r="C32" i="172"/>
  <c r="Q32" i="172" s="1"/>
  <c r="E32" i="172"/>
  <c r="F32" i="172"/>
  <c r="G32" i="172"/>
  <c r="I32" i="172"/>
  <c r="J32" i="172"/>
  <c r="K32" i="172"/>
  <c r="L32" i="172"/>
  <c r="M32" i="172"/>
  <c r="O32" i="172"/>
  <c r="P32" i="172"/>
  <c r="S32" i="172"/>
  <c r="T32" i="172"/>
  <c r="U32" i="172"/>
  <c r="W32" i="172"/>
  <c r="Y32" i="172"/>
  <c r="Z32" i="172"/>
  <c r="AC32" i="172" s="1"/>
  <c r="AA32" i="172"/>
  <c r="AB32" i="172"/>
  <c r="AD32" i="172"/>
  <c r="AF32" i="172" s="1"/>
  <c r="AE32" i="172"/>
  <c r="AI32" i="172"/>
  <c r="AA30" i="53" s="1"/>
  <c r="B33" i="172"/>
  <c r="C33" i="172"/>
  <c r="Q33" i="172" s="1"/>
  <c r="E33" i="172"/>
  <c r="F33" i="172"/>
  <c r="G33" i="172"/>
  <c r="I33" i="172"/>
  <c r="J33" i="172"/>
  <c r="K33" i="172"/>
  <c r="L33" i="172"/>
  <c r="M33" i="172"/>
  <c r="O33" i="172"/>
  <c r="P33" i="172"/>
  <c r="S33" i="172"/>
  <c r="T33" i="172"/>
  <c r="U33" i="172"/>
  <c r="W33" i="172"/>
  <c r="Y33" i="172"/>
  <c r="Z33" i="172"/>
  <c r="AC33" i="172" s="1"/>
  <c r="AA33" i="172"/>
  <c r="AB33" i="172"/>
  <c r="AD33" i="172"/>
  <c r="AF33" i="172" s="1"/>
  <c r="AE33" i="172"/>
  <c r="AI33" i="172"/>
  <c r="AA31" i="53" s="1"/>
  <c r="B34" i="172"/>
  <c r="C34" i="172"/>
  <c r="Q34" i="172" s="1"/>
  <c r="E34" i="172"/>
  <c r="F34" i="172"/>
  <c r="G34" i="172"/>
  <c r="I34" i="172"/>
  <c r="J34" i="172"/>
  <c r="K34" i="172"/>
  <c r="L34" i="172"/>
  <c r="M34" i="172"/>
  <c r="O34" i="172"/>
  <c r="P34" i="172"/>
  <c r="S34" i="172"/>
  <c r="T34" i="172"/>
  <c r="U34" i="172"/>
  <c r="W34" i="172"/>
  <c r="Y34" i="172"/>
  <c r="Z34" i="172"/>
  <c r="AC34" i="172" s="1"/>
  <c r="AA34" i="172"/>
  <c r="AB34" i="172"/>
  <c r="AD34" i="172"/>
  <c r="AF34" i="172" s="1"/>
  <c r="AE34" i="172"/>
  <c r="AI34" i="172"/>
  <c r="AA32" i="53" s="1"/>
  <c r="B35" i="172"/>
  <c r="C35" i="172"/>
  <c r="Q35" i="172" s="1"/>
  <c r="E35" i="172"/>
  <c r="F35" i="172"/>
  <c r="G35" i="172"/>
  <c r="I35" i="172"/>
  <c r="J35" i="172"/>
  <c r="K35" i="172"/>
  <c r="L35" i="172"/>
  <c r="M35" i="172"/>
  <c r="O35" i="172"/>
  <c r="P35" i="172"/>
  <c r="S35" i="172"/>
  <c r="T35" i="172"/>
  <c r="U35" i="172"/>
  <c r="W35" i="172"/>
  <c r="Y35" i="172"/>
  <c r="Z35" i="172"/>
  <c r="AC35" i="172" s="1"/>
  <c r="AA35" i="172"/>
  <c r="AB35" i="172"/>
  <c r="AD35" i="172"/>
  <c r="AF35" i="172" s="1"/>
  <c r="AE35" i="172"/>
  <c r="AI35" i="172"/>
  <c r="AA33" i="53" s="1"/>
  <c r="B36" i="172"/>
  <c r="C36" i="172"/>
  <c r="Q36" i="172" s="1"/>
  <c r="E36" i="172"/>
  <c r="F36" i="172"/>
  <c r="G36" i="172"/>
  <c r="I36" i="172"/>
  <c r="I43" i="172" s="1"/>
  <c r="J36" i="172"/>
  <c r="K36" i="172"/>
  <c r="L36" i="172"/>
  <c r="M36" i="172"/>
  <c r="M43" i="172" s="1"/>
  <c r="O36" i="172"/>
  <c r="P36" i="172"/>
  <c r="S36" i="172"/>
  <c r="T36" i="172"/>
  <c r="U36" i="172"/>
  <c r="W36" i="172"/>
  <c r="Y36" i="172"/>
  <c r="Z36" i="172"/>
  <c r="AC36" i="172" s="1"/>
  <c r="AA36" i="172"/>
  <c r="AB36" i="172"/>
  <c r="AD36" i="172"/>
  <c r="AF36" i="172" s="1"/>
  <c r="AE36" i="172"/>
  <c r="AI36" i="172"/>
  <c r="AA34" i="53" s="1"/>
  <c r="B37" i="172"/>
  <c r="C37" i="172"/>
  <c r="Q37" i="172" s="1"/>
  <c r="E37" i="172"/>
  <c r="F37" i="172"/>
  <c r="G37" i="172"/>
  <c r="I37" i="172"/>
  <c r="J37" i="172"/>
  <c r="K37" i="172"/>
  <c r="L37" i="172"/>
  <c r="M37" i="172"/>
  <c r="O37" i="172"/>
  <c r="P37" i="172"/>
  <c r="S37" i="172"/>
  <c r="T37" i="172"/>
  <c r="U37" i="172"/>
  <c r="W37" i="172"/>
  <c r="Y37" i="172"/>
  <c r="Z37" i="172"/>
  <c r="AC37" i="172" s="1"/>
  <c r="AA37" i="172"/>
  <c r="AB37" i="172"/>
  <c r="AD37" i="172"/>
  <c r="AF37" i="172" s="1"/>
  <c r="AE37" i="172"/>
  <c r="AI37" i="172"/>
  <c r="AA35" i="53" s="1"/>
  <c r="B38" i="172"/>
  <c r="C38" i="172"/>
  <c r="Q38" i="172" s="1"/>
  <c r="E38" i="172"/>
  <c r="F38" i="172"/>
  <c r="F45" i="172" s="1"/>
  <c r="G38" i="172"/>
  <c r="I38" i="172"/>
  <c r="J38" i="172"/>
  <c r="K38" i="172"/>
  <c r="K45" i="172" s="1"/>
  <c r="L38" i="172"/>
  <c r="M38" i="172"/>
  <c r="O38" i="172"/>
  <c r="P38" i="172"/>
  <c r="S38" i="172"/>
  <c r="T38" i="172"/>
  <c r="U38" i="172"/>
  <c r="W38" i="172"/>
  <c r="Y38" i="172"/>
  <c r="Z38" i="172"/>
  <c r="AC38" i="172" s="1"/>
  <c r="AA38" i="172"/>
  <c r="AB38" i="172"/>
  <c r="AD38" i="172"/>
  <c r="AF38" i="172" s="1"/>
  <c r="AE38" i="172"/>
  <c r="AI38" i="172"/>
  <c r="AA36" i="53" s="1"/>
  <c r="B39" i="172"/>
  <c r="C39" i="172"/>
  <c r="Q39" i="172" s="1"/>
  <c r="E39" i="172"/>
  <c r="E46" i="172" s="1"/>
  <c r="F39" i="172"/>
  <c r="G39" i="172"/>
  <c r="I39" i="172"/>
  <c r="J39" i="172"/>
  <c r="J46" i="172" s="1"/>
  <c r="K39" i="172"/>
  <c r="L39" i="172"/>
  <c r="M39" i="172"/>
  <c r="O39" i="172"/>
  <c r="P39" i="172"/>
  <c r="S39" i="172"/>
  <c r="T39" i="172"/>
  <c r="U39" i="172"/>
  <c r="W39" i="172"/>
  <c r="Y39" i="172"/>
  <c r="Z39" i="172"/>
  <c r="AC39" i="172" s="1"/>
  <c r="AA39" i="172"/>
  <c r="AB39" i="172"/>
  <c r="AD39" i="172"/>
  <c r="AF39" i="172" s="1"/>
  <c r="AE39" i="172"/>
  <c r="AI39" i="172"/>
  <c r="AA37" i="53" s="1"/>
  <c r="B40" i="172"/>
  <c r="C40" i="172"/>
  <c r="Q40" i="172" s="1"/>
  <c r="E40" i="172"/>
  <c r="F40" i="172"/>
  <c r="G40" i="172"/>
  <c r="I40" i="172"/>
  <c r="I47" i="172" s="1"/>
  <c r="J40" i="172"/>
  <c r="K40" i="172"/>
  <c r="L40" i="172"/>
  <c r="M40" i="172"/>
  <c r="M47" i="172" s="1"/>
  <c r="O40" i="172"/>
  <c r="P40" i="172"/>
  <c r="S40" i="172"/>
  <c r="T40" i="172"/>
  <c r="U40" i="172"/>
  <c r="W40" i="172"/>
  <c r="Y40" i="172"/>
  <c r="Z40" i="172"/>
  <c r="AC40" i="172" s="1"/>
  <c r="AA40" i="172"/>
  <c r="AB40" i="172"/>
  <c r="AD40" i="172"/>
  <c r="AF40" i="172" s="1"/>
  <c r="AE40" i="172"/>
  <c r="AI40" i="172"/>
  <c r="AA38" i="53" s="1"/>
  <c r="B41" i="172"/>
  <c r="C41" i="172"/>
  <c r="Q41" i="172" s="1"/>
  <c r="E41" i="172"/>
  <c r="F41" i="172"/>
  <c r="G41" i="172"/>
  <c r="I41" i="172"/>
  <c r="J41" i="172"/>
  <c r="K41" i="172"/>
  <c r="L41" i="172"/>
  <c r="M41" i="172"/>
  <c r="O41" i="172"/>
  <c r="P41" i="172"/>
  <c r="S41" i="172"/>
  <c r="T41" i="172"/>
  <c r="U41" i="172"/>
  <c r="W41" i="172"/>
  <c r="Y41" i="172"/>
  <c r="Z41" i="172"/>
  <c r="AC41" i="172" s="1"/>
  <c r="AA41" i="172"/>
  <c r="AB41" i="172"/>
  <c r="AD41" i="172"/>
  <c r="AF41" i="172" s="1"/>
  <c r="AE41" i="172"/>
  <c r="AI41" i="172"/>
  <c r="AA39" i="53" s="1"/>
  <c r="E43" i="172"/>
  <c r="F43" i="172"/>
  <c r="G43" i="172"/>
  <c r="J43" i="172"/>
  <c r="K43" i="172"/>
  <c r="L43" i="172"/>
  <c r="E44" i="172"/>
  <c r="F44" i="172"/>
  <c r="G44" i="172"/>
  <c r="I44" i="172"/>
  <c r="J44" i="172"/>
  <c r="K44" i="172"/>
  <c r="L44" i="172"/>
  <c r="M44" i="172"/>
  <c r="E45" i="172"/>
  <c r="G45" i="172"/>
  <c r="I45" i="172"/>
  <c r="J45" i="172"/>
  <c r="L45" i="172"/>
  <c r="M45" i="172"/>
  <c r="F46" i="172"/>
  <c r="G46" i="172"/>
  <c r="I46" i="172"/>
  <c r="K46" i="172"/>
  <c r="L46" i="172"/>
  <c r="M46" i="172"/>
  <c r="E47" i="172"/>
  <c r="F47" i="172"/>
  <c r="G47" i="172"/>
  <c r="J47" i="172"/>
  <c r="K47" i="172"/>
  <c r="L47" i="172"/>
  <c r="E48" i="172"/>
  <c r="F48" i="172"/>
  <c r="G48" i="172"/>
  <c r="I48" i="172"/>
  <c r="J48" i="172"/>
  <c r="K48" i="172"/>
  <c r="L48" i="172"/>
  <c r="M48" i="172"/>
  <c r="B2" i="2"/>
  <c r="F21" i="2"/>
  <c r="F22" i="2"/>
  <c r="F24" i="2"/>
  <c r="F25" i="2"/>
  <c r="F43" i="2"/>
  <c r="F44" i="2"/>
  <c r="B2" i="5"/>
  <c r="B2" i="173"/>
  <c r="AP2" i="173"/>
  <c r="J9" i="173" s="1"/>
  <c r="X12" i="173" s="1"/>
  <c r="Q4" i="173"/>
  <c r="L9" i="173"/>
  <c r="Z12" i="173" s="1"/>
  <c r="M9" i="173"/>
  <c r="N9" i="173"/>
  <c r="Q9" i="173"/>
  <c r="AE12" i="173" s="1"/>
  <c r="S12" i="173"/>
  <c r="T12" i="173"/>
  <c r="U12" i="173"/>
  <c r="AA12" i="173"/>
  <c r="AB12" i="173"/>
  <c r="S13" i="173"/>
  <c r="T13" i="173"/>
  <c r="U13" i="173"/>
  <c r="W13" i="173"/>
  <c r="X13" i="173"/>
  <c r="Z13" i="173"/>
  <c r="AA13" i="173"/>
  <c r="AB13" i="173"/>
  <c r="AD13" i="173"/>
  <c r="AE13" i="173"/>
  <c r="S14" i="173"/>
  <c r="T14" i="173"/>
  <c r="U14" i="173"/>
  <c r="W14" i="173"/>
  <c r="X14" i="173"/>
  <c r="Z14" i="173"/>
  <c r="AA14" i="173"/>
  <c r="AB14" i="173"/>
  <c r="AD14" i="173"/>
  <c r="AE14" i="173"/>
  <c r="S15" i="173"/>
  <c r="T15" i="173"/>
  <c r="U15" i="173"/>
  <c r="W15" i="173"/>
  <c r="X15" i="173"/>
  <c r="Z15" i="173"/>
  <c r="AA15" i="173"/>
  <c r="AB15" i="173"/>
  <c r="AD15" i="173"/>
  <c r="AE15" i="173"/>
  <c r="S16" i="173"/>
  <c r="T16" i="173"/>
  <c r="U16" i="173"/>
  <c r="W16" i="173"/>
  <c r="X16" i="173"/>
  <c r="Z16" i="173"/>
  <c r="AA16" i="173"/>
  <c r="AB16" i="173"/>
  <c r="AD16" i="173"/>
  <c r="AE16" i="173"/>
  <c r="S17" i="173"/>
  <c r="T17" i="173"/>
  <c r="U17" i="173"/>
  <c r="W17" i="173"/>
  <c r="X17" i="173"/>
  <c r="Z17" i="173"/>
  <c r="AA17" i="173"/>
  <c r="AB17" i="173"/>
  <c r="AD17" i="173"/>
  <c r="AE17" i="173"/>
  <c r="S18" i="173"/>
  <c r="T18" i="173"/>
  <c r="U18" i="173"/>
  <c r="W18" i="173"/>
  <c r="X18" i="173"/>
  <c r="Z18" i="173"/>
  <c r="AA18" i="173"/>
  <c r="AB18" i="173"/>
  <c r="AD18" i="173"/>
  <c r="AE18" i="173"/>
  <c r="S19" i="173"/>
  <c r="T19" i="173"/>
  <c r="U19" i="173"/>
  <c r="W19" i="173"/>
  <c r="X19" i="173"/>
  <c r="Z19" i="173"/>
  <c r="AA19" i="173"/>
  <c r="AB19" i="173"/>
  <c r="AD19" i="173"/>
  <c r="AE19" i="173"/>
  <c r="S20" i="173"/>
  <c r="T20" i="173"/>
  <c r="U20" i="173"/>
  <c r="W20" i="173"/>
  <c r="X20" i="173"/>
  <c r="Z20" i="173"/>
  <c r="AA20" i="173"/>
  <c r="AB20" i="173"/>
  <c r="AD20" i="173"/>
  <c r="AE20" i="173"/>
  <c r="S21" i="173"/>
  <c r="T21" i="173"/>
  <c r="U21" i="173"/>
  <c r="W21" i="173"/>
  <c r="X21" i="173"/>
  <c r="Z21" i="173"/>
  <c r="AA21" i="173"/>
  <c r="AB21" i="173"/>
  <c r="AD21" i="173"/>
  <c r="AE21" i="173"/>
  <c r="S22" i="173"/>
  <c r="T22" i="173"/>
  <c r="U22" i="173"/>
  <c r="W22" i="173"/>
  <c r="X22" i="173"/>
  <c r="Z22" i="173"/>
  <c r="AA22" i="173"/>
  <c r="AB22" i="173"/>
  <c r="AD22" i="173"/>
  <c r="AE22" i="173"/>
  <c r="S23" i="173"/>
  <c r="T23" i="173"/>
  <c r="U23" i="173"/>
  <c r="W23" i="173"/>
  <c r="X23" i="173"/>
  <c r="Z23" i="173"/>
  <c r="AA23" i="173"/>
  <c r="AB23" i="173"/>
  <c r="AD23" i="173"/>
  <c r="AE23" i="173"/>
  <c r="S24" i="173"/>
  <c r="T24" i="173"/>
  <c r="U24" i="173"/>
  <c r="W24" i="173"/>
  <c r="X24" i="173"/>
  <c r="Z24" i="173"/>
  <c r="AA24" i="173"/>
  <c r="AB24" i="173"/>
  <c r="AD24" i="173"/>
  <c r="AE24" i="173"/>
  <c r="S25" i="173"/>
  <c r="T25" i="173"/>
  <c r="U25" i="173"/>
  <c r="W25" i="173"/>
  <c r="X25" i="173"/>
  <c r="Z25" i="173"/>
  <c r="AA25" i="173"/>
  <c r="AB25" i="173"/>
  <c r="AD25" i="173"/>
  <c r="AE25" i="173"/>
  <c r="S26" i="173"/>
  <c r="T26" i="173"/>
  <c r="U26" i="173"/>
  <c r="W26" i="173"/>
  <c r="X26" i="173"/>
  <c r="Z26" i="173"/>
  <c r="AA26" i="173"/>
  <c r="AB26" i="173"/>
  <c r="AD26" i="173"/>
  <c r="AE26" i="173"/>
  <c r="B27" i="173"/>
  <c r="S27" i="173"/>
  <c r="T27" i="173"/>
  <c r="U27" i="173"/>
  <c r="W27" i="173"/>
  <c r="X27" i="173"/>
  <c r="Z27" i="173"/>
  <c r="AA27" i="173"/>
  <c r="AB27" i="173"/>
  <c r="AD27" i="173"/>
  <c r="AE27" i="173"/>
  <c r="AQ27" i="173"/>
  <c r="B28" i="173"/>
  <c r="AG28" i="173"/>
  <c r="C28" i="173" s="1"/>
  <c r="S28" i="173"/>
  <c r="T28" i="173"/>
  <c r="U28" i="173"/>
  <c r="W28" i="173"/>
  <c r="X28" i="173"/>
  <c r="Z28" i="173"/>
  <c r="AA28" i="173"/>
  <c r="AB28" i="173"/>
  <c r="AD28" i="173"/>
  <c r="AE28" i="173"/>
  <c r="AH28" i="173"/>
  <c r="AK28" i="173" s="1"/>
  <c r="AI28" i="173"/>
  <c r="AJ28" i="173"/>
  <c r="AL28" i="173"/>
  <c r="AN28" i="173" s="1"/>
  <c r="AM28" i="173"/>
  <c r="AQ28" i="173"/>
  <c r="B29" i="173"/>
  <c r="AG29" i="173"/>
  <c r="C29" i="173" s="1"/>
  <c r="S29" i="173"/>
  <c r="T29" i="173"/>
  <c r="U29" i="173"/>
  <c r="W29" i="173"/>
  <c r="X29" i="173"/>
  <c r="Z29" i="173"/>
  <c r="AA29" i="173"/>
  <c r="AB29" i="173"/>
  <c r="AD29" i="173"/>
  <c r="AE29" i="173"/>
  <c r="AH29" i="173"/>
  <c r="AK29" i="173" s="1"/>
  <c r="AI29" i="173"/>
  <c r="AJ29" i="173"/>
  <c r="AL29" i="173"/>
  <c r="AN29" i="173" s="1"/>
  <c r="AM29" i="173"/>
  <c r="AQ29" i="173"/>
  <c r="B30" i="173"/>
  <c r="AG30" i="173"/>
  <c r="C30" i="173" s="1"/>
  <c r="S30" i="173"/>
  <c r="T30" i="173"/>
  <c r="U30" i="173"/>
  <c r="W30" i="173"/>
  <c r="X30" i="173"/>
  <c r="Z30" i="173"/>
  <c r="AA30" i="173"/>
  <c r="AB30" i="173"/>
  <c r="AD30" i="173"/>
  <c r="AE30" i="173"/>
  <c r="AH30" i="173"/>
  <c r="AK30" i="173" s="1"/>
  <c r="AI30" i="173"/>
  <c r="AJ30" i="173"/>
  <c r="AL30" i="173"/>
  <c r="AN30" i="173" s="1"/>
  <c r="AM30" i="173"/>
  <c r="AQ30" i="173"/>
  <c r="B31" i="173"/>
  <c r="AG31" i="173"/>
  <c r="C31" i="173" s="1"/>
  <c r="S31" i="173"/>
  <c r="T31" i="173"/>
  <c r="U31" i="173"/>
  <c r="W31" i="173"/>
  <c r="X31" i="173"/>
  <c r="Z31" i="173"/>
  <c r="AA31" i="173"/>
  <c r="AB31" i="173"/>
  <c r="AD31" i="173"/>
  <c r="AE31" i="173"/>
  <c r="AH31" i="173"/>
  <c r="AK31" i="173" s="1"/>
  <c r="AI31" i="173"/>
  <c r="AJ31" i="173"/>
  <c r="AL31" i="173"/>
  <c r="AN31" i="173" s="1"/>
  <c r="AM31" i="173"/>
  <c r="AQ31" i="173"/>
  <c r="B32" i="173"/>
  <c r="AG32" i="173"/>
  <c r="C32" i="173" s="1"/>
  <c r="S32" i="173"/>
  <c r="T32" i="173"/>
  <c r="U32" i="173"/>
  <c r="W32" i="173"/>
  <c r="X32" i="173"/>
  <c r="Z32" i="173"/>
  <c r="AA32" i="173"/>
  <c r="AB32" i="173"/>
  <c r="AD32" i="173"/>
  <c r="AE32" i="173"/>
  <c r="AH32" i="173"/>
  <c r="AK32" i="173" s="1"/>
  <c r="AI32" i="173"/>
  <c r="AJ32" i="173"/>
  <c r="AL32" i="173"/>
  <c r="AN32" i="173" s="1"/>
  <c r="AM32" i="173"/>
  <c r="AQ32" i="173"/>
  <c r="B33" i="173"/>
  <c r="AG33" i="173"/>
  <c r="C33" i="173" s="1"/>
  <c r="S33" i="173"/>
  <c r="T33" i="173"/>
  <c r="U33" i="173"/>
  <c r="W33" i="173"/>
  <c r="X33" i="173"/>
  <c r="Z33" i="173"/>
  <c r="AA33" i="173"/>
  <c r="AB33" i="173"/>
  <c r="AD33" i="173"/>
  <c r="AE33" i="173"/>
  <c r="AH33" i="173"/>
  <c r="AK33" i="173" s="1"/>
  <c r="AI33" i="173"/>
  <c r="AJ33" i="173"/>
  <c r="AL33" i="173"/>
  <c r="AN33" i="173" s="1"/>
  <c r="AM33" i="173"/>
  <c r="AQ33" i="173"/>
  <c r="B34" i="173"/>
  <c r="AG34" i="173"/>
  <c r="C34" i="173" s="1"/>
  <c r="S34" i="173"/>
  <c r="T34" i="173"/>
  <c r="U34" i="173"/>
  <c r="W34" i="173"/>
  <c r="X34" i="173"/>
  <c r="Z34" i="173"/>
  <c r="AA34" i="173"/>
  <c r="AB34" i="173"/>
  <c r="AD34" i="173"/>
  <c r="AE34" i="173"/>
  <c r="AH34" i="173"/>
  <c r="AK34" i="173" s="1"/>
  <c r="AI34" i="173"/>
  <c r="AJ34" i="173"/>
  <c r="AL34" i="173" s="1"/>
  <c r="AN34" i="173" s="1"/>
  <c r="AM34" i="173"/>
  <c r="AQ34" i="173"/>
  <c r="B35" i="173"/>
  <c r="AG35" i="173"/>
  <c r="C35" i="173" s="1"/>
  <c r="S35" i="173"/>
  <c r="T35" i="173"/>
  <c r="U35" i="173"/>
  <c r="W35" i="173"/>
  <c r="X35" i="173"/>
  <c r="Z35" i="173"/>
  <c r="AA35" i="173"/>
  <c r="AB35" i="173"/>
  <c r="AD35" i="173"/>
  <c r="AE35" i="173"/>
  <c r="AH35" i="173"/>
  <c r="AK35" i="173" s="1"/>
  <c r="AI35" i="173"/>
  <c r="AJ35" i="173"/>
  <c r="AL35" i="173"/>
  <c r="AN35" i="173" s="1"/>
  <c r="AM35" i="173"/>
  <c r="AQ35" i="173"/>
  <c r="B36" i="173"/>
  <c r="AG36" i="173"/>
  <c r="C36" i="173" s="1"/>
  <c r="S36" i="173"/>
  <c r="T36" i="173"/>
  <c r="U36" i="173"/>
  <c r="W36" i="173"/>
  <c r="X36" i="173"/>
  <c r="Z36" i="173"/>
  <c r="AA36" i="173"/>
  <c r="AB36" i="173"/>
  <c r="AD36" i="173"/>
  <c r="AE36" i="173"/>
  <c r="AH36" i="173"/>
  <c r="AK36" i="173" s="1"/>
  <c r="AI36" i="173"/>
  <c r="AJ36" i="173"/>
  <c r="AL36" i="173"/>
  <c r="AN36" i="173" s="1"/>
  <c r="AM36" i="173"/>
  <c r="AQ36" i="173"/>
  <c r="B37" i="173"/>
  <c r="AG37" i="173"/>
  <c r="C37" i="173" s="1"/>
  <c r="S37" i="173"/>
  <c r="T37" i="173"/>
  <c r="U37" i="173"/>
  <c r="W37" i="173"/>
  <c r="X37" i="173"/>
  <c r="Z37" i="173"/>
  <c r="AA37" i="173"/>
  <c r="AB37" i="173"/>
  <c r="AD37" i="173"/>
  <c r="AE37" i="173"/>
  <c r="AH37" i="173"/>
  <c r="AK37" i="173" s="1"/>
  <c r="AI37" i="173"/>
  <c r="AJ37" i="173"/>
  <c r="AL37" i="173"/>
  <c r="AN37" i="173" s="1"/>
  <c r="AM37" i="173"/>
  <c r="AQ37" i="173"/>
  <c r="B38" i="173"/>
  <c r="AG38" i="173"/>
  <c r="C38" i="173" s="1"/>
  <c r="S38" i="173"/>
  <c r="T38" i="173"/>
  <c r="U38" i="173"/>
  <c r="W38" i="173"/>
  <c r="X38" i="173"/>
  <c r="Z38" i="173"/>
  <c r="AA38" i="173"/>
  <c r="AB38" i="173"/>
  <c r="AD38" i="173"/>
  <c r="AE38" i="173"/>
  <c r="AH38" i="173"/>
  <c r="AK38" i="173" s="1"/>
  <c r="AI38" i="173"/>
  <c r="AJ38" i="173"/>
  <c r="AL38" i="173"/>
  <c r="AN38" i="173" s="1"/>
  <c r="AM38" i="173"/>
  <c r="AQ38" i="173"/>
  <c r="B39" i="173"/>
  <c r="AG39" i="173"/>
  <c r="C39" i="173" s="1"/>
  <c r="S39" i="173"/>
  <c r="T39" i="173"/>
  <c r="U39" i="173"/>
  <c r="W39" i="173"/>
  <c r="X39" i="173"/>
  <c r="Z39" i="173"/>
  <c r="AA39" i="173"/>
  <c r="AB39" i="173"/>
  <c r="AD39" i="173"/>
  <c r="AE39" i="173"/>
  <c r="AH39" i="173"/>
  <c r="AK39" i="173" s="1"/>
  <c r="AI39" i="173"/>
  <c r="AJ39" i="173"/>
  <c r="AL39" i="173"/>
  <c r="AN39" i="173" s="1"/>
  <c r="AM39" i="173"/>
  <c r="AQ39" i="173"/>
  <c r="B40" i="173"/>
  <c r="AG40" i="173"/>
  <c r="C40" i="173" s="1"/>
  <c r="S40" i="173"/>
  <c r="T40" i="173"/>
  <c r="U40" i="173"/>
  <c r="W40" i="173"/>
  <c r="X40" i="173"/>
  <c r="Z40" i="173"/>
  <c r="AA40" i="173"/>
  <c r="AB40" i="173"/>
  <c r="AD40" i="173"/>
  <c r="AE40" i="173"/>
  <c r="AH40" i="173"/>
  <c r="AK40" i="173" s="1"/>
  <c r="AI40" i="173"/>
  <c r="AJ40" i="173"/>
  <c r="AL40" i="173"/>
  <c r="AN40" i="173" s="1"/>
  <c r="AM40" i="173"/>
  <c r="AQ40" i="173"/>
  <c r="B41" i="173"/>
  <c r="AG41" i="173"/>
  <c r="C41" i="173" s="1"/>
  <c r="S41" i="173"/>
  <c r="T41" i="173"/>
  <c r="U41" i="173"/>
  <c r="W41" i="173"/>
  <c r="X41" i="173"/>
  <c r="Z41" i="173"/>
  <c r="AA41" i="173"/>
  <c r="AB41" i="173"/>
  <c r="AD41" i="173"/>
  <c r="AE41" i="173"/>
  <c r="AH41" i="173"/>
  <c r="AI41" i="173"/>
  <c r="AJ41" i="173"/>
  <c r="AL41" i="173"/>
  <c r="AN41" i="173" s="1"/>
  <c r="AM41" i="173"/>
  <c r="AQ41" i="173"/>
  <c r="B42" i="173"/>
  <c r="AG42" i="173"/>
  <c r="S42" i="173"/>
  <c r="T42" i="173"/>
  <c r="U42" i="173"/>
  <c r="W42" i="173"/>
  <c r="X42" i="173"/>
  <c r="Z42" i="173"/>
  <c r="AA42" i="173"/>
  <c r="AB42" i="173"/>
  <c r="AD42" i="173"/>
  <c r="AE42" i="173"/>
  <c r="AH42" i="173"/>
  <c r="AK42" i="173" s="1"/>
  <c r="AI42" i="173"/>
  <c r="AJ42" i="173"/>
  <c r="AM42" i="173"/>
  <c r="AQ42" i="173"/>
  <c r="B2" i="288"/>
  <c r="AB3" i="288"/>
  <c r="Y4" i="288"/>
  <c r="AB4" i="288"/>
  <c r="AB5" i="288"/>
  <c r="M10" i="288"/>
  <c r="M11" i="288"/>
  <c r="M12" i="288"/>
  <c r="M13" i="288"/>
  <c r="M14" i="288"/>
  <c r="M15" i="288"/>
  <c r="M16" i="288"/>
  <c r="M17" i="288"/>
  <c r="M18" i="288"/>
  <c r="M19" i="288"/>
  <c r="M20" i="288"/>
  <c r="M21" i="288"/>
  <c r="M22" i="288"/>
  <c r="M23" i="288"/>
  <c r="B24" i="288"/>
  <c r="M24" i="288"/>
  <c r="M41" i="288"/>
  <c r="B48" i="288"/>
  <c r="E48" i="288"/>
  <c r="H48" i="288" s="1"/>
  <c r="Y48" i="288" s="1"/>
  <c r="AB41" i="288" s="1"/>
  <c r="M42" i="288"/>
  <c r="B50" i="288"/>
  <c r="Y50" i="288"/>
  <c r="AB42" i="288" s="1"/>
  <c r="M43" i="288"/>
  <c r="M44" i="288"/>
  <c r="M45" i="288"/>
  <c r="M46" i="288"/>
  <c r="M48" i="288"/>
  <c r="S48" i="288"/>
  <c r="M50" i="288"/>
  <c r="S50" i="288"/>
  <c r="A54" i="288"/>
  <c r="B2" i="185"/>
  <c r="AD2" i="185"/>
  <c r="AG2" i="185"/>
  <c r="AD3" i="185"/>
  <c r="AG3" i="185"/>
  <c r="Z4" i="185"/>
  <c r="AD4" i="185"/>
  <c r="AG4" i="185" s="1"/>
  <c r="AD5" i="185"/>
  <c r="AG5" i="185" s="1"/>
  <c r="D7" i="185"/>
  <c r="N7" i="185"/>
  <c r="B11" i="185"/>
  <c r="D11" i="185"/>
  <c r="E11" i="185"/>
  <c r="J11" i="185" s="1"/>
  <c r="F11" i="185"/>
  <c r="G11" i="185"/>
  <c r="H11" i="185"/>
  <c r="I11" i="185"/>
  <c r="K11" i="185"/>
  <c r="N11" i="185"/>
  <c r="X11" i="185" s="1"/>
  <c r="O11" i="185"/>
  <c r="T11" i="185" s="1"/>
  <c r="P11" i="185"/>
  <c r="Q11" i="185"/>
  <c r="R11" i="185"/>
  <c r="S11" i="185" s="1"/>
  <c r="U11" i="185"/>
  <c r="AD11" i="185"/>
  <c r="B12" i="185"/>
  <c r="D12" i="185"/>
  <c r="E12" i="185"/>
  <c r="F12" i="185"/>
  <c r="I12" i="185" s="1"/>
  <c r="G12" i="185"/>
  <c r="H12" i="185"/>
  <c r="J12" i="185"/>
  <c r="L12" i="185" s="1"/>
  <c r="K12" i="185"/>
  <c r="N12" i="185"/>
  <c r="O12" i="185"/>
  <c r="T12" i="185" s="1"/>
  <c r="V12" i="185" s="1"/>
  <c r="Z12" i="185" s="1"/>
  <c r="P12" i="185"/>
  <c r="Q12" i="185"/>
  <c r="R12" i="185"/>
  <c r="S12" i="185"/>
  <c r="U12" i="185"/>
  <c r="X12" i="185"/>
  <c r="AD12" i="185"/>
  <c r="B13" i="185"/>
  <c r="D13" i="185"/>
  <c r="E13" i="185"/>
  <c r="F13" i="185"/>
  <c r="I13" i="185" s="1"/>
  <c r="G13" i="185"/>
  <c r="H13" i="185"/>
  <c r="J13" i="185"/>
  <c r="L13" i="185" s="1"/>
  <c r="K13" i="185"/>
  <c r="N13" i="185"/>
  <c r="O13" i="185"/>
  <c r="T13" i="185" s="1"/>
  <c r="V13" i="185" s="1"/>
  <c r="Z13" i="185" s="1"/>
  <c r="P13" i="185"/>
  <c r="Q13" i="185"/>
  <c r="R13" i="185"/>
  <c r="S13" i="185"/>
  <c r="U13" i="185"/>
  <c r="X13" i="185"/>
  <c r="AD13" i="185"/>
  <c r="B14" i="185"/>
  <c r="D14" i="185"/>
  <c r="E14" i="185"/>
  <c r="F14" i="185"/>
  <c r="I14" i="185" s="1"/>
  <c r="G14" i="185"/>
  <c r="H14" i="185"/>
  <c r="J14" i="185"/>
  <c r="L14" i="185" s="1"/>
  <c r="K14" i="185"/>
  <c r="N14" i="185"/>
  <c r="O14" i="185"/>
  <c r="T14" i="185" s="1"/>
  <c r="V14" i="185" s="1"/>
  <c r="Z14" i="185" s="1"/>
  <c r="P14" i="185"/>
  <c r="Q14" i="185"/>
  <c r="R14" i="185"/>
  <c r="S14" i="185"/>
  <c r="U14" i="185"/>
  <c r="X14" i="185"/>
  <c r="AD14" i="185"/>
  <c r="B15" i="185"/>
  <c r="D15" i="185"/>
  <c r="E15" i="185"/>
  <c r="F15" i="185"/>
  <c r="I15" i="185" s="1"/>
  <c r="G15" i="185"/>
  <c r="H15" i="185"/>
  <c r="K15" i="185"/>
  <c r="N15" i="185"/>
  <c r="O15" i="185"/>
  <c r="P15" i="185"/>
  <c r="Q15" i="185"/>
  <c r="R15" i="185"/>
  <c r="S15" i="185"/>
  <c r="U15" i="185"/>
  <c r="X15" i="185"/>
  <c r="AD15" i="185"/>
  <c r="B16" i="185"/>
  <c r="D16" i="185"/>
  <c r="E16" i="185"/>
  <c r="F16" i="185"/>
  <c r="I16" i="185" s="1"/>
  <c r="G16" i="185"/>
  <c r="H16" i="185"/>
  <c r="J16" i="185"/>
  <c r="L16" i="185" s="1"/>
  <c r="K16" i="185"/>
  <c r="N16" i="185"/>
  <c r="O16" i="185"/>
  <c r="P16" i="185"/>
  <c r="Q16" i="185"/>
  <c r="R16" i="185"/>
  <c r="S16" i="185"/>
  <c r="U16" i="185"/>
  <c r="X16" i="185"/>
  <c r="AD16" i="185"/>
  <c r="B17" i="185"/>
  <c r="D17" i="185"/>
  <c r="E17" i="185"/>
  <c r="F17" i="185"/>
  <c r="I17" i="185" s="1"/>
  <c r="G17" i="185"/>
  <c r="H17" i="185"/>
  <c r="J17" i="185"/>
  <c r="L17" i="185" s="1"/>
  <c r="K17" i="185"/>
  <c r="N17" i="185"/>
  <c r="O17" i="185"/>
  <c r="P17" i="185"/>
  <c r="Q17" i="185"/>
  <c r="R17" i="185"/>
  <c r="S17" i="185"/>
  <c r="U17" i="185"/>
  <c r="X17" i="185"/>
  <c r="AD17" i="185"/>
  <c r="B18" i="185"/>
  <c r="D18" i="185"/>
  <c r="E18" i="185"/>
  <c r="F18" i="185"/>
  <c r="I18" i="185" s="1"/>
  <c r="G18" i="185"/>
  <c r="H18" i="185"/>
  <c r="K18" i="185"/>
  <c r="N18" i="185"/>
  <c r="O18" i="185"/>
  <c r="P18" i="185"/>
  <c r="Q18" i="185"/>
  <c r="R18" i="185"/>
  <c r="S18" i="185"/>
  <c r="U18" i="185"/>
  <c r="X18" i="185"/>
  <c r="AD18" i="185"/>
  <c r="B19" i="185"/>
  <c r="D19" i="185"/>
  <c r="E19" i="185"/>
  <c r="F19" i="185"/>
  <c r="I19" i="185" s="1"/>
  <c r="G19" i="185"/>
  <c r="H19" i="185"/>
  <c r="K19" i="185"/>
  <c r="N19" i="185"/>
  <c r="O19" i="185"/>
  <c r="P19" i="185"/>
  <c r="Q19" i="185"/>
  <c r="R19" i="185"/>
  <c r="S19" i="185"/>
  <c r="U19" i="185"/>
  <c r="X19" i="185"/>
  <c r="AD19" i="185"/>
  <c r="B20" i="185"/>
  <c r="D20" i="185"/>
  <c r="E20" i="185"/>
  <c r="F20" i="185"/>
  <c r="I20" i="185" s="1"/>
  <c r="G20" i="185"/>
  <c r="H20" i="185"/>
  <c r="J20" i="185"/>
  <c r="L20" i="185" s="1"/>
  <c r="K20" i="185"/>
  <c r="N20" i="185"/>
  <c r="O20" i="185"/>
  <c r="P20" i="185"/>
  <c r="Q20" i="185"/>
  <c r="R20" i="185"/>
  <c r="S20" i="185"/>
  <c r="U20" i="185"/>
  <c r="X20" i="185"/>
  <c r="AD20" i="185"/>
  <c r="B21" i="185"/>
  <c r="D21" i="185"/>
  <c r="E21" i="185"/>
  <c r="F21" i="185"/>
  <c r="I21" i="185" s="1"/>
  <c r="G21" i="185"/>
  <c r="H21" i="185"/>
  <c r="J21" i="185"/>
  <c r="L21" i="185" s="1"/>
  <c r="K21" i="185"/>
  <c r="N21" i="185"/>
  <c r="O21" i="185"/>
  <c r="P21" i="185"/>
  <c r="Q21" i="185"/>
  <c r="R21" i="185"/>
  <c r="S21" i="185"/>
  <c r="U21" i="185"/>
  <c r="X21" i="185"/>
  <c r="AD21" i="185"/>
  <c r="B22" i="185"/>
  <c r="D22" i="185"/>
  <c r="E22" i="185"/>
  <c r="F22" i="185"/>
  <c r="I22" i="185" s="1"/>
  <c r="G22" i="185"/>
  <c r="H22" i="185"/>
  <c r="J22" i="185"/>
  <c r="L22" i="185" s="1"/>
  <c r="K22" i="185"/>
  <c r="N22" i="185"/>
  <c r="O22" i="185"/>
  <c r="P22" i="185"/>
  <c r="Q22" i="185"/>
  <c r="R22" i="185"/>
  <c r="S22" i="185"/>
  <c r="U22" i="185"/>
  <c r="X22" i="185"/>
  <c r="AD22" i="185"/>
  <c r="B23" i="185"/>
  <c r="D23" i="185"/>
  <c r="E23" i="185"/>
  <c r="J23" i="185" s="1"/>
  <c r="L23" i="185" s="1"/>
  <c r="F23" i="185"/>
  <c r="F43" i="185" s="1"/>
  <c r="G23" i="185"/>
  <c r="H23" i="185"/>
  <c r="I23" i="185"/>
  <c r="K23" i="185"/>
  <c r="N23" i="185"/>
  <c r="O23" i="185"/>
  <c r="P23" i="185"/>
  <c r="Q23" i="185"/>
  <c r="R23" i="185"/>
  <c r="S23" i="185"/>
  <c r="U23" i="185"/>
  <c r="X23" i="185"/>
  <c r="X42" i="185" s="1"/>
  <c r="AD23" i="185"/>
  <c r="B24" i="185"/>
  <c r="D24" i="185"/>
  <c r="E24" i="185"/>
  <c r="J24" i="185" s="1"/>
  <c r="L24" i="185" s="1"/>
  <c r="F24" i="185"/>
  <c r="G24" i="185"/>
  <c r="H24" i="185"/>
  <c r="I24" i="185"/>
  <c r="K24" i="185"/>
  <c r="N24" i="185"/>
  <c r="O24" i="185"/>
  <c r="P24" i="185"/>
  <c r="Q24" i="185"/>
  <c r="R24" i="185"/>
  <c r="S24" i="185"/>
  <c r="U24" i="185"/>
  <c r="X24" i="185"/>
  <c r="AD24" i="185"/>
  <c r="B25" i="185"/>
  <c r="D25" i="185"/>
  <c r="E25" i="185"/>
  <c r="J25" i="185" s="1"/>
  <c r="L25" i="185" s="1"/>
  <c r="F25" i="185"/>
  <c r="G25" i="185"/>
  <c r="H25" i="185"/>
  <c r="I25" i="185"/>
  <c r="K25" i="185"/>
  <c r="N25" i="185"/>
  <c r="O25" i="185"/>
  <c r="P25" i="185"/>
  <c r="Q25" i="185"/>
  <c r="R25" i="185"/>
  <c r="S25" i="185"/>
  <c r="U25" i="185"/>
  <c r="X25" i="185"/>
  <c r="X46" i="185" s="1"/>
  <c r="AD25" i="185"/>
  <c r="D42" i="185"/>
  <c r="F42" i="185"/>
  <c r="G42" i="185"/>
  <c r="H42" i="185"/>
  <c r="K42" i="185"/>
  <c r="O42" i="185"/>
  <c r="P42" i="185"/>
  <c r="Q42" i="185"/>
  <c r="S42" i="185"/>
  <c r="U42" i="185"/>
  <c r="D43" i="185"/>
  <c r="E43" i="185"/>
  <c r="G43" i="185"/>
  <c r="H43" i="185"/>
  <c r="I43" i="185"/>
  <c r="K43" i="185"/>
  <c r="N43" i="185"/>
  <c r="O43" i="185"/>
  <c r="P43" i="185"/>
  <c r="Q43" i="185"/>
  <c r="R43" i="185"/>
  <c r="S43" i="185"/>
  <c r="U43" i="185"/>
  <c r="X43" i="185"/>
  <c r="D44" i="185"/>
  <c r="G44" i="185"/>
  <c r="H44" i="185"/>
  <c r="I44" i="185"/>
  <c r="K44" i="185"/>
  <c r="N44" i="185"/>
  <c r="P44" i="185"/>
  <c r="Q44" i="185"/>
  <c r="R44" i="185"/>
  <c r="U44" i="185"/>
  <c r="D45" i="185"/>
  <c r="G45" i="185"/>
  <c r="H45" i="185"/>
  <c r="K45" i="185"/>
  <c r="P45" i="185"/>
  <c r="Q45" i="185"/>
  <c r="U45" i="185"/>
  <c r="D46" i="185"/>
  <c r="F46" i="185"/>
  <c r="G46" i="185"/>
  <c r="H46" i="185"/>
  <c r="K46" i="185"/>
  <c r="O46" i="185"/>
  <c r="P46" i="185"/>
  <c r="Q46" i="185"/>
  <c r="S46" i="185"/>
  <c r="U46" i="185"/>
  <c r="D47" i="185"/>
  <c r="E47" i="185"/>
  <c r="F47" i="185"/>
  <c r="G47" i="185"/>
  <c r="H47" i="185"/>
  <c r="I47" i="185"/>
  <c r="K47" i="185"/>
  <c r="N47" i="185"/>
  <c r="O47" i="185"/>
  <c r="P47" i="185"/>
  <c r="Q47" i="185"/>
  <c r="R47" i="185"/>
  <c r="S47" i="185"/>
  <c r="U47" i="185"/>
  <c r="X47" i="185"/>
  <c r="B2" i="295"/>
  <c r="D11" i="295"/>
  <c r="E15" i="295"/>
  <c r="F15" i="295"/>
  <c r="G15" i="295"/>
  <c r="H15" i="295" s="1"/>
  <c r="H80" i="295" s="1"/>
  <c r="O18" i="295"/>
  <c r="B19" i="295"/>
  <c r="B20" i="295"/>
  <c r="B28" i="295" s="1"/>
  <c r="B69" i="295" s="1"/>
  <c r="B21" i="295"/>
  <c r="B22" i="295"/>
  <c r="B30" i="295" s="1"/>
  <c r="B71" i="295" s="1"/>
  <c r="K24" i="295"/>
  <c r="O26" i="295"/>
  <c r="B27" i="295"/>
  <c r="B29" i="295"/>
  <c r="B34" i="295"/>
  <c r="B35" i="295"/>
  <c r="B76" i="295" s="1"/>
  <c r="D48" i="295"/>
  <c r="E48" i="295"/>
  <c r="F48" i="295"/>
  <c r="G48" i="295"/>
  <c r="K51" i="295"/>
  <c r="K56" i="295"/>
  <c r="K57" i="295"/>
  <c r="K60" i="295"/>
  <c r="D64" i="295"/>
  <c r="E64" i="295"/>
  <c r="F64" i="295"/>
  <c r="G64" i="295"/>
  <c r="B68" i="295"/>
  <c r="B70" i="295"/>
  <c r="E72" i="295"/>
  <c r="E73" i="295"/>
  <c r="E74" i="295"/>
  <c r="B75" i="295"/>
  <c r="E75" i="295"/>
  <c r="D80" i="295"/>
  <c r="E80" i="295"/>
  <c r="F80" i="295"/>
  <c r="G80" i="295"/>
  <c r="B84" i="295"/>
  <c r="D94" i="295"/>
  <c r="E94" i="295"/>
  <c r="F94" i="295"/>
  <c r="G94" i="295"/>
  <c r="G112" i="295" s="1"/>
  <c r="B98" i="295"/>
  <c r="D112" i="295"/>
  <c r="E112" i="295"/>
  <c r="F112" i="295"/>
  <c r="B116" i="295"/>
  <c r="D124" i="295"/>
  <c r="E124" i="295"/>
  <c r="F124" i="295"/>
  <c r="G124" i="295"/>
  <c r="B128" i="295"/>
  <c r="B2" i="52"/>
  <c r="D11" i="52"/>
  <c r="E15" i="52"/>
  <c r="F15" i="52"/>
  <c r="O18" i="52"/>
  <c r="B19" i="52"/>
  <c r="B27" i="52" s="1"/>
  <c r="B68" i="52" s="1"/>
  <c r="B82" i="52" s="1"/>
  <c r="B20" i="52"/>
  <c r="B28" i="52" s="1"/>
  <c r="B69" i="52" s="1"/>
  <c r="B21" i="52"/>
  <c r="B29" i="52" s="1"/>
  <c r="B70" i="52" s="1"/>
  <c r="B84" i="52" s="1"/>
  <c r="B22" i="52"/>
  <c r="B30" i="52" s="1"/>
  <c r="B71" i="52" s="1"/>
  <c r="B99" i="52" s="1"/>
  <c r="B117" i="52" s="1"/>
  <c r="B129" i="52" s="1"/>
  <c r="K24" i="52"/>
  <c r="O26" i="52"/>
  <c r="B34" i="52"/>
  <c r="B35" i="52"/>
  <c r="B76" i="52" s="1"/>
  <c r="B90" i="52" s="1"/>
  <c r="D48" i="52"/>
  <c r="F48" i="52"/>
  <c r="K51" i="52"/>
  <c r="K56" i="52"/>
  <c r="K57" i="52"/>
  <c r="K60" i="52"/>
  <c r="D64" i="52"/>
  <c r="E72" i="52"/>
  <c r="E73" i="52"/>
  <c r="E74" i="52"/>
  <c r="B75" i="52"/>
  <c r="E75" i="52"/>
  <c r="D80" i="52"/>
  <c r="B85" i="52"/>
  <c r="B89" i="52"/>
  <c r="D94" i="52"/>
  <c r="D112" i="52" s="1"/>
  <c r="D124" i="52" s="1"/>
  <c r="E94" i="52"/>
  <c r="F94" i="52"/>
  <c r="F112" i="52" s="1"/>
  <c r="F124" i="52" s="1"/>
  <c r="B96" i="52"/>
  <c r="B114" i="52" s="1"/>
  <c r="B126" i="52" s="1"/>
  <c r="B103" i="52"/>
  <c r="E112" i="52"/>
  <c r="E124" i="52" s="1"/>
  <c r="B121" i="52"/>
  <c r="B133" i="52" s="1"/>
  <c r="B2" i="296"/>
  <c r="AB3" i="296"/>
  <c r="Y4" i="296"/>
  <c r="AB4" i="296"/>
  <c r="AB5" i="296"/>
  <c r="M10" i="296"/>
  <c r="M11" i="296"/>
  <c r="M12" i="296"/>
  <c r="M13" i="296"/>
  <c r="M14" i="296"/>
  <c r="M15" i="296"/>
  <c r="M16" i="296"/>
  <c r="M17" i="296"/>
  <c r="M18" i="296"/>
  <c r="M19" i="296"/>
  <c r="M20" i="296"/>
  <c r="M21" i="296"/>
  <c r="M22" i="296"/>
  <c r="M23" i="296"/>
  <c r="B24" i="296"/>
  <c r="M24" i="296"/>
  <c r="B48" i="296"/>
  <c r="B50" i="296" s="1"/>
  <c r="Y50" i="296" s="1"/>
  <c r="AB42" i="296" s="1"/>
  <c r="E48" i="296"/>
  <c r="H48" i="296"/>
  <c r="H50" i="296"/>
  <c r="M46" i="296"/>
  <c r="M48" i="296"/>
  <c r="S48" i="296"/>
  <c r="M50" i="296"/>
  <c r="S50" i="296"/>
  <c r="B2" i="287"/>
  <c r="D12" i="287"/>
  <c r="D27" i="287"/>
  <c r="D37" i="287"/>
  <c r="D38" i="287"/>
  <c r="D39" i="287"/>
  <c r="D40" i="287"/>
  <c r="F16" i="315"/>
  <c r="G24" i="315"/>
  <c r="R44" i="315"/>
  <c r="N7" i="314"/>
  <c r="D10" i="314" s="1"/>
  <c r="D9" i="314"/>
  <c r="N10" i="314"/>
  <c r="N11" i="314" s="1"/>
  <c r="O10" i="314"/>
  <c r="P10" i="314"/>
  <c r="Q10" i="314"/>
  <c r="R10" i="314"/>
  <c r="S10" i="314"/>
  <c r="T10" i="314"/>
  <c r="U10" i="314"/>
  <c r="V10" i="314"/>
  <c r="W10" i="314"/>
  <c r="X10" i="314"/>
  <c r="D13" i="314"/>
  <c r="N14" i="314"/>
  <c r="O14" i="314"/>
  <c r="P14" i="314"/>
  <c r="Q14" i="314"/>
  <c r="R14" i="314"/>
  <c r="S14" i="314"/>
  <c r="T14" i="314"/>
  <c r="U14" i="314"/>
  <c r="V14" i="314"/>
  <c r="W14" i="314"/>
  <c r="X14" i="314"/>
  <c r="E15" i="314"/>
  <c r="E78" i="314" s="1"/>
  <c r="N18" i="314"/>
  <c r="D19" i="314"/>
  <c r="E19" i="314"/>
  <c r="F19" i="314"/>
  <c r="G19" i="314"/>
  <c r="H19" i="314"/>
  <c r="D20" i="314"/>
  <c r="E20" i="314"/>
  <c r="F20" i="314"/>
  <c r="G20" i="314"/>
  <c r="H20" i="314"/>
  <c r="I20" i="314"/>
  <c r="E21" i="314"/>
  <c r="F21" i="314"/>
  <c r="G21" i="314" s="1"/>
  <c r="H21" i="314"/>
  <c r="I21" i="314" s="1"/>
  <c r="J21" i="314" s="1"/>
  <c r="J24" i="314" s="1"/>
  <c r="E22" i="314"/>
  <c r="F22" i="314"/>
  <c r="G22" i="314" s="1"/>
  <c r="H22" i="314"/>
  <c r="I22" i="314" s="1"/>
  <c r="J22" i="314" s="1"/>
  <c r="E24" i="314"/>
  <c r="G24" i="314"/>
  <c r="I24" i="314"/>
  <c r="N24" i="314"/>
  <c r="N26" i="314"/>
  <c r="B27" i="314"/>
  <c r="E27" i="314"/>
  <c r="G27" i="314"/>
  <c r="I27" i="314"/>
  <c r="J27" i="314"/>
  <c r="B28" i="314"/>
  <c r="B68" i="314" s="1"/>
  <c r="D28" i="314"/>
  <c r="E28" i="314"/>
  <c r="F28" i="314"/>
  <c r="G28" i="314"/>
  <c r="H28" i="314"/>
  <c r="I28" i="314"/>
  <c r="J28" i="314"/>
  <c r="B29" i="314"/>
  <c r="B69" i="314" s="1"/>
  <c r="E29" i="314"/>
  <c r="F29" i="314"/>
  <c r="F69" i="314" s="1"/>
  <c r="G29" i="314"/>
  <c r="H29" i="314"/>
  <c r="I29" i="314"/>
  <c r="J29" i="314"/>
  <c r="B30" i="314"/>
  <c r="E30" i="314"/>
  <c r="F30" i="314"/>
  <c r="G30" i="314"/>
  <c r="H30" i="314"/>
  <c r="I30" i="314"/>
  <c r="J30" i="314"/>
  <c r="F31" i="314"/>
  <c r="F71" i="314" s="1"/>
  <c r="G31" i="314"/>
  <c r="H31" i="314"/>
  <c r="H71" i="314" s="1"/>
  <c r="I31" i="314"/>
  <c r="J31" i="314"/>
  <c r="J71" i="314" s="1"/>
  <c r="F32" i="314"/>
  <c r="G32" i="314"/>
  <c r="G72" i="314" s="1"/>
  <c r="H32" i="314"/>
  <c r="I32" i="314"/>
  <c r="I72" i="314" s="1"/>
  <c r="J32" i="314"/>
  <c r="F33" i="314"/>
  <c r="F73" i="314" s="1"/>
  <c r="G33" i="314"/>
  <c r="H33" i="314"/>
  <c r="H73" i="314" s="1"/>
  <c r="I33" i="314"/>
  <c r="J33" i="314"/>
  <c r="J73" i="314" s="1"/>
  <c r="E34" i="314"/>
  <c r="F34" i="314"/>
  <c r="F74" i="314" s="1"/>
  <c r="G34" i="314"/>
  <c r="H34" i="314"/>
  <c r="H74" i="314" s="1"/>
  <c r="I34" i="314"/>
  <c r="J34" i="314"/>
  <c r="J74" i="314" s="1"/>
  <c r="N36" i="314"/>
  <c r="D42" i="314"/>
  <c r="D47" i="314"/>
  <c r="J50" i="314"/>
  <c r="J55" i="314"/>
  <c r="J56" i="314"/>
  <c r="J59" i="314"/>
  <c r="D63" i="314"/>
  <c r="E63" i="314"/>
  <c r="B67" i="314"/>
  <c r="G67" i="314"/>
  <c r="I67" i="314"/>
  <c r="J67" i="314"/>
  <c r="D68" i="314"/>
  <c r="E68" i="314"/>
  <c r="F68" i="314"/>
  <c r="H68" i="314"/>
  <c r="I68" i="314"/>
  <c r="J68" i="314"/>
  <c r="D69" i="314"/>
  <c r="E69" i="314"/>
  <c r="G69" i="314"/>
  <c r="I69" i="314"/>
  <c r="B70" i="314"/>
  <c r="B83" i="314" s="1"/>
  <c r="B12" i="315" s="1"/>
  <c r="D70" i="314"/>
  <c r="F70" i="314"/>
  <c r="H70" i="314"/>
  <c r="J70" i="314"/>
  <c r="B71" i="314"/>
  <c r="E71" i="314"/>
  <c r="G71" i="314"/>
  <c r="I71" i="314"/>
  <c r="B72" i="314"/>
  <c r="E72" i="314"/>
  <c r="F72" i="314"/>
  <c r="H72" i="314"/>
  <c r="J72" i="314"/>
  <c r="B73" i="314"/>
  <c r="E73" i="314"/>
  <c r="G73" i="314"/>
  <c r="I73" i="314"/>
  <c r="B74" i="314"/>
  <c r="E74" i="314"/>
  <c r="G74" i="314"/>
  <c r="I74" i="314"/>
  <c r="D78" i="314"/>
  <c r="B80" i="314"/>
  <c r="B9" i="315" s="1"/>
  <c r="B84" i="314"/>
  <c r="B85" i="314"/>
  <c r="B86" i="314"/>
  <c r="B87" i="314"/>
  <c r="B14" i="315" s="1"/>
  <c r="B89" i="314"/>
  <c r="B16" i="315" s="1"/>
  <c r="B95" i="314"/>
  <c r="B98" i="314"/>
  <c r="B99" i="314"/>
  <c r="B100" i="314"/>
  <c r="B101" i="314"/>
  <c r="B102" i="314"/>
  <c r="B2" i="286"/>
  <c r="L4" i="286"/>
  <c r="P4" i="286"/>
  <c r="B16" i="286"/>
  <c r="B2" i="285"/>
  <c r="AB6" i="285"/>
  <c r="D9" i="285"/>
  <c r="Q10" i="285"/>
  <c r="R10" i="285"/>
  <c r="S10" i="285"/>
  <c r="Y10" i="285"/>
  <c r="Z10" i="285"/>
  <c r="AA10" i="285"/>
  <c r="D11" i="285"/>
  <c r="D11" i="314" s="1"/>
  <c r="O44" i="315" s="1"/>
  <c r="O45" i="315" s="1"/>
  <c r="O46" i="315" s="1"/>
  <c r="Q14" i="285"/>
  <c r="R14" i="285"/>
  <c r="S14" i="285"/>
  <c r="Y14" i="285"/>
  <c r="Z14" i="285"/>
  <c r="AA14" i="285"/>
  <c r="E15" i="285"/>
  <c r="F15" i="285"/>
  <c r="O18" i="285"/>
  <c r="B19" i="285"/>
  <c r="B27" i="285" s="1"/>
  <c r="B20" i="285"/>
  <c r="B28" i="285" s="1"/>
  <c r="B69" i="285" s="1"/>
  <c r="B21" i="285"/>
  <c r="B29" i="285" s="1"/>
  <c r="B70" i="285" s="1"/>
  <c r="B98" i="285" s="1"/>
  <c r="E21" i="285"/>
  <c r="F21" i="285"/>
  <c r="G21" i="285" s="1"/>
  <c r="H21" i="285"/>
  <c r="I21" i="285" s="1"/>
  <c r="J21" i="285"/>
  <c r="B22" i="285"/>
  <c r="E22" i="285"/>
  <c r="F22" i="285" s="1"/>
  <c r="G22" i="285"/>
  <c r="H22" i="285" s="1"/>
  <c r="I22" i="285"/>
  <c r="J22" i="285" s="1"/>
  <c r="K24" i="285"/>
  <c r="O26" i="285"/>
  <c r="Q29" i="285"/>
  <c r="B30" i="285"/>
  <c r="Q30" i="285"/>
  <c r="B34" i="285"/>
  <c r="B35" i="285"/>
  <c r="B76" i="285" s="1"/>
  <c r="B104" i="285" s="1"/>
  <c r="D48" i="285"/>
  <c r="E48" i="285"/>
  <c r="K51" i="285"/>
  <c r="K56" i="285"/>
  <c r="K57" i="285"/>
  <c r="K60" i="285"/>
  <c r="D64" i="285"/>
  <c r="E64" i="285"/>
  <c r="B68" i="285"/>
  <c r="D70" i="285"/>
  <c r="E70" i="285"/>
  <c r="F70" i="285"/>
  <c r="G70" i="285"/>
  <c r="H70" i="285"/>
  <c r="I70" i="285"/>
  <c r="J70" i="285"/>
  <c r="B71" i="285"/>
  <c r="D71" i="285"/>
  <c r="E71" i="285"/>
  <c r="F71" i="285"/>
  <c r="G71" i="285"/>
  <c r="H71" i="285"/>
  <c r="I71" i="285"/>
  <c r="J71" i="285"/>
  <c r="E72" i="285"/>
  <c r="E73" i="285"/>
  <c r="E74" i="285"/>
  <c r="B75" i="285"/>
  <c r="E75" i="285"/>
  <c r="D80" i="285"/>
  <c r="E80" i="285"/>
  <c r="F80" i="285"/>
  <c r="B85" i="285"/>
  <c r="D94" i="285"/>
  <c r="E94" i="285"/>
  <c r="E112" i="285" s="1"/>
  <c r="B99" i="285"/>
  <c r="B12" i="286" s="1"/>
  <c r="D112" i="285"/>
  <c r="D124" i="285" s="1"/>
  <c r="B117" i="285"/>
  <c r="E124" i="285"/>
  <c r="B129" i="285"/>
  <c r="B2" i="294"/>
  <c r="P7" i="294"/>
  <c r="B9" i="294"/>
  <c r="D9" i="294"/>
  <c r="E9" i="294"/>
  <c r="G9" i="294"/>
  <c r="D10" i="294"/>
  <c r="J9" i="294"/>
  <c r="B10" i="294"/>
  <c r="E10" i="294"/>
  <c r="G10" i="294"/>
  <c r="I10" i="294"/>
  <c r="D11" i="294"/>
  <c r="J10" i="294"/>
  <c r="B11" i="294"/>
  <c r="E11" i="294"/>
  <c r="G11" i="294"/>
  <c r="I11" i="294"/>
  <c r="D12" i="294"/>
  <c r="J11" i="294"/>
  <c r="B12" i="294"/>
  <c r="E12" i="294"/>
  <c r="G12" i="294"/>
  <c r="I12" i="294"/>
  <c r="D13" i="294"/>
  <c r="J12" i="294"/>
  <c r="B13" i="294"/>
  <c r="E13" i="294"/>
  <c r="G13" i="294"/>
  <c r="I13" i="294"/>
  <c r="D14" i="294"/>
  <c r="J13" i="294"/>
  <c r="B14" i="294"/>
  <c r="E14" i="294"/>
  <c r="G14" i="294"/>
  <c r="I14" i="294"/>
  <c r="D15" i="294"/>
  <c r="J14" i="294"/>
  <c r="B15" i="294"/>
  <c r="E15" i="294"/>
  <c r="G15" i="294"/>
  <c r="I15" i="294"/>
  <c r="D16" i="294"/>
  <c r="J15" i="294"/>
  <c r="B16" i="294"/>
  <c r="E16" i="294"/>
  <c r="G16" i="294"/>
  <c r="I16" i="294"/>
  <c r="D17" i="294"/>
  <c r="J16" i="294"/>
  <c r="B17" i="294"/>
  <c r="E17" i="294"/>
  <c r="G17" i="294"/>
  <c r="I17" i="294"/>
  <c r="D18" i="294"/>
  <c r="J17" i="294"/>
  <c r="B18" i="294"/>
  <c r="E18" i="294"/>
  <c r="G18" i="294"/>
  <c r="I18" i="294"/>
  <c r="D19" i="294"/>
  <c r="J18" i="294"/>
  <c r="B19" i="294"/>
  <c r="E19" i="294"/>
  <c r="G19" i="294"/>
  <c r="I19" i="294"/>
  <c r="B2" i="293"/>
  <c r="AB3" i="293"/>
  <c r="Y4" i="293"/>
  <c r="AB4" i="293"/>
  <c r="AB5" i="293"/>
  <c r="M10" i="293"/>
  <c r="M11" i="293"/>
  <c r="M12" i="293"/>
  <c r="M13" i="293"/>
  <c r="M14" i="293"/>
  <c r="M15" i="293"/>
  <c r="G16" i="293"/>
  <c r="M16" i="293"/>
  <c r="M17" i="293"/>
  <c r="M42" i="293" s="1"/>
  <c r="E18" i="293"/>
  <c r="M18" i="293"/>
  <c r="J19" i="293"/>
  <c r="M19" i="293"/>
  <c r="M20" i="293"/>
  <c r="M21" i="293"/>
  <c r="M22" i="293"/>
  <c r="M23" i="293"/>
  <c r="B24" i="293"/>
  <c r="M24" i="293"/>
  <c r="M41" i="293"/>
  <c r="B48" i="293"/>
  <c r="E48" i="293"/>
  <c r="H48" i="293"/>
  <c r="Y48" i="293" s="1"/>
  <c r="AB41" i="293" s="1"/>
  <c r="B50" i="293"/>
  <c r="Y50" i="293"/>
  <c r="AB42" i="293" s="1"/>
  <c r="D48" i="293"/>
  <c r="I48" i="293" s="1"/>
  <c r="M48" i="293"/>
  <c r="S48" i="293"/>
  <c r="M50" i="293"/>
  <c r="S50" i="293"/>
  <c r="A54" i="293"/>
  <c r="B2" i="292"/>
  <c r="AB3" i="292"/>
  <c r="Y4" i="292"/>
  <c r="AB4" i="292"/>
  <c r="AB5" i="292"/>
  <c r="M10" i="292"/>
  <c r="M11" i="292"/>
  <c r="G12" i="292"/>
  <c r="M12" i="292"/>
  <c r="G13" i="292"/>
  <c r="M13" i="292"/>
  <c r="M14" i="292"/>
  <c r="M15" i="292"/>
  <c r="G16" i="292"/>
  <c r="M16" i="292"/>
  <c r="G17" i="292"/>
  <c r="M17" i="292"/>
  <c r="M18" i="292"/>
  <c r="M19" i="292"/>
  <c r="G20" i="292"/>
  <c r="M20" i="292"/>
  <c r="G21" i="292"/>
  <c r="M21" i="292"/>
  <c r="M22" i="292"/>
  <c r="M23" i="292"/>
  <c r="B24" i="292"/>
  <c r="G24" i="292"/>
  <c r="M24" i="292"/>
  <c r="M41" i="292"/>
  <c r="B48" i="292"/>
  <c r="E48" i="292"/>
  <c r="H48" i="292"/>
  <c r="Y48" i="292" s="1"/>
  <c r="AB41" i="292" s="1"/>
  <c r="M42" i="292"/>
  <c r="B50" i="292"/>
  <c r="Y50" i="292"/>
  <c r="AB42" i="292"/>
  <c r="M43" i="292"/>
  <c r="M44" i="292"/>
  <c r="M45" i="292"/>
  <c r="M46" i="292"/>
  <c r="D48" i="292"/>
  <c r="I48" i="292" s="1"/>
  <c r="M48" i="292"/>
  <c r="S48" i="292"/>
  <c r="M50" i="292"/>
  <c r="S50" i="292"/>
  <c r="B2" i="291"/>
  <c r="D12" i="291"/>
  <c r="D27" i="291" s="1"/>
  <c r="D37" i="291"/>
  <c r="D38" i="291"/>
  <c r="D39" i="291"/>
  <c r="B2" i="290"/>
  <c r="L4" i="290"/>
  <c r="B9" i="290"/>
  <c r="B14" i="290"/>
  <c r="B2" i="289"/>
  <c r="AB6" i="289"/>
  <c r="D9" i="289"/>
  <c r="Q10" i="289"/>
  <c r="R10" i="289"/>
  <c r="S10" i="289"/>
  <c r="Y10" i="289"/>
  <c r="Z10" i="289"/>
  <c r="AA10" i="289"/>
  <c r="D11" i="289"/>
  <c r="Q14" i="289"/>
  <c r="R14" i="289"/>
  <c r="S14" i="289"/>
  <c r="Y14" i="289"/>
  <c r="Z14" i="289"/>
  <c r="AA14" i="289"/>
  <c r="E15" i="289"/>
  <c r="F15" i="289" s="1"/>
  <c r="O18" i="289"/>
  <c r="B19" i="289"/>
  <c r="K24" i="289"/>
  <c r="O26" i="289"/>
  <c r="B27" i="289"/>
  <c r="B28" i="289"/>
  <c r="B67" i="289" s="1"/>
  <c r="B32" i="289"/>
  <c r="B33" i="289"/>
  <c r="D46" i="289"/>
  <c r="E46" i="289"/>
  <c r="K49" i="289"/>
  <c r="K54" i="289"/>
  <c r="K55" i="289"/>
  <c r="K58" i="289"/>
  <c r="D62" i="289"/>
  <c r="B66" i="289"/>
  <c r="E68" i="289"/>
  <c r="E69" i="289"/>
  <c r="E70" i="289"/>
  <c r="B71" i="289"/>
  <c r="B83" i="289" s="1"/>
  <c r="E71" i="289"/>
  <c r="B72" i="289"/>
  <c r="B84" i="289" s="1"/>
  <c r="D76" i="289"/>
  <c r="E76" i="289"/>
  <c r="B78" i="289"/>
  <c r="D88" i="289"/>
  <c r="E88" i="289"/>
  <c r="E104" i="289" s="1"/>
  <c r="E114" i="289" s="1"/>
  <c r="B90" i="289"/>
  <c r="D104" i="289"/>
  <c r="B106" i="289"/>
  <c r="D114" i="289"/>
  <c r="B116" i="289"/>
  <c r="B2" i="284"/>
  <c r="J4" i="284"/>
  <c r="D15" i="284"/>
  <c r="D16" i="284"/>
  <c r="B4" i="337"/>
  <c r="H4" i="337" s="1"/>
  <c r="C4" i="337"/>
  <c r="D4" i="337"/>
  <c r="E4" i="337"/>
  <c r="F4" i="337"/>
  <c r="G4" i="337"/>
  <c r="B9" i="337"/>
  <c r="B7" i="337" s="1"/>
  <c r="H7" i="337" s="1"/>
  <c r="C9" i="337"/>
  <c r="C7" i="337"/>
  <c r="D9" i="337"/>
  <c r="D7" i="337" s="1"/>
  <c r="E9" i="337"/>
  <c r="E7" i="337"/>
  <c r="F9" i="337"/>
  <c r="F7" i="337" s="1"/>
  <c r="G9" i="337"/>
  <c r="G7" i="337"/>
  <c r="H8" i="337"/>
  <c r="H12" i="337"/>
  <c r="H13" i="337"/>
  <c r="H14" i="337"/>
  <c r="H15" i="337"/>
  <c r="H16" i="337"/>
  <c r="H17" i="337"/>
  <c r="H20" i="337"/>
  <c r="H21" i="337"/>
  <c r="H22" i="337"/>
  <c r="H23" i="337"/>
  <c r="B2" i="41"/>
  <c r="Z3" i="41"/>
  <c r="R4" i="41"/>
  <c r="Z4" i="41"/>
  <c r="Z5" i="41"/>
  <c r="W7" i="41"/>
  <c r="W11" i="41" s="1"/>
  <c r="K10" i="41"/>
  <c r="D10" i="292" s="1"/>
  <c r="L10" i="41"/>
  <c r="E10" i="292" s="1"/>
  <c r="M10" i="41"/>
  <c r="N10" i="41"/>
  <c r="Q10" i="41"/>
  <c r="Z10" i="41"/>
  <c r="K11" i="41"/>
  <c r="L11" i="41"/>
  <c r="M11" i="41"/>
  <c r="F11" i="292" s="1"/>
  <c r="N11" i="41"/>
  <c r="Q11" i="41"/>
  <c r="Z11" i="41"/>
  <c r="K12" i="41"/>
  <c r="L12" i="41"/>
  <c r="E12" i="296" s="1"/>
  <c r="M12" i="41"/>
  <c r="F12" i="292" s="1"/>
  <c r="N12" i="41"/>
  <c r="Q12" i="41"/>
  <c r="Z12" i="41"/>
  <c r="K13" i="41"/>
  <c r="D13" i="292" s="1"/>
  <c r="L13" i="41"/>
  <c r="O13" i="41" s="1"/>
  <c r="M13" i="41"/>
  <c r="N13" i="41"/>
  <c r="P13" i="41"/>
  <c r="R13" i="41" s="1"/>
  <c r="AA13" i="41" s="1"/>
  <c r="Q13" i="41"/>
  <c r="Z13" i="41"/>
  <c r="K14" i="41"/>
  <c r="D14" i="292" s="1"/>
  <c r="L14" i="41"/>
  <c r="E14" i="292" s="1"/>
  <c r="M14" i="41"/>
  <c r="N14" i="41"/>
  <c r="Q14" i="41"/>
  <c r="Z14" i="41"/>
  <c r="K15" i="41"/>
  <c r="L15" i="41"/>
  <c r="M15" i="41"/>
  <c r="N15" i="41"/>
  <c r="Q15" i="41"/>
  <c r="Z15" i="41"/>
  <c r="K16" i="41"/>
  <c r="L16" i="41"/>
  <c r="P16" i="41" s="1"/>
  <c r="R16" i="41" s="1"/>
  <c r="AA16" i="41" s="1"/>
  <c r="M16" i="41"/>
  <c r="F16" i="292" s="1"/>
  <c r="N16" i="41"/>
  <c r="Q16" i="41"/>
  <c r="Z16" i="41"/>
  <c r="K17" i="41"/>
  <c r="D17" i="292" s="1"/>
  <c r="L17" i="41"/>
  <c r="O17" i="41" s="1"/>
  <c r="M17" i="41"/>
  <c r="N17" i="41"/>
  <c r="P17" i="41"/>
  <c r="R17" i="41" s="1"/>
  <c r="AA17" i="41" s="1"/>
  <c r="Q17" i="41"/>
  <c r="Z17" i="41"/>
  <c r="K18" i="41"/>
  <c r="D18" i="292" s="1"/>
  <c r="L18" i="41"/>
  <c r="E18" i="292" s="1"/>
  <c r="M18" i="41"/>
  <c r="N18" i="41"/>
  <c r="Q18" i="41"/>
  <c r="Z18" i="41"/>
  <c r="K19" i="41"/>
  <c r="L19" i="41"/>
  <c r="M19" i="41"/>
  <c r="N19" i="41"/>
  <c r="Q19" i="41"/>
  <c r="Z19" i="41"/>
  <c r="K20" i="41"/>
  <c r="L20" i="41"/>
  <c r="P20" i="41" s="1"/>
  <c r="R20" i="41" s="1"/>
  <c r="AA20" i="41" s="1"/>
  <c r="M20" i="41"/>
  <c r="F20" i="292" s="1"/>
  <c r="N20" i="41"/>
  <c r="Q20" i="41"/>
  <c r="Z20" i="41"/>
  <c r="K21" i="41"/>
  <c r="D21" i="292" s="1"/>
  <c r="L21" i="41"/>
  <c r="O21" i="41" s="1"/>
  <c r="M21" i="41"/>
  <c r="N21" i="41"/>
  <c r="P21" i="41"/>
  <c r="R21" i="41" s="1"/>
  <c r="AA21" i="41" s="1"/>
  <c r="Q21" i="41"/>
  <c r="Z21" i="41"/>
  <c r="K22" i="41"/>
  <c r="D22" i="292" s="1"/>
  <c r="L22" i="41"/>
  <c r="E22" i="292" s="1"/>
  <c r="M22" i="41"/>
  <c r="N22" i="41"/>
  <c r="Q22" i="41"/>
  <c r="Z22" i="41"/>
  <c r="K23" i="41"/>
  <c r="L23" i="41"/>
  <c r="M23" i="41"/>
  <c r="F23" i="292" s="1"/>
  <c r="N23" i="41"/>
  <c r="Q23" i="41"/>
  <c r="Z23" i="41"/>
  <c r="K24" i="41"/>
  <c r="L24" i="41"/>
  <c r="M24" i="41"/>
  <c r="F24" i="292" s="1"/>
  <c r="N24" i="41"/>
  <c r="Q24" i="41"/>
  <c r="J24" i="293" s="1"/>
  <c r="Z24" i="41"/>
  <c r="H10" i="41"/>
  <c r="W10" i="41"/>
  <c r="O10" i="41"/>
  <c r="H11" i="41"/>
  <c r="H41" i="41" s="1"/>
  <c r="H12" i="41"/>
  <c r="H13" i="41"/>
  <c r="U13" i="41"/>
  <c r="V13" i="41" s="1"/>
  <c r="H14" i="41"/>
  <c r="W14" i="41"/>
  <c r="O14" i="41"/>
  <c r="H15" i="41"/>
  <c r="H16" i="41"/>
  <c r="H17" i="41"/>
  <c r="U17" i="41"/>
  <c r="V17" i="41" s="1"/>
  <c r="H18" i="41"/>
  <c r="W18" i="41"/>
  <c r="O18" i="41"/>
  <c r="H19" i="41"/>
  <c r="H20" i="41"/>
  <c r="H21" i="41"/>
  <c r="U21" i="41"/>
  <c r="V21" i="41" s="1"/>
  <c r="H22" i="41"/>
  <c r="W22" i="41"/>
  <c r="O22" i="41"/>
  <c r="H23" i="41"/>
  <c r="B24" i="41"/>
  <c r="H24" i="41"/>
  <c r="L41" i="41"/>
  <c r="L42" i="41"/>
  <c r="L43" i="41"/>
  <c r="L44" i="41"/>
  <c r="L45" i="41"/>
  <c r="L46" i="41"/>
  <c r="E58" i="41"/>
  <c r="B2" i="156"/>
  <c r="F4" i="156"/>
  <c r="C7" i="156"/>
  <c r="C13" i="156"/>
  <c r="F13" i="156" s="1"/>
  <c r="D12" i="156"/>
  <c r="F23" i="156"/>
  <c r="C30" i="156"/>
  <c r="F30" i="156" s="1"/>
  <c r="F32" i="156"/>
  <c r="C45" i="156"/>
  <c r="F45" i="156"/>
  <c r="C46" i="156"/>
  <c r="F46" i="156"/>
  <c r="C47" i="156"/>
  <c r="F47" i="156" s="1"/>
  <c r="B58" i="156"/>
  <c r="B59" i="156"/>
  <c r="B74" i="156" s="1"/>
  <c r="B73" i="156"/>
  <c r="C79" i="156"/>
  <c r="F79" i="156" s="1"/>
  <c r="D80" i="156"/>
  <c r="C90" i="156"/>
  <c r="F90" i="156" s="1"/>
  <c r="C91" i="156"/>
  <c r="F91" i="156" s="1"/>
  <c r="C92" i="156"/>
  <c r="F92" i="156" s="1"/>
  <c r="C93" i="156"/>
  <c r="F93" i="156" s="1"/>
  <c r="AJ2" i="214"/>
  <c r="AI10" i="214"/>
  <c r="AI11" i="214"/>
  <c r="AI12" i="214"/>
  <c r="AI13" i="214"/>
  <c r="AI14" i="214"/>
  <c r="AI15" i="214"/>
  <c r="AI16" i="214"/>
  <c r="AI17" i="214"/>
  <c r="AI18" i="214"/>
  <c r="AI19" i="214"/>
  <c r="AI20" i="214"/>
  <c r="AI21" i="214"/>
  <c r="AI22" i="214"/>
  <c r="AI23" i="214"/>
  <c r="AI24" i="214"/>
  <c r="AI25" i="214"/>
  <c r="AI26" i="214"/>
  <c r="AI27" i="214"/>
  <c r="AI28" i="214"/>
  <c r="AI29" i="214"/>
  <c r="AI30" i="214"/>
  <c r="AI31" i="214"/>
  <c r="AI32" i="214"/>
  <c r="AI33" i="214"/>
  <c r="AI34" i="214"/>
  <c r="AI35" i="214"/>
  <c r="AI36" i="214"/>
  <c r="AI37" i="214"/>
  <c r="AI38" i="214"/>
  <c r="AI39" i="214"/>
  <c r="AI40" i="214"/>
  <c r="B1" i="213"/>
  <c r="B2" i="213"/>
  <c r="L2" i="213"/>
  <c r="B3" i="213"/>
  <c r="L3" i="213"/>
  <c r="B4" i="213"/>
  <c r="L4" i="213"/>
  <c r="B5" i="213"/>
  <c r="U11" i="213" s="1"/>
  <c r="L5" i="213"/>
  <c r="B6" i="213"/>
  <c r="L6" i="213"/>
  <c r="B7" i="213"/>
  <c r="B8" i="213"/>
  <c r="A10" i="213"/>
  <c r="AX10" i="213"/>
  <c r="BC10" i="213" s="1"/>
  <c r="AY10" i="213"/>
  <c r="BD10" i="213" s="1"/>
  <c r="R11" i="213"/>
  <c r="S11" i="213"/>
  <c r="T11" i="213"/>
  <c r="V11" i="213"/>
  <c r="W11" i="213"/>
  <c r="BS11" i="213"/>
  <c r="BT11" i="213"/>
  <c r="BU11" i="213"/>
  <c r="BV11" i="213"/>
  <c r="BW11" i="213"/>
  <c r="BX11" i="213"/>
  <c r="BY11" i="213"/>
  <c r="BZ11" i="213"/>
  <c r="B13" i="213"/>
  <c r="B10" i="214"/>
  <c r="B14" i="214"/>
  <c r="B18" i="214"/>
  <c r="B22" i="214"/>
  <c r="B26" i="214"/>
  <c r="B13" i="214"/>
  <c r="B17" i="214"/>
  <c r="B21" i="214"/>
  <c r="B25" i="214"/>
  <c r="B29" i="214"/>
  <c r="A13" i="213"/>
  <c r="B12" i="214"/>
  <c r="B16" i="214"/>
  <c r="B20" i="214"/>
  <c r="B24" i="214"/>
  <c r="B28" i="214"/>
  <c r="B15" i="214"/>
  <c r="B23" i="214"/>
  <c r="B19" i="214"/>
  <c r="B11" i="214"/>
  <c r="B27" i="214"/>
  <c r="Q22" i="39"/>
  <c r="S12" i="39"/>
  <c r="T22" i="39"/>
  <c r="R12" i="39"/>
  <c r="S22" i="39"/>
  <c r="R22" i="39"/>
  <c r="R27" i="214" l="1"/>
  <c r="AC27" i="214"/>
  <c r="S27" i="214"/>
  <c r="AD27" i="214"/>
  <c r="T27" i="214"/>
  <c r="AB27" i="214"/>
  <c r="R11" i="214"/>
  <c r="AC11" i="214"/>
  <c r="S11" i="214"/>
  <c r="AD11" i="214"/>
  <c r="T11" i="214"/>
  <c r="AB11" i="214"/>
  <c r="R19" i="214"/>
  <c r="AC19" i="214"/>
  <c r="S19" i="214"/>
  <c r="AD19" i="214"/>
  <c r="T19" i="214"/>
  <c r="AB19" i="214"/>
  <c r="R23" i="214"/>
  <c r="AC23" i="214"/>
  <c r="S23" i="214"/>
  <c r="AD23" i="214"/>
  <c r="T23" i="214"/>
  <c r="AB23" i="214"/>
  <c r="R15" i="214"/>
  <c r="AC15" i="214"/>
  <c r="S15" i="214"/>
  <c r="AD15" i="214"/>
  <c r="T15" i="214"/>
  <c r="AB15" i="214"/>
  <c r="S28" i="214"/>
  <c r="AD28" i="214"/>
  <c r="T28" i="214"/>
  <c r="AB28" i="214"/>
  <c r="R28" i="214"/>
  <c r="AC28" i="214"/>
  <c r="S24" i="214"/>
  <c r="AD24" i="214"/>
  <c r="T24" i="214"/>
  <c r="AB24" i="214"/>
  <c r="AC24" i="214"/>
  <c r="R24" i="214"/>
  <c r="S20" i="214"/>
  <c r="AD20" i="214"/>
  <c r="T20" i="214"/>
  <c r="AB20" i="214"/>
  <c r="R20" i="214"/>
  <c r="AC20" i="214"/>
  <c r="S16" i="214"/>
  <c r="AD16" i="214"/>
  <c r="T16" i="214"/>
  <c r="AB16" i="214"/>
  <c r="AC16" i="214"/>
  <c r="R16" i="214"/>
  <c r="S12" i="214"/>
  <c r="AD12" i="214"/>
  <c r="T12" i="214"/>
  <c r="AB12" i="214"/>
  <c r="R12" i="214"/>
  <c r="AC12" i="214"/>
  <c r="T29" i="214"/>
  <c r="AB29" i="214"/>
  <c r="R29" i="214"/>
  <c r="AC29" i="214"/>
  <c r="S29" i="214"/>
  <c r="AD29" i="214"/>
  <c r="T25" i="214"/>
  <c r="AB25" i="214"/>
  <c r="R25" i="214"/>
  <c r="AC25" i="214"/>
  <c r="AD25" i="214"/>
  <c r="S25" i="214"/>
  <c r="T21" i="214"/>
  <c r="AB21" i="214"/>
  <c r="R21" i="214"/>
  <c r="AC21" i="214"/>
  <c r="S21" i="214"/>
  <c r="AD21" i="214"/>
  <c r="T17" i="214"/>
  <c r="AB17" i="214"/>
  <c r="R17" i="214"/>
  <c r="AC17" i="214"/>
  <c r="AD17" i="214"/>
  <c r="S17" i="214"/>
  <c r="T13" i="214"/>
  <c r="AB13" i="214"/>
  <c r="R13" i="214"/>
  <c r="AC13" i="214"/>
  <c r="S13" i="214"/>
  <c r="AD13" i="214"/>
  <c r="AB26" i="214"/>
  <c r="R26" i="214"/>
  <c r="AC26" i="214"/>
  <c r="S26" i="214"/>
  <c r="AD26" i="214"/>
  <c r="T26" i="214"/>
  <c r="AB22" i="214"/>
  <c r="R22" i="214"/>
  <c r="AC22" i="214"/>
  <c r="S22" i="214"/>
  <c r="AD22" i="214"/>
  <c r="T22" i="214"/>
  <c r="AB18" i="214"/>
  <c r="R18" i="214"/>
  <c r="AC18" i="214"/>
  <c r="S18" i="214"/>
  <c r="AD18" i="214"/>
  <c r="T18" i="214"/>
  <c r="AB14" i="214"/>
  <c r="R14" i="214"/>
  <c r="AC14" i="214"/>
  <c r="S14" i="214"/>
  <c r="AD14" i="214"/>
  <c r="T14" i="214"/>
  <c r="Z49" i="214"/>
  <c r="Z50" i="214"/>
  <c r="Z47" i="214"/>
  <c r="Z51" i="214"/>
  <c r="Z48" i="214"/>
  <c r="Z52" i="214"/>
  <c r="AF49" i="214"/>
  <c r="AF50" i="214"/>
  <c r="AF47" i="214"/>
  <c r="AF51" i="214"/>
  <c r="AF52" i="214"/>
  <c r="AF48" i="214"/>
  <c r="AG48" i="214"/>
  <c r="AG52" i="214"/>
  <c r="AG49" i="214"/>
  <c r="AG50" i="214"/>
  <c r="AG47" i="214"/>
  <c r="AG51" i="214"/>
  <c r="V48" i="214"/>
  <c r="V52" i="214"/>
  <c r="V49" i="214"/>
  <c r="V50" i="214"/>
  <c r="V51" i="214"/>
  <c r="V47" i="214"/>
  <c r="X47" i="214"/>
  <c r="X51" i="214"/>
  <c r="X48" i="214"/>
  <c r="X52" i="214"/>
  <c r="X49" i="214"/>
  <c r="X50" i="214"/>
  <c r="Y50" i="214"/>
  <c r="Y47" i="214"/>
  <c r="Y51" i="214"/>
  <c r="Y48" i="214"/>
  <c r="Y52" i="214"/>
  <c r="Y49" i="214"/>
  <c r="U49" i="214"/>
  <c r="U50" i="214"/>
  <c r="U47" i="214"/>
  <c r="U51" i="214"/>
  <c r="U52" i="214"/>
  <c r="U48" i="214"/>
  <c r="N47" i="214"/>
  <c r="N51" i="214"/>
  <c r="N48" i="214"/>
  <c r="N52" i="214"/>
  <c r="N49" i="214"/>
  <c r="N50" i="214"/>
  <c r="O50" i="214"/>
  <c r="O47" i="214"/>
  <c r="O51" i="214"/>
  <c r="O48" i="214"/>
  <c r="O52" i="214"/>
  <c r="O49" i="214"/>
  <c r="P49" i="214"/>
  <c r="P50" i="214"/>
  <c r="P47" i="214"/>
  <c r="P51" i="214"/>
  <c r="P52" i="214"/>
  <c r="P48" i="214"/>
  <c r="AB10" i="214"/>
  <c r="I48" i="214"/>
  <c r="I52" i="214"/>
  <c r="R10" i="214"/>
  <c r="AC10" i="214"/>
  <c r="I49" i="214"/>
  <c r="S10" i="214"/>
  <c r="AD10" i="214"/>
  <c r="I50" i="214"/>
  <c r="I51" i="214"/>
  <c r="T10" i="214"/>
  <c r="I47" i="214"/>
  <c r="I50" i="292"/>
  <c r="K48" i="292"/>
  <c r="F46" i="289"/>
  <c r="F88" i="289"/>
  <c r="F104" i="289" s="1"/>
  <c r="F114" i="289" s="1"/>
  <c r="F76" i="289"/>
  <c r="G15" i="289"/>
  <c r="F62" i="289"/>
  <c r="B79" i="289"/>
  <c r="B91" i="289"/>
  <c r="AH27" i="173"/>
  <c r="E24" i="288"/>
  <c r="E24" i="296"/>
  <c r="E24" i="293"/>
  <c r="E24" i="292"/>
  <c r="H24" i="292" s="1"/>
  <c r="AB22" i="288"/>
  <c r="AB22" i="296"/>
  <c r="AB22" i="293"/>
  <c r="AM23" i="173"/>
  <c r="J20" i="288"/>
  <c r="J20" i="296"/>
  <c r="J20" i="293"/>
  <c r="AI22" i="173"/>
  <c r="F19" i="288"/>
  <c r="F19" i="296"/>
  <c r="AB18" i="288"/>
  <c r="AB18" i="296"/>
  <c r="AB18" i="293"/>
  <c r="AM19" i="173"/>
  <c r="J16" i="288"/>
  <c r="J16" i="296"/>
  <c r="J16" i="293"/>
  <c r="AI18" i="173"/>
  <c r="F15" i="288"/>
  <c r="F15" i="296"/>
  <c r="AJ17" i="173"/>
  <c r="G14" i="288"/>
  <c r="G14" i="296"/>
  <c r="G14" i="293"/>
  <c r="G14" i="292"/>
  <c r="AM15" i="173"/>
  <c r="J12" i="288"/>
  <c r="J12" i="296"/>
  <c r="J12" i="293"/>
  <c r="AB10" i="288"/>
  <c r="AB10" i="296"/>
  <c r="AB18" i="292"/>
  <c r="B97" i="285"/>
  <c r="B83" i="285"/>
  <c r="B83" i="295"/>
  <c r="B97" i="295"/>
  <c r="B115" i="295" s="1"/>
  <c r="B127" i="295" s="1"/>
  <c r="K46" i="41"/>
  <c r="K45" i="41"/>
  <c r="K44" i="41"/>
  <c r="K43" i="41"/>
  <c r="K42" i="41"/>
  <c r="K41" i="41"/>
  <c r="U24" i="41"/>
  <c r="V24" i="41" s="1"/>
  <c r="W21" i="41"/>
  <c r="I21" i="41" s="1"/>
  <c r="U20" i="41"/>
  <c r="V20" i="41" s="1"/>
  <c r="W17" i="41"/>
  <c r="I17" i="41" s="1"/>
  <c r="U16" i="41"/>
  <c r="V16" i="41" s="1"/>
  <c r="W13" i="41"/>
  <c r="I13" i="41" s="1"/>
  <c r="P24" i="41"/>
  <c r="R24" i="41" s="1"/>
  <c r="AA24" i="41" s="1"/>
  <c r="AG27" i="173"/>
  <c r="D24" i="288"/>
  <c r="D24" i="296"/>
  <c r="D24" i="293"/>
  <c r="D24" i="292"/>
  <c r="I24" i="292" s="1"/>
  <c r="AM26" i="173"/>
  <c r="J23" i="288"/>
  <c r="J23" i="296"/>
  <c r="AH26" i="173"/>
  <c r="E23" i="288"/>
  <c r="E23" i="296"/>
  <c r="E23" i="293"/>
  <c r="AI25" i="173"/>
  <c r="F22" i="288"/>
  <c r="F22" i="296"/>
  <c r="F22" i="293"/>
  <c r="F22" i="292"/>
  <c r="H22" i="292" s="1"/>
  <c r="AB21" i="288"/>
  <c r="AB21" i="296"/>
  <c r="AJ24" i="173"/>
  <c r="G21" i="288"/>
  <c r="G21" i="296"/>
  <c r="G21" i="293"/>
  <c r="AG23" i="173"/>
  <c r="D20" i="288"/>
  <c r="D20" i="296"/>
  <c r="D20" i="293"/>
  <c r="D20" i="292"/>
  <c r="AM22" i="173"/>
  <c r="J19" i="288"/>
  <c r="J19" i="296"/>
  <c r="AH22" i="173"/>
  <c r="E19" i="288"/>
  <c r="E19" i="296"/>
  <c r="E19" i="293"/>
  <c r="AI21" i="173"/>
  <c r="F18" i="288"/>
  <c r="F18" i="296"/>
  <c r="F18" i="293"/>
  <c r="F18" i="292"/>
  <c r="H18" i="292" s="1"/>
  <c r="AB17" i="288"/>
  <c r="AB17" i="296"/>
  <c r="AJ20" i="173"/>
  <c r="G17" i="288"/>
  <c r="G17" i="296"/>
  <c r="G17" i="293"/>
  <c r="AG19" i="173"/>
  <c r="D16" i="288"/>
  <c r="D16" i="296"/>
  <c r="D16" i="293"/>
  <c r="D16" i="292"/>
  <c r="AM18" i="173"/>
  <c r="J15" i="288"/>
  <c r="J15" i="296"/>
  <c r="AH18" i="173"/>
  <c r="E15" i="288"/>
  <c r="E15" i="296"/>
  <c r="E15" i="293"/>
  <c r="AI17" i="173"/>
  <c r="F14" i="288"/>
  <c r="F14" i="296"/>
  <c r="F14" i="293"/>
  <c r="F14" i="292"/>
  <c r="I14" i="292" s="1"/>
  <c r="K14" i="292" s="1"/>
  <c r="AB13" i="288"/>
  <c r="AB13" i="296"/>
  <c r="AJ16" i="173"/>
  <c r="G13" i="288"/>
  <c r="G13" i="296"/>
  <c r="G13" i="293"/>
  <c r="P12" i="41"/>
  <c r="R12" i="41" s="1"/>
  <c r="AA12" i="41" s="1"/>
  <c r="AG15" i="173"/>
  <c r="D12" i="288"/>
  <c r="D12" i="296"/>
  <c r="D12" i="293"/>
  <c r="D12" i="292"/>
  <c r="AM14" i="173"/>
  <c r="J11" i="288"/>
  <c r="J11" i="296"/>
  <c r="J11" i="293"/>
  <c r="AH14" i="173"/>
  <c r="E11" i="288"/>
  <c r="E11" i="296"/>
  <c r="E11" i="293"/>
  <c r="AI13" i="173"/>
  <c r="F10" i="288"/>
  <c r="F10" i="296"/>
  <c r="F10" i="292"/>
  <c r="F10" i="293"/>
  <c r="B96" i="289"/>
  <c r="E62" i="289"/>
  <c r="D50" i="292"/>
  <c r="F19" i="292"/>
  <c r="F15" i="292"/>
  <c r="J23" i="293"/>
  <c r="F19" i="293"/>
  <c r="AB17" i="293"/>
  <c r="AB10" i="293"/>
  <c r="B90" i="285"/>
  <c r="B84" i="285"/>
  <c r="AI26" i="173"/>
  <c r="F23" i="288"/>
  <c r="F23" i="296"/>
  <c r="AJ25" i="173"/>
  <c r="G22" i="288"/>
  <c r="G22" i="296"/>
  <c r="G22" i="293"/>
  <c r="G22" i="292"/>
  <c r="AG24" i="173"/>
  <c r="D21" i="288"/>
  <c r="D21" i="296"/>
  <c r="AH23" i="173"/>
  <c r="E20" i="288"/>
  <c r="E20" i="296"/>
  <c r="E20" i="293"/>
  <c r="E20" i="292"/>
  <c r="H20" i="292" s="1"/>
  <c r="AJ21" i="173"/>
  <c r="G18" i="288"/>
  <c r="G18" i="296"/>
  <c r="G18" i="293"/>
  <c r="G18" i="292"/>
  <c r="AG20" i="173"/>
  <c r="D17" i="288"/>
  <c r="D17" i="296"/>
  <c r="AH19" i="173"/>
  <c r="E16" i="288"/>
  <c r="E16" i="296"/>
  <c r="E16" i="293"/>
  <c r="E16" i="292"/>
  <c r="H16" i="292" s="1"/>
  <c r="AB14" i="288"/>
  <c r="AB14" i="296"/>
  <c r="AB14" i="293"/>
  <c r="AG16" i="173"/>
  <c r="D13" i="288"/>
  <c r="D13" i="296"/>
  <c r="AH15" i="173"/>
  <c r="E12" i="288"/>
  <c r="E12" i="293"/>
  <c r="E12" i="292"/>
  <c r="H12" i="292" s="1"/>
  <c r="AI14" i="173"/>
  <c r="F11" i="288"/>
  <c r="F11" i="296"/>
  <c r="F11" i="293"/>
  <c r="AJ13" i="173"/>
  <c r="G10" i="288"/>
  <c r="G10" i="293"/>
  <c r="G10" i="292"/>
  <c r="AB22" i="292"/>
  <c r="AB14" i="292"/>
  <c r="AB10" i="292"/>
  <c r="D21" i="293"/>
  <c r="H18" i="293"/>
  <c r="D13" i="293"/>
  <c r="G10" i="296"/>
  <c r="N46" i="41"/>
  <c r="N45" i="41"/>
  <c r="N44" i="41"/>
  <c r="N43" i="41"/>
  <c r="N42" i="41"/>
  <c r="N41" i="41"/>
  <c r="O24" i="41"/>
  <c r="W24" i="41"/>
  <c r="I24" i="41" s="1"/>
  <c r="O20" i="41"/>
  <c r="W20" i="41"/>
  <c r="I20" i="41" s="1"/>
  <c r="O16" i="41"/>
  <c r="W16" i="41"/>
  <c r="I16" i="41" s="1"/>
  <c r="O12" i="41"/>
  <c r="W12" i="41"/>
  <c r="AB24" i="288"/>
  <c r="AB24" i="296"/>
  <c r="AB24" i="293"/>
  <c r="AB24" i="292"/>
  <c r="AJ27" i="173"/>
  <c r="G24" i="288"/>
  <c r="G24" i="296"/>
  <c r="P23" i="41"/>
  <c r="R23" i="41" s="1"/>
  <c r="AA23" i="41" s="1"/>
  <c r="AG26" i="173"/>
  <c r="D23" i="288"/>
  <c r="D23" i="296"/>
  <c r="D23" i="293"/>
  <c r="D23" i="292"/>
  <c r="AM25" i="173"/>
  <c r="J22" i="288"/>
  <c r="J22" i="296"/>
  <c r="J22" i="293"/>
  <c r="J22" i="292"/>
  <c r="AH25" i="173"/>
  <c r="AK25" i="173" s="1"/>
  <c r="E22" i="288"/>
  <c r="H22" i="288" s="1"/>
  <c r="E22" i="296"/>
  <c r="H22" i="296" s="1"/>
  <c r="AI24" i="173"/>
  <c r="F21" i="288"/>
  <c r="F21" i="296"/>
  <c r="F21" i="293"/>
  <c r="F21" i="292"/>
  <c r="AB20" i="288"/>
  <c r="AB20" i="296"/>
  <c r="AB20" i="293"/>
  <c r="AB20" i="292"/>
  <c r="AJ23" i="173"/>
  <c r="G20" i="288"/>
  <c r="G20" i="296"/>
  <c r="P19" i="41"/>
  <c r="R19" i="41" s="1"/>
  <c r="AA19" i="41" s="1"/>
  <c r="AG22" i="173"/>
  <c r="D19" i="288"/>
  <c r="D19" i="296"/>
  <c r="D19" i="293"/>
  <c r="D19" i="292"/>
  <c r="AM21" i="173"/>
  <c r="J18" i="288"/>
  <c r="J18" i="296"/>
  <c r="J18" i="293"/>
  <c r="J18" i="292"/>
  <c r="AH21" i="173"/>
  <c r="AK21" i="173" s="1"/>
  <c r="E18" i="288"/>
  <c r="H18" i="288" s="1"/>
  <c r="E18" i="296"/>
  <c r="H18" i="296" s="1"/>
  <c r="AI20" i="173"/>
  <c r="F17" i="288"/>
  <c r="F17" i="296"/>
  <c r="F17" i="293"/>
  <c r="F17" i="292"/>
  <c r="AB16" i="288"/>
  <c r="AB16" i="296"/>
  <c r="AB16" i="293"/>
  <c r="AB16" i="292"/>
  <c r="AJ19" i="173"/>
  <c r="G16" i="288"/>
  <c r="G16" i="296"/>
  <c r="P15" i="41"/>
  <c r="R15" i="41" s="1"/>
  <c r="AA15" i="41" s="1"/>
  <c r="AG18" i="173"/>
  <c r="D15" i="288"/>
  <c r="D15" i="293"/>
  <c r="D15" i="292"/>
  <c r="D15" i="296"/>
  <c r="AM17" i="173"/>
  <c r="J14" i="288"/>
  <c r="J14" i="296"/>
  <c r="J14" i="293"/>
  <c r="J14" i="292"/>
  <c r="AH17" i="173"/>
  <c r="AK17" i="173" s="1"/>
  <c r="E14" i="288"/>
  <c r="H14" i="288" s="1"/>
  <c r="E14" i="296"/>
  <c r="H14" i="296" s="1"/>
  <c r="AI16" i="173"/>
  <c r="F13" i="288"/>
  <c r="F13" i="296"/>
  <c r="F13" i="293"/>
  <c r="F13" i="292"/>
  <c r="AB12" i="288"/>
  <c r="AB12" i="296"/>
  <c r="AB12" i="293"/>
  <c r="AB12" i="292"/>
  <c r="AJ15" i="173"/>
  <c r="G12" i="288"/>
  <c r="G12" i="296"/>
  <c r="P11" i="41"/>
  <c r="R11" i="41" s="1"/>
  <c r="AA11" i="41" s="1"/>
  <c r="AG14" i="173"/>
  <c r="D11" i="288"/>
  <c r="D11" i="296"/>
  <c r="D11" i="293"/>
  <c r="D11" i="292"/>
  <c r="D43" i="292" s="1"/>
  <c r="AM13" i="173"/>
  <c r="J10" i="288"/>
  <c r="J10" i="296"/>
  <c r="J10" i="293"/>
  <c r="J10" i="292"/>
  <c r="AH13" i="173"/>
  <c r="AK13" i="173" s="1"/>
  <c r="E10" i="288"/>
  <c r="E10" i="296"/>
  <c r="E10" i="293"/>
  <c r="H9" i="337"/>
  <c r="D40" i="291"/>
  <c r="E23" i="292"/>
  <c r="E19" i="292"/>
  <c r="E15" i="292"/>
  <c r="E11" i="292"/>
  <c r="E43" i="292" s="1"/>
  <c r="D50" i="293"/>
  <c r="G24" i="293"/>
  <c r="E22" i="293"/>
  <c r="H22" i="293" s="1"/>
  <c r="G20" i="293"/>
  <c r="D17" i="293"/>
  <c r="J15" i="293"/>
  <c r="E14" i="293"/>
  <c r="H14" i="293" s="1"/>
  <c r="M43" i="293"/>
  <c r="M45" i="293"/>
  <c r="M46" i="293"/>
  <c r="M44" i="293"/>
  <c r="G12" i="293"/>
  <c r="B122" i="285"/>
  <c r="B134" i="285" s="1"/>
  <c r="B14" i="286"/>
  <c r="N15" i="314"/>
  <c r="AM27" i="173"/>
  <c r="J24" i="288"/>
  <c r="J24" i="296"/>
  <c r="Q46" i="41"/>
  <c r="M46" i="41"/>
  <c r="H46" i="41"/>
  <c r="Q45" i="41"/>
  <c r="M45" i="41"/>
  <c r="H45" i="41"/>
  <c r="Q44" i="41"/>
  <c r="M44" i="41"/>
  <c r="H44" i="41"/>
  <c r="Q43" i="41"/>
  <c r="M43" i="41"/>
  <c r="H43" i="41"/>
  <c r="Q42" i="41"/>
  <c r="M42" i="41"/>
  <c r="H42" i="41"/>
  <c r="Q41" i="41"/>
  <c r="M41" i="41"/>
  <c r="O23" i="41"/>
  <c r="W23" i="41"/>
  <c r="O19" i="41"/>
  <c r="W19" i="41"/>
  <c r="O15" i="41"/>
  <c r="W15" i="41"/>
  <c r="O11" i="41"/>
  <c r="O45" i="41" s="1"/>
  <c r="AI27" i="173"/>
  <c r="F24" i="288"/>
  <c r="F24" i="296"/>
  <c r="AB23" i="288"/>
  <c r="AB23" i="296"/>
  <c r="AB23" i="293"/>
  <c r="AB23" i="292"/>
  <c r="AJ26" i="173"/>
  <c r="G23" i="288"/>
  <c r="G23" i="296"/>
  <c r="G23" i="293"/>
  <c r="G23" i="292"/>
  <c r="P22" i="41"/>
  <c r="AG25" i="173"/>
  <c r="D22" i="288"/>
  <c r="I22" i="288" s="1"/>
  <c r="K22" i="288" s="1"/>
  <c r="D22" i="296"/>
  <c r="I22" i="296" s="1"/>
  <c r="K22" i="296" s="1"/>
  <c r="D22" i="293"/>
  <c r="I22" i="293" s="1"/>
  <c r="K22" i="293" s="1"/>
  <c r="AM24" i="173"/>
  <c r="J21" i="288"/>
  <c r="J21" i="296"/>
  <c r="J21" i="293"/>
  <c r="J21" i="292"/>
  <c r="AH24" i="173"/>
  <c r="AK24" i="173" s="1"/>
  <c r="E21" i="288"/>
  <c r="H21" i="288" s="1"/>
  <c r="E21" i="296"/>
  <c r="H21" i="296" s="1"/>
  <c r="E21" i="293"/>
  <c r="H21" i="293" s="1"/>
  <c r="E21" i="292"/>
  <c r="H21" i="292" s="1"/>
  <c r="AI23" i="173"/>
  <c r="F20" i="288"/>
  <c r="F20" i="296"/>
  <c r="F20" i="293"/>
  <c r="AB19" i="288"/>
  <c r="AB19" i="296"/>
  <c r="AB19" i="293"/>
  <c r="AB19" i="292"/>
  <c r="AJ22" i="173"/>
  <c r="G19" i="288"/>
  <c r="G19" i="296"/>
  <c r="G19" i="293"/>
  <c r="G19" i="292"/>
  <c r="P18" i="41"/>
  <c r="AG21" i="173"/>
  <c r="D18" i="288"/>
  <c r="I18" i="288" s="1"/>
  <c r="K18" i="288" s="1"/>
  <c r="D18" i="296"/>
  <c r="I18" i="296" s="1"/>
  <c r="K18" i="296" s="1"/>
  <c r="D18" i="293"/>
  <c r="I18" i="293" s="1"/>
  <c r="K18" i="293" s="1"/>
  <c r="AM20" i="173"/>
  <c r="J17" i="288"/>
  <c r="J17" i="296"/>
  <c r="J17" i="293"/>
  <c r="J17" i="292"/>
  <c r="AH20" i="173"/>
  <c r="AK20" i="173" s="1"/>
  <c r="E17" i="288"/>
  <c r="H17" i="288" s="1"/>
  <c r="E17" i="296"/>
  <c r="H17" i="296" s="1"/>
  <c r="E17" i="293"/>
  <c r="H17" i="293" s="1"/>
  <c r="E17" i="292"/>
  <c r="H17" i="292" s="1"/>
  <c r="AI19" i="173"/>
  <c r="F16" i="288"/>
  <c r="F16" i="296"/>
  <c r="F16" i="293"/>
  <c r="AB15" i="288"/>
  <c r="AB15" i="296"/>
  <c r="AB15" i="293"/>
  <c r="AB15" i="292"/>
  <c r="AJ18" i="173"/>
  <c r="G15" i="288"/>
  <c r="G15" i="296"/>
  <c r="G15" i="293"/>
  <c r="G15" i="292"/>
  <c r="P14" i="41"/>
  <c r="AG17" i="173"/>
  <c r="D14" i="288"/>
  <c r="I14" i="288" s="1"/>
  <c r="K14" i="288" s="1"/>
  <c r="D14" i="296"/>
  <c r="I14" i="296" s="1"/>
  <c r="K14" i="296" s="1"/>
  <c r="D14" i="293"/>
  <c r="I14" i="293" s="1"/>
  <c r="K14" i="293" s="1"/>
  <c r="AM16" i="173"/>
  <c r="J13" i="288"/>
  <c r="J13" i="293"/>
  <c r="J13" i="292"/>
  <c r="J13" i="296"/>
  <c r="AH16" i="173"/>
  <c r="AK16" i="173" s="1"/>
  <c r="E13" i="288"/>
  <c r="H13" i="288" s="1"/>
  <c r="E13" i="296"/>
  <c r="H13" i="296" s="1"/>
  <c r="E13" i="293"/>
  <c r="H13" i="293" s="1"/>
  <c r="E13" i="292"/>
  <c r="H13" i="292" s="1"/>
  <c r="AI15" i="173"/>
  <c r="F12" i="288"/>
  <c r="F12" i="296"/>
  <c r="H12" i="296" s="1"/>
  <c r="F12" i="293"/>
  <c r="AB11" i="288"/>
  <c r="AB11" i="296"/>
  <c r="AB11" i="293"/>
  <c r="AB11" i="292"/>
  <c r="AJ14" i="173"/>
  <c r="G11" i="288"/>
  <c r="G11" i="296"/>
  <c r="G11" i="292"/>
  <c r="G11" i="293"/>
  <c r="P10" i="41"/>
  <c r="AG13" i="173"/>
  <c r="D10" i="288"/>
  <c r="D10" i="296"/>
  <c r="D10" i="293"/>
  <c r="B95" i="289"/>
  <c r="B111" i="289" s="1"/>
  <c r="B121" i="289" s="1"/>
  <c r="J24" i="292"/>
  <c r="J23" i="292"/>
  <c r="AB21" i="292"/>
  <c r="J20" i="292"/>
  <c r="J19" i="292"/>
  <c r="AB17" i="292"/>
  <c r="J16" i="292"/>
  <c r="J15" i="292"/>
  <c r="AB13" i="292"/>
  <c r="J12" i="292"/>
  <c r="J11" i="292"/>
  <c r="I50" i="293"/>
  <c r="K48" i="293"/>
  <c r="F24" i="293"/>
  <c r="F23" i="293"/>
  <c r="AB21" i="293"/>
  <c r="F15" i="293"/>
  <c r="AB13" i="293"/>
  <c r="B96" i="285"/>
  <c r="B82" i="285"/>
  <c r="B116" i="285"/>
  <c r="B128" i="285" s="1"/>
  <c r="B11" i="286"/>
  <c r="I42" i="314"/>
  <c r="I70" i="314"/>
  <c r="E42" i="314"/>
  <c r="E70" i="314"/>
  <c r="H69" i="314"/>
  <c r="H42" i="314"/>
  <c r="B97" i="314"/>
  <c r="B82" i="314"/>
  <c r="B11" i="315" s="1"/>
  <c r="G68" i="314"/>
  <c r="G36" i="314"/>
  <c r="G40" i="314" s="1"/>
  <c r="B81" i="314"/>
  <c r="B10" i="315" s="1"/>
  <c r="B96" i="314"/>
  <c r="E36" i="314"/>
  <c r="E40" i="314" s="1"/>
  <c r="E44" i="314" s="1"/>
  <c r="E67" i="314"/>
  <c r="G15" i="285"/>
  <c r="F48" i="285"/>
  <c r="F94" i="285"/>
  <c r="F112" i="285" s="1"/>
  <c r="F124" i="285" s="1"/>
  <c r="M41" i="296"/>
  <c r="M42" i="296"/>
  <c r="M44" i="296"/>
  <c r="M43" i="296"/>
  <c r="M45" i="296"/>
  <c r="I36" i="314"/>
  <c r="I40" i="314" s="1"/>
  <c r="I44" i="314" s="1"/>
  <c r="B89" i="285"/>
  <c r="B103" i="285"/>
  <c r="B121" i="285" s="1"/>
  <c r="B133" i="285" s="1"/>
  <c r="F64" i="285"/>
  <c r="D48" i="288"/>
  <c r="D48" i="296"/>
  <c r="R33" i="315"/>
  <c r="R41" i="315"/>
  <c r="F42" i="314"/>
  <c r="H24" i="314"/>
  <c r="H27" i="314"/>
  <c r="D24" i="314"/>
  <c r="D27" i="314"/>
  <c r="D36" i="314" s="1"/>
  <c r="D40" i="314" s="1"/>
  <c r="D44" i="314" s="1"/>
  <c r="D50" i="314" s="1"/>
  <c r="D67" i="314"/>
  <c r="O36" i="315"/>
  <c r="B104" i="52"/>
  <c r="B122" i="52" s="1"/>
  <c r="B134" i="52" s="1"/>
  <c r="B98" i="52"/>
  <c r="B116" i="52" s="1"/>
  <c r="B128" i="52" s="1"/>
  <c r="I76" i="314"/>
  <c r="G42" i="314"/>
  <c r="J69" i="314"/>
  <c r="J36" i="314"/>
  <c r="J40" i="314" s="1"/>
  <c r="F15" i="314"/>
  <c r="E47" i="314"/>
  <c r="Y48" i="296"/>
  <c r="G70" i="314"/>
  <c r="G76" i="314" s="1"/>
  <c r="J42" i="314"/>
  <c r="F27" i="314"/>
  <c r="F24" i="314"/>
  <c r="O43" i="315"/>
  <c r="O42" i="315" s="1"/>
  <c r="B83" i="52"/>
  <c r="B97" i="52"/>
  <c r="B115" i="52" s="1"/>
  <c r="B127" i="52" s="1"/>
  <c r="G15" i="52"/>
  <c r="F64" i="52"/>
  <c r="F80" i="52"/>
  <c r="B104" i="295"/>
  <c r="B122" i="295" s="1"/>
  <c r="B134" i="295" s="1"/>
  <c r="B90" i="295"/>
  <c r="E64" i="52"/>
  <c r="E80" i="52"/>
  <c r="E48" i="52"/>
  <c r="B96" i="295"/>
  <c r="B114" i="295" s="1"/>
  <c r="B126" i="295" s="1"/>
  <c r="B82" i="295"/>
  <c r="B89" i="295"/>
  <c r="B103" i="295"/>
  <c r="B121" i="295" s="1"/>
  <c r="B133" i="295" s="1"/>
  <c r="H64" i="295"/>
  <c r="B85" i="295"/>
  <c r="B99" i="295"/>
  <c r="B117" i="295" s="1"/>
  <c r="B129" i="295" s="1"/>
  <c r="H48" i="295"/>
  <c r="H94" i="295"/>
  <c r="H112" i="295" s="1"/>
  <c r="H124" i="295" s="1"/>
  <c r="I15" i="295"/>
  <c r="E44" i="185"/>
  <c r="R45" i="185"/>
  <c r="N45" i="185"/>
  <c r="T19" i="185"/>
  <c r="V19" i="185" s="1"/>
  <c r="Y19" i="185"/>
  <c r="J18" i="185"/>
  <c r="L18" i="185" s="1"/>
  <c r="T15" i="185"/>
  <c r="Y15" i="185"/>
  <c r="T22" i="185"/>
  <c r="V22" i="185" s="1"/>
  <c r="Z22" i="185" s="1"/>
  <c r="Y22" i="185"/>
  <c r="T18" i="185"/>
  <c r="V18" i="185" s="1"/>
  <c r="Z18" i="185" s="1"/>
  <c r="Y18" i="185"/>
  <c r="I45" i="185"/>
  <c r="I46" i="185"/>
  <c r="I42" i="185"/>
  <c r="L11" i="185"/>
  <c r="T25" i="185"/>
  <c r="V25" i="185" s="1"/>
  <c r="Z25" i="185" s="1"/>
  <c r="Y25" i="185"/>
  <c r="T24" i="185"/>
  <c r="V24" i="185" s="1"/>
  <c r="Z24" i="185" s="1"/>
  <c r="Y24" i="185"/>
  <c r="T23" i="185"/>
  <c r="V23" i="185" s="1"/>
  <c r="Z23" i="185" s="1"/>
  <c r="Y23" i="185"/>
  <c r="T21" i="185"/>
  <c r="V21" i="185" s="1"/>
  <c r="Z21" i="185" s="1"/>
  <c r="Y21" i="185"/>
  <c r="E46" i="185"/>
  <c r="T17" i="185"/>
  <c r="V17" i="185" s="1"/>
  <c r="Z17" i="185" s="1"/>
  <c r="Y17" i="185"/>
  <c r="V11" i="185"/>
  <c r="R46" i="185"/>
  <c r="T20" i="185"/>
  <c r="V20" i="185" s="1"/>
  <c r="Z20" i="185" s="1"/>
  <c r="Y20" i="185"/>
  <c r="J19" i="185"/>
  <c r="L19" i="185" s="1"/>
  <c r="E45" i="185"/>
  <c r="T16" i="185"/>
  <c r="V16" i="185" s="1"/>
  <c r="Z16" i="185" s="1"/>
  <c r="Y16" i="185"/>
  <c r="J15" i="185"/>
  <c r="S44" i="185"/>
  <c r="S45" i="185"/>
  <c r="X44" i="185"/>
  <c r="X45" i="185"/>
  <c r="N46" i="185"/>
  <c r="O45" i="185"/>
  <c r="F45" i="185"/>
  <c r="R42" i="185"/>
  <c r="N42" i="185"/>
  <c r="E42" i="185"/>
  <c r="C42" i="173"/>
  <c r="F42" i="173"/>
  <c r="I42" i="173"/>
  <c r="L42" i="173"/>
  <c r="N42" i="173"/>
  <c r="Q42" i="173"/>
  <c r="E42" i="173"/>
  <c r="G42" i="173"/>
  <c r="J42" i="173"/>
  <c r="M42" i="173"/>
  <c r="P42" i="173"/>
  <c r="AK41" i="173"/>
  <c r="O44" i="185"/>
  <c r="F44" i="185"/>
  <c r="Y14" i="185"/>
  <c r="Y13" i="185"/>
  <c r="Y12" i="185"/>
  <c r="Y11" i="185"/>
  <c r="M28" i="173"/>
  <c r="AL42" i="173"/>
  <c r="AN42" i="173" s="1"/>
  <c r="P28" i="173"/>
  <c r="P41" i="173"/>
  <c r="M41" i="173"/>
  <c r="J41" i="173"/>
  <c r="G41" i="173"/>
  <c r="E41" i="173"/>
  <c r="P40" i="173"/>
  <c r="M40" i="173"/>
  <c r="J40" i="173"/>
  <c r="G40" i="173"/>
  <c r="E40" i="173"/>
  <c r="P39" i="173"/>
  <c r="M39" i="173"/>
  <c r="J39" i="173"/>
  <c r="G39" i="173"/>
  <c r="E39" i="173"/>
  <c r="P38" i="173"/>
  <c r="M38" i="173"/>
  <c r="J38" i="173"/>
  <c r="G38" i="173"/>
  <c r="E38" i="173"/>
  <c r="P37" i="173"/>
  <c r="M37" i="173"/>
  <c r="J37" i="173"/>
  <c r="G37" i="173"/>
  <c r="E37" i="173"/>
  <c r="P36" i="173"/>
  <c r="M36" i="173"/>
  <c r="J36" i="173"/>
  <c r="G36" i="173"/>
  <c r="E36" i="173"/>
  <c r="P35" i="173"/>
  <c r="M35" i="173"/>
  <c r="J35" i="173"/>
  <c r="G35" i="173"/>
  <c r="E35" i="173"/>
  <c r="P34" i="173"/>
  <c r="M34" i="173"/>
  <c r="J34" i="173"/>
  <c r="G34" i="173"/>
  <c r="E34" i="173"/>
  <c r="P33" i="173"/>
  <c r="M33" i="173"/>
  <c r="J33" i="173"/>
  <c r="G33" i="173"/>
  <c r="E33" i="173"/>
  <c r="P32" i="173"/>
  <c r="M32" i="173"/>
  <c r="J32" i="173"/>
  <c r="G32" i="173"/>
  <c r="E32" i="173"/>
  <c r="P31" i="173"/>
  <c r="M31" i="173"/>
  <c r="J31" i="173"/>
  <c r="G31" i="173"/>
  <c r="E31" i="173"/>
  <c r="P30" i="173"/>
  <c r="M30" i="173"/>
  <c r="J30" i="173"/>
  <c r="G30" i="173"/>
  <c r="E30" i="173"/>
  <c r="P29" i="173"/>
  <c r="M29" i="173"/>
  <c r="J29" i="173"/>
  <c r="G29" i="173"/>
  <c r="E29" i="173"/>
  <c r="J28" i="173"/>
  <c r="G28" i="173"/>
  <c r="E28" i="173"/>
  <c r="Q41" i="173"/>
  <c r="N41" i="173"/>
  <c r="L41" i="173"/>
  <c r="I41" i="173"/>
  <c r="F41" i="173"/>
  <c r="Q40" i="173"/>
  <c r="N40" i="173"/>
  <c r="L40" i="173"/>
  <c r="I40" i="173"/>
  <c r="F40" i="173"/>
  <c r="Q39" i="173"/>
  <c r="N39" i="173"/>
  <c r="L39" i="173"/>
  <c r="I39" i="173"/>
  <c r="F39" i="173"/>
  <c r="Q38" i="173"/>
  <c r="N38" i="173"/>
  <c r="L38" i="173"/>
  <c r="I38" i="173"/>
  <c r="F38" i="173"/>
  <c r="Q37" i="173"/>
  <c r="N37" i="173"/>
  <c r="L37" i="173"/>
  <c r="I37" i="173"/>
  <c r="F37" i="173"/>
  <c r="Q36" i="173"/>
  <c r="N36" i="173"/>
  <c r="L36" i="173"/>
  <c r="I36" i="173"/>
  <c r="F36" i="173"/>
  <c r="Q35" i="173"/>
  <c r="N35" i="173"/>
  <c r="L35" i="173"/>
  <c r="I35" i="173"/>
  <c r="F35" i="173"/>
  <c r="Q34" i="173"/>
  <c r="N34" i="173"/>
  <c r="L34" i="173"/>
  <c r="I34" i="173"/>
  <c r="F34" i="173"/>
  <c r="Q33" i="173"/>
  <c r="N33" i="173"/>
  <c r="L33" i="173"/>
  <c r="I33" i="173"/>
  <c r="F33" i="173"/>
  <c r="Q32" i="173"/>
  <c r="N32" i="173"/>
  <c r="L32" i="173"/>
  <c r="I32" i="173"/>
  <c r="F32" i="173"/>
  <c r="Q31" i="173"/>
  <c r="N31" i="173"/>
  <c r="L31" i="173"/>
  <c r="I31" i="173"/>
  <c r="F31" i="173"/>
  <c r="Q30" i="173"/>
  <c r="N30" i="173"/>
  <c r="L30" i="173"/>
  <c r="I30" i="173"/>
  <c r="F30" i="173"/>
  <c r="Q29" i="173"/>
  <c r="N29" i="173"/>
  <c r="L29" i="173"/>
  <c r="I29" i="173"/>
  <c r="F29" i="173"/>
  <c r="Q28" i="173"/>
  <c r="N28" i="173"/>
  <c r="L28" i="173"/>
  <c r="I28" i="173"/>
  <c r="F28" i="173"/>
  <c r="I9" i="173"/>
  <c r="V8" i="172"/>
  <c r="M8" i="172"/>
  <c r="W8" i="172" s="1"/>
  <c r="V41" i="172"/>
  <c r="V40" i="172"/>
  <c r="V39" i="172"/>
  <c r="V38" i="172"/>
  <c r="V37" i="172"/>
  <c r="V36" i="172"/>
  <c r="V35" i="172"/>
  <c r="V34" i="172"/>
  <c r="V33" i="172"/>
  <c r="V32" i="172"/>
  <c r="V31" i="172"/>
  <c r="V30" i="172"/>
  <c r="U8" i="172"/>
  <c r="J8" i="172"/>
  <c r="Y4" i="172"/>
  <c r="J43" i="53"/>
  <c r="J44" i="53"/>
  <c r="J45" i="53"/>
  <c r="I43" i="53"/>
  <c r="M39" i="53"/>
  <c r="D43" i="53"/>
  <c r="D44" i="53"/>
  <c r="S41" i="53"/>
  <c r="I41" i="53"/>
  <c r="D41" i="53"/>
  <c r="S43" i="53"/>
  <c r="W39" i="53"/>
  <c r="E45" i="53"/>
  <c r="E44" i="53"/>
  <c r="J42" i="53"/>
  <c r="S42" i="53"/>
  <c r="I42" i="53"/>
  <c r="D42" i="53"/>
  <c r="BS13" i="213"/>
  <c r="BT13" i="213"/>
  <c r="BU13" i="213"/>
  <c r="BV13" i="213"/>
  <c r="BW13" i="213"/>
  <c r="BX13" i="213"/>
  <c r="BY13" i="213"/>
  <c r="BZ13" i="213"/>
  <c r="CE13" i="213"/>
  <c r="B14" i="213"/>
  <c r="A14" i="213"/>
  <c r="AC14" i="292" l="1"/>
  <c r="G95" i="314"/>
  <c r="G97" i="314"/>
  <c r="G99" i="314"/>
  <c r="G101" i="314"/>
  <c r="G102" i="314"/>
  <c r="G100" i="314"/>
  <c r="T8" i="172"/>
  <c r="I8" i="172"/>
  <c r="S8" i="172" s="1"/>
  <c r="L15" i="185"/>
  <c r="J47" i="185"/>
  <c r="J42" i="185"/>
  <c r="J43" i="185"/>
  <c r="J46" i="185"/>
  <c r="L42" i="185"/>
  <c r="L46" i="185"/>
  <c r="L43" i="185"/>
  <c r="L47" i="185"/>
  <c r="L44" i="185"/>
  <c r="L45" i="185"/>
  <c r="O35" i="315"/>
  <c r="O34" i="315" s="1"/>
  <c r="O37" i="315"/>
  <c r="O38" i="315" s="1"/>
  <c r="H36" i="314"/>
  <c r="H40" i="314" s="1"/>
  <c r="H44" i="314" s="1"/>
  <c r="H67" i="314"/>
  <c r="Q33" i="315"/>
  <c r="P33" i="315" s="1"/>
  <c r="S33" i="315"/>
  <c r="T33" i="315" s="1"/>
  <c r="D41" i="296"/>
  <c r="D42" i="296"/>
  <c r="D44" i="296"/>
  <c r="I10" i="296"/>
  <c r="D43" i="296"/>
  <c r="D45" i="296"/>
  <c r="D46" i="296"/>
  <c r="AC14" i="296"/>
  <c r="AC18" i="296"/>
  <c r="AC22" i="296"/>
  <c r="H19" i="292"/>
  <c r="E43" i="293"/>
  <c r="E45" i="293"/>
  <c r="E46" i="293"/>
  <c r="E41" i="293"/>
  <c r="E42" i="293"/>
  <c r="H10" i="293"/>
  <c r="E44" i="293"/>
  <c r="J41" i="292"/>
  <c r="J42" i="292"/>
  <c r="J44" i="292"/>
  <c r="J43" i="292"/>
  <c r="J45" i="292"/>
  <c r="J46" i="292"/>
  <c r="I11" i="288"/>
  <c r="K11" i="288" s="1"/>
  <c r="I15" i="292"/>
  <c r="K15" i="292" s="1"/>
  <c r="I19" i="288"/>
  <c r="K19" i="288" s="1"/>
  <c r="I23" i="293"/>
  <c r="K23" i="293" s="1"/>
  <c r="U11" i="41"/>
  <c r="I13" i="293"/>
  <c r="K13" i="293" s="1"/>
  <c r="G43" i="288"/>
  <c r="G45" i="288"/>
  <c r="G46" i="288"/>
  <c r="G44" i="288"/>
  <c r="G41" i="288"/>
  <c r="G42" i="288"/>
  <c r="H12" i="288"/>
  <c r="AL16" i="173"/>
  <c r="AN16" i="173" s="1"/>
  <c r="C16" i="173"/>
  <c r="F16" i="173"/>
  <c r="I16" i="173"/>
  <c r="L16" i="173"/>
  <c r="N16" i="173"/>
  <c r="Q16" i="173"/>
  <c r="E16" i="173"/>
  <c r="G16" i="173"/>
  <c r="J16" i="173"/>
  <c r="M16" i="173"/>
  <c r="P16" i="173"/>
  <c r="AK19" i="173"/>
  <c r="H20" i="288"/>
  <c r="AL24" i="173"/>
  <c r="AN24" i="173" s="1"/>
  <c r="E24" i="173"/>
  <c r="G24" i="173"/>
  <c r="J24" i="173"/>
  <c r="M24" i="173"/>
  <c r="P24" i="173"/>
  <c r="I24" i="173"/>
  <c r="F24" i="173"/>
  <c r="Q24" i="173"/>
  <c r="C24" i="173"/>
  <c r="N24" i="173"/>
  <c r="L24" i="173"/>
  <c r="B12" i="290"/>
  <c r="B112" i="289"/>
  <c r="B122" i="289" s="1"/>
  <c r="F41" i="292"/>
  <c r="F42" i="292"/>
  <c r="F43" i="292"/>
  <c r="F45" i="292"/>
  <c r="F46" i="292"/>
  <c r="F44" i="292"/>
  <c r="H11" i="293"/>
  <c r="I12" i="292"/>
  <c r="K12" i="292" s="1"/>
  <c r="AL15" i="173"/>
  <c r="AN15" i="173" s="1"/>
  <c r="C15" i="173"/>
  <c r="F15" i="173"/>
  <c r="I15" i="173"/>
  <c r="L15" i="173"/>
  <c r="N15" i="173"/>
  <c r="Q15" i="173"/>
  <c r="E15" i="173"/>
  <c r="G15" i="173"/>
  <c r="J15" i="173"/>
  <c r="M15" i="173"/>
  <c r="P15" i="173"/>
  <c r="AK18" i="173"/>
  <c r="I16" i="292"/>
  <c r="K16" i="292" s="1"/>
  <c r="AL19" i="173"/>
  <c r="AN19" i="173" s="1"/>
  <c r="C19" i="173"/>
  <c r="F19" i="173"/>
  <c r="I19" i="173"/>
  <c r="L19" i="173"/>
  <c r="N19" i="173"/>
  <c r="Q19" i="173"/>
  <c r="E19" i="173"/>
  <c r="G19" i="173"/>
  <c r="J19" i="173"/>
  <c r="M19" i="173"/>
  <c r="P19" i="173"/>
  <c r="H19" i="293"/>
  <c r="I20" i="293"/>
  <c r="K20" i="293" s="1"/>
  <c r="H23" i="296"/>
  <c r="I24" i="296"/>
  <c r="K24" i="296" s="1"/>
  <c r="U12" i="41"/>
  <c r="V12" i="41" s="1"/>
  <c r="H24" i="296"/>
  <c r="E44" i="292"/>
  <c r="E45" i="292"/>
  <c r="I22" i="292"/>
  <c r="K22" i="292" s="1"/>
  <c r="D44" i="292"/>
  <c r="T50" i="214"/>
  <c r="T47" i="214"/>
  <c r="T51" i="214"/>
  <c r="T48" i="214"/>
  <c r="T52" i="214"/>
  <c r="T49" i="214"/>
  <c r="S47" i="214"/>
  <c r="S51" i="214"/>
  <c r="S48" i="214"/>
  <c r="S52" i="214"/>
  <c r="S49" i="214"/>
  <c r="S50" i="214"/>
  <c r="P9" i="173"/>
  <c r="AD12" i="173" s="1"/>
  <c r="W12" i="173"/>
  <c r="T44" i="185"/>
  <c r="J44" i="185"/>
  <c r="Z19" i="185"/>
  <c r="J15" i="295"/>
  <c r="I64" i="295"/>
  <c r="I80" i="295"/>
  <c r="I48" i="295"/>
  <c r="I94" i="295"/>
  <c r="I112" i="295" s="1"/>
  <c r="I124" i="295" s="1"/>
  <c r="G98" i="314"/>
  <c r="F63" i="314"/>
  <c r="F78" i="314"/>
  <c r="F47" i="314"/>
  <c r="G15" i="314"/>
  <c r="I102" i="314"/>
  <c r="I95" i="314"/>
  <c r="I97" i="314"/>
  <c r="I101" i="314"/>
  <c r="I100" i="314"/>
  <c r="I96" i="314"/>
  <c r="I99" i="314"/>
  <c r="D76" i="314"/>
  <c r="D95" i="314"/>
  <c r="I48" i="296"/>
  <c r="D50" i="296"/>
  <c r="E76" i="314"/>
  <c r="E95" i="314" s="1"/>
  <c r="G44" i="314"/>
  <c r="I98" i="314"/>
  <c r="T48" i="293"/>
  <c r="K50" i="293"/>
  <c r="AB46" i="293"/>
  <c r="I10" i="288"/>
  <c r="D41" i="288"/>
  <c r="D42" i="288"/>
  <c r="D43" i="288"/>
  <c r="D45" i="288"/>
  <c r="D46" i="288"/>
  <c r="D44" i="288"/>
  <c r="AC14" i="288"/>
  <c r="AC18" i="288"/>
  <c r="AC22" i="288"/>
  <c r="I17" i="293"/>
  <c r="K17" i="293" s="1"/>
  <c r="H23" i="292"/>
  <c r="H10" i="296"/>
  <c r="E43" i="296"/>
  <c r="E45" i="296"/>
  <c r="E46" i="296"/>
  <c r="E41" i="296"/>
  <c r="E44" i="296"/>
  <c r="E42" i="296"/>
  <c r="J41" i="293"/>
  <c r="J42" i="293"/>
  <c r="J46" i="293"/>
  <c r="J44" i="293"/>
  <c r="J43" i="293"/>
  <c r="J45" i="293"/>
  <c r="I11" i="292"/>
  <c r="K11" i="292" s="1"/>
  <c r="AL14" i="173"/>
  <c r="AN14" i="173" s="1"/>
  <c r="E14" i="173"/>
  <c r="G14" i="173"/>
  <c r="J14" i="173"/>
  <c r="M14" i="173"/>
  <c r="P14" i="173"/>
  <c r="C14" i="173"/>
  <c r="F14" i="173"/>
  <c r="I14" i="173"/>
  <c r="L14" i="173"/>
  <c r="N14" i="173"/>
  <c r="Q14" i="173"/>
  <c r="I15" i="293"/>
  <c r="K15" i="293" s="1"/>
  <c r="I19" i="292"/>
  <c r="K19" i="292" s="1"/>
  <c r="C22" i="173"/>
  <c r="F22" i="173"/>
  <c r="AL22" i="173"/>
  <c r="AN22" i="173" s="1"/>
  <c r="E22" i="173"/>
  <c r="G22" i="173"/>
  <c r="J22" i="173"/>
  <c r="M22" i="173"/>
  <c r="P22" i="173"/>
  <c r="I22" i="173"/>
  <c r="Q22" i="173"/>
  <c r="N22" i="173"/>
  <c r="L22" i="173"/>
  <c r="I23" i="296"/>
  <c r="K23" i="296" s="1"/>
  <c r="I12" i="41"/>
  <c r="U23" i="41"/>
  <c r="V23" i="41" s="1"/>
  <c r="AK15" i="173"/>
  <c r="H16" i="293"/>
  <c r="I17" i="296"/>
  <c r="K17" i="296" s="1"/>
  <c r="AK23" i="173"/>
  <c r="F41" i="296"/>
  <c r="F42" i="296"/>
  <c r="F44" i="296"/>
  <c r="F46" i="296"/>
  <c r="F43" i="296"/>
  <c r="F45" i="296"/>
  <c r="H11" i="296"/>
  <c r="I12" i="293"/>
  <c r="K12" i="293" s="1"/>
  <c r="H15" i="293"/>
  <c r="I16" i="293"/>
  <c r="K16" i="293" s="1"/>
  <c r="H19" i="296"/>
  <c r="I20" i="296"/>
  <c r="K20" i="296" s="1"/>
  <c r="H23" i="288"/>
  <c r="I24" i="288"/>
  <c r="K24" i="288" s="1"/>
  <c r="O42" i="41"/>
  <c r="O44" i="41"/>
  <c r="O46" i="41"/>
  <c r="B115" i="285"/>
  <c r="B127" i="285" s="1"/>
  <c r="B10" i="286"/>
  <c r="H24" i="288"/>
  <c r="I13" i="292"/>
  <c r="K13" i="292" s="1"/>
  <c r="B10" i="290"/>
  <c r="B107" i="289"/>
  <c r="B117" i="289" s="1"/>
  <c r="E41" i="292"/>
  <c r="G62" i="289"/>
  <c r="G46" i="289"/>
  <c r="G88" i="289"/>
  <c r="G104" i="289" s="1"/>
  <c r="G114" i="289" s="1"/>
  <c r="G76" i="289"/>
  <c r="H15" i="289"/>
  <c r="O41" i="41"/>
  <c r="T48" i="292"/>
  <c r="K50" i="292"/>
  <c r="D41" i="292"/>
  <c r="I10" i="292"/>
  <c r="T43" i="185"/>
  <c r="V15" i="185"/>
  <c r="Z15" i="185" s="1"/>
  <c r="T47" i="185"/>
  <c r="T42" i="185"/>
  <c r="T46" i="185"/>
  <c r="T45" i="185"/>
  <c r="H15" i="52"/>
  <c r="G64" i="52"/>
  <c r="G48" i="52"/>
  <c r="G94" i="52"/>
  <c r="G112" i="52" s="1"/>
  <c r="G124" i="52" s="1"/>
  <c r="G80" i="52"/>
  <c r="F67" i="314"/>
  <c r="F36" i="314"/>
  <c r="F40" i="314" s="1"/>
  <c r="F44" i="314" s="1"/>
  <c r="E50" i="314" s="1"/>
  <c r="J44" i="314"/>
  <c r="E49" i="314"/>
  <c r="D50" i="288"/>
  <c r="I48" i="288"/>
  <c r="G64" i="285"/>
  <c r="G80" i="285"/>
  <c r="G48" i="285"/>
  <c r="G94" i="285"/>
  <c r="G112" i="285" s="1"/>
  <c r="G124" i="285" s="1"/>
  <c r="H15" i="285"/>
  <c r="G96" i="314"/>
  <c r="AL13" i="173"/>
  <c r="AN13" i="173" s="1"/>
  <c r="E13" i="173"/>
  <c r="G13" i="173"/>
  <c r="J13" i="173"/>
  <c r="M13" i="173"/>
  <c r="P13" i="173"/>
  <c r="C13" i="173"/>
  <c r="F13" i="173"/>
  <c r="I13" i="173"/>
  <c r="L13" i="173"/>
  <c r="N13" i="173"/>
  <c r="Q13" i="173"/>
  <c r="AL17" i="173"/>
  <c r="AN17" i="173" s="1"/>
  <c r="E17" i="173"/>
  <c r="G17" i="173"/>
  <c r="J17" i="173"/>
  <c r="M17" i="173"/>
  <c r="P17" i="173"/>
  <c r="C17" i="173"/>
  <c r="F17" i="173"/>
  <c r="I17" i="173"/>
  <c r="L17" i="173"/>
  <c r="N17" i="173"/>
  <c r="Q17" i="173"/>
  <c r="E21" i="173"/>
  <c r="G21" i="173"/>
  <c r="J21" i="173"/>
  <c r="M21" i="173"/>
  <c r="P21" i="173"/>
  <c r="C21" i="173"/>
  <c r="F21" i="173"/>
  <c r="I21" i="173"/>
  <c r="L21" i="173"/>
  <c r="N21" i="173"/>
  <c r="Q21" i="173"/>
  <c r="AL21" i="173"/>
  <c r="AN21" i="173" s="1"/>
  <c r="AL25" i="173"/>
  <c r="AN25" i="173" s="1"/>
  <c r="E25" i="173"/>
  <c r="G25" i="173"/>
  <c r="J25" i="173"/>
  <c r="M25" i="173"/>
  <c r="P25" i="173"/>
  <c r="C25" i="173"/>
  <c r="N25" i="173"/>
  <c r="L25" i="173"/>
  <c r="I25" i="173"/>
  <c r="F25" i="173"/>
  <c r="Q25" i="173"/>
  <c r="H11" i="292"/>
  <c r="H10" i="288"/>
  <c r="E44" i="288"/>
  <c r="E41" i="288"/>
  <c r="E42" i="288"/>
  <c r="E43" i="288"/>
  <c r="E45" i="288"/>
  <c r="E46" i="288"/>
  <c r="J41" i="296"/>
  <c r="J42" i="296"/>
  <c r="J44" i="296"/>
  <c r="J43" i="296"/>
  <c r="J45" i="296"/>
  <c r="J46" i="296"/>
  <c r="I11" i="293"/>
  <c r="K11" i="293" s="1"/>
  <c r="I15" i="288"/>
  <c r="K15" i="288" s="1"/>
  <c r="I19" i="293"/>
  <c r="K19" i="293" s="1"/>
  <c r="I23" i="288"/>
  <c r="K23" i="288" s="1"/>
  <c r="U19" i="41"/>
  <c r="V19" i="41" s="1"/>
  <c r="G43" i="296"/>
  <c r="G45" i="296"/>
  <c r="G46" i="296"/>
  <c r="G41" i="296"/>
  <c r="G44" i="296"/>
  <c r="G42" i="296"/>
  <c r="I21" i="293"/>
  <c r="K21" i="293" s="1"/>
  <c r="G41" i="292"/>
  <c r="G44" i="292"/>
  <c r="G42" i="292"/>
  <c r="G46" i="292"/>
  <c r="G43" i="292"/>
  <c r="G45" i="292"/>
  <c r="I13" i="296"/>
  <c r="K13" i="296" s="1"/>
  <c r="H16" i="296"/>
  <c r="I17" i="288"/>
  <c r="K17" i="288" s="1"/>
  <c r="H20" i="293"/>
  <c r="I21" i="296"/>
  <c r="K21" i="296" s="1"/>
  <c r="F43" i="288"/>
  <c r="F45" i="288"/>
  <c r="F46" i="288"/>
  <c r="F44" i="288"/>
  <c r="F41" i="288"/>
  <c r="F42" i="288"/>
  <c r="H11" i="288"/>
  <c r="I12" i="296"/>
  <c r="K12" i="296" s="1"/>
  <c r="H15" i="296"/>
  <c r="I16" i="296"/>
  <c r="K16" i="296" s="1"/>
  <c r="H19" i="288"/>
  <c r="I20" i="288"/>
  <c r="K20" i="288" s="1"/>
  <c r="AK26" i="173"/>
  <c r="K24" i="292"/>
  <c r="E27" i="173"/>
  <c r="F27" i="173"/>
  <c r="I27" i="173"/>
  <c r="L27" i="173"/>
  <c r="N27" i="173"/>
  <c r="Q27" i="173"/>
  <c r="C27" i="173"/>
  <c r="AL27" i="173"/>
  <c r="AN27" i="173" s="1"/>
  <c r="G27" i="173"/>
  <c r="J27" i="173"/>
  <c r="M27" i="173"/>
  <c r="P27" i="173"/>
  <c r="AK27" i="173"/>
  <c r="H14" i="292"/>
  <c r="H10" i="292"/>
  <c r="I17" i="292"/>
  <c r="K17" i="292" s="1"/>
  <c r="D46" i="292"/>
  <c r="I21" i="292"/>
  <c r="K21" i="292" s="1"/>
  <c r="AC47" i="214"/>
  <c r="AC51" i="214"/>
  <c r="AC48" i="214"/>
  <c r="AC52" i="214"/>
  <c r="AC49" i="214"/>
  <c r="AC50" i="214"/>
  <c r="AB48" i="214"/>
  <c r="AB52" i="214"/>
  <c r="AB49" i="214"/>
  <c r="AB50" i="214"/>
  <c r="AB47" i="214"/>
  <c r="AB51" i="214"/>
  <c r="Y43" i="185"/>
  <c r="Y44" i="185"/>
  <c r="Y42" i="185"/>
  <c r="Y46" i="185"/>
  <c r="Y47" i="185"/>
  <c r="Y45" i="185"/>
  <c r="V45" i="185"/>
  <c r="Z11" i="185"/>
  <c r="V42" i="185"/>
  <c r="V46" i="185"/>
  <c r="V43" i="185"/>
  <c r="V44" i="185"/>
  <c r="V47" i="185"/>
  <c r="J45" i="185"/>
  <c r="AB41" i="296"/>
  <c r="C31" i="156"/>
  <c r="F31" i="156" s="1"/>
  <c r="J76" i="314"/>
  <c r="J97" i="314"/>
  <c r="S41" i="315"/>
  <c r="T41" i="315" s="1"/>
  <c r="Q41" i="315"/>
  <c r="P41" i="315" s="1"/>
  <c r="E98" i="314"/>
  <c r="B114" i="285"/>
  <c r="B126" i="285" s="1"/>
  <c r="B9" i="286"/>
  <c r="I10" i="293"/>
  <c r="D43" i="293"/>
  <c r="D45" i="293"/>
  <c r="D46" i="293"/>
  <c r="D44" i="293"/>
  <c r="D42" i="293"/>
  <c r="D41" i="293"/>
  <c r="U10" i="41"/>
  <c r="P43" i="41"/>
  <c r="P45" i="41"/>
  <c r="P41" i="41"/>
  <c r="P44" i="41"/>
  <c r="P46" i="41"/>
  <c r="R10" i="41"/>
  <c r="P42" i="41"/>
  <c r="AC14" i="293"/>
  <c r="U14" i="41"/>
  <c r="R14" i="41"/>
  <c r="AA14" i="41" s="1"/>
  <c r="AC18" i="293"/>
  <c r="U18" i="41"/>
  <c r="R18" i="41"/>
  <c r="AA18" i="41" s="1"/>
  <c r="AC22" i="293"/>
  <c r="U22" i="41"/>
  <c r="R22" i="41"/>
  <c r="AA22" i="41" s="1"/>
  <c r="I19" i="41"/>
  <c r="H15" i="292"/>
  <c r="J43" i="288"/>
  <c r="J45" i="288"/>
  <c r="J46" i="288"/>
  <c r="J44" i="288"/>
  <c r="J41" i="288"/>
  <c r="J42" i="288"/>
  <c r="I11" i="296"/>
  <c r="K11" i="296" s="1"/>
  <c r="I15" i="296"/>
  <c r="K15" i="296" s="1"/>
  <c r="AL18" i="173"/>
  <c r="AN18" i="173" s="1"/>
  <c r="E18" i="173"/>
  <c r="G18" i="173"/>
  <c r="J18" i="173"/>
  <c r="M18" i="173"/>
  <c r="P18" i="173"/>
  <c r="C18" i="173"/>
  <c r="F18" i="173"/>
  <c r="I18" i="173"/>
  <c r="L18" i="173"/>
  <c r="N18" i="173"/>
  <c r="Q18" i="173"/>
  <c r="I19" i="296"/>
  <c r="K19" i="296" s="1"/>
  <c r="I23" i="292"/>
  <c r="K23" i="292" s="1"/>
  <c r="AL26" i="173"/>
  <c r="AN26" i="173" s="1"/>
  <c r="E26" i="173"/>
  <c r="G26" i="173"/>
  <c r="J26" i="173"/>
  <c r="M26" i="173"/>
  <c r="P26" i="173"/>
  <c r="I26" i="173"/>
  <c r="F26" i="173"/>
  <c r="Q26" i="173"/>
  <c r="C26" i="173"/>
  <c r="N26" i="173"/>
  <c r="L26" i="173"/>
  <c r="U15" i="41"/>
  <c r="V15" i="41" s="1"/>
  <c r="G44" i="293"/>
  <c r="G41" i="293"/>
  <c r="G42" i="293"/>
  <c r="G46" i="293"/>
  <c r="G43" i="293"/>
  <c r="G45" i="293"/>
  <c r="H12" i="293"/>
  <c r="I13" i="288"/>
  <c r="K13" i="288" s="1"/>
  <c r="H16" i="288"/>
  <c r="AL20" i="173"/>
  <c r="AN20" i="173" s="1"/>
  <c r="C20" i="173"/>
  <c r="F20" i="173"/>
  <c r="I20" i="173"/>
  <c r="L20" i="173"/>
  <c r="N20" i="173"/>
  <c r="Q20" i="173"/>
  <c r="E20" i="173"/>
  <c r="G20" i="173"/>
  <c r="J20" i="173"/>
  <c r="M20" i="173"/>
  <c r="P20" i="173"/>
  <c r="H20" i="296"/>
  <c r="I21" i="288"/>
  <c r="K21" i="288" s="1"/>
  <c r="F41" i="293"/>
  <c r="F42" i="293"/>
  <c r="F44" i="293"/>
  <c r="F43" i="293"/>
  <c r="F45" i="293"/>
  <c r="F46" i="293"/>
  <c r="AK14" i="173"/>
  <c r="I12" i="288"/>
  <c r="K12" i="288" s="1"/>
  <c r="H15" i="288"/>
  <c r="I16" i="288"/>
  <c r="K16" i="288" s="1"/>
  <c r="AK22" i="173"/>
  <c r="I20" i="292"/>
  <c r="K20" i="292" s="1"/>
  <c r="AL23" i="173"/>
  <c r="AN23" i="173" s="1"/>
  <c r="E23" i="173"/>
  <c r="G23" i="173"/>
  <c r="J23" i="173"/>
  <c r="M23" i="173"/>
  <c r="P23" i="173"/>
  <c r="C23" i="173"/>
  <c r="N23" i="173"/>
  <c r="L23" i="173"/>
  <c r="I23" i="173"/>
  <c r="F23" i="173"/>
  <c r="Q23" i="173"/>
  <c r="H23" i="293"/>
  <c r="I24" i="293"/>
  <c r="K24" i="293" s="1"/>
  <c r="O43" i="41"/>
  <c r="H24" i="293"/>
  <c r="I18" i="292"/>
  <c r="K18" i="292" s="1"/>
  <c r="E42" i="292"/>
  <c r="E46" i="292"/>
  <c r="D42" i="292"/>
  <c r="D45" i="292"/>
  <c r="AD50" i="214"/>
  <c r="AD47" i="214"/>
  <c r="AD51" i="214"/>
  <c r="AD48" i="214"/>
  <c r="AD52" i="214"/>
  <c r="AD49" i="214"/>
  <c r="R48" i="214"/>
  <c r="R52" i="214"/>
  <c r="R49" i="214"/>
  <c r="R50" i="214"/>
  <c r="R47" i="214"/>
  <c r="R51" i="214"/>
  <c r="BS14" i="213"/>
  <c r="BT14" i="213"/>
  <c r="BU14" i="213"/>
  <c r="BV14" i="213"/>
  <c r="BW14" i="213"/>
  <c r="BX14" i="213"/>
  <c r="BY14" i="213"/>
  <c r="BZ14" i="213"/>
  <c r="CE14" i="213"/>
  <c r="B15" i="213"/>
  <c r="A15" i="213"/>
  <c r="AC19" i="296" l="1"/>
  <c r="V22" i="41"/>
  <c r="I22" i="41" s="1"/>
  <c r="K10" i="293"/>
  <c r="I43" i="293"/>
  <c r="I45" i="293"/>
  <c r="I46" i="293"/>
  <c r="I44" i="293"/>
  <c r="I41" i="293"/>
  <c r="I42" i="293"/>
  <c r="Z42" i="185"/>
  <c r="Z43" i="185"/>
  <c r="Z46" i="185"/>
  <c r="Z47" i="185"/>
  <c r="Z45" i="185"/>
  <c r="Z44" i="185"/>
  <c r="AC21" i="292"/>
  <c r="AC21" i="293"/>
  <c r="AC23" i="288"/>
  <c r="H41" i="288"/>
  <c r="H42" i="288"/>
  <c r="H43" i="288"/>
  <c r="H45" i="288"/>
  <c r="H46" i="288"/>
  <c r="H44" i="288"/>
  <c r="N46" i="173"/>
  <c r="N44" i="173"/>
  <c r="N48" i="173"/>
  <c r="N49" i="173"/>
  <c r="N47" i="173"/>
  <c r="N45" i="173"/>
  <c r="C46" i="173"/>
  <c r="C44" i="173"/>
  <c r="C48" i="173"/>
  <c r="C49" i="173"/>
  <c r="C47" i="173"/>
  <c r="C45" i="173"/>
  <c r="G45" i="173"/>
  <c r="G49" i="173"/>
  <c r="G47" i="173"/>
  <c r="G48" i="173"/>
  <c r="G46" i="173"/>
  <c r="G44" i="173"/>
  <c r="F76" i="314"/>
  <c r="F95" i="314" s="1"/>
  <c r="K10" i="292"/>
  <c r="I41" i="292"/>
  <c r="I43" i="292"/>
  <c r="I45" i="292"/>
  <c r="I46" i="292"/>
  <c r="I42" i="292"/>
  <c r="I44" i="292"/>
  <c r="AC20" i="296"/>
  <c r="AC12" i="293"/>
  <c r="AC15" i="293"/>
  <c r="AC17" i="293"/>
  <c r="K48" i="296"/>
  <c r="I50" i="296"/>
  <c r="I103" i="314"/>
  <c r="AC13" i="293"/>
  <c r="AC15" i="292"/>
  <c r="I43" i="296"/>
  <c r="I45" i="296"/>
  <c r="I46" i="296"/>
  <c r="K10" i="296"/>
  <c r="I41" i="296"/>
  <c r="I44" i="296"/>
  <c r="I42" i="296"/>
  <c r="AC24" i="293"/>
  <c r="AC16" i="288"/>
  <c r="AC15" i="296"/>
  <c r="V18" i="41"/>
  <c r="I18" i="41"/>
  <c r="V10" i="41"/>
  <c r="U41" i="41"/>
  <c r="U42" i="41"/>
  <c r="U43" i="41"/>
  <c r="U44" i="41"/>
  <c r="U45" i="41"/>
  <c r="U46" i="41"/>
  <c r="I10" i="41"/>
  <c r="AC20" i="288"/>
  <c r="AC12" i="296"/>
  <c r="AC21" i="296"/>
  <c r="AC13" i="296"/>
  <c r="AC19" i="293"/>
  <c r="L44" i="173"/>
  <c r="L48" i="173"/>
  <c r="L46" i="173"/>
  <c r="L47" i="173"/>
  <c r="L45" i="173"/>
  <c r="L49" i="173"/>
  <c r="P47" i="173"/>
  <c r="P45" i="173"/>
  <c r="P49" i="173"/>
  <c r="P46" i="173"/>
  <c r="P44" i="173"/>
  <c r="P48" i="173"/>
  <c r="E47" i="173"/>
  <c r="E45" i="173"/>
  <c r="E49" i="173"/>
  <c r="E46" i="173"/>
  <c r="E44" i="173"/>
  <c r="E48" i="173"/>
  <c r="I15" i="285"/>
  <c r="H48" i="285"/>
  <c r="H94" i="285"/>
  <c r="H112" i="285" s="1"/>
  <c r="H124" i="285" s="1"/>
  <c r="H80" i="285"/>
  <c r="H64" i="285"/>
  <c r="H48" i="52"/>
  <c r="H80" i="52"/>
  <c r="I15" i="52"/>
  <c r="H64" i="52"/>
  <c r="H94" i="52"/>
  <c r="H112" i="52" s="1"/>
  <c r="H124" i="52" s="1"/>
  <c r="V48" i="292"/>
  <c r="U48" i="292"/>
  <c r="W48" i="292" s="1"/>
  <c r="AC17" i="296"/>
  <c r="AC11" i="292"/>
  <c r="I15" i="41"/>
  <c r="K10" i="288"/>
  <c r="I44" i="288"/>
  <c r="I41" i="288"/>
  <c r="I42" i="288"/>
  <c r="I43" i="288"/>
  <c r="I45" i="288"/>
  <c r="I46" i="288"/>
  <c r="V48" i="293"/>
  <c r="U48" i="293"/>
  <c r="W48" i="293" s="1"/>
  <c r="E97" i="314"/>
  <c r="E101" i="314"/>
  <c r="E100" i="314"/>
  <c r="E96" i="314"/>
  <c r="E103" i="314" s="1"/>
  <c r="E99" i="314"/>
  <c r="E102" i="314"/>
  <c r="AC20" i="293"/>
  <c r="AC12" i="292"/>
  <c r="V11" i="41"/>
  <c r="I11" i="41" s="1"/>
  <c r="AC11" i="288"/>
  <c r="H43" i="293"/>
  <c r="H45" i="293"/>
  <c r="H46" i="293"/>
  <c r="H44" i="293"/>
  <c r="H41" i="293"/>
  <c r="H42" i="293"/>
  <c r="G103" i="314"/>
  <c r="AC18" i="292"/>
  <c r="AC13" i="288"/>
  <c r="AC11" i="296"/>
  <c r="V14" i="41"/>
  <c r="I14" i="41"/>
  <c r="AC17" i="292"/>
  <c r="AC15" i="288"/>
  <c r="I46" i="173"/>
  <c r="I44" i="173"/>
  <c r="I48" i="173"/>
  <c r="I45" i="173"/>
  <c r="I49" i="173"/>
  <c r="I47" i="173"/>
  <c r="M45" i="173"/>
  <c r="M49" i="173"/>
  <c r="M47" i="173"/>
  <c r="M44" i="173"/>
  <c r="M48" i="173"/>
  <c r="M46" i="173"/>
  <c r="I50" i="288"/>
  <c r="K48" i="288"/>
  <c r="T50" i="292"/>
  <c r="AC24" i="288"/>
  <c r="AC16" i="293"/>
  <c r="AC23" i="296"/>
  <c r="H41" i="296"/>
  <c r="H42" i="296"/>
  <c r="H44" i="296"/>
  <c r="H46" i="296"/>
  <c r="H45" i="296"/>
  <c r="H43" i="296"/>
  <c r="D96" i="314"/>
  <c r="D103" i="314" s="1"/>
  <c r="D97" i="314"/>
  <c r="D98" i="314"/>
  <c r="D99" i="314"/>
  <c r="D100" i="314"/>
  <c r="D101" i="314"/>
  <c r="D102" i="314"/>
  <c r="H15" i="314"/>
  <c r="G47" i="314"/>
  <c r="G63" i="314"/>
  <c r="G78" i="314"/>
  <c r="AC22" i="292"/>
  <c r="AC23" i="293"/>
  <c r="H76" i="314"/>
  <c r="H95" i="314" s="1"/>
  <c r="AC20" i="292"/>
  <c r="AC12" i="288"/>
  <c r="AC21" i="288"/>
  <c r="AC23" i="292"/>
  <c r="AA10" i="41"/>
  <c r="AA8" i="41" s="1" a="1"/>
  <c r="AA8" i="41" s="1"/>
  <c r="R41" i="41"/>
  <c r="R42" i="41"/>
  <c r="R43" i="41"/>
  <c r="R44" i="41"/>
  <c r="R45" i="41"/>
  <c r="R46" i="41"/>
  <c r="J95" i="314"/>
  <c r="J96" i="314"/>
  <c r="J98" i="314"/>
  <c r="J100" i="314"/>
  <c r="J102" i="314"/>
  <c r="J101" i="314"/>
  <c r="J99" i="314"/>
  <c r="H43" i="292"/>
  <c r="H45" i="292"/>
  <c r="H46" i="292"/>
  <c r="H44" i="292"/>
  <c r="H42" i="292"/>
  <c r="H41" i="292"/>
  <c r="AC24" i="292"/>
  <c r="AC16" i="296"/>
  <c r="AC17" i="288"/>
  <c r="AC11" i="293"/>
  <c r="Q44" i="173"/>
  <c r="Q48" i="173"/>
  <c r="Q46" i="173"/>
  <c r="Q49" i="173"/>
  <c r="Q47" i="173"/>
  <c r="Q45" i="173"/>
  <c r="F44" i="173"/>
  <c r="F48" i="173"/>
  <c r="F46" i="173"/>
  <c r="F49" i="173"/>
  <c r="F47" i="173"/>
  <c r="F45" i="173"/>
  <c r="J47" i="173"/>
  <c r="J45" i="173"/>
  <c r="J49" i="173"/>
  <c r="J48" i="173"/>
  <c r="J46" i="173"/>
  <c r="J44" i="173"/>
  <c r="F49" i="314"/>
  <c r="AB46" i="292"/>
  <c r="I15" i="289"/>
  <c r="H62" i="289"/>
  <c r="H76" i="289"/>
  <c r="H46" i="289"/>
  <c r="H88" i="289"/>
  <c r="H104" i="289" s="1"/>
  <c r="H114" i="289" s="1"/>
  <c r="AC13" i="292"/>
  <c r="AC19" i="292"/>
  <c r="T50" i="293"/>
  <c r="F50" i="314"/>
  <c r="K15" i="295"/>
  <c r="J64" i="295"/>
  <c r="J80" i="295"/>
  <c r="J48" i="295"/>
  <c r="J94" i="295"/>
  <c r="J112" i="295" s="1"/>
  <c r="J124" i="295" s="1"/>
  <c r="AC24" i="296"/>
  <c r="AC16" i="292"/>
  <c r="AC19" i="288"/>
  <c r="G50" i="314"/>
  <c r="I23" i="41"/>
  <c r="BS15" i="213"/>
  <c r="BT15" i="213"/>
  <c r="BU15" i="213"/>
  <c r="BV15" i="213"/>
  <c r="BW15" i="213"/>
  <c r="BX15" i="213"/>
  <c r="BY15" i="213"/>
  <c r="BZ15" i="213"/>
  <c r="CE15" i="213"/>
  <c r="B16" i="213"/>
  <c r="A16" i="213"/>
  <c r="V50" i="293" l="1"/>
  <c r="U50" i="293"/>
  <c r="W50" i="293" s="1"/>
  <c r="J103" i="314"/>
  <c r="G49" i="314"/>
  <c r="K50" i="288"/>
  <c r="AB46" i="288" s="1"/>
  <c r="T48" i="288"/>
  <c r="I41" i="41"/>
  <c r="I42" i="41"/>
  <c r="I43" i="41"/>
  <c r="I44" i="41"/>
  <c r="I45" i="41"/>
  <c r="I46" i="41"/>
  <c r="H49" i="314"/>
  <c r="H50" i="314"/>
  <c r="I76" i="289"/>
  <c r="J15" i="289"/>
  <c r="I62" i="289"/>
  <c r="I46" i="289"/>
  <c r="I88" i="289"/>
  <c r="I104" i="289" s="1"/>
  <c r="I114" i="289" s="1"/>
  <c r="AC10" i="288"/>
  <c r="K43" i="288"/>
  <c r="K45" i="288"/>
  <c r="K46" i="288"/>
  <c r="K44" i="288"/>
  <c r="K41" i="288"/>
  <c r="K42" i="288"/>
  <c r="I64" i="52"/>
  <c r="I80" i="52"/>
  <c r="I48" i="52"/>
  <c r="I94" i="52"/>
  <c r="I112" i="52" s="1"/>
  <c r="I124" i="52" s="1"/>
  <c r="J15" i="52"/>
  <c r="I64" i="285"/>
  <c r="I80" i="285"/>
  <c r="J15" i="285"/>
  <c r="I48" i="285"/>
  <c r="I94" i="285"/>
  <c r="I112" i="285" s="1"/>
  <c r="I124" i="285" s="1"/>
  <c r="H78" i="314"/>
  <c r="H63" i="314"/>
  <c r="H47" i="314"/>
  <c r="I15" i="314"/>
  <c r="U50" i="292"/>
  <c r="W50" i="292" s="1"/>
  <c r="V50" i="292"/>
  <c r="AC10" i="296"/>
  <c r="K43" i="296"/>
  <c r="K45" i="296"/>
  <c r="K46" i="296"/>
  <c r="K42" i="296"/>
  <c r="K44" i="296"/>
  <c r="K41" i="296"/>
  <c r="T48" i="296"/>
  <c r="AB46" i="296"/>
  <c r="K50" i="296"/>
  <c r="AC10" i="292"/>
  <c r="K44" i="292"/>
  <c r="K41" i="292"/>
  <c r="K42" i="292"/>
  <c r="K43" i="292"/>
  <c r="K45" i="292"/>
  <c r="K46" i="292"/>
  <c r="AC10" i="293"/>
  <c r="K44" i="293"/>
  <c r="K41" i="293"/>
  <c r="K42" i="293"/>
  <c r="K43" i="293"/>
  <c r="K45" i="293"/>
  <c r="K46" i="293"/>
  <c r="K64" i="295"/>
  <c r="K80" i="295"/>
  <c r="K48" i="295"/>
  <c r="K94" i="295"/>
  <c r="H96" i="314"/>
  <c r="H103" i="314" s="1"/>
  <c r="H98" i="314"/>
  <c r="H100" i="314"/>
  <c r="H102" i="314"/>
  <c r="H99" i="314"/>
  <c r="H101" i="314"/>
  <c r="H97" i="314"/>
  <c r="V46" i="41"/>
  <c r="V41" i="41"/>
  <c r="V43" i="41"/>
  <c r="V44" i="41"/>
  <c r="V42" i="41"/>
  <c r="V45" i="41"/>
  <c r="F96" i="314"/>
  <c r="F103" i="314" s="1"/>
  <c r="F98" i="314"/>
  <c r="F100" i="314"/>
  <c r="F99" i="314"/>
  <c r="F102" i="314"/>
  <c r="F97" i="314"/>
  <c r="F101" i="314"/>
  <c r="BS16" i="213"/>
  <c r="BT16" i="213"/>
  <c r="BU16" i="213"/>
  <c r="BV16" i="213"/>
  <c r="BW16" i="213"/>
  <c r="BX16" i="213"/>
  <c r="BY16" i="213"/>
  <c r="BZ16" i="213"/>
  <c r="CE16" i="213"/>
  <c r="B17" i="213"/>
  <c r="A17" i="213"/>
  <c r="V48" i="296" l="1"/>
  <c r="U48" i="296"/>
  <c r="W48" i="296" s="1"/>
  <c r="K15" i="285"/>
  <c r="J48" i="285"/>
  <c r="J94" i="285"/>
  <c r="J112" i="285" s="1"/>
  <c r="J124" i="285" s="1"/>
  <c r="J80" i="285"/>
  <c r="J64" i="285"/>
  <c r="U48" i="288"/>
  <c r="W48" i="288" s="1"/>
  <c r="V48" i="288"/>
  <c r="T50" i="296"/>
  <c r="J46" i="289"/>
  <c r="J88" i="289"/>
  <c r="J104" i="289" s="1"/>
  <c r="J114" i="289" s="1"/>
  <c r="J76" i="289"/>
  <c r="J62" i="289"/>
  <c r="K15" i="289"/>
  <c r="J15" i="314"/>
  <c r="I47" i="314"/>
  <c r="I78" i="314"/>
  <c r="I63" i="314"/>
  <c r="T50" i="288"/>
  <c r="K15" i="52"/>
  <c r="J64" i="52"/>
  <c r="J80" i="52"/>
  <c r="J94" i="52"/>
  <c r="J112" i="52" s="1"/>
  <c r="J124" i="52" s="1"/>
  <c r="J48" i="52"/>
  <c r="I49" i="314"/>
  <c r="I50" i="314"/>
  <c r="BS17" i="213"/>
  <c r="BT17" i="213"/>
  <c r="BU17" i="213"/>
  <c r="BV17" i="213"/>
  <c r="BW17" i="213"/>
  <c r="BX17" i="213"/>
  <c r="BY17" i="213"/>
  <c r="BZ17" i="213"/>
  <c r="CE17" i="213"/>
  <c r="B18" i="213"/>
  <c r="A18" i="213"/>
  <c r="J49" i="314" l="1"/>
  <c r="K62" i="289"/>
  <c r="K46" i="289"/>
  <c r="K88" i="289"/>
  <c r="K76" i="289"/>
  <c r="U50" i="288"/>
  <c r="W50" i="288" s="1"/>
  <c r="V50" i="288"/>
  <c r="J63" i="314"/>
  <c r="J78" i="314"/>
  <c r="J47" i="314"/>
  <c r="K64" i="285"/>
  <c r="K80" i="285"/>
  <c r="K94" i="285"/>
  <c r="K48" i="285"/>
  <c r="K48" i="52"/>
  <c r="K80" i="52"/>
  <c r="K94" i="52"/>
  <c r="K64" i="52"/>
  <c r="U50" i="296"/>
  <c r="W50" i="296" s="1"/>
  <c r="V50" i="296"/>
  <c r="BS18" i="213"/>
  <c r="BT18" i="213"/>
  <c r="BU18" i="213"/>
  <c r="BV18" i="213"/>
  <c r="BW18" i="213"/>
  <c r="BX18" i="213"/>
  <c r="BY18" i="213"/>
  <c r="BZ18" i="213"/>
  <c r="CE18" i="213"/>
  <c r="B19" i="213"/>
  <c r="A19" i="213"/>
  <c r="BS19" i="213" l="1"/>
  <c r="BT19" i="213"/>
  <c r="BU19" i="213"/>
  <c r="BV19" i="213"/>
  <c r="BW19" i="213"/>
  <c r="BX19" i="213"/>
  <c r="BY19" i="213"/>
  <c r="BZ19" i="213"/>
  <c r="CE19" i="213"/>
  <c r="B20" i="213"/>
  <c r="A20" i="213"/>
  <c r="BS20" i="213"/>
  <c r="BT20" i="213"/>
  <c r="BU20" i="213"/>
  <c r="BV20" i="213"/>
  <c r="BW20" i="213"/>
  <c r="BX20" i="213"/>
  <c r="BY20" i="213"/>
  <c r="BZ20" i="213"/>
  <c r="CE20" i="213"/>
  <c r="B21" i="213"/>
  <c r="A21" i="213"/>
  <c r="BS21" i="213"/>
  <c r="BT21" i="213"/>
  <c r="BU21" i="213"/>
  <c r="BV21" i="213"/>
  <c r="BW21" i="213"/>
  <c r="BX21" i="213"/>
  <c r="BY21" i="213"/>
  <c r="BZ21" i="213"/>
  <c r="CE21" i="213"/>
  <c r="B22" i="213"/>
  <c r="A22" i="213"/>
  <c r="BS22" i="213"/>
  <c r="BT22" i="213"/>
  <c r="BU22" i="213"/>
  <c r="BV22" i="213"/>
  <c r="BW22" i="213"/>
  <c r="BX22" i="213"/>
  <c r="BY22" i="213"/>
  <c r="BZ22" i="213"/>
  <c r="CE22" i="213"/>
  <c r="B23" i="213"/>
  <c r="A23" i="213"/>
  <c r="BS23" i="213"/>
  <c r="BT23" i="213"/>
  <c r="BU23" i="213"/>
  <c r="BV23" i="213"/>
  <c r="BW23" i="213"/>
  <c r="BX23" i="213"/>
  <c r="BY23" i="213"/>
  <c r="BZ23" i="213"/>
  <c r="CE23" i="213"/>
  <c r="B24" i="213"/>
  <c r="A24" i="213"/>
  <c r="BS24" i="213"/>
  <c r="BT24" i="213"/>
  <c r="BU24" i="213"/>
  <c r="BV24" i="213"/>
  <c r="BW24" i="213"/>
  <c r="BX24" i="213"/>
  <c r="BY24" i="213"/>
  <c r="BZ24" i="213"/>
  <c r="CE24" i="213"/>
  <c r="B25" i="213"/>
  <c r="A25" i="213"/>
  <c r="BS25" i="213"/>
  <c r="BT25" i="213"/>
  <c r="BU25" i="213"/>
  <c r="BV25" i="213"/>
  <c r="BW25" i="213"/>
  <c r="BX25" i="213"/>
  <c r="BY25" i="213"/>
  <c r="BZ25" i="213"/>
  <c r="CE25" i="213"/>
  <c r="B26" i="213"/>
  <c r="A26" i="213"/>
  <c r="BS26" i="213"/>
  <c r="BT26" i="213"/>
  <c r="BU26" i="213"/>
  <c r="BV26" i="213"/>
  <c r="BW26" i="213"/>
  <c r="BX26" i="213"/>
  <c r="BY26" i="213"/>
  <c r="BZ26" i="213"/>
  <c r="CE26" i="213"/>
  <c r="B27" i="213"/>
  <c r="A27" i="213"/>
  <c r="G27" i="213"/>
  <c r="BS27" i="213"/>
  <c r="BT27" i="213"/>
  <c r="BU27" i="213"/>
  <c r="BV27" i="213"/>
  <c r="BW27" i="213"/>
  <c r="BX27" i="213"/>
  <c r="BY27" i="213"/>
  <c r="BZ27" i="213"/>
  <c r="CE27" i="213"/>
  <c r="B28" i="213"/>
  <c r="A28" i="213"/>
  <c r="G28" i="213"/>
  <c r="BS28" i="213"/>
  <c r="BT28" i="213"/>
  <c r="BU28" i="213"/>
  <c r="BV28" i="213"/>
  <c r="BW28" i="213"/>
  <c r="BX28" i="213"/>
  <c r="BY28" i="213"/>
  <c r="BZ28" i="213"/>
  <c r="CE28" i="213"/>
  <c r="B29" i="213"/>
  <c r="A29" i="213"/>
  <c r="G29" i="213"/>
  <c r="BS29" i="213"/>
  <c r="BT29" i="213"/>
  <c r="BU29" i="213"/>
  <c r="BV29" i="213"/>
  <c r="BW29" i="213"/>
  <c r="BX29" i="213"/>
  <c r="BY29" i="213"/>
  <c r="BZ29" i="213"/>
  <c r="CE29" i="213"/>
  <c r="B30" i="213"/>
  <c r="A30" i="213"/>
  <c r="G30" i="213"/>
  <c r="BS30" i="213"/>
  <c r="BT30" i="213"/>
  <c r="BU30" i="213"/>
  <c r="BV30" i="213"/>
  <c r="BW30" i="213"/>
  <c r="BX30" i="213"/>
  <c r="BY30" i="213"/>
  <c r="BZ30" i="213"/>
  <c r="CE30" i="213"/>
  <c r="B31" i="213"/>
  <c r="A31" i="213"/>
  <c r="G31" i="213"/>
  <c r="BS31" i="213"/>
  <c r="BT31" i="213"/>
  <c r="BU31" i="213"/>
  <c r="BV31" i="213"/>
  <c r="BW31" i="213"/>
  <c r="BX31" i="213"/>
  <c r="BY31" i="213"/>
  <c r="BZ31" i="213"/>
  <c r="CE31" i="213"/>
  <c r="B32" i="213"/>
  <c r="A32" i="213"/>
  <c r="G32" i="213"/>
  <c r="BS32" i="213"/>
  <c r="BT32" i="213"/>
  <c r="BU32" i="213"/>
  <c r="BV32" i="213"/>
  <c r="BW32" i="213"/>
  <c r="BX32" i="213"/>
  <c r="BY32" i="213"/>
  <c r="BZ32" i="213"/>
  <c r="CE32" i="213"/>
  <c r="B33" i="213"/>
  <c r="A33" i="213"/>
  <c r="G33" i="213"/>
  <c r="BS33" i="213"/>
  <c r="BT33" i="213"/>
  <c r="BU33" i="213"/>
  <c r="BV33" i="213"/>
  <c r="BW33" i="213"/>
  <c r="BX33" i="213"/>
  <c r="BY33" i="213"/>
  <c r="BZ33" i="213"/>
  <c r="CE33" i="213"/>
  <c r="B34" i="213"/>
  <c r="A34" i="213"/>
  <c r="G34" i="213"/>
  <c r="BS34" i="213"/>
  <c r="BT34" i="213"/>
  <c r="BU34" i="213"/>
  <c r="BV34" i="213"/>
  <c r="BW34" i="213"/>
  <c r="BX34" i="213"/>
  <c r="BY34" i="213"/>
  <c r="BZ34" i="213"/>
  <c r="CE34" i="213"/>
  <c r="B35" i="213"/>
  <c r="A35" i="213"/>
  <c r="G35" i="213"/>
  <c r="BS35" i="213"/>
  <c r="BT35" i="213"/>
  <c r="BU35" i="213"/>
  <c r="BV35" i="213"/>
  <c r="BW35" i="213"/>
  <c r="BX35" i="213"/>
  <c r="BY35" i="213"/>
  <c r="BZ35" i="213"/>
  <c r="CE35" i="213"/>
  <c r="B36" i="213"/>
  <c r="A36" i="213"/>
  <c r="G36" i="213"/>
  <c r="BS36" i="213"/>
  <c r="BT36" i="213"/>
  <c r="BU36" i="213"/>
  <c r="BV36" i="213"/>
  <c r="BW36" i="213"/>
  <c r="BX36" i="213"/>
  <c r="BY36" i="213"/>
  <c r="BZ36" i="213"/>
  <c r="CE36" i="213"/>
  <c r="B37" i="213"/>
  <c r="A37" i="213"/>
  <c r="G37" i="213"/>
  <c r="BS37" i="213"/>
  <c r="BT37" i="213"/>
  <c r="BU37" i="213"/>
  <c r="BV37" i="213"/>
  <c r="BW37" i="213"/>
  <c r="BX37" i="213"/>
  <c r="BY37" i="213"/>
  <c r="BZ37" i="213"/>
  <c r="CE37" i="213"/>
  <c r="B38" i="213"/>
  <c r="A38" i="213"/>
  <c r="G38" i="213"/>
  <c r="BS38" i="213"/>
  <c r="BT38" i="213"/>
  <c r="BU38" i="213"/>
  <c r="BV38" i="213"/>
  <c r="BW38" i="213"/>
  <c r="BX38" i="213"/>
  <c r="BY38" i="213"/>
  <c r="BZ38" i="213"/>
  <c r="CE38" i="213"/>
  <c r="B39" i="213"/>
  <c r="A39" i="213"/>
  <c r="G39" i="213"/>
  <c r="BS39" i="213"/>
  <c r="BT39" i="213"/>
  <c r="BU39" i="213"/>
  <c r="BV39" i="213"/>
  <c r="BW39" i="213"/>
  <c r="BX39" i="213"/>
  <c r="BY39" i="213"/>
  <c r="BZ39" i="213"/>
  <c r="CE39" i="213"/>
  <c r="B40" i="213"/>
  <c r="A40" i="213"/>
  <c r="G40" i="213"/>
  <c r="BS40" i="213"/>
  <c r="BT40" i="213"/>
  <c r="BU40" i="213"/>
  <c r="BV40" i="213"/>
  <c r="BW40" i="213"/>
  <c r="BX40" i="213"/>
  <c r="BY40" i="213"/>
  <c r="BZ40" i="213"/>
  <c r="CE40" i="213"/>
  <c r="B41" i="213"/>
  <c r="A41" i="213"/>
  <c r="G41" i="213"/>
  <c r="BS41" i="213"/>
  <c r="BT41" i="213"/>
  <c r="BU41" i="213"/>
  <c r="BV41" i="213"/>
  <c r="BW41" i="213"/>
  <c r="BX41" i="213"/>
  <c r="BY41" i="213"/>
  <c r="BZ41" i="213"/>
  <c r="CE41" i="213"/>
  <c r="B42" i="213"/>
  <c r="A42" i="213"/>
  <c r="G42" i="213"/>
  <c r="Z4" i="172" l="1"/>
  <c r="AB4" i="172" s="1"/>
  <c r="O6" i="284" s="1"/>
  <c r="Z3" i="172"/>
  <c r="AB3" i="172" s="1"/>
  <c r="O5" i="284" s="1"/>
  <c r="Z2" i="172"/>
  <c r="AB2" i="172" s="1"/>
  <c r="O4" i="284" s="1"/>
  <c r="BS42" i="213"/>
  <c r="BT42" i="213"/>
  <c r="BU42" i="213"/>
  <c r="BV42" i="213"/>
  <c r="BW42" i="213"/>
  <c r="BX42" i="213"/>
  <c r="BY42" i="213"/>
  <c r="BZ42" i="213"/>
  <c r="CE42" i="213"/>
  <c r="A43" i="213"/>
  <c r="B44" i="213"/>
  <c r="A44" i="213"/>
  <c r="G44" i="213"/>
  <c r="BS44" i="213"/>
  <c r="BT44" i="213"/>
  <c r="BU44" i="213"/>
  <c r="BV44" i="213"/>
  <c r="BW44" i="213"/>
  <c r="BX44" i="213"/>
  <c r="BY44" i="213"/>
  <c r="BZ44" i="213"/>
  <c r="B45" i="213"/>
  <c r="A45" i="213"/>
  <c r="G45" i="213"/>
  <c r="BS45" i="213"/>
  <c r="BT45" i="213"/>
  <c r="BU45" i="213"/>
  <c r="BV45" i="213"/>
  <c r="BW45" i="213"/>
  <c r="BX45" i="213"/>
  <c r="BY45" i="213"/>
  <c r="BZ45" i="213"/>
  <c r="B46" i="213"/>
  <c r="A46" i="213"/>
  <c r="G46" i="213"/>
  <c r="BS46" i="213"/>
  <c r="BT46" i="213"/>
  <c r="BU46" i="213"/>
  <c r="BV46" i="213"/>
  <c r="BW46" i="213"/>
  <c r="BX46" i="213"/>
  <c r="BY46" i="213"/>
  <c r="BZ46" i="213"/>
  <c r="B47" i="213"/>
  <c r="A47" i="213"/>
  <c r="G47" i="213"/>
  <c r="BS47" i="213"/>
  <c r="BT47" i="213"/>
  <c r="BU47" i="213"/>
  <c r="BV47" i="213"/>
  <c r="BW47" i="213"/>
  <c r="BX47" i="213"/>
  <c r="BY47" i="213"/>
  <c r="BZ47" i="213"/>
  <c r="B48" i="213"/>
  <c r="A48" i="213"/>
  <c r="G48" i="213"/>
  <c r="BS48" i="213"/>
  <c r="BT48" i="213"/>
  <c r="BU48" i="213"/>
  <c r="BV48" i="213"/>
  <c r="BW48" i="213"/>
  <c r="BX48" i="213"/>
  <c r="BY48" i="213"/>
  <c r="BZ48" i="213"/>
  <c r="B49" i="213"/>
  <c r="A49" i="213"/>
  <c r="G49" i="213"/>
  <c r="BS49" i="213"/>
  <c r="BT49" i="213"/>
  <c r="BU49" i="213"/>
  <c r="BV49" i="213"/>
  <c r="BW49" i="213"/>
  <c r="BX49" i="213"/>
  <c r="BY49" i="213"/>
  <c r="BZ49" i="213"/>
  <c r="B50" i="213"/>
  <c r="A50" i="213"/>
  <c r="G50" i="213"/>
  <c r="BS50" i="213"/>
  <c r="BT50" i="213"/>
  <c r="BU50" i="213"/>
  <c r="BV50" i="213"/>
  <c r="BW50" i="213"/>
  <c r="BX50" i="213"/>
  <c r="BY50" i="213"/>
  <c r="BZ50" i="213"/>
  <c r="B51" i="213"/>
  <c r="A51" i="213"/>
  <c r="G51" i="213"/>
  <c r="BS51" i="213"/>
  <c r="BT51" i="213"/>
  <c r="BU51" i="213"/>
  <c r="BV51" i="213"/>
  <c r="BW51" i="213"/>
  <c r="BX51" i="213"/>
  <c r="BY51" i="213"/>
  <c r="BZ51" i="213"/>
  <c r="B52" i="213"/>
  <c r="A52" i="213"/>
  <c r="G52" i="213"/>
  <c r="BS52" i="213"/>
  <c r="BT52" i="213"/>
  <c r="BU52" i="213"/>
  <c r="BV52" i="213"/>
  <c r="BW52" i="213"/>
  <c r="BX52" i="213"/>
  <c r="BY52" i="213"/>
  <c r="BZ52" i="213"/>
  <c r="B53" i="213"/>
  <c r="A53" i="213"/>
  <c r="G53" i="213"/>
  <c r="BS53" i="213"/>
  <c r="BT53" i="213"/>
  <c r="BU53" i="213"/>
  <c r="BV53" i="213"/>
  <c r="BW53" i="213"/>
  <c r="BX53" i="213"/>
  <c r="BY53" i="213"/>
  <c r="BZ53" i="213"/>
  <c r="C57" i="213"/>
  <c r="C58" i="213"/>
  <c r="C59" i="213"/>
  <c r="AS65" i="265"/>
  <c r="AB67" i="265"/>
  <c r="AP67" i="265"/>
  <c r="E7" i="276"/>
  <c r="E9" i="276"/>
  <c r="E13" i="276" s="1"/>
  <c r="I95" i="274"/>
  <c r="I96" i="274"/>
  <c r="I97" i="274"/>
  <c r="E9" i="272"/>
  <c r="E10" i="272"/>
  <c r="E11" i="272"/>
  <c r="E12" i="272"/>
  <c r="E13" i="272"/>
  <c r="E14" i="272"/>
  <c r="E15" i="272"/>
  <c r="E16" i="272"/>
  <c r="E17" i="272"/>
  <c r="E18" i="272"/>
  <c r="E19" i="272"/>
  <c r="E20" i="272"/>
  <c r="E21" i="272"/>
  <c r="D23" i="272"/>
  <c r="E23" i="272"/>
  <c r="G23" i="272" s="1"/>
  <c r="F23" i="272"/>
  <c r="E27" i="272"/>
  <c r="E28" i="272"/>
  <c r="G28" i="272" s="1"/>
  <c r="F30" i="272"/>
  <c r="E9" i="271"/>
  <c r="E10" i="271"/>
  <c r="E11" i="271"/>
  <c r="E12" i="271"/>
  <c r="E13" i="271"/>
  <c r="E14" i="271"/>
  <c r="E15" i="271"/>
  <c r="E16" i="271"/>
  <c r="E17" i="271"/>
  <c r="E18" i="271"/>
  <c r="E19" i="271"/>
  <c r="G17" i="271" s="1"/>
  <c r="E20" i="271"/>
  <c r="E34" i="271"/>
  <c r="E35" i="271"/>
  <c r="E36" i="271"/>
  <c r="E37" i="271"/>
  <c r="D22" i="271"/>
  <c r="E22" i="271"/>
  <c r="E26" i="271"/>
  <c r="E27" i="271"/>
  <c r="E28" i="271"/>
  <c r="E29" i="271"/>
  <c r="E39" i="271" s="1"/>
  <c r="E45" i="271" s="1"/>
  <c r="E47" i="271" s="1"/>
  <c r="E53" i="271" s="1"/>
  <c r="E55" i="271" s="1"/>
  <c r="E30" i="271"/>
  <c r="E31" i="271"/>
  <c r="E32" i="271"/>
  <c r="E33" i="271"/>
  <c r="D39" i="271"/>
  <c r="D42" i="271"/>
  <c r="E42" i="271"/>
  <c r="D45" i="271"/>
  <c r="D47" i="271" s="1"/>
  <c r="L132" i="270" s="1"/>
  <c r="E49" i="271"/>
  <c r="E50" i="271"/>
  <c r="E52" i="271"/>
  <c r="E54" i="271"/>
  <c r="C8" i="270"/>
  <c r="C9" i="270"/>
  <c r="C10" i="270"/>
  <c r="C11" i="270"/>
  <c r="C14" i="270"/>
  <c r="C16" i="270"/>
  <c r="C29" i="270"/>
  <c r="C32" i="270"/>
  <c r="C37" i="270"/>
  <c r="C38" i="270"/>
  <c r="C39" i="270"/>
  <c r="C40" i="270"/>
  <c r="C41" i="270"/>
  <c r="C42" i="270"/>
  <c r="C43" i="270"/>
  <c r="C44" i="270"/>
  <c r="C45" i="270"/>
  <c r="C46" i="270"/>
  <c r="C47" i="270"/>
  <c r="C49" i="270"/>
  <c r="C50" i="270"/>
  <c r="C51" i="270"/>
  <c r="C52" i="270"/>
  <c r="C53" i="270"/>
  <c r="C54" i="270"/>
  <c r="C55" i="270"/>
  <c r="C56" i="270"/>
  <c r="C57" i="270"/>
  <c r="C58" i="270"/>
  <c r="C59" i="270"/>
  <c r="C60" i="270"/>
  <c r="C61" i="270"/>
  <c r="C62" i="270"/>
  <c r="C64" i="270"/>
  <c r="C66" i="270"/>
  <c r="C67" i="270"/>
  <c r="C68" i="270"/>
  <c r="C70" i="270"/>
  <c r="C75" i="270"/>
  <c r="C79" i="270"/>
  <c r="C80" i="270"/>
  <c r="C84" i="270"/>
  <c r="C92" i="270"/>
  <c r="C93" i="270"/>
  <c r="C95" i="270"/>
  <c r="C98" i="270"/>
  <c r="C101" i="270"/>
  <c r="C102" i="270"/>
  <c r="C103" i="270"/>
  <c r="C104" i="270"/>
  <c r="C105" i="270"/>
  <c r="C106" i="270"/>
  <c r="C107" i="270"/>
  <c r="C108" i="270"/>
  <c r="C109" i="270"/>
  <c r="C110" i="270"/>
  <c r="C111" i="270"/>
  <c r="C112" i="270"/>
  <c r="C113" i="270"/>
  <c r="C114" i="270"/>
  <c r="C115" i="270"/>
  <c r="C116" i="270"/>
  <c r="C117" i="270"/>
  <c r="C118" i="270"/>
  <c r="C119" i="270"/>
  <c r="C120" i="270"/>
  <c r="C123" i="270"/>
  <c r="E8" i="270" s="1"/>
  <c r="E123" i="270" s="1"/>
  <c r="W8" i="270"/>
  <c r="W9" i="270"/>
  <c r="W10" i="270"/>
  <c r="W11" i="270"/>
  <c r="F14" i="270"/>
  <c r="L14" i="270" s="1"/>
  <c r="H14" i="270"/>
  <c r="J14" i="270"/>
  <c r="O14" i="270"/>
  <c r="U14" i="270" s="1"/>
  <c r="L15" i="270"/>
  <c r="O15" i="270"/>
  <c r="U15" i="270" s="1"/>
  <c r="F16" i="270"/>
  <c r="H16" i="270"/>
  <c r="J16" i="270"/>
  <c r="L16" i="270"/>
  <c r="W16" i="270" s="1"/>
  <c r="O16" i="270"/>
  <c r="U16" i="270"/>
  <c r="L17" i="270"/>
  <c r="W17" i="270" s="1"/>
  <c r="O17" i="270"/>
  <c r="U17" i="270"/>
  <c r="F18" i="270"/>
  <c r="L18" i="270" s="1"/>
  <c r="H18" i="270"/>
  <c r="J18" i="270"/>
  <c r="O18" i="270"/>
  <c r="U18" i="270" s="1"/>
  <c r="F19" i="270"/>
  <c r="H19" i="270"/>
  <c r="L19" i="270" s="1"/>
  <c r="J19" i="270"/>
  <c r="O19" i="270"/>
  <c r="U19" i="270"/>
  <c r="F20" i="270"/>
  <c r="L20" i="270" s="1"/>
  <c r="H20" i="270"/>
  <c r="J20" i="270"/>
  <c r="O20" i="270"/>
  <c r="U20" i="270" s="1"/>
  <c r="F21" i="270"/>
  <c r="L21" i="270"/>
  <c r="W21" i="270" s="1"/>
  <c r="H22" i="270"/>
  <c r="L22" i="270" s="1"/>
  <c r="J22" i="270"/>
  <c r="O22" i="270"/>
  <c r="U22" i="270"/>
  <c r="L23" i="270"/>
  <c r="W23" i="270" s="1"/>
  <c r="O23" i="270"/>
  <c r="U23" i="270"/>
  <c r="L24" i="270"/>
  <c r="W24" i="270" s="1"/>
  <c r="O24" i="270"/>
  <c r="U24" i="270"/>
  <c r="L25" i="270"/>
  <c r="W25" i="270" s="1"/>
  <c r="O25" i="270"/>
  <c r="U25" i="270"/>
  <c r="F28" i="270"/>
  <c r="L28" i="270" s="1"/>
  <c r="H28" i="270"/>
  <c r="J28" i="270"/>
  <c r="O28" i="270"/>
  <c r="U28" i="270" s="1"/>
  <c r="W29" i="270"/>
  <c r="W32" i="270"/>
  <c r="W37" i="270"/>
  <c r="W38" i="270"/>
  <c r="W39" i="270"/>
  <c r="W40" i="270"/>
  <c r="W41" i="270"/>
  <c r="W42" i="270"/>
  <c r="W43" i="270"/>
  <c r="W44" i="270"/>
  <c r="W45" i="270"/>
  <c r="W46" i="270"/>
  <c r="W47" i="270"/>
  <c r="W48" i="270"/>
  <c r="W49" i="270"/>
  <c r="W50" i="270"/>
  <c r="W51" i="270"/>
  <c r="W52" i="270"/>
  <c r="W53" i="270"/>
  <c r="W54" i="270"/>
  <c r="W55" i="270"/>
  <c r="W56" i="270"/>
  <c r="W57" i="270"/>
  <c r="W58" i="270"/>
  <c r="W59" i="270"/>
  <c r="W60" i="270"/>
  <c r="W61" i="270"/>
  <c r="W62" i="270"/>
  <c r="W63" i="270"/>
  <c r="W64" i="270"/>
  <c r="W65" i="270"/>
  <c r="W66" i="270"/>
  <c r="W67" i="270"/>
  <c r="W68" i="270"/>
  <c r="W69" i="270"/>
  <c r="W70" i="270"/>
  <c r="W71" i="270"/>
  <c r="W72" i="270"/>
  <c r="W73" i="270"/>
  <c r="W74" i="270"/>
  <c r="W75" i="270"/>
  <c r="W76" i="270"/>
  <c r="W77" i="270"/>
  <c r="W78" i="270"/>
  <c r="W79" i="270"/>
  <c r="W80" i="270"/>
  <c r="W83" i="270"/>
  <c r="W84" i="270"/>
  <c r="W85" i="270"/>
  <c r="W86" i="270"/>
  <c r="W87" i="270"/>
  <c r="W88" i="270"/>
  <c r="W91" i="270"/>
  <c r="W92" i="270"/>
  <c r="W93" i="270"/>
  <c r="W94" i="270"/>
  <c r="W95" i="270"/>
  <c r="W98" i="270"/>
  <c r="F101" i="270"/>
  <c r="L101" i="270" s="1"/>
  <c r="H101" i="270"/>
  <c r="J101" i="270"/>
  <c r="O101" i="270"/>
  <c r="W102" i="270"/>
  <c r="W103" i="270"/>
  <c r="W104" i="270"/>
  <c r="W105" i="270"/>
  <c r="W106" i="270"/>
  <c r="W107" i="270"/>
  <c r="W108" i="270"/>
  <c r="W109" i="270"/>
  <c r="W110" i="270"/>
  <c r="W111" i="270"/>
  <c r="W112" i="270"/>
  <c r="W113" i="270"/>
  <c r="W114" i="270"/>
  <c r="W115" i="270"/>
  <c r="W116" i="270"/>
  <c r="W117" i="270"/>
  <c r="W118" i="270"/>
  <c r="W119" i="270"/>
  <c r="W120" i="270"/>
  <c r="AF8" i="270"/>
  <c r="AF9" i="270"/>
  <c r="AF10" i="270"/>
  <c r="AF11" i="270"/>
  <c r="AD29" i="270"/>
  <c r="AF29" i="270"/>
  <c r="AF32" i="270"/>
  <c r="AD37" i="270"/>
  <c r="AF37" i="270" s="1"/>
  <c r="AD38" i="270"/>
  <c r="AF38" i="270" s="1"/>
  <c r="AD39" i="270"/>
  <c r="AF39" i="270" s="1"/>
  <c r="AD40" i="270"/>
  <c r="AF40" i="270" s="1"/>
  <c r="AD41" i="270"/>
  <c r="AF41" i="270" s="1"/>
  <c r="AD42" i="270"/>
  <c r="AF42" i="270" s="1"/>
  <c r="AD43" i="270"/>
  <c r="AF43" i="270" s="1"/>
  <c r="AD44" i="270"/>
  <c r="AF44" i="270" s="1"/>
  <c r="AD45" i="270"/>
  <c r="AF45" i="270" s="1"/>
  <c r="AD46" i="270"/>
  <c r="AF46" i="270" s="1"/>
  <c r="AD47" i="270"/>
  <c r="AF47" i="270" s="1"/>
  <c r="AD48" i="270"/>
  <c r="AF48" i="270" s="1"/>
  <c r="AD49" i="270"/>
  <c r="AF49" i="270" s="1"/>
  <c r="AD50" i="270"/>
  <c r="AF50" i="270" s="1"/>
  <c r="AD51" i="270"/>
  <c r="AF51" i="270" s="1"/>
  <c r="AD52" i="270"/>
  <c r="AF52" i="270" s="1"/>
  <c r="AD53" i="270"/>
  <c r="AF53" i="270" s="1"/>
  <c r="AD54" i="270"/>
  <c r="AF54" i="270" s="1"/>
  <c r="AD55" i="270"/>
  <c r="AF55" i="270" s="1"/>
  <c r="AD56" i="270"/>
  <c r="AF56" i="270" s="1"/>
  <c r="AD57" i="270"/>
  <c r="AF57" i="270" s="1"/>
  <c r="AD58" i="270"/>
  <c r="AF58" i="270" s="1"/>
  <c r="AD59" i="270"/>
  <c r="AF59" i="270" s="1"/>
  <c r="AD60" i="270"/>
  <c r="AF60" i="270" s="1"/>
  <c r="AD61" i="270"/>
  <c r="AF61" i="270" s="1"/>
  <c r="AD62" i="270"/>
  <c r="AF62" i="270" s="1"/>
  <c r="AD63" i="270"/>
  <c r="AF63" i="270" s="1"/>
  <c r="AD64" i="270"/>
  <c r="AF64" i="270" s="1"/>
  <c r="AD65" i="270"/>
  <c r="AF65" i="270" s="1"/>
  <c r="AD66" i="270"/>
  <c r="AF66" i="270" s="1"/>
  <c r="AD67" i="270"/>
  <c r="AF67" i="270" s="1"/>
  <c r="AD68" i="270"/>
  <c r="AF68" i="270" s="1"/>
  <c r="AD69" i="270"/>
  <c r="AF69" i="270" s="1"/>
  <c r="AD70" i="270"/>
  <c r="AF70" i="270" s="1"/>
  <c r="AD71" i="270"/>
  <c r="AF71" i="270" s="1"/>
  <c r="AD72" i="270"/>
  <c r="AF72" i="270" s="1"/>
  <c r="AD73" i="270"/>
  <c r="AF73" i="270" s="1"/>
  <c r="AD74" i="270"/>
  <c r="AF74" i="270" s="1"/>
  <c r="AD75" i="270"/>
  <c r="AF75" i="270" s="1"/>
  <c r="AD76" i="270"/>
  <c r="AF76" i="270" s="1"/>
  <c r="AD77" i="270"/>
  <c r="AF77" i="270" s="1"/>
  <c r="AD78" i="270"/>
  <c r="AF78" i="270" s="1"/>
  <c r="AD79" i="270"/>
  <c r="AF79" i="270" s="1"/>
  <c r="AD80" i="270"/>
  <c r="AF80" i="270" s="1"/>
  <c r="AD83" i="270"/>
  <c r="AF83" i="270" s="1"/>
  <c r="AD84" i="270"/>
  <c r="AF84" i="270" s="1"/>
  <c r="AD85" i="270"/>
  <c r="AF85" i="270" s="1"/>
  <c r="AD86" i="270"/>
  <c r="AF86" i="270" s="1"/>
  <c r="AD87" i="270"/>
  <c r="AF87" i="270" s="1"/>
  <c r="AD88" i="270"/>
  <c r="AF88" i="270" s="1"/>
  <c r="AD91" i="270"/>
  <c r="AF91" i="270" s="1"/>
  <c r="AD92" i="270"/>
  <c r="AF92" i="270" s="1"/>
  <c r="AD93" i="270"/>
  <c r="AF93" i="270" s="1"/>
  <c r="AD94" i="270"/>
  <c r="AF94" i="270" s="1"/>
  <c r="AD95" i="270"/>
  <c r="AF95" i="270" s="1"/>
  <c r="AF98" i="270"/>
  <c r="AF102" i="270"/>
  <c r="AF103" i="270"/>
  <c r="AF104" i="270"/>
  <c r="AF105" i="270"/>
  <c r="AF106" i="270"/>
  <c r="AF107" i="270"/>
  <c r="AF108" i="270"/>
  <c r="AF109" i="270"/>
  <c r="AF110" i="270"/>
  <c r="AF111" i="270"/>
  <c r="AF112" i="270"/>
  <c r="AF113" i="270"/>
  <c r="AF114" i="270"/>
  <c r="AF115" i="270"/>
  <c r="AF116" i="270"/>
  <c r="AF117" i="270"/>
  <c r="AF118" i="270"/>
  <c r="AF119" i="270"/>
  <c r="AF120" i="270"/>
  <c r="AD126" i="270"/>
  <c r="W126" i="270"/>
  <c r="AF126" i="270"/>
  <c r="AF127" i="270" s="1"/>
  <c r="E9" i="270"/>
  <c r="E10" i="270"/>
  <c r="E11" i="270"/>
  <c r="E14" i="270"/>
  <c r="F123" i="270"/>
  <c r="G14" i="270" s="1"/>
  <c r="H123" i="270"/>
  <c r="I15" i="270" s="1"/>
  <c r="J123" i="270"/>
  <c r="K14" i="270" s="1"/>
  <c r="O123" i="270"/>
  <c r="P14" i="270" s="1"/>
  <c r="U101" i="270"/>
  <c r="E15" i="270"/>
  <c r="G15" i="270"/>
  <c r="K15" i="270"/>
  <c r="P15" i="270"/>
  <c r="E16" i="270"/>
  <c r="I16" i="270"/>
  <c r="E17" i="270"/>
  <c r="G17" i="270"/>
  <c r="K17" i="270"/>
  <c r="E18" i="270"/>
  <c r="G18" i="270"/>
  <c r="I18" i="270"/>
  <c r="E19" i="270"/>
  <c r="G19" i="270"/>
  <c r="I19" i="270"/>
  <c r="K19" i="270"/>
  <c r="P19" i="270"/>
  <c r="E20" i="270"/>
  <c r="G20" i="270"/>
  <c r="I20" i="270"/>
  <c r="K20" i="270"/>
  <c r="E21" i="270"/>
  <c r="G21" i="270"/>
  <c r="I21" i="270"/>
  <c r="K21" i="270"/>
  <c r="E22" i="270"/>
  <c r="G22" i="270"/>
  <c r="I22" i="270"/>
  <c r="K22" i="270"/>
  <c r="E23" i="270"/>
  <c r="G23" i="270"/>
  <c r="I23" i="270"/>
  <c r="K23" i="270"/>
  <c r="P23" i="270"/>
  <c r="E24" i="270"/>
  <c r="G24" i="270"/>
  <c r="I24" i="270"/>
  <c r="K24" i="270"/>
  <c r="P24" i="270"/>
  <c r="E25" i="270"/>
  <c r="G25" i="270"/>
  <c r="I25" i="270"/>
  <c r="K25" i="270"/>
  <c r="P25" i="270"/>
  <c r="E28" i="270"/>
  <c r="G28" i="270"/>
  <c r="I28" i="270"/>
  <c r="K28" i="270"/>
  <c r="P28" i="270"/>
  <c r="E29" i="270"/>
  <c r="E32" i="270"/>
  <c r="E37" i="270"/>
  <c r="E38" i="270"/>
  <c r="E39" i="270"/>
  <c r="E40" i="270"/>
  <c r="E41" i="270"/>
  <c r="E42" i="270"/>
  <c r="E43" i="270"/>
  <c r="E44" i="270"/>
  <c r="E45" i="270"/>
  <c r="E46" i="270"/>
  <c r="E47" i="270"/>
  <c r="E48" i="270"/>
  <c r="E49" i="270"/>
  <c r="E50" i="270"/>
  <c r="E51" i="270"/>
  <c r="E52" i="270"/>
  <c r="E53" i="270"/>
  <c r="E54" i="270"/>
  <c r="E55" i="270"/>
  <c r="E56" i="270"/>
  <c r="E57" i="270"/>
  <c r="E58" i="270"/>
  <c r="E59" i="270"/>
  <c r="E60" i="270"/>
  <c r="E61" i="270"/>
  <c r="E62" i="270"/>
  <c r="E63" i="270"/>
  <c r="E64" i="270"/>
  <c r="E65" i="270"/>
  <c r="E66" i="270"/>
  <c r="E67" i="270"/>
  <c r="E68" i="270"/>
  <c r="E69" i="270"/>
  <c r="E70" i="270"/>
  <c r="E71" i="270"/>
  <c r="E72" i="270"/>
  <c r="E73" i="270"/>
  <c r="E74" i="270"/>
  <c r="E75" i="270"/>
  <c r="E76" i="270"/>
  <c r="E77" i="270"/>
  <c r="E78" i="270"/>
  <c r="E79" i="270"/>
  <c r="E80" i="270"/>
  <c r="E83" i="270"/>
  <c r="E84" i="270"/>
  <c r="E85" i="270"/>
  <c r="E86" i="270"/>
  <c r="E87" i="270"/>
  <c r="E88" i="270"/>
  <c r="E91" i="270"/>
  <c r="E92" i="270"/>
  <c r="E93" i="270"/>
  <c r="E94" i="270"/>
  <c r="E95" i="270"/>
  <c r="E98" i="270"/>
  <c r="E101" i="270"/>
  <c r="G101" i="270"/>
  <c r="I101" i="270"/>
  <c r="K101" i="270"/>
  <c r="P101" i="270"/>
  <c r="E102" i="270"/>
  <c r="E103" i="270"/>
  <c r="E104" i="270"/>
  <c r="E105" i="270"/>
  <c r="E106" i="270"/>
  <c r="E107" i="270"/>
  <c r="E108" i="270"/>
  <c r="E109" i="270"/>
  <c r="E110" i="270"/>
  <c r="E111" i="270"/>
  <c r="E112" i="270"/>
  <c r="E113" i="270"/>
  <c r="E114" i="270"/>
  <c r="E115" i="270"/>
  <c r="E116" i="270"/>
  <c r="E117" i="270"/>
  <c r="E118" i="270"/>
  <c r="E119" i="270"/>
  <c r="E120" i="270"/>
  <c r="Q123" i="270"/>
  <c r="R123" i="270"/>
  <c r="S123" i="270"/>
  <c r="T123" i="270"/>
  <c r="AD123" i="270"/>
  <c r="AE123" i="270"/>
  <c r="C129" i="270"/>
  <c r="E126" i="270" s="1"/>
  <c r="E127" i="270" s="1"/>
  <c r="E129" i="270" s="1"/>
  <c r="W127" i="270"/>
  <c r="C127" i="270"/>
  <c r="F127" i="270"/>
  <c r="H127" i="270"/>
  <c r="J127" i="270"/>
  <c r="L127" i="270"/>
  <c r="O127" i="270"/>
  <c r="Q127" i="270"/>
  <c r="S127" i="270"/>
  <c r="AD127" i="270"/>
  <c r="AE127" i="270"/>
  <c r="F129" i="270"/>
  <c r="H129" i="270"/>
  <c r="J129" i="270"/>
  <c r="O129" i="270"/>
  <c r="Q129" i="270"/>
  <c r="R129" i="270"/>
  <c r="S129" i="270"/>
  <c r="T129" i="270"/>
  <c r="AD129" i="270"/>
  <c r="AE129" i="270"/>
  <c r="C132" i="270"/>
  <c r="F132" i="270"/>
  <c r="H132" i="270"/>
  <c r="J132" i="270"/>
  <c r="O132" i="270"/>
  <c r="U132" i="270"/>
  <c r="AD132" i="270"/>
  <c r="C134" i="270"/>
  <c r="F134" i="270"/>
  <c r="H134" i="270"/>
  <c r="J134" i="270"/>
  <c r="O134" i="270"/>
  <c r="Q134" i="270"/>
  <c r="S134" i="270"/>
  <c r="AD134" i="270"/>
  <c r="A3" i="269"/>
  <c r="A3" i="271" s="1"/>
  <c r="D10" i="269"/>
  <c r="D14" i="269"/>
  <c r="D20" i="269"/>
  <c r="D22" i="269" s="1"/>
  <c r="D21" i="269"/>
  <c r="D23" i="269"/>
  <c r="D24" i="269"/>
  <c r="D25" i="269"/>
  <c r="D26" i="269"/>
  <c r="D27" i="269"/>
  <c r="D28" i="269"/>
  <c r="D29" i="269"/>
  <c r="D30" i="269"/>
  <c r="D34" i="269"/>
  <c r="D39" i="269" s="1"/>
  <c r="D35" i="269"/>
  <c r="D36" i="269"/>
  <c r="D37" i="269"/>
  <c r="D38" i="269"/>
  <c r="J10" i="269"/>
  <c r="J14" i="269"/>
  <c r="J16" i="269"/>
  <c r="J17" i="269"/>
  <c r="J18" i="269"/>
  <c r="J19" i="269"/>
  <c r="J20" i="269"/>
  <c r="J22" i="269"/>
  <c r="B2" i="329"/>
  <c r="B2" i="311"/>
  <c r="F8" i="311"/>
  <c r="F17" i="311"/>
  <c r="F25" i="311"/>
  <c r="F39" i="311"/>
  <c r="F43" i="311"/>
  <c r="F47" i="311"/>
  <c r="F51" i="311"/>
  <c r="F57" i="311"/>
  <c r="E61" i="311"/>
  <c r="F65" i="311"/>
  <c r="C74" i="311"/>
  <c r="D74" i="311"/>
  <c r="E74" i="311"/>
  <c r="B75" i="311"/>
  <c r="C75" i="311"/>
  <c r="D75" i="311"/>
  <c r="E75" i="311"/>
  <c r="B78" i="311"/>
  <c r="C78" i="311"/>
  <c r="D78" i="311"/>
  <c r="E78" i="311"/>
  <c r="B79" i="311"/>
  <c r="C79" i="311"/>
  <c r="D79" i="311"/>
  <c r="E79" i="311"/>
  <c r="B97" i="311"/>
  <c r="C97" i="311"/>
  <c r="D97" i="311"/>
  <c r="E97" i="311"/>
  <c r="F97" i="311"/>
  <c r="B2" i="328"/>
  <c r="B2" i="327"/>
  <c r="B2" i="339"/>
  <c r="D6" i="339"/>
  <c r="E6" i="339"/>
  <c r="F6" i="339" s="1"/>
  <c r="G6" i="339" s="1"/>
  <c r="H6" i="339" s="1"/>
  <c r="I6" i="339" s="1"/>
  <c r="J6" i="339" s="1"/>
  <c r="K6" i="339" s="1"/>
  <c r="L6" i="339" s="1"/>
  <c r="M6" i="339" s="1"/>
  <c r="N6" i="339" s="1"/>
  <c r="O6" i="339" s="1"/>
  <c r="B12" i="339"/>
  <c r="C12" i="339"/>
  <c r="D12" i="339"/>
  <c r="E12" i="339"/>
  <c r="F12" i="339"/>
  <c r="G12" i="339"/>
  <c r="H12" i="339"/>
  <c r="B13" i="339"/>
  <c r="C13" i="339"/>
  <c r="D13" i="339"/>
  <c r="E13" i="339"/>
  <c r="F13" i="339"/>
  <c r="G13" i="339"/>
  <c r="H13" i="339"/>
  <c r="B14" i="339"/>
  <c r="C14" i="339"/>
  <c r="D14" i="339"/>
  <c r="E14" i="339"/>
  <c r="F14" i="339"/>
  <c r="G14" i="339"/>
  <c r="H14" i="339"/>
  <c r="B15" i="339"/>
  <c r="C15" i="339"/>
  <c r="D15" i="339"/>
  <c r="E15" i="339"/>
  <c r="F15" i="339"/>
  <c r="G15" i="339"/>
  <c r="H15" i="339"/>
  <c r="C17" i="339"/>
  <c r="D17" i="339"/>
  <c r="E17" i="339"/>
  <c r="F17" i="339"/>
  <c r="G17" i="339"/>
  <c r="H17" i="339"/>
  <c r="I17" i="339"/>
  <c r="J17" i="339"/>
  <c r="K17" i="339"/>
  <c r="L17" i="339"/>
  <c r="M17" i="339"/>
  <c r="P17" i="339"/>
  <c r="C19" i="339"/>
  <c r="D19" i="339"/>
  <c r="E19" i="339"/>
  <c r="F19" i="339"/>
  <c r="G19" i="339"/>
  <c r="G20" i="339" s="1"/>
  <c r="H19" i="339"/>
  <c r="H20" i="339" s="1"/>
  <c r="C20" i="339"/>
  <c r="D20" i="339"/>
  <c r="E20" i="339"/>
  <c r="F20" i="339"/>
  <c r="C21" i="339" a="1"/>
  <c r="C21" i="339" s="1"/>
  <c r="C22" i="339" s="1"/>
  <c r="D21" i="339" a="1"/>
  <c r="D21" i="339" s="1"/>
  <c r="D22" i="339" s="1"/>
  <c r="E21" i="339" a="1"/>
  <c r="E21" i="339" s="1"/>
  <c r="E22" i="339" s="1"/>
  <c r="F21" i="339" a="1"/>
  <c r="F21" i="339" s="1"/>
  <c r="F22" i="339" s="1"/>
  <c r="G21" i="339" a="1"/>
  <c r="G21" i="339" s="1"/>
  <c r="G22" i="339" s="1"/>
  <c r="H21" i="339" a="1"/>
  <c r="H21" i="339" s="1"/>
  <c r="H22" i="339" s="1"/>
  <c r="D26" i="339"/>
  <c r="E26" i="339" s="1"/>
  <c r="F26" i="339" s="1"/>
  <c r="G26" i="339" s="1"/>
  <c r="H26" i="339" s="1"/>
  <c r="I26" i="339" s="1"/>
  <c r="J26" i="339" s="1"/>
  <c r="K26" i="339" s="1"/>
  <c r="L26" i="339" s="1"/>
  <c r="M26" i="339" s="1"/>
  <c r="N26" i="339" s="1"/>
  <c r="O26" i="339" s="1"/>
  <c r="B27" i="339"/>
  <c r="B30" i="339"/>
  <c r="H30" i="339"/>
  <c r="I30" i="339"/>
  <c r="J30" i="339"/>
  <c r="K30" i="339"/>
  <c r="L30" i="339"/>
  <c r="L47" i="339" s="1"/>
  <c r="L48" i="339" s="1"/>
  <c r="M30" i="339"/>
  <c r="N30" i="339"/>
  <c r="N47" i="339" s="1"/>
  <c r="N48" i="339" s="1"/>
  <c r="O30" i="339"/>
  <c r="T30" i="339"/>
  <c r="B31" i="339"/>
  <c r="H31" i="339"/>
  <c r="I31" i="339"/>
  <c r="J31" i="339"/>
  <c r="K31" i="339"/>
  <c r="L31" i="339"/>
  <c r="M31" i="339"/>
  <c r="N31" i="339"/>
  <c r="O31" i="339"/>
  <c r="T31" i="339"/>
  <c r="B32" i="339"/>
  <c r="H32" i="339"/>
  <c r="I32" i="339"/>
  <c r="J32" i="339"/>
  <c r="K32" i="339"/>
  <c r="L32" i="339"/>
  <c r="M32" i="339"/>
  <c r="N32" i="339"/>
  <c r="O32" i="339"/>
  <c r="T32" i="339"/>
  <c r="B33" i="339"/>
  <c r="H33" i="339"/>
  <c r="I33" i="339"/>
  <c r="J33" i="339"/>
  <c r="K33" i="339"/>
  <c r="L33" i="339"/>
  <c r="M33" i="339"/>
  <c r="N33" i="339"/>
  <c r="O33" i="339"/>
  <c r="T33" i="339"/>
  <c r="B34" i="339"/>
  <c r="H34" i="339"/>
  <c r="I34" i="339"/>
  <c r="J34" i="339"/>
  <c r="K34" i="339"/>
  <c r="L34" i="339"/>
  <c r="M34" i="339"/>
  <c r="N34" i="339"/>
  <c r="O34" i="339"/>
  <c r="T34" i="339"/>
  <c r="B35" i="339"/>
  <c r="H35" i="339"/>
  <c r="I35" i="339"/>
  <c r="J35" i="339"/>
  <c r="K35" i="339"/>
  <c r="L35" i="339"/>
  <c r="M35" i="339"/>
  <c r="N35" i="339"/>
  <c r="O35" i="339"/>
  <c r="T35" i="339"/>
  <c r="B36" i="339"/>
  <c r="H36" i="339"/>
  <c r="I36" i="339"/>
  <c r="J36" i="339"/>
  <c r="K36" i="339"/>
  <c r="L36" i="339"/>
  <c r="M36" i="339"/>
  <c r="N36" i="339"/>
  <c r="O36" i="339"/>
  <c r="T36" i="339"/>
  <c r="B37" i="339"/>
  <c r="H37" i="339"/>
  <c r="I37" i="339"/>
  <c r="J37" i="339"/>
  <c r="K37" i="339"/>
  <c r="L37" i="339"/>
  <c r="M37" i="339"/>
  <c r="N37" i="339"/>
  <c r="O37" i="339"/>
  <c r="T37" i="339"/>
  <c r="B38" i="339"/>
  <c r="H38" i="339"/>
  <c r="I38" i="339"/>
  <c r="J38" i="339"/>
  <c r="K38" i="339"/>
  <c r="L38" i="339"/>
  <c r="M38" i="339"/>
  <c r="N38" i="339"/>
  <c r="O38" i="339"/>
  <c r="T38" i="339"/>
  <c r="B39" i="339"/>
  <c r="H39" i="339"/>
  <c r="I39" i="339"/>
  <c r="J39" i="339"/>
  <c r="K39" i="339"/>
  <c r="L39" i="339"/>
  <c r="M39" i="339"/>
  <c r="N39" i="339"/>
  <c r="O39" i="339"/>
  <c r="T39" i="339"/>
  <c r="B40" i="339"/>
  <c r="H40" i="339"/>
  <c r="I40" i="339"/>
  <c r="J40" i="339"/>
  <c r="K40" i="339"/>
  <c r="L40" i="339"/>
  <c r="M40" i="339"/>
  <c r="N40" i="339"/>
  <c r="O40" i="339"/>
  <c r="T40" i="339"/>
  <c r="B41" i="339"/>
  <c r="H41" i="339"/>
  <c r="I41" i="339"/>
  <c r="J41" i="339"/>
  <c r="K41" i="339"/>
  <c r="L41" i="339"/>
  <c r="M41" i="339"/>
  <c r="N41" i="339"/>
  <c r="O41" i="339"/>
  <c r="T41" i="339"/>
  <c r="B44" i="339"/>
  <c r="H44" i="339"/>
  <c r="I44" i="339"/>
  <c r="J44" i="339"/>
  <c r="K44" i="339"/>
  <c r="L44" i="339"/>
  <c r="M44" i="339"/>
  <c r="N44" i="339"/>
  <c r="O44" i="339"/>
  <c r="P44" i="339"/>
  <c r="R45" i="339"/>
  <c r="K47" i="339"/>
  <c r="K48" i="339" s="1"/>
  <c r="M47" i="339"/>
  <c r="M48" i="339" s="1"/>
  <c r="O47" i="339"/>
  <c r="O48" i="339" s="1"/>
  <c r="K49" i="339" a="1"/>
  <c r="K49" i="339" s="1"/>
  <c r="K50" i="339" s="1"/>
  <c r="L49" i="339" a="1"/>
  <c r="L49" i="339" s="1"/>
  <c r="L50" i="339" s="1"/>
  <c r="M49" i="339" a="1"/>
  <c r="M49" i="339" s="1"/>
  <c r="M50" i="339" s="1"/>
  <c r="N49" i="339" a="1"/>
  <c r="N49" i="339" s="1"/>
  <c r="N50" i="339" s="1"/>
  <c r="O49" i="339" a="1"/>
  <c r="O49" i="339" s="1"/>
  <c r="O50" i="339" s="1"/>
  <c r="A55" i="339"/>
  <c r="A56" i="339"/>
  <c r="A57" i="339"/>
  <c r="B2" i="335"/>
  <c r="D6" i="335"/>
  <c r="E6" i="335" s="1"/>
  <c r="F6" i="335" s="1"/>
  <c r="G6" i="335" s="1"/>
  <c r="H6" i="335" s="1"/>
  <c r="I6" i="335" s="1"/>
  <c r="J6" i="335" s="1"/>
  <c r="K6" i="335" s="1"/>
  <c r="L6" i="335" s="1"/>
  <c r="M6" i="335" s="1"/>
  <c r="N6" i="335" s="1"/>
  <c r="O6" i="335" s="1"/>
  <c r="C12" i="335"/>
  <c r="C26" i="335" s="1" a="1"/>
  <c r="C26" i="335" s="1"/>
  <c r="D12" i="335"/>
  <c r="E12" i="335"/>
  <c r="E22" i="335" s="1"/>
  <c r="F12" i="335"/>
  <c r="G12" i="335"/>
  <c r="G26" i="335" s="1" a="1"/>
  <c r="G26" i="335" s="1"/>
  <c r="H12" i="335"/>
  <c r="I12" i="335"/>
  <c r="I22" i="335" s="1"/>
  <c r="J12" i="335"/>
  <c r="K12" i="335"/>
  <c r="K26" i="335" s="1" a="1"/>
  <c r="K26" i="335" s="1"/>
  <c r="L12" i="335"/>
  <c r="M12" i="335"/>
  <c r="M22" i="335" s="1"/>
  <c r="C13" i="335"/>
  <c r="D13" i="335"/>
  <c r="D26" i="335" s="1" a="1"/>
  <c r="D26" i="335" s="1"/>
  <c r="D27" i="335" s="1"/>
  <c r="E13" i="335"/>
  <c r="F13" i="335"/>
  <c r="F26" i="335" s="1" a="1"/>
  <c r="F26" i="335" s="1"/>
  <c r="G13" i="335"/>
  <c r="H13" i="335"/>
  <c r="H26" i="335" s="1" a="1"/>
  <c r="H26" i="335" s="1"/>
  <c r="H27" i="335" s="1"/>
  <c r="I13" i="335"/>
  <c r="J13" i="335"/>
  <c r="J26" i="335" s="1" a="1"/>
  <c r="J26" i="335" s="1"/>
  <c r="K13" i="335"/>
  <c r="L13" i="335"/>
  <c r="L26" i="335" s="1" a="1"/>
  <c r="L26" i="335" s="1"/>
  <c r="L27" i="335" s="1"/>
  <c r="M13" i="335"/>
  <c r="C14" i="335"/>
  <c r="D14" i="335"/>
  <c r="E14" i="335"/>
  <c r="F14" i="335"/>
  <c r="G14" i="335"/>
  <c r="H14" i="335"/>
  <c r="I14" i="335"/>
  <c r="J14" i="335"/>
  <c r="K14" i="335"/>
  <c r="L14" i="335"/>
  <c r="M14" i="335"/>
  <c r="C15" i="335"/>
  <c r="D15" i="335"/>
  <c r="E15" i="335"/>
  <c r="F15" i="335"/>
  <c r="F22" i="335" s="1"/>
  <c r="G15" i="335"/>
  <c r="H15" i="335"/>
  <c r="I15" i="335"/>
  <c r="J15" i="335"/>
  <c r="J22" i="335" s="1"/>
  <c r="K15" i="335"/>
  <c r="L15" i="335"/>
  <c r="M15" i="335"/>
  <c r="C16" i="335"/>
  <c r="D16" i="335"/>
  <c r="E16" i="335"/>
  <c r="F16" i="335"/>
  <c r="G16" i="335"/>
  <c r="H16" i="335"/>
  <c r="I16" i="335"/>
  <c r="J16" i="335"/>
  <c r="K16" i="335"/>
  <c r="L16" i="335"/>
  <c r="M16" i="335"/>
  <c r="C17" i="335"/>
  <c r="D17" i="335"/>
  <c r="E17" i="335"/>
  <c r="F17" i="335"/>
  <c r="G17" i="335"/>
  <c r="H17" i="335"/>
  <c r="I17" i="335"/>
  <c r="J17" i="335"/>
  <c r="K17" i="335"/>
  <c r="L17" i="335"/>
  <c r="M17" i="335"/>
  <c r="C18" i="335"/>
  <c r="D18" i="335"/>
  <c r="E18" i="335"/>
  <c r="F18" i="335"/>
  <c r="G18" i="335"/>
  <c r="H18" i="335"/>
  <c r="I18" i="335"/>
  <c r="J18" i="335"/>
  <c r="K18" i="335"/>
  <c r="L18" i="335"/>
  <c r="M18" i="335"/>
  <c r="M26" i="335" s="1" a="1"/>
  <c r="M26" i="335" s="1"/>
  <c r="M27" i="335" s="1"/>
  <c r="C19" i="335"/>
  <c r="D19" i="335"/>
  <c r="E19" i="335"/>
  <c r="F19" i="335"/>
  <c r="G19" i="335"/>
  <c r="H19" i="335"/>
  <c r="I19" i="335"/>
  <c r="J19" i="335"/>
  <c r="J24" i="335" s="1"/>
  <c r="J25" i="335" s="1"/>
  <c r="K19" i="335"/>
  <c r="L19" i="335"/>
  <c r="M19" i="335"/>
  <c r="C20" i="335"/>
  <c r="D20" i="335"/>
  <c r="E20" i="335"/>
  <c r="F20" i="335"/>
  <c r="G20" i="335"/>
  <c r="H20" i="335"/>
  <c r="I20" i="335"/>
  <c r="J20" i="335"/>
  <c r="K20" i="335"/>
  <c r="L20" i="335"/>
  <c r="M20" i="335"/>
  <c r="D22" i="335"/>
  <c r="H22" i="335"/>
  <c r="L22" i="335"/>
  <c r="D24" i="335"/>
  <c r="D25" i="335" s="1"/>
  <c r="H24" i="335"/>
  <c r="H25" i="335" s="1"/>
  <c r="L24" i="335"/>
  <c r="L25" i="335" s="1"/>
  <c r="C31" i="335"/>
  <c r="D31" i="335"/>
  <c r="E31" i="335"/>
  <c r="F31" i="335" s="1"/>
  <c r="G31" i="335" s="1"/>
  <c r="H31" i="335" s="1"/>
  <c r="I31" i="335" s="1"/>
  <c r="J31" i="335" s="1"/>
  <c r="K31" i="335" s="1"/>
  <c r="L31" i="335" s="1"/>
  <c r="M31" i="335" s="1"/>
  <c r="N31" i="335" s="1"/>
  <c r="O31" i="335" s="1"/>
  <c r="B32" i="335"/>
  <c r="B33" i="335"/>
  <c r="B34" i="335"/>
  <c r="H34" i="335"/>
  <c r="I34" i="335"/>
  <c r="J34" i="335"/>
  <c r="K34" i="335"/>
  <c r="L34" i="335"/>
  <c r="M34" i="335"/>
  <c r="N34" i="335"/>
  <c r="O34" i="335"/>
  <c r="B35" i="335"/>
  <c r="H35" i="335"/>
  <c r="I35" i="335"/>
  <c r="J35" i="335"/>
  <c r="K35" i="335"/>
  <c r="L35" i="335"/>
  <c r="M35" i="335"/>
  <c r="N35" i="335"/>
  <c r="O35" i="335"/>
  <c r="B36" i="335"/>
  <c r="H36" i="335"/>
  <c r="H53" i="335" s="1"/>
  <c r="I36" i="335"/>
  <c r="J36" i="335"/>
  <c r="K36" i="335"/>
  <c r="L36" i="335"/>
  <c r="L53" i="335" s="1"/>
  <c r="M36" i="335"/>
  <c r="N36" i="335"/>
  <c r="O36" i="335"/>
  <c r="B37" i="335"/>
  <c r="H37" i="335"/>
  <c r="I37" i="335"/>
  <c r="J37" i="335"/>
  <c r="K37" i="335"/>
  <c r="K53" i="335" s="1"/>
  <c r="K57" i="335" s="1"/>
  <c r="L37" i="335"/>
  <c r="M37" i="335"/>
  <c r="N37" i="335"/>
  <c r="O37" i="335"/>
  <c r="O53" i="335" s="1"/>
  <c r="P53" i="335" s="1"/>
  <c r="B38" i="335"/>
  <c r="H38" i="335"/>
  <c r="I38" i="335"/>
  <c r="J38" i="335"/>
  <c r="K38" i="335"/>
  <c r="L38" i="335"/>
  <c r="M38" i="335"/>
  <c r="N38" i="335"/>
  <c r="O38" i="335"/>
  <c r="B39" i="335"/>
  <c r="H39" i="335"/>
  <c r="I39" i="335"/>
  <c r="J39" i="335"/>
  <c r="K39" i="335"/>
  <c r="L39" i="335"/>
  <c r="M39" i="335"/>
  <c r="N39" i="335"/>
  <c r="O39" i="335"/>
  <c r="B40" i="335"/>
  <c r="H40" i="335"/>
  <c r="I40" i="335"/>
  <c r="J40" i="335"/>
  <c r="K40" i="335"/>
  <c r="L40" i="335"/>
  <c r="M40" i="335"/>
  <c r="N40" i="335"/>
  <c r="O40" i="335"/>
  <c r="B41" i="335"/>
  <c r="H41" i="335"/>
  <c r="I41" i="335"/>
  <c r="J41" i="335"/>
  <c r="K41" i="335"/>
  <c r="L41" i="335"/>
  <c r="M41" i="335"/>
  <c r="N41" i="335"/>
  <c r="O41" i="335"/>
  <c r="B42" i="335"/>
  <c r="H42" i="335"/>
  <c r="I42" i="335"/>
  <c r="J42" i="335"/>
  <c r="K42" i="335"/>
  <c r="L42" i="335"/>
  <c r="M42" i="335"/>
  <c r="N42" i="335"/>
  <c r="O42" i="335"/>
  <c r="B43" i="335"/>
  <c r="H43" i="335"/>
  <c r="I43" i="335"/>
  <c r="J43" i="335"/>
  <c r="K43" i="335"/>
  <c r="L43" i="335"/>
  <c r="M43" i="335"/>
  <c r="N43" i="335"/>
  <c r="O43" i="335"/>
  <c r="B44" i="335"/>
  <c r="H44" i="335"/>
  <c r="I44" i="335"/>
  <c r="J44" i="335"/>
  <c r="K44" i="335"/>
  <c r="L44" i="335"/>
  <c r="M44" i="335"/>
  <c r="N44" i="335"/>
  <c r="O44" i="335"/>
  <c r="B45" i="335"/>
  <c r="H45" i="335"/>
  <c r="I45" i="335"/>
  <c r="J45" i="335"/>
  <c r="K45" i="335"/>
  <c r="L45" i="335"/>
  <c r="M45" i="335"/>
  <c r="N45" i="335"/>
  <c r="O45" i="335"/>
  <c r="B46" i="335"/>
  <c r="H46" i="335"/>
  <c r="I46" i="335"/>
  <c r="J46" i="335"/>
  <c r="J53" i="335" s="1"/>
  <c r="K46" i="335"/>
  <c r="L46" i="335"/>
  <c r="M46" i="335"/>
  <c r="N46" i="335"/>
  <c r="O46" i="335"/>
  <c r="B47" i="335"/>
  <c r="H47" i="335"/>
  <c r="I47" i="335"/>
  <c r="J47" i="335"/>
  <c r="K47" i="335"/>
  <c r="L47" i="335"/>
  <c r="M47" i="335"/>
  <c r="N47" i="335"/>
  <c r="O47" i="335"/>
  <c r="B48" i="335"/>
  <c r="H48" i="335"/>
  <c r="I48" i="335"/>
  <c r="J48" i="335"/>
  <c r="K48" i="335"/>
  <c r="L48" i="335"/>
  <c r="M48" i="335"/>
  <c r="N48" i="335"/>
  <c r="O48" i="335"/>
  <c r="B49" i="335"/>
  <c r="H49" i="335"/>
  <c r="I49" i="335"/>
  <c r="J49" i="335"/>
  <c r="K49" i="335"/>
  <c r="L49" i="335"/>
  <c r="M49" i="335"/>
  <c r="N49" i="335"/>
  <c r="O49" i="335"/>
  <c r="B50" i="335"/>
  <c r="H50" i="335"/>
  <c r="I50" i="335"/>
  <c r="J50" i="335"/>
  <c r="K50" i="335"/>
  <c r="L50" i="335"/>
  <c r="M50" i="335"/>
  <c r="N50" i="335"/>
  <c r="N53" i="335" s="1"/>
  <c r="O50" i="335"/>
  <c r="B53" i="335"/>
  <c r="I53" i="335"/>
  <c r="M53" i="335"/>
  <c r="R54" i="335"/>
  <c r="H56" i="335" a="1"/>
  <c r="H56" i="335" s="1"/>
  <c r="H57" i="335" s="1"/>
  <c r="I56" i="335" a="1"/>
  <c r="I56" i="335"/>
  <c r="I57" i="335" s="1"/>
  <c r="J56" i="335" a="1"/>
  <c r="J56" i="335" s="1"/>
  <c r="J57" i="335" s="1"/>
  <c r="K56" i="335" a="1"/>
  <c r="K56" i="335"/>
  <c r="L56" i="335" a="1"/>
  <c r="L56" i="335" s="1"/>
  <c r="L57" i="335" s="1"/>
  <c r="M56" i="335" a="1"/>
  <c r="M56" i="335"/>
  <c r="M57" i="335" s="1"/>
  <c r="N56" i="335" a="1"/>
  <c r="N56" i="335" s="1"/>
  <c r="N57" i="335" s="1"/>
  <c r="O56" i="335" a="1"/>
  <c r="O56" i="335" s="1"/>
  <c r="O57" i="335" s="1"/>
  <c r="H58" i="335" a="1"/>
  <c r="H58" i="335" s="1"/>
  <c r="H59" i="335" s="1"/>
  <c r="I58" i="335" a="1"/>
  <c r="I58" i="335" s="1"/>
  <c r="I59" i="335" s="1"/>
  <c r="J58" i="335" a="1"/>
  <c r="J58" i="335" s="1"/>
  <c r="J59" i="335" s="1"/>
  <c r="K58" i="335" a="1"/>
  <c r="K58" i="335" s="1"/>
  <c r="K59" i="335" s="1"/>
  <c r="L58" i="335" a="1"/>
  <c r="L58" i="335" s="1"/>
  <c r="L59" i="335" s="1"/>
  <c r="M58" i="335" a="1"/>
  <c r="M58" i="335" s="1"/>
  <c r="M59" i="335" s="1"/>
  <c r="N58" i="335" a="1"/>
  <c r="N58" i="335" s="1"/>
  <c r="N59" i="335" s="1"/>
  <c r="O58" i="335" a="1"/>
  <c r="O58" i="335" s="1"/>
  <c r="O59" i="335" s="1"/>
  <c r="B2" i="325"/>
  <c r="D6" i="325"/>
  <c r="E6" i="325" s="1"/>
  <c r="F6" i="325" s="1"/>
  <c r="G6" i="325" s="1"/>
  <c r="H6" i="325" s="1"/>
  <c r="I6" i="325" s="1"/>
  <c r="J6" i="325" s="1"/>
  <c r="K6" i="325" s="1"/>
  <c r="L6" i="325" s="1"/>
  <c r="M6" i="325" s="1"/>
  <c r="N6" i="325" s="1"/>
  <c r="O6" i="325" s="1"/>
  <c r="B12" i="325"/>
  <c r="C12" i="325"/>
  <c r="D12" i="325"/>
  <c r="D18" i="325" s="1"/>
  <c r="E12" i="325"/>
  <c r="F12" i="325"/>
  <c r="F18" i="325" s="1"/>
  <c r="G12" i="325"/>
  <c r="H12" i="325"/>
  <c r="H18" i="325" s="1"/>
  <c r="I12" i="325"/>
  <c r="J12" i="325"/>
  <c r="J18" i="325" s="1"/>
  <c r="K12" i="325"/>
  <c r="L12" i="325"/>
  <c r="L18" i="325" s="1"/>
  <c r="M12" i="325"/>
  <c r="B13" i="325"/>
  <c r="C13" i="325"/>
  <c r="D13" i="325"/>
  <c r="E13" i="325"/>
  <c r="F13" i="325"/>
  <c r="G13" i="325"/>
  <c r="H13" i="325"/>
  <c r="I13" i="325"/>
  <c r="J13" i="325"/>
  <c r="K13" i="325"/>
  <c r="L13" i="325"/>
  <c r="M13" i="325"/>
  <c r="B14" i="325"/>
  <c r="C14" i="325"/>
  <c r="D14" i="325"/>
  <c r="E14" i="325"/>
  <c r="F14" i="325"/>
  <c r="G14" i="325"/>
  <c r="H14" i="325"/>
  <c r="I14" i="325"/>
  <c r="J14" i="325"/>
  <c r="K14" i="325"/>
  <c r="L14" i="325"/>
  <c r="M14" i="325"/>
  <c r="B15" i="325"/>
  <c r="C15" i="325"/>
  <c r="D15" i="325"/>
  <c r="E15" i="325"/>
  <c r="F15" i="325"/>
  <c r="G15" i="325"/>
  <c r="H15" i="325"/>
  <c r="I15" i="325"/>
  <c r="J15" i="325"/>
  <c r="K15" i="325"/>
  <c r="L15" i="325"/>
  <c r="M15" i="325"/>
  <c r="C18" i="325"/>
  <c r="E18" i="325"/>
  <c r="G18" i="325"/>
  <c r="I18" i="325"/>
  <c r="K18" i="325"/>
  <c r="M18" i="325"/>
  <c r="P18" i="325" s="1"/>
  <c r="C20" i="325"/>
  <c r="C21" i="325" s="1"/>
  <c r="E20" i="325"/>
  <c r="E21" i="325" s="1"/>
  <c r="G20" i="325"/>
  <c r="G21" i="325" s="1"/>
  <c r="I20" i="325"/>
  <c r="I21" i="325" s="1"/>
  <c r="K20" i="325"/>
  <c r="K21" i="325" s="1"/>
  <c r="M20" i="325"/>
  <c r="M21" i="325" s="1"/>
  <c r="C22" i="325" a="1"/>
  <c r="C22" i="325" s="1"/>
  <c r="C23" i="325" s="1"/>
  <c r="D22" i="325" a="1"/>
  <c r="D22" i="325" s="1"/>
  <c r="E22" i="325" a="1"/>
  <c r="E22" i="325" s="1"/>
  <c r="E23" i="325" s="1"/>
  <c r="F22" i="325" a="1"/>
  <c r="F22" i="325" s="1"/>
  <c r="G22" i="325" a="1"/>
  <c r="G22" i="325" s="1"/>
  <c r="G23" i="325" s="1"/>
  <c r="H22" i="325" a="1"/>
  <c r="H22" i="325" s="1"/>
  <c r="I22" i="325" a="1"/>
  <c r="I22" i="325" s="1"/>
  <c r="I23" i="325" s="1"/>
  <c r="J22" i="325" a="1"/>
  <c r="J22" i="325" s="1"/>
  <c r="K22" i="325" a="1"/>
  <c r="K22" i="325" s="1"/>
  <c r="K23" i="325" s="1"/>
  <c r="L22" i="325" a="1"/>
  <c r="L22" i="325" s="1"/>
  <c r="M22" i="325" a="1"/>
  <c r="M22" i="325" s="1"/>
  <c r="M23" i="325" s="1"/>
  <c r="C27" i="325"/>
  <c r="D27" i="325"/>
  <c r="E27" i="325" s="1"/>
  <c r="F27" i="325" s="1"/>
  <c r="G27" i="325" s="1"/>
  <c r="H27" i="325" s="1"/>
  <c r="I27" i="325" s="1"/>
  <c r="J27" i="325" s="1"/>
  <c r="K27" i="325" s="1"/>
  <c r="L27" i="325" s="1"/>
  <c r="M27" i="325" s="1"/>
  <c r="N27" i="325" s="1"/>
  <c r="O27" i="325" s="1"/>
  <c r="B28" i="325"/>
  <c r="B29" i="325"/>
  <c r="B30" i="325"/>
  <c r="H30" i="325"/>
  <c r="I30" i="325"/>
  <c r="I46" i="325" s="1"/>
  <c r="J30" i="325"/>
  <c r="K30" i="325"/>
  <c r="K49" i="325" s="1"/>
  <c r="L30" i="325"/>
  <c r="M30" i="325"/>
  <c r="M46" i="325" s="1"/>
  <c r="N30" i="325"/>
  <c r="O30" i="325"/>
  <c r="O49" i="325" s="1"/>
  <c r="B31" i="325"/>
  <c r="H31" i="325"/>
  <c r="I31" i="325"/>
  <c r="J31" i="325"/>
  <c r="J49" i="325" s="1"/>
  <c r="J50" i="325" s="1"/>
  <c r="K31" i="325"/>
  <c r="L31" i="325"/>
  <c r="M31" i="325"/>
  <c r="N31" i="325"/>
  <c r="N49" i="325" s="1"/>
  <c r="N50" i="325" s="1"/>
  <c r="O31" i="325"/>
  <c r="B32" i="325"/>
  <c r="H32" i="325"/>
  <c r="I32" i="325"/>
  <c r="J32" i="325"/>
  <c r="K32" i="325"/>
  <c r="L32" i="325"/>
  <c r="M32" i="325"/>
  <c r="N32" i="325"/>
  <c r="O32" i="325"/>
  <c r="B33" i="325"/>
  <c r="H33" i="325"/>
  <c r="H46" i="325" s="1"/>
  <c r="H50" i="325" s="1"/>
  <c r="I33" i="325"/>
  <c r="J33" i="325"/>
  <c r="K33" i="325"/>
  <c r="L33" i="325"/>
  <c r="L46" i="325" s="1"/>
  <c r="L50" i="325" s="1"/>
  <c r="M33" i="325"/>
  <c r="N33" i="325"/>
  <c r="O33" i="325"/>
  <c r="B34" i="325"/>
  <c r="H34" i="325"/>
  <c r="I34" i="325"/>
  <c r="J34" i="325"/>
  <c r="K34" i="325"/>
  <c r="L34" i="325"/>
  <c r="M34" i="325"/>
  <c r="N34" i="325"/>
  <c r="O34" i="325"/>
  <c r="B35" i="325"/>
  <c r="H35" i="325"/>
  <c r="I35" i="325"/>
  <c r="J35" i="325"/>
  <c r="K35" i="325"/>
  <c r="L35" i="325"/>
  <c r="M35" i="325"/>
  <c r="N35" i="325"/>
  <c r="O35" i="325"/>
  <c r="B36" i="325"/>
  <c r="H36" i="325"/>
  <c r="I36" i="325"/>
  <c r="I51" i="325" s="1" a="1"/>
  <c r="I51" i="325" s="1"/>
  <c r="I52" i="325" s="1"/>
  <c r="J36" i="325"/>
  <c r="K36" i="325"/>
  <c r="L36" i="325"/>
  <c r="M36" i="325"/>
  <c r="N36" i="325"/>
  <c r="O36" i="325"/>
  <c r="B37" i="325"/>
  <c r="H37" i="325"/>
  <c r="I37" i="325"/>
  <c r="J37" i="325"/>
  <c r="K37" i="325"/>
  <c r="L37" i="325"/>
  <c r="M37" i="325"/>
  <c r="N37" i="325"/>
  <c r="O37" i="325"/>
  <c r="B38" i="325"/>
  <c r="H38" i="325"/>
  <c r="I38" i="325"/>
  <c r="J38" i="325"/>
  <c r="K38" i="325"/>
  <c r="L38" i="325"/>
  <c r="M38" i="325"/>
  <c r="N38" i="325"/>
  <c r="O38" i="325"/>
  <c r="B39" i="325"/>
  <c r="H39" i="325"/>
  <c r="I39" i="325"/>
  <c r="J39" i="325"/>
  <c r="K39" i="325"/>
  <c r="L39" i="325"/>
  <c r="M39" i="325"/>
  <c r="N39" i="325"/>
  <c r="O39" i="325"/>
  <c r="B40" i="325"/>
  <c r="H40" i="325"/>
  <c r="I40" i="325"/>
  <c r="J40" i="325"/>
  <c r="K40" i="325"/>
  <c r="L40" i="325"/>
  <c r="M40" i="325"/>
  <c r="N40" i="325"/>
  <c r="O40" i="325"/>
  <c r="B43" i="325"/>
  <c r="H43" i="325"/>
  <c r="I43" i="325"/>
  <c r="J43" i="325"/>
  <c r="K43" i="325"/>
  <c r="L43" i="325"/>
  <c r="M43" i="325"/>
  <c r="N43" i="325"/>
  <c r="O43" i="325"/>
  <c r="B44" i="325"/>
  <c r="H44" i="325"/>
  <c r="I44" i="325"/>
  <c r="J44" i="325"/>
  <c r="K44" i="325"/>
  <c r="L44" i="325"/>
  <c r="M44" i="325"/>
  <c r="N44" i="325"/>
  <c r="O44" i="325"/>
  <c r="B46" i="325"/>
  <c r="J46" i="325"/>
  <c r="N46" i="325"/>
  <c r="R47" i="325"/>
  <c r="H49" i="325"/>
  <c r="L49" i="325"/>
  <c r="H51" i="325" a="1"/>
  <c r="H51" i="325" s="1"/>
  <c r="J51" i="325" a="1"/>
  <c r="J51" i="325" s="1"/>
  <c r="J52" i="325" s="1"/>
  <c r="K51" i="325" a="1"/>
  <c r="K51" i="325" s="1"/>
  <c r="L51" i="325" a="1"/>
  <c r="L51" i="325" s="1"/>
  <c r="M51" i="325" a="1"/>
  <c r="M51" i="325" s="1"/>
  <c r="M52" i="325" s="1"/>
  <c r="N51" i="325" a="1"/>
  <c r="N51" i="325" s="1"/>
  <c r="N52" i="325" s="1"/>
  <c r="O51" i="325" a="1"/>
  <c r="O51" i="325" s="1"/>
  <c r="A57" i="325"/>
  <c r="B2" i="347"/>
  <c r="AK6" i="347"/>
  <c r="AF10" i="347"/>
  <c r="AF89" i="347" s="1"/>
  <c r="AF11" i="347"/>
  <c r="AF12" i="347"/>
  <c r="AF13" i="347"/>
  <c r="AF14" i="347"/>
  <c r="AF15" i="347"/>
  <c r="AF20" i="347"/>
  <c r="AF21" i="347"/>
  <c r="AF22" i="347"/>
  <c r="AF23" i="347"/>
  <c r="AF24" i="347"/>
  <c r="AF25" i="347"/>
  <c r="AF26" i="347"/>
  <c r="AF27" i="347"/>
  <c r="AF28" i="347"/>
  <c r="AF29" i="347"/>
  <c r="AF33" i="347"/>
  <c r="AF34" i="347"/>
  <c r="AF38" i="347"/>
  <c r="AF39" i="347"/>
  <c r="AF40" i="347"/>
  <c r="AF41" i="347"/>
  <c r="AF42" i="347"/>
  <c r="AF43" i="347"/>
  <c r="AF47" i="347"/>
  <c r="AF48" i="347"/>
  <c r="AF49" i="347"/>
  <c r="AF50" i="347"/>
  <c r="AF54" i="347"/>
  <c r="AF55" i="347"/>
  <c r="AF56" i="347"/>
  <c r="AF57" i="347"/>
  <c r="AF58" i="347"/>
  <c r="AF59" i="347"/>
  <c r="AF63" i="347"/>
  <c r="AF64" i="347"/>
  <c r="AF65" i="347"/>
  <c r="AF66" i="347"/>
  <c r="AF67" i="347"/>
  <c r="AF68" i="347"/>
  <c r="AF69" i="347"/>
  <c r="AF70" i="347"/>
  <c r="AF71" i="347"/>
  <c r="AF76" i="347"/>
  <c r="AF77" i="347"/>
  <c r="AF81" i="347"/>
  <c r="AF82" i="347"/>
  <c r="AF83" i="347"/>
  <c r="AF84" i="347"/>
  <c r="AF85" i="347"/>
  <c r="AF86" i="347"/>
  <c r="AE88" i="347"/>
  <c r="AF88" i="347"/>
  <c r="AE89" i="347"/>
  <c r="AE90" i="347"/>
  <c r="AF90" i="347"/>
  <c r="AE91" i="347"/>
  <c r="AE92" i="347"/>
  <c r="AF92" i="347"/>
  <c r="AE93" i="347"/>
  <c r="AF101" i="347"/>
  <c r="AF102" i="347"/>
  <c r="AF103" i="347"/>
  <c r="AF104" i="347"/>
  <c r="AF105" i="347"/>
  <c r="AF106" i="347"/>
  <c r="AF107" i="347"/>
  <c r="AF108" i="347"/>
  <c r="AF109" i="347"/>
  <c r="AF110" i="347"/>
  <c r="AF111" i="347"/>
  <c r="AF112" i="347"/>
  <c r="AF113" i="347"/>
  <c r="AF114" i="347"/>
  <c r="AF115" i="347"/>
  <c r="AF116" i="347"/>
  <c r="AF117" i="347"/>
  <c r="AF118" i="347"/>
  <c r="AF119" i="347"/>
  <c r="AF120" i="347"/>
  <c r="AF121" i="347"/>
  <c r="AF122" i="347"/>
  <c r="AF123" i="347"/>
  <c r="AF124" i="347"/>
  <c r="AF125" i="347"/>
  <c r="AF126" i="347"/>
  <c r="AF127" i="347"/>
  <c r="B2" i="39"/>
  <c r="H18" i="39"/>
  <c r="H20" i="39" s="1"/>
  <c r="H23" i="39" s="1"/>
  <c r="D9" i="39" s="1"/>
  <c r="H19" i="39"/>
  <c r="F10" i="39"/>
  <c r="F9" i="39" s="1"/>
  <c r="H27" i="39"/>
  <c r="H28" i="39"/>
  <c r="H33" i="39"/>
  <c r="R14" i="39"/>
  <c r="M18" i="39"/>
  <c r="H29" i="39"/>
  <c r="R35" i="39"/>
  <c r="S35" i="39"/>
  <c r="R41" i="39"/>
  <c r="S41" i="39"/>
  <c r="T41" i="39"/>
  <c r="B2" i="310"/>
  <c r="C8" i="310"/>
  <c r="G11" i="310"/>
  <c r="H11" i="310" s="1"/>
  <c r="I11" i="310"/>
  <c r="F12" i="310"/>
  <c r="G12" i="310"/>
  <c r="D13" i="310"/>
  <c r="F13" i="310"/>
  <c r="H13" i="310"/>
  <c r="D14" i="310"/>
  <c r="C23" i="310"/>
  <c r="G26" i="310"/>
  <c r="H26" i="310"/>
  <c r="I26" i="310" s="1"/>
  <c r="J26" i="310" s="1"/>
  <c r="K26" i="310" s="1"/>
  <c r="L26" i="310"/>
  <c r="M26" i="310" s="1"/>
  <c r="N26" i="310" s="1"/>
  <c r="O26" i="310" s="1"/>
  <c r="F27" i="310"/>
  <c r="D28" i="310"/>
  <c r="F28" i="310" s="1"/>
  <c r="G28" i="310"/>
  <c r="C38" i="310"/>
  <c r="G41" i="310"/>
  <c r="H41" i="310" s="1"/>
  <c r="I41" i="310" s="1"/>
  <c r="J41" i="310" s="1"/>
  <c r="K41" i="310"/>
  <c r="L41" i="310" s="1"/>
  <c r="M41" i="310" s="1"/>
  <c r="N41" i="310" s="1"/>
  <c r="O41" i="310" s="1"/>
  <c r="F42" i="310"/>
  <c r="G42" i="310"/>
  <c r="I42" i="310"/>
  <c r="D43" i="310"/>
  <c r="F43" i="310"/>
  <c r="D44" i="310"/>
  <c r="F44" i="310" s="1"/>
  <c r="G44" i="310"/>
  <c r="C53" i="310"/>
  <c r="G56" i="310"/>
  <c r="H56" i="310"/>
  <c r="I56" i="310" s="1"/>
  <c r="J56" i="310"/>
  <c r="K56" i="310" s="1"/>
  <c r="L56" i="310" s="1"/>
  <c r="M56" i="310" s="1"/>
  <c r="N56" i="310"/>
  <c r="O56" i="310" s="1"/>
  <c r="F57" i="310"/>
  <c r="D58" i="310"/>
  <c r="I58" i="310"/>
  <c r="C68" i="310"/>
  <c r="G71" i="310"/>
  <c r="H71" i="310" s="1"/>
  <c r="I71" i="310" s="1"/>
  <c r="J71" i="310" s="1"/>
  <c r="K71" i="310" s="1"/>
  <c r="L71" i="310" s="1"/>
  <c r="M71" i="310" s="1"/>
  <c r="N71" i="310" s="1"/>
  <c r="O71" i="310" s="1"/>
  <c r="F72" i="310"/>
  <c r="G72" i="310"/>
  <c r="D73" i="310"/>
  <c r="F73" i="310"/>
  <c r="D74" i="310"/>
  <c r="I74" i="310"/>
  <c r="C83" i="310"/>
  <c r="G86" i="310"/>
  <c r="H86" i="310"/>
  <c r="I86" i="310" s="1"/>
  <c r="J86" i="310" s="1"/>
  <c r="K86" i="310" s="1"/>
  <c r="L86" i="310"/>
  <c r="M86" i="310" s="1"/>
  <c r="N86" i="310" s="1"/>
  <c r="O86" i="310" s="1"/>
  <c r="F87" i="310"/>
  <c r="D88" i="310"/>
  <c r="F88" i="310" s="1"/>
  <c r="G88" i="310"/>
  <c r="B2" i="346"/>
  <c r="AF4" i="346"/>
  <c r="AG4" i="346"/>
  <c r="G8" i="346"/>
  <c r="B12" i="346"/>
  <c r="C13" i="346"/>
  <c r="C14" i="346"/>
  <c r="B17" i="346"/>
  <c r="C19" i="346"/>
  <c r="B37" i="346"/>
  <c r="C37" i="346"/>
  <c r="B38" i="346"/>
  <c r="C38" i="346"/>
  <c r="B39" i="346"/>
  <c r="C39" i="346"/>
  <c r="B41" i="346"/>
  <c r="C41" i="346"/>
  <c r="B42" i="346"/>
  <c r="B43" i="346" s="1"/>
  <c r="C42" i="346"/>
  <c r="C43" i="346"/>
  <c r="F51" i="346"/>
  <c r="G51" i="346" s="1"/>
  <c r="H51" i="346" s="1"/>
  <c r="I51" i="346" s="1"/>
  <c r="J51" i="346" s="1"/>
  <c r="K51" i="346" s="1"/>
  <c r="L51" i="346" s="1"/>
  <c r="M51" i="346" s="1"/>
  <c r="N51" i="346" s="1"/>
  <c r="O51" i="346" s="1"/>
  <c r="P51" i="346" s="1"/>
  <c r="Q51" i="346" s="1"/>
  <c r="R51" i="346" s="1"/>
  <c r="S51" i="346" s="1"/>
  <c r="T51" i="346" s="1"/>
  <c r="U51" i="346" s="1"/>
  <c r="V51" i="346" s="1"/>
  <c r="W51" i="346" s="1"/>
  <c r="X51" i="346" s="1"/>
  <c r="Y51" i="346" s="1"/>
  <c r="Z51" i="346" s="1"/>
  <c r="AA51" i="346" s="1"/>
  <c r="AB51" i="346" s="1"/>
  <c r="AC51" i="346" s="1"/>
  <c r="AD51" i="346" s="1"/>
  <c r="AE51" i="346" s="1"/>
  <c r="AF51" i="346" s="1"/>
  <c r="AG51" i="346" s="1"/>
  <c r="B2" i="345"/>
  <c r="I4" i="345"/>
  <c r="C14" i="345"/>
  <c r="D22" i="345"/>
  <c r="D21" i="345"/>
  <c r="E24" i="345"/>
  <c r="E25" i="345"/>
  <c r="E26" i="345"/>
  <c r="E27" i="345"/>
  <c r="E51" i="345" s="1"/>
  <c r="E28" i="345"/>
  <c r="E52" i="345" s="1"/>
  <c r="E29" i="345"/>
  <c r="D36" i="345"/>
  <c r="D37" i="345"/>
  <c r="C45" i="345"/>
  <c r="D45" i="345"/>
  <c r="C46" i="345"/>
  <c r="C47" i="345"/>
  <c r="C48" i="345"/>
  <c r="C49" i="345"/>
  <c r="I49" i="345"/>
  <c r="C18" i="346" s="1"/>
  <c r="C50" i="345"/>
  <c r="C51" i="345"/>
  <c r="C52" i="345"/>
  <c r="C53" i="345"/>
  <c r="D60" i="345"/>
  <c r="D61" i="345" s="1"/>
  <c r="C70" i="345"/>
  <c r="D75" i="345"/>
  <c r="B77" i="345"/>
  <c r="B2" i="344"/>
  <c r="AE4" i="344"/>
  <c r="AG4" i="344"/>
  <c r="B6" i="344"/>
  <c r="G8" i="344"/>
  <c r="H8" i="344" s="1"/>
  <c r="B12" i="344"/>
  <c r="C13" i="344"/>
  <c r="C14" i="344"/>
  <c r="B17" i="344"/>
  <c r="C19" i="344"/>
  <c r="B37" i="344"/>
  <c r="C37" i="344"/>
  <c r="B38" i="344"/>
  <c r="C38" i="344"/>
  <c r="B39" i="344"/>
  <c r="C39" i="344"/>
  <c r="B41" i="344"/>
  <c r="C41" i="344"/>
  <c r="B42" i="344"/>
  <c r="B43" i="344" s="1"/>
  <c r="C42" i="344"/>
  <c r="C43" i="344"/>
  <c r="F51" i="344"/>
  <c r="G51" i="344" s="1"/>
  <c r="H51" i="344" s="1"/>
  <c r="I51" i="344" s="1"/>
  <c r="J51" i="344" s="1"/>
  <c r="K51" i="344" s="1"/>
  <c r="L51" i="344" s="1"/>
  <c r="M51" i="344" s="1"/>
  <c r="N51" i="344" s="1"/>
  <c r="O51" i="344" s="1"/>
  <c r="P51" i="344" s="1"/>
  <c r="Q51" i="344" s="1"/>
  <c r="R51" i="344" s="1"/>
  <c r="S51" i="344" s="1"/>
  <c r="T51" i="344" s="1"/>
  <c r="U51" i="344" s="1"/>
  <c r="V51" i="344" s="1"/>
  <c r="W51" i="344" s="1"/>
  <c r="X51" i="344" s="1"/>
  <c r="Y51" i="344" s="1"/>
  <c r="Z51" i="344" s="1"/>
  <c r="AA51" i="344" s="1"/>
  <c r="AB51" i="344" s="1"/>
  <c r="AC51" i="344" s="1"/>
  <c r="AD51" i="344" s="1"/>
  <c r="AE51" i="344" s="1"/>
  <c r="AF51" i="344" s="1"/>
  <c r="AG51" i="344" s="1"/>
  <c r="B2" i="343"/>
  <c r="I4" i="343"/>
  <c r="C14" i="343"/>
  <c r="D22" i="343"/>
  <c r="D46" i="343" s="1"/>
  <c r="D23" i="343"/>
  <c r="D24" i="343" s="1"/>
  <c r="D21" i="343"/>
  <c r="E24" i="343"/>
  <c r="E25" i="343"/>
  <c r="E26" i="343"/>
  <c r="E27" i="343"/>
  <c r="E28" i="343"/>
  <c r="E52" i="343" s="1"/>
  <c r="E29" i="343"/>
  <c r="D36" i="343"/>
  <c r="D37" i="343"/>
  <c r="C45" i="343"/>
  <c r="D45" i="343"/>
  <c r="C46" i="343"/>
  <c r="C47" i="343"/>
  <c r="C48" i="343"/>
  <c r="C49" i="343"/>
  <c r="I49" i="343"/>
  <c r="C18" i="344" s="1"/>
  <c r="J49" i="343"/>
  <c r="C50" i="343"/>
  <c r="J50" i="343"/>
  <c r="C51" i="343"/>
  <c r="E51" i="343"/>
  <c r="J51" i="343"/>
  <c r="C52" i="343"/>
  <c r="C53" i="343"/>
  <c r="E53" i="343"/>
  <c r="D60" i="343"/>
  <c r="D61" i="343" s="1"/>
  <c r="C70" i="343"/>
  <c r="D75" i="343"/>
  <c r="B77" i="343"/>
  <c r="B2" i="308"/>
  <c r="AD4" i="308"/>
  <c r="AG4" i="308"/>
  <c r="B6" i="308"/>
  <c r="G8" i="308"/>
  <c r="B12" i="308"/>
  <c r="B29" i="308" s="1"/>
  <c r="C13" i="308"/>
  <c r="C14" i="308"/>
  <c r="B17" i="308"/>
  <c r="C19" i="308"/>
  <c r="B37" i="308"/>
  <c r="C37" i="308"/>
  <c r="B38" i="308"/>
  <c r="C38" i="308"/>
  <c r="B39" i="308"/>
  <c r="C39" i="308"/>
  <c r="B41" i="308"/>
  <c r="C41" i="308"/>
  <c r="B42" i="308"/>
  <c r="B43" i="308" s="1"/>
  <c r="C42" i="308"/>
  <c r="C43" i="308"/>
  <c r="F51" i="308"/>
  <c r="G51" i="308" s="1"/>
  <c r="H51" i="308" s="1"/>
  <c r="I51" i="308" s="1"/>
  <c r="J51" i="308" s="1"/>
  <c r="K51" i="308" s="1"/>
  <c r="L51" i="308" s="1"/>
  <c r="M51" i="308" s="1"/>
  <c r="N51" i="308" s="1"/>
  <c r="O51" i="308" s="1"/>
  <c r="P51" i="308" s="1"/>
  <c r="Q51" i="308" s="1"/>
  <c r="R51" i="308" s="1"/>
  <c r="S51" i="308" s="1"/>
  <c r="T51" i="308" s="1"/>
  <c r="U51" i="308" s="1"/>
  <c r="V51" i="308" s="1"/>
  <c r="W51" i="308" s="1"/>
  <c r="X51" i="308" s="1"/>
  <c r="Y51" i="308" s="1"/>
  <c r="Z51" i="308" s="1"/>
  <c r="AA51" i="308" s="1"/>
  <c r="AB51" i="308" s="1"/>
  <c r="AC51" i="308" s="1"/>
  <c r="AD51" i="308" s="1"/>
  <c r="AE51" i="308" s="1"/>
  <c r="AF51" i="308" s="1"/>
  <c r="AG51" i="308" s="1"/>
  <c r="B2" i="306"/>
  <c r="I4" i="306"/>
  <c r="C14" i="306"/>
  <c r="D22" i="306"/>
  <c r="D21" i="306"/>
  <c r="E24" i="306"/>
  <c r="E25" i="306"/>
  <c r="E26" i="306"/>
  <c r="E27" i="306"/>
  <c r="E51" i="306" s="1"/>
  <c r="E28" i="306"/>
  <c r="E29" i="306"/>
  <c r="D36" i="306"/>
  <c r="D37" i="306"/>
  <c r="C45" i="306"/>
  <c r="C46" i="306"/>
  <c r="C47" i="306"/>
  <c r="C48" i="306"/>
  <c r="C49" i="306"/>
  <c r="I49" i="306"/>
  <c r="C18" i="308" s="1"/>
  <c r="C50" i="306"/>
  <c r="C51" i="306"/>
  <c r="C52" i="306"/>
  <c r="E52" i="306"/>
  <c r="C53" i="306"/>
  <c r="D60" i="306"/>
  <c r="D61" i="306" s="1"/>
  <c r="C70" i="306"/>
  <c r="D75" i="306"/>
  <c r="B77" i="306"/>
  <c r="I4" i="316"/>
  <c r="M4" i="316"/>
  <c r="Q4" i="316"/>
  <c r="U4" i="316"/>
  <c r="AC4" i="316"/>
  <c r="AG4" i="316"/>
  <c r="F9" i="316"/>
  <c r="F10" i="316"/>
  <c r="G19" i="316"/>
  <c r="H19" i="316"/>
  <c r="I19" i="316" s="1"/>
  <c r="J19" i="316" s="1"/>
  <c r="J34" i="316"/>
  <c r="N34" i="316" s="1"/>
  <c r="R34" i="316" s="1"/>
  <c r="V34" i="316" s="1"/>
  <c r="Y34" i="316" s="1"/>
  <c r="AD34" i="316" s="1"/>
  <c r="B2" i="313"/>
  <c r="K4" i="313"/>
  <c r="N4" i="313"/>
  <c r="C15" i="313" s="1"/>
  <c r="X32" i="313"/>
  <c r="F14" i="313"/>
  <c r="H14" i="313" s="1"/>
  <c r="B2" i="305"/>
  <c r="F4" i="305"/>
  <c r="F12" i="305"/>
  <c r="B2" i="232"/>
  <c r="D9" i="152"/>
  <c r="D13" i="152"/>
  <c r="D15" i="152"/>
  <c r="B2" i="282"/>
  <c r="J4" i="282"/>
  <c r="I9" i="282"/>
  <c r="J9" i="282"/>
  <c r="I10" i="282"/>
  <c r="J10" i="282" s="1"/>
  <c r="J11" i="282"/>
  <c r="J12" i="282"/>
  <c r="J13" i="282"/>
  <c r="I14" i="282"/>
  <c r="J14" i="282"/>
  <c r="J15" i="282"/>
  <c r="J16" i="282"/>
  <c r="J17" i="282"/>
  <c r="J18" i="282"/>
  <c r="I19" i="282"/>
  <c r="J19" i="282"/>
  <c r="J20" i="282"/>
  <c r="J21" i="282"/>
  <c r="J22" i="282"/>
  <c r="J23" i="282"/>
  <c r="I24" i="282"/>
  <c r="J24" i="282"/>
  <c r="H25" i="282"/>
  <c r="H55" i="282" s="1"/>
  <c r="J25" i="282"/>
  <c r="J26" i="282"/>
  <c r="J27" i="282"/>
  <c r="J28" i="282"/>
  <c r="J29" i="282"/>
  <c r="J30" i="282"/>
  <c r="J31" i="282"/>
  <c r="J32" i="282"/>
  <c r="J33" i="282"/>
  <c r="J34" i="282"/>
  <c r="J35" i="282"/>
  <c r="J36" i="282"/>
  <c r="J37" i="282"/>
  <c r="J38" i="282"/>
  <c r="J39" i="282"/>
  <c r="J40" i="282"/>
  <c r="J41" i="282"/>
  <c r="I42" i="282"/>
  <c r="J42" i="282"/>
  <c r="J43" i="282"/>
  <c r="J44" i="282"/>
  <c r="J45" i="282"/>
  <c r="J46" i="282"/>
  <c r="J47" i="282"/>
  <c r="J48" i="282"/>
  <c r="J49" i="282"/>
  <c r="H50" i="282"/>
  <c r="I50" i="282"/>
  <c r="J50" i="282"/>
  <c r="I51" i="282"/>
  <c r="J51" i="282" s="1"/>
  <c r="J52" i="282"/>
  <c r="G55" i="282"/>
  <c r="G95" i="282" s="1" a="1"/>
  <c r="G95" i="282" s="1"/>
  <c r="G56" i="282"/>
  <c r="G57" i="282"/>
  <c r="G58" i="282"/>
  <c r="G59" i="282"/>
  <c r="G60" i="282"/>
  <c r="J63" i="282"/>
  <c r="J64" i="282"/>
  <c r="J65" i="282"/>
  <c r="J66" i="282"/>
  <c r="I67" i="282"/>
  <c r="J67" i="282" s="1"/>
  <c r="J68" i="282"/>
  <c r="J69" i="282"/>
  <c r="H70" i="282"/>
  <c r="I70" i="282" s="1"/>
  <c r="J70" i="282" s="1"/>
  <c r="J71" i="282"/>
  <c r="H72" i="282"/>
  <c r="I72" i="282" s="1"/>
  <c r="J72" i="282" s="1"/>
  <c r="J73" i="282"/>
  <c r="I74" i="282"/>
  <c r="J74" i="282" s="1"/>
  <c r="J75" i="282"/>
  <c r="J76" i="282"/>
  <c r="I77" i="282"/>
  <c r="J77" i="282" s="1"/>
  <c r="J78" i="282"/>
  <c r="J79" i="282"/>
  <c r="J80" i="282"/>
  <c r="J81" i="282"/>
  <c r="J82" i="282"/>
  <c r="I83" i="282"/>
  <c r="J83" i="282"/>
  <c r="H84" i="282"/>
  <c r="J84" i="282"/>
  <c r="G87" i="282"/>
  <c r="H87" i="282"/>
  <c r="G88" i="282"/>
  <c r="H88" i="282"/>
  <c r="G89" i="282"/>
  <c r="H89" i="282"/>
  <c r="G90" i="282"/>
  <c r="H90" i="282"/>
  <c r="G91" i="282"/>
  <c r="H91" i="282"/>
  <c r="G92" i="282"/>
  <c r="H92" i="282"/>
  <c r="G96" i="282" a="1"/>
  <c r="G96" i="282" s="1"/>
  <c r="G97" i="282" a="1"/>
  <c r="G97" i="282" s="1"/>
  <c r="G98" i="282" a="1"/>
  <c r="G98" i="282" s="1"/>
  <c r="G99" i="282" a="1"/>
  <c r="G99" i="282"/>
  <c r="G100" i="282" a="1"/>
  <c r="G100" i="282" s="1"/>
  <c r="B2" i="281"/>
  <c r="P4" i="281"/>
  <c r="K11" i="281"/>
  <c r="N11" i="281"/>
  <c r="P11" i="281" s="1"/>
  <c r="O11" i="281"/>
  <c r="S11" i="281"/>
  <c r="T11" i="281"/>
  <c r="K12" i="281"/>
  <c r="N12" i="281"/>
  <c r="P12" i="281" s="1"/>
  <c r="O12" i="281"/>
  <c r="S12" i="281"/>
  <c r="T12" i="281"/>
  <c r="K13" i="281"/>
  <c r="N13" i="281"/>
  <c r="N19" i="281" s="1"/>
  <c r="O13" i="281"/>
  <c r="P13" i="281"/>
  <c r="AF13" i="281" s="1"/>
  <c r="S13" i="281"/>
  <c r="T13" i="281"/>
  <c r="U13" i="281" s="1"/>
  <c r="X13" i="281"/>
  <c r="AA13" i="281" s="1"/>
  <c r="AD13" i="281" s="1"/>
  <c r="K14" i="281"/>
  <c r="N14" i="281"/>
  <c r="O14" i="281"/>
  <c r="P14" i="281" s="1"/>
  <c r="S14" i="281"/>
  <c r="T14" i="281"/>
  <c r="S17" i="281"/>
  <c r="S18" i="281"/>
  <c r="S19" i="281"/>
  <c r="N20" i="281"/>
  <c r="S20" i="281"/>
  <c r="S21" i="281"/>
  <c r="S22" i="281"/>
  <c r="M25" i="281"/>
  <c r="L25" i="281"/>
  <c r="O25" i="281"/>
  <c r="S25" i="281"/>
  <c r="T25" i="281"/>
  <c r="K26" i="281"/>
  <c r="N26" i="281"/>
  <c r="P26" i="281" s="1"/>
  <c r="U26" i="281" s="1"/>
  <c r="O26" i="281"/>
  <c r="S26" i="281"/>
  <c r="T26" i="281"/>
  <c r="K27" i="281"/>
  <c r="N27" i="281"/>
  <c r="P27" i="281" s="1"/>
  <c r="U27" i="281" s="1"/>
  <c r="O27" i="281"/>
  <c r="S27" i="281"/>
  <c r="T27" i="281"/>
  <c r="K28" i="281"/>
  <c r="N28" i="281"/>
  <c r="P28" i="281" s="1"/>
  <c r="O28" i="281"/>
  <c r="S28" i="281"/>
  <c r="T28" i="281"/>
  <c r="K29" i="281"/>
  <c r="N29" i="281"/>
  <c r="O29" i="281"/>
  <c r="P29" i="281"/>
  <c r="AF29" i="281" s="1"/>
  <c r="S29" i="281"/>
  <c r="T29" i="281"/>
  <c r="U29" i="281" s="1"/>
  <c r="X29" i="281"/>
  <c r="AA29" i="281" s="1"/>
  <c r="AD29" i="281" s="1"/>
  <c r="K30" i="281"/>
  <c r="N30" i="281"/>
  <c r="O30" i="281"/>
  <c r="P30" i="281" s="1"/>
  <c r="S30" i="281"/>
  <c r="T30" i="281"/>
  <c r="K31" i="281"/>
  <c r="N31" i="281"/>
  <c r="P31" i="281" s="1"/>
  <c r="O31" i="281"/>
  <c r="S31" i="281"/>
  <c r="T31" i="281"/>
  <c r="S34" i="281"/>
  <c r="S35" i="281"/>
  <c r="S36" i="281"/>
  <c r="S37" i="281"/>
  <c r="S38" i="281"/>
  <c r="S39" i="281"/>
  <c r="M42" i="281"/>
  <c r="K42" i="281" s="1"/>
  <c r="N42" i="281" s="1"/>
  <c r="L42" i="281"/>
  <c r="O42" i="281"/>
  <c r="S42" i="281"/>
  <c r="K43" i="281"/>
  <c r="N43" i="281"/>
  <c r="O43" i="281"/>
  <c r="P43" i="281"/>
  <c r="S43" i="281"/>
  <c r="T43" i="281"/>
  <c r="U43" i="281" s="1"/>
  <c r="X43" i="281"/>
  <c r="K44" i="281"/>
  <c r="N44" i="281"/>
  <c r="O44" i="281"/>
  <c r="P44" i="281"/>
  <c r="S44" i="281"/>
  <c r="T44" i="281"/>
  <c r="U44" i="281" s="1"/>
  <c r="X44" i="281"/>
  <c r="K45" i="281"/>
  <c r="N45" i="281"/>
  <c r="O45" i="281"/>
  <c r="P45" i="281"/>
  <c r="S45" i="281"/>
  <c r="T45" i="281"/>
  <c r="U45" i="281" s="1"/>
  <c r="X45" i="281"/>
  <c r="K46" i="281"/>
  <c r="N46" i="281"/>
  <c r="O46" i="281"/>
  <c r="P46" i="281"/>
  <c r="S46" i="281"/>
  <c r="T46" i="281"/>
  <c r="U46" i="281" s="1"/>
  <c r="X46" i="281"/>
  <c r="K47" i="281"/>
  <c r="N47" i="281"/>
  <c r="O47" i="281"/>
  <c r="P47" i="281"/>
  <c r="S47" i="281"/>
  <c r="T47" i="281"/>
  <c r="U47" i="281" s="1"/>
  <c r="X47" i="281"/>
  <c r="K48" i="281"/>
  <c r="N48" i="281"/>
  <c r="O48" i="281"/>
  <c r="P48" i="281"/>
  <c r="S48" i="281"/>
  <c r="T48" i="281"/>
  <c r="U48" i="281" s="1"/>
  <c r="X48" i="281"/>
  <c r="S51" i="281"/>
  <c r="S52" i="281"/>
  <c r="S53" i="281"/>
  <c r="S54" i="281"/>
  <c r="S55" i="281"/>
  <c r="S56" i="281"/>
  <c r="K59" i="281"/>
  <c r="N59" i="281"/>
  <c r="N65" i="281" s="1"/>
  <c r="O59" i="281"/>
  <c r="S59" i="281"/>
  <c r="S65" i="281" s="1"/>
  <c r="T59" i="281"/>
  <c r="K60" i="281"/>
  <c r="N60" i="281"/>
  <c r="X60" i="281" s="1"/>
  <c r="AA60" i="281" s="1"/>
  <c r="O60" i="281"/>
  <c r="P60" i="281"/>
  <c r="S60" i="281"/>
  <c r="T60" i="281"/>
  <c r="S64" i="281"/>
  <c r="S66" i="281"/>
  <c r="N67" i="281"/>
  <c r="S68" i="281"/>
  <c r="B2" i="280"/>
  <c r="P4" i="280"/>
  <c r="K11" i="280"/>
  <c r="N11" i="280" s="1"/>
  <c r="X11" i="280" s="1"/>
  <c r="O11" i="280"/>
  <c r="P11" i="280"/>
  <c r="S11" i="280"/>
  <c r="T11" i="280" s="1"/>
  <c r="K12" i="280"/>
  <c r="N12" i="280" s="1"/>
  <c r="X12" i="280" s="1"/>
  <c r="O12" i="280"/>
  <c r="S12" i="280"/>
  <c r="T12" i="280" s="1"/>
  <c r="K13" i="280"/>
  <c r="N13" i="280" s="1"/>
  <c r="X13" i="280" s="1"/>
  <c r="O13" i="280"/>
  <c r="P13" i="280"/>
  <c r="U13" i="280" s="1"/>
  <c r="S13" i="280"/>
  <c r="T13" i="280" s="1"/>
  <c r="K14" i="280"/>
  <c r="N14" i="280" s="1"/>
  <c r="X14" i="280" s="1"/>
  <c r="AA14" i="280" s="1"/>
  <c r="O14" i="280"/>
  <c r="S14" i="280"/>
  <c r="T14" i="280" s="1"/>
  <c r="K15" i="280"/>
  <c r="N15" i="280" s="1"/>
  <c r="O15" i="280"/>
  <c r="P15" i="280" s="1"/>
  <c r="AF15" i="280" s="1"/>
  <c r="S15" i="280"/>
  <c r="T15" i="280" s="1"/>
  <c r="X15" i="280"/>
  <c r="AA15" i="280" s="1"/>
  <c r="K16" i="280"/>
  <c r="N16" i="280" s="1"/>
  <c r="X16" i="280" s="1"/>
  <c r="AA16" i="280" s="1"/>
  <c r="O16" i="280"/>
  <c r="P16" i="280"/>
  <c r="U16" i="280" s="1"/>
  <c r="S16" i="280"/>
  <c r="T16" i="280" s="1"/>
  <c r="K17" i="280"/>
  <c r="N17" i="280" s="1"/>
  <c r="P17" i="280" s="1"/>
  <c r="AF17" i="280" s="1"/>
  <c r="O17" i="280"/>
  <c r="S17" i="280"/>
  <c r="T17" i="280" s="1"/>
  <c r="X17" i="280"/>
  <c r="AA17" i="280" s="1"/>
  <c r="K18" i="280"/>
  <c r="N18" i="280" s="1"/>
  <c r="X18" i="280" s="1"/>
  <c r="AA18" i="280" s="1"/>
  <c r="O18" i="280"/>
  <c r="S18" i="280"/>
  <c r="T18" i="280" s="1"/>
  <c r="K19" i="280"/>
  <c r="N19" i="280" s="1"/>
  <c r="O19" i="280"/>
  <c r="P19" i="280" s="1"/>
  <c r="AF19" i="280" s="1"/>
  <c r="S19" i="280"/>
  <c r="T19" i="280" s="1"/>
  <c r="X19" i="280"/>
  <c r="AA19" i="280" s="1"/>
  <c r="K20" i="280"/>
  <c r="N20" i="280" s="1"/>
  <c r="X20" i="280" s="1"/>
  <c r="AA20" i="280" s="1"/>
  <c r="O20" i="280"/>
  <c r="P20" i="280"/>
  <c r="U20" i="280" s="1"/>
  <c r="S20" i="280"/>
  <c r="T20" i="280" s="1"/>
  <c r="K21" i="280"/>
  <c r="N21" i="280" s="1"/>
  <c r="P21" i="280" s="1"/>
  <c r="AF21" i="280" s="1"/>
  <c r="O21" i="280"/>
  <c r="S21" i="280"/>
  <c r="T21" i="280" s="1"/>
  <c r="X21" i="280"/>
  <c r="AA21" i="280" s="1"/>
  <c r="K22" i="280"/>
  <c r="N22" i="280" s="1"/>
  <c r="O22" i="280"/>
  <c r="S22" i="280"/>
  <c r="T22" i="280" s="1"/>
  <c r="K23" i="280"/>
  <c r="N23" i="280" s="1"/>
  <c r="O23" i="280"/>
  <c r="S23" i="280"/>
  <c r="T23" i="280" s="1"/>
  <c r="K24" i="280"/>
  <c r="N24" i="280" s="1"/>
  <c r="O24" i="280"/>
  <c r="S24" i="280"/>
  <c r="T24" i="280" s="1"/>
  <c r="K25" i="280"/>
  <c r="N25" i="280" s="1"/>
  <c r="O25" i="280"/>
  <c r="S25" i="280"/>
  <c r="T25" i="280" s="1"/>
  <c r="K26" i="280"/>
  <c r="N26" i="280" s="1"/>
  <c r="O26" i="280"/>
  <c r="S26" i="280"/>
  <c r="T26" i="280" s="1"/>
  <c r="K27" i="280"/>
  <c r="N27" i="280" s="1"/>
  <c r="O27" i="280"/>
  <c r="S27" i="280"/>
  <c r="T27" i="280" s="1"/>
  <c r="K28" i="280"/>
  <c r="N28" i="280" s="1"/>
  <c r="O28" i="280"/>
  <c r="S28" i="280"/>
  <c r="T28" i="280" s="1"/>
  <c r="K29" i="280"/>
  <c r="N29" i="280" s="1"/>
  <c r="O29" i="280"/>
  <c r="S29" i="280"/>
  <c r="T29" i="280" s="1"/>
  <c r="S34" i="280"/>
  <c r="K40" i="280"/>
  <c r="N40" i="280" s="1"/>
  <c r="O40" i="280"/>
  <c r="S40" i="280"/>
  <c r="T40" i="280" s="1"/>
  <c r="K41" i="280"/>
  <c r="N41" i="280" s="1"/>
  <c r="O41" i="280"/>
  <c r="S41" i="280"/>
  <c r="T41" i="280" s="1"/>
  <c r="K42" i="280"/>
  <c r="N42" i="280" s="1"/>
  <c r="O42" i="280"/>
  <c r="S42" i="280"/>
  <c r="T42" i="280" s="1"/>
  <c r="M43" i="280"/>
  <c r="L43" i="280"/>
  <c r="K43" i="280"/>
  <c r="N43" i="280" s="1"/>
  <c r="O43" i="280"/>
  <c r="S43" i="280"/>
  <c r="T43" i="280" s="1"/>
  <c r="M44" i="280"/>
  <c r="K44" i="280" s="1"/>
  <c r="N44" i="280" s="1"/>
  <c r="L44" i="280"/>
  <c r="O44" i="280"/>
  <c r="S44" i="280"/>
  <c r="T44" i="280" s="1"/>
  <c r="M45" i="280"/>
  <c r="L45" i="280"/>
  <c r="K45" i="280"/>
  <c r="N45" i="280" s="1"/>
  <c r="O45" i="280"/>
  <c r="S45" i="280"/>
  <c r="T45" i="280" s="1"/>
  <c r="M46" i="280"/>
  <c r="K46" i="280" s="1"/>
  <c r="N46" i="280" s="1"/>
  <c r="L46" i="280"/>
  <c r="O46" i="280"/>
  <c r="S46" i="280"/>
  <c r="T46" i="280" s="1"/>
  <c r="K47" i="280"/>
  <c r="N47" i="280" s="1"/>
  <c r="O47" i="280"/>
  <c r="S47" i="280"/>
  <c r="T47" i="280" s="1"/>
  <c r="K48" i="280"/>
  <c r="N48" i="280" s="1"/>
  <c r="O48" i="280"/>
  <c r="S48" i="280"/>
  <c r="T48" i="280" s="1"/>
  <c r="K49" i="280"/>
  <c r="N49" i="280" s="1"/>
  <c r="O49" i="280"/>
  <c r="S49" i="280"/>
  <c r="T49" i="280" s="1"/>
  <c r="K50" i="280"/>
  <c r="N50" i="280" s="1"/>
  <c r="O50" i="280"/>
  <c r="S50" i="280"/>
  <c r="T50" i="280" s="1"/>
  <c r="K51" i="280"/>
  <c r="N51" i="280" s="1"/>
  <c r="O51" i="280"/>
  <c r="S51" i="280"/>
  <c r="T51" i="280" s="1"/>
  <c r="K52" i="280"/>
  <c r="N52" i="280" s="1"/>
  <c r="O52" i="280"/>
  <c r="S52" i="280"/>
  <c r="T52" i="280" s="1"/>
  <c r="K53" i="280"/>
  <c r="N53" i="280" s="1"/>
  <c r="O53" i="280"/>
  <c r="S53" i="280"/>
  <c r="T53" i="280" s="1"/>
  <c r="K54" i="280"/>
  <c r="N54" i="280" s="1"/>
  <c r="O54" i="280"/>
  <c r="S54" i="280"/>
  <c r="T54" i="280" s="1"/>
  <c r="K55" i="280"/>
  <c r="N55" i="280" s="1"/>
  <c r="O55" i="280"/>
  <c r="S55" i="280"/>
  <c r="T55" i="280" s="1"/>
  <c r="K56" i="280"/>
  <c r="N56" i="280" s="1"/>
  <c r="O56" i="280"/>
  <c r="S56" i="280"/>
  <c r="T56" i="280" s="1"/>
  <c r="K57" i="280"/>
  <c r="N57" i="280" s="1"/>
  <c r="O57" i="280"/>
  <c r="S57" i="280"/>
  <c r="T57" i="280" s="1"/>
  <c r="K58" i="280"/>
  <c r="N58" i="280" s="1"/>
  <c r="O58" i="280"/>
  <c r="S58" i="280"/>
  <c r="T58" i="280" s="1"/>
  <c r="K59" i="280"/>
  <c r="N59" i="280" s="1"/>
  <c r="O59" i="280"/>
  <c r="S59" i="280"/>
  <c r="T59" i="280" s="1"/>
  <c r="K60" i="280"/>
  <c r="N60" i="280"/>
  <c r="P60" i="280" s="1"/>
  <c r="O60" i="280"/>
  <c r="S60" i="280"/>
  <c r="T60" i="280"/>
  <c r="K61" i="280"/>
  <c r="N61" i="280"/>
  <c r="P61" i="280" s="1"/>
  <c r="O61" i="280"/>
  <c r="S61" i="280"/>
  <c r="T61" i="280"/>
  <c r="M62" i="280"/>
  <c r="K62" i="280" s="1"/>
  <c r="N62" i="280" s="1"/>
  <c r="L62" i="280"/>
  <c r="O62" i="280" s="1"/>
  <c r="S62" i="280"/>
  <c r="T62" i="280"/>
  <c r="M63" i="280"/>
  <c r="L63" i="280"/>
  <c r="K63" i="280" s="1"/>
  <c r="N63" i="280" s="1"/>
  <c r="S63" i="280"/>
  <c r="T63" i="280"/>
  <c r="K64" i="280"/>
  <c r="N64" i="280"/>
  <c r="P64" i="280" s="1"/>
  <c r="O64" i="280"/>
  <c r="S64" i="280"/>
  <c r="T64" i="280"/>
  <c r="U64" i="280" s="1"/>
  <c r="K65" i="280"/>
  <c r="N65" i="280"/>
  <c r="P65" i="280" s="1"/>
  <c r="O65" i="280"/>
  <c r="S65" i="280"/>
  <c r="T65" i="280"/>
  <c r="U65" i="280" s="1"/>
  <c r="K66" i="280"/>
  <c r="N66" i="280"/>
  <c r="P66" i="280" s="1"/>
  <c r="O66" i="280"/>
  <c r="S66" i="280"/>
  <c r="T66" i="280"/>
  <c r="K67" i="280"/>
  <c r="N67" i="280"/>
  <c r="P67" i="280" s="1"/>
  <c r="O67" i="280"/>
  <c r="S67" i="280"/>
  <c r="T67" i="280"/>
  <c r="K68" i="280"/>
  <c r="N68" i="280"/>
  <c r="P68" i="280" s="1"/>
  <c r="O68" i="280"/>
  <c r="S68" i="280"/>
  <c r="T68" i="280"/>
  <c r="U68" i="280" s="1"/>
  <c r="K69" i="280"/>
  <c r="N69" i="280"/>
  <c r="P69" i="280" s="1"/>
  <c r="O69" i="280"/>
  <c r="S69" i="280"/>
  <c r="T69" i="280"/>
  <c r="U69" i="280" s="1"/>
  <c r="K70" i="280"/>
  <c r="N70" i="280"/>
  <c r="P70" i="280" s="1"/>
  <c r="O70" i="280"/>
  <c r="S70" i="280"/>
  <c r="T70" i="280"/>
  <c r="K71" i="280"/>
  <c r="N71" i="280"/>
  <c r="P71" i="280" s="1"/>
  <c r="O71" i="280"/>
  <c r="S71" i="280"/>
  <c r="T71" i="280"/>
  <c r="K72" i="280"/>
  <c r="N72" i="280"/>
  <c r="P72" i="280" s="1"/>
  <c r="O72" i="280"/>
  <c r="S72" i="280"/>
  <c r="T72" i="280"/>
  <c r="U72" i="280" s="1"/>
  <c r="K73" i="280"/>
  <c r="N73" i="280"/>
  <c r="P73" i="280" s="1"/>
  <c r="O73" i="280"/>
  <c r="S73" i="280"/>
  <c r="T73" i="280"/>
  <c r="U73" i="280" s="1"/>
  <c r="K74" i="280"/>
  <c r="N74" i="280"/>
  <c r="P74" i="280" s="1"/>
  <c r="O74" i="280"/>
  <c r="S74" i="280"/>
  <c r="T74" i="280"/>
  <c r="K75" i="280"/>
  <c r="N75" i="280"/>
  <c r="P75" i="280" s="1"/>
  <c r="O75" i="280"/>
  <c r="S75" i="280"/>
  <c r="T75" i="280"/>
  <c r="K76" i="280"/>
  <c r="N76" i="280"/>
  <c r="P76" i="280" s="1"/>
  <c r="O76" i="280"/>
  <c r="S76" i="280"/>
  <c r="T76" i="280"/>
  <c r="U76" i="280" s="1"/>
  <c r="K77" i="280"/>
  <c r="N77" i="280"/>
  <c r="P77" i="280" s="1"/>
  <c r="O77" i="280"/>
  <c r="S77" i="280"/>
  <c r="T77" i="280"/>
  <c r="U77" i="280" s="1"/>
  <c r="K78" i="280"/>
  <c r="N78" i="280"/>
  <c r="P78" i="280" s="1"/>
  <c r="O78" i="280"/>
  <c r="S78" i="280"/>
  <c r="T78" i="280"/>
  <c r="K79" i="280"/>
  <c r="N79" i="280"/>
  <c r="P79" i="280" s="1"/>
  <c r="O79" i="280"/>
  <c r="S79" i="280"/>
  <c r="T79" i="280"/>
  <c r="K80" i="280"/>
  <c r="N80" i="280"/>
  <c r="P80" i="280" s="1"/>
  <c r="O80" i="280"/>
  <c r="S80" i="280"/>
  <c r="T80" i="280"/>
  <c r="U80" i="280" s="1"/>
  <c r="K81" i="280"/>
  <c r="N81" i="280"/>
  <c r="P81" i="280" s="1"/>
  <c r="O81" i="280"/>
  <c r="S81" i="280"/>
  <c r="T81" i="280"/>
  <c r="U81" i="280" s="1"/>
  <c r="K82" i="280"/>
  <c r="N82" i="280"/>
  <c r="P82" i="280" s="1"/>
  <c r="O82" i="280"/>
  <c r="S82" i="280"/>
  <c r="T82" i="280"/>
  <c r="K83" i="280"/>
  <c r="N83" i="280"/>
  <c r="P83" i="280" s="1"/>
  <c r="O83" i="280"/>
  <c r="S83" i="280"/>
  <c r="T83" i="280"/>
  <c r="S87" i="280"/>
  <c r="S89" i="280"/>
  <c r="S91" i="280"/>
  <c r="K94" i="280"/>
  <c r="N94" i="280"/>
  <c r="O94" i="280"/>
  <c r="P94" i="280"/>
  <c r="S94" i="280"/>
  <c r="T94" i="280"/>
  <c r="U94" i="280" s="1"/>
  <c r="X94" i="280"/>
  <c r="M95" i="280"/>
  <c r="L95" i="280"/>
  <c r="K95" i="280" s="1"/>
  <c r="N95" i="280" s="1"/>
  <c r="S95" i="280"/>
  <c r="T95" i="280"/>
  <c r="M96" i="280"/>
  <c r="K96" i="280" s="1"/>
  <c r="N96" i="280" s="1"/>
  <c r="L96" i="280"/>
  <c r="O96" i="280" s="1"/>
  <c r="S96" i="280"/>
  <c r="T96" i="280"/>
  <c r="M97" i="280"/>
  <c r="L97" i="280"/>
  <c r="K97" i="280" s="1"/>
  <c r="N97" i="280" s="1"/>
  <c r="S97" i="280"/>
  <c r="T97" i="280"/>
  <c r="M98" i="280"/>
  <c r="K98" i="280" s="1"/>
  <c r="N98" i="280" s="1"/>
  <c r="L98" i="280"/>
  <c r="O98" i="280" s="1"/>
  <c r="S98" i="280"/>
  <c r="T98" i="280"/>
  <c r="M99" i="280"/>
  <c r="L99" i="280"/>
  <c r="K99" i="280" s="1"/>
  <c r="N99" i="280" s="1"/>
  <c r="S99" i="280"/>
  <c r="T99" i="280"/>
  <c r="K100" i="280"/>
  <c r="N100" i="280"/>
  <c r="P100" i="280" s="1"/>
  <c r="O100" i="280"/>
  <c r="S100" i="280"/>
  <c r="T100" i="280"/>
  <c r="K101" i="280"/>
  <c r="N101" i="280"/>
  <c r="P101" i="280" s="1"/>
  <c r="O101" i="280"/>
  <c r="S101" i="280"/>
  <c r="T101" i="280"/>
  <c r="U101" i="280" s="1"/>
  <c r="K102" i="280"/>
  <c r="N102" i="280"/>
  <c r="P102" i="280" s="1"/>
  <c r="O102" i="280"/>
  <c r="S102" i="280"/>
  <c r="T102" i="280"/>
  <c r="U102" i="280" s="1"/>
  <c r="K103" i="280"/>
  <c r="N103" i="280"/>
  <c r="P103" i="280" s="1"/>
  <c r="O103" i="280"/>
  <c r="S103" i="280"/>
  <c r="T103" i="280"/>
  <c r="K104" i="280"/>
  <c r="N104" i="280"/>
  <c r="P104" i="280" s="1"/>
  <c r="O104" i="280"/>
  <c r="S104" i="280"/>
  <c r="T104" i="280"/>
  <c r="K105" i="280"/>
  <c r="N105" i="280"/>
  <c r="P105" i="280" s="1"/>
  <c r="O105" i="280"/>
  <c r="S105" i="280"/>
  <c r="T105" i="280"/>
  <c r="U105" i="280" s="1"/>
  <c r="K106" i="280"/>
  <c r="N106" i="280"/>
  <c r="P106" i="280" s="1"/>
  <c r="O106" i="280"/>
  <c r="S106" i="280"/>
  <c r="T106" i="280"/>
  <c r="U106" i="280" s="1"/>
  <c r="K107" i="280"/>
  <c r="N107" i="280"/>
  <c r="P107" i="280" s="1"/>
  <c r="O107" i="280"/>
  <c r="S107" i="280"/>
  <c r="T107" i="280"/>
  <c r="K108" i="280"/>
  <c r="N108" i="280"/>
  <c r="P108" i="280" s="1"/>
  <c r="O108" i="280"/>
  <c r="S108" i="280"/>
  <c r="T108" i="280"/>
  <c r="K109" i="280"/>
  <c r="N109" i="280"/>
  <c r="P109" i="280" s="1"/>
  <c r="O109" i="280"/>
  <c r="S109" i="280"/>
  <c r="T109" i="280"/>
  <c r="U109" i="280" s="1"/>
  <c r="K110" i="280"/>
  <c r="N110" i="280"/>
  <c r="P110" i="280" s="1"/>
  <c r="O110" i="280"/>
  <c r="S110" i="280"/>
  <c r="T110" i="280"/>
  <c r="U110" i="280" s="1"/>
  <c r="K111" i="280"/>
  <c r="N111" i="280"/>
  <c r="P111" i="280" s="1"/>
  <c r="O111" i="280"/>
  <c r="S111" i="280"/>
  <c r="T111" i="280"/>
  <c r="K112" i="280"/>
  <c r="N112" i="280"/>
  <c r="P112" i="280" s="1"/>
  <c r="O112" i="280"/>
  <c r="S112" i="280"/>
  <c r="T112" i="280"/>
  <c r="K113" i="280"/>
  <c r="N113" i="280"/>
  <c r="P113" i="280" s="1"/>
  <c r="O113" i="280"/>
  <c r="S113" i="280"/>
  <c r="T113" i="280"/>
  <c r="U113" i="280" s="1"/>
  <c r="K114" i="280"/>
  <c r="N114" i="280"/>
  <c r="P114" i="280" s="1"/>
  <c r="O114" i="280"/>
  <c r="S114" i="280"/>
  <c r="T114" i="280"/>
  <c r="U114" i="280" s="1"/>
  <c r="K115" i="280"/>
  <c r="N115" i="280"/>
  <c r="P115" i="280" s="1"/>
  <c r="O115" i="280"/>
  <c r="S115" i="280"/>
  <c r="T115" i="280"/>
  <c r="K116" i="280"/>
  <c r="N116" i="280" s="1"/>
  <c r="O116" i="280"/>
  <c r="S116" i="280"/>
  <c r="S145" i="280" s="1"/>
  <c r="K117" i="280"/>
  <c r="N117" i="280" s="1"/>
  <c r="O117" i="280"/>
  <c r="S117" i="280"/>
  <c r="T117" i="280" s="1"/>
  <c r="K118" i="280"/>
  <c r="N118" i="280" s="1"/>
  <c r="O118" i="280"/>
  <c r="S118" i="280"/>
  <c r="T118" i="280" s="1"/>
  <c r="K119" i="280"/>
  <c r="N119" i="280" s="1"/>
  <c r="O119" i="280"/>
  <c r="S119" i="280"/>
  <c r="T119" i="280" s="1"/>
  <c r="M120" i="280"/>
  <c r="BD120" i="280" s="1"/>
  <c r="L120" i="280"/>
  <c r="O120" i="280"/>
  <c r="S120" i="280"/>
  <c r="T120" i="280" s="1"/>
  <c r="AU120" i="280"/>
  <c r="AV120" i="280"/>
  <c r="AX120" i="280"/>
  <c r="AZ120" i="280"/>
  <c r="BB120" i="280"/>
  <c r="BF120" i="280"/>
  <c r="BG120" i="280"/>
  <c r="BJ120" i="280"/>
  <c r="BP120" i="280"/>
  <c r="K121" i="280"/>
  <c r="N121" i="280"/>
  <c r="O121" i="280"/>
  <c r="P121" i="280"/>
  <c r="S121" i="280"/>
  <c r="T121" i="280"/>
  <c r="U121" i="280" s="1"/>
  <c r="X121" i="280"/>
  <c r="AA121" i="280" s="1"/>
  <c r="AF121" i="280"/>
  <c r="K122" i="280"/>
  <c r="N122" i="280"/>
  <c r="O122" i="280"/>
  <c r="P122" i="280"/>
  <c r="S122" i="280"/>
  <c r="T122" i="280"/>
  <c r="U122" i="280" s="1"/>
  <c r="X122" i="280"/>
  <c r="AA122" i="280" s="1"/>
  <c r="AF122" i="280"/>
  <c r="K123" i="280"/>
  <c r="N123" i="280"/>
  <c r="O123" i="280"/>
  <c r="P123" i="280"/>
  <c r="S123" i="280"/>
  <c r="T123" i="280"/>
  <c r="U123" i="280" s="1"/>
  <c r="X123" i="280"/>
  <c r="AA123" i="280" s="1"/>
  <c r="AF123" i="280"/>
  <c r="K124" i="280"/>
  <c r="N124" i="280"/>
  <c r="O124" i="280"/>
  <c r="P124" i="280"/>
  <c r="S124" i="280"/>
  <c r="T124" i="280"/>
  <c r="U124" i="280" s="1"/>
  <c r="X124" i="280"/>
  <c r="AA124" i="280" s="1"/>
  <c r="AF124" i="280"/>
  <c r="K125" i="280"/>
  <c r="N125" i="280"/>
  <c r="O125" i="280"/>
  <c r="P125" i="280"/>
  <c r="S125" i="280"/>
  <c r="T125" i="280"/>
  <c r="U125" i="280" s="1"/>
  <c r="X125" i="280"/>
  <c r="AA125" i="280" s="1"/>
  <c r="AF125" i="280"/>
  <c r="K126" i="280"/>
  <c r="N126" i="280"/>
  <c r="O126" i="280"/>
  <c r="P126" i="280"/>
  <c r="S126" i="280"/>
  <c r="T126" i="280"/>
  <c r="U126" i="280" s="1"/>
  <c r="X126" i="280"/>
  <c r="AA126" i="280" s="1"/>
  <c r="AF126" i="280"/>
  <c r="K127" i="280"/>
  <c r="N127" i="280"/>
  <c r="O127" i="280"/>
  <c r="P127" i="280"/>
  <c r="S127" i="280"/>
  <c r="T127" i="280"/>
  <c r="U127" i="280" s="1"/>
  <c r="X127" i="280"/>
  <c r="AA127" i="280" s="1"/>
  <c r="AF127" i="280"/>
  <c r="K128" i="280"/>
  <c r="N128" i="280"/>
  <c r="O128" i="280"/>
  <c r="P128" i="280"/>
  <c r="S128" i="280"/>
  <c r="T128" i="280"/>
  <c r="U128" i="280" s="1"/>
  <c r="X128" i="280"/>
  <c r="AA128" i="280" s="1"/>
  <c r="AF128" i="280"/>
  <c r="K129" i="280"/>
  <c r="N129" i="280"/>
  <c r="O129" i="280"/>
  <c r="P129" i="280"/>
  <c r="S129" i="280"/>
  <c r="T129" i="280"/>
  <c r="U129" i="280" s="1"/>
  <c r="X129" i="280"/>
  <c r="AA129" i="280" s="1"/>
  <c r="AF129" i="280"/>
  <c r="K130" i="280"/>
  <c r="N130" i="280"/>
  <c r="O130" i="280"/>
  <c r="P130" i="280"/>
  <c r="S130" i="280"/>
  <c r="T130" i="280"/>
  <c r="U130" i="280" s="1"/>
  <c r="X130" i="280"/>
  <c r="AA130" i="280" s="1"/>
  <c r="AF130" i="280"/>
  <c r="K131" i="280"/>
  <c r="N131" i="280"/>
  <c r="O131" i="280"/>
  <c r="P131" i="280"/>
  <c r="S131" i="280"/>
  <c r="T131" i="280"/>
  <c r="U131" i="280" s="1"/>
  <c r="X131" i="280"/>
  <c r="AA131" i="280" s="1"/>
  <c r="AF131" i="280"/>
  <c r="K132" i="280"/>
  <c r="N132" i="280"/>
  <c r="O132" i="280"/>
  <c r="P132" i="280"/>
  <c r="S132" i="280"/>
  <c r="T132" i="280"/>
  <c r="U132" i="280" s="1"/>
  <c r="X132" i="280"/>
  <c r="AA132" i="280" s="1"/>
  <c r="AF132" i="280"/>
  <c r="K133" i="280"/>
  <c r="N133" i="280"/>
  <c r="O133" i="280"/>
  <c r="P133" i="280"/>
  <c r="S133" i="280"/>
  <c r="T133" i="280"/>
  <c r="U133" i="280" s="1"/>
  <c r="X133" i="280"/>
  <c r="AA133" i="280" s="1"/>
  <c r="AF133" i="280"/>
  <c r="K134" i="280"/>
  <c r="N134" i="280"/>
  <c r="O134" i="280"/>
  <c r="P134" i="280"/>
  <c r="S134" i="280"/>
  <c r="T134" i="280"/>
  <c r="U134" i="280" s="1"/>
  <c r="X134" i="280"/>
  <c r="AA134" i="280" s="1"/>
  <c r="AF134" i="280"/>
  <c r="K135" i="280"/>
  <c r="N135" i="280"/>
  <c r="O135" i="280"/>
  <c r="P135" i="280"/>
  <c r="S135" i="280"/>
  <c r="T135" i="280"/>
  <c r="U135" i="280" s="1"/>
  <c r="X135" i="280"/>
  <c r="AA135" i="280" s="1"/>
  <c r="AF135" i="280"/>
  <c r="K136" i="280"/>
  <c r="N136" i="280"/>
  <c r="O136" i="280"/>
  <c r="P136" i="280"/>
  <c r="S136" i="280"/>
  <c r="T136" i="280"/>
  <c r="U136" i="280" s="1"/>
  <c r="X136" i="280"/>
  <c r="AA136" i="280" s="1"/>
  <c r="AF136" i="280"/>
  <c r="K137" i="280"/>
  <c r="N137" i="280"/>
  <c r="O137" i="280"/>
  <c r="P137" i="280"/>
  <c r="S137" i="280"/>
  <c r="T137" i="280"/>
  <c r="U137" i="280" s="1"/>
  <c r="X137" i="280"/>
  <c r="AA137" i="280" s="1"/>
  <c r="AF137" i="280"/>
  <c r="K138" i="280"/>
  <c r="N138" i="280"/>
  <c r="O138" i="280"/>
  <c r="P138" i="280"/>
  <c r="S138" i="280"/>
  <c r="T138" i="280"/>
  <c r="U138" i="280" s="1"/>
  <c r="X138" i="280"/>
  <c r="AA138" i="280" s="1"/>
  <c r="AF138" i="280"/>
  <c r="K139" i="280"/>
  <c r="N139" i="280"/>
  <c r="O139" i="280"/>
  <c r="P139" i="280"/>
  <c r="S139" i="280"/>
  <c r="T139" i="280"/>
  <c r="U139" i="280" s="1"/>
  <c r="X139" i="280"/>
  <c r="K140" i="280"/>
  <c r="N140" i="280"/>
  <c r="O140" i="280"/>
  <c r="P140" i="280"/>
  <c r="S140" i="280"/>
  <c r="T140" i="280"/>
  <c r="U140" i="280" s="1"/>
  <c r="X140" i="280"/>
  <c r="AA140" i="280" s="1"/>
  <c r="AF140" i="280"/>
  <c r="K142" i="280"/>
  <c r="N142" i="280"/>
  <c r="O142" i="280"/>
  <c r="P142" i="280"/>
  <c r="S142" i="280"/>
  <c r="T142" i="280"/>
  <c r="U142" i="280" s="1"/>
  <c r="X142" i="280"/>
  <c r="AA142" i="280" s="1"/>
  <c r="AF142" i="280"/>
  <c r="S148" i="280"/>
  <c r="K153" i="280"/>
  <c r="N153" i="280"/>
  <c r="O153" i="280"/>
  <c r="S153" i="280"/>
  <c r="T153" i="280"/>
  <c r="M154" i="280"/>
  <c r="K154" i="280" s="1"/>
  <c r="N154" i="280" s="1"/>
  <c r="L154" i="280"/>
  <c r="O154" i="280" s="1"/>
  <c r="S154" i="280"/>
  <c r="T154" i="280"/>
  <c r="M155" i="280"/>
  <c r="L155" i="280"/>
  <c r="K155" i="280" s="1"/>
  <c r="N155" i="280" s="1"/>
  <c r="S155" i="280"/>
  <c r="T155" i="280"/>
  <c r="M156" i="280"/>
  <c r="K156" i="280" s="1"/>
  <c r="N156" i="280" s="1"/>
  <c r="L156" i="280"/>
  <c r="O156" i="280" s="1"/>
  <c r="S156" i="280"/>
  <c r="T156" i="280"/>
  <c r="K157" i="280"/>
  <c r="N157" i="280"/>
  <c r="O157" i="280"/>
  <c r="P157" i="280"/>
  <c r="S157" i="280"/>
  <c r="T157" i="280"/>
  <c r="U157" i="280" s="1"/>
  <c r="X157" i="280"/>
  <c r="K158" i="280"/>
  <c r="N158" i="280"/>
  <c r="O158" i="280"/>
  <c r="P158" i="280"/>
  <c r="S158" i="280"/>
  <c r="T158" i="280"/>
  <c r="U158" i="280" s="1"/>
  <c r="X158" i="280"/>
  <c r="K159" i="280"/>
  <c r="N159" i="280"/>
  <c r="O159" i="280"/>
  <c r="P159" i="280"/>
  <c r="S159" i="280"/>
  <c r="T159" i="280"/>
  <c r="U159" i="280" s="1"/>
  <c r="K160" i="280"/>
  <c r="N160" i="280" s="1"/>
  <c r="P160" i="280" s="1"/>
  <c r="O160" i="280"/>
  <c r="S160" i="280"/>
  <c r="S182" i="280" s="1"/>
  <c r="K161" i="280"/>
  <c r="N161" i="280"/>
  <c r="P161" i="280" s="1"/>
  <c r="O161" i="280"/>
  <c r="S161" i="280"/>
  <c r="T161" i="280"/>
  <c r="K162" i="280"/>
  <c r="N162" i="280" s="1"/>
  <c r="O162" i="280"/>
  <c r="S162" i="280"/>
  <c r="T162" i="280" s="1"/>
  <c r="K163" i="280"/>
  <c r="N163" i="280" s="1"/>
  <c r="P163" i="280" s="1"/>
  <c r="O163" i="280"/>
  <c r="S163" i="280"/>
  <c r="T163" i="280" s="1"/>
  <c r="K164" i="280"/>
  <c r="N164" i="280"/>
  <c r="O164" i="280"/>
  <c r="P164" i="280"/>
  <c r="AF164" i="280" s="1"/>
  <c r="S164" i="280"/>
  <c r="T164" i="280"/>
  <c r="U164" i="280" s="1"/>
  <c r="X164" i="280"/>
  <c r="K165" i="280"/>
  <c r="N165" i="280" s="1"/>
  <c r="O165" i="280"/>
  <c r="S165" i="280"/>
  <c r="T165" i="280" s="1"/>
  <c r="K166" i="280"/>
  <c r="N166" i="280"/>
  <c r="P166" i="280" s="1"/>
  <c r="O166" i="280"/>
  <c r="S166" i="280"/>
  <c r="T166" i="280"/>
  <c r="U166" i="280" s="1"/>
  <c r="K167" i="280"/>
  <c r="N167" i="280"/>
  <c r="P167" i="280" s="1"/>
  <c r="O167" i="280"/>
  <c r="S167" i="280"/>
  <c r="T167" i="280"/>
  <c r="U167" i="280" s="1"/>
  <c r="M168" i="280"/>
  <c r="K168" i="280" s="1"/>
  <c r="N168" i="280" s="1"/>
  <c r="L168" i="280"/>
  <c r="O168" i="280" s="1"/>
  <c r="S168" i="280"/>
  <c r="T168" i="280"/>
  <c r="K169" i="280"/>
  <c r="N169" i="280"/>
  <c r="P169" i="280" s="1"/>
  <c r="O169" i="280"/>
  <c r="S169" i="280"/>
  <c r="T169" i="280"/>
  <c r="K170" i="280"/>
  <c r="N170" i="280"/>
  <c r="P170" i="280" s="1"/>
  <c r="O170" i="280"/>
  <c r="S170" i="280"/>
  <c r="T170" i="280"/>
  <c r="K171" i="280"/>
  <c r="N171" i="280"/>
  <c r="P171" i="280" s="1"/>
  <c r="O171" i="280"/>
  <c r="S171" i="280"/>
  <c r="T171" i="280"/>
  <c r="U171" i="280" s="1"/>
  <c r="K172" i="280"/>
  <c r="N172" i="280"/>
  <c r="P172" i="280" s="1"/>
  <c r="O172" i="280"/>
  <c r="S172" i="280"/>
  <c r="T172" i="280"/>
  <c r="K173" i="280"/>
  <c r="N173" i="280"/>
  <c r="P173" i="280" s="1"/>
  <c r="O173" i="280"/>
  <c r="S173" i="280"/>
  <c r="T173" i="280"/>
  <c r="K174" i="280"/>
  <c r="N174" i="280"/>
  <c r="P174" i="280" s="1"/>
  <c r="O174" i="280"/>
  <c r="S174" i="280"/>
  <c r="T174" i="280"/>
  <c r="AD174" i="280"/>
  <c r="AE174" i="280"/>
  <c r="K175" i="280"/>
  <c r="N175" i="280" s="1"/>
  <c r="O175" i="280"/>
  <c r="S175" i="280"/>
  <c r="T175" i="280" s="1"/>
  <c r="K176" i="280"/>
  <c r="N176" i="280" s="1"/>
  <c r="O176" i="280"/>
  <c r="S176" i="280"/>
  <c r="T176" i="280" s="1"/>
  <c r="K178" i="280"/>
  <c r="N178" i="280" s="1"/>
  <c r="O178" i="280"/>
  <c r="S178" i="280"/>
  <c r="T178" i="280" s="1"/>
  <c r="S181" i="280"/>
  <c r="S185" i="280"/>
  <c r="B2" i="278"/>
  <c r="F9" i="278"/>
  <c r="K11" i="278"/>
  <c r="B35" i="278"/>
  <c r="A36" i="278"/>
  <c r="B2" i="14"/>
  <c r="B9" i="14"/>
  <c r="D9" i="14"/>
  <c r="E9" i="14"/>
  <c r="G9" i="14"/>
  <c r="D10" i="14"/>
  <c r="B10" i="14"/>
  <c r="E10" i="14"/>
  <c r="G10" i="14"/>
  <c r="I10" i="14"/>
  <c r="D11" i="14"/>
  <c r="B11" i="14"/>
  <c r="E11" i="14"/>
  <c r="G11" i="14"/>
  <c r="D12" i="14"/>
  <c r="B12" i="14"/>
  <c r="E12" i="14"/>
  <c r="G12" i="14"/>
  <c r="D13" i="14"/>
  <c r="B13" i="14"/>
  <c r="E13" i="14"/>
  <c r="G13" i="14"/>
  <c r="D14" i="14"/>
  <c r="B14" i="14"/>
  <c r="E14" i="14"/>
  <c r="G14" i="14"/>
  <c r="D15" i="14"/>
  <c r="B15" i="14"/>
  <c r="E15" i="14"/>
  <c r="G15" i="14"/>
  <c r="D16" i="14"/>
  <c r="B16" i="14"/>
  <c r="E16" i="14"/>
  <c r="G16" i="14"/>
  <c r="D17" i="14"/>
  <c r="B17" i="14"/>
  <c r="E17" i="14"/>
  <c r="G17" i="14"/>
  <c r="D18" i="14"/>
  <c r="B18" i="14"/>
  <c r="E18" i="14"/>
  <c r="H31" i="39" s="1"/>
  <c r="G18" i="14"/>
  <c r="D19" i="14"/>
  <c r="J18" i="14" s="1"/>
  <c r="B19" i="14"/>
  <c r="E19" i="14"/>
  <c r="G19" i="14"/>
  <c r="B2" i="13"/>
  <c r="N6" i="13"/>
  <c r="D10" i="13"/>
  <c r="D54" i="13" s="1"/>
  <c r="E10" i="13"/>
  <c r="F10" i="13"/>
  <c r="F40" i="13" s="1"/>
  <c r="G10" i="13"/>
  <c r="H10" i="13"/>
  <c r="I10" i="13"/>
  <c r="J10" i="13"/>
  <c r="K10" i="13"/>
  <c r="O10" i="13"/>
  <c r="E11" i="13"/>
  <c r="F11" i="13"/>
  <c r="G11" i="13" s="1"/>
  <c r="H11" i="13" s="1"/>
  <c r="I11" i="13" s="1"/>
  <c r="O11" i="13"/>
  <c r="D12" i="13"/>
  <c r="E12" i="13"/>
  <c r="E54" i="13" s="1"/>
  <c r="F12" i="13"/>
  <c r="G12" i="13"/>
  <c r="H12" i="13"/>
  <c r="I12" i="13"/>
  <c r="J12" i="13"/>
  <c r="K12" i="13"/>
  <c r="O12" i="13"/>
  <c r="D13" i="13"/>
  <c r="E13" i="13"/>
  <c r="F13" i="13"/>
  <c r="G13" i="13" s="1"/>
  <c r="H13" i="13"/>
  <c r="I13" i="13" s="1"/>
  <c r="J13" i="13" s="1"/>
  <c r="K13" i="13" s="1"/>
  <c r="O13" i="13"/>
  <c r="D14" i="13"/>
  <c r="E14" i="13"/>
  <c r="F14" i="13"/>
  <c r="G14" i="13"/>
  <c r="H14" i="13"/>
  <c r="I14" i="13"/>
  <c r="J14" i="13" s="1"/>
  <c r="K14" i="13" s="1"/>
  <c r="O14" i="13"/>
  <c r="D15" i="13"/>
  <c r="E15" i="13"/>
  <c r="F15" i="13"/>
  <c r="G15" i="13"/>
  <c r="H15" i="13"/>
  <c r="I15" i="13" s="1"/>
  <c r="J15" i="13"/>
  <c r="K15" i="13" s="1"/>
  <c r="O15" i="13"/>
  <c r="D16" i="13"/>
  <c r="E16" i="13"/>
  <c r="F16" i="13"/>
  <c r="G16" i="13"/>
  <c r="H16" i="13" s="1"/>
  <c r="I16" i="13"/>
  <c r="J16" i="13" s="1"/>
  <c r="K16" i="13" s="1"/>
  <c r="O16" i="13"/>
  <c r="D17" i="13"/>
  <c r="E17" i="13"/>
  <c r="F17" i="13"/>
  <c r="G17" i="13"/>
  <c r="H17" i="13"/>
  <c r="I17" i="13"/>
  <c r="J17" i="13"/>
  <c r="K17" i="13"/>
  <c r="O17" i="13"/>
  <c r="D18" i="13"/>
  <c r="E18" i="13"/>
  <c r="F18" i="13"/>
  <c r="G18" i="13"/>
  <c r="H18" i="13"/>
  <c r="I18" i="13"/>
  <c r="J18" i="13"/>
  <c r="K18" i="13"/>
  <c r="O18" i="13"/>
  <c r="D19" i="13"/>
  <c r="E19" i="13"/>
  <c r="F19" i="13"/>
  <c r="G19" i="13"/>
  <c r="H19" i="13"/>
  <c r="I19" i="13" s="1"/>
  <c r="J19" i="13"/>
  <c r="K19" i="13" s="1"/>
  <c r="O19" i="13"/>
  <c r="D20" i="13"/>
  <c r="E20" i="13"/>
  <c r="F20" i="13"/>
  <c r="G20" i="13"/>
  <c r="H20" i="13" s="1"/>
  <c r="I20" i="13"/>
  <c r="J20" i="13" s="1"/>
  <c r="K20" i="13" s="1"/>
  <c r="O20" i="13"/>
  <c r="D21" i="13"/>
  <c r="E21" i="13"/>
  <c r="F21" i="13"/>
  <c r="G21" i="13"/>
  <c r="H21" i="13"/>
  <c r="I21" i="13"/>
  <c r="J21" i="13"/>
  <c r="K21" i="13"/>
  <c r="O21" i="13"/>
  <c r="D22" i="13"/>
  <c r="E22" i="13"/>
  <c r="F22" i="13" s="1"/>
  <c r="G22" i="13"/>
  <c r="H22" i="13" s="1"/>
  <c r="I22" i="13" s="1"/>
  <c r="J22" i="13" s="1"/>
  <c r="K22" i="13" s="1"/>
  <c r="O22" i="13"/>
  <c r="D23" i="13"/>
  <c r="E23" i="13"/>
  <c r="F23" i="13"/>
  <c r="G23" i="13"/>
  <c r="H23" i="13"/>
  <c r="I23" i="13" s="1"/>
  <c r="J23" i="13" s="1"/>
  <c r="K23" i="13" s="1"/>
  <c r="O23" i="13"/>
  <c r="D40" i="13"/>
  <c r="D41" i="13"/>
  <c r="D42" i="13"/>
  <c r="D43" i="13"/>
  <c r="D44" i="13"/>
  <c r="D45" i="13"/>
  <c r="B49" i="13"/>
  <c r="B2" i="250"/>
  <c r="B47" i="250" s="1"/>
  <c r="B49" i="250" s="1"/>
  <c r="AB3" i="250"/>
  <c r="Y4" i="250"/>
  <c r="AB4" i="250"/>
  <c r="AB5" i="250"/>
  <c r="D10" i="250"/>
  <c r="E10" i="250"/>
  <c r="F10" i="250"/>
  <c r="G10" i="250"/>
  <c r="J10" i="250"/>
  <c r="M10" i="250"/>
  <c r="AB10" i="250"/>
  <c r="D11" i="250"/>
  <c r="E11" i="250"/>
  <c r="F11" i="250"/>
  <c r="G11" i="250"/>
  <c r="H11" i="250"/>
  <c r="J11" i="250"/>
  <c r="J45" i="250" s="1"/>
  <c r="M11" i="250"/>
  <c r="AB11" i="250"/>
  <c r="D12" i="250"/>
  <c r="E12" i="250"/>
  <c r="I12" i="250" s="1"/>
  <c r="K12" i="250" s="1"/>
  <c r="F12" i="250"/>
  <c r="G12" i="250"/>
  <c r="J12" i="250"/>
  <c r="M12" i="250"/>
  <c r="AB12" i="250"/>
  <c r="D13" i="250"/>
  <c r="E13" i="250"/>
  <c r="F13" i="250"/>
  <c r="H13" i="250" s="1"/>
  <c r="G13" i="250"/>
  <c r="J13" i="250"/>
  <c r="M13" i="250"/>
  <c r="AB13" i="250"/>
  <c r="D14" i="250"/>
  <c r="E14" i="250"/>
  <c r="H14" i="250" s="1"/>
  <c r="F14" i="250"/>
  <c r="G14" i="250"/>
  <c r="J14" i="250"/>
  <c r="M14" i="250"/>
  <c r="AB14" i="250"/>
  <c r="D15" i="250"/>
  <c r="I15" i="250" s="1"/>
  <c r="E15" i="250"/>
  <c r="F15" i="250"/>
  <c r="G15" i="250"/>
  <c r="H15" i="250"/>
  <c r="J15" i="250"/>
  <c r="M15" i="250"/>
  <c r="AB15" i="250"/>
  <c r="D16" i="250"/>
  <c r="E16" i="250"/>
  <c r="I16" i="250" s="1"/>
  <c r="K16" i="250" s="1"/>
  <c r="F16" i="250"/>
  <c r="G16" i="250"/>
  <c r="J16" i="250"/>
  <c r="M16" i="250"/>
  <c r="AB16" i="250"/>
  <c r="D17" i="250"/>
  <c r="E17" i="250"/>
  <c r="F17" i="250"/>
  <c r="H17" i="250" s="1"/>
  <c r="G17" i="250"/>
  <c r="J17" i="250"/>
  <c r="M17" i="250"/>
  <c r="AB17" i="250"/>
  <c r="D18" i="250"/>
  <c r="E18" i="250"/>
  <c r="H18" i="250" s="1"/>
  <c r="F18" i="250"/>
  <c r="G18" i="250"/>
  <c r="J18" i="250"/>
  <c r="M18" i="250"/>
  <c r="AB18" i="250"/>
  <c r="D19" i="250"/>
  <c r="I19" i="250" s="1"/>
  <c r="E19" i="250"/>
  <c r="F19" i="250"/>
  <c r="G19" i="250"/>
  <c r="H19" i="250"/>
  <c r="J19" i="250"/>
  <c r="M19" i="250"/>
  <c r="AB19" i="250"/>
  <c r="D20" i="250"/>
  <c r="E20" i="250"/>
  <c r="I20" i="250" s="1"/>
  <c r="K20" i="250" s="1"/>
  <c r="F20" i="250"/>
  <c r="G20" i="250"/>
  <c r="J20" i="250"/>
  <c r="M20" i="250"/>
  <c r="AB20" i="250"/>
  <c r="D21" i="250"/>
  <c r="E21" i="250"/>
  <c r="F21" i="250"/>
  <c r="H21" i="250" s="1"/>
  <c r="G21" i="250"/>
  <c r="J21" i="250"/>
  <c r="M21" i="250"/>
  <c r="AB21" i="250"/>
  <c r="D22" i="250"/>
  <c r="E22" i="250"/>
  <c r="H22" i="250" s="1"/>
  <c r="F22" i="250"/>
  <c r="G22" i="250"/>
  <c r="J22" i="250"/>
  <c r="M22" i="250"/>
  <c r="AB22" i="250"/>
  <c r="D23" i="250"/>
  <c r="I23" i="250" s="1"/>
  <c r="E23" i="250"/>
  <c r="F23" i="250"/>
  <c r="G23" i="250"/>
  <c r="H23" i="250"/>
  <c r="J23" i="250"/>
  <c r="M23" i="250"/>
  <c r="AB23" i="250"/>
  <c r="D40" i="250"/>
  <c r="M40" i="250"/>
  <c r="E47" i="250"/>
  <c r="H47" i="250" s="1"/>
  <c r="Y47" i="250"/>
  <c r="AB40" i="250" s="1"/>
  <c r="D41" i="250"/>
  <c r="M41" i="250"/>
  <c r="S49" i="250"/>
  <c r="M47" i="250"/>
  <c r="M49" i="250"/>
  <c r="D42" i="250"/>
  <c r="M42" i="250"/>
  <c r="G43" i="250"/>
  <c r="D44" i="250"/>
  <c r="M44" i="250"/>
  <c r="D45" i="250"/>
  <c r="F45" i="250"/>
  <c r="M45" i="250"/>
  <c r="S47" i="250"/>
  <c r="A53" i="250"/>
  <c r="B2" i="249"/>
  <c r="B47" i="249" s="1"/>
  <c r="B49" i="249" s="1"/>
  <c r="AB3" i="249"/>
  <c r="Y4" i="249"/>
  <c r="AB4" i="249"/>
  <c r="AB5" i="249"/>
  <c r="D10" i="249"/>
  <c r="E10" i="249"/>
  <c r="F10" i="249"/>
  <c r="G10" i="249"/>
  <c r="G43" i="249" s="1"/>
  <c r="I10" i="249"/>
  <c r="J10" i="249"/>
  <c r="M10" i="249"/>
  <c r="AB10" i="249"/>
  <c r="D11" i="249"/>
  <c r="D40" i="249" s="1"/>
  <c r="E11" i="249"/>
  <c r="F11" i="249"/>
  <c r="G11" i="249"/>
  <c r="H11" i="249"/>
  <c r="J11" i="249"/>
  <c r="M11" i="249"/>
  <c r="M40" i="249" s="1"/>
  <c r="AB11" i="249"/>
  <c r="D12" i="249"/>
  <c r="E12" i="249"/>
  <c r="H12" i="249" s="1"/>
  <c r="F12" i="249"/>
  <c r="G12" i="249"/>
  <c r="J12" i="249"/>
  <c r="M12" i="249"/>
  <c r="AB12" i="249"/>
  <c r="D13" i="249"/>
  <c r="E13" i="249"/>
  <c r="F13" i="249"/>
  <c r="H13" i="249" s="1"/>
  <c r="G13" i="249"/>
  <c r="J13" i="249"/>
  <c r="M13" i="249"/>
  <c r="M45" i="249" s="1"/>
  <c r="AB13" i="249"/>
  <c r="D14" i="249"/>
  <c r="E14" i="249"/>
  <c r="F14" i="249"/>
  <c r="G14" i="249"/>
  <c r="I14" i="249"/>
  <c r="K14" i="249" s="1"/>
  <c r="J14" i="249"/>
  <c r="M14" i="249"/>
  <c r="AB14" i="249"/>
  <c r="D15" i="249"/>
  <c r="I15" i="249" s="1"/>
  <c r="K15" i="249" s="1"/>
  <c r="E15" i="249"/>
  <c r="F15" i="249"/>
  <c r="G15" i="249"/>
  <c r="H15" i="249"/>
  <c r="J15" i="249"/>
  <c r="M15" i="249"/>
  <c r="AB15" i="249"/>
  <c r="D16" i="249"/>
  <c r="E16" i="249"/>
  <c r="H16" i="249" s="1"/>
  <c r="F16" i="249"/>
  <c r="G16" i="249"/>
  <c r="J16" i="249"/>
  <c r="M16" i="249"/>
  <c r="AB16" i="249"/>
  <c r="D17" i="249"/>
  <c r="E17" i="249"/>
  <c r="F17" i="249"/>
  <c r="H17" i="249" s="1"/>
  <c r="G17" i="249"/>
  <c r="J17" i="249"/>
  <c r="M17" i="249"/>
  <c r="AB17" i="249"/>
  <c r="D18" i="249"/>
  <c r="E18" i="249"/>
  <c r="F18" i="249"/>
  <c r="G18" i="249"/>
  <c r="I18" i="249"/>
  <c r="K18" i="249" s="1"/>
  <c r="J18" i="249"/>
  <c r="M18" i="249"/>
  <c r="AB18" i="249"/>
  <c r="D19" i="249"/>
  <c r="I19" i="249" s="1"/>
  <c r="K19" i="249" s="1"/>
  <c r="E19" i="249"/>
  <c r="F19" i="249"/>
  <c r="G19" i="249"/>
  <c r="H19" i="249"/>
  <c r="J19" i="249"/>
  <c r="M19" i="249"/>
  <c r="AB19" i="249"/>
  <c r="D20" i="249"/>
  <c r="E20" i="249"/>
  <c r="H20" i="249" s="1"/>
  <c r="F20" i="249"/>
  <c r="G20" i="249"/>
  <c r="J20" i="249"/>
  <c r="M20" i="249"/>
  <c r="AB20" i="249"/>
  <c r="D21" i="249"/>
  <c r="E21" i="249"/>
  <c r="F21" i="249"/>
  <c r="H21" i="249" s="1"/>
  <c r="G21" i="249"/>
  <c r="J21" i="249"/>
  <c r="M21" i="249"/>
  <c r="AB21" i="249"/>
  <c r="D22" i="249"/>
  <c r="E22" i="249"/>
  <c r="F22" i="249"/>
  <c r="G22" i="249"/>
  <c r="I22" i="249"/>
  <c r="K22" i="249" s="1"/>
  <c r="J22" i="249"/>
  <c r="M22" i="249"/>
  <c r="AB22" i="249"/>
  <c r="D23" i="249"/>
  <c r="I23" i="249" s="1"/>
  <c r="K23" i="249" s="1"/>
  <c r="E23" i="249"/>
  <c r="F23" i="249"/>
  <c r="G23" i="249"/>
  <c r="H23" i="249"/>
  <c r="J23" i="249"/>
  <c r="M23" i="249"/>
  <c r="AB23" i="249"/>
  <c r="J40" i="249"/>
  <c r="E47" i="249"/>
  <c r="H47" i="249" s="1"/>
  <c r="Y47" i="249"/>
  <c r="AB40" i="249" s="1"/>
  <c r="J41" i="249"/>
  <c r="S49" i="249"/>
  <c r="M47" i="249"/>
  <c r="M49" i="249"/>
  <c r="J42" i="249"/>
  <c r="E43" i="249"/>
  <c r="J44" i="249"/>
  <c r="F45" i="249"/>
  <c r="J45" i="249"/>
  <c r="S47" i="249"/>
  <c r="A53" i="249"/>
  <c r="B2" i="256"/>
  <c r="B47" i="256" s="1"/>
  <c r="B49" i="256" s="1"/>
  <c r="AB3" i="256"/>
  <c r="Y4" i="256"/>
  <c r="AB4" i="256"/>
  <c r="AB5" i="256"/>
  <c r="D10" i="256"/>
  <c r="E10" i="256"/>
  <c r="I10" i="256" s="1"/>
  <c r="F10" i="256"/>
  <c r="G10" i="256"/>
  <c r="J10" i="256"/>
  <c r="M10" i="256"/>
  <c r="AB10" i="256"/>
  <c r="D11" i="256"/>
  <c r="E11" i="256"/>
  <c r="F11" i="256"/>
  <c r="H11" i="256" s="1"/>
  <c r="G11" i="256"/>
  <c r="J11" i="256"/>
  <c r="J40" i="256" s="1"/>
  <c r="M11" i="256"/>
  <c r="AB11" i="256"/>
  <c r="D12" i="256"/>
  <c r="E12" i="256"/>
  <c r="H12" i="256" s="1"/>
  <c r="F12" i="256"/>
  <c r="G12" i="256"/>
  <c r="J12" i="256"/>
  <c r="M12" i="256"/>
  <c r="AB12" i="256"/>
  <c r="D13" i="256"/>
  <c r="I13" i="256" s="1"/>
  <c r="E13" i="256"/>
  <c r="F13" i="256"/>
  <c r="G13" i="256"/>
  <c r="H13" i="256"/>
  <c r="J13" i="256"/>
  <c r="J45" i="256" s="1"/>
  <c r="M13" i="256"/>
  <c r="AB13" i="256"/>
  <c r="D14" i="256"/>
  <c r="E14" i="256"/>
  <c r="I14" i="256" s="1"/>
  <c r="K14" i="256" s="1"/>
  <c r="F14" i="256"/>
  <c r="G14" i="256"/>
  <c r="J14" i="256"/>
  <c r="M14" i="256"/>
  <c r="AB14" i="256"/>
  <c r="D15" i="256"/>
  <c r="E15" i="256"/>
  <c r="F15" i="256"/>
  <c r="H15" i="256" s="1"/>
  <c r="G15" i="256"/>
  <c r="J15" i="256"/>
  <c r="M15" i="256"/>
  <c r="AB15" i="256"/>
  <c r="D16" i="256"/>
  <c r="E16" i="256"/>
  <c r="H16" i="256" s="1"/>
  <c r="F16" i="256"/>
  <c r="G16" i="256"/>
  <c r="J16" i="256"/>
  <c r="M16" i="256"/>
  <c r="AB16" i="256"/>
  <c r="D17" i="256"/>
  <c r="I17" i="256" s="1"/>
  <c r="E17" i="256"/>
  <c r="F17" i="256"/>
  <c r="G17" i="256"/>
  <c r="H17" i="256"/>
  <c r="J17" i="256"/>
  <c r="M17" i="256"/>
  <c r="AB17" i="256"/>
  <c r="D18" i="256"/>
  <c r="E18" i="256"/>
  <c r="I18" i="256" s="1"/>
  <c r="K18" i="256" s="1"/>
  <c r="F18" i="256"/>
  <c r="G18" i="256"/>
  <c r="J18" i="256"/>
  <c r="M18" i="256"/>
  <c r="AB18" i="256"/>
  <c r="D19" i="256"/>
  <c r="E19" i="256"/>
  <c r="F19" i="256"/>
  <c r="H19" i="256" s="1"/>
  <c r="G19" i="256"/>
  <c r="J19" i="256"/>
  <c r="M19" i="256"/>
  <c r="AB19" i="256"/>
  <c r="D20" i="256"/>
  <c r="E20" i="256"/>
  <c r="H20" i="256" s="1"/>
  <c r="F20" i="256"/>
  <c r="G20" i="256"/>
  <c r="J20" i="256"/>
  <c r="M20" i="256"/>
  <c r="AB20" i="256"/>
  <c r="D21" i="256"/>
  <c r="I21" i="256" s="1"/>
  <c r="E21" i="256"/>
  <c r="F21" i="256"/>
  <c r="G21" i="256"/>
  <c r="H21" i="256"/>
  <c r="J21" i="256"/>
  <c r="M21" i="256"/>
  <c r="AB21" i="256"/>
  <c r="D22" i="256"/>
  <c r="E22" i="256"/>
  <c r="I22" i="256" s="1"/>
  <c r="K22" i="256" s="1"/>
  <c r="F22" i="256"/>
  <c r="G22" i="256"/>
  <c r="J22" i="256"/>
  <c r="M22" i="256"/>
  <c r="AB22" i="256"/>
  <c r="D23" i="256"/>
  <c r="E23" i="256"/>
  <c r="F23" i="256"/>
  <c r="H23" i="256" s="1"/>
  <c r="G23" i="256"/>
  <c r="J23" i="256"/>
  <c r="M23" i="256"/>
  <c r="AB23" i="256"/>
  <c r="D40" i="256"/>
  <c r="F40" i="256"/>
  <c r="M40" i="256"/>
  <c r="E47" i="256"/>
  <c r="H47" i="256" s="1"/>
  <c r="Y47" i="256" s="1"/>
  <c r="AB40" i="256" s="1"/>
  <c r="D41" i="256"/>
  <c r="F41" i="256"/>
  <c r="M41" i="256"/>
  <c r="S49" i="256"/>
  <c r="M47" i="256"/>
  <c r="M49" i="256"/>
  <c r="D42" i="256"/>
  <c r="F42" i="256"/>
  <c r="M42" i="256"/>
  <c r="D44" i="256"/>
  <c r="F44" i="256"/>
  <c r="M44" i="256"/>
  <c r="D45" i="256"/>
  <c r="M45" i="256"/>
  <c r="S47" i="256"/>
  <c r="A53" i="256"/>
  <c r="B2" i="257"/>
  <c r="B47" i="257" s="1"/>
  <c r="B49" i="257" s="1"/>
  <c r="AB3" i="257"/>
  <c r="Y4" i="257"/>
  <c r="AB4" i="257"/>
  <c r="AB5" i="257"/>
  <c r="D10" i="257"/>
  <c r="E10" i="257"/>
  <c r="F10" i="257"/>
  <c r="G10" i="257"/>
  <c r="I10" i="257"/>
  <c r="J10" i="257"/>
  <c r="K10" i="257"/>
  <c r="AC10" i="257" s="1"/>
  <c r="M10" i="257"/>
  <c r="AB10" i="257"/>
  <c r="D11" i="257"/>
  <c r="D42" i="257" s="1"/>
  <c r="E11" i="257"/>
  <c r="F11" i="257"/>
  <c r="H11" i="257" s="1"/>
  <c r="G11" i="257"/>
  <c r="J11" i="257"/>
  <c r="M11" i="257"/>
  <c r="M43" i="257" s="1"/>
  <c r="AB11" i="257"/>
  <c r="D12" i="257"/>
  <c r="E12" i="257"/>
  <c r="F12" i="257"/>
  <c r="G12" i="257"/>
  <c r="G43" i="257" s="1"/>
  <c r="I12" i="257"/>
  <c r="K12" i="257" s="1"/>
  <c r="J12" i="257"/>
  <c r="M12" i="257"/>
  <c r="AB12" i="257"/>
  <c r="D13" i="257"/>
  <c r="I13" i="257" s="1"/>
  <c r="K13" i="257" s="1"/>
  <c r="E13" i="257"/>
  <c r="F13" i="257"/>
  <c r="G13" i="257"/>
  <c r="H13" i="257"/>
  <c r="J13" i="257"/>
  <c r="M13" i="257"/>
  <c r="AB13" i="257"/>
  <c r="D14" i="257"/>
  <c r="E14" i="257"/>
  <c r="H14" i="257" s="1"/>
  <c r="F14" i="257"/>
  <c r="G14" i="257"/>
  <c r="I14" i="257"/>
  <c r="J14" i="257"/>
  <c r="K14" i="257"/>
  <c r="M14" i="257"/>
  <c r="AB14" i="257"/>
  <c r="D15" i="257"/>
  <c r="E15" i="257"/>
  <c r="F15" i="257"/>
  <c r="H15" i="257" s="1"/>
  <c r="G15" i="257"/>
  <c r="J15" i="257"/>
  <c r="M15" i="257"/>
  <c r="AB15" i="257"/>
  <c r="D16" i="257"/>
  <c r="E16" i="257"/>
  <c r="F16" i="257"/>
  <c r="G16" i="257"/>
  <c r="I16" i="257"/>
  <c r="K16" i="257" s="1"/>
  <c r="J16" i="257"/>
  <c r="M16" i="257"/>
  <c r="AB16" i="257"/>
  <c r="D17" i="257"/>
  <c r="I17" i="257" s="1"/>
  <c r="K17" i="257" s="1"/>
  <c r="E17" i="257"/>
  <c r="F17" i="257"/>
  <c r="G17" i="257"/>
  <c r="H17" i="257"/>
  <c r="J17" i="257"/>
  <c r="M17" i="257"/>
  <c r="AB17" i="257"/>
  <c r="D18" i="257"/>
  <c r="E18" i="257"/>
  <c r="H18" i="257" s="1"/>
  <c r="F18" i="257"/>
  <c r="G18" i="257"/>
  <c r="I18" i="257"/>
  <c r="J18" i="257"/>
  <c r="K18" i="257"/>
  <c r="M18" i="257"/>
  <c r="AB18" i="257"/>
  <c r="D19" i="257"/>
  <c r="E19" i="257"/>
  <c r="F19" i="257"/>
  <c r="H19" i="257" s="1"/>
  <c r="G19" i="257"/>
  <c r="J19" i="257"/>
  <c r="M19" i="257"/>
  <c r="AB19" i="257"/>
  <c r="D20" i="257"/>
  <c r="E20" i="257"/>
  <c r="F20" i="257"/>
  <c r="G20" i="257"/>
  <c r="I20" i="257"/>
  <c r="K20" i="257" s="1"/>
  <c r="J20" i="257"/>
  <c r="M20" i="257"/>
  <c r="AB20" i="257"/>
  <c r="D21" i="257"/>
  <c r="I21" i="257" s="1"/>
  <c r="K21" i="257" s="1"/>
  <c r="E21" i="257"/>
  <c r="F21" i="257"/>
  <c r="G21" i="257"/>
  <c r="H21" i="257"/>
  <c r="J21" i="257"/>
  <c r="M21" i="257"/>
  <c r="AB21" i="257"/>
  <c r="D22" i="257"/>
  <c r="E22" i="257"/>
  <c r="H22" i="257" s="1"/>
  <c r="F22" i="257"/>
  <c r="G22" i="257"/>
  <c r="I22" i="257"/>
  <c r="J22" i="257"/>
  <c r="K22" i="257"/>
  <c r="M22" i="257"/>
  <c r="AB22" i="257"/>
  <c r="D23" i="257"/>
  <c r="E23" i="257"/>
  <c r="F23" i="257"/>
  <c r="H23" i="257" s="1"/>
  <c r="G23" i="257"/>
  <c r="J23" i="257"/>
  <c r="M23" i="257"/>
  <c r="AB23" i="257"/>
  <c r="F40" i="257"/>
  <c r="J40" i="257"/>
  <c r="E47" i="257"/>
  <c r="H47" i="257" s="1"/>
  <c r="Y47" i="257"/>
  <c r="AB40" i="257" s="1"/>
  <c r="F41" i="257"/>
  <c r="J41" i="257"/>
  <c r="S49" i="257"/>
  <c r="M47" i="257"/>
  <c r="M49" i="257"/>
  <c r="E42" i="257"/>
  <c r="G42" i="257"/>
  <c r="J42" i="257"/>
  <c r="E43" i="257"/>
  <c r="F43" i="257"/>
  <c r="J43" i="257"/>
  <c r="E44" i="257"/>
  <c r="G44" i="257"/>
  <c r="J44" i="257"/>
  <c r="E45" i="257"/>
  <c r="G45" i="257"/>
  <c r="J45" i="257"/>
  <c r="S47" i="257"/>
  <c r="A53" i="257"/>
  <c r="B2" i="12"/>
  <c r="AB3" i="12"/>
  <c r="Y4" i="12"/>
  <c r="AB4" i="12"/>
  <c r="AB5" i="12"/>
  <c r="D10" i="12"/>
  <c r="D42" i="12" s="1"/>
  <c r="E10" i="12"/>
  <c r="F10" i="12"/>
  <c r="G10" i="12"/>
  <c r="H10" i="12"/>
  <c r="J10" i="12"/>
  <c r="M10" i="12"/>
  <c r="M42" i="12" s="1"/>
  <c r="AB10" i="12"/>
  <c r="D11" i="12"/>
  <c r="E11" i="12"/>
  <c r="E40" i="12" s="1"/>
  <c r="F11" i="12"/>
  <c r="G11" i="12"/>
  <c r="I11" i="12"/>
  <c r="K11" i="12" s="1"/>
  <c r="J11" i="12"/>
  <c r="M11" i="12"/>
  <c r="AB11" i="12"/>
  <c r="D12" i="12"/>
  <c r="I12" i="12" s="1"/>
  <c r="K12" i="12" s="1"/>
  <c r="E12" i="12"/>
  <c r="F12" i="12"/>
  <c r="H12" i="12" s="1"/>
  <c r="G12" i="12"/>
  <c r="J12" i="12"/>
  <c r="J43" i="12" s="1"/>
  <c r="M12" i="12"/>
  <c r="AB12" i="12"/>
  <c r="D13" i="12"/>
  <c r="E13" i="12"/>
  <c r="H13" i="12" s="1"/>
  <c r="F13" i="12"/>
  <c r="G13" i="12"/>
  <c r="I13" i="12" s="1"/>
  <c r="K13" i="12" s="1"/>
  <c r="J13" i="12"/>
  <c r="M13" i="12"/>
  <c r="AB13" i="12"/>
  <c r="D14" i="12"/>
  <c r="I14" i="12" s="1"/>
  <c r="K14" i="12" s="1"/>
  <c r="E14" i="12"/>
  <c r="F14" i="12"/>
  <c r="G14" i="12"/>
  <c r="H14" i="12"/>
  <c r="J14" i="12"/>
  <c r="M14" i="12"/>
  <c r="AB14" i="12"/>
  <c r="D15" i="12"/>
  <c r="E15" i="12"/>
  <c r="H15" i="12" s="1"/>
  <c r="F15" i="12"/>
  <c r="G15" i="12"/>
  <c r="I15" i="12"/>
  <c r="K15" i="12" s="1"/>
  <c r="J15" i="12"/>
  <c r="M15" i="12"/>
  <c r="AB15" i="12"/>
  <c r="D16" i="12"/>
  <c r="I16" i="12" s="1"/>
  <c r="K16" i="12" s="1"/>
  <c r="E16" i="12"/>
  <c r="F16" i="12"/>
  <c r="H16" i="12" s="1"/>
  <c r="G16" i="12"/>
  <c r="J16" i="12"/>
  <c r="M16" i="12"/>
  <c r="AB16" i="12"/>
  <c r="D17" i="12"/>
  <c r="E17" i="12"/>
  <c r="H17" i="12" s="1"/>
  <c r="F17" i="12"/>
  <c r="G17" i="12"/>
  <c r="I17" i="12" s="1"/>
  <c r="K17" i="12" s="1"/>
  <c r="J17" i="12"/>
  <c r="M17" i="12"/>
  <c r="AB17" i="12"/>
  <c r="D18" i="12"/>
  <c r="I18" i="12" s="1"/>
  <c r="K18" i="12" s="1"/>
  <c r="E18" i="12"/>
  <c r="F18" i="12"/>
  <c r="G18" i="12"/>
  <c r="H18" i="12"/>
  <c r="J18" i="12"/>
  <c r="M18" i="12"/>
  <c r="AB18" i="12"/>
  <c r="D19" i="12"/>
  <c r="E19" i="12"/>
  <c r="H19" i="12" s="1"/>
  <c r="F19" i="12"/>
  <c r="G19" i="12"/>
  <c r="I19" i="12"/>
  <c r="K19" i="12" s="1"/>
  <c r="J19" i="12"/>
  <c r="M19" i="12"/>
  <c r="AB19" i="12"/>
  <c r="D20" i="12"/>
  <c r="I20" i="12" s="1"/>
  <c r="K20" i="12" s="1"/>
  <c r="E20" i="12"/>
  <c r="F20" i="12"/>
  <c r="H20" i="12" s="1"/>
  <c r="G20" i="12"/>
  <c r="J20" i="12"/>
  <c r="M20" i="12"/>
  <c r="AB20" i="12"/>
  <c r="D21" i="12"/>
  <c r="E21" i="12"/>
  <c r="H21" i="12" s="1"/>
  <c r="F21" i="12"/>
  <c r="G21" i="12"/>
  <c r="I21" i="12" s="1"/>
  <c r="K21" i="12" s="1"/>
  <c r="J21" i="12"/>
  <c r="M21" i="12"/>
  <c r="AB21" i="12"/>
  <c r="D22" i="12"/>
  <c r="I22" i="12" s="1"/>
  <c r="K22" i="12" s="1"/>
  <c r="E22" i="12"/>
  <c r="F22" i="12"/>
  <c r="G22" i="12"/>
  <c r="H22" i="12"/>
  <c r="J22" i="12"/>
  <c r="M22" i="12"/>
  <c r="AB22" i="12"/>
  <c r="D23" i="12"/>
  <c r="E23" i="12"/>
  <c r="H23" i="12" s="1"/>
  <c r="F23" i="12"/>
  <c r="G23" i="12"/>
  <c r="I23" i="12"/>
  <c r="K23" i="12" s="1"/>
  <c r="J23" i="12"/>
  <c r="M23" i="12"/>
  <c r="AB23" i="12"/>
  <c r="G40" i="12"/>
  <c r="B47" i="12"/>
  <c r="Y47" i="12" s="1"/>
  <c r="AB40" i="12" s="1"/>
  <c r="E47" i="12"/>
  <c r="H47" i="12"/>
  <c r="G41" i="12"/>
  <c r="B49" i="12"/>
  <c r="S49" i="12"/>
  <c r="M47" i="12"/>
  <c r="M49" i="12" s="1"/>
  <c r="E42" i="12"/>
  <c r="D43" i="12"/>
  <c r="M43" i="12"/>
  <c r="E44" i="12"/>
  <c r="E45" i="12"/>
  <c r="S47" i="12"/>
  <c r="A53" i="12"/>
  <c r="B2" i="277"/>
  <c r="F9" i="277"/>
  <c r="D12" i="277"/>
  <c r="D26" i="277" s="1"/>
  <c r="E12" i="277"/>
  <c r="F12" i="277"/>
  <c r="F39" i="277" s="1"/>
  <c r="G12" i="277"/>
  <c r="G26" i="277" s="1"/>
  <c r="H12" i="277"/>
  <c r="H26" i="277" s="1"/>
  <c r="D17" i="277"/>
  <c r="E17" i="277"/>
  <c r="F17" i="277"/>
  <c r="G17" i="277"/>
  <c r="H17" i="277"/>
  <c r="E26" i="277"/>
  <c r="F26" i="277"/>
  <c r="E32" i="277"/>
  <c r="F32" i="277"/>
  <c r="J32" i="277"/>
  <c r="E39" i="277"/>
  <c r="G39" i="277"/>
  <c r="D42" i="277"/>
  <c r="E42" i="277"/>
  <c r="F42" i="277"/>
  <c r="G42" i="277"/>
  <c r="H42" i="277"/>
  <c r="D43" i="277"/>
  <c r="E43" i="277"/>
  <c r="F43" i="277"/>
  <c r="G43" i="277"/>
  <c r="H43" i="277"/>
  <c r="D44" i="277"/>
  <c r="E44" i="277"/>
  <c r="F44" i="277"/>
  <c r="G44" i="277"/>
  <c r="H44" i="277"/>
  <c r="D45" i="277"/>
  <c r="E45" i="277"/>
  <c r="F45" i="277"/>
  <c r="G45" i="277"/>
  <c r="H45" i="277"/>
  <c r="A57" i="277"/>
  <c r="B2" i="268"/>
  <c r="G4" i="268"/>
  <c r="D7" i="268"/>
  <c r="E7" i="268"/>
  <c r="F7" i="268"/>
  <c r="G7" i="268"/>
  <c r="F11" i="268"/>
  <c r="G11" i="268"/>
  <c r="F13" i="268"/>
  <c r="G13" i="268"/>
  <c r="F16" i="268"/>
  <c r="G16" i="268"/>
  <c r="D21" i="268"/>
  <c r="B2" i="267"/>
  <c r="J4" i="267"/>
  <c r="E9" i="267"/>
  <c r="E11" i="268" s="1"/>
  <c r="E11" i="267"/>
  <c r="F11" i="267"/>
  <c r="G11" i="267"/>
  <c r="D24" i="267"/>
  <c r="D25" i="267"/>
  <c r="D26" i="267"/>
  <c r="H13" i="267"/>
  <c r="J13" i="267" s="1"/>
  <c r="D27" i="267"/>
  <c r="H14" i="267" s="1"/>
  <c r="J14" i="267" s="1"/>
  <c r="F16" i="267"/>
  <c r="F20" i="267" s="1"/>
  <c r="G16" i="267"/>
  <c r="G20" i="267" s="1"/>
  <c r="E24" i="267"/>
  <c r="B24" i="267"/>
  <c r="E25" i="267"/>
  <c r="M33" i="267" s="1"/>
  <c r="P34" i="267" s="1"/>
  <c r="B25" i="267"/>
  <c r="E26" i="267"/>
  <c r="B26" i="267" s="1"/>
  <c r="E27" i="267"/>
  <c r="D29" i="267"/>
  <c r="O30" i="267"/>
  <c r="P30" i="267"/>
  <c r="O31" i="267"/>
  <c r="P31" i="267"/>
  <c r="M32" i="267"/>
  <c r="N32" i="267"/>
  <c r="O32" i="267" s="1"/>
  <c r="P32" i="267"/>
  <c r="Q32" i="267"/>
  <c r="A33" i="267"/>
  <c r="N33" i="267"/>
  <c r="O33" i="267" s="1"/>
  <c r="P33" i="267"/>
  <c r="A34" i="267"/>
  <c r="N34" i="267"/>
  <c r="Q36" i="267" s="1"/>
  <c r="M35" i="267"/>
  <c r="N35" i="267"/>
  <c r="O35" i="267"/>
  <c r="M36" i="267"/>
  <c r="O36" i="267"/>
  <c r="M37" i="267"/>
  <c r="P37" i="267"/>
  <c r="Q37" i="267"/>
  <c r="P38" i="267"/>
  <c r="Q38" i="267"/>
  <c r="B2" i="59"/>
  <c r="D8" i="59"/>
  <c r="B9" i="59"/>
  <c r="D9" i="59"/>
  <c r="D10" i="59"/>
  <c r="B11" i="59"/>
  <c r="D11" i="59"/>
  <c r="D12" i="59"/>
  <c r="B13" i="59"/>
  <c r="D13" i="59"/>
  <c r="D14" i="59"/>
  <c r="B15" i="59"/>
  <c r="D15" i="59"/>
  <c r="D16" i="59"/>
  <c r="B17" i="59"/>
  <c r="D17" i="59"/>
  <c r="D18" i="59"/>
  <c r="B19" i="59"/>
  <c r="D19" i="59"/>
  <c r="D20" i="59"/>
  <c r="B21" i="59"/>
  <c r="D21" i="59"/>
  <c r="D22" i="59"/>
  <c r="B23" i="59"/>
  <c r="D23" i="59"/>
  <c r="D24" i="59"/>
  <c r="B2" i="57"/>
  <c r="AM3" i="57"/>
  <c r="L7" i="57"/>
  <c r="AO3" i="57" s="1"/>
  <c r="AP3" i="57"/>
  <c r="AR3" i="57" s="1"/>
  <c r="AQ3" i="57"/>
  <c r="AJ4" i="57"/>
  <c r="AM4" i="57"/>
  <c r="AO4" i="57"/>
  <c r="AP4" i="57"/>
  <c r="AR4" i="57" s="1"/>
  <c r="P5" i="284" s="1"/>
  <c r="AQ4" i="57"/>
  <c r="AM5" i="57"/>
  <c r="AO5" i="57"/>
  <c r="AP5" i="57"/>
  <c r="AR5" i="57" s="1"/>
  <c r="AQ5" i="57"/>
  <c r="M7" i="57"/>
  <c r="N7" i="57"/>
  <c r="O7" i="57"/>
  <c r="B9" i="57"/>
  <c r="C9" i="57"/>
  <c r="D9" i="57"/>
  <c r="B8" i="59" s="1"/>
  <c r="E9" i="57"/>
  <c r="F9" i="57"/>
  <c r="G9" i="57"/>
  <c r="L9" i="57"/>
  <c r="M9" i="57"/>
  <c r="N9" i="57"/>
  <c r="O9" i="57"/>
  <c r="O43" i="57" s="1"/>
  <c r="Q9" i="57"/>
  <c r="R9" i="57"/>
  <c r="V9" i="57" s="1"/>
  <c r="S9" i="57"/>
  <c r="U9" i="57"/>
  <c r="U43" i="57" s="1"/>
  <c r="W9" i="57"/>
  <c r="X9" i="57"/>
  <c r="Y9" i="57"/>
  <c r="Y43" i="57" s="1"/>
  <c r="AA9" i="57"/>
  <c r="AB9" i="57"/>
  <c r="AF9" i="57" s="1"/>
  <c r="AC9" i="57"/>
  <c r="AE9" i="57"/>
  <c r="AE43" i="57" s="1"/>
  <c r="AG9" i="57"/>
  <c r="AI9" i="57"/>
  <c r="AJ9" i="57"/>
  <c r="AJ43" i="57" s="1"/>
  <c r="B10" i="57"/>
  <c r="C10" i="57"/>
  <c r="D10" i="57"/>
  <c r="E10" i="57"/>
  <c r="F10" i="57"/>
  <c r="G10" i="57"/>
  <c r="L10" i="57"/>
  <c r="M10" i="57"/>
  <c r="N10" i="57"/>
  <c r="O10" i="57"/>
  <c r="Q10" i="57"/>
  <c r="R10" i="57"/>
  <c r="V10" i="57" s="1"/>
  <c r="S10" i="57"/>
  <c r="U10" i="57"/>
  <c r="W10" i="57"/>
  <c r="X10" i="57"/>
  <c r="Y10" i="57"/>
  <c r="AA10" i="57"/>
  <c r="AB10" i="57"/>
  <c r="AF10" i="57" s="1"/>
  <c r="AC10" i="57"/>
  <c r="AE10" i="57"/>
  <c r="AG10" i="57"/>
  <c r="AI10" i="57"/>
  <c r="AJ10" i="57"/>
  <c r="B11" i="57"/>
  <c r="C11" i="57"/>
  <c r="D11" i="57"/>
  <c r="B10" i="59" s="1"/>
  <c r="E11" i="57"/>
  <c r="F11" i="57"/>
  <c r="G11" i="57"/>
  <c r="L11" i="57"/>
  <c r="M11" i="57"/>
  <c r="N11" i="57"/>
  <c r="O11" i="57"/>
  <c r="O45" i="57" s="1"/>
  <c r="Q11" i="57"/>
  <c r="R11" i="57"/>
  <c r="V11" i="57" s="1"/>
  <c r="S11" i="57"/>
  <c r="U11" i="57"/>
  <c r="U46" i="57" s="1"/>
  <c r="W11" i="57"/>
  <c r="X11" i="57"/>
  <c r="Y11" i="57"/>
  <c r="Y46" i="57" s="1"/>
  <c r="AA11" i="57"/>
  <c r="AB11" i="57"/>
  <c r="AF11" i="57" s="1"/>
  <c r="AC11" i="57"/>
  <c r="AE11" i="57"/>
  <c r="AE47" i="57" s="1"/>
  <c r="AG11" i="57"/>
  <c r="AI11" i="57"/>
  <c r="AJ11" i="57"/>
  <c r="AJ47" i="57" s="1"/>
  <c r="B12" i="57"/>
  <c r="C12" i="57"/>
  <c r="D12" i="57"/>
  <c r="E12" i="57"/>
  <c r="F12" i="57"/>
  <c r="G12" i="57"/>
  <c r="L12" i="57"/>
  <c r="M12" i="57"/>
  <c r="N12" i="57"/>
  <c r="O12" i="57"/>
  <c r="Q12" i="57"/>
  <c r="R12" i="57"/>
  <c r="V12" i="57" s="1"/>
  <c r="S12" i="57"/>
  <c r="U12" i="57"/>
  <c r="W12" i="57"/>
  <c r="X12" i="57"/>
  <c r="Y12" i="57"/>
  <c r="AA12" i="57"/>
  <c r="AB12" i="57"/>
  <c r="AF12" i="57" s="1"/>
  <c r="AC12" i="57"/>
  <c r="AE12" i="57"/>
  <c r="AG12" i="57"/>
  <c r="AI12" i="57"/>
  <c r="AJ12" i="57"/>
  <c r="B13" i="57"/>
  <c r="C13" i="57"/>
  <c r="D13" i="57"/>
  <c r="B12" i="59" s="1"/>
  <c r="E13" i="57"/>
  <c r="F13" i="57"/>
  <c r="G13" i="57"/>
  <c r="L13" i="57"/>
  <c r="M13" i="57"/>
  <c r="N13" i="57"/>
  <c r="O13" i="57"/>
  <c r="Q13" i="57"/>
  <c r="R13" i="57"/>
  <c r="V13" i="57" s="1"/>
  <c r="S13" i="57"/>
  <c r="U13" i="57"/>
  <c r="W13" i="57"/>
  <c r="X13" i="57"/>
  <c r="Y13" i="57"/>
  <c r="AA13" i="57"/>
  <c r="AB13" i="57"/>
  <c r="AF13" i="57" s="1"/>
  <c r="AC13" i="57"/>
  <c r="AE13" i="57"/>
  <c r="AG13" i="57"/>
  <c r="AI13" i="57"/>
  <c r="AJ13" i="57"/>
  <c r="B14" i="57"/>
  <c r="C14" i="57"/>
  <c r="D14" i="57"/>
  <c r="E14" i="57"/>
  <c r="F14" i="57"/>
  <c r="G14" i="57"/>
  <c r="L14" i="57"/>
  <c r="M14" i="57"/>
  <c r="N14" i="57"/>
  <c r="O14" i="57"/>
  <c r="Q14" i="57"/>
  <c r="R14" i="57"/>
  <c r="V14" i="57" s="1"/>
  <c r="S14" i="57"/>
  <c r="U14" i="57"/>
  <c r="W14" i="57"/>
  <c r="X14" i="57"/>
  <c r="Y14" i="57"/>
  <c r="AA14" i="57"/>
  <c r="AB14" i="57"/>
  <c r="AF14" i="57" s="1"/>
  <c r="AC14" i="57"/>
  <c r="AE14" i="57"/>
  <c r="AG14" i="57"/>
  <c r="AI14" i="57"/>
  <c r="AJ14" i="57"/>
  <c r="B15" i="57"/>
  <c r="C15" i="57"/>
  <c r="D15" i="57"/>
  <c r="B14" i="59" s="1"/>
  <c r="E15" i="57"/>
  <c r="F15" i="57"/>
  <c r="G15" i="57"/>
  <c r="L15" i="57"/>
  <c r="M15" i="57"/>
  <c r="N15" i="57"/>
  <c r="O15" i="57"/>
  <c r="Q15" i="57"/>
  <c r="R15" i="57"/>
  <c r="V15" i="57" s="1"/>
  <c r="S15" i="57"/>
  <c r="U15" i="57"/>
  <c r="W15" i="57"/>
  <c r="X15" i="57"/>
  <c r="Y15" i="57"/>
  <c r="AA15" i="57"/>
  <c r="AB15" i="57"/>
  <c r="AF15" i="57" s="1"/>
  <c r="AC15" i="57"/>
  <c r="AE15" i="57"/>
  <c r="AG15" i="57"/>
  <c r="AI15" i="57"/>
  <c r="AJ15" i="57"/>
  <c r="B16" i="57"/>
  <c r="C16" i="57"/>
  <c r="D16" i="57"/>
  <c r="E16" i="57"/>
  <c r="F16" i="57"/>
  <c r="G16" i="57"/>
  <c r="L16" i="57"/>
  <c r="M16" i="57"/>
  <c r="N16" i="57"/>
  <c r="O16" i="57"/>
  <c r="Q16" i="57"/>
  <c r="R16" i="57"/>
  <c r="V16" i="57" s="1"/>
  <c r="S16" i="57"/>
  <c r="U16" i="57"/>
  <c r="W16" i="57"/>
  <c r="X16" i="57"/>
  <c r="Y16" i="57"/>
  <c r="AA16" i="57"/>
  <c r="AB16" i="57"/>
  <c r="AF16" i="57" s="1"/>
  <c r="AC16" i="57"/>
  <c r="AE16" i="57"/>
  <c r="AG16" i="57"/>
  <c r="AI16" i="57"/>
  <c r="AJ16" i="57"/>
  <c r="B17" i="57"/>
  <c r="C17" i="57"/>
  <c r="D17" i="57"/>
  <c r="B16" i="59" s="1"/>
  <c r="E17" i="57"/>
  <c r="F17" i="57"/>
  <c r="G17" i="57"/>
  <c r="L17" i="57"/>
  <c r="M17" i="57"/>
  <c r="N17" i="57"/>
  <c r="O17" i="57"/>
  <c r="Q17" i="57"/>
  <c r="R17" i="57"/>
  <c r="V17" i="57" s="1"/>
  <c r="S17" i="57"/>
  <c r="U17" i="57"/>
  <c r="W17" i="57"/>
  <c r="X17" i="57"/>
  <c r="Y17" i="57"/>
  <c r="AA17" i="57"/>
  <c r="AB17" i="57"/>
  <c r="AF17" i="57" s="1"/>
  <c r="AC17" i="57"/>
  <c r="AE17" i="57"/>
  <c r="AG17" i="57"/>
  <c r="AI17" i="57"/>
  <c r="AJ17" i="57"/>
  <c r="B18" i="57"/>
  <c r="C18" i="57"/>
  <c r="D18" i="57"/>
  <c r="E18" i="57"/>
  <c r="F18" i="57"/>
  <c r="G18" i="57"/>
  <c r="L18" i="57"/>
  <c r="M18" i="57"/>
  <c r="N18" i="57"/>
  <c r="O18" i="57"/>
  <c r="Q18" i="57"/>
  <c r="R18" i="57"/>
  <c r="V18" i="57" s="1"/>
  <c r="S18" i="57"/>
  <c r="U18" i="57"/>
  <c r="W18" i="57"/>
  <c r="X18" i="57"/>
  <c r="Y18" i="57"/>
  <c r="AA18" i="57"/>
  <c r="AB18" i="57"/>
  <c r="AF18" i="57" s="1"/>
  <c r="AC18" i="57"/>
  <c r="AE18" i="57"/>
  <c r="AG18" i="57"/>
  <c r="AI18" i="57"/>
  <c r="AJ18" i="57"/>
  <c r="B19" i="57"/>
  <c r="C19" i="57"/>
  <c r="D19" i="57"/>
  <c r="B18" i="59" s="1"/>
  <c r="E19" i="57"/>
  <c r="F19" i="57"/>
  <c r="G19" i="57"/>
  <c r="L19" i="57"/>
  <c r="M19" i="57"/>
  <c r="N19" i="57"/>
  <c r="O19" i="57"/>
  <c r="Q19" i="57"/>
  <c r="R19" i="57"/>
  <c r="V19" i="57" s="1"/>
  <c r="S19" i="57"/>
  <c r="U19" i="57"/>
  <c r="W19" i="57"/>
  <c r="X19" i="57"/>
  <c r="Y19" i="57"/>
  <c r="AA19" i="57"/>
  <c r="AB19" i="57"/>
  <c r="AF19" i="57" s="1"/>
  <c r="AC19" i="57"/>
  <c r="AE19" i="57"/>
  <c r="AG19" i="57"/>
  <c r="AI19" i="57"/>
  <c r="AJ19" i="57"/>
  <c r="B20" i="57"/>
  <c r="C20" i="57"/>
  <c r="D20" i="57"/>
  <c r="E20" i="57"/>
  <c r="F20" i="57"/>
  <c r="G20" i="57"/>
  <c r="L20" i="57"/>
  <c r="M20" i="57"/>
  <c r="N20" i="57"/>
  <c r="O20" i="57"/>
  <c r="Q20" i="57"/>
  <c r="R20" i="57"/>
  <c r="V20" i="57" s="1"/>
  <c r="S20" i="57"/>
  <c r="U20" i="57"/>
  <c r="W20" i="57"/>
  <c r="X20" i="57"/>
  <c r="Y20" i="57"/>
  <c r="AA20" i="57"/>
  <c r="AB20" i="57"/>
  <c r="AF20" i="57" s="1"/>
  <c r="AC20" i="57"/>
  <c r="AE20" i="57"/>
  <c r="AG20" i="57"/>
  <c r="AI20" i="57"/>
  <c r="AJ20" i="57"/>
  <c r="B21" i="57"/>
  <c r="C21" i="57"/>
  <c r="D21" i="57"/>
  <c r="B20" i="59" s="1"/>
  <c r="E21" i="57"/>
  <c r="F21" i="57"/>
  <c r="G21" i="57"/>
  <c r="L21" i="57"/>
  <c r="M21" i="57"/>
  <c r="N21" i="57"/>
  <c r="O21" i="57"/>
  <c r="Q21" i="57"/>
  <c r="R21" i="57"/>
  <c r="V21" i="57" s="1"/>
  <c r="S21" i="57"/>
  <c r="U21" i="57"/>
  <c r="W21" i="57"/>
  <c r="X21" i="57"/>
  <c r="Y21" i="57"/>
  <c r="AA21" i="57"/>
  <c r="AB21" i="57"/>
  <c r="AF21" i="57" s="1"/>
  <c r="AC21" i="57"/>
  <c r="AE21" i="57"/>
  <c r="AG21" i="57"/>
  <c r="AI21" i="57"/>
  <c r="AJ21" i="57"/>
  <c r="B22" i="57"/>
  <c r="C22" i="57"/>
  <c r="D22" i="57"/>
  <c r="E22" i="57"/>
  <c r="F22" i="57"/>
  <c r="G22" i="57"/>
  <c r="L22" i="57"/>
  <c r="M22" i="57"/>
  <c r="N22" i="57"/>
  <c r="O22" i="57"/>
  <c r="Q22" i="57"/>
  <c r="R22" i="57"/>
  <c r="V22" i="57" s="1"/>
  <c r="S22" i="57"/>
  <c r="U22" i="57"/>
  <c r="W22" i="57"/>
  <c r="X22" i="57"/>
  <c r="Y22" i="57"/>
  <c r="AA22" i="57"/>
  <c r="AB22" i="57"/>
  <c r="AF22" i="57" s="1"/>
  <c r="AC22" i="57"/>
  <c r="AE22" i="57"/>
  <c r="AG22" i="57"/>
  <c r="AI22" i="57"/>
  <c r="AJ22" i="57"/>
  <c r="B23" i="57"/>
  <c r="C23" i="57"/>
  <c r="D23" i="57"/>
  <c r="B22" i="59" s="1"/>
  <c r="E23" i="57"/>
  <c r="F23" i="57"/>
  <c r="G23" i="57"/>
  <c r="L23" i="57"/>
  <c r="M23" i="57"/>
  <c r="N23" i="57"/>
  <c r="O23" i="57"/>
  <c r="Q23" i="57"/>
  <c r="R23" i="57"/>
  <c r="V23" i="57" s="1"/>
  <c r="S23" i="57"/>
  <c r="U23" i="57"/>
  <c r="W23" i="57"/>
  <c r="X23" i="57"/>
  <c r="Y23" i="57"/>
  <c r="AA23" i="57"/>
  <c r="AB23" i="57"/>
  <c r="AF23" i="57" s="1"/>
  <c r="AC23" i="57"/>
  <c r="AE23" i="57"/>
  <c r="AG23" i="57"/>
  <c r="AI23" i="57"/>
  <c r="AJ23" i="57"/>
  <c r="B24" i="57"/>
  <c r="C24" i="57"/>
  <c r="D24" i="57"/>
  <c r="E24" i="57"/>
  <c r="F24" i="57"/>
  <c r="G24" i="57"/>
  <c r="L24" i="57"/>
  <c r="M24" i="57"/>
  <c r="N24" i="57"/>
  <c r="O24" i="57"/>
  <c r="Q24" i="57"/>
  <c r="R24" i="57"/>
  <c r="V24" i="57" s="1"/>
  <c r="S24" i="57"/>
  <c r="U24" i="57"/>
  <c r="W24" i="57"/>
  <c r="X24" i="57"/>
  <c r="Y24" i="57"/>
  <c r="AA24" i="57"/>
  <c r="AB24" i="57"/>
  <c r="AF24" i="57" s="1"/>
  <c r="AC24" i="57"/>
  <c r="AE24" i="57"/>
  <c r="AG24" i="57"/>
  <c r="AI24" i="57"/>
  <c r="AJ24" i="57"/>
  <c r="B25" i="57"/>
  <c r="C25" i="57"/>
  <c r="D25" i="57"/>
  <c r="B24" i="59" s="1"/>
  <c r="E25" i="57"/>
  <c r="F25" i="57"/>
  <c r="G25" i="57"/>
  <c r="L25" i="57"/>
  <c r="M25" i="57"/>
  <c r="N25" i="57"/>
  <c r="O25" i="57"/>
  <c r="Q25" i="57"/>
  <c r="R25" i="57"/>
  <c r="V25" i="57" s="1"/>
  <c r="S25" i="57"/>
  <c r="U25" i="57"/>
  <c r="W25" i="57"/>
  <c r="X25" i="57"/>
  <c r="Y25" i="57"/>
  <c r="AA25" i="57"/>
  <c r="AB25" i="57"/>
  <c r="AF25" i="57" s="1"/>
  <c r="AC25" i="57"/>
  <c r="AE25" i="57"/>
  <c r="AG25" i="57"/>
  <c r="AI25" i="57"/>
  <c r="AJ25" i="57"/>
  <c r="B26" i="57"/>
  <c r="C26" i="57"/>
  <c r="D26" i="57"/>
  <c r="E26" i="57"/>
  <c r="F26" i="57"/>
  <c r="G26" i="57"/>
  <c r="L26" i="57"/>
  <c r="M26" i="57"/>
  <c r="N26" i="57"/>
  <c r="O26" i="57"/>
  <c r="Q26" i="57"/>
  <c r="R26" i="57"/>
  <c r="V26" i="57" s="1"/>
  <c r="S26" i="57"/>
  <c r="U26" i="57"/>
  <c r="W26" i="57"/>
  <c r="X26" i="57"/>
  <c r="Y26" i="57"/>
  <c r="AA26" i="57"/>
  <c r="AB26" i="57"/>
  <c r="AF26" i="57" s="1"/>
  <c r="AC26" i="57"/>
  <c r="AE26" i="57"/>
  <c r="AG26" i="57"/>
  <c r="AI26" i="57"/>
  <c r="AJ26" i="57"/>
  <c r="L43" i="57"/>
  <c r="M43" i="57"/>
  <c r="N43" i="57"/>
  <c r="Q43" i="57"/>
  <c r="R43" i="57"/>
  <c r="S43" i="57"/>
  <c r="W43" i="57"/>
  <c r="X43" i="57"/>
  <c r="AA43" i="57"/>
  <c r="AB43" i="57"/>
  <c r="AC43" i="57"/>
  <c r="AG43" i="57"/>
  <c r="AI43" i="57"/>
  <c r="L44" i="57"/>
  <c r="M44" i="57"/>
  <c r="N44" i="57"/>
  <c r="Q44" i="57"/>
  <c r="R44" i="57"/>
  <c r="S44" i="57"/>
  <c r="W44" i="57"/>
  <c r="X44" i="57"/>
  <c r="AA44" i="57"/>
  <c r="AB44" i="57"/>
  <c r="AC44" i="57"/>
  <c r="AG44" i="57"/>
  <c r="AI44" i="57"/>
  <c r="L45" i="57"/>
  <c r="M45" i="57"/>
  <c r="N45" i="57"/>
  <c r="Q45" i="57"/>
  <c r="R45" i="57"/>
  <c r="S45" i="57"/>
  <c r="W45" i="57"/>
  <c r="X45" i="57"/>
  <c r="AA45" i="57"/>
  <c r="AB45" i="57"/>
  <c r="AC45" i="57"/>
  <c r="AG45" i="57"/>
  <c r="AI45" i="57"/>
  <c r="L46" i="57"/>
  <c r="M46" i="57"/>
  <c r="N46" i="57"/>
  <c r="Q46" i="57"/>
  <c r="R46" i="57"/>
  <c r="S46" i="57"/>
  <c r="W46" i="57"/>
  <c r="X46" i="57"/>
  <c r="AA46" i="57"/>
  <c r="AB46" i="57"/>
  <c r="AC46" i="57"/>
  <c r="AG46" i="57"/>
  <c r="AI46" i="57"/>
  <c r="L47" i="57"/>
  <c r="M47" i="57"/>
  <c r="N47" i="57"/>
  <c r="Q47" i="57"/>
  <c r="R47" i="57"/>
  <c r="S47" i="57"/>
  <c r="W47" i="57"/>
  <c r="X47" i="57"/>
  <c r="AA47" i="57"/>
  <c r="AB47" i="57"/>
  <c r="AC47" i="57"/>
  <c r="AG47" i="57"/>
  <c r="AI47" i="57"/>
  <c r="L48" i="57"/>
  <c r="M48" i="57"/>
  <c r="N48" i="57"/>
  <c r="Q48" i="57"/>
  <c r="R48" i="57"/>
  <c r="S48" i="57"/>
  <c r="W48" i="57"/>
  <c r="X48" i="57"/>
  <c r="AA48" i="57"/>
  <c r="AB48" i="57"/>
  <c r="AC48" i="57"/>
  <c r="AG48" i="57"/>
  <c r="AI48" i="57"/>
  <c r="A52" i="57"/>
  <c r="A53" i="57"/>
  <c r="A54" i="57"/>
  <c r="A55" i="57"/>
  <c r="A56" i="57"/>
  <c r="A57" i="57"/>
  <c r="B2" i="15"/>
  <c r="D9" i="15"/>
  <c r="D10" i="15"/>
  <c r="D11" i="15"/>
  <c r="D12" i="15"/>
  <c r="D13" i="15"/>
  <c r="D14" i="15"/>
  <c r="D15" i="15"/>
  <c r="D16" i="15"/>
  <c r="D17" i="15"/>
  <c r="D18" i="15"/>
  <c r="D19" i="15"/>
  <c r="D20" i="15"/>
  <c r="D21" i="15"/>
  <c r="D22" i="15"/>
  <c r="B2" i="47"/>
  <c r="AB2" i="47"/>
  <c r="AC2" i="47"/>
  <c r="AE2" i="47" s="1"/>
  <c r="N4" i="284" s="1"/>
  <c r="AD2" i="47"/>
  <c r="AL2" i="47"/>
  <c r="AM2" i="57" s="1"/>
  <c r="AB3" i="47"/>
  <c r="AC3" i="47"/>
  <c r="AD3" i="47"/>
  <c r="Z4" i="47"/>
  <c r="AC4" i="47"/>
  <c r="AE4" i="47" s="1"/>
  <c r="N6" i="284" s="1"/>
  <c r="AD4" i="47"/>
  <c r="R8" i="47"/>
  <c r="S8" i="47"/>
  <c r="T8" i="47"/>
  <c r="B12" i="47"/>
  <c r="B10" i="257" s="1"/>
  <c r="C12" i="47"/>
  <c r="C12" i="172" s="1"/>
  <c r="H12" i="47"/>
  <c r="I12" i="47"/>
  <c r="J12" i="47"/>
  <c r="J45" i="47" s="1"/>
  <c r="L12" i="47"/>
  <c r="M12" i="47"/>
  <c r="N12" i="47"/>
  <c r="O12" i="47"/>
  <c r="O46" i="47" s="1"/>
  <c r="P12" i="47"/>
  <c r="T12" i="47"/>
  <c r="T46" i="47" s="1"/>
  <c r="V12" i="47"/>
  <c r="Y12" i="47"/>
  <c r="Y46" i="47" s="1"/>
  <c r="Z12" i="47"/>
  <c r="AB12" i="47"/>
  <c r="Y12" i="172" s="1"/>
  <c r="AC12" i="47"/>
  <c r="Z12" i="172" s="1"/>
  <c r="AD12" i="47"/>
  <c r="AA12" i="172" s="1"/>
  <c r="AE12" i="47"/>
  <c r="AB12" i="172" s="1"/>
  <c r="AH12" i="47"/>
  <c r="AE12" i="172" s="1"/>
  <c r="AL12" i="47"/>
  <c r="B13" i="47"/>
  <c r="B10" i="15" s="1"/>
  <c r="C13" i="47"/>
  <c r="C13" i="172" s="1"/>
  <c r="H13" i="47"/>
  <c r="I13" i="47"/>
  <c r="J13" i="47"/>
  <c r="L13" i="47"/>
  <c r="M13" i="47"/>
  <c r="N13" i="47"/>
  <c r="O13" i="47"/>
  <c r="P13" i="47"/>
  <c r="T13" i="47"/>
  <c r="V13" i="47"/>
  <c r="Y13" i="47"/>
  <c r="Z13" i="47"/>
  <c r="AB13" i="47"/>
  <c r="Y13" i="172" s="1"/>
  <c r="AC13" i="47"/>
  <c r="Z13" i="172" s="1"/>
  <c r="AD13" i="47"/>
  <c r="AA13" i="172" s="1"/>
  <c r="AE13" i="47"/>
  <c r="AB13" i="172" s="1"/>
  <c r="AH13" i="47"/>
  <c r="AE13" i="172" s="1"/>
  <c r="AL13" i="47"/>
  <c r="B14" i="47"/>
  <c r="B12" i="13" s="1"/>
  <c r="C14" i="47"/>
  <c r="C14" i="172" s="1"/>
  <c r="H14" i="47"/>
  <c r="I14" i="47"/>
  <c r="J14" i="47"/>
  <c r="L14" i="47"/>
  <c r="M14" i="47"/>
  <c r="N14" i="47"/>
  <c r="O14" i="47"/>
  <c r="P14" i="47"/>
  <c r="T14" i="47"/>
  <c r="V14" i="47"/>
  <c r="Y14" i="47"/>
  <c r="Z14" i="47"/>
  <c r="AB14" i="47"/>
  <c r="Y14" i="172" s="1"/>
  <c r="AC14" i="47"/>
  <c r="Z14" i="172" s="1"/>
  <c r="AD14" i="47"/>
  <c r="AA14" i="172" s="1"/>
  <c r="AE14" i="47"/>
  <c r="AB14" i="172" s="1"/>
  <c r="AH14" i="47"/>
  <c r="AE14" i="172" s="1"/>
  <c r="AL14" i="47"/>
  <c r="B15" i="47"/>
  <c r="B12" i="15" s="1"/>
  <c r="C15" i="47"/>
  <c r="C15" i="172" s="1"/>
  <c r="H15" i="47"/>
  <c r="I15" i="47"/>
  <c r="J15" i="47"/>
  <c r="L15" i="47"/>
  <c r="M15" i="47"/>
  <c r="N15" i="47"/>
  <c r="O15" i="47"/>
  <c r="P15" i="47"/>
  <c r="T15" i="47"/>
  <c r="V15" i="47"/>
  <c r="Y15" i="47"/>
  <c r="Z15" i="47"/>
  <c r="AB15" i="47"/>
  <c r="Y15" i="172" s="1"/>
  <c r="AC15" i="47"/>
  <c r="Z15" i="172" s="1"/>
  <c r="AD15" i="47"/>
  <c r="AA15" i="172" s="1"/>
  <c r="AE15" i="47"/>
  <c r="AB15" i="172" s="1"/>
  <c r="AH15" i="47"/>
  <c r="AE15" i="172" s="1"/>
  <c r="AL15" i="47"/>
  <c r="B16" i="47"/>
  <c r="B14" i="257" s="1"/>
  <c r="C16" i="47"/>
  <c r="C16" i="172" s="1"/>
  <c r="H16" i="47"/>
  <c r="I16" i="47"/>
  <c r="J16" i="47"/>
  <c r="L16" i="47"/>
  <c r="M16" i="47"/>
  <c r="N16" i="47"/>
  <c r="O16" i="47"/>
  <c r="P16" i="47"/>
  <c r="T16" i="47"/>
  <c r="V16" i="47"/>
  <c r="Y16" i="47"/>
  <c r="Z16" i="47"/>
  <c r="AB16" i="47"/>
  <c r="Y16" i="172" s="1"/>
  <c r="AC16" i="47"/>
  <c r="Z16" i="172" s="1"/>
  <c r="AD16" i="47"/>
  <c r="AA16" i="172" s="1"/>
  <c r="AE16" i="47"/>
  <c r="AB16" i="172" s="1"/>
  <c r="AH16" i="47"/>
  <c r="AE16" i="172" s="1"/>
  <c r="AL16" i="47"/>
  <c r="B17" i="47"/>
  <c r="B14" i="15" s="1"/>
  <c r="C17" i="47"/>
  <c r="C17" i="172" s="1"/>
  <c r="H17" i="47"/>
  <c r="I17" i="47"/>
  <c r="J17" i="47"/>
  <c r="L17" i="47"/>
  <c r="M17" i="47"/>
  <c r="N17" i="47"/>
  <c r="O17" i="47"/>
  <c r="P17" i="47"/>
  <c r="T17" i="47"/>
  <c r="V17" i="47"/>
  <c r="Y17" i="47"/>
  <c r="Z17" i="47"/>
  <c r="AB17" i="47"/>
  <c r="Y17" i="172" s="1"/>
  <c r="AC17" i="47"/>
  <c r="Z17" i="172" s="1"/>
  <c r="AD17" i="47"/>
  <c r="AA17" i="172" s="1"/>
  <c r="AE17" i="47"/>
  <c r="AB17" i="172" s="1"/>
  <c r="AH17" i="47"/>
  <c r="AE17" i="172" s="1"/>
  <c r="AL17" i="47"/>
  <c r="B18" i="47"/>
  <c r="B16" i="249" s="1"/>
  <c r="C18" i="47"/>
  <c r="C18" i="172" s="1"/>
  <c r="H18" i="47"/>
  <c r="I18" i="47"/>
  <c r="J18" i="47"/>
  <c r="L18" i="47"/>
  <c r="M18" i="47"/>
  <c r="N18" i="47"/>
  <c r="O18" i="47"/>
  <c r="P18" i="47"/>
  <c r="T18" i="47"/>
  <c r="V18" i="47"/>
  <c r="Y18" i="47"/>
  <c r="Z18" i="47"/>
  <c r="AB18" i="47"/>
  <c r="Y18" i="172" s="1"/>
  <c r="AC18" i="47"/>
  <c r="Z18" i="172" s="1"/>
  <c r="AD18" i="47"/>
  <c r="AA18" i="172" s="1"/>
  <c r="AE18" i="47"/>
  <c r="AB18" i="172" s="1"/>
  <c r="AH18" i="47"/>
  <c r="AE18" i="172" s="1"/>
  <c r="AL18" i="47"/>
  <c r="B19" i="47"/>
  <c r="B16" i="15" s="1"/>
  <c r="C19" i="47"/>
  <c r="C19" i="172" s="1"/>
  <c r="H19" i="47"/>
  <c r="I19" i="47"/>
  <c r="J19" i="47"/>
  <c r="L19" i="47"/>
  <c r="M19" i="47"/>
  <c r="N19" i="47"/>
  <c r="O19" i="47"/>
  <c r="P19" i="47"/>
  <c r="T19" i="47"/>
  <c r="V19" i="47"/>
  <c r="Y19" i="47"/>
  <c r="Z19" i="47"/>
  <c r="AB19" i="47"/>
  <c r="Y19" i="172" s="1"/>
  <c r="AC19" i="47"/>
  <c r="Z19" i="172" s="1"/>
  <c r="AD19" i="47"/>
  <c r="AA19" i="172" s="1"/>
  <c r="AE19" i="47"/>
  <c r="AB19" i="172" s="1"/>
  <c r="AH19" i="47"/>
  <c r="AE19" i="172" s="1"/>
  <c r="AL19" i="47"/>
  <c r="B20" i="47"/>
  <c r="B18" i="13" s="1"/>
  <c r="C20" i="47"/>
  <c r="C20" i="172" s="1"/>
  <c r="H20" i="47"/>
  <c r="I20" i="47"/>
  <c r="J20" i="47"/>
  <c r="L20" i="47"/>
  <c r="M20" i="47"/>
  <c r="N20" i="47"/>
  <c r="O20" i="47"/>
  <c r="P20" i="47"/>
  <c r="T20" i="47"/>
  <c r="V20" i="47"/>
  <c r="Y20" i="47"/>
  <c r="Z20" i="47"/>
  <c r="AB20" i="47"/>
  <c r="Y20" i="172" s="1"/>
  <c r="AC20" i="47"/>
  <c r="Z20" i="172" s="1"/>
  <c r="AD20" i="47"/>
  <c r="AA20" i="172" s="1"/>
  <c r="AE20" i="47"/>
  <c r="AB20" i="172" s="1"/>
  <c r="AH20" i="47"/>
  <c r="AE20" i="172" s="1"/>
  <c r="AL20" i="47"/>
  <c r="B21" i="47"/>
  <c r="B18" i="15" s="1"/>
  <c r="C21" i="47"/>
  <c r="C21" i="172" s="1"/>
  <c r="H21" i="47"/>
  <c r="I21" i="47"/>
  <c r="J21" i="47"/>
  <c r="L21" i="47"/>
  <c r="M21" i="47"/>
  <c r="N21" i="47"/>
  <c r="O21" i="47"/>
  <c r="P21" i="47"/>
  <c r="T21" i="47"/>
  <c r="V21" i="47"/>
  <c r="Y21" i="47"/>
  <c r="Z21" i="47"/>
  <c r="AB21" i="47"/>
  <c r="Y21" i="172" s="1"/>
  <c r="AC21" i="47"/>
  <c r="Z21" i="172" s="1"/>
  <c r="AD21" i="47"/>
  <c r="AA21" i="172" s="1"/>
  <c r="AE21" i="47"/>
  <c r="AB21" i="172" s="1"/>
  <c r="AH21" i="47"/>
  <c r="AE21" i="172" s="1"/>
  <c r="AL21" i="47"/>
  <c r="B22" i="47"/>
  <c r="B20" i="249" s="1"/>
  <c r="C22" i="47"/>
  <c r="C22" i="172" s="1"/>
  <c r="H22" i="47"/>
  <c r="I22" i="47"/>
  <c r="J22" i="47"/>
  <c r="L22" i="47"/>
  <c r="M22" i="47"/>
  <c r="N22" i="47"/>
  <c r="N43" i="47" s="1"/>
  <c r="O22" i="47"/>
  <c r="P22" i="47"/>
  <c r="T22" i="47"/>
  <c r="V22" i="47"/>
  <c r="Y22" i="47"/>
  <c r="Z22" i="47"/>
  <c r="AB22" i="47"/>
  <c r="Y22" i="172" s="1"/>
  <c r="AC22" i="47"/>
  <c r="Z22" i="172" s="1"/>
  <c r="AD22" i="47"/>
  <c r="AA22" i="172" s="1"/>
  <c r="AE22" i="47"/>
  <c r="AB22" i="172" s="1"/>
  <c r="AH22" i="47"/>
  <c r="AE22" i="172" s="1"/>
  <c r="AL22" i="47"/>
  <c r="B23" i="47"/>
  <c r="B20" i="15" s="1"/>
  <c r="C23" i="47"/>
  <c r="C23" i="172" s="1"/>
  <c r="H23" i="47"/>
  <c r="I23" i="47"/>
  <c r="J23" i="47"/>
  <c r="L23" i="47"/>
  <c r="L45" i="47" s="1"/>
  <c r="M23" i="47"/>
  <c r="N23" i="47"/>
  <c r="O23" i="47"/>
  <c r="P23" i="47"/>
  <c r="P45" i="47" s="1"/>
  <c r="T23" i="47"/>
  <c r="V23" i="47"/>
  <c r="V45" i="47" s="1"/>
  <c r="Y23" i="47"/>
  <c r="Z23" i="47"/>
  <c r="Z45" i="47" s="1"/>
  <c r="AB23" i="47"/>
  <c r="Y23" i="172" s="1"/>
  <c r="AC23" i="47"/>
  <c r="Z23" i="172" s="1"/>
  <c r="AD23" i="47"/>
  <c r="AA23" i="172" s="1"/>
  <c r="AE23" i="47"/>
  <c r="AB23" i="172" s="1"/>
  <c r="AH23" i="47"/>
  <c r="AE23" i="172" s="1"/>
  <c r="AL23" i="47"/>
  <c r="B24" i="47"/>
  <c r="B22" i="13" s="1"/>
  <c r="C24" i="47"/>
  <c r="C24" i="172" s="1"/>
  <c r="H24" i="47"/>
  <c r="I24" i="47"/>
  <c r="J24" i="47"/>
  <c r="L24" i="47"/>
  <c r="M24" i="47"/>
  <c r="N24" i="47"/>
  <c r="O24" i="47"/>
  <c r="P24" i="47"/>
  <c r="T24" i="47"/>
  <c r="V24" i="47"/>
  <c r="Y24" i="47"/>
  <c r="Z24" i="47"/>
  <c r="AB24" i="47"/>
  <c r="Y24" i="172" s="1"/>
  <c r="AC24" i="47"/>
  <c r="Z24" i="172" s="1"/>
  <c r="AD24" i="47"/>
  <c r="AA24" i="172" s="1"/>
  <c r="AE24" i="47"/>
  <c r="AB24" i="172" s="1"/>
  <c r="AH24" i="47"/>
  <c r="AE24" i="172" s="1"/>
  <c r="AL24" i="47"/>
  <c r="B25" i="47"/>
  <c r="B22" i="15" s="1"/>
  <c r="C25" i="47"/>
  <c r="C25" i="172" s="1"/>
  <c r="H25" i="47"/>
  <c r="I25" i="47"/>
  <c r="J25" i="47"/>
  <c r="L25" i="47"/>
  <c r="M25" i="47"/>
  <c r="N25" i="47"/>
  <c r="O25" i="47"/>
  <c r="P25" i="47"/>
  <c r="T25" i="47"/>
  <c r="V25" i="47"/>
  <c r="Y25" i="47"/>
  <c r="Z25" i="47"/>
  <c r="AB25" i="47"/>
  <c r="Y25" i="172" s="1"/>
  <c r="AC25" i="47"/>
  <c r="Z25" i="172" s="1"/>
  <c r="AD25" i="47"/>
  <c r="AA25" i="172" s="1"/>
  <c r="AE25" i="47"/>
  <c r="AB25" i="172" s="1"/>
  <c r="AH25" i="47"/>
  <c r="AE25" i="172" s="1"/>
  <c r="AL25" i="47"/>
  <c r="C43" i="47"/>
  <c r="H43" i="47"/>
  <c r="L43" i="47"/>
  <c r="M43" i="47"/>
  <c r="P43" i="47"/>
  <c r="V43" i="47"/>
  <c r="Z43" i="47"/>
  <c r="C44" i="47"/>
  <c r="H44" i="47"/>
  <c r="I44" i="47"/>
  <c r="J44" i="47"/>
  <c r="L44" i="47"/>
  <c r="M44" i="47"/>
  <c r="N44" i="47"/>
  <c r="O44" i="47"/>
  <c r="P44" i="47"/>
  <c r="T44" i="47"/>
  <c r="V44" i="47"/>
  <c r="Y44" i="47"/>
  <c r="Z44" i="47"/>
  <c r="H45" i="47"/>
  <c r="I45" i="47"/>
  <c r="M45" i="47"/>
  <c r="N45" i="47"/>
  <c r="C46" i="47"/>
  <c r="H46" i="47"/>
  <c r="I46" i="47"/>
  <c r="L46" i="47"/>
  <c r="M46" i="47"/>
  <c r="N46" i="47"/>
  <c r="P46" i="47"/>
  <c r="V46" i="47"/>
  <c r="Z46" i="47"/>
  <c r="C47" i="47"/>
  <c r="H47" i="47"/>
  <c r="I47" i="47"/>
  <c r="L47" i="47"/>
  <c r="M47" i="47"/>
  <c r="N47" i="47"/>
  <c r="P47" i="47"/>
  <c r="V47" i="47"/>
  <c r="Z47" i="47"/>
  <c r="C48" i="47"/>
  <c r="H48" i="47"/>
  <c r="I48" i="47"/>
  <c r="J48" i="47"/>
  <c r="L48" i="47"/>
  <c r="M48" i="47"/>
  <c r="N48" i="47"/>
  <c r="O48" i="47"/>
  <c r="P48" i="47"/>
  <c r="T48" i="47"/>
  <c r="V48" i="47"/>
  <c r="Y48" i="47"/>
  <c r="Z48" i="47"/>
  <c r="A53" i="47"/>
  <c r="A54" i="47"/>
  <c r="B2" i="38"/>
  <c r="B2" i="279"/>
  <c r="N4" i="279"/>
  <c r="F15" i="279"/>
  <c r="F17" i="279"/>
  <c r="J17" i="279"/>
  <c r="A26" i="279"/>
  <c r="A27" i="279"/>
  <c r="A28" i="279"/>
  <c r="A29" i="279"/>
  <c r="A30" i="279"/>
  <c r="A31" i="279"/>
  <c r="A32" i="279"/>
  <c r="A35" i="279"/>
  <c r="A36" i="279"/>
  <c r="B2" i="8"/>
  <c r="J2" i="8"/>
  <c r="G4" i="8"/>
  <c r="J12" i="8"/>
  <c r="D13" i="8"/>
  <c r="E13" i="8"/>
  <c r="E50" i="8" s="1"/>
  <c r="G13" i="8"/>
  <c r="C14" i="156" s="1"/>
  <c r="F14" i="156" s="1"/>
  <c r="J13" i="8"/>
  <c r="D14" i="8"/>
  <c r="D19" i="8"/>
  <c r="D20" i="8"/>
  <c r="E14" i="8"/>
  <c r="E19" i="8"/>
  <c r="E20" i="8"/>
  <c r="G14" i="8"/>
  <c r="G15" i="8"/>
  <c r="G19" i="8"/>
  <c r="G20" i="8"/>
  <c r="J14" i="8"/>
  <c r="J15" i="8"/>
  <c r="J17" i="8"/>
  <c r="J19" i="8"/>
  <c r="J20" i="8"/>
  <c r="J22" i="8"/>
  <c r="J26" i="8"/>
  <c r="D27" i="8"/>
  <c r="D31" i="8" s="1"/>
  <c r="E27" i="8"/>
  <c r="G27" i="8"/>
  <c r="J27" i="8"/>
  <c r="D28" i="8"/>
  <c r="E28" i="8"/>
  <c r="G28" i="8"/>
  <c r="J28" i="8"/>
  <c r="D29" i="8"/>
  <c r="E29" i="8"/>
  <c r="G29" i="8"/>
  <c r="J29" i="8"/>
  <c r="J31" i="8"/>
  <c r="D33" i="8"/>
  <c r="E33" i="8"/>
  <c r="J33" i="8"/>
  <c r="J35" i="8"/>
  <c r="J37" i="8"/>
  <c r="D38" i="8"/>
  <c r="E38" i="8"/>
  <c r="G38" i="8"/>
  <c r="G42" i="8" s="1"/>
  <c r="J38" i="8"/>
  <c r="D39" i="8"/>
  <c r="E39" i="8"/>
  <c r="G39" i="8"/>
  <c r="J39" i="8"/>
  <c r="D40" i="8"/>
  <c r="E40" i="8"/>
  <c r="G40" i="8"/>
  <c r="J40" i="8"/>
  <c r="E42" i="8"/>
  <c r="J42" i="8"/>
  <c r="J44" i="8"/>
  <c r="G50" i="8"/>
  <c r="G53" i="8" s="1"/>
  <c r="F51" i="8"/>
  <c r="G51" i="8"/>
  <c r="B2" i="10"/>
  <c r="G4" i="10"/>
  <c r="E9" i="10"/>
  <c r="E8" i="8" s="1"/>
  <c r="M8" i="8" s="1"/>
  <c r="G9" i="10"/>
  <c r="G8" i="8" s="1"/>
  <c r="O8" i="8" s="1"/>
  <c r="D14" i="10"/>
  <c r="D18" i="10" s="1"/>
  <c r="E16" i="10"/>
  <c r="E14" i="10" s="1"/>
  <c r="E18" i="10" s="1"/>
  <c r="E20" i="10" s="1"/>
  <c r="G16" i="10"/>
  <c r="G14" i="10"/>
  <c r="T14" i="10"/>
  <c r="D15" i="10"/>
  <c r="E15" i="10"/>
  <c r="G15" i="10"/>
  <c r="D20" i="10"/>
  <c r="D22" i="10"/>
  <c r="E22" i="10"/>
  <c r="G22" i="10"/>
  <c r="D23" i="10"/>
  <c r="E23" i="10"/>
  <c r="G23" i="10"/>
  <c r="E30" i="10"/>
  <c r="G30" i="10"/>
  <c r="B2" i="264"/>
  <c r="F4" i="264"/>
  <c r="E8" i="264"/>
  <c r="F8" i="264"/>
  <c r="H8" i="264" s="1"/>
  <c r="I8" i="264" s="1"/>
  <c r="J8" i="264" s="1"/>
  <c r="K8" i="264"/>
  <c r="D11" i="264"/>
  <c r="E11" i="264"/>
  <c r="F11" i="264"/>
  <c r="D12" i="264"/>
  <c r="E12" i="264"/>
  <c r="F12" i="264"/>
  <c r="E14" i="264"/>
  <c r="E17" i="264" s="1"/>
  <c r="E24" i="264" s="1"/>
  <c r="F14" i="264"/>
  <c r="F17" i="264" s="1"/>
  <c r="F24" i="264" s="1"/>
  <c r="D16" i="264"/>
  <c r="E16" i="264"/>
  <c r="F16" i="264"/>
  <c r="E21" i="264"/>
  <c r="F21" i="264" s="1"/>
  <c r="H21" i="264" s="1"/>
  <c r="I21" i="264" s="1"/>
  <c r="J21" i="264" s="1"/>
  <c r="K21" i="264" s="1"/>
  <c r="D22" i="264"/>
  <c r="D25" i="264"/>
  <c r="E25" i="264"/>
  <c r="F25" i="264"/>
  <c r="H25" i="264"/>
  <c r="K24" i="264"/>
  <c r="C30" i="264"/>
  <c r="E30" i="264"/>
  <c r="F30" i="264"/>
  <c r="C31" i="264"/>
  <c r="E31" i="264"/>
  <c r="F31" i="264"/>
  <c r="C32" i="264"/>
  <c r="F32" i="264"/>
  <c r="C33" i="264"/>
  <c r="F33" i="264"/>
  <c r="B2" i="283"/>
  <c r="F8" i="283"/>
  <c r="F17" i="283"/>
  <c r="F25" i="283"/>
  <c r="F39" i="283"/>
  <c r="F43" i="283"/>
  <c r="F47" i="283"/>
  <c r="F51" i="283"/>
  <c r="F57" i="283"/>
  <c r="E61" i="283"/>
  <c r="F65" i="283"/>
  <c r="B74" i="283"/>
  <c r="C74" i="283"/>
  <c r="C82" i="283"/>
  <c r="D82" i="283"/>
  <c r="B2" i="266"/>
  <c r="H4" i="266"/>
  <c r="C8" i="266"/>
  <c r="D8" i="266"/>
  <c r="F10" i="266"/>
  <c r="F11" i="266" s="1"/>
  <c r="F12" i="266" s="1"/>
  <c r="G10" i="266"/>
  <c r="G11" i="266"/>
  <c r="C14" i="266"/>
  <c r="D14" i="266"/>
  <c r="B15" i="266"/>
  <c r="F15" i="266"/>
  <c r="B16" i="266"/>
  <c r="G16" i="266"/>
  <c r="B17" i="266"/>
  <c r="G17" i="266"/>
  <c r="B18" i="266"/>
  <c r="G18" i="266"/>
  <c r="C20" i="266"/>
  <c r="D20" i="266"/>
  <c r="B21" i="266"/>
  <c r="F21" i="266"/>
  <c r="B22" i="266"/>
  <c r="G22" i="266"/>
  <c r="B23" i="266"/>
  <c r="G23" i="266"/>
  <c r="B24" i="266"/>
  <c r="G24" i="266"/>
  <c r="D27" i="266"/>
  <c r="B27" i="266"/>
  <c r="D28" i="266"/>
  <c r="B28" i="266"/>
  <c r="D29" i="266"/>
  <c r="B29" i="266"/>
  <c r="P29" i="266"/>
  <c r="B34" i="266"/>
  <c r="B35" i="156" s="1"/>
  <c r="B50" i="156" s="1"/>
  <c r="B65" i="156" s="1"/>
  <c r="E34" i="266"/>
  <c r="C35" i="156" s="1"/>
  <c r="F35" i="156" s="1"/>
  <c r="J34" i="266"/>
  <c r="B36" i="266"/>
  <c r="B37" i="156" s="1"/>
  <c r="B52" i="156" s="1"/>
  <c r="B67" i="156" s="1"/>
  <c r="B37" i="266"/>
  <c r="B38" i="156" s="1"/>
  <c r="B53" i="156" s="1"/>
  <c r="B68" i="156" s="1"/>
  <c r="J37" i="266"/>
  <c r="B38" i="266"/>
  <c r="B39" i="156" s="1"/>
  <c r="B54" i="156" s="1"/>
  <c r="B69" i="156" s="1"/>
  <c r="B39" i="266"/>
  <c r="B40" i="156" s="1"/>
  <c r="B55" i="156" s="1"/>
  <c r="B70" i="156" s="1"/>
  <c r="J39" i="266"/>
  <c r="B40" i="266"/>
  <c r="B41" i="156" s="1"/>
  <c r="B56" i="156" s="1"/>
  <c r="B71" i="156" s="1"/>
  <c r="B41" i="266"/>
  <c r="B42" i="156" s="1"/>
  <c r="B57" i="156" s="1"/>
  <c r="B72" i="156" s="1"/>
  <c r="J41" i="266"/>
  <c r="B42" i="266"/>
  <c r="B45" i="156" s="1"/>
  <c r="B60" i="156" s="1"/>
  <c r="B75" i="156" s="1"/>
  <c r="B43" i="266"/>
  <c r="B46" i="156" s="1"/>
  <c r="B61" i="156" s="1"/>
  <c r="B76" i="156" s="1"/>
  <c r="J43" i="266"/>
  <c r="B44" i="266"/>
  <c r="B47" i="156" s="1"/>
  <c r="B62" i="156" s="1"/>
  <c r="B77" i="156" s="1"/>
  <c r="B35" i="266"/>
  <c r="E35" i="266"/>
  <c r="C36" i="156" s="1"/>
  <c r="F36" i="156" s="1"/>
  <c r="E36" i="266"/>
  <c r="C37" i="156" s="1"/>
  <c r="F37" i="156" s="1"/>
  <c r="D37" i="266"/>
  <c r="P37" i="266"/>
  <c r="E38" i="266"/>
  <c r="C39" i="156" s="1"/>
  <c r="F39" i="156" s="1"/>
  <c r="E40" i="266"/>
  <c r="C41" i="156" s="1"/>
  <c r="F41" i="156" s="1"/>
  <c r="E41" i="266"/>
  <c r="C42" i="156" s="1"/>
  <c r="F42" i="156" s="1"/>
  <c r="D42" i="266"/>
  <c r="B2" i="73"/>
  <c r="N4" i="73"/>
  <c r="D11" i="73"/>
  <c r="E11" i="73"/>
  <c r="F11" i="73"/>
  <c r="G11" i="73"/>
  <c r="H11" i="73"/>
  <c r="I11" i="73"/>
  <c r="J11" i="73"/>
  <c r="K11" i="73"/>
  <c r="L11" i="73"/>
  <c r="M11" i="73"/>
  <c r="N11" i="73"/>
  <c r="R34" i="73"/>
  <c r="E32" i="264" s="1"/>
  <c r="R41" i="73"/>
  <c r="E33" i="264" s="1"/>
  <c r="D51" i="73"/>
  <c r="R36" i="73"/>
  <c r="D56" i="73"/>
  <c r="D66" i="73"/>
  <c r="F23" i="73"/>
  <c r="G27" i="73"/>
  <c r="G28" i="73"/>
  <c r="H28" i="73"/>
  <c r="I28" i="73"/>
  <c r="G29" i="73"/>
  <c r="H29" i="73"/>
  <c r="I29" i="73" s="1"/>
  <c r="J29" i="73" s="1"/>
  <c r="K29" i="73" s="1"/>
  <c r="R43" i="73"/>
  <c r="E51" i="73"/>
  <c r="F51" i="73"/>
  <c r="G51" i="73"/>
  <c r="H51" i="73"/>
  <c r="I51" i="73"/>
  <c r="J51" i="73"/>
  <c r="K51" i="73"/>
  <c r="E56" i="73"/>
  <c r="F56" i="73"/>
  <c r="G56" i="73"/>
  <c r="H56" i="73"/>
  <c r="I56" i="73"/>
  <c r="J56" i="73"/>
  <c r="K56" i="73"/>
  <c r="L56" i="73"/>
  <c r="M56" i="73"/>
  <c r="N56" i="73"/>
  <c r="B61" i="73"/>
  <c r="B62" i="73"/>
  <c r="B63" i="73"/>
  <c r="B64" i="73"/>
  <c r="E66" i="73"/>
  <c r="B71" i="73"/>
  <c r="B72" i="73"/>
  <c r="B73" i="73"/>
  <c r="B74" i="73"/>
  <c r="B90" i="73" s="1"/>
  <c r="B78" i="73"/>
  <c r="B79" i="73"/>
  <c r="B95" i="73" s="1"/>
  <c r="B87" i="73"/>
  <c r="B88" i="73"/>
  <c r="B89" i="73"/>
  <c r="B94" i="73"/>
  <c r="B97" i="73"/>
  <c r="D107" i="73"/>
  <c r="E107" i="73" s="1"/>
  <c r="F107" i="73" s="1"/>
  <c r="G107" i="73" s="1"/>
  <c r="H107" i="73" s="1"/>
  <c r="I107" i="73" s="1"/>
  <c r="J107" i="73" s="1"/>
  <c r="K107" i="73" s="1"/>
  <c r="C111" i="73"/>
  <c r="C126" i="73"/>
  <c r="C137" i="73"/>
  <c r="C149" i="73"/>
  <c r="E168" i="73"/>
  <c r="C175" i="73"/>
  <c r="C200" i="73"/>
  <c r="C217" i="73"/>
  <c r="B2" i="4"/>
  <c r="N4" i="4"/>
  <c r="O4" i="4"/>
  <c r="O5" i="4"/>
  <c r="P5" i="4"/>
  <c r="N6" i="4"/>
  <c r="O6" i="4"/>
  <c r="J4" i="4"/>
  <c r="M9" i="4"/>
  <c r="M14" i="4" s="1"/>
  <c r="B2" i="133"/>
  <c r="B2" i="317" s="1"/>
  <c r="K8" i="133"/>
  <c r="B8" i="133" s="1"/>
  <c r="G8" i="133" s="1"/>
  <c r="E8" i="133"/>
  <c r="G9" i="133"/>
  <c r="E10" i="133"/>
  <c r="G10" i="133"/>
  <c r="J11" i="133"/>
  <c r="J12" i="133" s="1"/>
  <c r="K11" i="133"/>
  <c r="B11" i="133" s="1"/>
  <c r="G11" i="133" s="1"/>
  <c r="L11" i="133"/>
  <c r="E11" i="133"/>
  <c r="L12" i="133"/>
  <c r="L13" i="133" s="1"/>
  <c r="E12" i="133"/>
  <c r="E13" i="133"/>
  <c r="G14" i="133"/>
  <c r="E15" i="133"/>
  <c r="G15" i="133"/>
  <c r="L16" i="133"/>
  <c r="E16" i="133"/>
  <c r="L17" i="133"/>
  <c r="L18" i="133" s="1"/>
  <c r="E17" i="133"/>
  <c r="E18" i="133"/>
  <c r="G19" i="133"/>
  <c r="E20" i="133"/>
  <c r="G20" i="133"/>
  <c r="L21" i="133"/>
  <c r="L22" i="133" s="1"/>
  <c r="E21" i="133"/>
  <c r="E22" i="133"/>
  <c r="G23" i="133"/>
  <c r="E24" i="133"/>
  <c r="G24" i="133"/>
  <c r="L25" i="133"/>
  <c r="E25" i="133"/>
  <c r="L26" i="133"/>
  <c r="E26" i="133"/>
  <c r="G27" i="133"/>
  <c r="E28" i="133"/>
  <c r="G28" i="133"/>
  <c r="L29" i="133"/>
  <c r="E29" i="133"/>
  <c r="L30" i="133"/>
  <c r="E30" i="133"/>
  <c r="G31" i="133"/>
  <c r="E32" i="133"/>
  <c r="G32" i="133"/>
  <c r="L33" i="133"/>
  <c r="L34" i="133" s="1"/>
  <c r="E33" i="133"/>
  <c r="E34" i="133"/>
  <c r="G35" i="133"/>
  <c r="E36" i="133"/>
  <c r="G36" i="133"/>
  <c r="E37" i="133"/>
  <c r="L38" i="133"/>
  <c r="L39" i="133" s="1"/>
  <c r="L40" i="133" s="1"/>
  <c r="L41" i="133" s="1"/>
  <c r="L42" i="133" s="1"/>
  <c r="L43" i="133" s="1"/>
  <c r="L44" i="133" s="1"/>
  <c r="L45" i="133" s="1"/>
  <c r="L46" i="133" s="1"/>
  <c r="L47" i="133" s="1"/>
  <c r="L48" i="133" s="1"/>
  <c r="E38" i="133"/>
  <c r="E39" i="133"/>
  <c r="E40" i="133"/>
  <c r="E41" i="133"/>
  <c r="E42" i="133"/>
  <c r="E43" i="133"/>
  <c r="E44" i="133"/>
  <c r="E45" i="133"/>
  <c r="E46" i="133"/>
  <c r="E47" i="133"/>
  <c r="E48" i="133"/>
  <c r="B50" i="133"/>
  <c r="B7" i="232" s="1"/>
  <c r="E50" i="133"/>
  <c r="E7" i="232" s="1"/>
  <c r="L51" i="133"/>
  <c r="B51" i="133"/>
  <c r="B8" i="232" s="1"/>
  <c r="E51" i="133"/>
  <c r="E8" i="232" s="1"/>
  <c r="L52" i="133"/>
  <c r="B52" i="133"/>
  <c r="B9" i="232" s="1"/>
  <c r="E52" i="133"/>
  <c r="E9" i="232" s="1"/>
  <c r="L53" i="133"/>
  <c r="B53" i="133"/>
  <c r="B10" i="232" s="1"/>
  <c r="E53" i="133"/>
  <c r="E10" i="232" s="1"/>
  <c r="L54" i="133"/>
  <c r="B54" i="133"/>
  <c r="B11" i="232" s="1"/>
  <c r="E54" i="133"/>
  <c r="E11" i="232" s="1"/>
  <c r="L55" i="133"/>
  <c r="B55" i="133"/>
  <c r="B12" i="232" s="1"/>
  <c r="E55" i="133"/>
  <c r="L56" i="133"/>
  <c r="B56" i="133"/>
  <c r="B13" i="232" s="1"/>
  <c r="E56" i="133"/>
  <c r="L57" i="133"/>
  <c r="B57" i="133"/>
  <c r="B14" i="232" s="1"/>
  <c r="E57" i="133"/>
  <c r="L58" i="133"/>
  <c r="B58" i="133"/>
  <c r="B15" i="232" s="1"/>
  <c r="E58" i="133"/>
  <c r="L59" i="133"/>
  <c r="B59" i="133"/>
  <c r="B16" i="232" s="1"/>
  <c r="E59" i="133"/>
  <c r="E12" i="232" s="1"/>
  <c r="L60" i="133"/>
  <c r="B60" i="133"/>
  <c r="B17" i="232" s="1"/>
  <c r="E60" i="133"/>
  <c r="E13" i="232" s="1"/>
  <c r="L61" i="133"/>
  <c r="B61" i="133"/>
  <c r="B18" i="232" s="1"/>
  <c r="E61" i="133"/>
  <c r="E14" i="232" s="1"/>
  <c r="L62" i="133"/>
  <c r="B62" i="133"/>
  <c r="B19" i="232" s="1"/>
  <c r="E62" i="133"/>
  <c r="E15" i="232" s="1"/>
  <c r="L63" i="133"/>
  <c r="B63" i="133"/>
  <c r="B20" i="232" s="1"/>
  <c r="E63" i="133"/>
  <c r="E16" i="232" s="1"/>
  <c r="L64" i="133"/>
  <c r="B64" i="133"/>
  <c r="B21" i="232" s="1"/>
  <c r="E64" i="133"/>
  <c r="E17" i="232" s="1"/>
  <c r="L65" i="133"/>
  <c r="B65" i="133"/>
  <c r="B22" i="232" s="1"/>
  <c r="E65" i="133"/>
  <c r="E18" i="232" s="1"/>
  <c r="L66" i="133"/>
  <c r="B66" i="133"/>
  <c r="G66" i="133" s="1"/>
  <c r="E66" i="133"/>
  <c r="E19" i="232" s="1"/>
  <c r="L67" i="133"/>
  <c r="B67" i="133"/>
  <c r="G67" i="133" s="1"/>
  <c r="E67" i="133"/>
  <c r="E20" i="232" s="1"/>
  <c r="L68" i="133"/>
  <c r="B68" i="133"/>
  <c r="G68" i="133" s="1"/>
  <c r="E68" i="133"/>
  <c r="E21" i="232" s="1"/>
  <c r="L69" i="133"/>
  <c r="B69" i="133"/>
  <c r="G69" i="133" s="1"/>
  <c r="E69" i="133"/>
  <c r="E22" i="232" s="1"/>
  <c r="L70" i="133"/>
  <c r="L71" i="133" s="1"/>
  <c r="B70" i="133"/>
  <c r="G70" i="133" s="1"/>
  <c r="D9" i="1"/>
  <c r="D13" i="1"/>
  <c r="D15" i="1"/>
  <c r="J20" i="1"/>
  <c r="J20" i="152" s="1"/>
  <c r="D20" i="152" s="1"/>
  <c r="B2" i="248"/>
  <c r="B2" i="142"/>
  <c r="B9" i="142"/>
  <c r="B10" i="142"/>
  <c r="B11" i="142" s="1"/>
  <c r="B12" i="142" s="1"/>
  <c r="B13" i="142" s="1"/>
  <c r="B14" i="142" s="1"/>
  <c r="B15" i="142" s="1"/>
  <c r="B16" i="142" s="1"/>
  <c r="B17" i="142" s="1"/>
  <c r="B22" i="142"/>
  <c r="B23" i="142" s="1"/>
  <c r="B24" i="142" s="1"/>
  <c r="B25" i="142" s="1"/>
  <c r="B26" i="142" s="1"/>
  <c r="B27" i="142" s="1"/>
  <c r="B28" i="142" s="1"/>
  <c r="B29" i="142" s="1"/>
  <c r="B30" i="142" s="1"/>
  <c r="B28" i="79"/>
  <c r="C28" i="79"/>
  <c r="D28" i="79"/>
  <c r="A29" i="79"/>
  <c r="B29" i="79"/>
  <c r="C29" i="79"/>
  <c r="D29" i="79"/>
  <c r="A30" i="79"/>
  <c r="A31" i="79" s="1"/>
  <c r="A32" i="79" s="1"/>
  <c r="A33" i="79" s="1"/>
  <c r="A34" i="79" s="1"/>
  <c r="A35" i="79" s="1"/>
  <c r="A36" i="79" s="1"/>
  <c r="A37" i="79" s="1"/>
  <c r="A38" i="79" s="1"/>
  <c r="A39" i="79" s="1"/>
  <c r="A40" i="79" s="1"/>
  <c r="A41" i="79" s="1"/>
  <c r="A42" i="79" s="1"/>
  <c r="A43" i="79" s="1"/>
  <c r="A44" i="79" s="1"/>
  <c r="A45" i="79" s="1"/>
  <c r="A46" i="79" s="1"/>
  <c r="A47" i="79" s="1"/>
  <c r="A48" i="79" s="1"/>
  <c r="A49" i="79" s="1"/>
  <c r="A50" i="79" s="1"/>
  <c r="A51" i="79" s="1"/>
  <c r="A52" i="79" s="1"/>
  <c r="A53" i="79" s="1"/>
  <c r="A54" i="79" s="1"/>
  <c r="A55" i="79" s="1"/>
  <c r="A56" i="79" s="1"/>
  <c r="A57" i="79" s="1"/>
  <c r="B30" i="79"/>
  <c r="C30" i="79"/>
  <c r="D30" i="79"/>
  <c r="B31" i="79"/>
  <c r="C31" i="79"/>
  <c r="D31" i="79"/>
  <c r="B32" i="79"/>
  <c r="C32" i="79"/>
  <c r="D32" i="79"/>
  <c r="B33" i="79"/>
  <c r="C33" i="79"/>
  <c r="D33" i="79"/>
  <c r="B34" i="79"/>
  <c r="C34" i="79"/>
  <c r="D34" i="79"/>
  <c r="B35" i="79"/>
  <c r="C35" i="79"/>
  <c r="D35" i="79"/>
  <c r="B36" i="79"/>
  <c r="C36" i="79"/>
  <c r="D36" i="79"/>
  <c r="B37" i="79"/>
  <c r="C37" i="79"/>
  <c r="D37" i="79"/>
  <c r="B38" i="79"/>
  <c r="C38" i="79"/>
  <c r="D38" i="79"/>
  <c r="B39" i="79"/>
  <c r="C39" i="79"/>
  <c r="D39" i="79"/>
  <c r="B40" i="79"/>
  <c r="C40" i="79"/>
  <c r="D40" i="79"/>
  <c r="B41" i="79"/>
  <c r="C41" i="79"/>
  <c r="D41" i="79"/>
  <c r="B42" i="79"/>
  <c r="C42" i="79"/>
  <c r="D42" i="79"/>
  <c r="B43" i="79"/>
  <c r="Z25" i="53" s="1"/>
  <c r="C43" i="79"/>
  <c r="D43" i="79"/>
  <c r="B44" i="79"/>
  <c r="Z26" i="53" s="1"/>
  <c r="C44" i="79"/>
  <c r="D44" i="79"/>
  <c r="B45" i="79"/>
  <c r="Z27" i="53" s="1"/>
  <c r="C45" i="79"/>
  <c r="D45" i="79"/>
  <c r="B46" i="79"/>
  <c r="Z28" i="53" s="1"/>
  <c r="C46" i="79"/>
  <c r="D46" i="79"/>
  <c r="B47" i="79"/>
  <c r="Z29" i="53" s="1"/>
  <c r="C47" i="79"/>
  <c r="D47" i="79"/>
  <c r="B48" i="79"/>
  <c r="Z30" i="53" s="1"/>
  <c r="C48" i="79"/>
  <c r="D48" i="79"/>
  <c r="B49" i="79"/>
  <c r="Z31" i="53" s="1"/>
  <c r="C49" i="79"/>
  <c r="D49" i="79"/>
  <c r="B50" i="79"/>
  <c r="Z32" i="53" s="1"/>
  <c r="C50" i="79"/>
  <c r="D50" i="79"/>
  <c r="B51" i="79"/>
  <c r="Z33" i="53" s="1"/>
  <c r="C51" i="79"/>
  <c r="D51" i="79"/>
  <c r="B52" i="79"/>
  <c r="Z34" i="53" s="1"/>
  <c r="C52" i="79"/>
  <c r="D52" i="79"/>
  <c r="B53" i="79"/>
  <c r="Z35" i="53" s="1"/>
  <c r="C53" i="79"/>
  <c r="D53" i="79"/>
  <c r="B54" i="79"/>
  <c r="Z36" i="53" s="1"/>
  <c r="C54" i="79"/>
  <c r="D54" i="79"/>
  <c r="B55" i="79"/>
  <c r="Z37" i="53" s="1"/>
  <c r="C55" i="79"/>
  <c r="D55" i="79"/>
  <c r="B56" i="79"/>
  <c r="Z38" i="53" s="1"/>
  <c r="C56" i="79"/>
  <c r="B57" i="79"/>
  <c r="Z39" i="53" s="1"/>
  <c r="C57" i="79"/>
  <c r="A5" i="123"/>
  <c r="A6" i="123" s="1"/>
  <c r="A7" i="123" s="1"/>
  <c r="A8" i="123" s="1"/>
  <c r="F14" i="316" l="1"/>
  <c r="F12" i="316"/>
  <c r="B81" i="310"/>
  <c r="B34" i="346"/>
  <c r="H30" i="39"/>
  <c r="B66" i="310"/>
  <c r="B29" i="346"/>
  <c r="B26" i="344"/>
  <c r="B29" i="344"/>
  <c r="B34" i="344"/>
  <c r="B34" i="308"/>
  <c r="G16" i="316"/>
  <c r="F16" i="316"/>
  <c r="F17" i="316" s="1"/>
  <c r="B6" i="310"/>
  <c r="B21" i="310"/>
  <c r="B31" i="308"/>
  <c r="B31" i="346"/>
  <c r="B26" i="346"/>
  <c r="B15" i="346"/>
  <c r="B20" i="346"/>
  <c r="D14" i="313"/>
  <c r="F15" i="313"/>
  <c r="P6" i="284"/>
  <c r="P6" i="4"/>
  <c r="P4" i="284"/>
  <c r="P4" i="4"/>
  <c r="D20" i="1"/>
  <c r="AE3" i="47"/>
  <c r="J13" i="133"/>
  <c r="K12" i="133"/>
  <c r="B12" i="133" s="1"/>
  <c r="G12" i="133" s="1"/>
  <c r="B71" i="133"/>
  <c r="G71" i="133" s="1"/>
  <c r="L72" i="133"/>
  <c r="B72" i="133" s="1"/>
  <c r="D57" i="79"/>
  <c r="D56" i="79"/>
  <c r="AH41" i="172"/>
  <c r="AP42" i="173"/>
  <c r="AH40" i="172"/>
  <c r="AP41" i="173"/>
  <c r="AH39" i="172"/>
  <c r="AP40" i="173"/>
  <c r="AH38" i="172"/>
  <c r="AP39" i="173"/>
  <c r="AH37" i="172"/>
  <c r="AP38" i="173"/>
  <c r="AH36" i="172"/>
  <c r="AP37" i="173"/>
  <c r="AH35" i="172"/>
  <c r="AP36" i="173"/>
  <c r="AH34" i="172"/>
  <c r="AP35" i="173"/>
  <c r="AH33" i="172"/>
  <c r="AP34" i="173"/>
  <c r="AH32" i="172"/>
  <c r="AP33" i="173"/>
  <c r="AH31" i="172"/>
  <c r="AP32" i="173"/>
  <c r="AH30" i="172"/>
  <c r="AP31" i="173"/>
  <c r="AH29" i="172"/>
  <c r="AP30" i="173"/>
  <c r="AH28" i="172"/>
  <c r="AP29" i="173"/>
  <c r="AH27" i="172"/>
  <c r="AP28" i="173"/>
  <c r="AH26" i="172"/>
  <c r="AP27" i="173"/>
  <c r="AC25" i="185"/>
  <c r="AH25" i="172"/>
  <c r="AP26" i="173"/>
  <c r="AC24" i="185"/>
  <c r="AK25" i="47"/>
  <c r="AH24" i="172"/>
  <c r="AP25" i="173"/>
  <c r="AC23" i="185"/>
  <c r="AK24" i="47"/>
  <c r="AH23" i="172"/>
  <c r="AP24" i="173"/>
  <c r="AC22" i="185"/>
  <c r="AK23" i="47"/>
  <c r="AH22" i="172"/>
  <c r="AP23" i="173"/>
  <c r="AC21" i="185"/>
  <c r="AK22" i="47"/>
  <c r="AH21" i="172"/>
  <c r="AP22" i="173"/>
  <c r="AC20" i="185"/>
  <c r="AK21" i="47"/>
  <c r="AH20" i="172"/>
  <c r="AP21" i="173"/>
  <c r="AC19" i="185"/>
  <c r="AK20" i="47"/>
  <c r="AH19" i="172"/>
  <c r="AP20" i="173"/>
  <c r="AC18" i="185"/>
  <c r="AK19" i="47"/>
  <c r="AH18" i="172"/>
  <c r="AP19" i="173"/>
  <c r="AC17" i="185"/>
  <c r="AK18" i="47"/>
  <c r="AH17" i="172"/>
  <c r="AP18" i="173"/>
  <c r="AC16" i="185"/>
  <c r="AK17" i="47"/>
  <c r="AH16" i="172"/>
  <c r="AP17" i="173"/>
  <c r="AC15" i="185"/>
  <c r="AK16" i="47"/>
  <c r="AH15" i="172"/>
  <c r="AP16" i="173"/>
  <c r="AC14" i="185"/>
  <c r="AK15" i="47"/>
  <c r="AH14" i="172"/>
  <c r="AP15" i="173"/>
  <c r="AC13" i="185"/>
  <c r="AK14" i="47"/>
  <c r="AH13" i="172"/>
  <c r="AP14" i="173"/>
  <c r="AC12" i="185"/>
  <c r="AK13" i="47"/>
  <c r="AH12" i="172"/>
  <c r="AP13" i="173"/>
  <c r="AC11" i="185"/>
  <c r="AK12" i="47"/>
  <c r="G65" i="133"/>
  <c r="G64" i="133"/>
  <c r="G63" i="133"/>
  <c r="G62" i="133"/>
  <c r="G61" i="133"/>
  <c r="G60" i="133"/>
  <c r="G59" i="133"/>
  <c r="G58" i="133"/>
  <c r="G57" i="133"/>
  <c r="G56" i="133"/>
  <c r="G55" i="133"/>
  <c r="G54" i="133"/>
  <c r="G53" i="133"/>
  <c r="G52" i="133"/>
  <c r="G51" i="133"/>
  <c r="G50" i="133"/>
  <c r="B3" i="53"/>
  <c r="B3" i="172"/>
  <c r="B3" i="173"/>
  <c r="B3" i="2"/>
  <c r="B3" i="5"/>
  <c r="B3" i="288"/>
  <c r="F12" i="287" s="1"/>
  <c r="B3" i="185"/>
  <c r="B3" i="295"/>
  <c r="B3" i="52"/>
  <c r="B3" i="296"/>
  <c r="E11" i="285" s="1"/>
  <c r="B3" i="287"/>
  <c r="B19" i="286" s="1"/>
  <c r="B3" i="286"/>
  <c r="B3" i="285"/>
  <c r="F9" i="287" s="1"/>
  <c r="B3" i="293"/>
  <c r="F12" i="291" s="1"/>
  <c r="B3" i="294"/>
  <c r="B3" i="292"/>
  <c r="B3" i="289"/>
  <c r="B3" i="284"/>
  <c r="B3" i="290"/>
  <c r="B3" i="41"/>
  <c r="B3" i="156"/>
  <c r="B3" i="291"/>
  <c r="B17" i="290" s="1"/>
  <c r="B3" i="329"/>
  <c r="B3" i="39"/>
  <c r="B3" i="310"/>
  <c r="B3" i="346"/>
  <c r="F15" i="305" s="1"/>
  <c r="B3" i="327"/>
  <c r="B3" i="311"/>
  <c r="B3" i="325"/>
  <c r="B3" i="317"/>
  <c r="B3" i="345"/>
  <c r="B3" i="344"/>
  <c r="F14" i="305" s="1"/>
  <c r="B3" i="328"/>
  <c r="B3" i="339"/>
  <c r="B85" i="345" s="1"/>
  <c r="B3" i="335"/>
  <c r="B85" i="343" s="1"/>
  <c r="B3" i="347"/>
  <c r="B3" i="306"/>
  <c r="B3" i="305"/>
  <c r="B3" i="313"/>
  <c r="F32" i="316" s="1"/>
  <c r="J32" i="316" s="1"/>
  <c r="N32" i="316" s="1"/>
  <c r="R32" i="316" s="1"/>
  <c r="V32" i="316" s="1"/>
  <c r="Y32" i="316" s="1"/>
  <c r="AD32" i="316" s="1"/>
  <c r="B3" i="343"/>
  <c r="B59" i="344" s="1"/>
  <c r="B3" i="308"/>
  <c r="F13" i="305" s="1"/>
  <c r="B3" i="266"/>
  <c r="B229" i="73" s="1"/>
  <c r="B3" i="73"/>
  <c r="B3" i="4"/>
  <c r="E10" i="266"/>
  <c r="H10" i="266" s="1"/>
  <c r="E11" i="266"/>
  <c r="H11" i="266" s="1"/>
  <c r="F17" i="266" s="1"/>
  <c r="E12" i="266"/>
  <c r="E9" i="266"/>
  <c r="D25" i="10"/>
  <c r="D27" i="10" s="1"/>
  <c r="D32" i="10"/>
  <c r="B33" i="295"/>
  <c r="B74" i="295" s="1"/>
  <c r="B33" i="52"/>
  <c r="B33" i="285"/>
  <c r="B74" i="285" s="1"/>
  <c r="B31" i="289"/>
  <c r="B70" i="289" s="1"/>
  <c r="K10" i="256"/>
  <c r="AC22" i="249"/>
  <c r="AC14" i="249"/>
  <c r="AC12" i="250"/>
  <c r="Z24" i="53"/>
  <c r="AA24" i="288"/>
  <c r="AA24" i="296"/>
  <c r="AA24" i="292"/>
  <c r="AA24" i="293"/>
  <c r="Y24" i="41"/>
  <c r="Z23" i="53"/>
  <c r="AA23" i="288"/>
  <c r="AA23" i="296"/>
  <c r="AA23" i="293"/>
  <c r="AA23" i="292"/>
  <c r="Y23" i="41"/>
  <c r="AA23" i="250"/>
  <c r="AA23" i="256"/>
  <c r="AA23" i="249"/>
  <c r="AA23" i="257"/>
  <c r="AA23" i="12"/>
  <c r="M23" i="13" s="1"/>
  <c r="Z22" i="53"/>
  <c r="AA22" i="288"/>
  <c r="AA22" i="296"/>
  <c r="AA22" i="293"/>
  <c r="AA22" i="292"/>
  <c r="Y22" i="41"/>
  <c r="AA22" i="256"/>
  <c r="AA22" i="257"/>
  <c r="AA22" i="12"/>
  <c r="M22" i="13" s="1"/>
  <c r="AA22" i="250"/>
  <c r="AA22" i="249"/>
  <c r="Z21" i="53"/>
  <c r="AA21" i="288"/>
  <c r="AA21" i="296"/>
  <c r="AA21" i="293"/>
  <c r="Y21" i="41"/>
  <c r="AA21" i="292"/>
  <c r="AA21" i="249"/>
  <c r="AA21" i="257"/>
  <c r="AA21" i="250"/>
  <c r="AA21" i="256"/>
  <c r="AA21" i="12"/>
  <c r="M21" i="13" s="1"/>
  <c r="Z20" i="53"/>
  <c r="AA20" i="288"/>
  <c r="AA20" i="296"/>
  <c r="AA20" i="292"/>
  <c r="AA20" i="293"/>
  <c r="Y20" i="41"/>
  <c r="AA20" i="250"/>
  <c r="AA20" i="249"/>
  <c r="AA20" i="256"/>
  <c r="AA20" i="257"/>
  <c r="AA20" i="12"/>
  <c r="M20" i="13" s="1"/>
  <c r="Z19" i="53"/>
  <c r="AA19" i="288"/>
  <c r="AA19" i="296"/>
  <c r="AA19" i="293"/>
  <c r="AA19" i="292"/>
  <c r="Y19" i="41"/>
  <c r="AA19" i="250"/>
  <c r="AA19" i="256"/>
  <c r="AA19" i="249"/>
  <c r="AA19" i="257"/>
  <c r="AA19" i="12"/>
  <c r="M19" i="13" s="1"/>
  <c r="Z18" i="53"/>
  <c r="AA18" i="288"/>
  <c r="AA18" i="296"/>
  <c r="AA18" i="293"/>
  <c r="AA18" i="292"/>
  <c r="Y18" i="41"/>
  <c r="AA18" i="256"/>
  <c r="AA18" i="257"/>
  <c r="AA18" i="12"/>
  <c r="M18" i="13" s="1"/>
  <c r="AA18" i="250"/>
  <c r="AA18" i="249"/>
  <c r="Z17" i="53"/>
  <c r="AA17" i="288"/>
  <c r="AA17" i="296"/>
  <c r="AA17" i="293"/>
  <c r="Y17" i="41"/>
  <c r="AA17" i="292"/>
  <c r="AA17" i="249"/>
  <c r="AA17" i="257"/>
  <c r="AA17" i="250"/>
  <c r="AA17" i="256"/>
  <c r="AA17" i="12"/>
  <c r="M17" i="13" s="1"/>
  <c r="Z16" i="53"/>
  <c r="AA16" i="288"/>
  <c r="AA16" i="296"/>
  <c r="AA16" i="293"/>
  <c r="AA16" i="292"/>
  <c r="Y16" i="41"/>
  <c r="AA16" i="250"/>
  <c r="AA16" i="249"/>
  <c r="AA16" i="256"/>
  <c r="AA16" i="257"/>
  <c r="AA16" i="12"/>
  <c r="M16" i="13" s="1"/>
  <c r="Z15" i="53"/>
  <c r="AA15" i="288"/>
  <c r="AA15" i="296"/>
  <c r="AA15" i="293"/>
  <c r="AA15" i="292"/>
  <c r="Y15" i="41"/>
  <c r="AA15" i="250"/>
  <c r="AA15" i="256"/>
  <c r="AA15" i="249"/>
  <c r="AA15" i="257"/>
  <c r="AA15" i="12"/>
  <c r="M15" i="13" s="1"/>
  <c r="Z14" i="53"/>
  <c r="AA14" i="288"/>
  <c r="AA14" i="296"/>
  <c r="AA14" i="293"/>
  <c r="AA14" i="292"/>
  <c r="Y14" i="41"/>
  <c r="AA14" i="256"/>
  <c r="AA14" i="257"/>
  <c r="AA14" i="12"/>
  <c r="M14" i="13" s="1"/>
  <c r="AA14" i="250"/>
  <c r="AA14" i="249"/>
  <c r="Z13" i="53"/>
  <c r="AA13" i="288"/>
  <c r="AA13" i="296"/>
  <c r="AA13" i="293"/>
  <c r="Y13" i="41"/>
  <c r="AA13" i="292"/>
  <c r="AA13" i="249"/>
  <c r="AA13" i="257"/>
  <c r="AA13" i="250"/>
  <c r="AA13" i="256"/>
  <c r="AA13" i="12"/>
  <c r="M13" i="13" s="1"/>
  <c r="Z12" i="53"/>
  <c r="AA12" i="288"/>
  <c r="AA12" i="296"/>
  <c r="AA12" i="292"/>
  <c r="AA12" i="293"/>
  <c r="Y12" i="41"/>
  <c r="AA12" i="250"/>
  <c r="AA12" i="249"/>
  <c r="AA12" i="256"/>
  <c r="AA12" i="257"/>
  <c r="AA12" i="12"/>
  <c r="M12" i="13" s="1"/>
  <c r="Z11" i="53"/>
  <c r="AA11" i="288"/>
  <c r="AA11" i="296"/>
  <c r="AA11" i="293"/>
  <c r="AA11" i="292"/>
  <c r="Y11" i="41"/>
  <c r="AA11" i="250"/>
  <c r="AA11" i="256"/>
  <c r="AA11" i="249"/>
  <c r="AA11" i="257"/>
  <c r="AA11" i="12"/>
  <c r="M11" i="13" s="1"/>
  <c r="Z10" i="53"/>
  <c r="AA10" i="288"/>
  <c r="AA10" i="296"/>
  <c r="AA10" i="293"/>
  <c r="AA10" i="292"/>
  <c r="Y10" i="41"/>
  <c r="AA10" i="256"/>
  <c r="AA10" i="257"/>
  <c r="AA10" i="12"/>
  <c r="M10" i="13" s="1"/>
  <c r="AA10" i="250"/>
  <c r="AA10" i="249"/>
  <c r="C160" i="73"/>
  <c r="C186" i="73" s="1"/>
  <c r="V10" i="285"/>
  <c r="V10" i="289"/>
  <c r="J28" i="73"/>
  <c r="F37" i="266"/>
  <c r="C68" i="156" s="1"/>
  <c r="F68" i="156" s="1"/>
  <c r="D14" i="264"/>
  <c r="D17" i="264" s="1"/>
  <c r="D24" i="264" s="1"/>
  <c r="D27" i="264" s="1"/>
  <c r="E22" i="264" s="1"/>
  <c r="E27" i="264" s="1"/>
  <c r="F22" i="264" s="1"/>
  <c r="F27" i="264" s="1"/>
  <c r="H22" i="264" s="1"/>
  <c r="H27" i="264" s="1"/>
  <c r="I22" i="264" s="1"/>
  <c r="I27" i="264" s="1"/>
  <c r="J22" i="264" s="1"/>
  <c r="J27" i="264" s="1"/>
  <c r="K22" i="264" s="1"/>
  <c r="K27" i="264" s="1"/>
  <c r="G18" i="10"/>
  <c r="G20" i="10" s="1"/>
  <c r="D42" i="8"/>
  <c r="E31" i="8"/>
  <c r="E51" i="8"/>
  <c r="E53" i="8" s="1"/>
  <c r="AC23" i="12"/>
  <c r="AC22" i="12"/>
  <c r="AC21" i="12"/>
  <c r="AC16" i="12"/>
  <c r="AC15" i="12"/>
  <c r="AC14" i="12"/>
  <c r="AC13" i="12"/>
  <c r="AC22" i="256"/>
  <c r="D35" i="8"/>
  <c r="D17" i="8"/>
  <c r="D50" i="8"/>
  <c r="V43" i="57"/>
  <c r="V44" i="57"/>
  <c r="V45" i="57"/>
  <c r="V46" i="57"/>
  <c r="V47" i="57"/>
  <c r="V48" i="57"/>
  <c r="AC18" i="256"/>
  <c r="AC18" i="249"/>
  <c r="AC20" i="250"/>
  <c r="I40" i="13"/>
  <c r="I41" i="13"/>
  <c r="I42" i="13"/>
  <c r="I43" i="13"/>
  <c r="I44" i="13"/>
  <c r="I45" i="13"/>
  <c r="J11" i="13"/>
  <c r="B36" i="156"/>
  <c r="B51" i="156" s="1"/>
  <c r="B66" i="156" s="1"/>
  <c r="D7" i="73" a="1"/>
  <c r="E25" i="10"/>
  <c r="E27" i="10" s="1"/>
  <c r="E32" i="10"/>
  <c r="G31" i="8"/>
  <c r="G17" i="8"/>
  <c r="AF43" i="57"/>
  <c r="AF44" i="57"/>
  <c r="AF45" i="57"/>
  <c r="AF46" i="57"/>
  <c r="AF47" i="57"/>
  <c r="AF48" i="57"/>
  <c r="O28" i="289"/>
  <c r="K28" i="289" s="1"/>
  <c r="K67" i="289" s="1"/>
  <c r="F10" i="290"/>
  <c r="E13" i="268"/>
  <c r="E16" i="268" s="1"/>
  <c r="O20" i="289" s="1"/>
  <c r="AC20" i="12"/>
  <c r="AC19" i="12"/>
  <c r="AC18" i="12"/>
  <c r="AC17" i="12"/>
  <c r="AC12" i="12"/>
  <c r="AC11" i="12"/>
  <c r="AC20" i="257"/>
  <c r="AC16" i="257"/>
  <c r="AC12" i="257"/>
  <c r="AC14" i="256"/>
  <c r="AC16" i="250"/>
  <c r="T14" i="285"/>
  <c r="T14" i="289"/>
  <c r="Y45" i="47"/>
  <c r="T45" i="47"/>
  <c r="O45" i="47"/>
  <c r="P25" i="172"/>
  <c r="U25" i="172"/>
  <c r="Q25" i="172"/>
  <c r="V25" i="172"/>
  <c r="S25" i="172"/>
  <c r="W25" i="172"/>
  <c r="O25" i="172"/>
  <c r="T25" i="172"/>
  <c r="O24" i="172"/>
  <c r="T24" i="172"/>
  <c r="Q24" i="172"/>
  <c r="V24" i="172"/>
  <c r="U24" i="172"/>
  <c r="W24" i="172"/>
  <c r="P24" i="172"/>
  <c r="S24" i="172"/>
  <c r="O23" i="172"/>
  <c r="T23" i="172"/>
  <c r="Q23" i="172"/>
  <c r="V23" i="172"/>
  <c r="S23" i="172"/>
  <c r="W23" i="172"/>
  <c r="U23" i="172"/>
  <c r="P23" i="172"/>
  <c r="O22" i="172"/>
  <c r="T22" i="172"/>
  <c r="P22" i="172"/>
  <c r="Q22" i="172"/>
  <c r="V22" i="172"/>
  <c r="S22" i="172"/>
  <c r="W22" i="172"/>
  <c r="U22" i="172"/>
  <c r="O21" i="172"/>
  <c r="T21" i="172"/>
  <c r="P21" i="172"/>
  <c r="U21" i="172"/>
  <c r="Q21" i="172"/>
  <c r="V21" i="172"/>
  <c r="S21" i="172"/>
  <c r="W21" i="172"/>
  <c r="O20" i="172"/>
  <c r="T20" i="172"/>
  <c r="P20" i="172"/>
  <c r="U20" i="172"/>
  <c r="Q20" i="172"/>
  <c r="V20" i="172"/>
  <c r="S20" i="172"/>
  <c r="W20" i="172"/>
  <c r="O19" i="172"/>
  <c r="T19" i="172"/>
  <c r="P19" i="172"/>
  <c r="U19" i="172"/>
  <c r="Q19" i="172"/>
  <c r="V19" i="172"/>
  <c r="S19" i="172"/>
  <c r="W19" i="172"/>
  <c r="O18" i="172"/>
  <c r="T18" i="172"/>
  <c r="P18" i="172"/>
  <c r="U18" i="172"/>
  <c r="Q18" i="172"/>
  <c r="V18" i="172"/>
  <c r="S18" i="172"/>
  <c r="W18" i="172"/>
  <c r="O17" i="172"/>
  <c r="T17" i="172"/>
  <c r="P17" i="172"/>
  <c r="U17" i="172"/>
  <c r="Q17" i="172"/>
  <c r="V17" i="172"/>
  <c r="S17" i="172"/>
  <c r="W17" i="172"/>
  <c r="O16" i="172"/>
  <c r="T16" i="172"/>
  <c r="P16" i="172"/>
  <c r="U16" i="172"/>
  <c r="Q16" i="172"/>
  <c r="V16" i="172"/>
  <c r="S16" i="172"/>
  <c r="W16" i="172"/>
  <c r="O15" i="172"/>
  <c r="T15" i="172"/>
  <c r="P15" i="172"/>
  <c r="U15" i="172"/>
  <c r="Q15" i="172"/>
  <c r="V15" i="172"/>
  <c r="S15" i="172"/>
  <c r="W15" i="172"/>
  <c r="O14" i="172"/>
  <c r="T14" i="172"/>
  <c r="P14" i="172"/>
  <c r="U14" i="172"/>
  <c r="Q14" i="172"/>
  <c r="V14" i="172"/>
  <c r="S14" i="172"/>
  <c r="W14" i="172"/>
  <c r="O13" i="172"/>
  <c r="T13" i="172"/>
  <c r="P13" i="172"/>
  <c r="U13" i="172"/>
  <c r="Q13" i="172"/>
  <c r="V13" i="172"/>
  <c r="S13" i="172"/>
  <c r="W13" i="172"/>
  <c r="O12" i="172"/>
  <c r="T12" i="172"/>
  <c r="P12" i="172"/>
  <c r="U12" i="172"/>
  <c r="Q12" i="172"/>
  <c r="V12" i="172"/>
  <c r="S12" i="172"/>
  <c r="W12" i="172"/>
  <c r="C46" i="172"/>
  <c r="C43" i="172"/>
  <c r="C47" i="172"/>
  <c r="C44" i="172"/>
  <c r="C45" i="172"/>
  <c r="C48" i="172"/>
  <c r="O34" i="267"/>
  <c r="Q33" i="267"/>
  <c r="Q34" i="295"/>
  <c r="Q34" i="52"/>
  <c r="Q34" i="285"/>
  <c r="Q32" i="289"/>
  <c r="Q31" i="295"/>
  <c r="Q31" i="52"/>
  <c r="Q31" i="285"/>
  <c r="Q29" i="289"/>
  <c r="O31" i="295"/>
  <c r="O31" i="52"/>
  <c r="Q75" i="73" s="1"/>
  <c r="F13" i="286"/>
  <c r="O31" i="285"/>
  <c r="O29" i="289"/>
  <c r="F11" i="290"/>
  <c r="O29" i="295"/>
  <c r="K29" i="295" s="1"/>
  <c r="K70" i="295" s="1"/>
  <c r="O29" i="52"/>
  <c r="F11" i="286"/>
  <c r="O29" i="285"/>
  <c r="K29" i="285" s="1"/>
  <c r="G32" i="277"/>
  <c r="J45" i="12"/>
  <c r="F45" i="12"/>
  <c r="J44" i="12"/>
  <c r="F44" i="12"/>
  <c r="E43" i="12"/>
  <c r="J42" i="12"/>
  <c r="F42" i="12"/>
  <c r="M41" i="12"/>
  <c r="D41" i="12"/>
  <c r="M40" i="12"/>
  <c r="D40" i="12"/>
  <c r="B20" i="12"/>
  <c r="B16" i="12"/>
  <c r="B12" i="12"/>
  <c r="I10" i="12"/>
  <c r="M45" i="257"/>
  <c r="D45" i="257"/>
  <c r="M44" i="257"/>
  <c r="D44" i="257"/>
  <c r="M42" i="257"/>
  <c r="AC22" i="257"/>
  <c r="B22" i="257"/>
  <c r="H20" i="257"/>
  <c r="AC18" i="257"/>
  <c r="B18" i="257"/>
  <c r="H16" i="257"/>
  <c r="AC14" i="257"/>
  <c r="H12" i="257"/>
  <c r="G40" i="257"/>
  <c r="G41" i="257"/>
  <c r="F45" i="256"/>
  <c r="J44" i="256"/>
  <c r="E43" i="256"/>
  <c r="J42" i="256"/>
  <c r="J41" i="256"/>
  <c r="I23" i="256"/>
  <c r="K23" i="256" s="1"/>
  <c r="I19" i="256"/>
  <c r="K19" i="256" s="1"/>
  <c r="I15" i="256"/>
  <c r="K15" i="256" s="1"/>
  <c r="I11" i="256"/>
  <c r="K11" i="256" s="1"/>
  <c r="D43" i="256"/>
  <c r="M44" i="249"/>
  <c r="D44" i="249"/>
  <c r="M42" i="249"/>
  <c r="D42" i="249"/>
  <c r="M41" i="249"/>
  <c r="D41" i="249"/>
  <c r="H22" i="249"/>
  <c r="H18" i="249"/>
  <c r="H14" i="249"/>
  <c r="B12" i="249"/>
  <c r="J43" i="249"/>
  <c r="H10" i="249"/>
  <c r="E42" i="249"/>
  <c r="E44" i="249"/>
  <c r="E45" i="249"/>
  <c r="E40" i="249"/>
  <c r="E41" i="249"/>
  <c r="F44" i="250"/>
  <c r="F42" i="250"/>
  <c r="F41" i="250"/>
  <c r="F40" i="250"/>
  <c r="I21" i="250"/>
  <c r="K21" i="250" s="1"/>
  <c r="I17" i="250"/>
  <c r="K17" i="250" s="1"/>
  <c r="I13" i="250"/>
  <c r="K13" i="250" s="1"/>
  <c r="M43" i="250"/>
  <c r="F43" i="250"/>
  <c r="F45" i="13"/>
  <c r="F44" i="13"/>
  <c r="F43" i="13"/>
  <c r="F42" i="13"/>
  <c r="F41" i="13"/>
  <c r="P175" i="280"/>
  <c r="AF175" i="280" s="1"/>
  <c r="X175" i="280"/>
  <c r="AA175" i="280" s="1"/>
  <c r="U173" i="280"/>
  <c r="U169" i="280"/>
  <c r="X168" i="280"/>
  <c r="AA168" i="280" s="1"/>
  <c r="P168" i="280"/>
  <c r="P116" i="280"/>
  <c r="X116" i="280"/>
  <c r="AA116" i="280" s="1"/>
  <c r="U112" i="280"/>
  <c r="U108" i="280"/>
  <c r="U104" i="280"/>
  <c r="U100" i="280"/>
  <c r="P98" i="280"/>
  <c r="X98" i="280"/>
  <c r="P96" i="280"/>
  <c r="X96" i="280"/>
  <c r="U82" i="280"/>
  <c r="U78" i="280"/>
  <c r="U74" i="280"/>
  <c r="U70" i="280"/>
  <c r="U66" i="280"/>
  <c r="U60" i="280"/>
  <c r="P56" i="280"/>
  <c r="X56" i="280"/>
  <c r="P52" i="280"/>
  <c r="X52" i="280"/>
  <c r="P48" i="280"/>
  <c r="X48" i="280"/>
  <c r="P44" i="280"/>
  <c r="X44" i="280"/>
  <c r="P42" i="280"/>
  <c r="X42" i="280"/>
  <c r="P27" i="280"/>
  <c r="X27" i="280"/>
  <c r="AA27" i="280" s="1"/>
  <c r="P23" i="280"/>
  <c r="AF23" i="280" s="1"/>
  <c r="X23" i="280"/>
  <c r="AA23" i="280" s="1"/>
  <c r="AD21" i="280"/>
  <c r="AE21" i="280"/>
  <c r="AD19" i="280"/>
  <c r="AE19" i="280"/>
  <c r="U17" i="280"/>
  <c r="U15" i="280"/>
  <c r="U31" i="281"/>
  <c r="U28" i="281"/>
  <c r="P18" i="281"/>
  <c r="P22" i="281"/>
  <c r="P17" i="281"/>
  <c r="P20" i="281"/>
  <c r="U11" i="281"/>
  <c r="P19" i="281"/>
  <c r="P21" i="281"/>
  <c r="W23" i="53"/>
  <c r="O23" i="53"/>
  <c r="B23" i="53"/>
  <c r="B25" i="172"/>
  <c r="B26" i="173"/>
  <c r="B23" i="288"/>
  <c r="B23" i="296"/>
  <c r="B23" i="293"/>
  <c r="B23" i="292"/>
  <c r="B23" i="41"/>
  <c r="B23" i="250"/>
  <c r="B23" i="256"/>
  <c r="B23" i="13"/>
  <c r="B23" i="249"/>
  <c r="B23" i="257"/>
  <c r="O22" i="53"/>
  <c r="W22" i="53"/>
  <c r="B22" i="53"/>
  <c r="B24" i="172"/>
  <c r="B25" i="173"/>
  <c r="B22" i="288"/>
  <c r="B22" i="296"/>
  <c r="B22" i="293"/>
  <c r="B22" i="292"/>
  <c r="B22" i="41"/>
  <c r="O21" i="53"/>
  <c r="W21" i="53"/>
  <c r="B21" i="53"/>
  <c r="B23" i="172"/>
  <c r="B24" i="173"/>
  <c r="B21" i="288"/>
  <c r="B21" i="296"/>
  <c r="B21" i="293"/>
  <c r="B21" i="41"/>
  <c r="B21" i="292"/>
  <c r="B21" i="13"/>
  <c r="B21" i="249"/>
  <c r="B21" i="257"/>
  <c r="B21" i="250"/>
  <c r="B21" i="256"/>
  <c r="W20" i="53"/>
  <c r="O20" i="53"/>
  <c r="B20" i="53"/>
  <c r="B22" i="172"/>
  <c r="B23" i="173"/>
  <c r="B20" i="288"/>
  <c r="B20" i="296"/>
  <c r="B20" i="293"/>
  <c r="B20" i="292"/>
  <c r="B20" i="41"/>
  <c r="W19" i="53"/>
  <c r="O19" i="53"/>
  <c r="B19" i="53"/>
  <c r="B21" i="172"/>
  <c r="B22" i="173"/>
  <c r="B19" i="288"/>
  <c r="B19" i="296"/>
  <c r="B19" i="293"/>
  <c r="B19" i="292"/>
  <c r="B19" i="41"/>
  <c r="B19" i="250"/>
  <c r="B19" i="256"/>
  <c r="B19" i="13"/>
  <c r="B19" i="249"/>
  <c r="B19" i="257"/>
  <c r="W18" i="53"/>
  <c r="O18" i="53"/>
  <c r="B18" i="53"/>
  <c r="B20" i="172"/>
  <c r="B21" i="173"/>
  <c r="B18" i="288"/>
  <c r="B18" i="296"/>
  <c r="B18" i="293"/>
  <c r="B18" i="292"/>
  <c r="B18" i="41"/>
  <c r="O17" i="53"/>
  <c r="W17" i="53"/>
  <c r="B17" i="53"/>
  <c r="B19" i="172"/>
  <c r="B20" i="173"/>
  <c r="B17" i="288"/>
  <c r="B17" i="296"/>
  <c r="B17" i="293"/>
  <c r="B17" i="41"/>
  <c r="B17" i="292"/>
  <c r="B17" i="13"/>
  <c r="B17" i="249"/>
  <c r="B17" i="257"/>
  <c r="B17" i="250"/>
  <c r="B17" i="256"/>
  <c r="W16" i="53"/>
  <c r="O16" i="53"/>
  <c r="B16" i="53"/>
  <c r="B18" i="172"/>
  <c r="B19" i="173"/>
  <c r="B16" i="288"/>
  <c r="B16" i="296"/>
  <c r="B16" i="292"/>
  <c r="B16" i="293"/>
  <c r="B16" i="41"/>
  <c r="W15" i="53"/>
  <c r="O15" i="53"/>
  <c r="B15" i="53"/>
  <c r="B17" i="172"/>
  <c r="B18" i="173"/>
  <c r="B15" i="288"/>
  <c r="B15" i="296"/>
  <c r="B15" i="293"/>
  <c r="B15" i="292"/>
  <c r="B15" i="41"/>
  <c r="B15" i="250"/>
  <c r="B15" i="256"/>
  <c r="B15" i="13"/>
  <c r="B15" i="249"/>
  <c r="B15" i="257"/>
  <c r="O14" i="53"/>
  <c r="W14" i="53"/>
  <c r="B14" i="53"/>
  <c r="B16" i="172"/>
  <c r="B17" i="173"/>
  <c r="B14" i="288"/>
  <c r="B14" i="296"/>
  <c r="B14" i="293"/>
  <c r="B14" i="292"/>
  <c r="B14" i="41"/>
  <c r="W13" i="53"/>
  <c r="O13" i="53"/>
  <c r="B13" i="53"/>
  <c r="B15" i="172"/>
  <c r="B16" i="173"/>
  <c r="B13" i="288"/>
  <c r="B13" i="296"/>
  <c r="B13" i="293"/>
  <c r="B13" i="41"/>
  <c r="B13" i="292"/>
  <c r="B13" i="13"/>
  <c r="B13" i="249"/>
  <c r="B13" i="257"/>
  <c r="B13" i="250"/>
  <c r="B13" i="256"/>
  <c r="W12" i="53"/>
  <c r="O12" i="53"/>
  <c r="B12" i="53"/>
  <c r="B14" i="172"/>
  <c r="B15" i="173"/>
  <c r="B12" i="288"/>
  <c r="B12" i="296"/>
  <c r="B12" i="293"/>
  <c r="B12" i="292"/>
  <c r="B12" i="41"/>
  <c r="W11" i="53"/>
  <c r="O11" i="53"/>
  <c r="B11" i="53"/>
  <c r="B13" i="172"/>
  <c r="B14" i="173"/>
  <c r="B11" i="288"/>
  <c r="B11" i="296"/>
  <c r="B11" i="293"/>
  <c r="B11" i="292"/>
  <c r="B11" i="41"/>
  <c r="B11" i="250"/>
  <c r="B11" i="256"/>
  <c r="B11" i="249"/>
  <c r="B11" i="257"/>
  <c r="O10" i="53"/>
  <c r="W10" i="53"/>
  <c r="B10" i="53"/>
  <c r="B12" i="172"/>
  <c r="B13" i="173"/>
  <c r="B10" i="288"/>
  <c r="B10" i="296"/>
  <c r="B10" i="293"/>
  <c r="B10" i="292"/>
  <c r="B10" i="41"/>
  <c r="B10" i="13"/>
  <c r="AA2" i="53"/>
  <c r="AB2" i="288"/>
  <c r="AB2" i="296"/>
  <c r="AB2" i="292"/>
  <c r="AB2" i="293"/>
  <c r="Z2" i="41"/>
  <c r="AB2" i="250"/>
  <c r="AB2" i="256"/>
  <c r="AB2" i="249"/>
  <c r="AB2" i="257"/>
  <c r="D16" i="295" a="1"/>
  <c r="D16" i="52" a="1"/>
  <c r="D16" i="289" a="1"/>
  <c r="B32" i="295"/>
  <c r="B73" i="295" s="1"/>
  <c r="B32" i="52"/>
  <c r="B32" i="285"/>
  <c r="B73" i="285" s="1"/>
  <c r="B30" i="289"/>
  <c r="B69" i="289" s="1"/>
  <c r="O28" i="295"/>
  <c r="K28" i="295" s="1"/>
  <c r="K69" i="295" s="1"/>
  <c r="O28" i="52"/>
  <c r="F10" i="286"/>
  <c r="O28" i="285"/>
  <c r="K28" i="285" s="1"/>
  <c r="K69" i="285" s="1"/>
  <c r="B21" i="12"/>
  <c r="B17" i="12"/>
  <c r="B13" i="12"/>
  <c r="AC21" i="257"/>
  <c r="AC17" i="257"/>
  <c r="AC13" i="257"/>
  <c r="B22" i="256"/>
  <c r="B18" i="256"/>
  <c r="B14" i="256"/>
  <c r="G42" i="256"/>
  <c r="G44" i="256"/>
  <c r="G45" i="256"/>
  <c r="G40" i="256"/>
  <c r="G41" i="256"/>
  <c r="B10" i="256"/>
  <c r="AC23" i="249"/>
  <c r="AC19" i="249"/>
  <c r="AC15" i="249"/>
  <c r="I11" i="249"/>
  <c r="K11" i="249" s="1"/>
  <c r="D43" i="249"/>
  <c r="B20" i="250"/>
  <c r="B16" i="250"/>
  <c r="B12" i="250"/>
  <c r="J43" i="250"/>
  <c r="E40" i="250"/>
  <c r="E41" i="250"/>
  <c r="H10" i="250"/>
  <c r="E42" i="250"/>
  <c r="E44" i="250"/>
  <c r="E45" i="250"/>
  <c r="G40" i="13"/>
  <c r="G41" i="13"/>
  <c r="G42" i="13"/>
  <c r="G43" i="13"/>
  <c r="G44" i="13"/>
  <c r="G45" i="13"/>
  <c r="H54" i="13"/>
  <c r="P176" i="280"/>
  <c r="AF176" i="280" s="1"/>
  <c r="X176" i="280"/>
  <c r="AA176" i="280" s="1"/>
  <c r="U172" i="280"/>
  <c r="P165" i="280"/>
  <c r="AF165" i="280" s="1"/>
  <c r="X165" i="280"/>
  <c r="U163" i="280"/>
  <c r="AE138" i="280"/>
  <c r="AD138" i="280"/>
  <c r="AE137" i="280"/>
  <c r="AD137" i="280"/>
  <c r="AE136" i="280"/>
  <c r="AD136" i="280"/>
  <c r="AE135" i="280"/>
  <c r="AD135" i="280"/>
  <c r="AE134" i="280"/>
  <c r="AD134" i="280"/>
  <c r="AE133" i="280"/>
  <c r="AD133" i="280"/>
  <c r="AE132" i="280"/>
  <c r="AD132" i="280"/>
  <c r="AE131" i="280"/>
  <c r="AD131" i="280"/>
  <c r="AE130" i="280"/>
  <c r="AD130" i="280"/>
  <c r="AE129" i="280"/>
  <c r="AD129" i="280"/>
  <c r="AE128" i="280"/>
  <c r="AD128" i="280"/>
  <c r="AE127" i="280"/>
  <c r="AD127" i="280"/>
  <c r="AE126" i="280"/>
  <c r="AD126" i="280"/>
  <c r="AE125" i="280"/>
  <c r="AD125" i="280"/>
  <c r="AE124" i="280"/>
  <c r="AD124" i="280"/>
  <c r="AE123" i="280"/>
  <c r="AD123" i="280"/>
  <c r="AE122" i="280"/>
  <c r="AD122" i="280"/>
  <c r="AE121" i="280"/>
  <c r="AD121" i="280"/>
  <c r="P117" i="280"/>
  <c r="X117" i="280"/>
  <c r="U115" i="280"/>
  <c r="U111" i="280"/>
  <c r="U107" i="280"/>
  <c r="U103" i="280"/>
  <c r="U98" i="280"/>
  <c r="U96" i="280"/>
  <c r="P57" i="280"/>
  <c r="X57" i="280"/>
  <c r="P53" i="280"/>
  <c r="X53" i="280"/>
  <c r="P49" i="280"/>
  <c r="X49" i="280"/>
  <c r="U44" i="280"/>
  <c r="P28" i="280"/>
  <c r="X28" i="280"/>
  <c r="AA28" i="280" s="1"/>
  <c r="P24" i="280"/>
  <c r="X24" i="280"/>
  <c r="AA24" i="280" s="1"/>
  <c r="U21" i="280"/>
  <c r="U19" i="280"/>
  <c r="AD14" i="280"/>
  <c r="AE14" i="280"/>
  <c r="AF60" i="281"/>
  <c r="N51" i="281"/>
  <c r="N55" i="281"/>
  <c r="N52" i="281"/>
  <c r="P42" i="281"/>
  <c r="X42" i="281"/>
  <c r="N54" i="281"/>
  <c r="N53" i="281"/>
  <c r="N56" i="281"/>
  <c r="U10" i="285"/>
  <c r="U10" i="289"/>
  <c r="E17" i="8"/>
  <c r="Y47" i="47"/>
  <c r="T47" i="47"/>
  <c r="O47" i="47"/>
  <c r="J47" i="47"/>
  <c r="Y43" i="47"/>
  <c r="T43" i="47"/>
  <c r="O43" i="47"/>
  <c r="J43" i="47"/>
  <c r="AI25" i="172"/>
  <c r="AA23" i="53" s="1"/>
  <c r="AQ26" i="173"/>
  <c r="AG25" i="47"/>
  <c r="AI25" i="47" s="1"/>
  <c r="AC25" i="172"/>
  <c r="X25" i="47"/>
  <c r="S25" i="47"/>
  <c r="V23" i="53"/>
  <c r="N23" i="53"/>
  <c r="AI24" i="172"/>
  <c r="AA22" i="53" s="1"/>
  <c r="AQ25" i="173"/>
  <c r="AG24" i="47"/>
  <c r="AI24" i="47" s="1"/>
  <c r="AC24" i="172"/>
  <c r="X24" i="47"/>
  <c r="S24" i="47"/>
  <c r="V22" i="53"/>
  <c r="N22" i="53"/>
  <c r="AI23" i="172"/>
  <c r="AA21" i="53" s="1"/>
  <c r="AQ24" i="173"/>
  <c r="AG23" i="47"/>
  <c r="AI23" i="47" s="1"/>
  <c r="AC23" i="172"/>
  <c r="X23" i="47"/>
  <c r="S23" i="47"/>
  <c r="N21" i="53"/>
  <c r="V21" i="53"/>
  <c r="AI22" i="172"/>
  <c r="AA20" i="53" s="1"/>
  <c r="AQ23" i="173"/>
  <c r="AG22" i="47"/>
  <c r="AI22" i="47" s="1"/>
  <c r="AC22" i="172"/>
  <c r="X22" i="47"/>
  <c r="S22" i="47"/>
  <c r="N20" i="53"/>
  <c r="V20" i="53"/>
  <c r="AI21" i="172"/>
  <c r="AA19" i="53" s="1"/>
  <c r="AQ22" i="173"/>
  <c r="AG21" i="47"/>
  <c r="AI21" i="47" s="1"/>
  <c r="AC21" i="172"/>
  <c r="X21" i="47"/>
  <c r="S21" i="47"/>
  <c r="V19" i="53"/>
  <c r="N19" i="53"/>
  <c r="AI20" i="172"/>
  <c r="AA18" i="53" s="1"/>
  <c r="AQ21" i="173"/>
  <c r="AG20" i="47"/>
  <c r="AI20" i="47" s="1"/>
  <c r="AC20" i="172"/>
  <c r="X20" i="47"/>
  <c r="S20" i="47"/>
  <c r="V18" i="53"/>
  <c r="N18" i="53"/>
  <c r="AI19" i="172"/>
  <c r="AA17" i="53" s="1"/>
  <c r="AQ20" i="173"/>
  <c r="AG19" i="47"/>
  <c r="AI19" i="47" s="1"/>
  <c r="AC19" i="172"/>
  <c r="X19" i="47"/>
  <c r="S19" i="47"/>
  <c r="N17" i="53"/>
  <c r="V17" i="53"/>
  <c r="AI18" i="172"/>
  <c r="AA16" i="53" s="1"/>
  <c r="AQ19" i="173"/>
  <c r="AG18" i="47"/>
  <c r="AI18" i="47" s="1"/>
  <c r="AC18" i="172"/>
  <c r="X18" i="47"/>
  <c r="S18" i="47"/>
  <c r="N16" i="53"/>
  <c r="V16" i="53"/>
  <c r="AI17" i="172"/>
  <c r="AA15" i="53" s="1"/>
  <c r="AQ18" i="173"/>
  <c r="AG17" i="47"/>
  <c r="AI17" i="47" s="1"/>
  <c r="AC17" i="172"/>
  <c r="X17" i="47"/>
  <c r="S17" i="47"/>
  <c r="V15" i="53"/>
  <c r="N15" i="53"/>
  <c r="AI16" i="172"/>
  <c r="AA14" i="53" s="1"/>
  <c r="AQ17" i="173"/>
  <c r="AG16" i="47"/>
  <c r="AI16" i="47" s="1"/>
  <c r="AC16" i="172"/>
  <c r="X16" i="47"/>
  <c r="S16" i="47"/>
  <c r="V14" i="53"/>
  <c r="N14" i="53"/>
  <c r="AI15" i="172"/>
  <c r="AA13" i="53" s="1"/>
  <c r="AQ16" i="173"/>
  <c r="AG15" i="47"/>
  <c r="AI15" i="47" s="1"/>
  <c r="AC15" i="172"/>
  <c r="X15" i="47"/>
  <c r="S15" i="47"/>
  <c r="N13" i="53"/>
  <c r="V13" i="53"/>
  <c r="AI14" i="172"/>
  <c r="AA12" i="53" s="1"/>
  <c r="AQ15" i="173"/>
  <c r="AG14" i="47"/>
  <c r="AI14" i="47" s="1"/>
  <c r="AC14" i="172"/>
  <c r="X14" i="47"/>
  <c r="S14" i="47"/>
  <c r="V12" i="53"/>
  <c r="N12" i="53"/>
  <c r="AI13" i="172"/>
  <c r="AA11" i="53" s="1"/>
  <c r="AQ14" i="173"/>
  <c r="AG13" i="47"/>
  <c r="AI13" i="47" s="1"/>
  <c r="AC13" i="172"/>
  <c r="X13" i="47"/>
  <c r="S13" i="47"/>
  <c r="V11" i="53"/>
  <c r="N11" i="53"/>
  <c r="AI12" i="172"/>
  <c r="AA10" i="53" s="1"/>
  <c r="AQ13" i="173"/>
  <c r="AG12" i="47"/>
  <c r="AI12" i="47" s="1"/>
  <c r="AC12" i="172"/>
  <c r="X12" i="47"/>
  <c r="S12" i="47"/>
  <c r="N10" i="53"/>
  <c r="V10" i="53"/>
  <c r="N8" i="47"/>
  <c r="B21" i="15"/>
  <c r="B19" i="15"/>
  <c r="B17" i="15"/>
  <c r="B15" i="15"/>
  <c r="B13" i="15"/>
  <c r="B11" i="15"/>
  <c r="B9" i="15"/>
  <c r="Q34" i="267"/>
  <c r="M34" i="267"/>
  <c r="P36" i="267" s="1"/>
  <c r="D39" i="285" a="1"/>
  <c r="D37" i="289" a="1"/>
  <c r="D16" i="285" a="1"/>
  <c r="Q32" i="295"/>
  <c r="Q32" i="52"/>
  <c r="Q32" i="285"/>
  <c r="Q30" i="289"/>
  <c r="O33" i="295"/>
  <c r="O33" i="52"/>
  <c r="Q77" i="73" s="1"/>
  <c r="O31" i="289"/>
  <c r="O33" i="285"/>
  <c r="H39" i="277"/>
  <c r="D39" i="277"/>
  <c r="M45" i="12"/>
  <c r="H45" i="12"/>
  <c r="D45" i="12"/>
  <c r="M44" i="12"/>
  <c r="H44" i="12"/>
  <c r="D44" i="12"/>
  <c r="G43" i="12"/>
  <c r="J41" i="12"/>
  <c r="F41" i="12"/>
  <c r="J40" i="12"/>
  <c r="F40" i="12"/>
  <c r="B22" i="12"/>
  <c r="B18" i="12"/>
  <c r="B14" i="12"/>
  <c r="H11" i="12"/>
  <c r="H43" i="12" s="1"/>
  <c r="B10" i="12"/>
  <c r="F45" i="257"/>
  <c r="F44" i="257"/>
  <c r="F42" i="257"/>
  <c r="M41" i="257"/>
  <c r="D41" i="257"/>
  <c r="M40" i="257"/>
  <c r="D40" i="257"/>
  <c r="B20" i="257"/>
  <c r="B16" i="257"/>
  <c r="B12" i="257"/>
  <c r="H10" i="257"/>
  <c r="E40" i="257"/>
  <c r="E41" i="257"/>
  <c r="K21" i="256"/>
  <c r="I20" i="256"/>
  <c r="K20" i="256" s="1"/>
  <c r="K17" i="256"/>
  <c r="I16" i="256"/>
  <c r="K16" i="256" s="1"/>
  <c r="K13" i="256"/>
  <c r="I12" i="256"/>
  <c r="K12" i="256" s="1"/>
  <c r="M43" i="256"/>
  <c r="F43" i="256"/>
  <c r="D45" i="249"/>
  <c r="B22" i="249"/>
  <c r="B18" i="249"/>
  <c r="B14" i="249"/>
  <c r="G40" i="249"/>
  <c r="G41" i="249"/>
  <c r="G42" i="249"/>
  <c r="G44" i="249"/>
  <c r="G45" i="249"/>
  <c r="B10" i="249"/>
  <c r="J44" i="250"/>
  <c r="E43" i="250"/>
  <c r="J42" i="250"/>
  <c r="J41" i="250"/>
  <c r="J40" i="250"/>
  <c r="K23" i="250"/>
  <c r="I22" i="250"/>
  <c r="K22" i="250" s="1"/>
  <c r="K19" i="250"/>
  <c r="I18" i="250"/>
  <c r="K18" i="250" s="1"/>
  <c r="K15" i="250"/>
  <c r="I14" i="250"/>
  <c r="K14" i="250" s="1"/>
  <c r="I11" i="250"/>
  <c r="K11" i="250" s="1"/>
  <c r="D43" i="250"/>
  <c r="I10" i="250"/>
  <c r="B20" i="13"/>
  <c r="B16" i="13"/>
  <c r="E40" i="13"/>
  <c r="E41" i="13"/>
  <c r="E42" i="13"/>
  <c r="E43" i="13"/>
  <c r="E44" i="13"/>
  <c r="E45" i="13"/>
  <c r="J17" i="14"/>
  <c r="I19" i="14"/>
  <c r="I18" i="14"/>
  <c r="J16" i="14"/>
  <c r="J15" i="14"/>
  <c r="I17" i="14"/>
  <c r="I16" i="14"/>
  <c r="J14" i="14"/>
  <c r="J13" i="14"/>
  <c r="I15" i="14"/>
  <c r="I14" i="14"/>
  <c r="J12" i="14"/>
  <c r="J11" i="14"/>
  <c r="I13" i="14"/>
  <c r="I12" i="14"/>
  <c r="J10" i="14"/>
  <c r="P178" i="280"/>
  <c r="X178" i="280"/>
  <c r="AA178" i="280" s="1"/>
  <c r="U175" i="280"/>
  <c r="P162" i="280"/>
  <c r="U162" i="280" s="1"/>
  <c r="X162" i="280"/>
  <c r="P156" i="280"/>
  <c r="X156" i="280"/>
  <c r="P154" i="280"/>
  <c r="X154" i="280"/>
  <c r="N183" i="280"/>
  <c r="N184" i="280"/>
  <c r="AE142" i="280"/>
  <c r="AD142" i="280"/>
  <c r="AE140" i="280"/>
  <c r="AD140" i="280"/>
  <c r="P118" i="280"/>
  <c r="AF118" i="280" s="1"/>
  <c r="X118" i="280"/>
  <c r="AA118" i="280" s="1"/>
  <c r="P62" i="280"/>
  <c r="AF62" i="280" s="1"/>
  <c r="X62" i="280"/>
  <c r="AA62" i="280" s="1"/>
  <c r="P58" i="280"/>
  <c r="U58" i="280" s="1"/>
  <c r="X58" i="280"/>
  <c r="U56" i="280"/>
  <c r="P54" i="280"/>
  <c r="U54" i="280" s="1"/>
  <c r="X54" i="280"/>
  <c r="U52" i="280"/>
  <c r="P50" i="280"/>
  <c r="U50" i="280" s="1"/>
  <c r="X50" i="280"/>
  <c r="U48" i="280"/>
  <c r="P45" i="280"/>
  <c r="U45" i="280" s="1"/>
  <c r="X45" i="280"/>
  <c r="U42" i="280"/>
  <c r="N86" i="280"/>
  <c r="N90" i="280"/>
  <c r="N89" i="280"/>
  <c r="P40" i="280"/>
  <c r="U40" i="280" s="1"/>
  <c r="X40" i="280"/>
  <c r="N88" i="280"/>
  <c r="N87" i="280"/>
  <c r="N91" i="280"/>
  <c r="P29" i="280"/>
  <c r="AF29" i="280" s="1"/>
  <c r="X29" i="280"/>
  <c r="AA29" i="280" s="1"/>
  <c r="U27" i="280"/>
  <c r="P25" i="280"/>
  <c r="AF25" i="280" s="1"/>
  <c r="X25" i="280"/>
  <c r="AA25" i="280" s="1"/>
  <c r="U23" i="280"/>
  <c r="AD18" i="280"/>
  <c r="AE18" i="280"/>
  <c r="AD16" i="280"/>
  <c r="AE16" i="280"/>
  <c r="U14" i="281"/>
  <c r="T10" i="285"/>
  <c r="T10" i="289"/>
  <c r="H27" i="73"/>
  <c r="E39" i="266"/>
  <c r="C40" i="156" s="1"/>
  <c r="F40" i="156" s="1"/>
  <c r="E37" i="266"/>
  <c r="C38" i="156" s="1"/>
  <c r="F38" i="156" s="1"/>
  <c r="J44" i="266"/>
  <c r="J42" i="266"/>
  <c r="J40" i="266"/>
  <c r="J38" i="266"/>
  <c r="J36" i="266"/>
  <c r="D9" i="10"/>
  <c r="D8" i="8" s="1"/>
  <c r="L8" i="8" s="1"/>
  <c r="J46" i="47"/>
  <c r="C45" i="47"/>
  <c r="I43" i="47"/>
  <c r="AF25" i="47"/>
  <c r="AD25" i="172"/>
  <c r="AF25" i="172" s="1"/>
  <c r="W25" i="47"/>
  <c r="R25" i="47"/>
  <c r="M23" i="53"/>
  <c r="U23" i="53"/>
  <c r="AF24" i="47"/>
  <c r="AD24" i="172"/>
  <c r="AF24" i="172" s="1"/>
  <c r="W24" i="47"/>
  <c r="R24" i="47"/>
  <c r="U22" i="53"/>
  <c r="M22" i="53"/>
  <c r="AF23" i="47"/>
  <c r="AD23" i="172"/>
  <c r="AF23" i="172" s="1"/>
  <c r="W23" i="47"/>
  <c r="R23" i="47"/>
  <c r="U21" i="53"/>
  <c r="M21" i="53"/>
  <c r="AF22" i="47"/>
  <c r="AD22" i="172"/>
  <c r="AF22" i="172" s="1"/>
  <c r="W22" i="47"/>
  <c r="R22" i="47"/>
  <c r="M20" i="53"/>
  <c r="U20" i="53"/>
  <c r="AF21" i="47"/>
  <c r="AD21" i="172"/>
  <c r="AF21" i="172" s="1"/>
  <c r="W21" i="47"/>
  <c r="R21" i="47"/>
  <c r="M19" i="53"/>
  <c r="U19" i="53"/>
  <c r="AF20" i="47"/>
  <c r="AD20" i="172"/>
  <c r="AF20" i="172" s="1"/>
  <c r="W20" i="47"/>
  <c r="R20" i="47"/>
  <c r="U18" i="53"/>
  <c r="M18" i="53"/>
  <c r="AF19" i="47"/>
  <c r="AD19" i="172"/>
  <c r="AF19" i="172" s="1"/>
  <c r="W19" i="47"/>
  <c r="R19" i="47"/>
  <c r="U17" i="53"/>
  <c r="M17" i="53"/>
  <c r="AF18" i="47"/>
  <c r="AD18" i="172"/>
  <c r="AF18" i="172" s="1"/>
  <c r="W18" i="47"/>
  <c r="R18" i="47"/>
  <c r="M16" i="53"/>
  <c r="U16" i="53"/>
  <c r="AF17" i="47"/>
  <c r="AD17" i="172"/>
  <c r="AF17" i="172" s="1"/>
  <c r="W17" i="47"/>
  <c r="R17" i="47"/>
  <c r="M15" i="53"/>
  <c r="U15" i="53"/>
  <c r="AF16" i="47"/>
  <c r="AD16" i="172"/>
  <c r="AF16" i="172" s="1"/>
  <c r="W16" i="47"/>
  <c r="R16" i="47"/>
  <c r="U14" i="53"/>
  <c r="M14" i="53"/>
  <c r="AF15" i="47"/>
  <c r="AD15" i="172"/>
  <c r="AF15" i="172" s="1"/>
  <c r="W15" i="47"/>
  <c r="R15" i="47"/>
  <c r="M13" i="53"/>
  <c r="U13" i="53"/>
  <c r="AF14" i="47"/>
  <c r="AD14" i="172"/>
  <c r="AF14" i="172" s="1"/>
  <c r="W14" i="47"/>
  <c r="R14" i="47"/>
  <c r="M12" i="53"/>
  <c r="U12" i="53"/>
  <c r="AF13" i="47"/>
  <c r="AD13" i="172"/>
  <c r="AF13" i="172" s="1"/>
  <c r="W13" i="47"/>
  <c r="R13" i="47"/>
  <c r="M11" i="53"/>
  <c r="U11" i="53"/>
  <c r="AF12" i="47"/>
  <c r="AD12" i="172"/>
  <c r="AF12" i="172" s="1"/>
  <c r="W12" i="47"/>
  <c r="R12" i="47"/>
  <c r="U10" i="53"/>
  <c r="M10" i="53"/>
  <c r="AJ48" i="57"/>
  <c r="AE48" i="57"/>
  <c r="Y48" i="57"/>
  <c r="U48" i="57"/>
  <c r="O48" i="57"/>
  <c r="Y47" i="57"/>
  <c r="U47" i="57"/>
  <c r="O47" i="57"/>
  <c r="AJ46" i="57"/>
  <c r="AE46" i="57"/>
  <c r="O46" i="57"/>
  <c r="AJ45" i="57"/>
  <c r="AE45" i="57"/>
  <c r="Y45" i="57"/>
  <c r="U45" i="57"/>
  <c r="AJ44" i="57"/>
  <c r="AE44" i="57"/>
  <c r="Y44" i="57"/>
  <c r="U44" i="57"/>
  <c r="O44" i="57"/>
  <c r="Q33" i="295"/>
  <c r="Q33" i="52"/>
  <c r="Q33" i="285"/>
  <c r="Q31" i="289"/>
  <c r="B31" i="295"/>
  <c r="B72" i="295" s="1"/>
  <c r="B31" i="52"/>
  <c r="B31" i="285"/>
  <c r="B72" i="285" s="1"/>
  <c r="B29" i="289"/>
  <c r="B68" i="289" s="1"/>
  <c r="E16" i="267"/>
  <c r="E20" i="267" s="1"/>
  <c r="O34" i="295"/>
  <c r="O34" i="52"/>
  <c r="Q78" i="73" s="1"/>
  <c r="O34" i="285"/>
  <c r="O32" i="289"/>
  <c r="O32" i="295"/>
  <c r="O32" i="52"/>
  <c r="Q76" i="73" s="1"/>
  <c r="O32" i="285"/>
  <c r="O30" i="289"/>
  <c r="O30" i="295"/>
  <c r="K30" i="295" s="1"/>
  <c r="K71" i="295" s="1"/>
  <c r="O30" i="52"/>
  <c r="F12" i="286"/>
  <c r="O30" i="285"/>
  <c r="K30" i="285" s="1"/>
  <c r="K71" i="285" s="1"/>
  <c r="H32" i="277"/>
  <c r="D32" i="277"/>
  <c r="G45" i="12"/>
  <c r="G44" i="12"/>
  <c r="F43" i="12"/>
  <c r="G42" i="12"/>
  <c r="E41" i="12"/>
  <c r="B23" i="12"/>
  <c r="B19" i="12"/>
  <c r="B15" i="12"/>
  <c r="B11" i="12"/>
  <c r="AB2" i="12"/>
  <c r="D43" i="257"/>
  <c r="I23" i="257"/>
  <c r="K23" i="257" s="1"/>
  <c r="I19" i="257"/>
  <c r="K19" i="257" s="1"/>
  <c r="I15" i="257"/>
  <c r="K15" i="257" s="1"/>
  <c r="I11" i="257"/>
  <c r="G43" i="256"/>
  <c r="H22" i="256"/>
  <c r="B20" i="256"/>
  <c r="H18" i="256"/>
  <c r="B16" i="256"/>
  <c r="H14" i="256"/>
  <c r="B12" i="256"/>
  <c r="J43" i="256"/>
  <c r="E40" i="256"/>
  <c r="E41" i="256"/>
  <c r="H10" i="256"/>
  <c r="E42" i="256"/>
  <c r="E44" i="256"/>
  <c r="E45" i="256"/>
  <c r="F44" i="249"/>
  <c r="F42" i="249"/>
  <c r="F41" i="249"/>
  <c r="F40" i="249"/>
  <c r="I21" i="249"/>
  <c r="K21" i="249" s="1"/>
  <c r="I20" i="249"/>
  <c r="K20" i="249" s="1"/>
  <c r="I17" i="249"/>
  <c r="K17" i="249" s="1"/>
  <c r="I16" i="249"/>
  <c r="K16" i="249" s="1"/>
  <c r="I13" i="249"/>
  <c r="K13" i="249" s="1"/>
  <c r="I12" i="249"/>
  <c r="K12" i="249" s="1"/>
  <c r="M43" i="249"/>
  <c r="F43" i="249"/>
  <c r="K10" i="249"/>
  <c r="B22" i="250"/>
  <c r="H20" i="250"/>
  <c r="B18" i="250"/>
  <c r="H16" i="250"/>
  <c r="B14" i="250"/>
  <c r="H12" i="250"/>
  <c r="G42" i="250"/>
  <c r="G44" i="250"/>
  <c r="G45" i="250"/>
  <c r="G40" i="250"/>
  <c r="G41" i="250"/>
  <c r="B10" i="250"/>
  <c r="G54" i="13"/>
  <c r="H45" i="13"/>
  <c r="H44" i="13"/>
  <c r="H43" i="13"/>
  <c r="H42" i="13"/>
  <c r="H41" i="13"/>
  <c r="H40" i="13"/>
  <c r="B14" i="13"/>
  <c r="B11" i="13"/>
  <c r="F54" i="13"/>
  <c r="J9" i="14"/>
  <c r="I11" i="14"/>
  <c r="U176" i="280"/>
  <c r="U174" i="280"/>
  <c r="U170" i="280"/>
  <c r="U165" i="280"/>
  <c r="U161" i="280"/>
  <c r="U156" i="280"/>
  <c r="U154" i="280"/>
  <c r="P119" i="280"/>
  <c r="X119" i="280"/>
  <c r="AA119" i="280" s="1"/>
  <c r="U117" i="280"/>
  <c r="U83" i="280"/>
  <c r="U79" i="280"/>
  <c r="U75" i="280"/>
  <c r="U71" i="280"/>
  <c r="U67" i="280"/>
  <c r="U62" i="280"/>
  <c r="U61" i="280"/>
  <c r="P59" i="280"/>
  <c r="U59" i="280" s="1"/>
  <c r="X59" i="280"/>
  <c r="U57" i="280"/>
  <c r="P55" i="280"/>
  <c r="U55" i="280" s="1"/>
  <c r="X55" i="280"/>
  <c r="U53" i="280"/>
  <c r="P51" i="280"/>
  <c r="U51" i="280" s="1"/>
  <c r="X51" i="280"/>
  <c r="U49" i="280"/>
  <c r="P47" i="280"/>
  <c r="U47" i="280" s="1"/>
  <c r="X47" i="280"/>
  <c r="P46" i="280"/>
  <c r="U46" i="280" s="1"/>
  <c r="X46" i="280"/>
  <c r="P43" i="280"/>
  <c r="U43" i="280" s="1"/>
  <c r="X43" i="280"/>
  <c r="P41" i="280"/>
  <c r="U41" i="280" s="1"/>
  <c r="X41" i="280"/>
  <c r="U28" i="280"/>
  <c r="P26" i="280"/>
  <c r="X26" i="280"/>
  <c r="AA26" i="280" s="1"/>
  <c r="U24" i="280"/>
  <c r="P22" i="280"/>
  <c r="AF22" i="280" s="1"/>
  <c r="X22" i="280"/>
  <c r="AA22" i="280" s="1"/>
  <c r="N32" i="280"/>
  <c r="N36" i="280"/>
  <c r="AD20" i="280"/>
  <c r="AE20" i="280"/>
  <c r="AD17" i="280"/>
  <c r="AE17" i="280"/>
  <c r="AD15" i="280"/>
  <c r="AE15" i="280"/>
  <c r="AE60" i="281"/>
  <c r="AD60" i="281"/>
  <c r="U30" i="281"/>
  <c r="U12" i="281"/>
  <c r="N185" i="280"/>
  <c r="S183" i="280"/>
  <c r="N181" i="280"/>
  <c r="X174" i="280"/>
  <c r="AF174" i="280" s="1"/>
  <c r="X173" i="280"/>
  <c r="AA173" i="280" s="1"/>
  <c r="X172" i="280"/>
  <c r="AA172" i="280" s="1"/>
  <c r="X171" i="280"/>
  <c r="AA171" i="280" s="1"/>
  <c r="X170" i="280"/>
  <c r="AA170" i="280" s="1"/>
  <c r="X169" i="280"/>
  <c r="AA169" i="280" s="1"/>
  <c r="X167" i="280"/>
  <c r="AA167" i="280" s="1"/>
  <c r="X166" i="280"/>
  <c r="AA166" i="280" s="1"/>
  <c r="X153" i="280"/>
  <c r="P153" i="280"/>
  <c r="S150" i="280"/>
  <c r="S146" i="280"/>
  <c r="K120" i="280"/>
  <c r="N120" i="280" s="1"/>
  <c r="N147" i="280" s="1"/>
  <c r="X115" i="280"/>
  <c r="AF115" i="280" s="1"/>
  <c r="X114" i="280"/>
  <c r="X113" i="280"/>
  <c r="X112" i="280"/>
  <c r="X111" i="280"/>
  <c r="X110" i="280"/>
  <c r="X109" i="280"/>
  <c r="X108" i="280"/>
  <c r="X107" i="280"/>
  <c r="X106" i="280"/>
  <c r="X105" i="280"/>
  <c r="X104" i="280"/>
  <c r="X103" i="280"/>
  <c r="X102" i="280"/>
  <c r="X101" i="280"/>
  <c r="X100" i="280"/>
  <c r="X83" i="280"/>
  <c r="AA83" i="280" s="1"/>
  <c r="X82" i="280"/>
  <c r="AA82" i="280" s="1"/>
  <c r="X81" i="280"/>
  <c r="AA81" i="280" s="1"/>
  <c r="X80" i="280"/>
  <c r="AA80" i="280" s="1"/>
  <c r="X79" i="280"/>
  <c r="AA79" i="280" s="1"/>
  <c r="X78" i="280"/>
  <c r="AA78" i="280" s="1"/>
  <c r="X77" i="280"/>
  <c r="AA77" i="280" s="1"/>
  <c r="X76" i="280"/>
  <c r="AA76" i="280" s="1"/>
  <c r="X75" i="280"/>
  <c r="AA75" i="280" s="1"/>
  <c r="X74" i="280"/>
  <c r="AA74" i="280" s="1"/>
  <c r="X73" i="280"/>
  <c r="AA73" i="280" s="1"/>
  <c r="X72" i="280"/>
  <c r="AA72" i="280" s="1"/>
  <c r="X71" i="280"/>
  <c r="AA71" i="280" s="1"/>
  <c r="X70" i="280"/>
  <c r="AA70" i="280" s="1"/>
  <c r="X69" i="280"/>
  <c r="AA69" i="280" s="1"/>
  <c r="X68" i="280"/>
  <c r="AA68" i="280" s="1"/>
  <c r="X67" i="280"/>
  <c r="AA67" i="280" s="1"/>
  <c r="X66" i="280"/>
  <c r="AA66" i="280" s="1"/>
  <c r="X65" i="280"/>
  <c r="AA65" i="280" s="1"/>
  <c r="X64" i="280"/>
  <c r="AA64" i="280" s="1"/>
  <c r="X61" i="280"/>
  <c r="X60" i="280"/>
  <c r="AA60" i="280" s="1"/>
  <c r="S36" i="280"/>
  <c r="N34" i="280"/>
  <c r="S32" i="280"/>
  <c r="AF20" i="280"/>
  <c r="P18" i="280"/>
  <c r="AF16" i="280"/>
  <c r="P14" i="280"/>
  <c r="P12" i="280"/>
  <c r="U11" i="280"/>
  <c r="N68" i="281"/>
  <c r="N66" i="281"/>
  <c r="U60" i="281"/>
  <c r="P59" i="281"/>
  <c r="T42" i="281"/>
  <c r="U42" i="281" s="1"/>
  <c r="X31" i="281"/>
  <c r="AA31" i="281" s="1"/>
  <c r="AE29" i="281"/>
  <c r="AE13" i="281"/>
  <c r="J87" i="282"/>
  <c r="J55" i="282"/>
  <c r="J56" i="282"/>
  <c r="J96" i="282" s="1" a="1"/>
  <c r="J96" i="282" s="1"/>
  <c r="J57" i="282"/>
  <c r="J58" i="282"/>
  <c r="J59" i="282"/>
  <c r="J60" i="282"/>
  <c r="N186" i="280"/>
  <c r="S184" i="280"/>
  <c r="N182" i="280"/>
  <c r="T160" i="280"/>
  <c r="U160" i="280" s="1"/>
  <c r="O155" i="280"/>
  <c r="P155" i="280" s="1"/>
  <c r="U155" i="280" s="1"/>
  <c r="N149" i="280"/>
  <c r="S147" i="280"/>
  <c r="N145" i="280"/>
  <c r="T116" i="280"/>
  <c r="U116" i="280" s="1"/>
  <c r="O99" i="280"/>
  <c r="P99" i="280" s="1"/>
  <c r="U99" i="280" s="1"/>
  <c r="O97" i="280"/>
  <c r="X97" i="280" s="1"/>
  <c r="O95" i="280"/>
  <c r="X95" i="280" s="1"/>
  <c r="S90" i="280"/>
  <c r="S86" i="280"/>
  <c r="O63" i="280"/>
  <c r="P63" i="280" s="1"/>
  <c r="S37" i="280"/>
  <c r="P36" i="280"/>
  <c r="N35" i="280"/>
  <c r="S33" i="280"/>
  <c r="N64" i="281"/>
  <c r="X59" i="281"/>
  <c r="AA59" i="281" s="1"/>
  <c r="X28" i="281"/>
  <c r="AA28" i="281" s="1"/>
  <c r="X27" i="281"/>
  <c r="X26" i="281"/>
  <c r="K25" i="281"/>
  <c r="N25" i="281" s="1"/>
  <c r="N18" i="281"/>
  <c r="X12" i="281"/>
  <c r="AA12" i="281" s="1"/>
  <c r="X11" i="281"/>
  <c r="K19" i="316"/>
  <c r="D25" i="343"/>
  <c r="D48" i="343"/>
  <c r="U59" i="281"/>
  <c r="S186" i="280"/>
  <c r="S149" i="280"/>
  <c r="S88" i="280"/>
  <c r="N37" i="280"/>
  <c r="S35" i="280"/>
  <c r="N33" i="280"/>
  <c r="N63" i="281"/>
  <c r="S63" i="281"/>
  <c r="S67" i="281"/>
  <c r="X30" i="281"/>
  <c r="AA30" i="281" s="1"/>
  <c r="N22" i="281"/>
  <c r="X14" i="281"/>
  <c r="AA14" i="281" s="1"/>
  <c r="N17" i="281"/>
  <c r="N21" i="281"/>
  <c r="H9" i="39"/>
  <c r="J92" i="282"/>
  <c r="J91" i="282"/>
  <c r="J90" i="282"/>
  <c r="J89" i="282"/>
  <c r="J88" i="282"/>
  <c r="I60" i="282"/>
  <c r="I59" i="282"/>
  <c r="I58" i="282"/>
  <c r="I57" i="282"/>
  <c r="I56" i="282"/>
  <c r="I55" i="282"/>
  <c r="H16" i="316"/>
  <c r="E53" i="306"/>
  <c r="D45" i="306"/>
  <c r="B51" i="310"/>
  <c r="B31" i="344"/>
  <c r="B20" i="344"/>
  <c r="E53" i="345"/>
  <c r="D15" i="310"/>
  <c r="F14" i="310"/>
  <c r="G14" i="310"/>
  <c r="H36" i="39"/>
  <c r="D10" i="39" s="1"/>
  <c r="H10" i="39" s="1"/>
  <c r="H52" i="325"/>
  <c r="J27" i="335"/>
  <c r="F27" i="335"/>
  <c r="D15" i="269"/>
  <c r="AF25" i="270"/>
  <c r="M20" i="270"/>
  <c r="W20" i="270"/>
  <c r="W19" i="270"/>
  <c r="AF17" i="270"/>
  <c r="W14" i="270"/>
  <c r="L123" i="270"/>
  <c r="M14" i="270"/>
  <c r="D8" i="269"/>
  <c r="H95" i="282" a="1"/>
  <c r="H95" i="282" s="1"/>
  <c r="I92" i="282"/>
  <c r="I91" i="282"/>
  <c r="I90" i="282"/>
  <c r="I89" i="282"/>
  <c r="I88" i="282"/>
  <c r="I87" i="282"/>
  <c r="H60" i="282"/>
  <c r="H59" i="282"/>
  <c r="H58" i="282"/>
  <c r="H57" i="282"/>
  <c r="H56" i="282"/>
  <c r="H97" i="282" s="1" a="1"/>
  <c r="H97" i="282" s="1"/>
  <c r="G9" i="316"/>
  <c r="D46" i="306"/>
  <c r="D23" i="306"/>
  <c r="B26" i="308"/>
  <c r="H8" i="308"/>
  <c r="C15" i="343"/>
  <c r="F24" i="344" s="1"/>
  <c r="B15" i="344"/>
  <c r="B36" i="310"/>
  <c r="D23" i="345"/>
  <c r="D46" i="345"/>
  <c r="H8" i="346"/>
  <c r="H73" i="310"/>
  <c r="H57" i="310"/>
  <c r="L52" i="325"/>
  <c r="L23" i="325"/>
  <c r="H23" i="325"/>
  <c r="D23" i="325"/>
  <c r="D31" i="269"/>
  <c r="M28" i="270"/>
  <c r="W28" i="270"/>
  <c r="W18" i="270"/>
  <c r="M18" i="270"/>
  <c r="U123" i="270"/>
  <c r="V18" i="270" s="1"/>
  <c r="I8" i="344"/>
  <c r="I15" i="310"/>
  <c r="I27" i="310"/>
  <c r="I43" i="310"/>
  <c r="I87" i="310"/>
  <c r="J11" i="310"/>
  <c r="I13" i="310"/>
  <c r="I57" i="310"/>
  <c r="I73" i="310"/>
  <c r="I12" i="310"/>
  <c r="I28" i="310"/>
  <c r="I44" i="310"/>
  <c r="I72" i="310"/>
  <c r="I88" i="310"/>
  <c r="G27" i="335"/>
  <c r="AF23" i="270"/>
  <c r="D11" i="269"/>
  <c r="M22" i="270"/>
  <c r="W22" i="270"/>
  <c r="G10" i="316"/>
  <c r="D47" i="343"/>
  <c r="D75" i="310"/>
  <c r="F74" i="310"/>
  <c r="G74" i="310"/>
  <c r="D59" i="310"/>
  <c r="F58" i="310"/>
  <c r="G58" i="310"/>
  <c r="I14" i="310"/>
  <c r="H14" i="310"/>
  <c r="H42" i="310"/>
  <c r="H58" i="310"/>
  <c r="H74" i="310"/>
  <c r="H12" i="310"/>
  <c r="H28" i="310"/>
  <c r="H44" i="310"/>
  <c r="H72" i="310"/>
  <c r="H88" i="310"/>
  <c r="H15" i="310"/>
  <c r="H27" i="310"/>
  <c r="H43" i="310"/>
  <c r="H87" i="310"/>
  <c r="O50" i="325"/>
  <c r="J23" i="325"/>
  <c r="F23" i="325"/>
  <c r="J40" i="269"/>
  <c r="W101" i="270"/>
  <c r="M101" i="270"/>
  <c r="AF24" i="270"/>
  <c r="AF21" i="270"/>
  <c r="AF16" i="270"/>
  <c r="W15" i="270"/>
  <c r="AF93" i="347"/>
  <c r="AF91" i="347"/>
  <c r="K24" i="335"/>
  <c r="G24" i="335"/>
  <c r="G25" i="335" s="1"/>
  <c r="C24" i="335"/>
  <c r="K22" i="335"/>
  <c r="K27" i="335" s="1"/>
  <c r="G22" i="335"/>
  <c r="C22" i="335"/>
  <c r="P22" i="335" s="1"/>
  <c r="P18" i="270"/>
  <c r="I17" i="270"/>
  <c r="K16" i="270"/>
  <c r="K123" i="270" s="1"/>
  <c r="K129" i="270" s="1"/>
  <c r="I14" i="270"/>
  <c r="A3" i="270"/>
  <c r="A3" i="272" s="1"/>
  <c r="D89" i="310"/>
  <c r="G89" i="310" s="1"/>
  <c r="G87" i="310"/>
  <c r="G59" i="310"/>
  <c r="D45" i="310"/>
  <c r="G43" i="310"/>
  <c r="D29" i="310"/>
  <c r="H29" i="310" s="1"/>
  <c r="G27" i="310"/>
  <c r="G15" i="310"/>
  <c r="M49" i="325"/>
  <c r="M50" i="325" s="1"/>
  <c r="I49" i="325"/>
  <c r="I50" i="325" s="1"/>
  <c r="O46" i="325"/>
  <c r="P46" i="325" s="1"/>
  <c r="K46" i="325"/>
  <c r="K50" i="325" s="1"/>
  <c r="J20" i="325"/>
  <c r="J21" i="325" s="1"/>
  <c r="F20" i="325"/>
  <c r="F21" i="325" s="1"/>
  <c r="F24" i="335"/>
  <c r="F25" i="335" s="1"/>
  <c r="P17" i="270"/>
  <c r="E30" i="272"/>
  <c r="G30" i="272" s="1"/>
  <c r="A3" i="276"/>
  <c r="I26" i="335" a="1"/>
  <c r="I26" i="335" s="1"/>
  <c r="I27" i="335" s="1"/>
  <c r="E26" i="335" a="1"/>
  <c r="E26" i="335" s="1"/>
  <c r="E27" i="335" s="1"/>
  <c r="M24" i="335"/>
  <c r="M25" i="335" s="1"/>
  <c r="I24" i="335"/>
  <c r="I25" i="335" s="1"/>
  <c r="E24" i="335"/>
  <c r="E25" i="335" s="1"/>
  <c r="P22" i="270"/>
  <c r="P20" i="270"/>
  <c r="K18" i="270"/>
  <c r="P16" i="270"/>
  <c r="P123" i="270" s="1"/>
  <c r="P129" i="270" s="1"/>
  <c r="G16" i="270"/>
  <c r="G123" i="270" s="1"/>
  <c r="G129" i="270" s="1"/>
  <c r="G73" i="310"/>
  <c r="G57" i="310"/>
  <c r="G45" i="310"/>
  <c r="G13" i="310"/>
  <c r="L20" i="325"/>
  <c r="L21" i="325" s="1"/>
  <c r="H20" i="325"/>
  <c r="H21" i="325" s="1"/>
  <c r="D20" i="325"/>
  <c r="D21" i="325" s="1"/>
  <c r="B60" i="344" l="1"/>
  <c r="B60" i="346"/>
  <c r="B60" i="308"/>
  <c r="G14" i="316"/>
  <c r="G12" i="316"/>
  <c r="B84" i="345"/>
  <c r="B24" i="313"/>
  <c r="B87" i="345"/>
  <c r="B81" i="343"/>
  <c r="B81" i="345"/>
  <c r="B87" i="343"/>
  <c r="B84" i="343"/>
  <c r="F21" i="345"/>
  <c r="F21" i="306"/>
  <c r="H15" i="313"/>
  <c r="F21" i="343"/>
  <c r="G17" i="316"/>
  <c r="Q3" i="4"/>
  <c r="D30" i="248" s="1"/>
  <c r="N5" i="284"/>
  <c r="Q3" i="284" s="1"/>
  <c r="N5" i="4"/>
  <c r="U63" i="280"/>
  <c r="D76" i="310"/>
  <c r="F75" i="310"/>
  <c r="I89" i="310"/>
  <c r="V20" i="270"/>
  <c r="D24" i="345"/>
  <c r="D47" i="345"/>
  <c r="C15" i="345"/>
  <c r="F45" i="310"/>
  <c r="D46" i="310"/>
  <c r="G75" i="310"/>
  <c r="I123" i="270"/>
  <c r="I129" i="270" s="1"/>
  <c r="AF15" i="270"/>
  <c r="J11" i="269"/>
  <c r="K52" i="325"/>
  <c r="J12" i="310"/>
  <c r="J16" i="310"/>
  <c r="J28" i="310"/>
  <c r="J44" i="310"/>
  <c r="J72" i="310"/>
  <c r="J76" i="310"/>
  <c r="J88" i="310"/>
  <c r="J14" i="310"/>
  <c r="J42" i="310"/>
  <c r="J46" i="310"/>
  <c r="J58" i="310"/>
  <c r="J74" i="310"/>
  <c r="K11" i="310"/>
  <c r="J13" i="310"/>
  <c r="J29" i="310"/>
  <c r="J45" i="310"/>
  <c r="J57" i="310"/>
  <c r="J73" i="310"/>
  <c r="J89" i="310"/>
  <c r="J59" i="310"/>
  <c r="J75" i="310"/>
  <c r="J27" i="310"/>
  <c r="J43" i="310"/>
  <c r="J87" i="310"/>
  <c r="J15" i="310"/>
  <c r="I24" i="344"/>
  <c r="J8" i="344"/>
  <c r="I8" i="346"/>
  <c r="D16" i="310"/>
  <c r="F15" i="310"/>
  <c r="I16" i="316"/>
  <c r="H10" i="316"/>
  <c r="AD14" i="281"/>
  <c r="AE14" i="281"/>
  <c r="F20" i="316"/>
  <c r="F22" i="316" s="1"/>
  <c r="AE28" i="281"/>
  <c r="AD28" i="281"/>
  <c r="U12" i="280"/>
  <c r="P33" i="280"/>
  <c r="P37" i="280"/>
  <c r="AD65" i="280"/>
  <c r="AE65" i="280"/>
  <c r="AD69" i="280"/>
  <c r="AE69" i="280"/>
  <c r="AD73" i="280"/>
  <c r="AE73" i="280"/>
  <c r="AD77" i="280"/>
  <c r="AE77" i="280"/>
  <c r="AD81" i="280"/>
  <c r="AE81" i="280"/>
  <c r="P181" i="280"/>
  <c r="P185" i="280"/>
  <c r="P184" i="280"/>
  <c r="P183" i="280"/>
  <c r="P182" i="280"/>
  <c r="P186" i="280"/>
  <c r="AD169" i="280"/>
  <c r="AE169" i="280"/>
  <c r="AD173" i="280"/>
  <c r="AE173" i="280"/>
  <c r="AD26" i="280"/>
  <c r="AE26" i="280"/>
  <c r="AF60" i="280"/>
  <c r="AF66" i="280"/>
  <c r="AF74" i="280"/>
  <c r="AF82" i="280"/>
  <c r="P95" i="280"/>
  <c r="P97" i="280"/>
  <c r="U97" i="280" s="1"/>
  <c r="AD119" i="280"/>
  <c r="AE119" i="280"/>
  <c r="AF169" i="280"/>
  <c r="AC17" i="249"/>
  <c r="AC23" i="257"/>
  <c r="K30" i="52"/>
  <c r="K71" i="52" s="1"/>
  <c r="Q74" i="73"/>
  <c r="D76" i="73"/>
  <c r="E76" i="73"/>
  <c r="E78" i="73"/>
  <c r="D78" i="73"/>
  <c r="B100" i="285"/>
  <c r="B118" i="285" s="1"/>
  <c r="B130" i="285" s="1"/>
  <c r="B86" i="285"/>
  <c r="H33" i="285"/>
  <c r="H74" i="285" s="1"/>
  <c r="G33" i="285"/>
  <c r="G74" i="285" s="1"/>
  <c r="J33" i="285"/>
  <c r="J74" i="285" s="1"/>
  <c r="U41" i="53"/>
  <c r="U42" i="53"/>
  <c r="U43" i="53"/>
  <c r="U44" i="53"/>
  <c r="U45" i="53"/>
  <c r="U46" i="53"/>
  <c r="P34" i="280"/>
  <c r="AF79" i="280"/>
  <c r="AD178" i="280"/>
  <c r="AE178" i="280"/>
  <c r="AC11" i="250"/>
  <c r="AC19" i="250"/>
  <c r="AC17" i="256"/>
  <c r="E77" i="73"/>
  <c r="D77" i="73"/>
  <c r="R92" i="73"/>
  <c r="G39" i="285"/>
  <c r="I39" i="285"/>
  <c r="I33" i="285" s="1"/>
  <c r="I74" i="285" s="1"/>
  <c r="K39" i="285"/>
  <c r="K33" i="285" s="1"/>
  <c r="K74" i="285" s="1"/>
  <c r="D39" i="285"/>
  <c r="H39" i="285"/>
  <c r="H31" i="285" s="1"/>
  <c r="J39" i="285"/>
  <c r="E39" i="285"/>
  <c r="F39" i="285"/>
  <c r="F33" i="285" s="1"/>
  <c r="F74" i="285" s="1"/>
  <c r="O8" i="47"/>
  <c r="AB4" i="47"/>
  <c r="M8" i="47"/>
  <c r="X8" i="47"/>
  <c r="X43" i="47"/>
  <c r="X47" i="47"/>
  <c r="X44" i="47"/>
  <c r="X48" i="47"/>
  <c r="X45" i="47"/>
  <c r="X46" i="47"/>
  <c r="AF24" i="280"/>
  <c r="AF68" i="280"/>
  <c r="I41" i="249"/>
  <c r="I42" i="249"/>
  <c r="B93" i="289"/>
  <c r="B109" i="289" s="1"/>
  <c r="B119" i="289" s="1"/>
  <c r="B81" i="289"/>
  <c r="E16" i="289"/>
  <c r="I16" i="289"/>
  <c r="F16" i="289"/>
  <c r="J16" i="289"/>
  <c r="H16" i="289"/>
  <c r="G16" i="289"/>
  <c r="K16" i="289"/>
  <c r="D16" i="289"/>
  <c r="AD23" i="280"/>
  <c r="AE23" i="280"/>
  <c r="AF27" i="280"/>
  <c r="AF116" i="280"/>
  <c r="AC17" i="250"/>
  <c r="AC11" i="256"/>
  <c r="D43" i="285"/>
  <c r="G31" i="285"/>
  <c r="K31" i="285"/>
  <c r="K72" i="285" s="1"/>
  <c r="I31" i="285"/>
  <c r="E43" i="285"/>
  <c r="J31" i="285"/>
  <c r="H34" i="285"/>
  <c r="H75" i="285" s="1"/>
  <c r="K34" i="285"/>
  <c r="K75" i="285" s="1"/>
  <c r="F34" i="285"/>
  <c r="F75" i="285" s="1"/>
  <c r="I34" i="285"/>
  <c r="I75" i="285" s="1"/>
  <c r="G34" i="285"/>
  <c r="G75" i="285" s="1"/>
  <c r="J34" i="285"/>
  <c r="J75" i="285" s="1"/>
  <c r="S46" i="172"/>
  <c r="S43" i="172"/>
  <c r="S47" i="172"/>
  <c r="S44" i="172"/>
  <c r="S45" i="172"/>
  <c r="S48" i="172"/>
  <c r="P44" i="172"/>
  <c r="P45" i="172"/>
  <c r="P46" i="172"/>
  <c r="P43" i="172"/>
  <c r="P47" i="172"/>
  <c r="P48" i="172"/>
  <c r="F20" i="289"/>
  <c r="F28" i="289" s="1"/>
  <c r="F67" i="289" s="1"/>
  <c r="J20" i="289"/>
  <c r="G20" i="289"/>
  <c r="G28" i="289" s="1"/>
  <c r="G67" i="289" s="1"/>
  <c r="E20" i="289"/>
  <c r="E28" i="289" s="1"/>
  <c r="E67" i="289" s="1"/>
  <c r="D20" i="289"/>
  <c r="H20" i="289"/>
  <c r="H28" i="289" s="1"/>
  <c r="H67" i="289" s="1"/>
  <c r="I20" i="289"/>
  <c r="I28" i="289" s="1"/>
  <c r="I67" i="289" s="1"/>
  <c r="G35" i="8"/>
  <c r="K11" i="13"/>
  <c r="J40" i="13"/>
  <c r="J41" i="13"/>
  <c r="J42" i="13"/>
  <c r="J43" i="13"/>
  <c r="J44" i="13"/>
  <c r="J45" i="13"/>
  <c r="D22" i="8"/>
  <c r="L17" i="8" s="1"/>
  <c r="G25" i="10"/>
  <c r="G27" i="10" s="1"/>
  <c r="G32" i="10"/>
  <c r="K42" i="256"/>
  <c r="K44" i="256"/>
  <c r="K45" i="256"/>
  <c r="K40" i="256"/>
  <c r="K41" i="256"/>
  <c r="AC10" i="256"/>
  <c r="K43" i="256"/>
  <c r="I41" i="256"/>
  <c r="B102" i="285"/>
  <c r="B120" i="285" s="1"/>
  <c r="B132" i="285" s="1"/>
  <c r="B88" i="285"/>
  <c r="F16" i="266"/>
  <c r="F18" i="266"/>
  <c r="F11" i="305"/>
  <c r="E12" i="285"/>
  <c r="F10" i="287"/>
  <c r="F10" i="291"/>
  <c r="D60" i="310"/>
  <c r="J60" i="310" s="1"/>
  <c r="F59" i="310"/>
  <c r="G29" i="310"/>
  <c r="K25" i="335"/>
  <c r="V15" i="270"/>
  <c r="AF101" i="270"/>
  <c r="H75" i="310"/>
  <c r="C27" i="335"/>
  <c r="O52" i="325"/>
  <c r="I29" i="310"/>
  <c r="I59" i="310"/>
  <c r="AF18" i="270"/>
  <c r="D9" i="269"/>
  <c r="H9" i="267"/>
  <c r="H11" i="267" s="1"/>
  <c r="D24" i="306"/>
  <c r="D47" i="306"/>
  <c r="C15" i="306"/>
  <c r="H24" i="308" s="1"/>
  <c r="M16" i="270"/>
  <c r="M17" i="270"/>
  <c r="M21" i="270"/>
  <c r="M23" i="270"/>
  <c r="M24" i="270"/>
  <c r="L129" i="270"/>
  <c r="M15" i="270"/>
  <c r="M123" i="270" s="1"/>
  <c r="M129" i="270" s="1"/>
  <c r="M25" i="270"/>
  <c r="M19" i="270"/>
  <c r="H12" i="39"/>
  <c r="H14" i="39" s="1"/>
  <c r="C25" i="316" s="1"/>
  <c r="L19" i="316"/>
  <c r="N34" i="281"/>
  <c r="N75" i="281" s="1" a="1"/>
  <c r="N75" i="281" s="1"/>
  <c r="N38" i="281"/>
  <c r="N35" i="281"/>
  <c r="P25" i="281"/>
  <c r="X25" i="281"/>
  <c r="N37" i="281"/>
  <c r="N36" i="281"/>
  <c r="N39" i="281"/>
  <c r="AE59" i="281"/>
  <c r="AD59" i="281"/>
  <c r="J97" i="282" a="1"/>
  <c r="J97" i="282" s="1"/>
  <c r="J99" i="282" a="1"/>
  <c r="J99" i="282" s="1"/>
  <c r="J98" i="282" a="1"/>
  <c r="J98" i="282" s="1"/>
  <c r="J100" i="282" a="1"/>
  <c r="J100" i="282" s="1"/>
  <c r="AD31" i="281"/>
  <c r="AE31" i="281"/>
  <c r="U14" i="280"/>
  <c r="AF14" i="280"/>
  <c r="AD60" i="280"/>
  <c r="AE60" i="280"/>
  <c r="AD66" i="280"/>
  <c r="AE66" i="280"/>
  <c r="AD70" i="280"/>
  <c r="AE70" i="280"/>
  <c r="AD74" i="280"/>
  <c r="AE74" i="280"/>
  <c r="AD78" i="280"/>
  <c r="AE78" i="280"/>
  <c r="AD82" i="280"/>
  <c r="AE82" i="280"/>
  <c r="AD170" i="280"/>
  <c r="AE170" i="280"/>
  <c r="AF30" i="281"/>
  <c r="AD22" i="280"/>
  <c r="AE22" i="280"/>
  <c r="AF26" i="280"/>
  <c r="N150" i="280"/>
  <c r="X99" i="280"/>
  <c r="AF119" i="280"/>
  <c r="AC12" i="249"/>
  <c r="AC20" i="249"/>
  <c r="K11" i="257"/>
  <c r="I42" i="257"/>
  <c r="I44" i="257"/>
  <c r="I45" i="257"/>
  <c r="I43" i="257"/>
  <c r="B72" i="52"/>
  <c r="B75" i="73"/>
  <c r="B91" i="73" s="1"/>
  <c r="R93" i="73"/>
  <c r="R44" i="47"/>
  <c r="R48" i="47"/>
  <c r="R45" i="47"/>
  <c r="R46" i="47"/>
  <c r="R43" i="47"/>
  <c r="R47" i="47"/>
  <c r="AD29" i="280"/>
  <c r="AE29" i="280"/>
  <c r="AF67" i="280"/>
  <c r="AF83" i="280"/>
  <c r="AF170" i="280"/>
  <c r="AF178" i="280"/>
  <c r="AC14" i="250"/>
  <c r="AC22" i="250"/>
  <c r="AC12" i="256"/>
  <c r="AC20" i="256"/>
  <c r="H43" i="257"/>
  <c r="H40" i="257"/>
  <c r="H41" i="257"/>
  <c r="H42" i="257"/>
  <c r="H44" i="257"/>
  <c r="H45" i="257"/>
  <c r="D39" i="52" a="1"/>
  <c r="V44" i="53"/>
  <c r="V41" i="53"/>
  <c r="V42" i="53"/>
  <c r="V43" i="53"/>
  <c r="V45" i="53"/>
  <c r="V46" i="53"/>
  <c r="E22" i="8"/>
  <c r="M17" i="8" s="1"/>
  <c r="P52" i="281"/>
  <c r="P56" i="281"/>
  <c r="P55" i="281"/>
  <c r="P51" i="281"/>
  <c r="P54" i="281"/>
  <c r="P53" i="281"/>
  <c r="U26" i="280"/>
  <c r="X63" i="280"/>
  <c r="AA63" i="280" s="1"/>
  <c r="AF72" i="280"/>
  <c r="X155" i="280"/>
  <c r="AD176" i="280"/>
  <c r="AE176" i="280"/>
  <c r="H43" i="250"/>
  <c r="H40" i="250"/>
  <c r="H41" i="250"/>
  <c r="H42" i="250"/>
  <c r="H44" i="250"/>
  <c r="H45" i="250"/>
  <c r="I40" i="249"/>
  <c r="B101" i="285"/>
  <c r="B119" i="285" s="1"/>
  <c r="B131" i="285" s="1"/>
  <c r="B87" i="285"/>
  <c r="F16" i="52"/>
  <c r="J16" i="52"/>
  <c r="G16" i="52"/>
  <c r="K16" i="52"/>
  <c r="D16" i="52"/>
  <c r="E16" i="52"/>
  <c r="H16" i="52"/>
  <c r="I16" i="52"/>
  <c r="U29" i="280"/>
  <c r="AF69" i="280"/>
  <c r="AF77" i="280"/>
  <c r="U118" i="280"/>
  <c r="AD168" i="280"/>
  <c r="AE168" i="280"/>
  <c r="AD175" i="280"/>
  <c r="AE175" i="280"/>
  <c r="AC21" i="250"/>
  <c r="AC15" i="256"/>
  <c r="I40" i="12"/>
  <c r="I41" i="12"/>
  <c r="K10" i="12"/>
  <c r="I42" i="12"/>
  <c r="I44" i="12"/>
  <c r="I45" i="12"/>
  <c r="I43" i="12"/>
  <c r="H41" i="12"/>
  <c r="K70" i="285"/>
  <c r="E75" i="73"/>
  <c r="D75" i="73"/>
  <c r="D43" i="52"/>
  <c r="E43" i="52"/>
  <c r="R91" i="73"/>
  <c r="R94" i="73"/>
  <c r="V43" i="172"/>
  <c r="V44" i="172"/>
  <c r="V48" i="172"/>
  <c r="V45" i="172"/>
  <c r="V46" i="172"/>
  <c r="V47" i="172"/>
  <c r="T45" i="172"/>
  <c r="T46" i="172"/>
  <c r="T43" i="172"/>
  <c r="T47" i="172"/>
  <c r="T44" i="172"/>
  <c r="T48" i="172"/>
  <c r="M31" i="8"/>
  <c r="E35" i="8"/>
  <c r="W10" i="285"/>
  <c r="W10" i="289"/>
  <c r="K28" i="73"/>
  <c r="I45" i="256"/>
  <c r="I40" i="256"/>
  <c r="B74" i="52"/>
  <c r="B77" i="73"/>
  <c r="B93" i="73" s="1"/>
  <c r="H9" i="266"/>
  <c r="F36" i="266"/>
  <c r="E9" i="295"/>
  <c r="E9" i="52"/>
  <c r="J8" i="277"/>
  <c r="J9" i="277" s="1"/>
  <c r="L13" i="279"/>
  <c r="L17" i="279"/>
  <c r="J9" i="4"/>
  <c r="L11" i="279"/>
  <c r="AF14" i="270"/>
  <c r="W123" i="270"/>
  <c r="X18" i="270" s="1"/>
  <c r="AF19" i="270"/>
  <c r="J15" i="269"/>
  <c r="G24" i="344"/>
  <c r="I95" i="282" a="1"/>
  <c r="I95" i="282" s="1"/>
  <c r="I98" i="282" a="1"/>
  <c r="I98" i="282" s="1"/>
  <c r="I100" i="282" a="1"/>
  <c r="I100" i="282" s="1"/>
  <c r="I96" i="282" a="1"/>
  <c r="I96" i="282" s="1"/>
  <c r="I97" i="282" a="1"/>
  <c r="I97" i="282" s="1"/>
  <c r="I99" i="282" a="1"/>
  <c r="I99" i="282" s="1"/>
  <c r="AD30" i="281"/>
  <c r="AE30" i="281"/>
  <c r="AD67" i="280"/>
  <c r="AE67" i="280"/>
  <c r="AD71" i="280"/>
  <c r="AE71" i="280"/>
  <c r="AD75" i="280"/>
  <c r="AE75" i="280"/>
  <c r="AD79" i="280"/>
  <c r="AE79" i="280"/>
  <c r="AD83" i="280"/>
  <c r="AE83" i="280"/>
  <c r="AD166" i="280"/>
  <c r="AE166" i="280"/>
  <c r="AD171" i="280"/>
  <c r="AE171" i="280"/>
  <c r="AF12" i="281"/>
  <c r="AF70" i="280"/>
  <c r="AF78" i="280"/>
  <c r="N148" i="280"/>
  <c r="N146" i="280"/>
  <c r="N192" i="280" s="1" a="1"/>
  <c r="N192" i="280" s="1"/>
  <c r="U153" i="280"/>
  <c r="AF173" i="280"/>
  <c r="K40" i="249"/>
  <c r="K41" i="249"/>
  <c r="K42" i="249"/>
  <c r="K44" i="249"/>
  <c r="K45" i="249"/>
  <c r="AC10" i="249"/>
  <c r="K43" i="249"/>
  <c r="AC13" i="249"/>
  <c r="AC21" i="249"/>
  <c r="I43" i="249"/>
  <c r="I41" i="257"/>
  <c r="AC15" i="257"/>
  <c r="B100" i="295"/>
  <c r="B118" i="295" s="1"/>
  <c r="B130" i="295" s="1"/>
  <c r="B86" i="295"/>
  <c r="W44" i="47"/>
  <c r="W48" i="47"/>
  <c r="W45" i="47"/>
  <c r="W43" i="47"/>
  <c r="W47" i="47"/>
  <c r="W46" i="47"/>
  <c r="D15" i="73" a="1"/>
  <c r="AF14" i="281"/>
  <c r="AD25" i="280"/>
  <c r="AE25" i="280"/>
  <c r="AF71" i="280"/>
  <c r="I40" i="250"/>
  <c r="I41" i="250"/>
  <c r="I42" i="250"/>
  <c r="I44" i="250"/>
  <c r="I45" i="250"/>
  <c r="K10" i="250"/>
  <c r="I43" i="250"/>
  <c r="AC15" i="250"/>
  <c r="AC23" i="250"/>
  <c r="AC13" i="256"/>
  <c r="AC21" i="256"/>
  <c r="G16" i="285"/>
  <c r="K16" i="285"/>
  <c r="E16" i="285"/>
  <c r="I16" i="285"/>
  <c r="F16" i="285"/>
  <c r="H16" i="285"/>
  <c r="J16" i="285"/>
  <c r="D16" i="285"/>
  <c r="D39" i="295" a="1"/>
  <c r="N41" i="53"/>
  <c r="N42" i="53"/>
  <c r="N43" i="53"/>
  <c r="N46" i="53"/>
  <c r="N44" i="53"/>
  <c r="N45" i="53"/>
  <c r="U22" i="280"/>
  <c r="AD28" i="280"/>
  <c r="AE28" i="280"/>
  <c r="AF76" i="280"/>
  <c r="AF166" i="280"/>
  <c r="I45" i="249"/>
  <c r="AC11" i="249"/>
  <c r="K28" i="52"/>
  <c r="K69" i="52" s="1"/>
  <c r="Q72" i="73"/>
  <c r="B73" i="52"/>
  <c r="B76" i="73"/>
  <c r="B92" i="73" s="1"/>
  <c r="E16" i="295"/>
  <c r="I16" i="295"/>
  <c r="F16" i="295"/>
  <c r="J16" i="295"/>
  <c r="G16" i="295"/>
  <c r="K16" i="295"/>
  <c r="D16" i="295"/>
  <c r="H16" i="295"/>
  <c r="W41" i="53"/>
  <c r="W42" i="53"/>
  <c r="W43" i="53"/>
  <c r="W45" i="53"/>
  <c r="W46" i="53"/>
  <c r="W44" i="53"/>
  <c r="U25" i="280"/>
  <c r="AC19" i="256"/>
  <c r="H40" i="12"/>
  <c r="D43" i="295"/>
  <c r="E43" i="295"/>
  <c r="Q43" i="172"/>
  <c r="Q47" i="172"/>
  <c r="Q44" i="172"/>
  <c r="Q48" i="172"/>
  <c r="Q45" i="172"/>
  <c r="Q46" i="172"/>
  <c r="O45" i="172"/>
  <c r="O46" i="172"/>
  <c r="O43" i="172"/>
  <c r="O47" i="172"/>
  <c r="O44" i="172"/>
  <c r="O48" i="172"/>
  <c r="D51" i="8"/>
  <c r="D53" i="8" s="1"/>
  <c r="D44" i="8"/>
  <c r="L42" i="8"/>
  <c r="I44" i="256"/>
  <c r="B102" i="295"/>
  <c r="B120" i="295" s="1"/>
  <c r="B132" i="295" s="1"/>
  <c r="B88" i="295"/>
  <c r="F42" i="266"/>
  <c r="C75" i="156" s="1"/>
  <c r="F75" i="156" s="1"/>
  <c r="H12" i="266"/>
  <c r="B59" i="346"/>
  <c r="B59" i="308"/>
  <c r="B87" i="306"/>
  <c r="F9" i="291"/>
  <c r="J9" i="284"/>
  <c r="F29" i="310"/>
  <c r="D30" i="310"/>
  <c r="F89" i="310"/>
  <c r="H89" i="310"/>
  <c r="D90" i="310"/>
  <c r="J90" i="310" s="1"/>
  <c r="AF22" i="270"/>
  <c r="D13" i="269"/>
  <c r="X22" i="270"/>
  <c r="V24" i="270"/>
  <c r="V19" i="270"/>
  <c r="V25" i="270"/>
  <c r="V101" i="270"/>
  <c r="V16" i="270"/>
  <c r="V22" i="270"/>
  <c r="U129" i="270"/>
  <c r="U134" i="270" s="1"/>
  <c r="V17" i="270"/>
  <c r="V23" i="270"/>
  <c r="C25" i="335"/>
  <c r="H59" i="310"/>
  <c r="V28" i="270"/>
  <c r="I45" i="310"/>
  <c r="I75" i="310"/>
  <c r="V14" i="270"/>
  <c r="AF28" i="270"/>
  <c r="X28" i="270"/>
  <c r="D16" i="269"/>
  <c r="I8" i="308"/>
  <c r="G20" i="316"/>
  <c r="H98" i="282" a="1"/>
  <c r="H98" i="282" s="1"/>
  <c r="H100" i="282" a="1"/>
  <c r="H100" i="282" s="1"/>
  <c r="H99" i="282" a="1"/>
  <c r="H99" i="282" s="1"/>
  <c r="J8" i="269"/>
  <c r="AF20" i="270"/>
  <c r="X20" i="270"/>
  <c r="D12" i="269"/>
  <c r="D17" i="269" s="1"/>
  <c r="H45" i="310"/>
  <c r="H96" i="282" a="1"/>
  <c r="H96" i="282" s="1"/>
  <c r="D26" i="343"/>
  <c r="D49" i="343"/>
  <c r="C57" i="343" s="1"/>
  <c r="C33" i="343"/>
  <c r="AE12" i="281"/>
  <c r="AD12" i="281"/>
  <c r="P32" i="280"/>
  <c r="H24" i="344"/>
  <c r="H9" i="316"/>
  <c r="J95" i="282" a="1"/>
  <c r="J95" i="282" s="1"/>
  <c r="P66" i="281"/>
  <c r="P68" i="281"/>
  <c r="AF59" i="281"/>
  <c r="P63" i="281"/>
  <c r="P65" i="281"/>
  <c r="P67" i="281"/>
  <c r="P64" i="281"/>
  <c r="U18" i="280"/>
  <c r="AF18" i="280"/>
  <c r="P35" i="280"/>
  <c r="AD64" i="280"/>
  <c r="AE64" i="280"/>
  <c r="AD68" i="280"/>
  <c r="AE68" i="280"/>
  <c r="AD72" i="280"/>
  <c r="AE72" i="280"/>
  <c r="AD76" i="280"/>
  <c r="AE76" i="280"/>
  <c r="AD80" i="280"/>
  <c r="AE80" i="280"/>
  <c r="P120" i="280"/>
  <c r="X120" i="280"/>
  <c r="AA120" i="280" s="1"/>
  <c r="AD167" i="280"/>
  <c r="AE167" i="280"/>
  <c r="AD172" i="280"/>
  <c r="AE172" i="280"/>
  <c r="AF31" i="281"/>
  <c r="AF59" i="280"/>
  <c r="AC16" i="249"/>
  <c r="H43" i="256"/>
  <c r="H45" i="256"/>
  <c r="H40" i="256"/>
  <c r="H41" i="256"/>
  <c r="H42" i="256"/>
  <c r="H44" i="256"/>
  <c r="I40" i="257"/>
  <c r="AC19" i="257"/>
  <c r="B80" i="289"/>
  <c r="B92" i="289"/>
  <c r="B108" i="289" s="1"/>
  <c r="B118" i="289" s="1"/>
  <c r="F31" i="289"/>
  <c r="F70" i="289" s="1"/>
  <c r="I31" i="289"/>
  <c r="I70" i="289" s="1"/>
  <c r="M41" i="53"/>
  <c r="M42" i="53"/>
  <c r="M43" i="53"/>
  <c r="M46" i="53"/>
  <c r="M44" i="53"/>
  <c r="M45" i="53"/>
  <c r="U14" i="285"/>
  <c r="U14" i="289"/>
  <c r="I27" i="73"/>
  <c r="G9" i="277"/>
  <c r="P87" i="280"/>
  <c r="P91" i="280"/>
  <c r="P86" i="280"/>
  <c r="P90" i="280"/>
  <c r="P89" i="280"/>
  <c r="P88" i="280"/>
  <c r="AE62" i="280"/>
  <c r="AD62" i="280"/>
  <c r="AF75" i="280"/>
  <c r="AD118" i="280"/>
  <c r="AE118" i="280"/>
  <c r="AC18" i="250"/>
  <c r="AC16" i="256"/>
  <c r="F32" i="285"/>
  <c r="F73" i="285" s="1"/>
  <c r="I32" i="285"/>
  <c r="I73" i="285" s="1"/>
  <c r="G32" i="285"/>
  <c r="G73" i="285" s="1"/>
  <c r="K32" i="285"/>
  <c r="K73" i="285" s="1"/>
  <c r="J32" i="285"/>
  <c r="J73" i="285" s="1"/>
  <c r="H32" i="285"/>
  <c r="H73" i="285" s="1"/>
  <c r="G37" i="289"/>
  <c r="G31" i="289" s="1"/>
  <c r="G70" i="289" s="1"/>
  <c r="I37" i="289"/>
  <c r="I30" i="289" s="1"/>
  <c r="I69" i="289" s="1"/>
  <c r="K37" i="289"/>
  <c r="K30" i="289" s="1"/>
  <c r="K69" i="289" s="1"/>
  <c r="D37" i="289"/>
  <c r="F37" i="289"/>
  <c r="F30" i="289" s="1"/>
  <c r="F69" i="289" s="1"/>
  <c r="E37" i="289"/>
  <c r="H37" i="289"/>
  <c r="H30" i="289" s="1"/>
  <c r="H69" i="289" s="1"/>
  <c r="J37" i="289"/>
  <c r="J30" i="289" s="1"/>
  <c r="J69" i="289" s="1"/>
  <c r="S43" i="47"/>
  <c r="S47" i="47"/>
  <c r="S44" i="47"/>
  <c r="S48" i="47"/>
  <c r="S45" i="47"/>
  <c r="S46" i="47"/>
  <c r="AD24" i="280"/>
  <c r="AE24" i="280"/>
  <c r="AF28" i="280"/>
  <c r="AF64" i="280"/>
  <c r="AF80" i="280"/>
  <c r="U119" i="280"/>
  <c r="AF171" i="280"/>
  <c r="I44" i="249"/>
  <c r="B87" i="295"/>
  <c r="B101" i="295"/>
  <c r="B119" i="295" s="1"/>
  <c r="B131" i="295" s="1"/>
  <c r="T10" i="41"/>
  <c r="T14" i="41"/>
  <c r="T18" i="41"/>
  <c r="T22" i="41"/>
  <c r="T11" i="41"/>
  <c r="T15" i="41"/>
  <c r="T19" i="41"/>
  <c r="T23" i="41"/>
  <c r="T12" i="41"/>
  <c r="T16" i="41"/>
  <c r="T20" i="41"/>
  <c r="T24" i="41"/>
  <c r="T13" i="41"/>
  <c r="T17" i="41"/>
  <c r="T21" i="41"/>
  <c r="O41" i="53"/>
  <c r="O42" i="53"/>
  <c r="O43" i="53"/>
  <c r="O44" i="53"/>
  <c r="O45" i="53"/>
  <c r="O46" i="53"/>
  <c r="AF28" i="281"/>
  <c r="AD27" i="280"/>
  <c r="AE27" i="280"/>
  <c r="AF65" i="280"/>
  <c r="AF73" i="280"/>
  <c r="AF81" i="280"/>
  <c r="AD116" i="280"/>
  <c r="AE116" i="280"/>
  <c r="AF167" i="280"/>
  <c r="AF172" i="280"/>
  <c r="U178" i="280"/>
  <c r="AC13" i="250"/>
  <c r="H43" i="249"/>
  <c r="H40" i="249"/>
  <c r="H41" i="249"/>
  <c r="H42" i="249"/>
  <c r="H44" i="249"/>
  <c r="H45" i="249"/>
  <c r="AC23" i="256"/>
  <c r="K29" i="52"/>
  <c r="K70" i="52" s="1"/>
  <c r="Q73" i="73"/>
  <c r="G29" i="289"/>
  <c r="I29" i="289"/>
  <c r="K29" i="289"/>
  <c r="H29" i="289"/>
  <c r="D41" i="289"/>
  <c r="F29" i="289"/>
  <c r="J29" i="289"/>
  <c r="E41" i="289"/>
  <c r="J32" i="289"/>
  <c r="J71" i="289" s="1"/>
  <c r="F32" i="289"/>
  <c r="F71" i="289" s="1"/>
  <c r="G32" i="289"/>
  <c r="G71" i="289" s="1"/>
  <c r="W46" i="172"/>
  <c r="W43" i="172"/>
  <c r="W47" i="172"/>
  <c r="W44" i="172"/>
  <c r="W45" i="172"/>
  <c r="W48" i="172"/>
  <c r="U44" i="172"/>
  <c r="U45" i="172"/>
  <c r="U46" i="172"/>
  <c r="U43" i="172"/>
  <c r="U47" i="172"/>
  <c r="U48" i="172"/>
  <c r="H42" i="12"/>
  <c r="O17" i="8"/>
  <c r="G22" i="8"/>
  <c r="F7" i="73"/>
  <c r="J7" i="73"/>
  <c r="N7" i="73"/>
  <c r="G7" i="73"/>
  <c r="K7" i="73"/>
  <c r="E7" i="73"/>
  <c r="I7" i="73"/>
  <c r="M7" i="73"/>
  <c r="D7" i="73"/>
  <c r="H7" i="73"/>
  <c r="L7" i="73"/>
  <c r="L35" i="8"/>
  <c r="I43" i="256"/>
  <c r="I42" i="256"/>
  <c r="B94" i="289"/>
  <c r="B110" i="289" s="1"/>
  <c r="B120" i="289" s="1"/>
  <c r="B82" i="289"/>
  <c r="B84" i="306"/>
  <c r="F35" i="316"/>
  <c r="J35" i="316" s="1"/>
  <c r="N35" i="316" s="1"/>
  <c r="R35" i="316" s="1"/>
  <c r="V35" i="316" s="1"/>
  <c r="Y35" i="316" s="1"/>
  <c r="AD35" i="316" s="1"/>
  <c r="B21" i="313"/>
  <c r="B81" i="306"/>
  <c r="K13" i="133"/>
  <c r="B13" i="133" s="1"/>
  <c r="G13" i="133" s="1"/>
  <c r="B3" i="283" s="1"/>
  <c r="B48" i="266" s="1"/>
  <c r="J16" i="133"/>
  <c r="F22" i="343" l="1"/>
  <c r="F23" i="343" s="1"/>
  <c r="F24" i="343" s="1"/>
  <c r="F25" i="343" s="1"/>
  <c r="F26" i="343" s="1"/>
  <c r="F27" i="343" s="1"/>
  <c r="F28" i="343" s="1"/>
  <c r="F29" i="343" s="1"/>
  <c r="F45" i="343"/>
  <c r="F46" i="343" s="1"/>
  <c r="F47" i="343" s="1"/>
  <c r="F48" i="343" s="1"/>
  <c r="F49" i="343" s="1"/>
  <c r="F50" i="343" s="1"/>
  <c r="F51" i="343" s="1"/>
  <c r="F52" i="343" s="1"/>
  <c r="F53" i="343" s="1"/>
  <c r="F22" i="345"/>
  <c r="F23" i="345" s="1"/>
  <c r="F24" i="345" s="1"/>
  <c r="F25" i="345" s="1"/>
  <c r="F26" i="345" s="1"/>
  <c r="F27" i="345" s="1"/>
  <c r="F28" i="345" s="1"/>
  <c r="F29" i="345" s="1"/>
  <c r="F45" i="345"/>
  <c r="F46" i="345" s="1"/>
  <c r="F47" i="345" s="1"/>
  <c r="F48" i="345" s="1"/>
  <c r="F49" i="345" s="1"/>
  <c r="F50" i="345" s="1"/>
  <c r="F51" i="345" s="1"/>
  <c r="F52" i="345" s="1"/>
  <c r="F53" i="345" s="1"/>
  <c r="H14" i="316"/>
  <c r="H17" i="316" s="1"/>
  <c r="H12" i="316"/>
  <c r="F22" i="306"/>
  <c r="F23" i="306" s="1"/>
  <c r="F24" i="306" s="1"/>
  <c r="F25" i="306" s="1"/>
  <c r="F26" i="306" s="1"/>
  <c r="F27" i="306" s="1"/>
  <c r="F28" i="306" s="1"/>
  <c r="F29" i="306" s="1"/>
  <c r="F45" i="306"/>
  <c r="F46" i="306" s="1"/>
  <c r="G22" i="316"/>
  <c r="F17" i="269"/>
  <c r="D41" i="269"/>
  <c r="J39" i="269"/>
  <c r="H43" i="285"/>
  <c r="H72" i="285"/>
  <c r="J41" i="289"/>
  <c r="J68" i="289"/>
  <c r="K32" i="289"/>
  <c r="K71" i="289" s="1"/>
  <c r="I68" i="289"/>
  <c r="I41" i="289"/>
  <c r="J31" i="289"/>
  <c r="J70" i="289" s="1"/>
  <c r="H31" i="289"/>
  <c r="H70" i="289" s="1"/>
  <c r="C34" i="343"/>
  <c r="D27" i="343"/>
  <c r="D50" i="343"/>
  <c r="C58" i="343" s="1"/>
  <c r="F16" i="269"/>
  <c r="J21" i="269"/>
  <c r="D31" i="310"/>
  <c r="F30" i="310"/>
  <c r="G30" i="310"/>
  <c r="H30" i="310"/>
  <c r="I30" i="310"/>
  <c r="G30" i="289"/>
  <c r="G69" i="289" s="1"/>
  <c r="X19" i="270"/>
  <c r="AF123" i="270"/>
  <c r="AF129" i="270" s="1"/>
  <c r="C67" i="156"/>
  <c r="F67" i="156" s="1"/>
  <c r="M26" i="266"/>
  <c r="E83" i="73"/>
  <c r="K42" i="12"/>
  <c r="K44" i="12"/>
  <c r="K45" i="12"/>
  <c r="K43" i="12"/>
  <c r="K40" i="12"/>
  <c r="K41" i="12"/>
  <c r="AC10" i="12"/>
  <c r="AD63" i="280"/>
  <c r="AE63" i="280"/>
  <c r="H39" i="52"/>
  <c r="J39" i="52"/>
  <c r="I39" i="52"/>
  <c r="F39" i="52"/>
  <c r="G39" i="52"/>
  <c r="K39" i="52"/>
  <c r="D39" i="52"/>
  <c r="E39" i="52"/>
  <c r="N71" i="281" a="1"/>
  <c r="N71" i="281" s="1"/>
  <c r="L131" i="270"/>
  <c r="L134" i="270"/>
  <c r="D9" i="267"/>
  <c r="D25" i="306"/>
  <c r="D48" i="306"/>
  <c r="K40" i="13"/>
  <c r="K41" i="13"/>
  <c r="K42" i="13"/>
  <c r="K43" i="13"/>
  <c r="K44" i="13"/>
  <c r="K45" i="13"/>
  <c r="J28" i="289"/>
  <c r="J67" i="289" s="1"/>
  <c r="J24" i="289"/>
  <c r="F31" i="285"/>
  <c r="N194" i="280" a="1"/>
  <c r="N194" i="280" s="1"/>
  <c r="I10" i="316"/>
  <c r="J16" i="316"/>
  <c r="I9" i="316"/>
  <c r="J8" i="346"/>
  <c r="I24" i="346"/>
  <c r="G24" i="346"/>
  <c r="F24" i="346"/>
  <c r="K16" i="133"/>
  <c r="B16" i="133" s="1"/>
  <c r="G16" i="133" s="1"/>
  <c r="B3" i="264" s="1"/>
  <c r="J17" i="133"/>
  <c r="F41" i="289"/>
  <c r="F68" i="289"/>
  <c r="O13" i="8"/>
  <c r="O22" i="8"/>
  <c r="O27" i="8"/>
  <c r="O40" i="8"/>
  <c r="O39" i="8"/>
  <c r="O28" i="8"/>
  <c r="O33" i="8"/>
  <c r="O38" i="8"/>
  <c r="O29" i="8"/>
  <c r="O14" i="8"/>
  <c r="O42" i="8"/>
  <c r="O15" i="8"/>
  <c r="O20" i="8"/>
  <c r="O19" i="8"/>
  <c r="I32" i="289"/>
  <c r="I71" i="289" s="1"/>
  <c r="H32" i="289"/>
  <c r="H71" i="289" s="1"/>
  <c r="G41" i="289"/>
  <c r="G68" i="289"/>
  <c r="V14" i="285"/>
  <c r="V14" i="289"/>
  <c r="J27" i="73"/>
  <c r="H20" i="316"/>
  <c r="H22" i="316" s="1"/>
  <c r="D91" i="310"/>
  <c r="F90" i="310"/>
  <c r="G90" i="310"/>
  <c r="I90" i="310"/>
  <c r="H90" i="310"/>
  <c r="B87" i="52"/>
  <c r="B101" i="52"/>
  <c r="B119" i="52" s="1"/>
  <c r="B131" i="52" s="1"/>
  <c r="F39" i="295"/>
  <c r="H39" i="295"/>
  <c r="J39" i="295"/>
  <c r="G39" i="295"/>
  <c r="I39" i="295"/>
  <c r="K39" i="295"/>
  <c r="D39" i="295"/>
  <c r="E39" i="295"/>
  <c r="D15" i="73"/>
  <c r="F15" i="73"/>
  <c r="H15" i="73"/>
  <c r="J15" i="73"/>
  <c r="L15" i="73"/>
  <c r="N15" i="73"/>
  <c r="E15" i="73"/>
  <c r="G15" i="73"/>
  <c r="I15" i="73"/>
  <c r="K15" i="73"/>
  <c r="M15" i="73"/>
  <c r="E17" i="266"/>
  <c r="H17" i="266" s="1"/>
  <c r="F23" i="266" s="1"/>
  <c r="E18" i="266"/>
  <c r="E15" i="266"/>
  <c r="E16" i="266"/>
  <c r="M35" i="8"/>
  <c r="E44" i="8"/>
  <c r="K43" i="285"/>
  <c r="M39" i="8"/>
  <c r="M29" i="8"/>
  <c r="M38" i="8"/>
  <c r="M14" i="8"/>
  <c r="M15" i="8"/>
  <c r="M20" i="8"/>
  <c r="M22" i="8"/>
  <c r="M27" i="8"/>
  <c r="M40" i="8"/>
  <c r="M33" i="8"/>
  <c r="M42" i="8"/>
  <c r="M19" i="8"/>
  <c r="M13" i="8"/>
  <c r="M28" i="8"/>
  <c r="N74" i="281" a="1"/>
  <c r="N74" i="281" s="1"/>
  <c r="D7" i="313"/>
  <c r="D7" i="306"/>
  <c r="C52" i="308" s="1"/>
  <c r="O35" i="295"/>
  <c r="O35" i="52"/>
  <c r="F14" i="286"/>
  <c r="O35" i="285"/>
  <c r="E35" i="285" s="1"/>
  <c r="F12" i="290"/>
  <c r="O33" i="289"/>
  <c r="E33" i="289" s="1"/>
  <c r="D15" i="279"/>
  <c r="H15" i="279" s="1"/>
  <c r="H16" i="267"/>
  <c r="H20" i="267" s="1"/>
  <c r="J9" i="269"/>
  <c r="F9" i="269"/>
  <c r="L29" i="8"/>
  <c r="L38" i="8"/>
  <c r="L28" i="8"/>
  <c r="L39" i="8"/>
  <c r="L14" i="8"/>
  <c r="L20" i="8"/>
  <c r="L27" i="8"/>
  <c r="L40" i="8"/>
  <c r="L15" i="8"/>
  <c r="L19" i="8"/>
  <c r="L22" i="8"/>
  <c r="L13" i="8"/>
  <c r="L31" i="8"/>
  <c r="L33" i="8"/>
  <c r="O35" i="8"/>
  <c r="G44" i="8"/>
  <c r="D28" i="289"/>
  <c r="D67" i="289"/>
  <c r="J43" i="285"/>
  <c r="J72" i="285"/>
  <c r="Y8" i="47"/>
  <c r="P8" i="47"/>
  <c r="Z8" i="47" s="1"/>
  <c r="N191" i="280" a="1"/>
  <c r="N191" i="280" s="1"/>
  <c r="N72" i="281" a="1"/>
  <c r="N72" i="281" s="1"/>
  <c r="K8" i="344"/>
  <c r="J24" i="344"/>
  <c r="N189" i="280" a="1"/>
  <c r="N189" i="280" s="1"/>
  <c r="H68" i="289"/>
  <c r="H41" i="289"/>
  <c r="E73" i="73"/>
  <c r="D73" i="73"/>
  <c r="AD120" i="280"/>
  <c r="AE120" i="280"/>
  <c r="AG28" i="270"/>
  <c r="J13" i="269"/>
  <c r="L13" i="269" s="1"/>
  <c r="F13" i="269"/>
  <c r="L44" i="8"/>
  <c r="D62" i="8"/>
  <c r="D72" i="73"/>
  <c r="E72" i="73"/>
  <c r="X37" i="270"/>
  <c r="X41" i="270"/>
  <c r="X45" i="270"/>
  <c r="X49" i="270"/>
  <c r="X53" i="270"/>
  <c r="X57" i="270"/>
  <c r="X61" i="270"/>
  <c r="X65" i="270"/>
  <c r="X69" i="270"/>
  <c r="X73" i="270"/>
  <c r="X77" i="270"/>
  <c r="X83" i="270"/>
  <c r="X87" i="270"/>
  <c r="X93" i="270"/>
  <c r="X103" i="270"/>
  <c r="X107" i="270"/>
  <c r="X111" i="270"/>
  <c r="X115" i="270"/>
  <c r="X119" i="270"/>
  <c r="X11" i="270"/>
  <c r="X32" i="270"/>
  <c r="X40" i="270"/>
  <c r="X44" i="270"/>
  <c r="X48" i="270"/>
  <c r="X52" i="270"/>
  <c r="X56" i="270"/>
  <c r="X60" i="270"/>
  <c r="X64" i="270"/>
  <c r="X68" i="270"/>
  <c r="X72" i="270"/>
  <c r="X76" i="270"/>
  <c r="X80" i="270"/>
  <c r="X86" i="270"/>
  <c r="X92" i="270"/>
  <c r="X98" i="270"/>
  <c r="X102" i="270"/>
  <c r="X106" i="270"/>
  <c r="X110" i="270"/>
  <c r="X114" i="270"/>
  <c r="X118" i="270"/>
  <c r="X10" i="270"/>
  <c r="X29" i="270"/>
  <c r="X39" i="270"/>
  <c r="X43" i="270"/>
  <c r="X47" i="270"/>
  <c r="X51" i="270"/>
  <c r="X55" i="270"/>
  <c r="X59" i="270"/>
  <c r="X63" i="270"/>
  <c r="X67" i="270"/>
  <c r="X71" i="270"/>
  <c r="X75" i="270"/>
  <c r="X79" i="270"/>
  <c r="X85" i="270"/>
  <c r="X91" i="270"/>
  <c r="X95" i="270"/>
  <c r="X105" i="270"/>
  <c r="X109" i="270"/>
  <c r="X113" i="270"/>
  <c r="X117" i="270"/>
  <c r="X8" i="270"/>
  <c r="X9" i="270"/>
  <c r="X38" i="270"/>
  <c r="X42" i="270"/>
  <c r="X46" i="270"/>
  <c r="X50" i="270"/>
  <c r="X54" i="270"/>
  <c r="X58" i="270"/>
  <c r="X62" i="270"/>
  <c r="X66" i="270"/>
  <c r="X70" i="270"/>
  <c r="X74" i="270"/>
  <c r="X78" i="270"/>
  <c r="X84" i="270"/>
  <c r="X88" i="270"/>
  <c r="X94" i="270"/>
  <c r="X104" i="270"/>
  <c r="X108" i="270"/>
  <c r="X112" i="270"/>
  <c r="X116" i="270"/>
  <c r="X120" i="270"/>
  <c r="X25" i="270"/>
  <c r="X24" i="270"/>
  <c r="X16" i="270"/>
  <c r="X21" i="270"/>
  <c r="W129" i="270"/>
  <c r="X17" i="270"/>
  <c r="X23" i="270"/>
  <c r="X10" i="285"/>
  <c r="X10" i="289"/>
  <c r="AC11" i="257"/>
  <c r="K42" i="257"/>
  <c r="K44" i="257"/>
  <c r="K45" i="257"/>
  <c r="K40" i="257"/>
  <c r="K41" i="257"/>
  <c r="K43" i="257"/>
  <c r="N190" i="280" a="1"/>
  <c r="N190" i="280" s="1"/>
  <c r="P35" i="281"/>
  <c r="P39" i="281"/>
  <c r="P36" i="281"/>
  <c r="U25" i="281"/>
  <c r="P38" i="281"/>
  <c r="P34" i="281"/>
  <c r="P71" i="281" s="1" a="1"/>
  <c r="P71" i="281" s="1"/>
  <c r="P37" i="281"/>
  <c r="P76" i="281" a="1"/>
  <c r="P76" i="281" s="1"/>
  <c r="P73" i="281" a="1"/>
  <c r="P73" i="281" s="1"/>
  <c r="P74" i="281" a="1"/>
  <c r="P74" i="281" s="1"/>
  <c r="F24" i="308"/>
  <c r="G24" i="308"/>
  <c r="AG18" i="270"/>
  <c r="X101" i="270"/>
  <c r="O31" i="8"/>
  <c r="G72" i="285"/>
  <c r="G43" i="285"/>
  <c r="D74" i="73"/>
  <c r="E74" i="73"/>
  <c r="N193" i="280" a="1"/>
  <c r="N193" i="280" s="1"/>
  <c r="N76" i="281" a="1"/>
  <c r="N76" i="281" s="1"/>
  <c r="F16" i="310"/>
  <c r="D17" i="310"/>
  <c r="G16" i="310"/>
  <c r="I16" i="310"/>
  <c r="H16" i="310"/>
  <c r="H24" i="346"/>
  <c r="X15" i="270"/>
  <c r="D47" i="310"/>
  <c r="F46" i="310"/>
  <c r="G46" i="310"/>
  <c r="H46" i="310"/>
  <c r="I46" i="310"/>
  <c r="D25" i="345"/>
  <c r="D48" i="345"/>
  <c r="AF63" i="280"/>
  <c r="K41" i="289"/>
  <c r="K68" i="289"/>
  <c r="K31" i="289"/>
  <c r="K70" i="289" s="1"/>
  <c r="BU120" i="280"/>
  <c r="AF120" i="280"/>
  <c r="U120" i="280"/>
  <c r="F12" i="269"/>
  <c r="J12" i="269"/>
  <c r="L12" i="269" s="1"/>
  <c r="J23" i="269"/>
  <c r="L8" i="269" s="1"/>
  <c r="J8" i="308"/>
  <c r="I24" i="308"/>
  <c r="V123" i="270"/>
  <c r="V129" i="270" s="1"/>
  <c r="AG22" i="270"/>
  <c r="K42" i="250"/>
  <c r="K44" i="250"/>
  <c r="K45" i="250"/>
  <c r="K40" i="250"/>
  <c r="K41" i="250"/>
  <c r="AC10" i="250"/>
  <c r="K43" i="250"/>
  <c r="L15" i="269"/>
  <c r="X14" i="270"/>
  <c r="B88" i="52"/>
  <c r="B102" i="52"/>
  <c r="B120" i="52" s="1"/>
  <c r="B132" i="52" s="1"/>
  <c r="D83" i="73"/>
  <c r="B86" i="52"/>
  <c r="B100" i="52"/>
  <c r="B118" i="52" s="1"/>
  <c r="B130" i="52" s="1"/>
  <c r="M19" i="316"/>
  <c r="F60" i="310"/>
  <c r="D61" i="310"/>
  <c r="G60" i="310"/>
  <c r="H60" i="310"/>
  <c r="I60" i="310"/>
  <c r="I72" i="285"/>
  <c r="I43" i="285"/>
  <c r="W8" i="47"/>
  <c r="L8" i="47"/>
  <c r="V8" i="47" s="1"/>
  <c r="P147" i="280"/>
  <c r="P150" i="280"/>
  <c r="P149" i="280"/>
  <c r="P148" i="280"/>
  <c r="U95" i="280"/>
  <c r="P145" i="280"/>
  <c r="P190" i="280" s="1" a="1"/>
  <c r="P190" i="280" s="1"/>
  <c r="P146" i="280"/>
  <c r="P193" i="280" s="1" a="1"/>
  <c r="P193" i="280" s="1"/>
  <c r="L11" i="310"/>
  <c r="K13" i="310"/>
  <c r="K17" i="310"/>
  <c r="K64" i="310" s="1"/>
  <c r="K29" i="310"/>
  <c r="K45" i="310"/>
  <c r="K57" i="310"/>
  <c r="K61" i="310"/>
  <c r="K73" i="310"/>
  <c r="K89" i="310"/>
  <c r="K15" i="310"/>
  <c r="K27" i="310"/>
  <c r="K31" i="310"/>
  <c r="K43" i="310"/>
  <c r="K47" i="310"/>
  <c r="K59" i="310"/>
  <c r="K75" i="310"/>
  <c r="K87" i="310"/>
  <c r="K91" i="310"/>
  <c r="K14" i="310"/>
  <c r="K30" i="310"/>
  <c r="K42" i="310"/>
  <c r="K46" i="310"/>
  <c r="K58" i="310"/>
  <c r="K74" i="310"/>
  <c r="K90" i="310"/>
  <c r="K12" i="310"/>
  <c r="K28" i="310"/>
  <c r="K44" i="310"/>
  <c r="K16" i="310"/>
  <c r="K72" i="310"/>
  <c r="K88" i="310"/>
  <c r="K60" i="310"/>
  <c r="K76" i="310"/>
  <c r="J30" i="310"/>
  <c r="L11" i="269"/>
  <c r="AG15" i="270"/>
  <c r="F76" i="310"/>
  <c r="D77" i="310"/>
  <c r="G76" i="310"/>
  <c r="H76" i="310"/>
  <c r="I76" i="310"/>
  <c r="N73" i="281" a="1"/>
  <c r="N73" i="281" s="1"/>
  <c r="F47" i="306" l="1"/>
  <c r="F48" i="306" s="1"/>
  <c r="F49" i="306" s="1"/>
  <c r="F50" i="306" s="1"/>
  <c r="F51" i="306" s="1"/>
  <c r="F52" i="306" s="1"/>
  <c r="F53" i="306" s="1"/>
  <c r="I14" i="316"/>
  <c r="I17" i="316" s="1"/>
  <c r="I12" i="316"/>
  <c r="J9" i="316"/>
  <c r="F77" i="310"/>
  <c r="H77" i="310"/>
  <c r="D78" i="310"/>
  <c r="I77" i="310"/>
  <c r="G77" i="310"/>
  <c r="J77" i="310"/>
  <c r="K77" i="310"/>
  <c r="J9" i="308"/>
  <c r="J33" i="308" s="1"/>
  <c r="K8" i="308"/>
  <c r="J24" i="308"/>
  <c r="L14" i="310"/>
  <c r="L30" i="310"/>
  <c r="L42" i="310"/>
  <c r="L46" i="310"/>
  <c r="L58" i="310"/>
  <c r="L74" i="310"/>
  <c r="L78" i="310"/>
  <c r="L90" i="310"/>
  <c r="L12" i="310"/>
  <c r="L16" i="310"/>
  <c r="L28" i="310"/>
  <c r="L44" i="310"/>
  <c r="L60" i="310"/>
  <c r="L72" i="310"/>
  <c r="L76" i="310"/>
  <c r="L88" i="310"/>
  <c r="L15" i="310"/>
  <c r="L27" i="310"/>
  <c r="L31" i="310"/>
  <c r="L43" i="310"/>
  <c r="L47" i="310"/>
  <c r="L59" i="310"/>
  <c r="L75" i="310"/>
  <c r="L87" i="310"/>
  <c r="L91" i="310"/>
  <c r="L29" i="310"/>
  <c r="L45" i="310"/>
  <c r="L17" i="310"/>
  <c r="L79" i="310" s="1"/>
  <c r="L89" i="310"/>
  <c r="M11" i="310"/>
  <c r="L13" i="310"/>
  <c r="L61" i="310"/>
  <c r="L77" i="310"/>
  <c r="L57" i="310"/>
  <c r="L73" i="310"/>
  <c r="F61" i="310"/>
  <c r="H61" i="310"/>
  <c r="D62" i="310"/>
  <c r="G61" i="310"/>
  <c r="I61" i="310"/>
  <c r="J61" i="310"/>
  <c r="D48" i="310"/>
  <c r="L48" i="310" s="1"/>
  <c r="F47" i="310"/>
  <c r="G47" i="310"/>
  <c r="H47" i="310"/>
  <c r="I47" i="310"/>
  <c r="J47" i="310"/>
  <c r="F17" i="310"/>
  <c r="F94" i="310" s="1"/>
  <c r="H17" i="310"/>
  <c r="H19" i="310" s="1"/>
  <c r="D18" i="310"/>
  <c r="L18" i="310" s="1"/>
  <c r="I17" i="310"/>
  <c r="G17" i="310"/>
  <c r="G79" i="310"/>
  <c r="K79" i="310"/>
  <c r="K49" i="310"/>
  <c r="L49" i="310"/>
  <c r="H94" i="310"/>
  <c r="L94" i="310"/>
  <c r="F19" i="310"/>
  <c r="J17" i="310"/>
  <c r="F34" i="310"/>
  <c r="H79" i="310"/>
  <c r="L34" i="310"/>
  <c r="J34" i="310"/>
  <c r="I49" i="310"/>
  <c r="L19" i="310"/>
  <c r="L64" i="310"/>
  <c r="J49" i="310"/>
  <c r="P194" i="280" a="1"/>
  <c r="P194" i="280" s="1"/>
  <c r="P75" i="281" a="1"/>
  <c r="P75" i="281" s="1"/>
  <c r="L9" i="269"/>
  <c r="L23" i="269" s="1"/>
  <c r="H35" i="295"/>
  <c r="H76" i="295" s="1"/>
  <c r="E35" i="295"/>
  <c r="E76" i="295" s="1"/>
  <c r="I35" i="295"/>
  <c r="I76" i="295" s="1"/>
  <c r="F35" i="295"/>
  <c r="F76" i="295" s="1"/>
  <c r="J35" i="295"/>
  <c r="J76" i="295" s="1"/>
  <c r="G35" i="295"/>
  <c r="G76" i="295" s="1"/>
  <c r="K35" i="295"/>
  <c r="K76" i="295" s="1"/>
  <c r="M44" i="8"/>
  <c r="E62" i="8"/>
  <c r="H18" i="266"/>
  <c r="F43" i="266"/>
  <c r="M41" i="73"/>
  <c r="M34" i="73"/>
  <c r="M13" i="73"/>
  <c r="E41" i="73"/>
  <c r="E34" i="73"/>
  <c r="E13" i="73"/>
  <c r="H34" i="73"/>
  <c r="H41" i="73"/>
  <c r="H13" i="73"/>
  <c r="J32" i="295"/>
  <c r="J73" i="295" s="1"/>
  <c r="J31" i="295"/>
  <c r="J33" i="295"/>
  <c r="J74" i="295" s="1"/>
  <c r="J34" i="295"/>
  <c r="J75" i="295" s="1"/>
  <c r="K17" i="133"/>
  <c r="B17" i="133" s="1"/>
  <c r="G17" i="133" s="1"/>
  <c r="B3" i="10" s="1"/>
  <c r="J18" i="133"/>
  <c r="I20" i="316"/>
  <c r="I22" i="316" s="1"/>
  <c r="P192" i="280" a="1"/>
  <c r="P192" i="280" s="1"/>
  <c r="K32" i="52"/>
  <c r="K73" i="52" s="1"/>
  <c r="K33" i="52"/>
  <c r="K74" i="52" s="1"/>
  <c r="K34" i="52"/>
  <c r="K75" i="52" s="1"/>
  <c r="K31" i="52"/>
  <c r="J32" i="52"/>
  <c r="J73" i="52" s="1"/>
  <c r="J31" i="52"/>
  <c r="J34" i="52"/>
  <c r="J75" i="52" s="1"/>
  <c r="J33" i="52"/>
  <c r="J74" i="52" s="1"/>
  <c r="D28" i="343"/>
  <c r="C35" i="343"/>
  <c r="D51" i="343"/>
  <c r="C59" i="343" s="1"/>
  <c r="F10" i="269"/>
  <c r="F14" i="269"/>
  <c r="F21" i="269"/>
  <c r="F23" i="269"/>
  <c r="F27" i="269"/>
  <c r="F37" i="269"/>
  <c r="L14" i="269"/>
  <c r="F28" i="269"/>
  <c r="F34" i="269"/>
  <c r="F38" i="269"/>
  <c r="F20" i="269"/>
  <c r="F24" i="269"/>
  <c r="F29" i="269"/>
  <c r="F35" i="269"/>
  <c r="F26" i="269"/>
  <c r="F30" i="269"/>
  <c r="F36" i="269"/>
  <c r="F39" i="269"/>
  <c r="F22" i="269"/>
  <c r="F31" i="269"/>
  <c r="F11" i="269"/>
  <c r="F15" i="269"/>
  <c r="F8" i="269"/>
  <c r="L18" i="269"/>
  <c r="L10" i="269"/>
  <c r="L16" i="269"/>
  <c r="L19" i="269"/>
  <c r="L17" i="269"/>
  <c r="L20" i="269"/>
  <c r="L22" i="269"/>
  <c r="K34" i="310"/>
  <c r="F35" i="285"/>
  <c r="E76" i="285"/>
  <c r="I52" i="308"/>
  <c r="M52" i="308"/>
  <c r="Q52" i="308"/>
  <c r="U52" i="308"/>
  <c r="Y52" i="308"/>
  <c r="AC52" i="308"/>
  <c r="AG52" i="308"/>
  <c r="F52" i="308"/>
  <c r="J52" i="308"/>
  <c r="N52" i="308"/>
  <c r="R52" i="308"/>
  <c r="V52" i="308"/>
  <c r="Z52" i="308"/>
  <c r="AD52" i="308"/>
  <c r="G52" i="308"/>
  <c r="K52" i="308"/>
  <c r="O52" i="308"/>
  <c r="S52" i="308"/>
  <c r="W52" i="308"/>
  <c r="AA52" i="308"/>
  <c r="AE52" i="308"/>
  <c r="H52" i="308"/>
  <c r="L52" i="308"/>
  <c r="P52" i="308"/>
  <c r="T52" i="308"/>
  <c r="X52" i="308"/>
  <c r="AB52" i="308"/>
  <c r="AF52" i="308"/>
  <c r="K13" i="73"/>
  <c r="K34" i="73"/>
  <c r="K41" i="73"/>
  <c r="N41" i="73"/>
  <c r="N34" i="73"/>
  <c r="N13" i="73"/>
  <c r="F41" i="73"/>
  <c r="F34" i="73"/>
  <c r="F13" i="73"/>
  <c r="K33" i="295"/>
  <c r="K74" i="295" s="1"/>
  <c r="K34" i="295"/>
  <c r="K75" i="295" s="1"/>
  <c r="K32" i="295"/>
  <c r="K73" i="295" s="1"/>
  <c r="K31" i="295"/>
  <c r="H34" i="295"/>
  <c r="H75" i="295" s="1"/>
  <c r="H33" i="295"/>
  <c r="H74" i="295" s="1"/>
  <c r="H31" i="295"/>
  <c r="H32" i="295"/>
  <c r="H73" i="295" s="1"/>
  <c r="D92" i="310"/>
  <c r="F91" i="310"/>
  <c r="H91" i="310"/>
  <c r="G91" i="310"/>
  <c r="I91" i="310"/>
  <c r="J91" i="310"/>
  <c r="K16" i="316"/>
  <c r="J10" i="316"/>
  <c r="C33" i="306"/>
  <c r="D26" i="306"/>
  <c r="D49" i="306"/>
  <c r="C57" i="306" s="1"/>
  <c r="G31" i="52"/>
  <c r="G34" i="52"/>
  <c r="G75" i="52" s="1"/>
  <c r="G33" i="52"/>
  <c r="G74" i="52" s="1"/>
  <c r="G32" i="52"/>
  <c r="G73" i="52" s="1"/>
  <c r="H32" i="52"/>
  <c r="H73" i="52" s="1"/>
  <c r="H33" i="52"/>
  <c r="H74" i="52" s="1"/>
  <c r="H31" i="52"/>
  <c r="H34" i="52"/>
  <c r="H75" i="52" s="1"/>
  <c r="AG9" i="270"/>
  <c r="AG104" i="270"/>
  <c r="AG108" i="270"/>
  <c r="AG112" i="270"/>
  <c r="AG116" i="270"/>
  <c r="AG120" i="270"/>
  <c r="AG8" i="270"/>
  <c r="AG103" i="270"/>
  <c r="AG107" i="270"/>
  <c r="AG111" i="270"/>
  <c r="AG115" i="270"/>
  <c r="AG119" i="270"/>
  <c r="AG126" i="270"/>
  <c r="AF131" i="270"/>
  <c r="AG11" i="270"/>
  <c r="AG32" i="270"/>
  <c r="AG98" i="270"/>
  <c r="AG102" i="270"/>
  <c r="AG106" i="270"/>
  <c r="AG110" i="270"/>
  <c r="AG114" i="270"/>
  <c r="AG118" i="270"/>
  <c r="AG10" i="270"/>
  <c r="AG29" i="270"/>
  <c r="AG105" i="270"/>
  <c r="AG109" i="270"/>
  <c r="AG113" i="270"/>
  <c r="AG117" i="270"/>
  <c r="AG84" i="270"/>
  <c r="AG66" i="270"/>
  <c r="AG50" i="270"/>
  <c r="AG77" i="270"/>
  <c r="AG61" i="270"/>
  <c r="AG45" i="270"/>
  <c r="AG86" i="270"/>
  <c r="AG68" i="270"/>
  <c r="AG52" i="270"/>
  <c r="AG95" i="270"/>
  <c r="AG75" i="270"/>
  <c r="AG59" i="270"/>
  <c r="AG43" i="270"/>
  <c r="AG73" i="270"/>
  <c r="AG57" i="270"/>
  <c r="AG127" i="270"/>
  <c r="AG78" i="270"/>
  <c r="AG62" i="270"/>
  <c r="AG46" i="270"/>
  <c r="AG94" i="270"/>
  <c r="AG74" i="270"/>
  <c r="AG58" i="270"/>
  <c r="AG42" i="270"/>
  <c r="AG87" i="270"/>
  <c r="AG69" i="270"/>
  <c r="AG53" i="270"/>
  <c r="AG37" i="270"/>
  <c r="AG76" i="270"/>
  <c r="AG60" i="270"/>
  <c r="AG44" i="270"/>
  <c r="AG85" i="270"/>
  <c r="AG67" i="270"/>
  <c r="AG51" i="270"/>
  <c r="AG41" i="270"/>
  <c r="AG64" i="270"/>
  <c r="AG91" i="270"/>
  <c r="AG55" i="270"/>
  <c r="AG88" i="270"/>
  <c r="AG70" i="270"/>
  <c r="AG54" i="270"/>
  <c r="AG38" i="270"/>
  <c r="AG83" i="270"/>
  <c r="AG65" i="270"/>
  <c r="AG49" i="270"/>
  <c r="AG92" i="270"/>
  <c r="AG72" i="270"/>
  <c r="AG56" i="270"/>
  <c r="AG40" i="270"/>
  <c r="AG79" i="270"/>
  <c r="AG63" i="270"/>
  <c r="AG47" i="270"/>
  <c r="AG93" i="270"/>
  <c r="AG80" i="270"/>
  <c r="AG48" i="270"/>
  <c r="AG71" i="270"/>
  <c r="AG39" i="270"/>
  <c r="AG23" i="270"/>
  <c r="AG17" i="270"/>
  <c r="AG21" i="270"/>
  <c r="AG24" i="270"/>
  <c r="AG25" i="270"/>
  <c r="AG16" i="270"/>
  <c r="D32" i="310"/>
  <c r="F31" i="310"/>
  <c r="G31" i="310"/>
  <c r="H31" i="310"/>
  <c r="I31" i="310"/>
  <c r="J31" i="310"/>
  <c r="P189" i="280" a="1"/>
  <c r="P189" i="280" s="1"/>
  <c r="N19" i="316"/>
  <c r="G94" i="310"/>
  <c r="H34" i="310"/>
  <c r="H49" i="310"/>
  <c r="K94" i="310"/>
  <c r="G49" i="310"/>
  <c r="F79" i="310"/>
  <c r="K19" i="310"/>
  <c r="P72" i="281" a="1"/>
  <c r="P72" i="281" s="1"/>
  <c r="X126" i="270"/>
  <c r="X127" i="270" s="1"/>
  <c r="X129" i="270" s="1"/>
  <c r="P191" i="280" a="1"/>
  <c r="P191" i="280" s="1"/>
  <c r="G62" i="8"/>
  <c r="O44" i="8"/>
  <c r="AG101" i="270"/>
  <c r="F39" i="266"/>
  <c r="C70" i="156" s="1"/>
  <c r="F70" i="156" s="1"/>
  <c r="H16" i="266"/>
  <c r="AG19" i="270"/>
  <c r="I41" i="73"/>
  <c r="I34" i="73"/>
  <c r="I13" i="73"/>
  <c r="L34" i="73"/>
  <c r="L41" i="73"/>
  <c r="L13" i="73"/>
  <c r="D34" i="73"/>
  <c r="D41" i="73"/>
  <c r="D13" i="73"/>
  <c r="I32" i="295"/>
  <c r="I73" i="295" s="1"/>
  <c r="I31" i="295"/>
  <c r="I34" i="295"/>
  <c r="I75" i="295" s="1"/>
  <c r="I33" i="295"/>
  <c r="I74" i="295" s="1"/>
  <c r="F32" i="295"/>
  <c r="F73" i="295" s="1"/>
  <c r="F31" i="295"/>
  <c r="F34" i="295"/>
  <c r="F75" i="295" s="1"/>
  <c r="F33" i="295"/>
  <c r="F74" i="295" s="1"/>
  <c r="W14" i="285"/>
  <c r="W14" i="289"/>
  <c r="H9" i="277"/>
  <c r="K27" i="73"/>
  <c r="J9" i="267"/>
  <c r="J11" i="267" s="1"/>
  <c r="J16" i="267" s="1"/>
  <c r="D11" i="268"/>
  <c r="D11" i="267"/>
  <c r="F33" i="52"/>
  <c r="F74" i="52" s="1"/>
  <c r="F32" i="52"/>
  <c r="F73" i="52" s="1"/>
  <c r="F31" i="52"/>
  <c r="F34" i="52"/>
  <c r="F75" i="52" s="1"/>
  <c r="AG14" i="270"/>
  <c r="L21" i="269"/>
  <c r="C33" i="345"/>
  <c r="D26" i="345"/>
  <c r="D49" i="345"/>
  <c r="C57" i="345" s="1"/>
  <c r="X123" i="270"/>
  <c r="K9" i="344"/>
  <c r="K24" i="344"/>
  <c r="L8" i="344"/>
  <c r="F33" i="289"/>
  <c r="E72" i="289"/>
  <c r="H35" i="52"/>
  <c r="H76" i="52" s="1"/>
  <c r="E35" i="52"/>
  <c r="E76" i="52" s="1"/>
  <c r="I35" i="52"/>
  <c r="I76" i="52" s="1"/>
  <c r="J35" i="52"/>
  <c r="J76" i="52" s="1"/>
  <c r="K35" i="52"/>
  <c r="K76" i="52" s="1"/>
  <c r="F35" i="52"/>
  <c r="F76" i="52" s="1"/>
  <c r="G35" i="52"/>
  <c r="G76" i="52" s="1"/>
  <c r="Q79" i="73"/>
  <c r="D7" i="345"/>
  <c r="C52" i="346" s="1"/>
  <c r="D7" i="343"/>
  <c r="C52" i="344" s="1"/>
  <c r="I14" i="313"/>
  <c r="J14" i="313" s="1"/>
  <c r="I15" i="313"/>
  <c r="J15" i="313" s="1"/>
  <c r="F34" i="266"/>
  <c r="H15" i="266"/>
  <c r="F38" i="266"/>
  <c r="G13" i="73"/>
  <c r="G34" i="73"/>
  <c r="G41" i="73"/>
  <c r="J41" i="73"/>
  <c r="J34" i="73"/>
  <c r="J13" i="73"/>
  <c r="G31" i="295"/>
  <c r="G32" i="295"/>
  <c r="G73" i="295" s="1"/>
  <c r="G33" i="295"/>
  <c r="G74" i="295" s="1"/>
  <c r="G34" i="295"/>
  <c r="G75" i="295" s="1"/>
  <c r="AG20" i="270"/>
  <c r="J24" i="346"/>
  <c r="K8" i="346"/>
  <c r="F43" i="285"/>
  <c r="F72" i="285"/>
  <c r="I31" i="52"/>
  <c r="I32" i="52"/>
  <c r="I73" i="52" s="1"/>
  <c r="I33" i="52"/>
  <c r="I74" i="52" s="1"/>
  <c r="I34" i="52"/>
  <c r="I75" i="52" s="1"/>
  <c r="W132" i="270"/>
  <c r="W134" i="270" s="1"/>
  <c r="J41" i="269"/>
  <c r="J14" i="316" l="1"/>
  <c r="J17" i="316" s="1"/>
  <c r="J12" i="316"/>
  <c r="K28" i="344"/>
  <c r="K33" i="344"/>
  <c r="J28" i="308"/>
  <c r="J16" i="313"/>
  <c r="D11" i="305" s="1"/>
  <c r="J20" i="316"/>
  <c r="J22" i="316" s="1"/>
  <c r="L8" i="346"/>
  <c r="K9" i="346"/>
  <c r="K24" i="346"/>
  <c r="G72" i="295"/>
  <c r="G43" i="295"/>
  <c r="I52" i="344"/>
  <c r="M52" i="344"/>
  <c r="Q52" i="344"/>
  <c r="U52" i="344"/>
  <c r="Y52" i="344"/>
  <c r="AC52" i="344"/>
  <c r="AG52" i="344"/>
  <c r="F52" i="344"/>
  <c r="J52" i="344"/>
  <c r="N52" i="344"/>
  <c r="R52" i="344"/>
  <c r="V52" i="344"/>
  <c r="Z52" i="344"/>
  <c r="AD52" i="344"/>
  <c r="G52" i="344"/>
  <c r="K52" i="344"/>
  <c r="O52" i="344"/>
  <c r="S52" i="344"/>
  <c r="W52" i="344"/>
  <c r="AA52" i="344"/>
  <c r="AE52" i="344"/>
  <c r="H52" i="344"/>
  <c r="L52" i="344"/>
  <c r="P52" i="344"/>
  <c r="T52" i="344"/>
  <c r="X52" i="344"/>
  <c r="AB52" i="344"/>
  <c r="AF52" i="344"/>
  <c r="K10" i="344"/>
  <c r="K46" i="344"/>
  <c r="X14" i="285"/>
  <c r="X14" i="289"/>
  <c r="L42" i="73"/>
  <c r="L45" i="73" s="1"/>
  <c r="L43" i="73"/>
  <c r="C65" i="156"/>
  <c r="F65" i="156" s="1"/>
  <c r="M27" i="266"/>
  <c r="D27" i="345"/>
  <c r="D50" i="345"/>
  <c r="C58" i="345" s="1"/>
  <c r="C34" i="345"/>
  <c r="O27" i="295"/>
  <c r="F9" i="286"/>
  <c r="F16" i="286" s="1"/>
  <c r="O27" i="52"/>
  <c r="O27" i="285"/>
  <c r="O27" i="289"/>
  <c r="D16" i="267"/>
  <c r="D20" i="267" s="1"/>
  <c r="L36" i="73"/>
  <c r="L35" i="73"/>
  <c r="F43" i="73"/>
  <c r="F42" i="73"/>
  <c r="F45" i="73" s="1"/>
  <c r="G35" i="285"/>
  <c r="F76" i="285"/>
  <c r="J72" i="52"/>
  <c r="J43" i="52"/>
  <c r="H42" i="73"/>
  <c r="H45" i="73" s="1"/>
  <c r="H43" i="73"/>
  <c r="E42" i="73"/>
  <c r="E45" i="73" s="1"/>
  <c r="E43" i="73"/>
  <c r="C76" i="156"/>
  <c r="F76" i="156" s="1"/>
  <c r="D63" i="310"/>
  <c r="F62" i="310"/>
  <c r="G62" i="310"/>
  <c r="I62" i="310"/>
  <c r="H62" i="310"/>
  <c r="J62" i="310"/>
  <c r="K62" i="310"/>
  <c r="M15" i="310"/>
  <c r="M27" i="310"/>
  <c r="M31" i="310"/>
  <c r="M43" i="310"/>
  <c r="M47" i="310"/>
  <c r="M59" i="310"/>
  <c r="M63" i="310"/>
  <c r="M75" i="310"/>
  <c r="M87" i="310"/>
  <c r="M91" i="310"/>
  <c r="N11" i="310"/>
  <c r="M13" i="310"/>
  <c r="M17" i="310"/>
  <c r="M29" i="310"/>
  <c r="M45" i="310"/>
  <c r="M57" i="310"/>
  <c r="M61" i="310"/>
  <c r="M73" i="310"/>
  <c r="M77" i="310"/>
  <c r="M89" i="310"/>
  <c r="M12" i="310"/>
  <c r="M16" i="310"/>
  <c r="M28" i="310"/>
  <c r="M32" i="310"/>
  <c r="M44" i="310"/>
  <c r="M48" i="310"/>
  <c r="M60" i="310"/>
  <c r="M72" i="310"/>
  <c r="M76" i="310"/>
  <c r="M88" i="310"/>
  <c r="M92" i="310"/>
  <c r="M18" i="310"/>
  <c r="M90" i="310"/>
  <c r="M14" i="310"/>
  <c r="M62" i="310"/>
  <c r="M78" i="310"/>
  <c r="M42" i="310"/>
  <c r="M58" i="310"/>
  <c r="M74" i="310"/>
  <c r="M30" i="310"/>
  <c r="M46" i="310"/>
  <c r="Y6" i="52"/>
  <c r="Y6" i="289"/>
  <c r="Y6" i="285"/>
  <c r="L126" i="73"/>
  <c r="L149" i="73" s="1"/>
  <c r="L175" i="73" s="1"/>
  <c r="L200" i="73"/>
  <c r="L137" i="73"/>
  <c r="L160" i="73" s="1"/>
  <c r="L186" i="73" s="1"/>
  <c r="L111" i="73"/>
  <c r="L217" i="73"/>
  <c r="K72" i="295"/>
  <c r="K43" i="295"/>
  <c r="N35" i="73"/>
  <c r="N36" i="73"/>
  <c r="G43" i="73"/>
  <c r="G42" i="73"/>
  <c r="E21" i="266"/>
  <c r="E22" i="266"/>
  <c r="E23" i="266"/>
  <c r="H23" i="266" s="1"/>
  <c r="E24" i="266"/>
  <c r="M8" i="344"/>
  <c r="L24" i="344"/>
  <c r="L9" i="344"/>
  <c r="Q6" i="295" a="1"/>
  <c r="Q6" i="52"/>
  <c r="Q6" i="285"/>
  <c r="Q6" i="289"/>
  <c r="D8" i="277"/>
  <c r="D10" i="277" s="1"/>
  <c r="D126" i="73"/>
  <c r="D149" i="73" s="1"/>
  <c r="D175" i="73" s="1"/>
  <c r="D200" i="73"/>
  <c r="D111" i="73"/>
  <c r="D137" i="73"/>
  <c r="D160" i="73" s="1"/>
  <c r="D186" i="73" s="1"/>
  <c r="D217" i="73"/>
  <c r="I42" i="73"/>
  <c r="I45" i="73" s="1"/>
  <c r="I43" i="73"/>
  <c r="W6" i="52"/>
  <c r="W6" i="285"/>
  <c r="W6" i="289"/>
  <c r="H8" i="277"/>
  <c r="H10" i="277" s="1"/>
  <c r="J137" i="73"/>
  <c r="J160" i="73" s="1"/>
  <c r="J186" i="73" s="1"/>
  <c r="J126" i="73"/>
  <c r="J149" i="73" s="1"/>
  <c r="J175" i="73" s="1"/>
  <c r="J111" i="73"/>
  <c r="J200" i="73"/>
  <c r="J217" i="73"/>
  <c r="G36" i="73"/>
  <c r="G35" i="73"/>
  <c r="D42" i="73"/>
  <c r="D45" i="73" s="1"/>
  <c r="D43" i="73"/>
  <c r="G52" i="346"/>
  <c r="K52" i="346"/>
  <c r="O52" i="346"/>
  <c r="S52" i="346"/>
  <c r="W52" i="346"/>
  <c r="AA52" i="346"/>
  <c r="AE52" i="346"/>
  <c r="I52" i="346"/>
  <c r="M52" i="346"/>
  <c r="Q52" i="346"/>
  <c r="U52" i="346"/>
  <c r="Y52" i="346"/>
  <c r="AC52" i="346"/>
  <c r="AG52" i="346"/>
  <c r="L52" i="346"/>
  <c r="T52" i="346"/>
  <c r="AB52" i="346"/>
  <c r="F52" i="346"/>
  <c r="N52" i="346"/>
  <c r="V52" i="346"/>
  <c r="AD52" i="346"/>
  <c r="H52" i="346"/>
  <c r="P52" i="346"/>
  <c r="X52" i="346"/>
  <c r="AF52" i="346"/>
  <c r="J52" i="346"/>
  <c r="R52" i="346"/>
  <c r="Z52" i="346"/>
  <c r="AG129" i="270"/>
  <c r="K43" i="73"/>
  <c r="K42" i="73"/>
  <c r="K18" i="133"/>
  <c r="B18" i="133" s="1"/>
  <c r="G18" i="133" s="1"/>
  <c r="B3" i="8" s="1"/>
  <c r="J21" i="133"/>
  <c r="J35" i="73"/>
  <c r="J36" i="73"/>
  <c r="T6" i="52"/>
  <c r="T6" i="285"/>
  <c r="T6" i="289"/>
  <c r="F8" i="277"/>
  <c r="F10" i="277" s="1"/>
  <c r="G111" i="73"/>
  <c r="G137" i="73"/>
  <c r="G160" i="73" s="1"/>
  <c r="G186" i="73" s="1"/>
  <c r="G126" i="73"/>
  <c r="G149" i="73" s="1"/>
  <c r="G175" i="73" s="1"/>
  <c r="G200" i="73"/>
  <c r="G217" i="73"/>
  <c r="D79" i="73"/>
  <c r="D102" i="73" s="1"/>
  <c r="E79" i="73"/>
  <c r="E102" i="73" s="1"/>
  <c r="F72" i="52"/>
  <c r="F43" i="52"/>
  <c r="F9" i="290"/>
  <c r="F14" i="290" s="1"/>
  <c r="D13" i="268"/>
  <c r="F72" i="295"/>
  <c r="F43" i="295"/>
  <c r="I72" i="295"/>
  <c r="I43" i="295"/>
  <c r="D35" i="73"/>
  <c r="D36" i="73"/>
  <c r="V6" i="52"/>
  <c r="V6" i="285"/>
  <c r="V6" i="289"/>
  <c r="I126" i="73"/>
  <c r="I149" i="73" s="1"/>
  <c r="I175" i="73" s="1"/>
  <c r="I200" i="73"/>
  <c r="I137" i="73"/>
  <c r="I160" i="73" s="1"/>
  <c r="I186" i="73" s="1"/>
  <c r="I111" i="73"/>
  <c r="I217" i="73"/>
  <c r="F22" i="266"/>
  <c r="F24" i="266"/>
  <c r="O19" i="316"/>
  <c r="F32" i="310"/>
  <c r="D33" i="310"/>
  <c r="G32" i="310"/>
  <c r="I32" i="310"/>
  <c r="H32" i="310"/>
  <c r="J32" i="310"/>
  <c r="K32" i="310"/>
  <c r="AG123" i="270"/>
  <c r="H43" i="52"/>
  <c r="H72" i="52"/>
  <c r="F92" i="310"/>
  <c r="D93" i="310"/>
  <c r="G92" i="310"/>
  <c r="I92" i="310"/>
  <c r="H92" i="310"/>
  <c r="J92" i="310"/>
  <c r="K92" i="310"/>
  <c r="AA6" i="52"/>
  <c r="AA6" i="285"/>
  <c r="AA6" i="289"/>
  <c r="N137" i="73"/>
  <c r="N160" i="73" s="1"/>
  <c r="N186" i="73" s="1"/>
  <c r="N126" i="73"/>
  <c r="N149" i="73" s="1"/>
  <c r="N175" i="73" s="1"/>
  <c r="N200" i="73"/>
  <c r="N111" i="73"/>
  <c r="N217" i="73"/>
  <c r="K36" i="73"/>
  <c r="K35" i="73"/>
  <c r="J72" i="295"/>
  <c r="J43" i="295"/>
  <c r="H36" i="73"/>
  <c r="H35" i="73"/>
  <c r="Z6" i="52"/>
  <c r="Z6" i="285"/>
  <c r="Z6" i="289"/>
  <c r="M126" i="73"/>
  <c r="M149" i="73" s="1"/>
  <c r="M175" i="73" s="1"/>
  <c r="M200" i="73"/>
  <c r="M111" i="73"/>
  <c r="M137" i="73"/>
  <c r="M160" i="73" s="1"/>
  <c r="M186" i="73" s="1"/>
  <c r="M217" i="73"/>
  <c r="J19" i="310"/>
  <c r="J64" i="310"/>
  <c r="G64" i="310"/>
  <c r="G34" i="310"/>
  <c r="F49" i="310"/>
  <c r="F64" i="310"/>
  <c r="L62" i="310"/>
  <c r="J10" i="308"/>
  <c r="J46" i="308"/>
  <c r="J43" i="73"/>
  <c r="J42" i="73"/>
  <c r="C69" i="156"/>
  <c r="F69" i="156" s="1"/>
  <c r="G33" i="289"/>
  <c r="F72" i="289"/>
  <c r="X6" i="52"/>
  <c r="X6" i="285"/>
  <c r="X6" i="289"/>
  <c r="K137" i="73"/>
  <c r="K160" i="73" s="1"/>
  <c r="K186" i="73" s="1"/>
  <c r="K111" i="73"/>
  <c r="K126" i="73"/>
  <c r="K149" i="73" s="1"/>
  <c r="K175" i="73" s="1"/>
  <c r="K200" i="73"/>
  <c r="K217" i="73"/>
  <c r="K72" i="52"/>
  <c r="K43" i="52"/>
  <c r="R6" i="52"/>
  <c r="R6" i="285"/>
  <c r="R6" i="289"/>
  <c r="E8" i="277"/>
  <c r="E10" i="277" s="1"/>
  <c r="E126" i="73"/>
  <c r="E149" i="73" s="1"/>
  <c r="E175" i="73" s="1"/>
  <c r="E200" i="73"/>
  <c r="E111" i="73"/>
  <c r="E137" i="73"/>
  <c r="E160" i="73" s="1"/>
  <c r="E186" i="73" s="1"/>
  <c r="E217" i="73"/>
  <c r="M35" i="73"/>
  <c r="M36" i="73"/>
  <c r="I19" i="310"/>
  <c r="I94" i="310"/>
  <c r="I34" i="310"/>
  <c r="I64" i="310"/>
  <c r="L32" i="310"/>
  <c r="F78" i="310"/>
  <c r="G78" i="310"/>
  <c r="I78" i="310"/>
  <c r="H78" i="310"/>
  <c r="J78" i="310"/>
  <c r="K78" i="310"/>
  <c r="I35" i="73"/>
  <c r="I36" i="73"/>
  <c r="G25" i="316"/>
  <c r="G27" i="316" s="1"/>
  <c r="K25" i="316"/>
  <c r="O25" i="316"/>
  <c r="H25" i="316"/>
  <c r="H27" i="316" s="1"/>
  <c r="L25" i="316"/>
  <c r="I25" i="316"/>
  <c r="I27" i="316" s="1"/>
  <c r="M25" i="316"/>
  <c r="F25" i="316"/>
  <c r="F27" i="316" s="1"/>
  <c r="J25" i="316"/>
  <c r="N25" i="316"/>
  <c r="S6" i="52"/>
  <c r="S6" i="285"/>
  <c r="S6" i="289"/>
  <c r="F200" i="73"/>
  <c r="F111" i="73"/>
  <c r="F137" i="73"/>
  <c r="F160" i="73" s="1"/>
  <c r="F186" i="73" s="1"/>
  <c r="F126" i="73"/>
  <c r="F149" i="73" s="1"/>
  <c r="F175" i="73" s="1"/>
  <c r="F217" i="73"/>
  <c r="I72" i="52"/>
  <c r="I43" i="52"/>
  <c r="G72" i="52"/>
  <c r="G43" i="52"/>
  <c r="C34" i="306"/>
  <c r="D27" i="306"/>
  <c r="D50" i="306"/>
  <c r="C58" i="306" s="1"/>
  <c r="K10" i="316"/>
  <c r="L16" i="316"/>
  <c r="K9" i="316"/>
  <c r="H43" i="295"/>
  <c r="H72" i="295"/>
  <c r="F35" i="73"/>
  <c r="F36" i="73"/>
  <c r="N43" i="73"/>
  <c r="N42" i="73"/>
  <c r="F41" i="269"/>
  <c r="D52" i="343"/>
  <c r="C60" i="343" s="1"/>
  <c r="K31" i="344" s="1"/>
  <c r="C36" i="343"/>
  <c r="K26" i="344" s="1"/>
  <c r="D29" i="343"/>
  <c r="U6" i="52"/>
  <c r="U6" i="285"/>
  <c r="U6" i="289"/>
  <c r="G8" i="277"/>
  <c r="G10" i="277" s="1"/>
  <c r="H126" i="73"/>
  <c r="H149" i="73" s="1"/>
  <c r="H175" i="73" s="1"/>
  <c r="H200" i="73"/>
  <c r="H111" i="73"/>
  <c r="H137" i="73"/>
  <c r="H160" i="73" s="1"/>
  <c r="H186" i="73" s="1"/>
  <c r="H217" i="73"/>
  <c r="E35" i="73"/>
  <c r="E36" i="73"/>
  <c r="M42" i="73"/>
  <c r="M43" i="73"/>
  <c r="G19" i="310"/>
  <c r="I79" i="310"/>
  <c r="J94" i="310"/>
  <c r="J79" i="310"/>
  <c r="H64" i="310"/>
  <c r="F18" i="310"/>
  <c r="G18" i="310"/>
  <c r="I18" i="310"/>
  <c r="H18" i="310"/>
  <c r="J18" i="310"/>
  <c r="K18" i="310"/>
  <c r="F48" i="310"/>
  <c r="G48" i="310"/>
  <c r="I48" i="310"/>
  <c r="H48" i="310"/>
  <c r="J48" i="310"/>
  <c r="K48" i="310"/>
  <c r="L92" i="310"/>
  <c r="K9" i="308"/>
  <c r="K33" i="308" s="1"/>
  <c r="L8" i="308"/>
  <c r="K24" i="308"/>
  <c r="K29" i="344" l="1"/>
  <c r="K14" i="316"/>
  <c r="K17" i="316" s="1"/>
  <c r="K12" i="316"/>
  <c r="L28" i="344"/>
  <c r="L33" i="344"/>
  <c r="K33" i="346"/>
  <c r="K28" i="346"/>
  <c r="K28" i="308"/>
  <c r="F31" i="344"/>
  <c r="J27" i="316"/>
  <c r="L24" i="308"/>
  <c r="L9" i="308"/>
  <c r="L33" i="308" s="1"/>
  <c r="M8" i="308"/>
  <c r="M45" i="73"/>
  <c r="M47" i="73" s="1"/>
  <c r="N6" i="249"/>
  <c r="G14" i="277"/>
  <c r="R5" i="14"/>
  <c r="D56" i="14" s="1"/>
  <c r="D53" i="343"/>
  <c r="D30" i="343"/>
  <c r="S11" i="289"/>
  <c r="S15" i="289"/>
  <c r="M38" i="73"/>
  <c r="R11" i="289"/>
  <c r="R15" i="289"/>
  <c r="J26" i="344"/>
  <c r="X11" i="285"/>
  <c r="X15" i="285"/>
  <c r="Z11" i="285"/>
  <c r="Z15" i="285"/>
  <c r="J31" i="344"/>
  <c r="H93" i="310"/>
  <c r="F93" i="310"/>
  <c r="G93" i="310"/>
  <c r="I93" i="310"/>
  <c r="J93" i="310"/>
  <c r="K93" i="310"/>
  <c r="L93" i="310"/>
  <c r="F33" i="310"/>
  <c r="G33" i="310"/>
  <c r="H33" i="310"/>
  <c r="I33" i="310"/>
  <c r="J33" i="310"/>
  <c r="K33" i="310"/>
  <c r="L33" i="310"/>
  <c r="V11" i="289"/>
  <c r="V15" i="289"/>
  <c r="D20" i="73"/>
  <c r="D21" i="73" s="1"/>
  <c r="D38" i="73"/>
  <c r="J22" i="133"/>
  <c r="K21" i="133"/>
  <c r="B21" i="133" s="1"/>
  <c r="G21" i="133" s="1"/>
  <c r="B3" i="279" s="1"/>
  <c r="B228" i="73" s="1"/>
  <c r="T6" i="295"/>
  <c r="X6" i="295"/>
  <c r="Q6" i="295"/>
  <c r="U6" i="295"/>
  <c r="Y6" i="295"/>
  <c r="R6" i="295"/>
  <c r="V6" i="295"/>
  <c r="Z6" i="295"/>
  <c r="S6" i="295"/>
  <c r="W6" i="295"/>
  <c r="AA6" i="295"/>
  <c r="L46" i="344"/>
  <c r="L10" i="344"/>
  <c r="H24" i="266"/>
  <c r="F44" i="266"/>
  <c r="G45" i="73"/>
  <c r="Y11" i="289"/>
  <c r="Y15" i="289"/>
  <c r="M93" i="310"/>
  <c r="F63" i="310"/>
  <c r="G63" i="310"/>
  <c r="I63" i="310"/>
  <c r="H63" i="310"/>
  <c r="J63" i="310"/>
  <c r="K63" i="310"/>
  <c r="L63" i="310"/>
  <c r="G76" i="285"/>
  <c r="H35" i="285"/>
  <c r="J27" i="289"/>
  <c r="O35" i="289"/>
  <c r="K27" i="289"/>
  <c r="J27" i="295"/>
  <c r="O37" i="295"/>
  <c r="K27" i="295"/>
  <c r="U11" i="289"/>
  <c r="U15" i="289"/>
  <c r="F38" i="73"/>
  <c r="F47" i="73" s="1"/>
  <c r="F52" i="73" s="1"/>
  <c r="F54" i="73" s="1"/>
  <c r="F20" i="73"/>
  <c r="F21" i="73" s="1"/>
  <c r="M20" i="73"/>
  <c r="M23" i="73" s="1"/>
  <c r="M51" i="73" s="1"/>
  <c r="G26" i="344"/>
  <c r="H26" i="344"/>
  <c r="H33" i="289"/>
  <c r="G72" i="289"/>
  <c r="J19" i="308"/>
  <c r="J14" i="308"/>
  <c r="J18" i="308"/>
  <c r="J13" i="308"/>
  <c r="P25" i="316"/>
  <c r="AA11" i="289"/>
  <c r="AA15" i="289"/>
  <c r="V11" i="285"/>
  <c r="V15" i="285"/>
  <c r="O19" i="295" a="1"/>
  <c r="O19" i="52" a="1"/>
  <c r="O19" i="285" a="1"/>
  <c r="C16" i="156"/>
  <c r="F16" i="156" s="1"/>
  <c r="D16" i="268"/>
  <c r="Q5" i="14"/>
  <c r="D48" i="14" s="1"/>
  <c r="N6" i="256"/>
  <c r="F14" i="277"/>
  <c r="L9" i="279"/>
  <c r="J3" i="8"/>
  <c r="D47" i="73"/>
  <c r="D52" i="73" s="1"/>
  <c r="D54" i="73" s="1"/>
  <c r="S5" i="14"/>
  <c r="D64" i="14" s="1"/>
  <c r="N6" i="250"/>
  <c r="H14" i="277"/>
  <c r="Q15" i="289"/>
  <c r="M79" i="310"/>
  <c r="M94" i="310"/>
  <c r="M34" i="310"/>
  <c r="M64" i="310"/>
  <c r="M19" i="310"/>
  <c r="M49" i="310"/>
  <c r="J27" i="285"/>
  <c r="O37" i="285"/>
  <c r="K27" i="285"/>
  <c r="K10" i="308"/>
  <c r="K46" i="308"/>
  <c r="S15" i="285"/>
  <c r="S11" i="285"/>
  <c r="R11" i="285"/>
  <c r="R15" i="285"/>
  <c r="E38" i="73"/>
  <c r="E20" i="73"/>
  <c r="E21" i="73" s="1"/>
  <c r="U11" i="285"/>
  <c r="U15" i="285"/>
  <c r="N45" i="73"/>
  <c r="I38" i="73"/>
  <c r="I47" i="73" s="1"/>
  <c r="I52" i="73" s="1"/>
  <c r="I54" i="73" s="1"/>
  <c r="I20" i="73"/>
  <c r="I21" i="73" s="1"/>
  <c r="F26" i="344"/>
  <c r="J45" i="73"/>
  <c r="H20" i="73"/>
  <c r="H21" i="73" s="1"/>
  <c r="H38" i="73"/>
  <c r="H47" i="73" s="1"/>
  <c r="H52" i="73" s="1"/>
  <c r="H54" i="73" s="1"/>
  <c r="G31" i="344"/>
  <c r="K20" i="73"/>
  <c r="K21" i="73" s="1"/>
  <c r="K38" i="73"/>
  <c r="AA15" i="285"/>
  <c r="AA11" i="285"/>
  <c r="T11" i="289"/>
  <c r="T15" i="289"/>
  <c r="J38" i="73"/>
  <c r="J20" i="73"/>
  <c r="J21" i="73" s="1"/>
  <c r="K45" i="73"/>
  <c r="K47" i="73" s="1"/>
  <c r="K52" i="73" s="1"/>
  <c r="K54" i="73" s="1"/>
  <c r="G20" i="73"/>
  <c r="G21" i="73" s="1"/>
  <c r="G38" i="73"/>
  <c r="W11" i="289"/>
  <c r="W15" i="289"/>
  <c r="Q15" i="285"/>
  <c r="L26" i="344"/>
  <c r="H22" i="266"/>
  <c r="F41" i="266"/>
  <c r="C72" i="156" s="1"/>
  <c r="F72" i="156" s="1"/>
  <c r="N38" i="73"/>
  <c r="J27" i="52"/>
  <c r="O37" i="52"/>
  <c r="K27" i="52"/>
  <c r="Q71" i="73"/>
  <c r="L9" i="346"/>
  <c r="L24" i="346"/>
  <c r="M8" i="346"/>
  <c r="K20" i="316"/>
  <c r="K22" i="316" s="1"/>
  <c r="K27" i="316" s="1"/>
  <c r="M16" i="316"/>
  <c r="L10" i="316"/>
  <c r="L9" i="316"/>
  <c r="D28" i="306"/>
  <c r="C35" i="306"/>
  <c r="D51" i="306"/>
  <c r="C59" i="306" s="1"/>
  <c r="N6" i="257"/>
  <c r="E14" i="277"/>
  <c r="P5" i="14"/>
  <c r="D40" i="14" s="1"/>
  <c r="I26" i="344"/>
  <c r="X11" i="289"/>
  <c r="X15" i="289"/>
  <c r="Z11" i="289"/>
  <c r="Z15" i="289"/>
  <c r="H31" i="344"/>
  <c r="I31" i="344"/>
  <c r="T11" i="285"/>
  <c r="T15" i="285"/>
  <c r="W15" i="285"/>
  <c r="W11" i="285"/>
  <c r="O5" i="14"/>
  <c r="D32" i="14" s="1"/>
  <c r="N6" i="12"/>
  <c r="D14" i="277"/>
  <c r="L31" i="344"/>
  <c r="M31" i="344"/>
  <c r="M9" i="344"/>
  <c r="M24" i="344"/>
  <c r="N8" i="344"/>
  <c r="M26" i="344"/>
  <c r="F40" i="266"/>
  <c r="C71" i="156" s="1"/>
  <c r="F71" i="156" s="1"/>
  <c r="F35" i="266"/>
  <c r="H21" i="266"/>
  <c r="N20" i="73"/>
  <c r="N23" i="73" s="1"/>
  <c r="N51" i="73" s="1"/>
  <c r="Y15" i="285"/>
  <c r="Y11" i="285"/>
  <c r="M33" i="310"/>
  <c r="N12" i="310"/>
  <c r="N16" i="310"/>
  <c r="N28" i="310"/>
  <c r="N32" i="310"/>
  <c r="N44" i="310"/>
  <c r="N48" i="310"/>
  <c r="N60" i="310"/>
  <c r="N72" i="310"/>
  <c r="N76" i="310"/>
  <c r="N88" i="310"/>
  <c r="N92" i="310"/>
  <c r="N14" i="310"/>
  <c r="N18" i="310"/>
  <c r="N30" i="310"/>
  <c r="N42" i="310"/>
  <c r="N46" i="310"/>
  <c r="N58" i="310"/>
  <c r="N62" i="310"/>
  <c r="N74" i="310"/>
  <c r="N78" i="310"/>
  <c r="N90" i="310"/>
  <c r="O11" i="310"/>
  <c r="N13" i="310"/>
  <c r="N17" i="310"/>
  <c r="N29" i="310"/>
  <c r="N33" i="310"/>
  <c r="N45" i="310"/>
  <c r="N57" i="310"/>
  <c r="N61" i="310"/>
  <c r="N73" i="310"/>
  <c r="N77" i="310"/>
  <c r="N89" i="310"/>
  <c r="N15" i="310"/>
  <c r="N63" i="310"/>
  <c r="N59" i="310"/>
  <c r="N75" i="310"/>
  <c r="N27" i="310"/>
  <c r="N31" i="310"/>
  <c r="N43" i="310"/>
  <c r="N47" i="310"/>
  <c r="N87" i="310"/>
  <c r="N91" i="310"/>
  <c r="N93" i="310"/>
  <c r="E47" i="73"/>
  <c r="E52" i="73" s="1"/>
  <c r="E54" i="73" s="1"/>
  <c r="L20" i="73"/>
  <c r="L23" i="73" s="1"/>
  <c r="L38" i="73"/>
  <c r="L47" i="73" s="1"/>
  <c r="J20" i="267"/>
  <c r="N25" i="267" s="1"/>
  <c r="N26" i="267" s="1"/>
  <c r="E194" i="73"/>
  <c r="C35" i="345"/>
  <c r="D51" i="345"/>
  <c r="C59" i="345" s="1"/>
  <c r="D28" i="345"/>
  <c r="K13" i="344"/>
  <c r="K18" i="344"/>
  <c r="K14" i="344"/>
  <c r="K34" i="344" s="1"/>
  <c r="K19" i="344"/>
  <c r="K10" i="346"/>
  <c r="K46" i="346"/>
  <c r="K15" i="344" l="1"/>
  <c r="L29" i="344"/>
  <c r="L14" i="316"/>
  <c r="L12" i="316"/>
  <c r="M28" i="344"/>
  <c r="M29" i="344" s="1"/>
  <c r="M33" i="344"/>
  <c r="L33" i="346"/>
  <c r="L28" i="346"/>
  <c r="K20" i="344"/>
  <c r="L28" i="308"/>
  <c r="M9" i="316"/>
  <c r="H58" i="73"/>
  <c r="H198" i="73"/>
  <c r="H202" i="73" s="1"/>
  <c r="F58" i="73"/>
  <c r="F198" i="73"/>
  <c r="F202" i="73" s="1"/>
  <c r="I58" i="73"/>
  <c r="I198" i="73"/>
  <c r="I202" i="73" s="1"/>
  <c r="D29" i="345"/>
  <c r="D52" i="345"/>
  <c r="C60" i="345" s="1"/>
  <c r="F31" i="346" s="1"/>
  <c r="C36" i="345"/>
  <c r="F26" i="346" s="1"/>
  <c r="Q6" i="12"/>
  <c r="N13" i="12"/>
  <c r="N17" i="12"/>
  <c r="N21" i="12"/>
  <c r="N12" i="12"/>
  <c r="N16" i="12"/>
  <c r="N20" i="12"/>
  <c r="N49" i="12"/>
  <c r="N11" i="12"/>
  <c r="N15" i="12"/>
  <c r="N19" i="12"/>
  <c r="N23" i="12"/>
  <c r="N47" i="12"/>
  <c r="N10" i="12"/>
  <c r="N14" i="12"/>
  <c r="N18" i="12"/>
  <c r="N22" i="12"/>
  <c r="N11" i="257"/>
  <c r="N15" i="257"/>
  <c r="N19" i="257"/>
  <c r="N23" i="257"/>
  <c r="Q6" i="257"/>
  <c r="N13" i="257"/>
  <c r="N17" i="257"/>
  <c r="N21" i="257"/>
  <c r="N10" i="257"/>
  <c r="N14" i="257"/>
  <c r="N18" i="257"/>
  <c r="N22" i="257"/>
  <c r="N47" i="257"/>
  <c r="N49" i="257"/>
  <c r="N12" i="257"/>
  <c r="N16" i="257"/>
  <c r="N20" i="257"/>
  <c r="L17" i="316"/>
  <c r="D71" i="73"/>
  <c r="E71" i="73"/>
  <c r="K19" i="308"/>
  <c r="K14" i="308"/>
  <c r="K18" i="308"/>
  <c r="K13" i="308"/>
  <c r="K68" i="285"/>
  <c r="D58" i="73"/>
  <c r="D198" i="73"/>
  <c r="D202" i="73" s="1"/>
  <c r="Q6" i="256"/>
  <c r="N13" i="256"/>
  <c r="N17" i="256"/>
  <c r="N21" i="256"/>
  <c r="N11" i="256"/>
  <c r="N15" i="256"/>
  <c r="N19" i="256"/>
  <c r="N23" i="256"/>
  <c r="N47" i="256"/>
  <c r="N49" i="256"/>
  <c r="N12" i="256"/>
  <c r="N16" i="256"/>
  <c r="N20" i="256"/>
  <c r="N10" i="256"/>
  <c r="N14" i="256"/>
  <c r="N18" i="256"/>
  <c r="N22" i="256"/>
  <c r="O20" i="285"/>
  <c r="O22" i="285"/>
  <c r="O19" i="285"/>
  <c r="O21" i="285"/>
  <c r="J15" i="308"/>
  <c r="M37" i="295"/>
  <c r="J66" i="289"/>
  <c r="D54" i="14"/>
  <c r="E54" i="14" s="1"/>
  <c r="E56" i="14" s="1"/>
  <c r="E59" i="14" s="1"/>
  <c r="D55" i="14"/>
  <c r="E55" i="14" s="1"/>
  <c r="D57" i="14"/>
  <c r="E57" i="14" s="1"/>
  <c r="L10" i="308"/>
  <c r="L46" i="308"/>
  <c r="J31" i="346"/>
  <c r="E58" i="73"/>
  <c r="E198" i="73"/>
  <c r="E202" i="73" s="1"/>
  <c r="N64" i="310"/>
  <c r="N79" i="310"/>
  <c r="N49" i="310"/>
  <c r="N34" i="310"/>
  <c r="N94" i="310"/>
  <c r="N19" i="310"/>
  <c r="O8" i="344"/>
  <c r="N26" i="344"/>
  <c r="N24" i="344"/>
  <c r="N9" i="344"/>
  <c r="N31" i="344"/>
  <c r="D33" i="14"/>
  <c r="E33" i="14" s="1"/>
  <c r="D30" i="14"/>
  <c r="E30" i="14" s="1"/>
  <c r="D31" i="14"/>
  <c r="E31" i="14" s="1"/>
  <c r="L46" i="346"/>
  <c r="L10" i="346"/>
  <c r="K68" i="52"/>
  <c r="K37" i="52"/>
  <c r="K41" i="52" s="1"/>
  <c r="K45" i="52" s="1"/>
  <c r="K58" i="73"/>
  <c r="K198" i="73"/>
  <c r="K202" i="73" s="1"/>
  <c r="Q19" i="316"/>
  <c r="N47" i="73"/>
  <c r="N52" i="73" s="1"/>
  <c r="N54" i="73" s="1"/>
  <c r="M37" i="285"/>
  <c r="H30" i="277"/>
  <c r="H41" i="277" s="1"/>
  <c r="H20" i="277"/>
  <c r="H19" i="277"/>
  <c r="D49" i="14"/>
  <c r="E49" i="14" s="1"/>
  <c r="D47" i="14"/>
  <c r="E47" i="14" s="1"/>
  <c r="D46" i="14"/>
  <c r="E46" i="14" s="1"/>
  <c r="E48" i="14" s="1"/>
  <c r="E51" i="14" s="1"/>
  <c r="O20" i="52"/>
  <c r="O19" i="52"/>
  <c r="O21" i="52"/>
  <c r="O22" i="52"/>
  <c r="Q25" i="316"/>
  <c r="J20" i="308"/>
  <c r="I33" i="289"/>
  <c r="H72" i="289"/>
  <c r="J68" i="295"/>
  <c r="L14" i="344"/>
  <c r="L34" i="344" s="1"/>
  <c r="L19" i="344"/>
  <c r="L13" i="344"/>
  <c r="L18" i="344"/>
  <c r="G30" i="277"/>
  <c r="G41" i="277" s="1"/>
  <c r="G19" i="277"/>
  <c r="G20" i="277" s="1"/>
  <c r="L51" i="73"/>
  <c r="G34" i="266" a="1"/>
  <c r="C66" i="156"/>
  <c r="F66" i="156" s="1"/>
  <c r="M28" i="266"/>
  <c r="M29" i="266" s="1"/>
  <c r="M34" i="266"/>
  <c r="F45" i="266"/>
  <c r="D115" i="73" a="1"/>
  <c r="D39" i="14"/>
  <c r="E39" i="14" s="1"/>
  <c r="D38" i="14"/>
  <c r="E38" i="14" s="1"/>
  <c r="D41" i="14"/>
  <c r="E41" i="14" s="1"/>
  <c r="D29" i="306"/>
  <c r="D52" i="306"/>
  <c r="C60" i="306" s="1"/>
  <c r="J31" i="308" s="1"/>
  <c r="J34" i="308" s="1"/>
  <c r="C36" i="306"/>
  <c r="G26" i="308" s="1"/>
  <c r="M10" i="316"/>
  <c r="N16" i="316"/>
  <c r="L26" i="346"/>
  <c r="M37" i="52"/>
  <c r="J47" i="73"/>
  <c r="J52" i="73" s="1"/>
  <c r="J54" i="73" s="1"/>
  <c r="J68" i="285"/>
  <c r="Q6" i="250"/>
  <c r="N13" i="250"/>
  <c r="N17" i="250"/>
  <c r="N21" i="250"/>
  <c r="N11" i="250"/>
  <c r="N15" i="250"/>
  <c r="N19" i="250"/>
  <c r="N23" i="250"/>
  <c r="N47" i="250"/>
  <c r="N10" i="250"/>
  <c r="N14" i="250"/>
  <c r="N18" i="250"/>
  <c r="N22" i="250"/>
  <c r="N49" i="250"/>
  <c r="N12" i="250"/>
  <c r="N16" i="250"/>
  <c r="N20" i="250"/>
  <c r="O19" i="289"/>
  <c r="Q61" i="73" a="1"/>
  <c r="O20" i="295"/>
  <c r="O19" i="295"/>
  <c r="O21" i="295"/>
  <c r="O22" i="295"/>
  <c r="K66" i="289"/>
  <c r="I35" i="285"/>
  <c r="H76" i="285"/>
  <c r="G47" i="73"/>
  <c r="G52" i="73" s="1"/>
  <c r="G54" i="73" s="1"/>
  <c r="D54" i="343"/>
  <c r="F9" i="344"/>
  <c r="F33" i="344" s="1"/>
  <c r="N11" i="249"/>
  <c r="N15" i="249"/>
  <c r="N19" i="249"/>
  <c r="N23" i="249"/>
  <c r="N47" i="249"/>
  <c r="Q6" i="249"/>
  <c r="N13" i="249"/>
  <c r="N17" i="249"/>
  <c r="N21" i="249"/>
  <c r="N12" i="249"/>
  <c r="N16" i="249"/>
  <c r="N20" i="249"/>
  <c r="N10" i="249"/>
  <c r="N14" i="249"/>
  <c r="N18" i="249"/>
  <c r="N22" i="249"/>
  <c r="N49" i="249"/>
  <c r="N8" i="308"/>
  <c r="M24" i="308"/>
  <c r="H26" i="346"/>
  <c r="I26" i="346"/>
  <c r="K14" i="346"/>
  <c r="K19" i="346"/>
  <c r="K13" i="346"/>
  <c r="K18" i="346"/>
  <c r="K22" i="344"/>
  <c r="O13" i="310"/>
  <c r="O17" i="310"/>
  <c r="O29" i="310"/>
  <c r="O33" i="310"/>
  <c r="O45" i="310"/>
  <c r="O57" i="310"/>
  <c r="O61" i="310"/>
  <c r="O73" i="310"/>
  <c r="O77" i="310"/>
  <c r="O89" i="310"/>
  <c r="O93" i="310"/>
  <c r="O15" i="310"/>
  <c r="O27" i="310"/>
  <c r="O31" i="310"/>
  <c r="O43" i="310"/>
  <c r="O47" i="310"/>
  <c r="O59" i="310"/>
  <c r="O63" i="310"/>
  <c r="O75" i="310"/>
  <c r="O87" i="310"/>
  <c r="O91" i="310"/>
  <c r="O14" i="310"/>
  <c r="O18" i="310"/>
  <c r="O30" i="310"/>
  <c r="O42" i="310"/>
  <c r="O46" i="310"/>
  <c r="O58" i="310"/>
  <c r="O62" i="310"/>
  <c r="O74" i="310"/>
  <c r="O78" i="310"/>
  <c r="O90" i="310"/>
  <c r="O60" i="310"/>
  <c r="O76" i="310"/>
  <c r="O32" i="310"/>
  <c r="O48" i="310"/>
  <c r="O12" i="310"/>
  <c r="O28" i="310"/>
  <c r="O44" i="310"/>
  <c r="O92" i="310"/>
  <c r="O16" i="310"/>
  <c r="O72" i="310"/>
  <c r="O88" i="310"/>
  <c r="M10" i="344"/>
  <c r="M46" i="344"/>
  <c r="D30" i="277"/>
  <c r="D41" i="277" s="1"/>
  <c r="D20" i="277"/>
  <c r="D19" i="277"/>
  <c r="E19" i="277"/>
  <c r="E20" i="277" s="1"/>
  <c r="E30" i="277"/>
  <c r="E41" i="277" s="1"/>
  <c r="N8" i="346"/>
  <c r="M31" i="346"/>
  <c r="M9" i="346"/>
  <c r="M24" i="346"/>
  <c r="J68" i="52"/>
  <c r="D65" i="14"/>
  <c r="E65" i="14" s="1"/>
  <c r="D62" i="14"/>
  <c r="E62" i="14" s="1"/>
  <c r="D63" i="14"/>
  <c r="E63" i="14" s="1"/>
  <c r="F19" i="277"/>
  <c r="F20" i="277"/>
  <c r="F30" i="277"/>
  <c r="F41" i="277" s="1"/>
  <c r="K37" i="295"/>
  <c r="K41" i="295" s="1"/>
  <c r="K45" i="295" s="1"/>
  <c r="K68" i="295"/>
  <c r="M35" i="289"/>
  <c r="C77" i="156"/>
  <c r="F77" i="156" s="1"/>
  <c r="M36" i="266"/>
  <c r="M35" i="266"/>
  <c r="K22" i="133"/>
  <c r="B22" i="133" s="1"/>
  <c r="G22" i="133" s="1"/>
  <c r="B3" i="38" s="1"/>
  <c r="J25" i="133"/>
  <c r="M52" i="73"/>
  <c r="M54" i="73" s="1"/>
  <c r="L31" i="308"/>
  <c r="L34" i="308" s="1"/>
  <c r="M14" i="316" l="1"/>
  <c r="M17" i="316" s="1"/>
  <c r="M12" i="316"/>
  <c r="L15" i="344"/>
  <c r="N28" i="344"/>
  <c r="N29" i="344" s="1"/>
  <c r="N33" i="344"/>
  <c r="K15" i="346"/>
  <c r="L29" i="346"/>
  <c r="M28" i="346"/>
  <c r="M33" i="346"/>
  <c r="M34" i="346" s="1"/>
  <c r="L31" i="346"/>
  <c r="L34" i="346" s="1"/>
  <c r="H31" i="346"/>
  <c r="G31" i="346"/>
  <c r="I31" i="346"/>
  <c r="K31" i="346"/>
  <c r="K34" i="346" s="1"/>
  <c r="G9" i="344"/>
  <c r="F28" i="344"/>
  <c r="F29" i="344" s="1"/>
  <c r="K15" i="308"/>
  <c r="J22" i="308"/>
  <c r="J41" i="308" s="1"/>
  <c r="K20" i="308"/>
  <c r="J26" i="346"/>
  <c r="G26" i="346"/>
  <c r="K26" i="346"/>
  <c r="K29" i="346" s="1"/>
  <c r="M26" i="346"/>
  <c r="F26" i="308"/>
  <c r="J26" i="308"/>
  <c r="J29" i="308" s="1"/>
  <c r="K26" i="308"/>
  <c r="K29" i="308" s="1"/>
  <c r="M26" i="308"/>
  <c r="L26" i="308"/>
  <c r="L29" i="308" s="1"/>
  <c r="M58" i="73"/>
  <c r="M198" i="73"/>
  <c r="M202" i="73" s="1"/>
  <c r="M20" i="316"/>
  <c r="M22" i="316" s="1"/>
  <c r="M27" i="316" s="1"/>
  <c r="K42" i="344"/>
  <c r="K41" i="344"/>
  <c r="K43" i="344"/>
  <c r="N198" i="73"/>
  <c r="N202" i="73" s="1"/>
  <c r="N58" i="73"/>
  <c r="K25" i="133"/>
  <c r="B25" i="133" s="1"/>
  <c r="G25" i="133" s="1"/>
  <c r="B3" i="47" s="1"/>
  <c r="J26" i="133"/>
  <c r="F47" i="277"/>
  <c r="F48" i="277" s="1"/>
  <c r="F50" i="277" s="1"/>
  <c r="E64" i="14"/>
  <c r="E67" i="14" s="1"/>
  <c r="F31" i="308"/>
  <c r="N9" i="346"/>
  <c r="N24" i="346"/>
  <c r="N31" i="346"/>
  <c r="O8" i="346"/>
  <c r="N26" i="346"/>
  <c r="M13" i="344"/>
  <c r="M18" i="344"/>
  <c r="M14" i="344"/>
  <c r="M34" i="344" s="1"/>
  <c r="M19" i="344"/>
  <c r="K20" i="346"/>
  <c r="K22" i="346" s="1"/>
  <c r="G22" i="295"/>
  <c r="G30" i="295" s="1"/>
  <c r="G71" i="295" s="1"/>
  <c r="D22" i="295"/>
  <c r="H22" i="295"/>
  <c r="H30" i="295" s="1"/>
  <c r="H71" i="295" s="1"/>
  <c r="E22" i="295"/>
  <c r="E30" i="295" s="1"/>
  <c r="E71" i="295" s="1"/>
  <c r="I22" i="295"/>
  <c r="I30" i="295" s="1"/>
  <c r="I71" i="295" s="1"/>
  <c r="F22" i="295"/>
  <c r="F30" i="295" s="1"/>
  <c r="F71" i="295" s="1"/>
  <c r="J22" i="295"/>
  <c r="J30" i="295" s="1"/>
  <c r="J71" i="295" s="1"/>
  <c r="Q61" i="73"/>
  <c r="Q62" i="73"/>
  <c r="Q63" i="73"/>
  <c r="Q64" i="73"/>
  <c r="E40" i="14"/>
  <c r="E43" i="14" s="1"/>
  <c r="G35" i="266"/>
  <c r="C51" i="156" s="1"/>
  <c r="F51" i="156" s="1"/>
  <c r="G39" i="266"/>
  <c r="C55" i="156" s="1"/>
  <c r="F55" i="156" s="1"/>
  <c r="G43" i="266"/>
  <c r="C61" i="156" s="1"/>
  <c r="F61" i="156" s="1"/>
  <c r="G36" i="266"/>
  <c r="C52" i="156" s="1"/>
  <c r="F52" i="156" s="1"/>
  <c r="G40" i="266"/>
  <c r="C56" i="156" s="1"/>
  <c r="F56" i="156" s="1"/>
  <c r="G44" i="266"/>
  <c r="C62" i="156" s="1"/>
  <c r="F62" i="156" s="1"/>
  <c r="G34" i="266"/>
  <c r="C50" i="156" s="1"/>
  <c r="F50" i="156" s="1"/>
  <c r="G38" i="266"/>
  <c r="C54" i="156" s="1"/>
  <c r="F54" i="156" s="1"/>
  <c r="G42" i="266"/>
  <c r="C60" i="156" s="1"/>
  <c r="F60" i="156" s="1"/>
  <c r="G37" i="266"/>
  <c r="C53" i="156" s="1"/>
  <c r="F53" i="156" s="1"/>
  <c r="G41" i="266"/>
  <c r="C57" i="156" s="1"/>
  <c r="F57" i="156" s="1"/>
  <c r="J33" i="289"/>
  <c r="I72" i="289"/>
  <c r="R25" i="316"/>
  <c r="D20" i="52"/>
  <c r="H20" i="52"/>
  <c r="H28" i="52" s="1"/>
  <c r="H69" i="52" s="1"/>
  <c r="E20" i="52"/>
  <c r="E28" i="52" s="1"/>
  <c r="E69" i="52" s="1"/>
  <c r="I20" i="52"/>
  <c r="I28" i="52" s="1"/>
  <c r="I69" i="52" s="1"/>
  <c r="F20" i="52"/>
  <c r="F28" i="52" s="1"/>
  <c r="F69" i="52" s="1"/>
  <c r="G20" i="52"/>
  <c r="G28" i="52" s="1"/>
  <c r="G69" i="52" s="1"/>
  <c r="J20" i="52"/>
  <c r="R19" i="316"/>
  <c r="R72" i="73"/>
  <c r="R73" i="73" s="1"/>
  <c r="R74" i="73" s="1"/>
  <c r="O9" i="344"/>
  <c r="O24" i="344"/>
  <c r="O31" i="344"/>
  <c r="O26" i="344"/>
  <c r="P8" i="344"/>
  <c r="E68" i="73"/>
  <c r="E209" i="73"/>
  <c r="L13" i="308"/>
  <c r="L19" i="308"/>
  <c r="L14" i="308"/>
  <c r="L18" i="308"/>
  <c r="F19" i="285"/>
  <c r="D19" i="285"/>
  <c r="H19" i="285"/>
  <c r="G19" i="285"/>
  <c r="I19" i="285"/>
  <c r="E19" i="285"/>
  <c r="I31" i="308"/>
  <c r="D30" i="345"/>
  <c r="D53" i="345"/>
  <c r="I26" i="308"/>
  <c r="O34" i="310"/>
  <c r="O49" i="310"/>
  <c r="O94" i="310"/>
  <c r="O64" i="310"/>
  <c r="O79" i="310"/>
  <c r="O19" i="310"/>
  <c r="G58" i="73"/>
  <c r="G198" i="73"/>
  <c r="G202" i="73" s="1"/>
  <c r="G21" i="295"/>
  <c r="G29" i="295" s="1"/>
  <c r="G70" i="295" s="1"/>
  <c r="D21" i="295"/>
  <c r="H21" i="295"/>
  <c r="H29" i="295" s="1"/>
  <c r="H70" i="295" s="1"/>
  <c r="E21" i="295"/>
  <c r="E29" i="295" s="1"/>
  <c r="E70" i="295" s="1"/>
  <c r="I21" i="295"/>
  <c r="I29" i="295" s="1"/>
  <c r="I70" i="295" s="1"/>
  <c r="F21" i="295"/>
  <c r="F29" i="295" s="1"/>
  <c r="F70" i="295" s="1"/>
  <c r="J21" i="295"/>
  <c r="J29" i="295" s="1"/>
  <c r="J70" i="295" s="1"/>
  <c r="E19" i="289"/>
  <c r="I19" i="289"/>
  <c r="F19" i="289"/>
  <c r="D19" i="289"/>
  <c r="H19" i="289"/>
  <c r="G19" i="289"/>
  <c r="N40" i="250"/>
  <c r="N41" i="250"/>
  <c r="N42" i="250"/>
  <c r="N44" i="250"/>
  <c r="N45" i="250"/>
  <c r="N43" i="250"/>
  <c r="M37" i="266"/>
  <c r="D22" i="52"/>
  <c r="H22" i="52"/>
  <c r="H30" i="52" s="1"/>
  <c r="H71" i="52" s="1"/>
  <c r="E22" i="52"/>
  <c r="E30" i="52" s="1"/>
  <c r="E71" i="52" s="1"/>
  <c r="I22" i="52"/>
  <c r="I30" i="52" s="1"/>
  <c r="I71" i="52" s="1"/>
  <c r="F22" i="52"/>
  <c r="F30" i="52" s="1"/>
  <c r="F71" i="52" s="1"/>
  <c r="G22" i="52"/>
  <c r="G30" i="52" s="1"/>
  <c r="G71" i="52" s="1"/>
  <c r="J22" i="52"/>
  <c r="J30" i="52" s="1"/>
  <c r="J71" i="52" s="1"/>
  <c r="O6" i="256"/>
  <c r="F15" i="277"/>
  <c r="K78" i="52"/>
  <c r="K82" i="52" s="1"/>
  <c r="N10" i="344"/>
  <c r="N46" i="344"/>
  <c r="D68" i="73"/>
  <c r="D209" i="73"/>
  <c r="H26" i="308"/>
  <c r="L20" i="316"/>
  <c r="L22" i="316" s="1"/>
  <c r="L27" i="316" s="1"/>
  <c r="K31" i="308"/>
  <c r="K34" i="308" s="1"/>
  <c r="N40" i="257"/>
  <c r="N41" i="257"/>
  <c r="N42" i="257"/>
  <c r="N44" i="257"/>
  <c r="N45" i="257"/>
  <c r="N43" i="257"/>
  <c r="Q13" i="257"/>
  <c r="Q17" i="257"/>
  <c r="Q21" i="257"/>
  <c r="Q11" i="257"/>
  <c r="Q15" i="257"/>
  <c r="Q19" i="257"/>
  <c r="Q23" i="257"/>
  <c r="Q10" i="257"/>
  <c r="Q14" i="257"/>
  <c r="Q18" i="257"/>
  <c r="Q22" i="257"/>
  <c r="Q12" i="257"/>
  <c r="Q16" i="257"/>
  <c r="Q20" i="257"/>
  <c r="N40" i="12"/>
  <c r="N41" i="12"/>
  <c r="N42" i="12"/>
  <c r="N44" i="12"/>
  <c r="N45" i="12"/>
  <c r="N43" i="12"/>
  <c r="F72" i="73"/>
  <c r="F74" i="73"/>
  <c r="F209" i="73"/>
  <c r="F73" i="73"/>
  <c r="M10" i="346"/>
  <c r="M46" i="346"/>
  <c r="E47" i="277"/>
  <c r="E48" i="277" s="1"/>
  <c r="E50" i="277" s="1"/>
  <c r="D50" i="277"/>
  <c r="D47" i="277"/>
  <c r="D48" i="277" s="1"/>
  <c r="M31" i="308"/>
  <c r="N9" i="308"/>
  <c r="N33" i="308" s="1"/>
  <c r="N31" i="308"/>
  <c r="O8" i="308"/>
  <c r="N24" i="308"/>
  <c r="N26" i="308"/>
  <c r="Q13" i="249"/>
  <c r="Q17" i="249"/>
  <c r="Q21" i="249"/>
  <c r="Q11" i="249"/>
  <c r="Q15" i="249"/>
  <c r="Q19" i="249"/>
  <c r="Q23" i="249"/>
  <c r="Q12" i="249"/>
  <c r="Q16" i="249"/>
  <c r="Q20" i="249"/>
  <c r="Q10" i="249"/>
  <c r="Q14" i="249"/>
  <c r="Q18" i="249"/>
  <c r="Q22" i="249"/>
  <c r="F10" i="344"/>
  <c r="F46" i="344"/>
  <c r="E19" i="295"/>
  <c r="I19" i="295"/>
  <c r="F19" i="295"/>
  <c r="G19" i="295"/>
  <c r="D19" i="295"/>
  <c r="H19" i="295"/>
  <c r="Q11" i="250"/>
  <c r="Q15" i="250"/>
  <c r="Q19" i="250"/>
  <c r="Q23" i="250"/>
  <c r="Q13" i="250"/>
  <c r="Q17" i="250"/>
  <c r="Q21" i="250"/>
  <c r="Q12" i="250"/>
  <c r="Q16" i="250"/>
  <c r="Q20" i="250"/>
  <c r="Q10" i="250"/>
  <c r="Q14" i="250"/>
  <c r="Q18" i="250"/>
  <c r="Q22" i="250"/>
  <c r="J58" i="73"/>
  <c r="J198" i="73"/>
  <c r="J202" i="73" s="1"/>
  <c r="D53" i="306"/>
  <c r="D30" i="306"/>
  <c r="G50" i="277"/>
  <c r="G47" i="277"/>
  <c r="G48" i="277" s="1"/>
  <c r="D21" i="52"/>
  <c r="H21" i="52"/>
  <c r="H29" i="52" s="1"/>
  <c r="H70" i="52" s="1"/>
  <c r="E21" i="52"/>
  <c r="E29" i="52" s="1"/>
  <c r="E70" i="52" s="1"/>
  <c r="I21" i="52"/>
  <c r="I29" i="52" s="1"/>
  <c r="I70" i="52" s="1"/>
  <c r="F21" i="52"/>
  <c r="F29" i="52" s="1"/>
  <c r="F70" i="52" s="1"/>
  <c r="G21" i="52"/>
  <c r="G29" i="52" s="1"/>
  <c r="G70" i="52" s="1"/>
  <c r="J21" i="52"/>
  <c r="J29" i="52" s="1"/>
  <c r="J70" i="52" s="1"/>
  <c r="H47" i="277"/>
  <c r="H48" i="277" s="1"/>
  <c r="H50" i="277" s="1"/>
  <c r="L13" i="346"/>
  <c r="L18" i="346"/>
  <c r="L14" i="346"/>
  <c r="L19" i="346"/>
  <c r="E32" i="14"/>
  <c r="E35" i="14" s="1"/>
  <c r="D20" i="285"/>
  <c r="H20" i="285"/>
  <c r="H28" i="285" s="1"/>
  <c r="H69" i="285" s="1"/>
  <c r="F20" i="285"/>
  <c r="F28" i="285" s="1"/>
  <c r="F69" i="285" s="1"/>
  <c r="J20" i="285"/>
  <c r="E20" i="285"/>
  <c r="E28" i="285" s="1"/>
  <c r="E69" i="285" s="1"/>
  <c r="G20" i="285"/>
  <c r="G28" i="285" s="1"/>
  <c r="G69" i="285" s="1"/>
  <c r="I20" i="285"/>
  <c r="I28" i="285" s="1"/>
  <c r="I69" i="285" s="1"/>
  <c r="N40" i="256"/>
  <c r="N41" i="256"/>
  <c r="N42" i="256"/>
  <c r="N44" i="256"/>
  <c r="N45" i="256"/>
  <c r="N43" i="256"/>
  <c r="E81" i="73"/>
  <c r="E87" i="73"/>
  <c r="H31" i="308"/>
  <c r="Q11" i="12"/>
  <c r="Q15" i="12"/>
  <c r="Q19" i="12"/>
  <c r="Q23" i="12"/>
  <c r="Q10" i="12"/>
  <c r="Q14" i="12"/>
  <c r="Q18" i="12"/>
  <c r="Q22" i="12"/>
  <c r="Q13" i="12"/>
  <c r="Q17" i="12"/>
  <c r="Q21" i="12"/>
  <c r="Q12" i="12"/>
  <c r="Q16" i="12"/>
  <c r="Q20" i="12"/>
  <c r="I73" i="73"/>
  <c r="I74" i="73"/>
  <c r="I72" i="73"/>
  <c r="I209" i="73"/>
  <c r="K78" i="295"/>
  <c r="K82" i="295" s="1"/>
  <c r="N42" i="249"/>
  <c r="N44" i="249"/>
  <c r="N45" i="249"/>
  <c r="N40" i="249"/>
  <c r="N41" i="249"/>
  <c r="N43" i="249"/>
  <c r="J35" i="285"/>
  <c r="I76" i="285"/>
  <c r="G20" i="295"/>
  <c r="G28" i="295" s="1"/>
  <c r="G69" i="295" s="1"/>
  <c r="D20" i="295"/>
  <c r="H20" i="295"/>
  <c r="H28" i="295" s="1"/>
  <c r="H69" i="295" s="1"/>
  <c r="E20" i="295"/>
  <c r="E28" i="295" s="1"/>
  <c r="E69" i="295" s="1"/>
  <c r="I20" i="295"/>
  <c r="I28" i="295" s="1"/>
  <c r="I69" i="295" s="1"/>
  <c r="F20" i="295"/>
  <c r="F28" i="295" s="1"/>
  <c r="F69" i="295" s="1"/>
  <c r="J20" i="295"/>
  <c r="O16" i="316"/>
  <c r="N10" i="316"/>
  <c r="N9" i="316"/>
  <c r="F115" i="73"/>
  <c r="F116" i="73" s="1"/>
  <c r="J115" i="73"/>
  <c r="J116" i="73" s="1"/>
  <c r="N115" i="73"/>
  <c r="G115" i="73"/>
  <c r="G116" i="73" s="1"/>
  <c r="K115" i="73"/>
  <c r="K116" i="73" s="1"/>
  <c r="H115" i="73"/>
  <c r="H116" i="73" s="1"/>
  <c r="I115" i="73"/>
  <c r="I116" i="73" s="1"/>
  <c r="D115" i="73"/>
  <c r="L115" i="73"/>
  <c r="L116" i="73" s="1"/>
  <c r="E115" i="73"/>
  <c r="E116" i="73" s="1"/>
  <c r="M115" i="73"/>
  <c r="M116" i="73" s="1"/>
  <c r="L20" i="344"/>
  <c r="F19" i="52"/>
  <c r="G19" i="52"/>
  <c r="H19" i="52"/>
  <c r="I19" i="52"/>
  <c r="D19" i="52"/>
  <c r="E19" i="52"/>
  <c r="K72" i="73"/>
  <c r="K74" i="73"/>
  <c r="K209" i="73"/>
  <c r="K73" i="73"/>
  <c r="E204" i="73"/>
  <c r="O6" i="249"/>
  <c r="G15" i="277"/>
  <c r="Q11" i="256"/>
  <c r="Q15" i="256"/>
  <c r="Q19" i="256"/>
  <c r="Q23" i="256"/>
  <c r="Q13" i="256"/>
  <c r="Q17" i="256"/>
  <c r="Q21" i="256"/>
  <c r="Q10" i="256"/>
  <c r="Q14" i="256"/>
  <c r="Q18" i="256"/>
  <c r="Q22" i="256"/>
  <c r="Q12" i="256"/>
  <c r="Q16" i="256"/>
  <c r="Q20" i="256"/>
  <c r="D81" i="73"/>
  <c r="D87" i="73"/>
  <c r="G31" i="308"/>
  <c r="H73" i="73"/>
  <c r="H72" i="73"/>
  <c r="H209" i="73"/>
  <c r="H74" i="73"/>
  <c r="L52" i="73"/>
  <c r="L54" i="73" s="1"/>
  <c r="N34" i="308" l="1"/>
  <c r="N14" i="316"/>
  <c r="N17" i="316" s="1"/>
  <c r="N12" i="316"/>
  <c r="M15" i="344"/>
  <c r="O28" i="344"/>
  <c r="O29" i="344" s="1"/>
  <c r="O33" i="344"/>
  <c r="G28" i="344"/>
  <c r="G29" i="344" s="1"/>
  <c r="G33" i="344"/>
  <c r="M29" i="346"/>
  <c r="N33" i="346"/>
  <c r="N34" i="346" s="1"/>
  <c r="N28" i="346"/>
  <c r="N29" i="346" s="1"/>
  <c r="L20" i="346"/>
  <c r="L15" i="346"/>
  <c r="H9" i="344"/>
  <c r="H10" i="344" s="1"/>
  <c r="G10" i="344"/>
  <c r="G19" i="344" s="1"/>
  <c r="G46" i="344"/>
  <c r="L22" i="344"/>
  <c r="L41" i="344" s="1"/>
  <c r="K22" i="308"/>
  <c r="K42" i="308" s="1"/>
  <c r="N28" i="308"/>
  <c r="N29" i="308" s="1"/>
  <c r="J42" i="308"/>
  <c r="J43" i="308"/>
  <c r="L15" i="308"/>
  <c r="L20" i="308"/>
  <c r="L58" i="73"/>
  <c r="L198" i="73"/>
  <c r="L202" i="73" s="1"/>
  <c r="L204" i="73" s="1"/>
  <c r="S18" i="256"/>
  <c r="Y18" i="256"/>
  <c r="S15" i="256"/>
  <c r="Y15" i="256"/>
  <c r="H27" i="52"/>
  <c r="H24" i="52"/>
  <c r="U7" i="295"/>
  <c r="U7" i="52"/>
  <c r="U7" i="285"/>
  <c r="U7" i="289"/>
  <c r="S21" i="12"/>
  <c r="S16" i="256"/>
  <c r="S14" i="256"/>
  <c r="S13" i="256"/>
  <c r="Y13" i="256"/>
  <c r="S11" i="256"/>
  <c r="Y11" i="256"/>
  <c r="E24" i="52"/>
  <c r="E27" i="52"/>
  <c r="G27" i="52"/>
  <c r="G24" i="52"/>
  <c r="Y7" i="295"/>
  <c r="Y7" i="52"/>
  <c r="Y7" i="285"/>
  <c r="Y7" i="289"/>
  <c r="X7" i="295"/>
  <c r="X7" i="52"/>
  <c r="X7" i="285"/>
  <c r="X7" i="289"/>
  <c r="S7" i="295"/>
  <c r="S7" i="52"/>
  <c r="S7" i="285"/>
  <c r="S7" i="289"/>
  <c r="H204" i="73"/>
  <c r="S20" i="12"/>
  <c r="Y20" i="12"/>
  <c r="S17" i="12"/>
  <c r="S14" i="12"/>
  <c r="S15" i="12"/>
  <c r="Y15" i="12"/>
  <c r="K204" i="73"/>
  <c r="J72" i="73"/>
  <c r="J74" i="73"/>
  <c r="J209" i="73"/>
  <c r="J73" i="73"/>
  <c r="Q42" i="250"/>
  <c r="Q44" i="250"/>
  <c r="Q45" i="250"/>
  <c r="S10" i="250"/>
  <c r="Q40" i="250"/>
  <c r="Q41" i="250"/>
  <c r="Q43" i="250"/>
  <c r="Y10" i="250"/>
  <c r="S21" i="250"/>
  <c r="S19" i="250"/>
  <c r="Y19" i="250"/>
  <c r="D24" i="295"/>
  <c r="D68" i="295"/>
  <c r="D27" i="295"/>
  <c r="E24" i="295"/>
  <c r="E27" i="295"/>
  <c r="F14" i="344"/>
  <c r="F34" i="344" s="1"/>
  <c r="F19" i="344"/>
  <c r="F13" i="344"/>
  <c r="F18" i="344"/>
  <c r="S10" i="249"/>
  <c r="Q40" i="249"/>
  <c r="Q41" i="249"/>
  <c r="Q42" i="249"/>
  <c r="Q44" i="249"/>
  <c r="Q45" i="249"/>
  <c r="Q43" i="249"/>
  <c r="Y10" i="249"/>
  <c r="S23" i="249"/>
  <c r="S21" i="249"/>
  <c r="S22" i="257"/>
  <c r="S23" i="257"/>
  <c r="S21" i="257"/>
  <c r="D24" i="289"/>
  <c r="D27" i="289"/>
  <c r="D35" i="289" s="1"/>
  <c r="D39" i="289" s="1"/>
  <c r="D66" i="289"/>
  <c r="G72" i="73"/>
  <c r="G74" i="73"/>
  <c r="G73" i="73"/>
  <c r="G209" i="73"/>
  <c r="H27" i="285"/>
  <c r="H24" i="285"/>
  <c r="Q8" i="344"/>
  <c r="P26" i="344"/>
  <c r="P24" i="344"/>
  <c r="P9" i="344"/>
  <c r="P31" i="344"/>
  <c r="O10" i="344"/>
  <c r="O46" i="344"/>
  <c r="S19" i="316"/>
  <c r="D69" i="52"/>
  <c r="D28" i="52"/>
  <c r="D30" i="295"/>
  <c r="D71" i="295"/>
  <c r="M20" i="344"/>
  <c r="K26" i="133"/>
  <c r="B26" i="133" s="1"/>
  <c r="G26" i="133" s="1"/>
  <c r="B3" i="15" s="1"/>
  <c r="J29" i="133"/>
  <c r="D173" i="73"/>
  <c r="D177" i="73" s="1"/>
  <c r="Q42" i="256"/>
  <c r="Q44" i="256"/>
  <c r="Q45" i="256"/>
  <c r="S10" i="256"/>
  <c r="Q40" i="256"/>
  <c r="Q41" i="256"/>
  <c r="Q43" i="256"/>
  <c r="Y10" i="256"/>
  <c r="F24" i="52"/>
  <c r="F27" i="52"/>
  <c r="O10" i="316"/>
  <c r="P16" i="316"/>
  <c r="O9" i="316"/>
  <c r="J24" i="295"/>
  <c r="J28" i="295"/>
  <c r="J76" i="285"/>
  <c r="K35" i="285"/>
  <c r="S16" i="12"/>
  <c r="S13" i="12"/>
  <c r="Y13" i="12"/>
  <c r="Q42" i="12"/>
  <c r="Q44" i="12"/>
  <c r="Q45" i="12"/>
  <c r="Q43" i="12"/>
  <c r="S10" i="12"/>
  <c r="Q40" i="12"/>
  <c r="Q41" i="12"/>
  <c r="Y10" i="12"/>
  <c r="S11" i="12"/>
  <c r="Y11" i="12"/>
  <c r="D69" i="285"/>
  <c r="D28" i="285"/>
  <c r="D29" i="52"/>
  <c r="D70" i="52"/>
  <c r="D54" i="306"/>
  <c r="F9" i="308"/>
  <c r="M9" i="308"/>
  <c r="M33" i="308" s="1"/>
  <c r="M34" i="308" s="1"/>
  <c r="S22" i="250"/>
  <c r="S20" i="250"/>
  <c r="Y20" i="250"/>
  <c r="S17" i="250"/>
  <c r="S15" i="250"/>
  <c r="Y15" i="250"/>
  <c r="G27" i="295"/>
  <c r="G24" i="295"/>
  <c r="S22" i="249"/>
  <c r="S20" i="249"/>
  <c r="Y20" i="249"/>
  <c r="S19" i="249"/>
  <c r="Y19" i="249"/>
  <c r="S17" i="249"/>
  <c r="O26" i="308"/>
  <c r="O9" i="308"/>
  <c r="O33" i="308" s="1"/>
  <c r="O31" i="308"/>
  <c r="P8" i="308"/>
  <c r="O24" i="308"/>
  <c r="M14" i="346"/>
  <c r="M19" i="346"/>
  <c r="M13" i="346"/>
  <c r="M18" i="346"/>
  <c r="S20" i="257"/>
  <c r="Y20" i="257"/>
  <c r="S18" i="257"/>
  <c r="Y18" i="257"/>
  <c r="S19" i="257"/>
  <c r="Y19" i="257"/>
  <c r="S17" i="257"/>
  <c r="D95" i="73"/>
  <c r="D101" i="73" s="1"/>
  <c r="D104" i="73" s="1"/>
  <c r="D94" i="73"/>
  <c r="D92" i="73"/>
  <c r="D91" i="73"/>
  <c r="D89" i="73"/>
  <c r="D211" i="73" s="1"/>
  <c r="D215" i="73" s="1"/>
  <c r="D219" i="73" s="1"/>
  <c r="D221" i="73" s="1"/>
  <c r="D93" i="73"/>
  <c r="D88" i="73"/>
  <c r="D90" i="73"/>
  <c r="D213" i="73" s="1"/>
  <c r="K83" i="52"/>
  <c r="K92" i="52" s="1"/>
  <c r="K85" i="52"/>
  <c r="K84" i="52"/>
  <c r="K90" i="52"/>
  <c r="K88" i="52"/>
  <c r="K87" i="52"/>
  <c r="K89" i="52"/>
  <c r="K86" i="52"/>
  <c r="F27" i="289"/>
  <c r="F24" i="289"/>
  <c r="D29" i="295"/>
  <c r="D70" i="295"/>
  <c r="E27" i="285"/>
  <c r="E24" i="285"/>
  <c r="D68" i="285"/>
  <c r="D24" i="285"/>
  <c r="D27" i="285"/>
  <c r="D37" i="285" s="1"/>
  <c r="D41" i="285" s="1"/>
  <c r="K33" i="289"/>
  <c r="J72" i="289"/>
  <c r="J35" i="289"/>
  <c r="J39" i="289" s="1"/>
  <c r="J43" i="289" s="1"/>
  <c r="E15" i="277"/>
  <c r="O6" i="257"/>
  <c r="K41" i="346"/>
  <c r="K42" i="346"/>
  <c r="K43" i="346"/>
  <c r="H15" i="277"/>
  <c r="O6" i="250"/>
  <c r="S20" i="256"/>
  <c r="Y20" i="256"/>
  <c r="S12" i="256"/>
  <c r="Y12" i="256"/>
  <c r="S23" i="256"/>
  <c r="G21" i="277"/>
  <c r="G24" i="277" s="1"/>
  <c r="G52" i="277" s="1"/>
  <c r="G54" i="277" s="1"/>
  <c r="H106" i="73" s="1"/>
  <c r="I106" i="73" s="1"/>
  <c r="C86" i="156" s="1"/>
  <c r="F86" i="156" s="1"/>
  <c r="G22" i="277"/>
  <c r="G31" i="277"/>
  <c r="D68" i="52"/>
  <c r="D27" i="52"/>
  <c r="D24" i="52"/>
  <c r="L43" i="344"/>
  <c r="C115" i="73"/>
  <c r="D116" i="73"/>
  <c r="T7" i="295"/>
  <c r="T7" i="52"/>
  <c r="T7" i="285"/>
  <c r="T7" i="289"/>
  <c r="S22" i="256"/>
  <c r="S21" i="256"/>
  <c r="S19" i="256"/>
  <c r="Y19" i="256"/>
  <c r="O12" i="249"/>
  <c r="O16" i="249"/>
  <c r="O20" i="249"/>
  <c r="O10" i="249"/>
  <c r="O14" i="249"/>
  <c r="O18" i="249"/>
  <c r="O22" i="249"/>
  <c r="O49" i="249"/>
  <c r="O47" i="249"/>
  <c r="O11" i="249"/>
  <c r="O15" i="249"/>
  <c r="O19" i="249"/>
  <c r="O23" i="249"/>
  <c r="O13" i="249"/>
  <c r="O17" i="249"/>
  <c r="O21" i="249"/>
  <c r="I24" i="52"/>
  <c r="I27" i="52"/>
  <c r="Z7" i="295"/>
  <c r="Z7" i="52"/>
  <c r="Z7" i="285"/>
  <c r="Z7" i="289"/>
  <c r="V7" i="295"/>
  <c r="V7" i="52"/>
  <c r="V7" i="285"/>
  <c r="V7" i="289"/>
  <c r="N20" i="316"/>
  <c r="N22" i="316" s="1"/>
  <c r="N27" i="316" s="1"/>
  <c r="D28" i="295"/>
  <c r="D69" i="295"/>
  <c r="S12" i="12"/>
  <c r="Y12" i="12"/>
  <c r="S22" i="12"/>
  <c r="S23" i="12"/>
  <c r="J28" i="285"/>
  <c r="J24" i="285"/>
  <c r="L22" i="346"/>
  <c r="S18" i="250"/>
  <c r="Y18" i="250"/>
  <c r="S16" i="250"/>
  <c r="S13" i="250"/>
  <c r="Y13" i="250"/>
  <c r="S11" i="250"/>
  <c r="Y11" i="250"/>
  <c r="F27" i="295"/>
  <c r="F24" i="295"/>
  <c r="S18" i="249"/>
  <c r="Y18" i="249"/>
  <c r="S16" i="249"/>
  <c r="S15" i="249"/>
  <c r="Y15" i="249"/>
  <c r="S13" i="249"/>
  <c r="Y13" i="249"/>
  <c r="I204" i="73"/>
  <c r="S16" i="257"/>
  <c r="S14" i="257"/>
  <c r="S15" i="257"/>
  <c r="Y15" i="257"/>
  <c r="S13" i="257"/>
  <c r="Y13" i="257"/>
  <c r="F22" i="277"/>
  <c r="F31" i="277"/>
  <c r="F24" i="277"/>
  <c r="F52" i="277" s="1"/>
  <c r="F54" i="277" s="1"/>
  <c r="F106" i="73" s="1"/>
  <c r="F21" i="277"/>
  <c r="D71" i="52"/>
  <c r="D30" i="52"/>
  <c r="G24" i="289"/>
  <c r="G27" i="289"/>
  <c r="I27" i="289"/>
  <c r="I24" i="289"/>
  <c r="F204" i="73"/>
  <c r="D54" i="345"/>
  <c r="F9" i="346"/>
  <c r="I27" i="285"/>
  <c r="I24" i="285"/>
  <c r="F24" i="285"/>
  <c r="F27" i="285"/>
  <c r="J24" i="52"/>
  <c r="J28" i="52"/>
  <c r="Q66" i="73"/>
  <c r="R63" i="73" s="1"/>
  <c r="R61" i="73"/>
  <c r="N10" i="346"/>
  <c r="N46" i="346"/>
  <c r="N72" i="73"/>
  <c r="N91" i="73" s="1"/>
  <c r="N74" i="73"/>
  <c r="N93" i="73" s="1"/>
  <c r="N209" i="73"/>
  <c r="N73" i="73"/>
  <c r="N92" i="73" s="1"/>
  <c r="G14" i="344"/>
  <c r="M204" i="73"/>
  <c r="S17" i="256"/>
  <c r="R7" i="295"/>
  <c r="R7" i="52"/>
  <c r="R7" i="285"/>
  <c r="R7" i="289"/>
  <c r="W7" i="295"/>
  <c r="W7" i="52"/>
  <c r="W7" i="285"/>
  <c r="W7" i="289"/>
  <c r="K83" i="295"/>
  <c r="K92" i="295" s="1"/>
  <c r="K84" i="295"/>
  <c r="K85" i="295"/>
  <c r="K90" i="295"/>
  <c r="K87" i="295"/>
  <c r="K89" i="295"/>
  <c r="K88" i="295"/>
  <c r="K86" i="295"/>
  <c r="S18" i="12"/>
  <c r="Y18" i="12"/>
  <c r="S19" i="12"/>
  <c r="Y19" i="12"/>
  <c r="E173" i="73"/>
  <c r="E177" i="73" s="1"/>
  <c r="E179" i="73" s="1"/>
  <c r="E184" i="73"/>
  <c r="E188" i="73" s="1"/>
  <c r="E190" i="73" s="1"/>
  <c r="O6" i="296"/>
  <c r="D15" i="277"/>
  <c r="O6" i="12"/>
  <c r="J204" i="73"/>
  <c r="S14" i="250"/>
  <c r="S12" i="250"/>
  <c r="Y12" i="250"/>
  <c r="S23" i="250"/>
  <c r="H24" i="295"/>
  <c r="H27" i="295"/>
  <c r="I24" i="295"/>
  <c r="I27" i="295"/>
  <c r="S14" i="249"/>
  <c r="S12" i="249"/>
  <c r="Y12" i="249"/>
  <c r="S11" i="249"/>
  <c r="Y11" i="249"/>
  <c r="N10" i="308"/>
  <c r="N46" i="308"/>
  <c r="S12" i="257"/>
  <c r="Y12" i="257"/>
  <c r="S10" i="257"/>
  <c r="Q40" i="257"/>
  <c r="Q41" i="257"/>
  <c r="Q42" i="257"/>
  <c r="Q44" i="257"/>
  <c r="Q45" i="257"/>
  <c r="Q43" i="257"/>
  <c r="Y10" i="257"/>
  <c r="S11" i="257"/>
  <c r="Y11" i="257"/>
  <c r="N14" i="344"/>
  <c r="N34" i="344" s="1"/>
  <c r="N19" i="344"/>
  <c r="N13" i="344"/>
  <c r="N15" i="344" s="1"/>
  <c r="N18" i="344"/>
  <c r="O10" i="256"/>
  <c r="O14" i="256"/>
  <c r="O18" i="256"/>
  <c r="O22" i="256"/>
  <c r="O49" i="256"/>
  <c r="O12" i="256"/>
  <c r="O16" i="256"/>
  <c r="O20" i="256"/>
  <c r="O13" i="256"/>
  <c r="O17" i="256"/>
  <c r="O21" i="256"/>
  <c r="O47" i="256"/>
  <c r="O11" i="256"/>
  <c r="O15" i="256"/>
  <c r="O19" i="256"/>
  <c r="O23" i="256"/>
  <c r="H24" i="289"/>
  <c r="H27" i="289"/>
  <c r="E27" i="289"/>
  <c r="E24" i="289"/>
  <c r="G204" i="73"/>
  <c r="G24" i="285"/>
  <c r="G27" i="285"/>
  <c r="E95" i="73"/>
  <c r="E101" i="73" s="1"/>
  <c r="E104" i="73" s="1"/>
  <c r="E94" i="73"/>
  <c r="E89" i="73"/>
  <c r="E211" i="73" s="1"/>
  <c r="E215" i="73" s="1"/>
  <c r="E219" i="73" s="1"/>
  <c r="E221" i="73" s="1"/>
  <c r="E92" i="73"/>
  <c r="E88" i="73"/>
  <c r="E90" i="73"/>
  <c r="E213" i="73" s="1"/>
  <c r="E93" i="73"/>
  <c r="E91" i="73"/>
  <c r="S25" i="316"/>
  <c r="R64" i="73"/>
  <c r="P8" i="346"/>
  <c r="O26" i="346"/>
  <c r="O9" i="346"/>
  <c r="O24" i="346"/>
  <c r="O31" i="346"/>
  <c r="M73" i="73"/>
  <c r="M92" i="73" s="1"/>
  <c r="M74" i="73"/>
  <c r="M93" i="73" s="1"/>
  <c r="M72" i="73"/>
  <c r="M91" i="73" s="1"/>
  <c r="M209" i="73"/>
  <c r="M22" i="344" l="1"/>
  <c r="G34" i="344"/>
  <c r="O14" i="316"/>
  <c r="O12" i="316"/>
  <c r="K43" i="308"/>
  <c r="G18" i="344"/>
  <c r="G13" i="344"/>
  <c r="G15" i="344" s="1"/>
  <c r="H46" i="344"/>
  <c r="F28" i="308"/>
  <c r="F29" i="308" s="1"/>
  <c r="F33" i="308"/>
  <c r="F34" i="308" s="1"/>
  <c r="O34" i="308"/>
  <c r="P28" i="344"/>
  <c r="P29" i="344" s="1"/>
  <c r="P33" i="344"/>
  <c r="H28" i="344"/>
  <c r="H29" i="344" s="1"/>
  <c r="H33" i="344"/>
  <c r="I9" i="344"/>
  <c r="I46" i="344" s="1"/>
  <c r="O33" i="346"/>
  <c r="O34" i="346" s="1"/>
  <c r="O28" i="346"/>
  <c r="O29" i="346" s="1"/>
  <c r="F33" i="346"/>
  <c r="F34" i="346" s="1"/>
  <c r="F28" i="346"/>
  <c r="F29" i="346" s="1"/>
  <c r="L42" i="344"/>
  <c r="K41" i="308"/>
  <c r="O28" i="308"/>
  <c r="O29" i="308" s="1"/>
  <c r="M28" i="308"/>
  <c r="M29" i="308" s="1"/>
  <c r="L22" i="308"/>
  <c r="L42" i="308" s="1"/>
  <c r="G9" i="308"/>
  <c r="C85" i="156"/>
  <c r="F85" i="156" s="1"/>
  <c r="G106" i="73"/>
  <c r="T25" i="316"/>
  <c r="O43" i="256"/>
  <c r="O40" i="256"/>
  <c r="O41" i="256"/>
  <c r="O42" i="256"/>
  <c r="O44" i="256"/>
  <c r="O45" i="256"/>
  <c r="I37" i="295"/>
  <c r="I41" i="295" s="1"/>
  <c r="I45" i="295" s="1"/>
  <c r="I68" i="295"/>
  <c r="E147" i="73"/>
  <c r="E151" i="73" s="1"/>
  <c r="E153" i="73" s="1"/>
  <c r="H35" i="289"/>
  <c r="H39" i="289" s="1"/>
  <c r="H43" i="289" s="1"/>
  <c r="H66" i="289"/>
  <c r="N20" i="344"/>
  <c r="T12" i="257"/>
  <c r="N19" i="308"/>
  <c r="N14" i="308"/>
  <c r="N18" i="308"/>
  <c r="N13" i="308"/>
  <c r="T12" i="249"/>
  <c r="D21" i="277"/>
  <c r="D24" i="277" s="1"/>
  <c r="D52" i="277" s="1"/>
  <c r="D54" i="277" s="1"/>
  <c r="D106" i="73" s="1"/>
  <c r="D22" i="277"/>
  <c r="D31" i="277"/>
  <c r="E97" i="73"/>
  <c r="E98" i="73" s="1"/>
  <c r="T19" i="12"/>
  <c r="N13" i="346"/>
  <c r="N18" i="346"/>
  <c r="N14" i="346"/>
  <c r="N19" i="346"/>
  <c r="T15" i="257"/>
  <c r="T13" i="249"/>
  <c r="T16" i="249"/>
  <c r="F37" i="295"/>
  <c r="F41" i="295" s="1"/>
  <c r="F45" i="295" s="1"/>
  <c r="F68" i="295"/>
  <c r="T13" i="250"/>
  <c r="T18" i="250"/>
  <c r="I37" i="52"/>
  <c r="I41" i="52" s="1"/>
  <c r="I45" i="52" s="1"/>
  <c r="I68" i="52"/>
  <c r="Q7" i="295"/>
  <c r="Q7" i="52"/>
  <c r="Q7" i="285"/>
  <c r="Q7" i="289"/>
  <c r="N116" i="73"/>
  <c r="D10" i="278"/>
  <c r="D204" i="73"/>
  <c r="B205" i="73" s="1"/>
  <c r="R62" i="73"/>
  <c r="J74" i="289"/>
  <c r="D45" i="285"/>
  <c r="E37" i="285"/>
  <c r="E41" i="285" s="1"/>
  <c r="E45" i="285" s="1"/>
  <c r="E68" i="285"/>
  <c r="O10" i="308"/>
  <c r="O46" i="308"/>
  <c r="M10" i="308"/>
  <c r="M46" i="308"/>
  <c r="T13" i="12"/>
  <c r="K76" i="285"/>
  <c r="K37" i="285"/>
  <c r="K41" i="285" s="1"/>
  <c r="K45" i="285" s="1"/>
  <c r="J69" i="295"/>
  <c r="J37" i="295"/>
  <c r="J41" i="295" s="1"/>
  <c r="J45" i="295" s="1"/>
  <c r="Q16" i="316"/>
  <c r="P10" i="316"/>
  <c r="P9" i="316"/>
  <c r="O13" i="344"/>
  <c r="O18" i="344"/>
  <c r="O14" i="344"/>
  <c r="O34" i="344" s="1"/>
  <c r="O19" i="344"/>
  <c r="D43" i="289"/>
  <c r="F20" i="344"/>
  <c r="E37" i="295"/>
  <c r="E41" i="295" s="1"/>
  <c r="E45" i="295" s="1"/>
  <c r="E68" i="295"/>
  <c r="T20" i="12"/>
  <c r="G68" i="52"/>
  <c r="G37" i="52"/>
  <c r="G41" i="52" s="1"/>
  <c r="G45" i="52" s="1"/>
  <c r="T13" i="256"/>
  <c r="T16" i="256"/>
  <c r="H37" i="52"/>
  <c r="H41" i="52" s="1"/>
  <c r="H45" i="52" s="1"/>
  <c r="H68" i="52"/>
  <c r="T18" i="256"/>
  <c r="H37" i="295"/>
  <c r="H41" i="295" s="1"/>
  <c r="H45" i="295" s="1"/>
  <c r="H68" i="295"/>
  <c r="O12" i="296"/>
  <c r="O16" i="296"/>
  <c r="O20" i="296"/>
  <c r="O24" i="296"/>
  <c r="O11" i="296"/>
  <c r="O15" i="296"/>
  <c r="O19" i="296"/>
  <c r="O23" i="296"/>
  <c r="O10" i="296"/>
  <c r="O14" i="296"/>
  <c r="O18" i="296"/>
  <c r="O22" i="296"/>
  <c r="O48" i="296"/>
  <c r="O13" i="296"/>
  <c r="O21" i="296"/>
  <c r="O17" i="296"/>
  <c r="O50" i="296"/>
  <c r="E124" i="73"/>
  <c r="E128" i="73" s="1"/>
  <c r="E130" i="73" s="1"/>
  <c r="T17" i="256"/>
  <c r="F10" i="346"/>
  <c r="F46" i="346"/>
  <c r="G9" i="346"/>
  <c r="I66" i="289"/>
  <c r="I35" i="289"/>
  <c r="I39" i="289" s="1"/>
  <c r="I43" i="289" s="1"/>
  <c r="J69" i="285"/>
  <c r="J37" i="285"/>
  <c r="J41" i="285" s="1"/>
  <c r="J45" i="285" s="1"/>
  <c r="T22" i="12"/>
  <c r="X22" i="12"/>
  <c r="T21" i="256"/>
  <c r="G34" i="277"/>
  <c r="G35" i="277" s="1"/>
  <c r="G37" i="277"/>
  <c r="T23" i="256"/>
  <c r="T20" i="256"/>
  <c r="O12" i="257"/>
  <c r="O16" i="257"/>
  <c r="T16" i="257" s="1"/>
  <c r="O20" i="257"/>
  <c r="O10" i="257"/>
  <c r="O14" i="257"/>
  <c r="O18" i="257"/>
  <c r="O22" i="257"/>
  <c r="O49" i="257"/>
  <c r="O13" i="257"/>
  <c r="O17" i="257"/>
  <c r="T17" i="257" s="1"/>
  <c r="O21" i="257"/>
  <c r="O47" i="257"/>
  <c r="O11" i="257"/>
  <c r="O15" i="257"/>
  <c r="O19" i="257"/>
  <c r="O23" i="257"/>
  <c r="K72" i="289"/>
  <c r="K35" i="289"/>
  <c r="K39" i="289" s="1"/>
  <c r="K43" i="289" s="1"/>
  <c r="D147" i="73"/>
  <c r="D151" i="73" s="1"/>
  <c r="D153" i="73" s="1"/>
  <c r="D158" i="73"/>
  <c r="D162" i="73" s="1"/>
  <c r="D164" i="73" s="1"/>
  <c r="T18" i="257"/>
  <c r="M20" i="346"/>
  <c r="T19" i="249"/>
  <c r="T22" i="249"/>
  <c r="X22" i="249"/>
  <c r="T15" i="250"/>
  <c r="T20" i="250"/>
  <c r="S43" i="256"/>
  <c r="S45" i="256"/>
  <c r="S40" i="256"/>
  <c r="S41" i="256"/>
  <c r="S42" i="256"/>
  <c r="S44" i="256"/>
  <c r="T10" i="256"/>
  <c r="D124" i="73"/>
  <c r="D128" i="73" s="1"/>
  <c r="D130" i="73" s="1"/>
  <c r="M41" i="344"/>
  <c r="M43" i="344"/>
  <c r="M42" i="344"/>
  <c r="T19" i="316"/>
  <c r="Q31" i="344"/>
  <c r="Q9" i="344"/>
  <c r="Q24" i="344"/>
  <c r="Q26" i="344"/>
  <c r="R8" i="344"/>
  <c r="T21" i="257"/>
  <c r="T22" i="257"/>
  <c r="X22" i="257"/>
  <c r="T21" i="249"/>
  <c r="F15" i="344"/>
  <c r="S43" i="250"/>
  <c r="S40" i="250"/>
  <c r="S41" i="250"/>
  <c r="S42" i="250"/>
  <c r="S44" i="250"/>
  <c r="S45" i="250"/>
  <c r="T10" i="250"/>
  <c r="E37" i="52"/>
  <c r="E41" i="52" s="1"/>
  <c r="E45" i="52" s="1"/>
  <c r="R79" i="73" s="1"/>
  <c r="E68" i="52"/>
  <c r="O10" i="346"/>
  <c r="O46" i="346"/>
  <c r="G37" i="285"/>
  <c r="G41" i="285" s="1"/>
  <c r="G45" i="285" s="1"/>
  <c r="G68" i="285"/>
  <c r="X11" i="257"/>
  <c r="T11" i="257"/>
  <c r="S43" i="257"/>
  <c r="T10" i="257"/>
  <c r="S40" i="257"/>
  <c r="S41" i="257"/>
  <c r="S42" i="257"/>
  <c r="S44" i="257"/>
  <c r="S45" i="257"/>
  <c r="T11" i="249"/>
  <c r="X11" i="249"/>
  <c r="T14" i="249"/>
  <c r="T12" i="250"/>
  <c r="E135" i="73"/>
  <c r="E139" i="73" s="1"/>
  <c r="E141" i="73" s="1"/>
  <c r="T18" i="12"/>
  <c r="G20" i="344"/>
  <c r="I37" i="285"/>
  <c r="I41" i="285" s="1"/>
  <c r="I45" i="285" s="1"/>
  <c r="I68" i="285"/>
  <c r="G35" i="289"/>
  <c r="G39" i="289" s="1"/>
  <c r="G43" i="289" s="1"/>
  <c r="G66" i="289"/>
  <c r="F34" i="277"/>
  <c r="F35" i="277" s="1"/>
  <c r="F37" i="277"/>
  <c r="T13" i="257"/>
  <c r="T14" i="257"/>
  <c r="T15" i="249"/>
  <c r="T18" i="249"/>
  <c r="T11" i="250"/>
  <c r="X11" i="250"/>
  <c r="O43" i="249"/>
  <c r="O40" i="249"/>
  <c r="O41" i="249"/>
  <c r="O42" i="249"/>
  <c r="O44" i="249"/>
  <c r="O45" i="249"/>
  <c r="D37" i="52"/>
  <c r="D41" i="52" s="1"/>
  <c r="D45" i="52" s="1"/>
  <c r="O10" i="250"/>
  <c r="O14" i="250"/>
  <c r="T14" i="250" s="1"/>
  <c r="O18" i="250"/>
  <c r="O22" i="250"/>
  <c r="O49" i="250"/>
  <c r="O12" i="250"/>
  <c r="O16" i="250"/>
  <c r="T16" i="250" s="1"/>
  <c r="O20" i="250"/>
  <c r="O11" i="250"/>
  <c r="O15" i="250"/>
  <c r="O19" i="250"/>
  <c r="O23" i="250"/>
  <c r="T23" i="250" s="1"/>
  <c r="O13" i="250"/>
  <c r="O17" i="250"/>
  <c r="O21" i="250"/>
  <c r="T21" i="250" s="1"/>
  <c r="O47" i="250"/>
  <c r="E21" i="277"/>
  <c r="E22" i="277"/>
  <c r="E24" i="277" s="1"/>
  <c r="E52" i="277" s="1"/>
  <c r="E54" i="277" s="1"/>
  <c r="E106" i="73" s="1"/>
  <c r="E31" i="277"/>
  <c r="D82" i="285"/>
  <c r="D78" i="285"/>
  <c r="M15" i="346"/>
  <c r="P24" i="308"/>
  <c r="P26" i="308"/>
  <c r="P9" i="308"/>
  <c r="P33" i="308" s="1"/>
  <c r="P31" i="308"/>
  <c r="Q8" i="308"/>
  <c r="F10" i="308"/>
  <c r="F46" i="308"/>
  <c r="D83" i="285"/>
  <c r="T11" i="12"/>
  <c r="X11" i="12"/>
  <c r="S42" i="12"/>
  <c r="S44" i="12"/>
  <c r="S45" i="12"/>
  <c r="S43" i="12"/>
  <c r="S40" i="12"/>
  <c r="S41" i="12"/>
  <c r="T10" i="12"/>
  <c r="O17" i="316"/>
  <c r="F68" i="52"/>
  <c r="F37" i="52"/>
  <c r="F41" i="52" s="1"/>
  <c r="F45" i="52" s="1"/>
  <c r="D179" i="73"/>
  <c r="D184" i="73"/>
  <c r="D188" i="73" s="1"/>
  <c r="D190" i="73" s="1"/>
  <c r="H14" i="344"/>
  <c r="H19" i="344"/>
  <c r="H13" i="344"/>
  <c r="H18" i="344"/>
  <c r="P10" i="344"/>
  <c r="P46" i="344"/>
  <c r="D37" i="295"/>
  <c r="D41" i="295" s="1"/>
  <c r="D45" i="295" s="1"/>
  <c r="T19" i="250"/>
  <c r="T15" i="12"/>
  <c r="T17" i="12"/>
  <c r="X11" i="256"/>
  <c r="T11" i="256"/>
  <c r="T14" i="256"/>
  <c r="T15" i="256"/>
  <c r="P31" i="346"/>
  <c r="P9" i="346"/>
  <c r="P24" i="346"/>
  <c r="P26" i="346"/>
  <c r="Q8" i="346"/>
  <c r="E35" i="289"/>
  <c r="E39" i="289" s="1"/>
  <c r="E43" i="289" s="1"/>
  <c r="E66" i="289"/>
  <c r="O10" i="12"/>
  <c r="O14" i="12"/>
  <c r="T14" i="12" s="1"/>
  <c r="O18" i="12"/>
  <c r="O22" i="12"/>
  <c r="O49" i="12"/>
  <c r="O13" i="12"/>
  <c r="O17" i="12"/>
  <c r="O21" i="12"/>
  <c r="T21" i="12" s="1"/>
  <c r="O12" i="12"/>
  <c r="O16" i="12"/>
  <c r="T16" i="12" s="1"/>
  <c r="O20" i="12"/>
  <c r="O11" i="12"/>
  <c r="O15" i="12"/>
  <c r="O19" i="12"/>
  <c r="O23" i="12"/>
  <c r="O47" i="12"/>
  <c r="R66" i="73"/>
  <c r="J69" i="52"/>
  <c r="J37" i="52"/>
  <c r="J41" i="52" s="1"/>
  <c r="J45" i="52" s="1"/>
  <c r="F37" i="285"/>
  <c r="F41" i="285" s="1"/>
  <c r="F45" i="285" s="1"/>
  <c r="F68" i="285"/>
  <c r="L41" i="346"/>
  <c r="L43" i="346"/>
  <c r="L42" i="346"/>
  <c r="T23" i="12"/>
  <c r="T12" i="12"/>
  <c r="T19" i="256"/>
  <c r="T22" i="256"/>
  <c r="X22" i="256"/>
  <c r="D82" i="52"/>
  <c r="D78" i="52"/>
  <c r="D83" i="52" s="1"/>
  <c r="T12" i="256"/>
  <c r="H21" i="277"/>
  <c r="H22" i="277"/>
  <c r="H24" i="277" s="1"/>
  <c r="H52" i="277" s="1"/>
  <c r="H54" i="277" s="1"/>
  <c r="J106" i="73" s="1"/>
  <c r="K106" i="73" s="1"/>
  <c r="C87" i="156" s="1"/>
  <c r="F87" i="156" s="1"/>
  <c r="H31" i="277"/>
  <c r="I102" i="289"/>
  <c r="F35" i="289"/>
  <c r="F39" i="289" s="1"/>
  <c r="F43" i="289" s="1"/>
  <c r="F66" i="289"/>
  <c r="T19" i="257"/>
  <c r="T20" i="257"/>
  <c r="T17" i="249"/>
  <c r="T20" i="249"/>
  <c r="G68" i="295"/>
  <c r="G37" i="295"/>
  <c r="G41" i="295" s="1"/>
  <c r="G45" i="295" s="1"/>
  <c r="T17" i="250"/>
  <c r="X22" i="250"/>
  <c r="T22" i="250"/>
  <c r="G10" i="308"/>
  <c r="D97" i="73"/>
  <c r="D98" i="73" s="1"/>
  <c r="K29" i="133"/>
  <c r="B29" i="133" s="1"/>
  <c r="G29" i="133" s="1"/>
  <c r="B3" i="57" s="1"/>
  <c r="J30" i="133"/>
  <c r="H37" i="285"/>
  <c r="H41" i="285" s="1"/>
  <c r="H45" i="285" s="1"/>
  <c r="H68" i="285"/>
  <c r="D78" i="289"/>
  <c r="D74" i="289"/>
  <c r="T23" i="257"/>
  <c r="T23" i="249"/>
  <c r="S43" i="249"/>
  <c r="S40" i="249"/>
  <c r="S41" i="249"/>
  <c r="S42" i="249"/>
  <c r="S44" i="249"/>
  <c r="S45" i="249"/>
  <c r="T10" i="249"/>
  <c r="D82" i="295"/>
  <c r="D78" i="295"/>
  <c r="L73" i="73"/>
  <c r="L92" i="73" s="1"/>
  <c r="L79" i="73"/>
  <c r="L102" i="73" s="1"/>
  <c r="L74" i="73"/>
  <c r="L93" i="73" s="1"/>
  <c r="L72" i="73"/>
  <c r="L91" i="73" s="1"/>
  <c r="L209" i="73"/>
  <c r="J9" i="344" l="1"/>
  <c r="L43" i="308"/>
  <c r="P14" i="316"/>
  <c r="P17" i="316" s="1"/>
  <c r="P12" i="316"/>
  <c r="L41" i="308"/>
  <c r="I10" i="344"/>
  <c r="H15" i="344"/>
  <c r="O15" i="344"/>
  <c r="G28" i="308"/>
  <c r="G29" i="308" s="1"/>
  <c r="G33" i="308"/>
  <c r="G34" i="308" s="1"/>
  <c r="G46" i="308"/>
  <c r="P34" i="308"/>
  <c r="J28" i="344"/>
  <c r="J29" i="344" s="1"/>
  <c r="J33" i="344"/>
  <c r="I28" i="344"/>
  <c r="I29" i="344" s="1"/>
  <c r="I33" i="344"/>
  <c r="Q28" i="344"/>
  <c r="Q29" i="344" s="1"/>
  <c r="Q33" i="344"/>
  <c r="H34" i="344"/>
  <c r="P33" i="346"/>
  <c r="P34" i="346" s="1"/>
  <c r="P28" i="346"/>
  <c r="P29" i="346" s="1"/>
  <c r="G33" i="346"/>
  <c r="G34" i="346" s="1"/>
  <c r="G28" i="346"/>
  <c r="G29" i="346" s="1"/>
  <c r="G22" i="344"/>
  <c r="G42" i="344" s="1"/>
  <c r="P28" i="308"/>
  <c r="P29" i="308" s="1"/>
  <c r="H9" i="308"/>
  <c r="N15" i="308"/>
  <c r="U14" i="12"/>
  <c r="W14" i="12" s="1"/>
  <c r="V14" i="12"/>
  <c r="X14" i="12" s="1"/>
  <c r="Y14" i="12" s="1"/>
  <c r="U21" i="12"/>
  <c r="W21" i="12" s="1"/>
  <c r="V21" i="12"/>
  <c r="V23" i="250"/>
  <c r="X23" i="250" s="1"/>
  <c r="Y23" i="250" s="1"/>
  <c r="U23" i="250"/>
  <c r="W23" i="250" s="1"/>
  <c r="V21" i="250"/>
  <c r="U21" i="250"/>
  <c r="W21" i="250" s="1"/>
  <c r="U16" i="250"/>
  <c r="W16" i="250" s="1"/>
  <c r="V16" i="250"/>
  <c r="C83" i="156"/>
  <c r="F83" i="156" s="1"/>
  <c r="D109" i="73"/>
  <c r="D233" i="73"/>
  <c r="U16" i="12"/>
  <c r="W16" i="12" s="1"/>
  <c r="V16" i="12"/>
  <c r="X16" i="12" s="1"/>
  <c r="Y16" i="12" s="1"/>
  <c r="C84" i="156"/>
  <c r="F84" i="156" s="1"/>
  <c r="E109" i="73"/>
  <c r="E233" i="73"/>
  <c r="U14" i="250"/>
  <c r="W14" i="250" s="1"/>
  <c r="V14" i="250"/>
  <c r="V17" i="257"/>
  <c r="X17" i="257" s="1"/>
  <c r="Y17" i="257" s="1"/>
  <c r="U17" i="257"/>
  <c r="W17" i="257" s="1"/>
  <c r="U16" i="257"/>
  <c r="W16" i="257" s="1"/>
  <c r="V16" i="257"/>
  <c r="T42" i="249"/>
  <c r="T44" i="249"/>
  <c r="T45" i="249"/>
  <c r="U10" i="249"/>
  <c r="T40" i="249"/>
  <c r="T41" i="249"/>
  <c r="T43" i="249"/>
  <c r="V10" i="249"/>
  <c r="D82" i="289"/>
  <c r="D83" i="289"/>
  <c r="D80" i="289"/>
  <c r="D84" i="289"/>
  <c r="D81" i="289"/>
  <c r="D79" i="289"/>
  <c r="G110" i="285"/>
  <c r="G19" i="308"/>
  <c r="G14" i="308"/>
  <c r="G18" i="308"/>
  <c r="G13" i="308"/>
  <c r="U20" i="257"/>
  <c r="W20" i="257" s="1"/>
  <c r="V20" i="257"/>
  <c r="X20" i="257" s="1"/>
  <c r="F74" i="289"/>
  <c r="U12" i="256"/>
  <c r="W12" i="256" s="1"/>
  <c r="V12" i="256"/>
  <c r="V19" i="256"/>
  <c r="U19" i="256"/>
  <c r="W19" i="256" s="1"/>
  <c r="F78" i="285"/>
  <c r="F82" i="285" s="1"/>
  <c r="R8" i="346"/>
  <c r="Q26" i="346"/>
  <c r="Q9" i="346"/>
  <c r="Q24" i="346"/>
  <c r="Q31" i="346"/>
  <c r="V11" i="256"/>
  <c r="U11" i="256"/>
  <c r="W11" i="256" s="1"/>
  <c r="V15" i="12"/>
  <c r="U15" i="12"/>
  <c r="W15" i="12" s="1"/>
  <c r="D51" i="295"/>
  <c r="E50" i="295" s="1"/>
  <c r="D110" i="295"/>
  <c r="D114" i="295" s="1"/>
  <c r="P14" i="344"/>
  <c r="P34" i="344" s="1"/>
  <c r="P19" i="344"/>
  <c r="P13" i="344"/>
  <c r="P18" i="344"/>
  <c r="F78" i="52"/>
  <c r="F114" i="52" s="1"/>
  <c r="P10" i="308"/>
  <c r="P46" i="308"/>
  <c r="O43" i="250"/>
  <c r="O45" i="250"/>
  <c r="O40" i="250"/>
  <c r="O41" i="250"/>
  <c r="O42" i="250"/>
  <c r="O44" i="250"/>
  <c r="G74" i="289"/>
  <c r="V11" i="249"/>
  <c r="U11" i="249"/>
  <c r="W11" i="249" s="1"/>
  <c r="G78" i="285"/>
  <c r="G82" i="285"/>
  <c r="E78" i="52"/>
  <c r="E82" i="52"/>
  <c r="Q10" i="344"/>
  <c r="Q46" i="344"/>
  <c r="U10" i="256"/>
  <c r="T40" i="256"/>
  <c r="T41" i="256"/>
  <c r="T42" i="256"/>
  <c r="T44" i="256"/>
  <c r="T45" i="256"/>
  <c r="T43" i="256"/>
  <c r="V10" i="256"/>
  <c r="D84" i="52"/>
  <c r="D92" i="52" s="1"/>
  <c r="V19" i="249"/>
  <c r="U19" i="249"/>
  <c r="W19" i="249" s="1"/>
  <c r="O42" i="257"/>
  <c r="O44" i="257"/>
  <c r="O45" i="257"/>
  <c r="O40" i="257"/>
  <c r="O41" i="257"/>
  <c r="O43" i="257"/>
  <c r="U20" i="256"/>
  <c r="W20" i="256" s="1"/>
  <c r="V20" i="256"/>
  <c r="X20" i="256" s="1"/>
  <c r="G10" i="346"/>
  <c r="G46" i="346"/>
  <c r="H9" i="346"/>
  <c r="G110" i="295"/>
  <c r="H82" i="52"/>
  <c r="H78" i="52"/>
  <c r="E78" i="295"/>
  <c r="E82" i="295"/>
  <c r="Q10" i="316"/>
  <c r="R16" i="316"/>
  <c r="Q9" i="316"/>
  <c r="J110" i="285"/>
  <c r="J81" i="289"/>
  <c r="J83" i="289"/>
  <c r="J80" i="289"/>
  <c r="J79" i="289"/>
  <c r="J82" i="289"/>
  <c r="J78" i="289"/>
  <c r="AA7" i="295"/>
  <c r="Q8" i="295" s="1"/>
  <c r="D10" i="295" s="1"/>
  <c r="AA7" i="52"/>
  <c r="AA7" i="285"/>
  <c r="AA7" i="289"/>
  <c r="N204" i="73"/>
  <c r="E110" i="295"/>
  <c r="E114" i="295" s="1"/>
  <c r="E51" i="295"/>
  <c r="N15" i="346"/>
  <c r="U12" i="249"/>
  <c r="W12" i="249" s="1"/>
  <c r="V12" i="249"/>
  <c r="X12" i="249" s="1"/>
  <c r="N22" i="344"/>
  <c r="E158" i="73"/>
  <c r="E162" i="73" s="1"/>
  <c r="E164" i="73" s="1"/>
  <c r="I78" i="295"/>
  <c r="I82" i="295" s="1"/>
  <c r="U25" i="316"/>
  <c r="V17" i="250"/>
  <c r="U17" i="250"/>
  <c r="W17" i="250" s="1"/>
  <c r="D86" i="295"/>
  <c r="D90" i="295"/>
  <c r="D87" i="295"/>
  <c r="D88" i="295"/>
  <c r="D120" i="295"/>
  <c r="D121" i="295"/>
  <c r="D122" i="295"/>
  <c r="D119" i="295"/>
  <c r="D89" i="295"/>
  <c r="D118" i="295"/>
  <c r="V23" i="249"/>
  <c r="U23" i="249"/>
  <c r="W23" i="249" s="1"/>
  <c r="U22" i="250"/>
  <c r="W22" i="250" s="1"/>
  <c r="V22" i="250"/>
  <c r="Y22" i="250" s="1"/>
  <c r="F51" i="295"/>
  <c r="F110" i="295"/>
  <c r="E102" i="289"/>
  <c r="H37" i="277"/>
  <c r="H34" i="277"/>
  <c r="H35" i="277" s="1"/>
  <c r="E110" i="285"/>
  <c r="O43" i="12"/>
  <c r="O40" i="12"/>
  <c r="O41" i="12"/>
  <c r="O42" i="12"/>
  <c r="O44" i="12"/>
  <c r="O45" i="12"/>
  <c r="H20" i="344"/>
  <c r="H22" i="344" s="1"/>
  <c r="O20" i="316"/>
  <c r="O22" i="316" s="1"/>
  <c r="O27" i="316" s="1"/>
  <c r="U10" i="12"/>
  <c r="T40" i="12"/>
  <c r="T41" i="12"/>
  <c r="V10" i="12"/>
  <c r="T42" i="12"/>
  <c r="T44" i="12"/>
  <c r="T45" i="12"/>
  <c r="T43" i="12"/>
  <c r="V11" i="12"/>
  <c r="U11" i="12"/>
  <c r="W11" i="12" s="1"/>
  <c r="F19" i="308"/>
  <c r="F14" i="308"/>
  <c r="F18" i="308"/>
  <c r="F13" i="308"/>
  <c r="D84" i="295"/>
  <c r="E34" i="277"/>
  <c r="E35" i="277" s="1"/>
  <c r="E37" i="277" s="1"/>
  <c r="D51" i="52"/>
  <c r="E50" i="52" s="1"/>
  <c r="D110" i="52"/>
  <c r="D114" i="52" s="1"/>
  <c r="U61" i="73"/>
  <c r="D83" i="295"/>
  <c r="D92" i="295" s="1"/>
  <c r="V11" i="250"/>
  <c r="U11" i="250"/>
  <c r="W11" i="250" s="1"/>
  <c r="V15" i="249"/>
  <c r="U15" i="249"/>
  <c r="W15" i="249" s="1"/>
  <c r="V13" i="257"/>
  <c r="U13" i="257"/>
  <c r="W13" i="257" s="1"/>
  <c r="F102" i="289"/>
  <c r="F106" i="289" s="1"/>
  <c r="U18" i="12"/>
  <c r="W18" i="12" s="1"/>
  <c r="V18" i="12"/>
  <c r="V11" i="257"/>
  <c r="U11" i="257"/>
  <c r="W11" i="257" s="1"/>
  <c r="F110" i="285"/>
  <c r="F114" i="285" s="1"/>
  <c r="F79" i="73"/>
  <c r="F102" i="73" s="1"/>
  <c r="I79" i="73"/>
  <c r="I102" i="73" s="1"/>
  <c r="K79" i="73"/>
  <c r="K102" i="73" s="1"/>
  <c r="H79" i="73"/>
  <c r="H102" i="73" s="1"/>
  <c r="J79" i="73"/>
  <c r="J102" i="73" s="1"/>
  <c r="M79" i="73"/>
  <c r="M102" i="73" s="1"/>
  <c r="G79" i="73"/>
  <c r="G102" i="73" s="1"/>
  <c r="N79" i="73"/>
  <c r="N102" i="73" s="1"/>
  <c r="U22" i="257"/>
  <c r="W22" i="257" s="1"/>
  <c r="V22" i="257"/>
  <c r="Y22" i="257" s="1"/>
  <c r="S8" i="344"/>
  <c r="R26" i="344"/>
  <c r="R9" i="344"/>
  <c r="R31" i="344"/>
  <c r="R24" i="344"/>
  <c r="D116" i="52"/>
  <c r="V15" i="250"/>
  <c r="U15" i="250"/>
  <c r="W15" i="250" s="1"/>
  <c r="U18" i="257"/>
  <c r="W18" i="257" s="1"/>
  <c r="V18" i="257"/>
  <c r="X18" i="257" s="1"/>
  <c r="U22" i="12"/>
  <c r="W22" i="12" s="1"/>
  <c r="V22" i="12"/>
  <c r="Y22" i="12" s="1"/>
  <c r="D85" i="52"/>
  <c r="G110" i="52"/>
  <c r="V13" i="256"/>
  <c r="U13" i="256"/>
  <c r="W13" i="256" s="1"/>
  <c r="U20" i="12"/>
  <c r="W20" i="12" s="1"/>
  <c r="V20" i="12"/>
  <c r="X20" i="12" s="1"/>
  <c r="D49" i="289"/>
  <c r="E49" i="289" s="1"/>
  <c r="D102" i="289"/>
  <c r="D108" i="289" s="1"/>
  <c r="O20" i="344"/>
  <c r="I13" i="344"/>
  <c r="I18" i="344"/>
  <c r="I14" i="344"/>
  <c r="I19" i="344"/>
  <c r="K90" i="285"/>
  <c r="K78" i="285"/>
  <c r="M14" i="308"/>
  <c r="M18" i="308"/>
  <c r="M13" i="308"/>
  <c r="M19" i="308"/>
  <c r="E78" i="285"/>
  <c r="E82" i="285"/>
  <c r="F10" i="278"/>
  <c r="F12" i="278" s="1"/>
  <c r="F13" i="278" s="1"/>
  <c r="D12" i="278"/>
  <c r="D13" i="278" s="1"/>
  <c r="D15" i="278" s="1"/>
  <c r="D16" i="278" s="1"/>
  <c r="Q12" i="289"/>
  <c r="Q16" i="289"/>
  <c r="Q8" i="289"/>
  <c r="D10" i="289" s="1"/>
  <c r="N6" i="292" s="1"/>
  <c r="I78" i="52"/>
  <c r="V13" i="250"/>
  <c r="U13" i="250"/>
  <c r="W13" i="250" s="1"/>
  <c r="U16" i="249"/>
  <c r="W16" i="249" s="1"/>
  <c r="V16" i="249"/>
  <c r="D34" i="277"/>
  <c r="D35" i="277" s="1"/>
  <c r="D37" i="277" s="1"/>
  <c r="H78" i="289"/>
  <c r="H74" i="289"/>
  <c r="H110" i="295"/>
  <c r="D86" i="289"/>
  <c r="K30" i="133"/>
  <c r="B30" i="133" s="1"/>
  <c r="G30" i="133" s="1"/>
  <c r="B3" i="59" s="1"/>
  <c r="J33" i="133"/>
  <c r="G78" i="295"/>
  <c r="G82" i="295" s="1"/>
  <c r="G114" i="295"/>
  <c r="V17" i="249"/>
  <c r="U17" i="249"/>
  <c r="W17" i="249" s="1"/>
  <c r="V19" i="257"/>
  <c r="U19" i="257"/>
  <c r="W19" i="257" s="1"/>
  <c r="U22" i="256"/>
  <c r="W22" i="256" s="1"/>
  <c r="V22" i="256"/>
  <c r="Y22" i="256" s="1"/>
  <c r="U12" i="12"/>
  <c r="W12" i="12" s="1"/>
  <c r="V12" i="12"/>
  <c r="I110" i="52"/>
  <c r="I114" i="52" s="1"/>
  <c r="R71" i="73"/>
  <c r="J110" i="52"/>
  <c r="E74" i="289"/>
  <c r="E106" i="289"/>
  <c r="U14" i="256"/>
  <c r="W14" i="256" s="1"/>
  <c r="V14" i="256"/>
  <c r="U17" i="12"/>
  <c r="W17" i="12" s="1"/>
  <c r="V17" i="12"/>
  <c r="V19" i="250"/>
  <c r="U19" i="250"/>
  <c r="W19" i="250" s="1"/>
  <c r="R8" i="308"/>
  <c r="Q24" i="308"/>
  <c r="Q26" i="308"/>
  <c r="Q9" i="308"/>
  <c r="Q33" i="308" s="1"/>
  <c r="Q31" i="308"/>
  <c r="U18" i="249"/>
  <c r="W18" i="249" s="1"/>
  <c r="V18" i="249"/>
  <c r="I78" i="285"/>
  <c r="I82" i="285"/>
  <c r="U14" i="249"/>
  <c r="W14" i="249" s="1"/>
  <c r="V14" i="249"/>
  <c r="V21" i="257"/>
  <c r="U21" i="257"/>
  <c r="W21" i="257" s="1"/>
  <c r="U20" i="250"/>
  <c r="W20" i="250" s="1"/>
  <c r="V20" i="250"/>
  <c r="J102" i="289"/>
  <c r="J112" i="289" s="1"/>
  <c r="V21" i="256"/>
  <c r="U21" i="256"/>
  <c r="W21" i="256" s="1"/>
  <c r="I110" i="285"/>
  <c r="I114" i="285" s="1"/>
  <c r="H102" i="289"/>
  <c r="H106" i="289" s="1"/>
  <c r="F13" i="346"/>
  <c r="F18" i="346"/>
  <c r="F14" i="346"/>
  <c r="F19" i="346"/>
  <c r="O41" i="296"/>
  <c r="O42" i="296"/>
  <c r="O44" i="296"/>
  <c r="O46" i="296"/>
  <c r="O43" i="296"/>
  <c r="O45" i="296"/>
  <c r="U16" i="256"/>
  <c r="W16" i="256" s="1"/>
  <c r="V16" i="256"/>
  <c r="F110" i="52"/>
  <c r="F22" i="344"/>
  <c r="P20" i="316"/>
  <c r="P22" i="316" s="1"/>
  <c r="P27" i="316" s="1"/>
  <c r="I110" i="295"/>
  <c r="I114" i="295" s="1"/>
  <c r="J110" i="295"/>
  <c r="J84" i="289"/>
  <c r="C116" i="73"/>
  <c r="Q12" i="285"/>
  <c r="Q16" i="285"/>
  <c r="P4" i="294" s="1"/>
  <c r="Q8" i="285"/>
  <c r="H110" i="52"/>
  <c r="H114" i="52" s="1"/>
  <c r="V19" i="12"/>
  <c r="U19" i="12"/>
  <c r="W19" i="12" s="1"/>
  <c r="U12" i="257"/>
  <c r="W12" i="257" s="1"/>
  <c r="V12" i="257"/>
  <c r="X12" i="257" s="1"/>
  <c r="G102" i="289"/>
  <c r="V23" i="257"/>
  <c r="U23" i="257"/>
  <c r="W23" i="257" s="1"/>
  <c r="H78" i="285"/>
  <c r="H82" i="285" s="1"/>
  <c r="U20" i="249"/>
  <c r="W20" i="249" s="1"/>
  <c r="V20" i="249"/>
  <c r="D86" i="52"/>
  <c r="D87" i="52"/>
  <c r="D88" i="52"/>
  <c r="D89" i="52"/>
  <c r="D118" i="52"/>
  <c r="D119" i="52"/>
  <c r="D120" i="52"/>
  <c r="D121" i="52"/>
  <c r="D122" i="52"/>
  <c r="D90" i="52"/>
  <c r="V23" i="12"/>
  <c r="U23" i="12"/>
  <c r="W23" i="12" s="1"/>
  <c r="J78" i="52"/>
  <c r="J115" i="52" s="1"/>
  <c r="P46" i="346"/>
  <c r="P10" i="346"/>
  <c r="V15" i="256"/>
  <c r="U15" i="256"/>
  <c r="W15" i="256" s="1"/>
  <c r="D85" i="295"/>
  <c r="E110" i="52"/>
  <c r="E51" i="52"/>
  <c r="F51" i="52" s="1"/>
  <c r="R75" i="73" a="1"/>
  <c r="D84" i="285"/>
  <c r="D92" i="285" s="1"/>
  <c r="D88" i="285"/>
  <c r="D86" i="285"/>
  <c r="D90" i="285"/>
  <c r="D119" i="285"/>
  <c r="D121" i="285"/>
  <c r="D87" i="285"/>
  <c r="D89" i="285"/>
  <c r="D116" i="285"/>
  <c r="D85" i="285"/>
  <c r="U14" i="257"/>
  <c r="W14" i="257" s="1"/>
  <c r="V14" i="257"/>
  <c r="X14" i="257" s="1"/>
  <c r="Y14" i="257" s="1"/>
  <c r="H110" i="285"/>
  <c r="H114" i="285" s="1"/>
  <c r="G43" i="344"/>
  <c r="U12" i="250"/>
  <c r="W12" i="250" s="1"/>
  <c r="V12" i="250"/>
  <c r="U10" i="257"/>
  <c r="T40" i="257"/>
  <c r="T41" i="257"/>
  <c r="T42" i="257"/>
  <c r="T44" i="257"/>
  <c r="T45" i="257"/>
  <c r="T43" i="257"/>
  <c r="V10" i="257"/>
  <c r="O14" i="346"/>
  <c r="O19" i="346"/>
  <c r="O13" i="346"/>
  <c r="O18" i="346"/>
  <c r="U10" i="250"/>
  <c r="T40" i="250"/>
  <c r="T41" i="250"/>
  <c r="T42" i="250"/>
  <c r="T44" i="250"/>
  <c r="T45" i="250"/>
  <c r="V10" i="250"/>
  <c r="T43" i="250"/>
  <c r="V21" i="249"/>
  <c r="U21" i="249"/>
  <c r="W21" i="249" s="1"/>
  <c r="U19" i="316"/>
  <c r="U22" i="249"/>
  <c r="W22" i="249" s="1"/>
  <c r="V22" i="249"/>
  <c r="Y22" i="249" s="1"/>
  <c r="M22" i="346"/>
  <c r="K74" i="289"/>
  <c r="V23" i="256"/>
  <c r="U23" i="256"/>
  <c r="W23" i="256" s="1"/>
  <c r="J115" i="285"/>
  <c r="J78" i="285"/>
  <c r="J83" i="285" s="1"/>
  <c r="I74" i="289"/>
  <c r="I78" i="289" s="1"/>
  <c r="V17" i="256"/>
  <c r="U17" i="256"/>
  <c r="W17" i="256" s="1"/>
  <c r="H78" i="295"/>
  <c r="U18" i="256"/>
  <c r="W18" i="256" s="1"/>
  <c r="V18" i="256"/>
  <c r="G78" i="52"/>
  <c r="J46" i="344"/>
  <c r="J10" i="344"/>
  <c r="J115" i="295"/>
  <c r="J83" i="295"/>
  <c r="J78" i="295"/>
  <c r="U13" i="12"/>
  <c r="W13" i="12" s="1"/>
  <c r="V13" i="12"/>
  <c r="O19" i="308"/>
  <c r="O14" i="308"/>
  <c r="O18" i="308"/>
  <c r="O13" i="308"/>
  <c r="D51" i="285"/>
  <c r="D110" i="285"/>
  <c r="Q8" i="52"/>
  <c r="D10" i="52" s="1"/>
  <c r="N5" i="14" s="1"/>
  <c r="D24" i="14" s="1"/>
  <c r="U18" i="250"/>
  <c r="W18" i="250" s="1"/>
  <c r="V18" i="250"/>
  <c r="F78" i="295"/>
  <c r="F114" i="295"/>
  <c r="F82" i="295"/>
  <c r="V13" i="249"/>
  <c r="X13" i="249" s="1"/>
  <c r="U13" i="249"/>
  <c r="W13" i="249" s="1"/>
  <c r="V15" i="257"/>
  <c r="U15" i="257"/>
  <c r="W15" i="257" s="1"/>
  <c r="N20" i="346"/>
  <c r="N20" i="308"/>
  <c r="D135" i="73"/>
  <c r="D139" i="73" s="1"/>
  <c r="D141" i="73" s="1"/>
  <c r="X15" i="257" l="1"/>
  <c r="X17" i="249"/>
  <c r="Y17" i="249" s="1"/>
  <c r="X21" i="12"/>
  <c r="Y21" i="12" s="1"/>
  <c r="X18" i="250"/>
  <c r="X16" i="256"/>
  <c r="Y16" i="256" s="1"/>
  <c r="X21" i="250"/>
  <c r="Y21" i="250" s="1"/>
  <c r="X17" i="250"/>
  <c r="Y17" i="250" s="1"/>
  <c r="X23" i="12"/>
  <c r="Y23" i="12" s="1"/>
  <c r="Y43" i="12" s="1"/>
  <c r="AB42" i="12" s="1"/>
  <c r="AB43" i="12" s="1"/>
  <c r="X21" i="257"/>
  <c r="Y21" i="257" s="1"/>
  <c r="X19" i="257"/>
  <c r="X21" i="249"/>
  <c r="Y21" i="249" s="1"/>
  <c r="X18" i="249"/>
  <c r="X19" i="250"/>
  <c r="X16" i="249"/>
  <c r="Y16" i="249" s="1"/>
  <c r="X18" i="12"/>
  <c r="X19" i="249"/>
  <c r="G41" i="344"/>
  <c r="Q34" i="308"/>
  <c r="Q14" i="316"/>
  <c r="Q12" i="316"/>
  <c r="N22" i="308"/>
  <c r="N42" i="308" s="1"/>
  <c r="I15" i="344"/>
  <c r="P15" i="344"/>
  <c r="H28" i="308"/>
  <c r="H29" i="308" s="1"/>
  <c r="H33" i="308"/>
  <c r="H34" i="308" s="1"/>
  <c r="R28" i="344"/>
  <c r="R29" i="344" s="1"/>
  <c r="R33" i="344"/>
  <c r="I34" i="344"/>
  <c r="H33" i="346"/>
  <c r="H34" i="346" s="1"/>
  <c r="H28" i="346"/>
  <c r="H29" i="346" s="1"/>
  <c r="Q33" i="346"/>
  <c r="Q34" i="346" s="1"/>
  <c r="Q28" i="346"/>
  <c r="Q29" i="346" s="1"/>
  <c r="F20" i="346"/>
  <c r="N22" i="346"/>
  <c r="N42" i="346" s="1"/>
  <c r="Q28" i="308"/>
  <c r="Q29" i="308" s="1"/>
  <c r="H10" i="308"/>
  <c r="H46" i="308"/>
  <c r="I9" i="308"/>
  <c r="M20" i="308"/>
  <c r="O15" i="308"/>
  <c r="O20" i="346"/>
  <c r="F20" i="308"/>
  <c r="G20" i="308"/>
  <c r="M15" i="308"/>
  <c r="G50" i="52"/>
  <c r="G51" i="52"/>
  <c r="D118" i="289"/>
  <c r="F48" i="289"/>
  <c r="F49" i="289"/>
  <c r="G88" i="52"/>
  <c r="G122" i="52"/>
  <c r="G87" i="52"/>
  <c r="G120" i="52"/>
  <c r="G90" i="52"/>
  <c r="G119" i="52"/>
  <c r="G121" i="52"/>
  <c r="G89" i="52"/>
  <c r="G118" i="52"/>
  <c r="G86" i="52"/>
  <c r="G84" i="52"/>
  <c r="G85" i="52"/>
  <c r="G83" i="52"/>
  <c r="G116" i="52"/>
  <c r="G117" i="52"/>
  <c r="G115" i="52"/>
  <c r="D131" i="285"/>
  <c r="P13" i="346"/>
  <c r="P18" i="346"/>
  <c r="P14" i="346"/>
  <c r="P19" i="346"/>
  <c r="D134" i="52"/>
  <c r="D130" i="52"/>
  <c r="D10" i="285"/>
  <c r="P6" i="294"/>
  <c r="D25" i="294" s="1"/>
  <c r="E81" i="289"/>
  <c r="E80" i="289"/>
  <c r="E109" i="289"/>
  <c r="E83" i="289"/>
  <c r="E111" i="289"/>
  <c r="E108" i="289"/>
  <c r="H118" i="289" s="1"/>
  <c r="E110" i="289"/>
  <c r="E82" i="289"/>
  <c r="E107" i="289"/>
  <c r="E79" i="289"/>
  <c r="E84" i="289"/>
  <c r="E112" i="289"/>
  <c r="I88" i="52"/>
  <c r="I87" i="52"/>
  <c r="I120" i="52"/>
  <c r="I119" i="52"/>
  <c r="I90" i="52"/>
  <c r="I122" i="52"/>
  <c r="I89" i="52"/>
  <c r="I121" i="52"/>
  <c r="I86" i="52"/>
  <c r="I118" i="52"/>
  <c r="I83" i="52"/>
  <c r="I115" i="52"/>
  <c r="I84" i="52"/>
  <c r="I117" i="52"/>
  <c r="I116" i="52"/>
  <c r="I85" i="52"/>
  <c r="E87" i="285"/>
  <c r="E85" i="285"/>
  <c r="E89" i="285"/>
  <c r="E117" i="285"/>
  <c r="E118" i="285"/>
  <c r="E119" i="285"/>
  <c r="F131" i="285" s="1"/>
  <c r="E120" i="285"/>
  <c r="E121" i="285"/>
  <c r="E86" i="285"/>
  <c r="E88" i="285"/>
  <c r="E116" i="285"/>
  <c r="E84" i="285"/>
  <c r="E122" i="285"/>
  <c r="E90" i="285"/>
  <c r="E115" i="285"/>
  <c r="E83" i="285"/>
  <c r="D128" i="52"/>
  <c r="D126" i="52"/>
  <c r="D130" i="295"/>
  <c r="D133" i="295"/>
  <c r="V25" i="316"/>
  <c r="J107" i="289"/>
  <c r="S16" i="316"/>
  <c r="R10" i="316"/>
  <c r="R9" i="316"/>
  <c r="V42" i="256"/>
  <c r="V44" i="256"/>
  <c r="V45" i="256"/>
  <c r="V40" i="256"/>
  <c r="V41" i="256"/>
  <c r="V43" i="256"/>
  <c r="G85" i="285"/>
  <c r="G117" i="285"/>
  <c r="G84" i="285"/>
  <c r="G116" i="285"/>
  <c r="G119" i="285"/>
  <c r="G87" i="285"/>
  <c r="G120" i="285"/>
  <c r="G88" i="285"/>
  <c r="G89" i="285"/>
  <c r="G121" i="285"/>
  <c r="G118" i="285"/>
  <c r="G86" i="285"/>
  <c r="G122" i="285"/>
  <c r="G90" i="285"/>
  <c r="G83" i="285"/>
  <c r="G115" i="285"/>
  <c r="G110" i="289"/>
  <c r="G82" i="289"/>
  <c r="G83" i="289"/>
  <c r="G79" i="289"/>
  <c r="G111" i="289"/>
  <c r="G107" i="289"/>
  <c r="G108" i="289"/>
  <c r="G109" i="289"/>
  <c r="G80" i="289"/>
  <c r="G81" i="289"/>
  <c r="G112" i="289"/>
  <c r="G84" i="289"/>
  <c r="F82" i="52"/>
  <c r="P20" i="344"/>
  <c r="E126" i="295"/>
  <c r="F126" i="295"/>
  <c r="G126" i="295"/>
  <c r="D126" i="295"/>
  <c r="Q10" i="346"/>
  <c r="Q46" i="346"/>
  <c r="G15" i="308"/>
  <c r="D111" i="289"/>
  <c r="U43" i="250"/>
  <c r="W10" i="250"/>
  <c r="U40" i="250"/>
  <c r="U41" i="250"/>
  <c r="U42" i="250"/>
  <c r="U44" i="250"/>
  <c r="U45" i="250"/>
  <c r="D22" i="14"/>
  <c r="E22" i="14" s="1"/>
  <c r="D23" i="14"/>
  <c r="E23" i="14" s="1"/>
  <c r="D25" i="14"/>
  <c r="E25" i="14" s="1"/>
  <c r="O20" i="308"/>
  <c r="J14" i="344"/>
  <c r="J34" i="344" s="1"/>
  <c r="J19" i="344"/>
  <c r="J13" i="344"/>
  <c r="J18" i="344"/>
  <c r="G82" i="52"/>
  <c r="G92" i="52" s="1"/>
  <c r="H120" i="295"/>
  <c r="H87" i="295"/>
  <c r="H119" i="295"/>
  <c r="H89" i="295"/>
  <c r="H90" i="295"/>
  <c r="H121" i="295"/>
  <c r="H88" i="295"/>
  <c r="H122" i="295"/>
  <c r="H86" i="295"/>
  <c r="H118" i="295"/>
  <c r="H116" i="295"/>
  <c r="H83" i="295"/>
  <c r="H115" i="295"/>
  <c r="H117" i="295"/>
  <c r="H84" i="295"/>
  <c r="H85" i="295"/>
  <c r="I106" i="289"/>
  <c r="K79" i="289"/>
  <c r="K81" i="289"/>
  <c r="K80" i="289"/>
  <c r="K83" i="289"/>
  <c r="K82" i="289"/>
  <c r="K78" i="289"/>
  <c r="V42" i="250"/>
  <c r="V44" i="250"/>
  <c r="V45" i="250"/>
  <c r="V40" i="250"/>
  <c r="V41" i="250"/>
  <c r="V43" i="250"/>
  <c r="X10" i="250"/>
  <c r="O15" i="346"/>
  <c r="F119" i="295"/>
  <c r="F89" i="295"/>
  <c r="F87" i="295"/>
  <c r="F88" i="295"/>
  <c r="F121" i="295"/>
  <c r="F90" i="295"/>
  <c r="F120" i="295"/>
  <c r="F122" i="295"/>
  <c r="F118" i="295"/>
  <c r="F86" i="295"/>
  <c r="F85" i="295"/>
  <c r="F84" i="295"/>
  <c r="F115" i="295"/>
  <c r="F117" i="295"/>
  <c r="F116" i="295"/>
  <c r="F83" i="295"/>
  <c r="D115" i="285"/>
  <c r="D114" i="285"/>
  <c r="J88" i="295"/>
  <c r="J87" i="295"/>
  <c r="J90" i="295"/>
  <c r="J120" i="295"/>
  <c r="J122" i="295"/>
  <c r="J89" i="295"/>
  <c r="J119" i="295"/>
  <c r="J121" i="295"/>
  <c r="J118" i="295"/>
  <c r="J86" i="295"/>
  <c r="J114" i="295"/>
  <c r="J82" i="295"/>
  <c r="J92" i="295" s="1"/>
  <c r="J85" i="295"/>
  <c r="J84" i="295"/>
  <c r="J117" i="295"/>
  <c r="J116" i="295"/>
  <c r="X18" i="256"/>
  <c r="H82" i="295"/>
  <c r="K84" i="289"/>
  <c r="D117" i="285"/>
  <c r="D122" i="285"/>
  <c r="D118" i="285"/>
  <c r="D133" i="52"/>
  <c r="X20" i="249"/>
  <c r="X19" i="12"/>
  <c r="X21" i="256"/>
  <c r="Y21" i="256" s="1"/>
  <c r="X20" i="250"/>
  <c r="X14" i="249"/>
  <c r="Y14" i="249" s="1"/>
  <c r="I85" i="285"/>
  <c r="I117" i="285"/>
  <c r="I84" i="285"/>
  <c r="I116" i="285"/>
  <c r="I120" i="285"/>
  <c r="I119" i="285"/>
  <c r="I88" i="285"/>
  <c r="I89" i="285"/>
  <c r="I121" i="285"/>
  <c r="I87" i="285"/>
  <c r="I86" i="285"/>
  <c r="I118" i="285"/>
  <c r="I90" i="285"/>
  <c r="I83" i="285"/>
  <c r="I122" i="285"/>
  <c r="I115" i="285"/>
  <c r="R9" i="308"/>
  <c r="R33" i="308" s="1"/>
  <c r="R31" i="308"/>
  <c r="S8" i="308"/>
  <c r="R24" i="308"/>
  <c r="R26" i="308"/>
  <c r="X17" i="12"/>
  <c r="Y17" i="12" s="1"/>
  <c r="X12" i="12"/>
  <c r="K33" i="133"/>
  <c r="B33" i="133" s="1"/>
  <c r="G33" i="133" s="1"/>
  <c r="B3" i="267" s="1"/>
  <c r="L15" i="279" s="1"/>
  <c r="J34" i="133"/>
  <c r="H109" i="289"/>
  <c r="H79" i="289"/>
  <c r="H81" i="289"/>
  <c r="H107" i="289"/>
  <c r="H83" i="289"/>
  <c r="H111" i="289"/>
  <c r="H82" i="289"/>
  <c r="H108" i="289"/>
  <c r="H80" i="289"/>
  <c r="H110" i="289"/>
  <c r="H84" i="289"/>
  <c r="H112" i="289"/>
  <c r="X13" i="250"/>
  <c r="Q6" i="292"/>
  <c r="N13" i="292"/>
  <c r="N17" i="292"/>
  <c r="N21" i="292"/>
  <c r="N12" i="292"/>
  <c r="N16" i="292"/>
  <c r="N20" i="292"/>
  <c r="N24" i="292"/>
  <c r="N10" i="292"/>
  <c r="N11" i="292"/>
  <c r="N14" i="292"/>
  <c r="N15" i="292"/>
  <c r="N18" i="292"/>
  <c r="N19" i="292"/>
  <c r="N22" i="292"/>
  <c r="N23" i="292"/>
  <c r="N48" i="292"/>
  <c r="N50" i="292"/>
  <c r="K83" i="285"/>
  <c r="K85" i="285"/>
  <c r="K86" i="285"/>
  <c r="K84" i="285"/>
  <c r="K88" i="285"/>
  <c r="K87" i="285"/>
  <c r="K89" i="285"/>
  <c r="K82" i="285"/>
  <c r="I20" i="344"/>
  <c r="I22" i="344" s="1"/>
  <c r="E48" i="289"/>
  <c r="X13" i="256"/>
  <c r="S9" i="344"/>
  <c r="S24" i="344"/>
  <c r="S31" i="344"/>
  <c r="S26" i="344"/>
  <c r="T8" i="344"/>
  <c r="X13" i="257"/>
  <c r="F15" i="308"/>
  <c r="D106" i="289"/>
  <c r="E132" i="295"/>
  <c r="D132" i="295"/>
  <c r="N41" i="344"/>
  <c r="N42" i="344"/>
  <c r="N43" i="344"/>
  <c r="F50" i="295"/>
  <c r="J86" i="289"/>
  <c r="E89" i="295"/>
  <c r="E118" i="295"/>
  <c r="E130" i="295" s="1"/>
  <c r="E119" i="295"/>
  <c r="E120" i="295"/>
  <c r="J132" i="295" s="1"/>
  <c r="E121" i="295"/>
  <c r="I133" i="295" s="1"/>
  <c r="E86" i="295"/>
  <c r="E87" i="295"/>
  <c r="E88" i="295"/>
  <c r="E90" i="295"/>
  <c r="E122" i="295"/>
  <c r="E115" i="295"/>
  <c r="E85" i="295"/>
  <c r="E83" i="295"/>
  <c r="E117" i="295"/>
  <c r="E116" i="295"/>
  <c r="E84" i="295"/>
  <c r="G14" i="346"/>
  <c r="G19" i="346"/>
  <c r="G13" i="346"/>
  <c r="G18" i="346"/>
  <c r="Q13" i="344"/>
  <c r="Q18" i="344"/>
  <c r="Q14" i="344"/>
  <c r="Q34" i="344" s="1"/>
  <c r="Q19" i="344"/>
  <c r="E89" i="52"/>
  <c r="E86" i="52"/>
  <c r="E87" i="52"/>
  <c r="E88" i="52"/>
  <c r="E119" i="52"/>
  <c r="E121" i="52"/>
  <c r="G133" i="52" s="1"/>
  <c r="E118" i="52"/>
  <c r="G130" i="52" s="1"/>
  <c r="E120" i="52"/>
  <c r="E90" i="52"/>
  <c r="E122" i="52"/>
  <c r="E134" i="52" s="1"/>
  <c r="E85" i="52"/>
  <c r="E117" i="52"/>
  <c r="E83" i="52"/>
  <c r="E92" i="52" s="1"/>
  <c r="E115" i="52"/>
  <c r="E84" i="52"/>
  <c r="E116" i="52"/>
  <c r="H128" i="52" s="1"/>
  <c r="G106" i="289"/>
  <c r="D116" i="295"/>
  <c r="X12" i="256"/>
  <c r="F79" i="289"/>
  <c r="F111" i="289"/>
  <c r="F107" i="289"/>
  <c r="F110" i="289"/>
  <c r="F81" i="289"/>
  <c r="F109" i="289"/>
  <c r="F83" i="289"/>
  <c r="F82" i="289"/>
  <c r="F108" i="289"/>
  <c r="F80" i="289"/>
  <c r="F112" i="289"/>
  <c r="F84" i="289"/>
  <c r="D110" i="289"/>
  <c r="X16" i="250"/>
  <c r="Y16" i="250" s="1"/>
  <c r="E50" i="285"/>
  <c r="I107" i="289"/>
  <c r="I82" i="289"/>
  <c r="I81" i="289"/>
  <c r="I110" i="289"/>
  <c r="I109" i="289"/>
  <c r="I79" i="289"/>
  <c r="I86" i="289" s="1"/>
  <c r="I108" i="289"/>
  <c r="I111" i="289"/>
  <c r="I80" i="289"/>
  <c r="I83" i="289"/>
  <c r="I84" i="289"/>
  <c r="I112" i="289"/>
  <c r="V19" i="316"/>
  <c r="D133" i="285"/>
  <c r="E133" i="285"/>
  <c r="D132" i="52"/>
  <c r="E132" i="52"/>
  <c r="N6" i="288"/>
  <c r="D9" i="287"/>
  <c r="P5" i="294"/>
  <c r="D33" i="294" s="1"/>
  <c r="Q10" i="308"/>
  <c r="Q46" i="308"/>
  <c r="K71" i="73"/>
  <c r="H71" i="73"/>
  <c r="I71" i="73"/>
  <c r="F71" i="73"/>
  <c r="M71" i="73"/>
  <c r="J71" i="73"/>
  <c r="G71" i="73"/>
  <c r="N71" i="73"/>
  <c r="L71" i="73"/>
  <c r="D9" i="291"/>
  <c r="N6" i="293"/>
  <c r="E92" i="285"/>
  <c r="U43" i="12"/>
  <c r="U40" i="12"/>
  <c r="U41" i="12"/>
  <c r="W10" i="12"/>
  <c r="U42" i="12"/>
  <c r="U44" i="12"/>
  <c r="U45" i="12"/>
  <c r="H41" i="344"/>
  <c r="H42" i="344"/>
  <c r="H43" i="344"/>
  <c r="G50" i="295"/>
  <c r="E131" i="295"/>
  <c r="F131" i="295"/>
  <c r="D131" i="295"/>
  <c r="J106" i="289"/>
  <c r="J111" i="289"/>
  <c r="G51" i="295"/>
  <c r="D117" i="52"/>
  <c r="G92" i="285"/>
  <c r="F122" i="52"/>
  <c r="F119" i="52"/>
  <c r="F90" i="52"/>
  <c r="F87" i="52"/>
  <c r="F88" i="52"/>
  <c r="F89" i="52"/>
  <c r="F120" i="52"/>
  <c r="F132" i="52" s="1"/>
  <c r="F121" i="52"/>
  <c r="F118" i="52"/>
  <c r="F86" i="52"/>
  <c r="F115" i="52"/>
  <c r="F116" i="52"/>
  <c r="F85" i="52"/>
  <c r="F117" i="52"/>
  <c r="F83" i="52"/>
  <c r="F84" i="52"/>
  <c r="R9" i="346"/>
  <c r="R24" i="346"/>
  <c r="R31" i="346"/>
  <c r="S8" i="346"/>
  <c r="R26" i="346"/>
  <c r="D107" i="289"/>
  <c r="D109" i="289"/>
  <c r="V40" i="249"/>
  <c r="V41" i="249"/>
  <c r="V42" i="249"/>
  <c r="V44" i="249"/>
  <c r="V45" i="249"/>
  <c r="V43" i="249"/>
  <c r="X10" i="249"/>
  <c r="W10" i="249"/>
  <c r="U43" i="249"/>
  <c r="U45" i="249"/>
  <c r="U40" i="249"/>
  <c r="U41" i="249"/>
  <c r="U42" i="249"/>
  <c r="U44" i="249"/>
  <c r="E113" i="73"/>
  <c r="R109" i="73"/>
  <c r="M41" i="346"/>
  <c r="M42" i="346"/>
  <c r="M43" i="346"/>
  <c r="W10" i="257"/>
  <c r="U40" i="257"/>
  <c r="U41" i="257"/>
  <c r="U42" i="257"/>
  <c r="U44" i="257"/>
  <c r="U45" i="257"/>
  <c r="U43" i="257"/>
  <c r="D128" i="285"/>
  <c r="E128" i="285"/>
  <c r="R76" i="73"/>
  <c r="R77" i="73"/>
  <c r="R75" i="73"/>
  <c r="R78" i="73"/>
  <c r="J120" i="52"/>
  <c r="J87" i="52"/>
  <c r="J89" i="52"/>
  <c r="J122" i="52"/>
  <c r="J119" i="52"/>
  <c r="J121" i="52"/>
  <c r="J90" i="52"/>
  <c r="J88" i="52"/>
  <c r="J118" i="52"/>
  <c r="J86" i="52"/>
  <c r="J114" i="52"/>
  <c r="J82" i="52"/>
  <c r="J84" i="52"/>
  <c r="J85" i="52"/>
  <c r="J116" i="52"/>
  <c r="J117" i="52"/>
  <c r="F92" i="295"/>
  <c r="X13" i="12"/>
  <c r="G114" i="52"/>
  <c r="H114" i="295"/>
  <c r="J126" i="295" s="1"/>
  <c r="X17" i="256"/>
  <c r="Y17" i="256" s="1"/>
  <c r="J84" i="285"/>
  <c r="J85" i="285"/>
  <c r="J116" i="285"/>
  <c r="J117" i="285"/>
  <c r="J88" i="285"/>
  <c r="J89" i="285"/>
  <c r="J120" i="285"/>
  <c r="J121" i="285"/>
  <c r="J87" i="285"/>
  <c r="J119" i="285"/>
  <c r="J86" i="285"/>
  <c r="J118" i="285"/>
  <c r="J114" i="285"/>
  <c r="J82" i="285"/>
  <c r="J92" i="285" s="1"/>
  <c r="J90" i="285"/>
  <c r="J122" i="285"/>
  <c r="X23" i="256"/>
  <c r="Y23" i="256" s="1"/>
  <c r="V40" i="257"/>
  <c r="V41" i="257"/>
  <c r="V42" i="257"/>
  <c r="V44" i="257"/>
  <c r="V45" i="257"/>
  <c r="V43" i="257"/>
  <c r="X12" i="250"/>
  <c r="D120" i="285"/>
  <c r="F50" i="52"/>
  <c r="X15" i="256"/>
  <c r="J83" i="52"/>
  <c r="G131" i="52"/>
  <c r="D131" i="52"/>
  <c r="E131" i="52"/>
  <c r="F131" i="52"/>
  <c r="H84" i="285"/>
  <c r="H116" i="285"/>
  <c r="H117" i="285"/>
  <c r="H85" i="285"/>
  <c r="H87" i="285"/>
  <c r="H89" i="285"/>
  <c r="H119" i="285"/>
  <c r="H121" i="285"/>
  <c r="H88" i="285"/>
  <c r="H120" i="285"/>
  <c r="H86" i="285"/>
  <c r="H118" i="285"/>
  <c r="H90" i="285"/>
  <c r="H122" i="285"/>
  <c r="H83" i="285"/>
  <c r="H92" i="285" s="1"/>
  <c r="H115" i="285"/>
  <c r="X23" i="257"/>
  <c r="Y23" i="257" s="1"/>
  <c r="F37" i="344"/>
  <c r="F38" i="344"/>
  <c r="F39" i="344"/>
  <c r="F41" i="344"/>
  <c r="F42" i="344"/>
  <c r="F43" i="344"/>
  <c r="F15" i="346"/>
  <c r="F22" i="346" s="1"/>
  <c r="I92" i="285"/>
  <c r="X14" i="256"/>
  <c r="Y14" i="256" s="1"/>
  <c r="E78" i="289"/>
  <c r="E86" i="289" s="1"/>
  <c r="G120" i="295"/>
  <c r="G132" i="295" s="1"/>
  <c r="G87" i="295"/>
  <c r="G89" i="295"/>
  <c r="G119" i="295"/>
  <c r="G131" i="295" s="1"/>
  <c r="G121" i="295"/>
  <c r="G90" i="295"/>
  <c r="G88" i="295"/>
  <c r="G122" i="295"/>
  <c r="G86" i="295"/>
  <c r="G118" i="295"/>
  <c r="G115" i="295"/>
  <c r="G85" i="295"/>
  <c r="G84" i="295"/>
  <c r="G83" i="295"/>
  <c r="G92" i="295" s="1"/>
  <c r="G117" i="295"/>
  <c r="G116" i="295"/>
  <c r="H86" i="289"/>
  <c r="I82" i="52"/>
  <c r="I92" i="52" s="1"/>
  <c r="E114" i="285"/>
  <c r="O22" i="344"/>
  <c r="X15" i="250"/>
  <c r="R46" i="344"/>
  <c r="R10" i="344"/>
  <c r="X15" i="249"/>
  <c r="F63" i="73"/>
  <c r="F62" i="73"/>
  <c r="I61" i="73"/>
  <c r="I63" i="73"/>
  <c r="H63" i="73"/>
  <c r="K62" i="73"/>
  <c r="K61" i="73"/>
  <c r="H62" i="73"/>
  <c r="H61" i="73"/>
  <c r="F64" i="73"/>
  <c r="I64" i="73"/>
  <c r="F61" i="73"/>
  <c r="I62" i="73"/>
  <c r="K63" i="73"/>
  <c r="H64" i="73"/>
  <c r="K64" i="73"/>
  <c r="J64" i="73"/>
  <c r="J62" i="73"/>
  <c r="G64" i="73"/>
  <c r="G63" i="73"/>
  <c r="M63" i="73"/>
  <c r="M89" i="73" s="1"/>
  <c r="M211" i="73" s="1"/>
  <c r="M62" i="73"/>
  <c r="M88" i="73" s="1"/>
  <c r="J61" i="73"/>
  <c r="N61" i="73"/>
  <c r="N63" i="73"/>
  <c r="N89" i="73" s="1"/>
  <c r="N211" i="73" s="1"/>
  <c r="N215" i="73" s="1"/>
  <c r="N219" i="73" s="1"/>
  <c r="N221" i="73" s="1"/>
  <c r="N62" i="73"/>
  <c r="N88" i="73" s="1"/>
  <c r="J63" i="73"/>
  <c r="N64" i="73"/>
  <c r="N90" i="73" s="1"/>
  <c r="N213" i="73" s="1"/>
  <c r="M64" i="73"/>
  <c r="M90" i="73" s="1"/>
  <c r="M213" i="73" s="1"/>
  <c r="G61" i="73"/>
  <c r="G62" i="73"/>
  <c r="M61" i="73"/>
  <c r="L63" i="73"/>
  <c r="L89" i="73" s="1"/>
  <c r="L211" i="73" s="1"/>
  <c r="L215" i="73" s="1"/>
  <c r="L219" i="73" s="1"/>
  <c r="L221" i="73" s="1"/>
  <c r="L62" i="73"/>
  <c r="L88" i="73" s="1"/>
  <c r="L61" i="73"/>
  <c r="L64" i="73"/>
  <c r="L90" i="73" s="1"/>
  <c r="L213" i="73" s="1"/>
  <c r="V42" i="12"/>
  <c r="V44" i="12"/>
  <c r="V45" i="12"/>
  <c r="V43" i="12"/>
  <c r="V40" i="12"/>
  <c r="V41" i="12"/>
  <c r="X10" i="12"/>
  <c r="D115" i="52"/>
  <c r="E51" i="285"/>
  <c r="X23" i="249"/>
  <c r="Y23" i="249" s="1"/>
  <c r="E134" i="295"/>
  <c r="I134" i="295"/>
  <c r="F134" i="295"/>
  <c r="J134" i="295"/>
  <c r="G134" i="295"/>
  <c r="H134" i="295"/>
  <c r="D134" i="295"/>
  <c r="I87" i="295"/>
  <c r="I89" i="295"/>
  <c r="I90" i="295"/>
  <c r="I120" i="295"/>
  <c r="I121" i="295"/>
  <c r="I122" i="295"/>
  <c r="I88" i="295"/>
  <c r="I119" i="295"/>
  <c r="I118" i="295"/>
  <c r="I86" i="295"/>
  <c r="I85" i="295"/>
  <c r="I116" i="295"/>
  <c r="I115" i="295"/>
  <c r="I117" i="295"/>
  <c r="I84" i="295"/>
  <c r="I83" i="295"/>
  <c r="I92" i="295" s="1"/>
  <c r="J110" i="289"/>
  <c r="J108" i="289"/>
  <c r="J109" i="289"/>
  <c r="Q17" i="316"/>
  <c r="E92" i="295"/>
  <c r="H88" i="52"/>
  <c r="H119" i="52"/>
  <c r="H131" i="52" s="1"/>
  <c r="H89" i="52"/>
  <c r="H122" i="52"/>
  <c r="H121" i="52"/>
  <c r="H90" i="52"/>
  <c r="H120" i="52"/>
  <c r="H132" i="52" s="1"/>
  <c r="H87" i="52"/>
  <c r="H118" i="52"/>
  <c r="H86" i="52"/>
  <c r="H83" i="52"/>
  <c r="H92" i="52" s="1"/>
  <c r="H84" i="52"/>
  <c r="H85" i="52"/>
  <c r="H116" i="52"/>
  <c r="H117" i="52"/>
  <c r="H115" i="52"/>
  <c r="H46" i="346"/>
  <c r="H10" i="346"/>
  <c r="I9" i="346"/>
  <c r="U43" i="256"/>
  <c r="W10" i="256"/>
  <c r="X10" i="256" s="1"/>
  <c r="U45" i="256"/>
  <c r="U40" i="256"/>
  <c r="U41" i="256"/>
  <c r="U42" i="256"/>
  <c r="U44" i="256"/>
  <c r="E114" i="52"/>
  <c r="E126" i="52" s="1"/>
  <c r="G114" i="285"/>
  <c r="G78" i="289"/>
  <c r="G86" i="289" s="1"/>
  <c r="P13" i="308"/>
  <c r="P19" i="308"/>
  <c r="P14" i="308"/>
  <c r="P18" i="308"/>
  <c r="D117" i="295"/>
  <c r="X15" i="12"/>
  <c r="F84" i="285"/>
  <c r="F116" i="285"/>
  <c r="H128" i="285" s="1"/>
  <c r="F117" i="285"/>
  <c r="F85" i="285"/>
  <c r="F88" i="285"/>
  <c r="F120" i="285"/>
  <c r="F119" i="285"/>
  <c r="F89" i="285"/>
  <c r="F87" i="285"/>
  <c r="F121" i="285"/>
  <c r="H133" i="285" s="1"/>
  <c r="F86" i="285"/>
  <c r="F118" i="285"/>
  <c r="F122" i="285"/>
  <c r="F90" i="285"/>
  <c r="F83" i="285"/>
  <c r="F92" i="285" s="1"/>
  <c r="F115" i="285"/>
  <c r="X19" i="256"/>
  <c r="F78" i="289"/>
  <c r="F86" i="289" s="1"/>
  <c r="D112" i="289"/>
  <c r="X16" i="257"/>
  <c r="Y16" i="257" s="1"/>
  <c r="X14" i="250"/>
  <c r="Y14" i="250" s="1"/>
  <c r="Q109" i="73"/>
  <c r="D113" i="73"/>
  <c r="D115" i="295"/>
  <c r="Y45" i="12" l="1"/>
  <c r="Y40" i="12"/>
  <c r="Y42" i="12"/>
  <c r="Y44" i="12"/>
  <c r="Y44" i="257"/>
  <c r="Y41" i="12"/>
  <c r="R14" i="316"/>
  <c r="R17" i="316" s="1"/>
  <c r="R12" i="316"/>
  <c r="M22" i="308"/>
  <c r="M43" i="308" s="1"/>
  <c r="N43" i="308"/>
  <c r="O22" i="308"/>
  <c r="O41" i="308" s="1"/>
  <c r="N41" i="308"/>
  <c r="Q15" i="344"/>
  <c r="J15" i="344"/>
  <c r="I28" i="308"/>
  <c r="I29" i="308" s="1"/>
  <c r="I33" i="308"/>
  <c r="I34" i="308" s="1"/>
  <c r="R34" i="308"/>
  <c r="S28" i="344"/>
  <c r="S29" i="344" s="1"/>
  <c r="S33" i="344"/>
  <c r="N43" i="346"/>
  <c r="O22" i="346"/>
  <c r="O43" i="346" s="1"/>
  <c r="I33" i="346"/>
  <c r="I34" i="346" s="1"/>
  <c r="I28" i="346"/>
  <c r="I29" i="346" s="1"/>
  <c r="R33" i="346"/>
  <c r="R34" i="346" s="1"/>
  <c r="R28" i="346"/>
  <c r="R29" i="346" s="1"/>
  <c r="N41" i="346"/>
  <c r="F44" i="344"/>
  <c r="F47" i="344" s="1"/>
  <c r="P22" i="344"/>
  <c r="P42" i="344" s="1"/>
  <c r="R28" i="308"/>
  <c r="R29" i="308" s="1"/>
  <c r="H18" i="308"/>
  <c r="H14" i="308"/>
  <c r="H13" i="308"/>
  <c r="H19" i="308"/>
  <c r="I10" i="308"/>
  <c r="I46" i="308"/>
  <c r="G22" i="308"/>
  <c r="G42" i="308" s="1"/>
  <c r="F22" i="308"/>
  <c r="F41" i="308" s="1"/>
  <c r="P20" i="308"/>
  <c r="P20" i="346"/>
  <c r="G20" i="346"/>
  <c r="P15" i="346"/>
  <c r="P15" i="308"/>
  <c r="X40" i="256"/>
  <c r="X41" i="256"/>
  <c r="X42" i="256"/>
  <c r="X44" i="256"/>
  <c r="X45" i="256"/>
  <c r="X43" i="256"/>
  <c r="F37" i="346"/>
  <c r="F39" i="346"/>
  <c r="F42" i="346"/>
  <c r="F38" i="346"/>
  <c r="F41" i="346"/>
  <c r="F43" i="346"/>
  <c r="E127" i="295"/>
  <c r="I127" i="295"/>
  <c r="F127" i="295"/>
  <c r="J127" i="295"/>
  <c r="G127" i="295"/>
  <c r="D127" i="295"/>
  <c r="H127" i="295"/>
  <c r="X40" i="12"/>
  <c r="X41" i="12"/>
  <c r="X42" i="12"/>
  <c r="X44" i="12"/>
  <c r="X45" i="12"/>
  <c r="X43" i="12"/>
  <c r="L87" i="73"/>
  <c r="L66" i="73"/>
  <c r="L68" i="73" s="1"/>
  <c r="J66" i="73"/>
  <c r="J68" i="73" s="1"/>
  <c r="K66" i="73"/>
  <c r="K68" i="73" s="1"/>
  <c r="I66" i="73"/>
  <c r="I68" i="73" s="1"/>
  <c r="R14" i="344"/>
  <c r="R34" i="344" s="1"/>
  <c r="R19" i="344"/>
  <c r="R13" i="344"/>
  <c r="R15" i="344" s="1"/>
  <c r="R18" i="344"/>
  <c r="M42" i="308"/>
  <c r="G38" i="344"/>
  <c r="H38" i="344" s="1"/>
  <c r="I76" i="73"/>
  <c r="K76" i="73"/>
  <c r="F76" i="73"/>
  <c r="H76" i="73"/>
  <c r="N76" i="73"/>
  <c r="N95" i="73" s="1"/>
  <c r="N101" i="73" s="1"/>
  <c r="N104" i="73" s="1"/>
  <c r="N109" i="73" s="1"/>
  <c r="N113" i="73" s="1"/>
  <c r="J76" i="73"/>
  <c r="G76" i="73"/>
  <c r="M76" i="73"/>
  <c r="M95" i="73" s="1"/>
  <c r="M101" i="73" s="1"/>
  <c r="M104" i="73" s="1"/>
  <c r="M109" i="73" s="1"/>
  <c r="M113" i="73" s="1"/>
  <c r="L76" i="73"/>
  <c r="L95" i="73" s="1"/>
  <c r="L101" i="73" s="1"/>
  <c r="L104" i="73" s="1"/>
  <c r="L109" i="73" s="1"/>
  <c r="L113" i="73" s="1"/>
  <c r="J128" i="285"/>
  <c r="T8" i="346"/>
  <c r="S26" i="346"/>
  <c r="S31" i="346"/>
  <c r="S9" i="346"/>
  <c r="S24" i="346"/>
  <c r="J131" i="295"/>
  <c r="D14" i="287"/>
  <c r="D25" i="287"/>
  <c r="D36" i="287" s="1"/>
  <c r="D15" i="287"/>
  <c r="I132" i="52"/>
  <c r="G132" i="52"/>
  <c r="J133" i="285"/>
  <c r="Y40" i="257"/>
  <c r="Y41" i="257"/>
  <c r="G15" i="346"/>
  <c r="F132" i="295"/>
  <c r="K92" i="285"/>
  <c r="Y40" i="249"/>
  <c r="Y45" i="249"/>
  <c r="Y41" i="249"/>
  <c r="Y42" i="249"/>
  <c r="Y43" i="249"/>
  <c r="AB42" i="249" s="1"/>
  <c r="AB43" i="249" s="1"/>
  <c r="Y44" i="249"/>
  <c r="E133" i="52"/>
  <c r="D130" i="285"/>
  <c r="H130" i="285"/>
  <c r="F130" i="285"/>
  <c r="J130" i="285"/>
  <c r="E130" i="285"/>
  <c r="G130" i="285"/>
  <c r="I130" i="285"/>
  <c r="H92" i="295"/>
  <c r="K86" i="289"/>
  <c r="J20" i="344"/>
  <c r="O42" i="308"/>
  <c r="D121" i="289"/>
  <c r="H121" i="289"/>
  <c r="E121" i="289"/>
  <c r="I121" i="289"/>
  <c r="G121" i="289"/>
  <c r="F121" i="289"/>
  <c r="J121" i="289"/>
  <c r="H126" i="295"/>
  <c r="F92" i="52"/>
  <c r="G133" i="295"/>
  <c r="E133" i="295"/>
  <c r="J130" i="295"/>
  <c r="J126" i="52"/>
  <c r="H126" i="52"/>
  <c r="F128" i="52"/>
  <c r="N6" i="296"/>
  <c r="C28" i="156"/>
  <c r="E130" i="52"/>
  <c r="J134" i="52"/>
  <c r="H134" i="52"/>
  <c r="G131" i="285"/>
  <c r="H131" i="285"/>
  <c r="G118" i="289"/>
  <c r="D122" i="289"/>
  <c r="H122" i="289"/>
  <c r="E122" i="289"/>
  <c r="I122" i="289"/>
  <c r="F122" i="289"/>
  <c r="J122" i="289"/>
  <c r="G122" i="289"/>
  <c r="I10" i="346"/>
  <c r="I46" i="346"/>
  <c r="J9" i="346"/>
  <c r="Q20" i="316"/>
  <c r="Q22" i="316" s="1"/>
  <c r="Q27" i="316" s="1"/>
  <c r="F50" i="285"/>
  <c r="F51" i="285"/>
  <c r="L147" i="73"/>
  <c r="L151" i="73" s="1"/>
  <c r="L153" i="73" s="1"/>
  <c r="G66" i="73"/>
  <c r="G68" i="73" s="1"/>
  <c r="N147" i="73"/>
  <c r="N151" i="73" s="1"/>
  <c r="N153" i="73" s="1"/>
  <c r="M158" i="73"/>
  <c r="M162" i="73" s="1"/>
  <c r="M164" i="73" s="1"/>
  <c r="M147" i="73"/>
  <c r="M151" i="73" s="1"/>
  <c r="M153" i="73" s="1"/>
  <c r="Y41" i="256"/>
  <c r="Y42" i="256"/>
  <c r="Y43" i="256"/>
  <c r="AB42" i="256" s="1"/>
  <c r="AB43" i="256" s="1"/>
  <c r="Y44" i="256"/>
  <c r="Y40" i="256"/>
  <c r="Y45" i="256"/>
  <c r="G37" i="344"/>
  <c r="I131" i="52"/>
  <c r="D132" i="285"/>
  <c r="H132" i="285"/>
  <c r="F132" i="285"/>
  <c r="J132" i="285"/>
  <c r="E132" i="285"/>
  <c r="G132" i="285"/>
  <c r="I132" i="285"/>
  <c r="J92" i="52"/>
  <c r="F78" i="73"/>
  <c r="K78" i="73"/>
  <c r="I78" i="73"/>
  <c r="H78" i="73"/>
  <c r="G78" i="73"/>
  <c r="J78" i="73"/>
  <c r="N78" i="73"/>
  <c r="M78" i="73"/>
  <c r="L78" i="73"/>
  <c r="I128" i="285"/>
  <c r="F128" i="285"/>
  <c r="W43" i="249"/>
  <c r="W45" i="249"/>
  <c r="W40" i="249"/>
  <c r="W41" i="249"/>
  <c r="W42" i="249"/>
  <c r="W44" i="249"/>
  <c r="D119" i="289"/>
  <c r="H119" i="289"/>
  <c r="E119" i="289"/>
  <c r="I119" i="289"/>
  <c r="F119" i="289"/>
  <c r="J119" i="289"/>
  <c r="G119" i="289"/>
  <c r="G129" i="52"/>
  <c r="D129" i="52"/>
  <c r="H129" i="52"/>
  <c r="E129" i="52"/>
  <c r="I129" i="52"/>
  <c r="F129" i="52"/>
  <c r="J129" i="52"/>
  <c r="H131" i="295"/>
  <c r="N10" i="293"/>
  <c r="Q6" i="293"/>
  <c r="N13" i="293"/>
  <c r="N17" i="293"/>
  <c r="N21" i="293"/>
  <c r="N12" i="293"/>
  <c r="N16" i="293"/>
  <c r="N20" i="293"/>
  <c r="N24" i="293"/>
  <c r="N11" i="293"/>
  <c r="N15" i="293"/>
  <c r="N19" i="293"/>
  <c r="N14" i="293"/>
  <c r="N22" i="293"/>
  <c r="N23" i="293"/>
  <c r="N48" i="293"/>
  <c r="N50" i="293"/>
  <c r="N18" i="293"/>
  <c r="Q14" i="308"/>
  <c r="Q18" i="308"/>
  <c r="Q13" i="308"/>
  <c r="Q19" i="308"/>
  <c r="N10" i="288"/>
  <c r="N12" i="288"/>
  <c r="N15" i="288"/>
  <c r="N19" i="288"/>
  <c r="N23" i="288"/>
  <c r="N48" i="288"/>
  <c r="N50" i="288"/>
  <c r="Q6" i="288"/>
  <c r="N14" i="288"/>
  <c r="N18" i="288"/>
  <c r="N22" i="288"/>
  <c r="N13" i="288"/>
  <c r="N17" i="288"/>
  <c r="N21" i="288"/>
  <c r="N11" i="288"/>
  <c r="N16" i="288"/>
  <c r="N20" i="288"/>
  <c r="N24" i="288"/>
  <c r="I133" i="285"/>
  <c r="F133" i="285"/>
  <c r="Y45" i="257"/>
  <c r="Y42" i="257"/>
  <c r="E128" i="295"/>
  <c r="I128" i="295"/>
  <c r="F128" i="295"/>
  <c r="J128" i="295"/>
  <c r="G128" i="295"/>
  <c r="H128" i="295"/>
  <c r="D128" i="295"/>
  <c r="Q20" i="344"/>
  <c r="Q22" i="344" s="1"/>
  <c r="H132" i="295"/>
  <c r="I132" i="295"/>
  <c r="N43" i="292"/>
  <c r="N45" i="292"/>
  <c r="N46" i="292"/>
  <c r="N44" i="292"/>
  <c r="N41" i="292"/>
  <c r="N42" i="292"/>
  <c r="Q11" i="292"/>
  <c r="Q15" i="292"/>
  <c r="Q19" i="292"/>
  <c r="Q23" i="292"/>
  <c r="Q10" i="292"/>
  <c r="Q14" i="292"/>
  <c r="Q18" i="292"/>
  <c r="Q22" i="292"/>
  <c r="Q12" i="292"/>
  <c r="Q16" i="292"/>
  <c r="Q20" i="292"/>
  <c r="Q24" i="292"/>
  <c r="Q13" i="292"/>
  <c r="Q17" i="292"/>
  <c r="Q21" i="292"/>
  <c r="S26" i="308"/>
  <c r="S9" i="308"/>
  <c r="S33" i="308" s="1"/>
  <c r="S31" i="308"/>
  <c r="T8" i="308"/>
  <c r="S24" i="308"/>
  <c r="J133" i="52"/>
  <c r="H133" i="52"/>
  <c r="D134" i="285"/>
  <c r="H134" i="285"/>
  <c r="F134" i="285"/>
  <c r="J134" i="285"/>
  <c r="E134" i="285"/>
  <c r="G134" i="285"/>
  <c r="I134" i="285"/>
  <c r="X40" i="250"/>
  <c r="X41" i="250"/>
  <c r="X42" i="250"/>
  <c r="X44" i="250"/>
  <c r="X45" i="250"/>
  <c r="X43" i="250"/>
  <c r="I126" i="295"/>
  <c r="S10" i="316"/>
  <c r="T16" i="316"/>
  <c r="S9" i="316"/>
  <c r="W25" i="316"/>
  <c r="J133" i="295"/>
  <c r="F130" i="295"/>
  <c r="F126" i="52"/>
  <c r="I128" i="52"/>
  <c r="G128" i="52"/>
  <c r="J130" i="52"/>
  <c r="H130" i="52"/>
  <c r="F134" i="52"/>
  <c r="E131" i="285"/>
  <c r="G48" i="289"/>
  <c r="G49" i="289"/>
  <c r="I118" i="289"/>
  <c r="H50" i="52"/>
  <c r="H51" i="52"/>
  <c r="H13" i="346"/>
  <c r="H18" i="346"/>
  <c r="H14" i="346"/>
  <c r="H19" i="346"/>
  <c r="G127" i="52"/>
  <c r="D127" i="52"/>
  <c r="H127" i="52"/>
  <c r="E127" i="52"/>
  <c r="I127" i="52"/>
  <c r="F127" i="52"/>
  <c r="J127" i="52"/>
  <c r="M215" i="73"/>
  <c r="M219" i="73" s="1"/>
  <c r="M221" i="73" s="1"/>
  <c r="H66" i="73"/>
  <c r="H68" i="73" s="1"/>
  <c r="I75" i="73"/>
  <c r="F75" i="73"/>
  <c r="K75" i="73"/>
  <c r="H75" i="73"/>
  <c r="J75" i="73"/>
  <c r="G75" i="73"/>
  <c r="M75" i="73"/>
  <c r="N75" i="73"/>
  <c r="N81" i="73" s="1"/>
  <c r="L75" i="73"/>
  <c r="G128" i="285"/>
  <c r="W43" i="257"/>
  <c r="W40" i="257"/>
  <c r="W41" i="257"/>
  <c r="W42" i="257"/>
  <c r="W44" i="257"/>
  <c r="W45" i="257"/>
  <c r="X42" i="249"/>
  <c r="X44" i="249"/>
  <c r="X45" i="249"/>
  <c r="X40" i="249"/>
  <c r="X41" i="249"/>
  <c r="X43" i="249"/>
  <c r="D117" i="289"/>
  <c r="H117" i="289"/>
  <c r="E117" i="289"/>
  <c r="I117" i="289"/>
  <c r="F117" i="289"/>
  <c r="J117" i="289"/>
  <c r="G117" i="289"/>
  <c r="H50" i="295"/>
  <c r="H51" i="295"/>
  <c r="I131" i="295"/>
  <c r="D15" i="291"/>
  <c r="D25" i="291"/>
  <c r="D36" i="291" s="1"/>
  <c r="D14" i="291"/>
  <c r="J132" i="52"/>
  <c r="G133" i="285"/>
  <c r="Y43" i="257"/>
  <c r="AB42" i="257" s="1"/>
  <c r="AB43" i="257" s="1"/>
  <c r="W19" i="316"/>
  <c r="D120" i="289"/>
  <c r="H120" i="289"/>
  <c r="E120" i="289"/>
  <c r="I120" i="289"/>
  <c r="G120" i="289"/>
  <c r="F120" i="289"/>
  <c r="J120" i="289"/>
  <c r="U8" i="344"/>
  <c r="T26" i="344"/>
  <c r="T24" i="344"/>
  <c r="T9" i="344"/>
  <c r="T31" i="344"/>
  <c r="S10" i="344"/>
  <c r="S46" i="344"/>
  <c r="F133" i="52"/>
  <c r="D129" i="285"/>
  <c r="H129" i="285"/>
  <c r="F129" i="285"/>
  <c r="J129" i="285"/>
  <c r="E129" i="285"/>
  <c r="G129" i="285"/>
  <c r="I129" i="285"/>
  <c r="D126" i="285"/>
  <c r="H126" i="285"/>
  <c r="F126" i="285"/>
  <c r="J126" i="285"/>
  <c r="E126" i="285"/>
  <c r="G126" i="285"/>
  <c r="I126" i="285"/>
  <c r="W43" i="250"/>
  <c r="W45" i="250"/>
  <c r="W40" i="250"/>
  <c r="W41" i="250"/>
  <c r="W42" i="250"/>
  <c r="W44" i="250"/>
  <c r="R20" i="316"/>
  <c r="R22" i="316" s="1"/>
  <c r="R27" i="316" s="1"/>
  <c r="H133" i="295"/>
  <c r="F133" i="295"/>
  <c r="H130" i="295"/>
  <c r="I130" i="295"/>
  <c r="I126" i="52"/>
  <c r="G126" i="52"/>
  <c r="E128" i="52"/>
  <c r="F130" i="52"/>
  <c r="I134" i="52"/>
  <c r="G134" i="52"/>
  <c r="J131" i="285"/>
  <c r="J118" i="289"/>
  <c r="E118" i="289"/>
  <c r="E129" i="295"/>
  <c r="I129" i="295"/>
  <c r="F129" i="295"/>
  <c r="J129" i="295"/>
  <c r="G129" i="295"/>
  <c r="D129" i="295"/>
  <c r="H129" i="295"/>
  <c r="Y45" i="250"/>
  <c r="Y44" i="250"/>
  <c r="Y40" i="250"/>
  <c r="Y41" i="250"/>
  <c r="Y43" i="250"/>
  <c r="AB42" i="250" s="1"/>
  <c r="AB43" i="250" s="1"/>
  <c r="Y42" i="250"/>
  <c r="W43" i="256"/>
  <c r="W40" i="256"/>
  <c r="W41" i="256"/>
  <c r="W42" i="256"/>
  <c r="W44" i="256"/>
  <c r="W45" i="256"/>
  <c r="M87" i="73"/>
  <c r="M66" i="73"/>
  <c r="M68" i="73" s="1"/>
  <c r="N66" i="73"/>
  <c r="N68" i="73" s="1"/>
  <c r="N87" i="73"/>
  <c r="F66" i="73"/>
  <c r="F68" i="73" s="1"/>
  <c r="O42" i="344"/>
  <c r="O41" i="344"/>
  <c r="O43" i="344"/>
  <c r="G39" i="344"/>
  <c r="J131" i="52"/>
  <c r="X10" i="257"/>
  <c r="H77" i="73"/>
  <c r="H81" i="73" s="1"/>
  <c r="F77" i="73"/>
  <c r="I77" i="73"/>
  <c r="K77" i="73"/>
  <c r="J77" i="73"/>
  <c r="J81" i="73" s="1"/>
  <c r="G77" i="73"/>
  <c r="N77" i="73"/>
  <c r="M77" i="73"/>
  <c r="L77" i="73"/>
  <c r="L81" i="73" s="1"/>
  <c r="R10" i="346"/>
  <c r="R46" i="346"/>
  <c r="W42" i="12"/>
  <c r="W44" i="12"/>
  <c r="W45" i="12"/>
  <c r="W43" i="12"/>
  <c r="W40" i="12"/>
  <c r="W41" i="12"/>
  <c r="M81" i="73"/>
  <c r="K81" i="73"/>
  <c r="D31" i="294"/>
  <c r="E31" i="294" s="1"/>
  <c r="D32" i="294"/>
  <c r="E32" i="294" s="1"/>
  <c r="D34" i="294"/>
  <c r="E34" i="294" s="1"/>
  <c r="G22" i="346"/>
  <c r="D116" i="289"/>
  <c r="H116" i="289"/>
  <c r="E116" i="289"/>
  <c r="I116" i="289"/>
  <c r="F116" i="289"/>
  <c r="J116" i="289"/>
  <c r="G116" i="289"/>
  <c r="I41" i="344"/>
  <c r="I43" i="344"/>
  <c r="I42" i="344"/>
  <c r="K34" i="133"/>
  <c r="B34" i="133" s="1"/>
  <c r="G34" i="133" s="1"/>
  <c r="B3" i="268" s="1"/>
  <c r="J37" i="133"/>
  <c r="R10" i="308"/>
  <c r="R46" i="308"/>
  <c r="I133" i="52"/>
  <c r="D127" i="285"/>
  <c r="H127" i="285"/>
  <c r="F127" i="285"/>
  <c r="J127" i="285"/>
  <c r="E127" i="285"/>
  <c r="G127" i="285"/>
  <c r="I127" i="285"/>
  <c r="E24" i="14"/>
  <c r="E27" i="14" s="1"/>
  <c r="Q14" i="346"/>
  <c r="Q19" i="346"/>
  <c r="Q18" i="346"/>
  <c r="Q13" i="346"/>
  <c r="G130" i="295"/>
  <c r="J128" i="52"/>
  <c r="D26" i="294"/>
  <c r="E26" i="294" s="1"/>
  <c r="D23" i="294"/>
  <c r="E23" i="294" s="1"/>
  <c r="D24" i="294"/>
  <c r="E24" i="294" s="1"/>
  <c r="I130" i="52"/>
  <c r="I131" i="285"/>
  <c r="F118" i="289"/>
  <c r="M41" i="308" l="1"/>
  <c r="S14" i="316"/>
  <c r="S17" i="316" s="1"/>
  <c r="S12" i="316"/>
  <c r="O43" i="308"/>
  <c r="O42" i="346"/>
  <c r="F38" i="308"/>
  <c r="G38" i="308" s="1"/>
  <c r="G43" i="308"/>
  <c r="S34" i="308"/>
  <c r="P43" i="344"/>
  <c r="P41" i="344"/>
  <c r="T28" i="344"/>
  <c r="T29" i="344" s="1"/>
  <c r="T33" i="344"/>
  <c r="O41" i="346"/>
  <c r="S33" i="346"/>
  <c r="S34" i="346" s="1"/>
  <c r="S28" i="346"/>
  <c r="S29" i="346" s="1"/>
  <c r="F44" i="346"/>
  <c r="F47" i="346" s="1"/>
  <c r="J33" i="346"/>
  <c r="J34" i="346" s="1"/>
  <c r="J28" i="346"/>
  <c r="J29" i="346" s="1"/>
  <c r="F49" i="344"/>
  <c r="F54" i="344" s="1"/>
  <c r="H37" i="344"/>
  <c r="I37" i="344" s="1"/>
  <c r="G44" i="344"/>
  <c r="R20" i="344"/>
  <c r="R22" i="344"/>
  <c r="F39" i="308"/>
  <c r="S28" i="308"/>
  <c r="S29" i="308" s="1"/>
  <c r="F37" i="308"/>
  <c r="F43" i="308"/>
  <c r="F42" i="308"/>
  <c r="G41" i="308"/>
  <c r="P22" i="308"/>
  <c r="P41" i="308" s="1"/>
  <c r="H15" i="308"/>
  <c r="I14" i="308"/>
  <c r="I13" i="308"/>
  <c r="I18" i="308"/>
  <c r="I19" i="308"/>
  <c r="H20" i="308"/>
  <c r="Q20" i="308"/>
  <c r="H20" i="346"/>
  <c r="H15" i="346"/>
  <c r="P22" i="346"/>
  <c r="Q15" i="308"/>
  <c r="E25" i="294"/>
  <c r="E28" i="294" s="1"/>
  <c r="Q20" i="346"/>
  <c r="R19" i="308"/>
  <c r="R14" i="308"/>
  <c r="R18" i="308"/>
  <c r="R13" i="308"/>
  <c r="G39" i="308"/>
  <c r="R13" i="346"/>
  <c r="R18" i="346"/>
  <c r="R19" i="346"/>
  <c r="R14" i="346"/>
  <c r="N124" i="73"/>
  <c r="N128" i="73" s="1"/>
  <c r="N130" i="73" s="1"/>
  <c r="N173" i="73"/>
  <c r="N177" i="73" s="1"/>
  <c r="N179" i="73" s="1"/>
  <c r="T46" i="344"/>
  <c r="T10" i="344"/>
  <c r="M94" i="73"/>
  <c r="M233" i="73" s="1"/>
  <c r="M83" i="73"/>
  <c r="K83" i="73"/>
  <c r="I50" i="52"/>
  <c r="I51" i="52"/>
  <c r="S20" i="316"/>
  <c r="S22" i="316" s="1"/>
  <c r="S27" i="316" s="1"/>
  <c r="S10" i="308"/>
  <c r="S46" i="308"/>
  <c r="S13" i="292"/>
  <c r="Y13" i="292"/>
  <c r="S12" i="292"/>
  <c r="Y12" i="292"/>
  <c r="Q44" i="292"/>
  <c r="Q41" i="292"/>
  <c r="Q42" i="292"/>
  <c r="Q46" i="292"/>
  <c r="S10" i="292"/>
  <c r="Q43" i="292"/>
  <c r="Q45" i="292"/>
  <c r="Y10" i="292"/>
  <c r="S11" i="292"/>
  <c r="Y11" i="292"/>
  <c r="C29" i="156"/>
  <c r="F28" i="156"/>
  <c r="J22" i="344"/>
  <c r="G39" i="346"/>
  <c r="D12" i="295"/>
  <c r="D12" i="52"/>
  <c r="D12" i="289"/>
  <c r="K37" i="133"/>
  <c r="B37" i="133" s="1"/>
  <c r="G37" i="133" s="1"/>
  <c r="B3" i="277" s="1"/>
  <c r="B226" i="73" s="1"/>
  <c r="J38" i="133"/>
  <c r="G41" i="346"/>
  <c r="G42" i="346"/>
  <c r="G43" i="346"/>
  <c r="G83" i="73"/>
  <c r="F83" i="73"/>
  <c r="F90" i="73" s="1"/>
  <c r="F213" i="73" s="1"/>
  <c r="S24" i="292"/>
  <c r="Y24" i="292"/>
  <c r="S22" i="292"/>
  <c r="S23" i="292"/>
  <c r="N44" i="288"/>
  <c r="N41" i="288"/>
  <c r="N42" i="288"/>
  <c r="N43" i="288"/>
  <c r="N45" i="288"/>
  <c r="N46" i="288"/>
  <c r="Q10" i="293"/>
  <c r="Q11" i="293"/>
  <c r="Q15" i="293"/>
  <c r="Q19" i="293"/>
  <c r="Q23" i="293"/>
  <c r="Q14" i="293"/>
  <c r="Q18" i="293"/>
  <c r="Q22" i="293"/>
  <c r="Q13" i="293"/>
  <c r="Q17" i="293"/>
  <c r="Q21" i="293"/>
  <c r="Q12" i="293"/>
  <c r="Q20" i="293"/>
  <c r="Q16" i="293"/>
  <c r="Q24" i="293"/>
  <c r="N158" i="73"/>
  <c r="N162" i="73" s="1"/>
  <c r="N164" i="73" s="1"/>
  <c r="L158" i="73"/>
  <c r="L162" i="73" s="1"/>
  <c r="L164" i="73" s="1"/>
  <c r="I14" i="346"/>
  <c r="I19" i="346"/>
  <c r="I18" i="346"/>
  <c r="I13" i="346"/>
  <c r="N11" i="296"/>
  <c r="N15" i="296"/>
  <c r="N19" i="296"/>
  <c r="N23" i="296"/>
  <c r="N50" i="296"/>
  <c r="X50" i="296" s="1"/>
  <c r="N10" i="296"/>
  <c r="N14" i="296"/>
  <c r="N18" i="296"/>
  <c r="N22" i="296"/>
  <c r="Q6" i="296"/>
  <c r="N13" i="296"/>
  <c r="N17" i="296"/>
  <c r="N21" i="296"/>
  <c r="N16" i="296"/>
  <c r="N24" i="296"/>
  <c r="N48" i="296"/>
  <c r="X48" i="296" s="1"/>
  <c r="N12" i="296"/>
  <c r="N20" i="296"/>
  <c r="F81" i="73"/>
  <c r="F89" i="73" s="1"/>
  <c r="F211" i="73" s="1"/>
  <c r="F215" i="73" s="1"/>
  <c r="F219" i="73" s="1"/>
  <c r="F221" i="73" s="1"/>
  <c r="T31" i="346"/>
  <c r="T9" i="346"/>
  <c r="T24" i="346"/>
  <c r="U8" i="346"/>
  <c r="T26" i="346"/>
  <c r="F95" i="73"/>
  <c r="F101" i="73" s="1"/>
  <c r="F104" i="73" s="1"/>
  <c r="F109" i="73" s="1"/>
  <c r="K93" i="73"/>
  <c r="K92" i="73"/>
  <c r="K91" i="73"/>
  <c r="J92" i="73"/>
  <c r="G37" i="346"/>
  <c r="X40" i="257"/>
  <c r="X41" i="257"/>
  <c r="X42" i="257"/>
  <c r="X44" i="257"/>
  <c r="X45" i="257"/>
  <c r="X43" i="257"/>
  <c r="S13" i="344"/>
  <c r="S15" i="344" s="1"/>
  <c r="S18" i="344"/>
  <c r="S14" i="344"/>
  <c r="S34" i="344" s="1"/>
  <c r="S19" i="344"/>
  <c r="I50" i="295"/>
  <c r="I51" i="295"/>
  <c r="L94" i="73"/>
  <c r="L233" i="73" s="1"/>
  <c r="L83" i="73"/>
  <c r="J83" i="73"/>
  <c r="J93" i="73" s="1"/>
  <c r="J94" i="73"/>
  <c r="I83" i="73"/>
  <c r="G51" i="289"/>
  <c r="U16" i="316"/>
  <c r="T10" i="316"/>
  <c r="T9" i="316"/>
  <c r="T24" i="308"/>
  <c r="T26" i="308"/>
  <c r="T9" i="308"/>
  <c r="T33" i="308" s="1"/>
  <c r="T31" i="308"/>
  <c r="U8" i="308"/>
  <c r="S21" i="292"/>
  <c r="S20" i="292"/>
  <c r="Y20" i="292"/>
  <c r="S18" i="292"/>
  <c r="Y18" i="292"/>
  <c r="S19" i="292"/>
  <c r="Y19" i="292"/>
  <c r="Q12" i="288"/>
  <c r="Q10" i="288"/>
  <c r="Q11" i="288"/>
  <c r="Q13" i="288"/>
  <c r="Q17" i="288"/>
  <c r="Q21" i="288"/>
  <c r="Q16" i="288"/>
  <c r="Q20" i="288"/>
  <c r="Q24" i="288"/>
  <c r="Q15" i="288"/>
  <c r="Q19" i="288"/>
  <c r="Q23" i="288"/>
  <c r="Q14" i="288"/>
  <c r="Q18" i="288"/>
  <c r="Q22" i="288"/>
  <c r="I81" i="73"/>
  <c r="I94" i="73" s="1"/>
  <c r="N43" i="293"/>
  <c r="N45" i="293"/>
  <c r="N46" i="293"/>
  <c r="N41" i="293"/>
  <c r="N42" i="293"/>
  <c r="N44" i="293"/>
  <c r="F88" i="73"/>
  <c r="S10" i="346"/>
  <c r="S46" i="346"/>
  <c r="J95" i="73"/>
  <c r="J101" i="73" s="1"/>
  <c r="J104" i="73" s="1"/>
  <c r="J109" i="73" s="1"/>
  <c r="K95" i="73"/>
  <c r="K101" i="73" s="1"/>
  <c r="K104" i="73" s="1"/>
  <c r="K109" i="73" s="1"/>
  <c r="I38" i="344"/>
  <c r="L97" i="73"/>
  <c r="L98" i="73" s="1"/>
  <c r="L124" i="73"/>
  <c r="L128" i="73" s="1"/>
  <c r="L130" i="73" s="1"/>
  <c r="L135" i="73"/>
  <c r="L139" i="73" s="1"/>
  <c r="L141" i="73" s="1"/>
  <c r="L173" i="73"/>
  <c r="L177" i="73" s="1"/>
  <c r="L179" i="73" s="1"/>
  <c r="L184" i="73"/>
  <c r="L188" i="73" s="1"/>
  <c r="L190" i="73" s="1"/>
  <c r="G38" i="346"/>
  <c r="Q15" i="346"/>
  <c r="E33" i="294"/>
  <c r="E36" i="294" s="1"/>
  <c r="H39" i="344"/>
  <c r="I39" i="344" s="1"/>
  <c r="M97" i="73"/>
  <c r="M98" i="73" s="1"/>
  <c r="M124" i="73"/>
  <c r="M128" i="73" s="1"/>
  <c r="M130" i="73" s="1"/>
  <c r="M135" i="73"/>
  <c r="M139" i="73" s="1"/>
  <c r="M141" i="73" s="1"/>
  <c r="M173" i="73"/>
  <c r="M177" i="73" s="1"/>
  <c r="M179" i="73" s="1"/>
  <c r="M184" i="73"/>
  <c r="M188" i="73" s="1"/>
  <c r="M190" i="73" s="1"/>
  <c r="U31" i="344"/>
  <c r="U9" i="344"/>
  <c r="U24" i="344"/>
  <c r="V8" i="344"/>
  <c r="U26" i="344"/>
  <c r="X19" i="316"/>
  <c r="D45" i="291"/>
  <c r="D42" i="291"/>
  <c r="D43" i="291" s="1"/>
  <c r="N94" i="73"/>
  <c r="N97" i="73" s="1"/>
  <c r="N98" i="73" s="1"/>
  <c r="N83" i="73"/>
  <c r="H83" i="73"/>
  <c r="H91" i="73" s="1"/>
  <c r="G54" i="289"/>
  <c r="G55" i="289" s="1"/>
  <c r="G58" i="289" s="1"/>
  <c r="H48" i="289"/>
  <c r="H51" i="289" s="1"/>
  <c r="H49" i="289"/>
  <c r="X25" i="316"/>
  <c r="S17" i="292"/>
  <c r="S16" i="292"/>
  <c r="S14" i="292"/>
  <c r="S15" i="292"/>
  <c r="Y15" i="292"/>
  <c r="Q41" i="344"/>
  <c r="Q43" i="344"/>
  <c r="Q42" i="344"/>
  <c r="G81" i="73"/>
  <c r="G95" i="73" s="1"/>
  <c r="G101" i="73" s="1"/>
  <c r="G104" i="73" s="1"/>
  <c r="G109" i="73" s="1"/>
  <c r="G47" i="344"/>
  <c r="G50" i="285"/>
  <c r="G51" i="285"/>
  <c r="J10" i="346"/>
  <c r="J46" i="346"/>
  <c r="D45" i="287"/>
  <c r="D42" i="287"/>
  <c r="D43" i="287" s="1"/>
  <c r="I95" i="73"/>
  <c r="I101" i="73" s="1"/>
  <c r="I104" i="73" s="1"/>
  <c r="I109" i="73" s="1"/>
  <c r="I93" i="73"/>
  <c r="I91" i="73"/>
  <c r="I92" i="73"/>
  <c r="H90" i="73"/>
  <c r="H213" i="73" s="1"/>
  <c r="T14" i="316" l="1"/>
  <c r="T12" i="316"/>
  <c r="P42" i="308"/>
  <c r="Q22" i="308"/>
  <c r="Q42" i="308" s="1"/>
  <c r="F44" i="308"/>
  <c r="F47" i="308" s="1"/>
  <c r="P43" i="308"/>
  <c r="G37" i="308"/>
  <c r="G44" i="308" s="1"/>
  <c r="G47" i="308" s="1"/>
  <c r="T34" i="308"/>
  <c r="U28" i="344"/>
  <c r="U29" i="344" s="1"/>
  <c r="U33" i="344"/>
  <c r="F49" i="346"/>
  <c r="F54" i="346" s="1"/>
  <c r="G44" i="346"/>
  <c r="T33" i="346"/>
  <c r="T34" i="346" s="1"/>
  <c r="T28" i="346"/>
  <c r="T29" i="346" s="1"/>
  <c r="R15" i="346"/>
  <c r="I20" i="346"/>
  <c r="H44" i="344"/>
  <c r="G49" i="344"/>
  <c r="G54" i="344" s="1"/>
  <c r="J37" i="344"/>
  <c r="K37" i="344" s="1"/>
  <c r="I44" i="344"/>
  <c r="I47" i="344" s="1"/>
  <c r="R41" i="344"/>
  <c r="R42" i="344"/>
  <c r="R43" i="344"/>
  <c r="T28" i="308"/>
  <c r="T29" i="308" s="1"/>
  <c r="I20" i="308"/>
  <c r="I15" i="308"/>
  <c r="H22" i="308"/>
  <c r="R15" i="308"/>
  <c r="P43" i="346"/>
  <c r="P41" i="346"/>
  <c r="P42" i="346"/>
  <c r="H22" i="346"/>
  <c r="H38" i="346" s="1"/>
  <c r="S20" i="344"/>
  <c r="R20" i="308"/>
  <c r="G113" i="73"/>
  <c r="T109" i="73"/>
  <c r="I233" i="73"/>
  <c r="U10" i="344"/>
  <c r="U46" i="344"/>
  <c r="O6" i="288"/>
  <c r="D10" i="287"/>
  <c r="O6" i="293"/>
  <c r="D10" i="291"/>
  <c r="S14" i="346"/>
  <c r="S19" i="346"/>
  <c r="S13" i="346"/>
  <c r="S18" i="346"/>
  <c r="S18" i="288"/>
  <c r="Y18" i="288"/>
  <c r="S15" i="288"/>
  <c r="Y15" i="288"/>
  <c r="S21" i="288"/>
  <c r="S10" i="288"/>
  <c r="Q43" i="288"/>
  <c r="Q45" i="288"/>
  <c r="Q46" i="288"/>
  <c r="Q44" i="288"/>
  <c r="Q41" i="288"/>
  <c r="Q42" i="288"/>
  <c r="Y10" i="288"/>
  <c r="T10" i="308"/>
  <c r="T46" i="308"/>
  <c r="S20" i="293"/>
  <c r="Y20" i="293"/>
  <c r="S13" i="293"/>
  <c r="Y13" i="293"/>
  <c r="S23" i="293"/>
  <c r="Q44" i="293"/>
  <c r="Q41" i="293"/>
  <c r="Q42" i="293"/>
  <c r="Q46" i="293"/>
  <c r="S10" i="293"/>
  <c r="Q43" i="293"/>
  <c r="Q45" i="293"/>
  <c r="Y10" i="293"/>
  <c r="T24" i="292"/>
  <c r="X24" i="292"/>
  <c r="H93" i="73"/>
  <c r="G89" i="73"/>
  <c r="G211" i="73" s="1"/>
  <c r="F93" i="73"/>
  <c r="X11" i="292"/>
  <c r="T11" i="292"/>
  <c r="S43" i="292"/>
  <c r="S45" i="292"/>
  <c r="S46" i="292"/>
  <c r="S44" i="292"/>
  <c r="S41" i="292"/>
  <c r="S42" i="292"/>
  <c r="T10" i="292"/>
  <c r="T13" i="292"/>
  <c r="K88" i="73"/>
  <c r="K90" i="73"/>
  <c r="K213" i="73" s="1"/>
  <c r="K89" i="73"/>
  <c r="K211" i="73" s="1"/>
  <c r="K215" i="73" s="1"/>
  <c r="K219" i="73" s="1"/>
  <c r="K221" i="73" s="1"/>
  <c r="K87" i="73"/>
  <c r="H52" i="289"/>
  <c r="H57" i="289"/>
  <c r="H124" i="289"/>
  <c r="Y19" i="316"/>
  <c r="G87" i="73"/>
  <c r="T15" i="292"/>
  <c r="H94" i="73"/>
  <c r="K113" i="73"/>
  <c r="X109" i="73"/>
  <c r="F147" i="73"/>
  <c r="F151" i="73" s="1"/>
  <c r="F153" i="73" s="1"/>
  <c r="F158" i="73"/>
  <c r="F162" i="73" s="1"/>
  <c r="F164" i="73" s="1"/>
  <c r="S14" i="288"/>
  <c r="S24" i="288"/>
  <c r="Y24" i="288"/>
  <c r="S17" i="288"/>
  <c r="S12" i="288"/>
  <c r="Y12" i="288"/>
  <c r="T18" i="292"/>
  <c r="U10" i="316"/>
  <c r="V16" i="316"/>
  <c r="U9" i="316"/>
  <c r="I90" i="73"/>
  <c r="I213" i="73" s="1"/>
  <c r="I87" i="73"/>
  <c r="I88" i="73"/>
  <c r="I89" i="73"/>
  <c r="I211" i="73" s="1"/>
  <c r="I215" i="73" s="1"/>
  <c r="I219" i="73" s="1"/>
  <c r="I221" i="73" s="1"/>
  <c r="G47" i="346"/>
  <c r="V8" i="346"/>
  <c r="U26" i="346"/>
  <c r="U31" i="346"/>
  <c r="U9" i="346"/>
  <c r="U24" i="346"/>
  <c r="I15" i="346"/>
  <c r="S12" i="293"/>
  <c r="Y12" i="293"/>
  <c r="S22" i="293"/>
  <c r="S19" i="293"/>
  <c r="Y19" i="293"/>
  <c r="F94" i="73"/>
  <c r="F92" i="73"/>
  <c r="K38" i="133"/>
  <c r="B38" i="133" s="1"/>
  <c r="G38" i="133" s="1"/>
  <c r="B3" i="12" s="1"/>
  <c r="J39" i="133"/>
  <c r="G88" i="73"/>
  <c r="J41" i="344"/>
  <c r="J42" i="344"/>
  <c r="J43" i="344"/>
  <c r="G91" i="73"/>
  <c r="H47" i="344"/>
  <c r="J50" i="52"/>
  <c r="J51" i="52"/>
  <c r="R20" i="346"/>
  <c r="R22" i="346" s="1"/>
  <c r="Q22" i="346"/>
  <c r="J13" i="346"/>
  <c r="J18" i="346"/>
  <c r="J19" i="346"/>
  <c r="J14" i="346"/>
  <c r="Y25" i="316"/>
  <c r="W8" i="344"/>
  <c r="V26" i="344"/>
  <c r="V24" i="344"/>
  <c r="V9" i="344"/>
  <c r="V31" i="344"/>
  <c r="J113" i="73"/>
  <c r="W109" i="73"/>
  <c r="S23" i="288"/>
  <c r="S20" i="288"/>
  <c r="Y20" i="288"/>
  <c r="S13" i="288"/>
  <c r="Y13" i="288"/>
  <c r="V8" i="308"/>
  <c r="U24" i="308"/>
  <c r="U26" i="308"/>
  <c r="U9" i="308"/>
  <c r="U33" i="308" s="1"/>
  <c r="U31" i="308"/>
  <c r="J50" i="295"/>
  <c r="J51" i="295"/>
  <c r="F113" i="73"/>
  <c r="S109" i="73"/>
  <c r="S24" i="293"/>
  <c r="Y24" i="293"/>
  <c r="S21" i="293"/>
  <c r="S18" i="293"/>
  <c r="Y18" i="293"/>
  <c r="S15" i="293"/>
  <c r="Y15" i="293"/>
  <c r="T22" i="292"/>
  <c r="X22" i="292"/>
  <c r="F87" i="73"/>
  <c r="G90" i="73"/>
  <c r="G213" i="73" s="1"/>
  <c r="J38" i="344"/>
  <c r="K38" i="344" s="1"/>
  <c r="G92" i="73"/>
  <c r="T12" i="292"/>
  <c r="S14" i="308"/>
  <c r="S18" i="308"/>
  <c r="S13" i="308"/>
  <c r="S19" i="308"/>
  <c r="N184" i="73"/>
  <c r="N188" i="73" s="1"/>
  <c r="N190" i="73" s="1"/>
  <c r="D12" i="285"/>
  <c r="O6" i="292"/>
  <c r="I113" i="73"/>
  <c r="V109" i="73"/>
  <c r="H89" i="73"/>
  <c r="H211" i="73" s="1"/>
  <c r="H215" i="73" s="1"/>
  <c r="H219" i="73" s="1"/>
  <c r="H221" i="73" s="1"/>
  <c r="H88" i="73"/>
  <c r="H87" i="73"/>
  <c r="G56" i="285"/>
  <c r="G57" i="285"/>
  <c r="G60" i="285" s="1"/>
  <c r="H50" i="285"/>
  <c r="H53" i="285" s="1"/>
  <c r="H51" i="285"/>
  <c r="G53" i="285"/>
  <c r="H54" i="289"/>
  <c r="H55" i="289"/>
  <c r="H58" i="289"/>
  <c r="H60" i="289" s="1"/>
  <c r="I48" i="289"/>
  <c r="I51" i="289" s="1"/>
  <c r="I49" i="289"/>
  <c r="J39" i="344"/>
  <c r="S22" i="288"/>
  <c r="S19" i="288"/>
  <c r="Y19" i="288"/>
  <c r="S16" i="288"/>
  <c r="S11" i="288"/>
  <c r="Y11" i="288"/>
  <c r="T19" i="292"/>
  <c r="T20" i="292"/>
  <c r="T17" i="316"/>
  <c r="G52" i="289"/>
  <c r="G57" i="289" s="1"/>
  <c r="G60" i="289" s="1"/>
  <c r="G124" i="289"/>
  <c r="J89" i="73"/>
  <c r="J211" i="73" s="1"/>
  <c r="J215" i="73" s="1"/>
  <c r="J219" i="73" s="1"/>
  <c r="J221" i="73" s="1"/>
  <c r="J90" i="73"/>
  <c r="J213" i="73" s="1"/>
  <c r="J87" i="73"/>
  <c r="J88" i="73"/>
  <c r="J91" i="73"/>
  <c r="J233" i="73" s="1"/>
  <c r="T46" i="346"/>
  <c r="T10" i="346"/>
  <c r="Q13" i="296"/>
  <c r="Q17" i="296"/>
  <c r="Q21" i="296"/>
  <c r="Q12" i="296"/>
  <c r="Q16" i="296"/>
  <c r="Q20" i="296"/>
  <c r="Q24" i="296"/>
  <c r="Q11" i="296"/>
  <c r="Q15" i="296"/>
  <c r="Q19" i="296"/>
  <c r="Q23" i="296"/>
  <c r="Q14" i="296"/>
  <c r="Q22" i="296"/>
  <c r="Q10" i="296"/>
  <c r="Q18" i="296"/>
  <c r="N43" i="296"/>
  <c r="N45" i="296"/>
  <c r="N46" i="296"/>
  <c r="N41" i="296"/>
  <c r="N44" i="296"/>
  <c r="N42" i="296"/>
  <c r="S16" i="293"/>
  <c r="S17" i="293"/>
  <c r="S14" i="293"/>
  <c r="S11" i="293"/>
  <c r="Y11" i="293"/>
  <c r="H92" i="73"/>
  <c r="H233" i="73" s="1"/>
  <c r="G94" i="73"/>
  <c r="F91" i="73"/>
  <c r="F233" i="73" s="1"/>
  <c r="D51" i="289"/>
  <c r="D54" i="289"/>
  <c r="E54" i="289"/>
  <c r="E51" i="289"/>
  <c r="F51" i="289"/>
  <c r="F54" i="289"/>
  <c r="H95" i="73"/>
  <c r="H101" i="73" s="1"/>
  <c r="H104" i="73" s="1"/>
  <c r="H109" i="73" s="1"/>
  <c r="G93" i="73"/>
  <c r="K94" i="73"/>
  <c r="K233" i="73" s="1"/>
  <c r="T14" i="344"/>
  <c r="T34" i="344" s="1"/>
  <c r="T19" i="344"/>
  <c r="T13" i="344"/>
  <c r="T15" i="344" s="1"/>
  <c r="T18" i="344"/>
  <c r="N135" i="73"/>
  <c r="N139" i="73" s="1"/>
  <c r="N141" i="73" s="1"/>
  <c r="I22" i="346" l="1"/>
  <c r="Q43" i="308"/>
  <c r="Q41" i="308"/>
  <c r="U14" i="316"/>
  <c r="U17" i="316" s="1"/>
  <c r="U12" i="316"/>
  <c r="U34" i="308"/>
  <c r="H37" i="308"/>
  <c r="V28" i="344"/>
  <c r="V29" i="344" s="1"/>
  <c r="V33" i="344"/>
  <c r="G49" i="346"/>
  <c r="G54" i="346" s="1"/>
  <c r="U33" i="346"/>
  <c r="U34" i="346" s="1"/>
  <c r="U28" i="346"/>
  <c r="U29" i="346" s="1"/>
  <c r="S20" i="346"/>
  <c r="S15" i="346"/>
  <c r="J44" i="344"/>
  <c r="I49" i="344"/>
  <c r="I54" i="344" s="1"/>
  <c r="H49" i="344"/>
  <c r="H54" i="344" s="1"/>
  <c r="S22" i="344"/>
  <c r="F49" i="308"/>
  <c r="F54" i="308" s="1"/>
  <c r="G49" i="308"/>
  <c r="G54" i="308" s="1"/>
  <c r="H39" i="308"/>
  <c r="U28" i="308"/>
  <c r="U29" i="308" s="1"/>
  <c r="R22" i="308"/>
  <c r="R41" i="308" s="1"/>
  <c r="H42" i="308"/>
  <c r="H41" i="308"/>
  <c r="H43" i="308"/>
  <c r="H38" i="308"/>
  <c r="I22" i="308"/>
  <c r="J15" i="346"/>
  <c r="H41" i="346"/>
  <c r="H43" i="346"/>
  <c r="H39" i="346"/>
  <c r="I39" i="346" s="1"/>
  <c r="H42" i="346"/>
  <c r="H37" i="346"/>
  <c r="T20" i="344"/>
  <c r="S15" i="308"/>
  <c r="S20" i="308"/>
  <c r="H91" i="289"/>
  <c r="H93" i="289"/>
  <c r="H95" i="289"/>
  <c r="H94" i="289"/>
  <c r="H90" i="289"/>
  <c r="H92" i="289"/>
  <c r="H96" i="289"/>
  <c r="L38" i="344"/>
  <c r="G91" i="289"/>
  <c r="G93" i="289"/>
  <c r="G95" i="289"/>
  <c r="G90" i="289"/>
  <c r="G92" i="289"/>
  <c r="G94" i="289"/>
  <c r="G96" i="289"/>
  <c r="F55" i="289"/>
  <c r="F58" i="289"/>
  <c r="D55" i="289"/>
  <c r="D58" i="289"/>
  <c r="X11" i="293"/>
  <c r="T11" i="293"/>
  <c r="S10" i="296"/>
  <c r="Q43" i="296"/>
  <c r="Q45" i="296"/>
  <c r="Q46" i="296"/>
  <c r="Q41" i="296"/>
  <c r="Q44" i="296"/>
  <c r="Q42" i="296"/>
  <c r="Y10" i="296"/>
  <c r="S19" i="296"/>
  <c r="Y19" i="296"/>
  <c r="S20" i="296"/>
  <c r="Y20" i="296"/>
  <c r="S17" i="296"/>
  <c r="V19" i="292"/>
  <c r="U19" i="292"/>
  <c r="W19" i="292" s="1"/>
  <c r="G54" i="285"/>
  <c r="G136" i="285"/>
  <c r="G59" i="285"/>
  <c r="G62" i="285" s="1"/>
  <c r="H124" i="73"/>
  <c r="H128" i="73" s="1"/>
  <c r="H130" i="73" s="1"/>
  <c r="H97" i="73"/>
  <c r="H98" i="73" s="1"/>
  <c r="H173" i="73"/>
  <c r="H177" i="73" s="1"/>
  <c r="H179" i="73" s="1"/>
  <c r="U12" i="292"/>
  <c r="W12" i="292" s="1"/>
  <c r="V12" i="292"/>
  <c r="U22" i="292"/>
  <c r="W22" i="292" s="1"/>
  <c r="V22" i="292"/>
  <c r="Y22" i="292" s="1"/>
  <c r="T18" i="293"/>
  <c r="T24" i="293"/>
  <c r="X24" i="293"/>
  <c r="K50" i="295"/>
  <c r="U10" i="308"/>
  <c r="U46" i="308"/>
  <c r="E11" i="295"/>
  <c r="E11" i="52"/>
  <c r="E11" i="289"/>
  <c r="V9" i="346"/>
  <c r="V24" i="346"/>
  <c r="V31" i="346"/>
  <c r="W8" i="346"/>
  <c r="V26" i="346"/>
  <c r="U18" i="292"/>
  <c r="W18" i="292" s="1"/>
  <c r="V18" i="292"/>
  <c r="K158" i="73"/>
  <c r="K162" i="73" s="1"/>
  <c r="K164" i="73" s="1"/>
  <c r="K147" i="73"/>
  <c r="K151" i="73" s="1"/>
  <c r="K153" i="73" s="1"/>
  <c r="U10" i="292"/>
  <c r="V10" i="292"/>
  <c r="U24" i="292"/>
  <c r="W24" i="292" s="1"/>
  <c r="V24" i="292"/>
  <c r="T20" i="293"/>
  <c r="T18" i="288"/>
  <c r="O11" i="288"/>
  <c r="O16" i="288"/>
  <c r="T16" i="288" s="1"/>
  <c r="O20" i="288"/>
  <c r="O24" i="288"/>
  <c r="O15" i="288"/>
  <c r="O19" i="288"/>
  <c r="O23" i="288"/>
  <c r="O48" i="288"/>
  <c r="X48" i="288" s="1"/>
  <c r="O50" i="288"/>
  <c r="X50" i="288" s="1"/>
  <c r="O14" i="288"/>
  <c r="T14" i="288" s="1"/>
  <c r="O18" i="288"/>
  <c r="O22" i="288"/>
  <c r="O10" i="288"/>
  <c r="O12" i="288"/>
  <c r="O13" i="288"/>
  <c r="O17" i="288"/>
  <c r="T17" i="288" s="1"/>
  <c r="O21" i="288"/>
  <c r="T21" i="288" s="1"/>
  <c r="U109" i="73"/>
  <c r="H113" i="73"/>
  <c r="D52" i="289"/>
  <c r="D57" i="289" s="1"/>
  <c r="D60" i="289" s="1"/>
  <c r="D124" i="289"/>
  <c r="S22" i="296"/>
  <c r="S15" i="296"/>
  <c r="Y15" i="296"/>
  <c r="S16" i="296"/>
  <c r="S13" i="296"/>
  <c r="Y13" i="296"/>
  <c r="T20" i="316"/>
  <c r="T22" i="316" s="1"/>
  <c r="T27" i="316" s="1"/>
  <c r="X22" i="288"/>
  <c r="T22" i="288"/>
  <c r="H56" i="285"/>
  <c r="H60" i="285" s="1"/>
  <c r="H57" i="285"/>
  <c r="I50" i="285"/>
  <c r="I53" i="285" s="1"/>
  <c r="I51" i="285"/>
  <c r="H147" i="73"/>
  <c r="H151" i="73" s="1"/>
  <c r="H153" i="73" s="1"/>
  <c r="O10" i="292"/>
  <c r="O14" i="292"/>
  <c r="T14" i="292" s="1"/>
  <c r="O18" i="292"/>
  <c r="O22" i="292"/>
  <c r="O13" i="292"/>
  <c r="O17" i="292"/>
  <c r="T17" i="292" s="1"/>
  <c r="O21" i="292"/>
  <c r="T21" i="292" s="1"/>
  <c r="O11" i="292"/>
  <c r="O12" i="292"/>
  <c r="O16" i="292"/>
  <c r="T16" i="292" s="1"/>
  <c r="O19" i="292"/>
  <c r="O20" i="292"/>
  <c r="O24" i="292"/>
  <c r="O15" i="292"/>
  <c r="O23" i="292"/>
  <c r="T23" i="292" s="1"/>
  <c r="O48" i="292"/>
  <c r="X48" i="292" s="1"/>
  <c r="O50" i="292"/>
  <c r="X50" i="292" s="1"/>
  <c r="J47" i="344"/>
  <c r="B119" i="73"/>
  <c r="T13" i="288"/>
  <c r="T23" i="288"/>
  <c r="J20" i="346"/>
  <c r="R42" i="346"/>
  <c r="R41" i="346"/>
  <c r="R43" i="346"/>
  <c r="I37" i="308"/>
  <c r="T19" i="293"/>
  <c r="T12" i="293"/>
  <c r="U10" i="346"/>
  <c r="U46" i="346"/>
  <c r="U20" i="316"/>
  <c r="U22" i="316" s="1"/>
  <c r="U27" i="316" s="1"/>
  <c r="I38" i="346"/>
  <c r="G124" i="73"/>
  <c r="G128" i="73" s="1"/>
  <c r="G130" i="73" s="1"/>
  <c r="G97" i="73"/>
  <c r="G98" i="73" s="1"/>
  <c r="G173" i="73"/>
  <c r="G177" i="73" s="1"/>
  <c r="G179" i="73" s="1"/>
  <c r="G184" i="73"/>
  <c r="G188" i="73" s="1"/>
  <c r="G190" i="73" s="1"/>
  <c r="K124" i="73"/>
  <c r="K128" i="73" s="1"/>
  <c r="K130" i="73" s="1"/>
  <c r="K97" i="73"/>
  <c r="K98" i="73" s="1"/>
  <c r="K135" i="73"/>
  <c r="K139" i="73" s="1"/>
  <c r="K141" i="73" s="1"/>
  <c r="K173" i="73"/>
  <c r="K177" i="73" s="1"/>
  <c r="K179" i="73" s="1"/>
  <c r="U13" i="292"/>
  <c r="W13" i="292" s="1"/>
  <c r="V13" i="292"/>
  <c r="X13" i="292" s="1"/>
  <c r="G215" i="73"/>
  <c r="G219" i="73" s="1"/>
  <c r="G221" i="73" s="1"/>
  <c r="B222" i="73" s="1"/>
  <c r="D16" i="291"/>
  <c r="D26" i="291"/>
  <c r="D17" i="291"/>
  <c r="D19" i="291"/>
  <c r="D47" i="291" s="1"/>
  <c r="J12" i="290" s="1"/>
  <c r="L37" i="344"/>
  <c r="F124" i="289"/>
  <c r="F52" i="289"/>
  <c r="F57" i="289" s="1"/>
  <c r="F60" i="289" s="1"/>
  <c r="T22" i="344"/>
  <c r="E124" i="289"/>
  <c r="E52" i="289"/>
  <c r="E57" i="289" s="1"/>
  <c r="S14" i="296"/>
  <c r="S11" i="296"/>
  <c r="Y11" i="296"/>
  <c r="S12" i="296"/>
  <c r="Y12" i="296"/>
  <c r="T13" i="346"/>
  <c r="T18" i="346"/>
  <c r="T14" i="346"/>
  <c r="T19" i="346"/>
  <c r="J147" i="73"/>
  <c r="J151" i="73" s="1"/>
  <c r="J153" i="73" s="1"/>
  <c r="K39" i="344"/>
  <c r="K44" i="344" s="1"/>
  <c r="J48" i="289"/>
  <c r="J51" i="289" s="1"/>
  <c r="I54" i="289"/>
  <c r="J49" i="289"/>
  <c r="H54" i="285"/>
  <c r="H136" i="285"/>
  <c r="H59" i="285"/>
  <c r="H62" i="285" s="1"/>
  <c r="D12" i="314"/>
  <c r="D53" i="285"/>
  <c r="D56" i="285"/>
  <c r="E53" i="285"/>
  <c r="E56" i="285"/>
  <c r="F53" i="285"/>
  <c r="F56" i="285"/>
  <c r="F124" i="73"/>
  <c r="F128" i="73" s="1"/>
  <c r="F130" i="73" s="1"/>
  <c r="F173" i="73"/>
  <c r="F177" i="73" s="1"/>
  <c r="F179" i="73" s="1"/>
  <c r="F135" i="73"/>
  <c r="F139" i="73" s="1"/>
  <c r="F141" i="73" s="1"/>
  <c r="F184" i="73"/>
  <c r="F188" i="73" s="1"/>
  <c r="F190" i="73" s="1"/>
  <c r="F97" i="73"/>
  <c r="F98" i="73" s="1"/>
  <c r="T15" i="293"/>
  <c r="I41" i="346"/>
  <c r="I42" i="346"/>
  <c r="I43" i="346"/>
  <c r="W9" i="344"/>
  <c r="W24" i="344"/>
  <c r="W31" i="344"/>
  <c r="W26" i="344"/>
  <c r="X8" i="344"/>
  <c r="Z25" i="316"/>
  <c r="K50" i="52"/>
  <c r="G233" i="73"/>
  <c r="D234" i="73" s="1"/>
  <c r="D235" i="73" s="1"/>
  <c r="D17" i="279" s="1"/>
  <c r="H17" i="279" s="1"/>
  <c r="G147" i="73"/>
  <c r="G151" i="73" s="1"/>
  <c r="G153" i="73" s="1"/>
  <c r="B154" i="73" s="1"/>
  <c r="I147" i="73"/>
  <c r="I151" i="73" s="1"/>
  <c r="I153" i="73" s="1"/>
  <c r="W16" i="316"/>
  <c r="V10" i="316"/>
  <c r="V9" i="316"/>
  <c r="T12" i="288"/>
  <c r="X24" i="288"/>
  <c r="T24" i="288"/>
  <c r="Z19" i="316"/>
  <c r="S43" i="293"/>
  <c r="S45" i="293"/>
  <c r="S46" i="293"/>
  <c r="S44" i="293"/>
  <c r="S41" i="293"/>
  <c r="S42" i="293"/>
  <c r="T10" i="293"/>
  <c r="T13" i="293"/>
  <c r="T18" i="308"/>
  <c r="T13" i="308"/>
  <c r="T19" i="308"/>
  <c r="T14" i="308"/>
  <c r="S41" i="288"/>
  <c r="S42" i="288"/>
  <c r="S43" i="288"/>
  <c r="S45" i="288"/>
  <c r="S46" i="288"/>
  <c r="S44" i="288"/>
  <c r="T10" i="288"/>
  <c r="T15" i="288"/>
  <c r="O14" i="293"/>
  <c r="T14" i="293" s="1"/>
  <c r="O18" i="293"/>
  <c r="O22" i="293"/>
  <c r="O13" i="293"/>
  <c r="O17" i="293"/>
  <c r="T17" i="293" s="1"/>
  <c r="O21" i="293"/>
  <c r="T21" i="293" s="1"/>
  <c r="O10" i="293"/>
  <c r="O12" i="293"/>
  <c r="O16" i="293"/>
  <c r="T16" i="293" s="1"/>
  <c r="O20" i="293"/>
  <c r="O11" i="293"/>
  <c r="O19" i="293"/>
  <c r="O23" i="293"/>
  <c r="T23" i="293" s="1"/>
  <c r="O24" i="293"/>
  <c r="O48" i="293"/>
  <c r="X48" i="293" s="1"/>
  <c r="O50" i="293"/>
  <c r="X50" i="293" s="1"/>
  <c r="O15" i="293"/>
  <c r="U14" i="344"/>
  <c r="U34" i="344" s="1"/>
  <c r="U19" i="344"/>
  <c r="U13" i="344"/>
  <c r="U15" i="344" s="1"/>
  <c r="U18" i="344"/>
  <c r="E55" i="289"/>
  <c r="E58" i="289" s="1"/>
  <c r="S18" i="296"/>
  <c r="Y18" i="296"/>
  <c r="S23" i="296"/>
  <c r="S24" i="296"/>
  <c r="Y24" i="296"/>
  <c r="S21" i="296"/>
  <c r="J124" i="73"/>
  <c r="J128" i="73" s="1"/>
  <c r="J130" i="73" s="1"/>
  <c r="J173" i="73"/>
  <c r="J177" i="73" s="1"/>
  <c r="J179" i="73" s="1"/>
  <c r="J135" i="73"/>
  <c r="J139" i="73" s="1"/>
  <c r="J141" i="73" s="1"/>
  <c r="J184" i="73"/>
  <c r="J188" i="73" s="1"/>
  <c r="J190" i="73" s="1"/>
  <c r="J97" i="73"/>
  <c r="J98" i="73" s="1"/>
  <c r="U20" i="292"/>
  <c r="W20" i="292" s="1"/>
  <c r="V20" i="292"/>
  <c r="X11" i="288"/>
  <c r="T11" i="288"/>
  <c r="T19" i="288"/>
  <c r="I124" i="289"/>
  <c r="I52" i="289"/>
  <c r="I57" i="289" s="1"/>
  <c r="V9" i="308"/>
  <c r="V33" i="308" s="1"/>
  <c r="V31" i="308"/>
  <c r="W8" i="308"/>
  <c r="V24" i="308"/>
  <c r="V26" i="308"/>
  <c r="T20" i="288"/>
  <c r="V10" i="344"/>
  <c r="V46" i="344"/>
  <c r="Q41" i="346"/>
  <c r="Q42" i="346"/>
  <c r="Q43" i="346"/>
  <c r="K39" i="133"/>
  <c r="B39" i="133" s="1"/>
  <c r="G39" i="133" s="1"/>
  <c r="B3" i="257" s="1"/>
  <c r="J40" i="133"/>
  <c r="T22" i="293"/>
  <c r="X22" i="293"/>
  <c r="I173" i="73"/>
  <c r="I177" i="73" s="1"/>
  <c r="I179" i="73" s="1"/>
  <c r="I124" i="73"/>
  <c r="I128" i="73" s="1"/>
  <c r="I130" i="73" s="1"/>
  <c r="I97" i="73"/>
  <c r="I98" i="73" s="1"/>
  <c r="I184" i="73"/>
  <c r="I188" i="73" s="1"/>
  <c r="I190" i="73" s="1"/>
  <c r="I135" i="73"/>
  <c r="I139" i="73" s="1"/>
  <c r="I141" i="73" s="1"/>
  <c r="V15" i="292"/>
  <c r="U15" i="292"/>
  <c r="W15" i="292" s="1"/>
  <c r="V11" i="292"/>
  <c r="U11" i="292"/>
  <c r="W11" i="292" s="1"/>
  <c r="D16" i="287"/>
  <c r="D19" i="287" s="1"/>
  <c r="D47" i="287" s="1"/>
  <c r="J14" i="286" s="1"/>
  <c r="D26" i="287"/>
  <c r="D17" i="287"/>
  <c r="X15" i="292" l="1"/>
  <c r="T41" i="292"/>
  <c r="V34" i="308"/>
  <c r="V14" i="316"/>
  <c r="V17" i="316" s="1"/>
  <c r="V12" i="316"/>
  <c r="H44" i="308"/>
  <c r="H47" i="308" s="1"/>
  <c r="W28" i="344"/>
  <c r="W29" i="344" s="1"/>
  <c r="W33" i="344"/>
  <c r="J22" i="346"/>
  <c r="H44" i="346"/>
  <c r="H47" i="346" s="1"/>
  <c r="V33" i="346"/>
  <c r="V34" i="346" s="1"/>
  <c r="V28" i="346"/>
  <c r="V29" i="346" s="1"/>
  <c r="S22" i="346"/>
  <c r="T15" i="346"/>
  <c r="K47" i="344"/>
  <c r="J49" i="344"/>
  <c r="J54" i="344" s="1"/>
  <c r="U20" i="344"/>
  <c r="S42" i="344"/>
  <c r="S41" i="344"/>
  <c r="S43" i="344"/>
  <c r="V28" i="308"/>
  <c r="V29" i="308" s="1"/>
  <c r="R42" i="308"/>
  <c r="R43" i="308"/>
  <c r="I43" i="308"/>
  <c r="I42" i="308"/>
  <c r="I41" i="308"/>
  <c r="I38" i="308"/>
  <c r="I39" i="308"/>
  <c r="J39" i="308" s="1"/>
  <c r="T20" i="308"/>
  <c r="S22" i="308"/>
  <c r="I37" i="346"/>
  <c r="L39" i="344"/>
  <c r="M39" i="344" s="1"/>
  <c r="N39" i="344" s="1"/>
  <c r="M37" i="344"/>
  <c r="T15" i="308"/>
  <c r="E60" i="289"/>
  <c r="U14" i="288"/>
  <c r="W14" i="288" s="1"/>
  <c r="V14" i="288"/>
  <c r="X14" i="288" s="1"/>
  <c r="Y14" i="288" s="1"/>
  <c r="U16" i="288"/>
  <c r="W16" i="288" s="1"/>
  <c r="V16" i="288"/>
  <c r="X16" i="288" s="1"/>
  <c r="Y16" i="288" s="1"/>
  <c r="V23" i="293"/>
  <c r="U23" i="293"/>
  <c r="W23" i="293" s="1"/>
  <c r="U16" i="293"/>
  <c r="W16" i="293" s="1"/>
  <c r="V16" i="293"/>
  <c r="X16" i="293" s="1"/>
  <c r="Y16" i="293" s="1"/>
  <c r="U17" i="293"/>
  <c r="W17" i="293" s="1"/>
  <c r="V17" i="293"/>
  <c r="U14" i="293"/>
  <c r="W14" i="293" s="1"/>
  <c r="V14" i="293"/>
  <c r="X14" i="293" s="1"/>
  <c r="Y14" i="293" s="1"/>
  <c r="V21" i="288"/>
  <c r="U21" i="288"/>
  <c r="W21" i="288" s="1"/>
  <c r="U21" i="293"/>
  <c r="W21" i="293" s="1"/>
  <c r="V21" i="293"/>
  <c r="X21" i="293" s="1"/>
  <c r="Y21" i="293" s="1"/>
  <c r="T41" i="344"/>
  <c r="T42" i="344"/>
  <c r="T43" i="344"/>
  <c r="D91" i="289"/>
  <c r="D93" i="289"/>
  <c r="D95" i="289"/>
  <c r="D90" i="289"/>
  <c r="D92" i="289"/>
  <c r="D94" i="289"/>
  <c r="D96" i="289"/>
  <c r="V17" i="288"/>
  <c r="U17" i="288"/>
  <c r="W17" i="288" s="1"/>
  <c r="H97" i="285"/>
  <c r="H100" i="285"/>
  <c r="H104" i="285"/>
  <c r="H98" i="285"/>
  <c r="H101" i="285"/>
  <c r="H102" i="285"/>
  <c r="H96" i="285"/>
  <c r="H99" i="285"/>
  <c r="H103" i="285"/>
  <c r="F90" i="289"/>
  <c r="F92" i="289"/>
  <c r="F94" i="289"/>
  <c r="F96" i="289"/>
  <c r="F93" i="289"/>
  <c r="F91" i="289"/>
  <c r="F95" i="289"/>
  <c r="K40" i="133"/>
  <c r="B40" i="133" s="1"/>
  <c r="G40" i="133" s="1"/>
  <c r="B3" i="256" s="1"/>
  <c r="J41" i="133"/>
  <c r="U20" i="288"/>
  <c r="W20" i="288" s="1"/>
  <c r="V20" i="288"/>
  <c r="O41" i="293"/>
  <c r="O42" i="293"/>
  <c r="O44" i="293"/>
  <c r="O43" i="293"/>
  <c r="O45" i="293"/>
  <c r="O46" i="293"/>
  <c r="AA19" i="316"/>
  <c r="W10" i="316"/>
  <c r="X16" i="316"/>
  <c r="W9" i="316"/>
  <c r="Y8" i="344"/>
  <c r="X26" i="344"/>
  <c r="X24" i="344"/>
  <c r="X9" i="344"/>
  <c r="X31" i="344"/>
  <c r="W10" i="344"/>
  <c r="W46" i="344"/>
  <c r="Q98" i="73"/>
  <c r="D8" i="248" s="1"/>
  <c r="B131" i="73"/>
  <c r="F54" i="285"/>
  <c r="F136" i="285"/>
  <c r="F59" i="285"/>
  <c r="D59" i="285"/>
  <c r="D54" i="285"/>
  <c r="D136" i="285"/>
  <c r="I55" i="289"/>
  <c r="I58" i="289" s="1"/>
  <c r="I60" i="289" s="1"/>
  <c r="J158" i="73"/>
  <c r="J162" i="73" s="1"/>
  <c r="J164" i="73" s="1"/>
  <c r="T20" i="346"/>
  <c r="D29" i="291"/>
  <c r="D30" i="291" s="1"/>
  <c r="D32" i="291" s="1"/>
  <c r="D9" i="52"/>
  <c r="D9" i="4"/>
  <c r="K184" i="73"/>
  <c r="K188" i="73" s="1"/>
  <c r="K190" i="73" s="1"/>
  <c r="G135" i="73"/>
  <c r="G139" i="73" s="1"/>
  <c r="G141" i="73" s="1"/>
  <c r="J38" i="346"/>
  <c r="U12" i="293"/>
  <c r="W12" i="293" s="1"/>
  <c r="V12" i="293"/>
  <c r="J37" i="308"/>
  <c r="J42" i="346"/>
  <c r="J41" i="346"/>
  <c r="J43" i="346"/>
  <c r="U23" i="288"/>
  <c r="W23" i="288" s="1"/>
  <c r="V23" i="288"/>
  <c r="O41" i="292"/>
  <c r="O42" i="292"/>
  <c r="O43" i="292"/>
  <c r="O45" i="292"/>
  <c r="O46" i="292"/>
  <c r="O44" i="292"/>
  <c r="I136" i="285"/>
  <c r="I54" i="285"/>
  <c r="I59" i="285" s="1"/>
  <c r="T13" i="296"/>
  <c r="T15" i="296"/>
  <c r="T44" i="292"/>
  <c r="T45" i="292"/>
  <c r="X8" i="346"/>
  <c r="W26" i="346"/>
  <c r="W9" i="346"/>
  <c r="W24" i="346"/>
  <c r="W31" i="346"/>
  <c r="U18" i="293"/>
  <c r="W18" i="293" s="1"/>
  <c r="V18" i="293"/>
  <c r="X12" i="292"/>
  <c r="H135" i="73"/>
  <c r="H139" i="73" s="1"/>
  <c r="H141" i="73" s="1"/>
  <c r="T17" i="296"/>
  <c r="T19" i="296"/>
  <c r="S41" i="296"/>
  <c r="S42" i="296"/>
  <c r="S44" i="296"/>
  <c r="S46" i="296"/>
  <c r="S43" i="296"/>
  <c r="S45" i="296"/>
  <c r="T10" i="296"/>
  <c r="V11" i="293"/>
  <c r="U11" i="293"/>
  <c r="W11" i="293" s="1"/>
  <c r="V14" i="344"/>
  <c r="V34" i="344" s="1"/>
  <c r="V19" i="344"/>
  <c r="V13" i="344"/>
  <c r="V18" i="344"/>
  <c r="V10" i="308"/>
  <c r="V46" i="308"/>
  <c r="U11" i="288"/>
  <c r="W11" i="288" s="1"/>
  <c r="V11" i="288"/>
  <c r="T24" i="296"/>
  <c r="X24" i="296"/>
  <c r="T18" i="296"/>
  <c r="U15" i="288"/>
  <c r="W15" i="288" s="1"/>
  <c r="V15" i="288"/>
  <c r="U13" i="293"/>
  <c r="W13" i="293" s="1"/>
  <c r="V13" i="293"/>
  <c r="X13" i="293" s="1"/>
  <c r="U24" i="288"/>
  <c r="W24" i="288" s="1"/>
  <c r="V24" i="288"/>
  <c r="V20" i="316"/>
  <c r="V22" i="316" s="1"/>
  <c r="V27" i="316" s="1"/>
  <c r="I158" i="73"/>
  <c r="I162" i="73" s="1"/>
  <c r="I164" i="73" s="1"/>
  <c r="E57" i="285"/>
  <c r="E60" i="285"/>
  <c r="D52" i="314"/>
  <c r="D55" i="314"/>
  <c r="E55" i="314"/>
  <c r="E52" i="314"/>
  <c r="F55" i="314"/>
  <c r="F52" i="314"/>
  <c r="G55" i="314"/>
  <c r="H52" i="314"/>
  <c r="G52" i="314"/>
  <c r="H55" i="314"/>
  <c r="I55" i="314"/>
  <c r="I52" i="314"/>
  <c r="J52" i="314"/>
  <c r="K48" i="289"/>
  <c r="K51" i="289" s="1"/>
  <c r="J54" i="289"/>
  <c r="J55" i="289" s="1"/>
  <c r="X11" i="296"/>
  <c r="T11" i="296"/>
  <c r="J39" i="346"/>
  <c r="K39" i="346" s="1"/>
  <c r="H158" i="73"/>
  <c r="H162" i="73" s="1"/>
  <c r="H164" i="73" s="1"/>
  <c r="U22" i="288"/>
  <c r="W22" i="288" s="1"/>
  <c r="V22" i="288"/>
  <c r="Y22" i="288" s="1"/>
  <c r="T42" i="292"/>
  <c r="T43" i="292"/>
  <c r="X18" i="292"/>
  <c r="V15" i="293"/>
  <c r="U15" i="293"/>
  <c r="W15" i="293" s="1"/>
  <c r="B142" i="73"/>
  <c r="H13" i="279" s="1"/>
  <c r="E136" i="285"/>
  <c r="E54" i="285"/>
  <c r="E59" i="285" s="1"/>
  <c r="E62" i="285" s="1"/>
  <c r="J124" i="289"/>
  <c r="J52" i="289"/>
  <c r="J57" i="289" s="1"/>
  <c r="U14" i="346"/>
  <c r="U19" i="346"/>
  <c r="U13" i="346"/>
  <c r="U18" i="346"/>
  <c r="V19" i="293"/>
  <c r="U19" i="293"/>
  <c r="W19" i="293" s="1"/>
  <c r="V13" i="288"/>
  <c r="X13" i="288" s="1"/>
  <c r="U13" i="288"/>
  <c r="W13" i="288" s="1"/>
  <c r="V23" i="292"/>
  <c r="U23" i="292"/>
  <c r="W23" i="292" s="1"/>
  <c r="U21" i="292"/>
  <c r="W21" i="292" s="1"/>
  <c r="V21" i="292"/>
  <c r="T16" i="296"/>
  <c r="T22" i="296"/>
  <c r="X22" i="296"/>
  <c r="U18" i="288"/>
  <c r="W18" i="288" s="1"/>
  <c r="V18" i="288"/>
  <c r="X18" i="288" s="1"/>
  <c r="U20" i="293"/>
  <c r="W20" i="293" s="1"/>
  <c r="V20" i="293"/>
  <c r="V24" i="293"/>
  <c r="U24" i="293"/>
  <c r="W24" i="293" s="1"/>
  <c r="H184" i="73"/>
  <c r="H188" i="73" s="1"/>
  <c r="H190" i="73" s="1"/>
  <c r="B191" i="73" s="1"/>
  <c r="D194" i="73" s="1"/>
  <c r="F194" i="73" s="1"/>
  <c r="X19" i="292"/>
  <c r="T20" i="296"/>
  <c r="G98" i="289"/>
  <c r="M38" i="344"/>
  <c r="D29" i="287"/>
  <c r="D30" i="287" s="1"/>
  <c r="D32" i="287" s="1"/>
  <c r="U22" i="293"/>
  <c r="W22" i="293" s="1"/>
  <c r="V22" i="293"/>
  <c r="Y22" i="293" s="1"/>
  <c r="W26" i="308"/>
  <c r="W9" i="308"/>
  <c r="W33" i="308" s="1"/>
  <c r="W31" i="308"/>
  <c r="X8" i="308"/>
  <c r="W24" i="308"/>
  <c r="U19" i="288"/>
  <c r="W19" i="288" s="1"/>
  <c r="V19" i="288"/>
  <c r="X20" i="292"/>
  <c r="T21" i="296"/>
  <c r="T23" i="296"/>
  <c r="V10" i="288"/>
  <c r="T44" i="288"/>
  <c r="U10" i="288"/>
  <c r="T41" i="288"/>
  <c r="T42" i="288"/>
  <c r="T43" i="288"/>
  <c r="T45" i="288"/>
  <c r="T46" i="288"/>
  <c r="V10" i="293"/>
  <c r="U10" i="293"/>
  <c r="T43" i="293"/>
  <c r="T45" i="293"/>
  <c r="T46" i="293"/>
  <c r="T44" i="293"/>
  <c r="T41" i="293"/>
  <c r="T42" i="293"/>
  <c r="V12" i="288"/>
  <c r="X12" i="288" s="1"/>
  <c r="U12" i="288"/>
  <c r="W12" i="288" s="1"/>
  <c r="G158" i="73"/>
  <c r="G162" i="73" s="1"/>
  <c r="G164" i="73" s="1"/>
  <c r="AA25" i="316"/>
  <c r="B180" i="73"/>
  <c r="F57" i="285"/>
  <c r="F60" i="285"/>
  <c r="D57" i="285"/>
  <c r="D60" i="285"/>
  <c r="T12" i="296"/>
  <c r="T14" i="296"/>
  <c r="S41" i="346"/>
  <c r="S42" i="346"/>
  <c r="S43" i="346"/>
  <c r="F9" i="4"/>
  <c r="R21" i="73"/>
  <c r="U16" i="292"/>
  <c r="W16" i="292" s="1"/>
  <c r="V16" i="292"/>
  <c r="X16" i="292" s="1"/>
  <c r="Y16" i="292" s="1"/>
  <c r="U17" i="292"/>
  <c r="W17" i="292" s="1"/>
  <c r="V17" i="292"/>
  <c r="X17" i="292" s="1"/>
  <c r="Y17" i="292" s="1"/>
  <c r="U14" i="292"/>
  <c r="W14" i="292" s="1"/>
  <c r="V14" i="292"/>
  <c r="X14" i="292" s="1"/>
  <c r="Y14" i="292" s="1"/>
  <c r="I56" i="285"/>
  <c r="I57" i="285"/>
  <c r="I60" i="285" s="1"/>
  <c r="J50" i="285"/>
  <c r="J53" i="285" s="1"/>
  <c r="J51" i="285"/>
  <c r="D125" i="289"/>
  <c r="O43" i="288"/>
  <c r="O45" i="288"/>
  <c r="O46" i="288"/>
  <c r="O44" i="288"/>
  <c r="O41" i="288"/>
  <c r="O42" i="288"/>
  <c r="T46" i="292"/>
  <c r="W10" i="292"/>
  <c r="V10" i="346"/>
  <c r="V46" i="346"/>
  <c r="U14" i="308"/>
  <c r="U18" i="308"/>
  <c r="U13" i="308"/>
  <c r="U19" i="308"/>
  <c r="G97" i="285"/>
  <c r="G99" i="285"/>
  <c r="G101" i="285"/>
  <c r="G103" i="285"/>
  <c r="G96" i="285"/>
  <c r="G98" i="285"/>
  <c r="G100" i="285"/>
  <c r="G102" i="285"/>
  <c r="G104" i="285"/>
  <c r="H98" i="289"/>
  <c r="U46" i="292" l="1"/>
  <c r="X15" i="293"/>
  <c r="U45" i="292"/>
  <c r="U42" i="292"/>
  <c r="U44" i="292"/>
  <c r="U43" i="292"/>
  <c r="U41" i="292"/>
  <c r="X18" i="293"/>
  <c r="X23" i="293"/>
  <c r="Y23" i="293" s="1"/>
  <c r="X19" i="288"/>
  <c r="X23" i="292"/>
  <c r="Y23" i="292" s="1"/>
  <c r="T22" i="346"/>
  <c r="T22" i="308"/>
  <c r="T43" i="308" s="1"/>
  <c r="W34" i="308"/>
  <c r="W14" i="316"/>
  <c r="W17" i="316" s="1"/>
  <c r="W12" i="316"/>
  <c r="I44" i="308"/>
  <c r="V15" i="344"/>
  <c r="X28" i="344"/>
  <c r="X29" i="344" s="1"/>
  <c r="X33" i="344"/>
  <c r="H49" i="346"/>
  <c r="H54" i="346" s="1"/>
  <c r="W33" i="346"/>
  <c r="W34" i="346" s="1"/>
  <c r="W28" i="346"/>
  <c r="W29" i="346" s="1"/>
  <c r="I44" i="346"/>
  <c r="I47" i="346" s="1"/>
  <c r="U15" i="346"/>
  <c r="L44" i="344"/>
  <c r="L47" i="344" s="1"/>
  <c r="N37" i="344"/>
  <c r="M44" i="344"/>
  <c r="M47" i="344" s="1"/>
  <c r="K49" i="344"/>
  <c r="K54" i="344" s="1"/>
  <c r="U22" i="344"/>
  <c r="H49" i="308"/>
  <c r="H54" i="308" s="1"/>
  <c r="W28" i="308"/>
  <c r="W29" i="308" s="1"/>
  <c r="I47" i="308"/>
  <c r="K39" i="308"/>
  <c r="L39" i="308" s="1"/>
  <c r="M39" i="308" s="1"/>
  <c r="N39" i="308" s="1"/>
  <c r="J38" i="308"/>
  <c r="K38" i="308" s="1"/>
  <c r="S43" i="308"/>
  <c r="S41" i="308"/>
  <c r="S42" i="308"/>
  <c r="J37" i="346"/>
  <c r="T42" i="308"/>
  <c r="I90" i="289"/>
  <c r="I92" i="289"/>
  <c r="I94" i="289"/>
  <c r="I96" i="289"/>
  <c r="I91" i="289"/>
  <c r="I93" i="289"/>
  <c r="I95" i="289"/>
  <c r="E96" i="285"/>
  <c r="E98" i="285"/>
  <c r="E100" i="285"/>
  <c r="E102" i="285"/>
  <c r="E104" i="285"/>
  <c r="E97" i="285"/>
  <c r="E99" i="285"/>
  <c r="E101" i="285"/>
  <c r="E103" i="285"/>
  <c r="I62" i="285"/>
  <c r="U15" i="308"/>
  <c r="G106" i="285"/>
  <c r="U20" i="308"/>
  <c r="W43" i="292"/>
  <c r="W45" i="292"/>
  <c r="W46" i="292"/>
  <c r="W44" i="292"/>
  <c r="W41" i="292"/>
  <c r="W42" i="292"/>
  <c r="J54" i="285"/>
  <c r="J59" i="285" s="1"/>
  <c r="J62" i="285" s="1"/>
  <c r="J136" i="285"/>
  <c r="F11" i="4"/>
  <c r="F15" i="4"/>
  <c r="U12" i="296"/>
  <c r="W12" i="296" s="1"/>
  <c r="V12" i="296"/>
  <c r="X12" i="296" s="1"/>
  <c r="V43" i="288"/>
  <c r="V45" i="288"/>
  <c r="V46" i="288"/>
  <c r="V44" i="288"/>
  <c r="V41" i="288"/>
  <c r="V42" i="288"/>
  <c r="V43" i="292"/>
  <c r="X20" i="293"/>
  <c r="U16" i="296"/>
  <c r="W16" i="296" s="1"/>
  <c r="V16" i="296"/>
  <c r="L39" i="346"/>
  <c r="J53" i="314"/>
  <c r="J106" i="314" s="1"/>
  <c r="J92" i="314"/>
  <c r="J58" i="314"/>
  <c r="J61" i="314" s="1"/>
  <c r="G92" i="314"/>
  <c r="G53" i="314"/>
  <c r="G106" i="314" s="1"/>
  <c r="G58" i="314"/>
  <c r="F56" i="314"/>
  <c r="F59" i="314" s="1"/>
  <c r="D53" i="314"/>
  <c r="D106" i="314" s="1"/>
  <c r="D92" i="314"/>
  <c r="D58" i="314"/>
  <c r="U24" i="296"/>
  <c r="W24" i="296" s="1"/>
  <c r="V24" i="296"/>
  <c r="T43" i="296"/>
  <c r="T45" i="296"/>
  <c r="T46" i="296"/>
  <c r="U10" i="296"/>
  <c r="T41" i="296"/>
  <c r="T44" i="296"/>
  <c r="V10" i="296"/>
  <c r="T42" i="296"/>
  <c r="U19" i="296"/>
  <c r="W19" i="296" s="1"/>
  <c r="V19" i="296"/>
  <c r="K37" i="308"/>
  <c r="D9" i="295"/>
  <c r="E53" i="52"/>
  <c r="I53" i="52"/>
  <c r="F53" i="52"/>
  <c r="J53" i="52"/>
  <c r="D53" i="52"/>
  <c r="D56" i="52"/>
  <c r="D57" i="52" s="1"/>
  <c r="G53" i="52"/>
  <c r="H53" i="52"/>
  <c r="K53" i="52"/>
  <c r="F56" i="52"/>
  <c r="F57" i="52" s="1"/>
  <c r="E56" i="52"/>
  <c r="E57" i="52" s="1"/>
  <c r="G56" i="52"/>
  <c r="G57" i="52" s="1"/>
  <c r="H56" i="52"/>
  <c r="H57" i="52" s="1"/>
  <c r="I56" i="52"/>
  <c r="I57" i="52" s="1"/>
  <c r="I60" i="52"/>
  <c r="J56" i="52"/>
  <c r="J57" i="52" s="1"/>
  <c r="F62" i="285"/>
  <c r="X10" i="344"/>
  <c r="X46" i="344"/>
  <c r="K41" i="133"/>
  <c r="B41" i="133" s="1"/>
  <c r="G41" i="133" s="1"/>
  <c r="B3" i="249" s="1"/>
  <c r="J42" i="133"/>
  <c r="F98" i="289"/>
  <c r="X24" i="308"/>
  <c r="X26" i="308"/>
  <c r="X9" i="308"/>
  <c r="X33" i="308" s="1"/>
  <c r="X31" i="308"/>
  <c r="Y8" i="308"/>
  <c r="X10" i="292"/>
  <c r="V42" i="292"/>
  <c r="U11" i="296"/>
  <c r="W11" i="296" s="1"/>
  <c r="V11" i="296"/>
  <c r="K52" i="289"/>
  <c r="K57" i="289" s="1"/>
  <c r="K60" i="289" s="1"/>
  <c r="K124" i="289"/>
  <c r="I53" i="314"/>
  <c r="I106" i="314" s="1"/>
  <c r="I92" i="314"/>
  <c r="H53" i="314"/>
  <c r="H106" i="314" s="1"/>
  <c r="H58" i="314"/>
  <c r="H92" i="314"/>
  <c r="E92" i="314"/>
  <c r="E53" i="314"/>
  <c r="E106" i="314" s="1"/>
  <c r="E58" i="314"/>
  <c r="V18" i="308"/>
  <c r="V13" i="308"/>
  <c r="V19" i="308"/>
  <c r="V14" i="308"/>
  <c r="V17" i="296"/>
  <c r="X17" i="296" s="1"/>
  <c r="Y17" i="296" s="1"/>
  <c r="U17" i="296"/>
  <c r="W17" i="296" s="1"/>
  <c r="X31" i="346"/>
  <c r="X9" i="346"/>
  <c r="X24" i="346"/>
  <c r="X26" i="346"/>
  <c r="Y8" i="346"/>
  <c r="V13" i="296"/>
  <c r="X13" i="296" s="1"/>
  <c r="U13" i="296"/>
  <c r="W13" i="296" s="1"/>
  <c r="T41" i="346"/>
  <c r="T43" i="346"/>
  <c r="T42" i="346"/>
  <c r="D137" i="285"/>
  <c r="W20" i="316"/>
  <c r="W22" i="316" s="1"/>
  <c r="W27" i="316" s="1"/>
  <c r="AB19" i="316"/>
  <c r="H106" i="285"/>
  <c r="U14" i="296"/>
  <c r="W14" i="296" s="1"/>
  <c r="V14" i="296"/>
  <c r="X14" i="296" s="1"/>
  <c r="Y14" i="296" s="1"/>
  <c r="U41" i="293"/>
  <c r="U42" i="293"/>
  <c r="W10" i="293"/>
  <c r="U46" i="293"/>
  <c r="U45" i="293"/>
  <c r="U44" i="293"/>
  <c r="U43" i="293"/>
  <c r="U43" i="288"/>
  <c r="U45" i="288"/>
  <c r="U46" i="288"/>
  <c r="U44" i="288"/>
  <c r="W10" i="288"/>
  <c r="U41" i="288"/>
  <c r="U42" i="288"/>
  <c r="U23" i="296"/>
  <c r="W23" i="296" s="1"/>
  <c r="V23" i="296"/>
  <c r="N38" i="344"/>
  <c r="O38" i="344" s="1"/>
  <c r="U20" i="296"/>
  <c r="W20" i="296" s="1"/>
  <c r="V20" i="296"/>
  <c r="V46" i="292"/>
  <c r="V41" i="292"/>
  <c r="U22" i="296"/>
  <c r="W22" i="296" s="1"/>
  <c r="V22" i="296"/>
  <c r="Y22" i="296" s="1"/>
  <c r="X21" i="292"/>
  <c r="Y21" i="292" s="1"/>
  <c r="Y44" i="292" s="1"/>
  <c r="AB43" i="292" s="1"/>
  <c r="X19" i="293"/>
  <c r="J58" i="289"/>
  <c r="J60" i="289" s="1"/>
  <c r="I56" i="314"/>
  <c r="I59" i="314" s="1"/>
  <c r="G56" i="314"/>
  <c r="G59" i="314"/>
  <c r="E59" i="314"/>
  <c r="E56" i="314"/>
  <c r="U18" i="296"/>
  <c r="W18" i="296" s="1"/>
  <c r="V18" i="296"/>
  <c r="V20" i="344"/>
  <c r="U15" i="296"/>
  <c r="W15" i="296" s="1"/>
  <c r="V15" i="296"/>
  <c r="B165" i="73"/>
  <c r="D168" i="73" s="1"/>
  <c r="F168" i="73" s="1"/>
  <c r="W14" i="344"/>
  <c r="W34" i="344" s="1"/>
  <c r="W19" i="344"/>
  <c r="W13" i="344"/>
  <c r="W18" i="344"/>
  <c r="X20" i="288"/>
  <c r="X17" i="288"/>
  <c r="Y17" i="288" s="1"/>
  <c r="Y45" i="288" s="1"/>
  <c r="D98" i="289"/>
  <c r="X21" i="288"/>
  <c r="Y21" i="288" s="1"/>
  <c r="X17" i="293"/>
  <c r="Y17" i="293" s="1"/>
  <c r="E90" i="289"/>
  <c r="E92" i="289"/>
  <c r="E94" i="289"/>
  <c r="E96" i="289"/>
  <c r="E91" i="289"/>
  <c r="E93" i="289"/>
  <c r="E95" i="289"/>
  <c r="V14" i="346"/>
  <c r="V19" i="346"/>
  <c r="V13" i="346"/>
  <c r="V18" i="346"/>
  <c r="K50" i="285"/>
  <c r="K53" i="285" s="1"/>
  <c r="J56" i="285"/>
  <c r="J57" i="285"/>
  <c r="J60" i="285" s="1"/>
  <c r="AB25" i="316"/>
  <c r="V44" i="293"/>
  <c r="V41" i="293"/>
  <c r="V42" i="293"/>
  <c r="V43" i="293"/>
  <c r="V45" i="293"/>
  <c r="V46" i="293"/>
  <c r="X10" i="293"/>
  <c r="V21" i="296"/>
  <c r="U21" i="296"/>
  <c r="W21" i="296" s="1"/>
  <c r="W10" i="308"/>
  <c r="W46" i="308"/>
  <c r="V45" i="292"/>
  <c r="V44" i="292"/>
  <c r="U20" i="346"/>
  <c r="H56" i="314"/>
  <c r="H59" i="314" s="1"/>
  <c r="F53" i="314"/>
  <c r="F106" i="314" s="1"/>
  <c r="F92" i="314"/>
  <c r="F58" i="314"/>
  <c r="D56" i="314"/>
  <c r="D59" i="314" s="1"/>
  <c r="X15" i="288"/>
  <c r="O39" i="344"/>
  <c r="W10" i="346"/>
  <c r="W46" i="346"/>
  <c r="X23" i="288"/>
  <c r="Y23" i="288" s="1"/>
  <c r="X12" i="293"/>
  <c r="K38" i="346"/>
  <c r="L38" i="346" s="1"/>
  <c r="C15" i="156"/>
  <c r="D47" i="257"/>
  <c r="D47" i="250"/>
  <c r="D47" i="12"/>
  <c r="D47" i="249"/>
  <c r="D47" i="256"/>
  <c r="D15" i="4"/>
  <c r="D62" i="285"/>
  <c r="E50" i="288"/>
  <c r="E50" i="292"/>
  <c r="E50" i="293"/>
  <c r="E49" i="250"/>
  <c r="H49" i="250" s="1"/>
  <c r="E49" i="249"/>
  <c r="H49" i="249" s="1"/>
  <c r="H11" i="279"/>
  <c r="E49" i="256"/>
  <c r="H49" i="256" s="1"/>
  <c r="E49" i="257"/>
  <c r="H49" i="257" s="1"/>
  <c r="E49" i="12"/>
  <c r="H49" i="12" s="1"/>
  <c r="Y31" i="344"/>
  <c r="Y9" i="344"/>
  <c r="Y24" i="344"/>
  <c r="Y26" i="344"/>
  <c r="Z8" i="344"/>
  <c r="Y16" i="316"/>
  <c r="X10" i="316"/>
  <c r="X9" i="316"/>
  <c r="X15" i="296" l="1"/>
  <c r="X20" i="296"/>
  <c r="X19" i="296"/>
  <c r="Y44" i="293"/>
  <c r="AB43" i="293" s="1"/>
  <c r="AB44" i="293" s="1"/>
  <c r="Y43" i="288"/>
  <c r="X18" i="296"/>
  <c r="X23" i="296"/>
  <c r="Y23" i="296" s="1"/>
  <c r="X16" i="296"/>
  <c r="Y16" i="296" s="1"/>
  <c r="T41" i="308"/>
  <c r="X14" i="316"/>
  <c r="X12" i="316"/>
  <c r="W15" i="344"/>
  <c r="K44" i="308"/>
  <c r="X34" i="308"/>
  <c r="Y28" i="344"/>
  <c r="Y29" i="344" s="1"/>
  <c r="Y33" i="344"/>
  <c r="U22" i="346"/>
  <c r="U43" i="346" s="1"/>
  <c r="I49" i="346"/>
  <c r="I54" i="346" s="1"/>
  <c r="K37" i="346"/>
  <c r="K44" i="346" s="1"/>
  <c r="K47" i="346" s="1"/>
  <c r="J44" i="346"/>
  <c r="J47" i="346" s="1"/>
  <c r="X28" i="346"/>
  <c r="X29" i="346" s="1"/>
  <c r="X33" i="346"/>
  <c r="X34" i="346" s="1"/>
  <c r="N44" i="344"/>
  <c r="N47" i="344" s="1"/>
  <c r="O37" i="344"/>
  <c r="O44" i="344" s="1"/>
  <c r="O47" i="344" s="1"/>
  <c r="L49" i="344"/>
  <c r="L54" i="344" s="1"/>
  <c r="M49" i="344"/>
  <c r="M54" i="344" s="1"/>
  <c r="U42" i="344"/>
  <c r="U41" i="344"/>
  <c r="U43" i="344"/>
  <c r="J44" i="308"/>
  <c r="J47" i="308" s="1"/>
  <c r="I49" i="308"/>
  <c r="I54" i="308" s="1"/>
  <c r="X28" i="308"/>
  <c r="X29" i="308" s="1"/>
  <c r="L38" i="308"/>
  <c r="M38" i="308" s="1"/>
  <c r="N38" i="308" s="1"/>
  <c r="O38" i="308" s="1"/>
  <c r="U22" i="308"/>
  <c r="U42" i="308" s="1"/>
  <c r="V20" i="308"/>
  <c r="P38" i="344"/>
  <c r="Q38" i="344" s="1"/>
  <c r="W20" i="344"/>
  <c r="J90" i="289"/>
  <c r="J92" i="289"/>
  <c r="M92" i="289" s="1"/>
  <c r="J94" i="289"/>
  <c r="J96" i="289"/>
  <c r="M96" i="289" s="1"/>
  <c r="D12" i="290" s="1"/>
  <c r="H12" i="290" s="1"/>
  <c r="L12" i="290" s="1"/>
  <c r="F9" i="284" s="1"/>
  <c r="F11" i="284" s="1"/>
  <c r="F18" i="284" s="1"/>
  <c r="J95" i="289"/>
  <c r="J91" i="289"/>
  <c r="J93" i="289"/>
  <c r="J96" i="285"/>
  <c r="J99" i="285"/>
  <c r="J103" i="285"/>
  <c r="J97" i="285"/>
  <c r="J100" i="285"/>
  <c r="J104" i="285"/>
  <c r="J98" i="285"/>
  <c r="J101" i="285"/>
  <c r="J102" i="285"/>
  <c r="M94" i="289"/>
  <c r="M93" i="289"/>
  <c r="AB45" i="292"/>
  <c r="AB44" i="292"/>
  <c r="K91" i="289"/>
  <c r="K93" i="289"/>
  <c r="K95" i="289"/>
  <c r="K90" i="289"/>
  <c r="K98" i="289" s="1"/>
  <c r="K92" i="289"/>
  <c r="K94" i="289"/>
  <c r="K96" i="289"/>
  <c r="M91" i="289"/>
  <c r="D10" i="290" s="1"/>
  <c r="H10" i="290" s="1"/>
  <c r="I47" i="256"/>
  <c r="D49" i="256"/>
  <c r="Y42" i="288"/>
  <c r="I47" i="249"/>
  <c r="D49" i="249"/>
  <c r="M38" i="346"/>
  <c r="N38" i="346" s="1"/>
  <c r="P39" i="344"/>
  <c r="F61" i="314"/>
  <c r="W43" i="293"/>
  <c r="W45" i="293"/>
  <c r="W46" i="293"/>
  <c r="W44" i="293"/>
  <c r="W42" i="293"/>
  <c r="W41" i="293"/>
  <c r="AC19" i="316"/>
  <c r="Z8" i="346"/>
  <c r="Y26" i="346"/>
  <c r="Y9" i="346"/>
  <c r="Y24" i="346"/>
  <c r="Y31" i="346"/>
  <c r="Z8" i="308"/>
  <c r="Y24" i="308"/>
  <c r="Y26" i="308"/>
  <c r="Y9" i="308"/>
  <c r="Y33" i="308" s="1"/>
  <c r="Y31" i="308"/>
  <c r="Y42" i="293"/>
  <c r="E60" i="52"/>
  <c r="D60" i="52"/>
  <c r="E53" i="295"/>
  <c r="I53" i="295"/>
  <c r="F53" i="295"/>
  <c r="J53" i="295"/>
  <c r="G53" i="295"/>
  <c r="K53" i="295"/>
  <c r="D53" i="295"/>
  <c r="D56" i="295"/>
  <c r="D57" i="295" s="1"/>
  <c r="H53" i="295"/>
  <c r="F56" i="295"/>
  <c r="F57" i="295" s="1"/>
  <c r="E56" i="295"/>
  <c r="E57" i="295" s="1"/>
  <c r="G56" i="295"/>
  <c r="G57" i="295" s="1"/>
  <c r="H60" i="295"/>
  <c r="H56" i="295"/>
  <c r="H57" i="295" s="1"/>
  <c r="I60" i="295"/>
  <c r="I56" i="295"/>
  <c r="I57" i="295" s="1"/>
  <c r="J56" i="295"/>
  <c r="J57" i="295" s="1"/>
  <c r="K47" i="308"/>
  <c r="W10" i="296"/>
  <c r="U41" i="296"/>
  <c r="U42" i="296"/>
  <c r="U44" i="296"/>
  <c r="U43" i="296"/>
  <c r="U45" i="296"/>
  <c r="U46" i="296"/>
  <c r="D107" i="314"/>
  <c r="Y45" i="292"/>
  <c r="I96" i="285"/>
  <c r="I98" i="285"/>
  <c r="I100" i="285"/>
  <c r="I102" i="285"/>
  <c r="I104" i="285"/>
  <c r="I97" i="285"/>
  <c r="I99" i="285"/>
  <c r="I101" i="285"/>
  <c r="I103" i="285"/>
  <c r="D102" i="285"/>
  <c r="D96" i="285"/>
  <c r="D99" i="285"/>
  <c r="D103" i="285"/>
  <c r="D97" i="285"/>
  <c r="D100" i="285"/>
  <c r="D104" i="285"/>
  <c r="D98" i="285"/>
  <c r="D101" i="285"/>
  <c r="Y10" i="344"/>
  <c r="Y46" i="344"/>
  <c r="C12" i="156"/>
  <c r="F12" i="156" s="1"/>
  <c r="F15" i="156"/>
  <c r="C80" i="156"/>
  <c r="F80" i="156" s="1"/>
  <c r="Y46" i="288"/>
  <c r="Y41" i="288"/>
  <c r="X17" i="316"/>
  <c r="AA8" i="344"/>
  <c r="Z26" i="344"/>
  <c r="Z9" i="344"/>
  <c r="Z31" i="344"/>
  <c r="Z24" i="344"/>
  <c r="J21" i="279"/>
  <c r="H19" i="279"/>
  <c r="J19" i="279" s="1"/>
  <c r="I47" i="12"/>
  <c r="D49" i="12"/>
  <c r="W14" i="346"/>
  <c r="W19" i="346"/>
  <c r="W18" i="346"/>
  <c r="W13" i="346"/>
  <c r="X21" i="296"/>
  <c r="Y21" i="296" s="1"/>
  <c r="V20" i="346"/>
  <c r="O39" i="308"/>
  <c r="P39" i="308" s="1"/>
  <c r="V15" i="308"/>
  <c r="I58" i="314"/>
  <c r="I61" i="314" s="1"/>
  <c r="Y43" i="293"/>
  <c r="Y46" i="293"/>
  <c r="X14" i="344"/>
  <c r="X34" i="344" s="1"/>
  <c r="X19" i="344"/>
  <c r="X13" i="344"/>
  <c r="X15" i="344" s="1"/>
  <c r="X18" i="344"/>
  <c r="G60" i="52"/>
  <c r="F60" i="52"/>
  <c r="H136" i="52"/>
  <c r="H54" i="52"/>
  <c r="H59" i="52" s="1"/>
  <c r="L37" i="308"/>
  <c r="L44" i="308" s="1"/>
  <c r="V43" i="296"/>
  <c r="V45" i="296"/>
  <c r="V46" i="296"/>
  <c r="V42" i="296"/>
  <c r="V41" i="296"/>
  <c r="V44" i="296"/>
  <c r="X10" i="296"/>
  <c r="C19" i="156"/>
  <c r="F19" i="156" s="1"/>
  <c r="M12" i="4"/>
  <c r="F22" i="4"/>
  <c r="C20" i="156" s="1"/>
  <c r="F20" i="156" s="1"/>
  <c r="Y41" i="292"/>
  <c r="E106" i="285"/>
  <c r="I98" i="289"/>
  <c r="Y10" i="316"/>
  <c r="Z16" i="316"/>
  <c r="Y9" i="316"/>
  <c r="I47" i="257"/>
  <c r="D49" i="257"/>
  <c r="Y44" i="288"/>
  <c r="AB43" i="288" s="1"/>
  <c r="I47" i="250"/>
  <c r="D49" i="250"/>
  <c r="L37" i="346"/>
  <c r="L44" i="346" s="1"/>
  <c r="X43" i="293"/>
  <c r="X45" i="293"/>
  <c r="X46" i="293"/>
  <c r="X41" i="293"/>
  <c r="X42" i="293"/>
  <c r="X44" i="293"/>
  <c r="V15" i="346"/>
  <c r="V22" i="344"/>
  <c r="X43" i="292"/>
  <c r="X45" i="292"/>
  <c r="X46" i="292"/>
  <c r="X44" i="292"/>
  <c r="X41" i="292"/>
  <c r="X42" i="292"/>
  <c r="X10" i="308"/>
  <c r="X46" i="308"/>
  <c r="Y41" i="293"/>
  <c r="Y45" i="293"/>
  <c r="K42" i="133"/>
  <c r="B42" i="133" s="1"/>
  <c r="G42" i="133" s="1"/>
  <c r="B3" i="250" s="1"/>
  <c r="B57" i="277" s="1"/>
  <c r="J43" i="133"/>
  <c r="J54" i="52"/>
  <c r="J59" i="52" s="1"/>
  <c r="J62" i="52" s="1"/>
  <c r="J136" i="52"/>
  <c r="I54" i="52"/>
  <c r="I59" i="52" s="1"/>
  <c r="I62" i="52" s="1"/>
  <c r="I136" i="52"/>
  <c r="D61" i="314"/>
  <c r="J82" i="314"/>
  <c r="J86" i="314"/>
  <c r="J80" i="314"/>
  <c r="J84" i="314"/>
  <c r="J85" i="314"/>
  <c r="J81" i="314"/>
  <c r="J83" i="314"/>
  <c r="J87" i="314"/>
  <c r="Y46" i="292"/>
  <c r="Y43" i="292"/>
  <c r="W14" i="308"/>
  <c r="W18" i="308"/>
  <c r="W13" i="308"/>
  <c r="W19" i="308"/>
  <c r="AC25" i="316"/>
  <c r="K54" i="285"/>
  <c r="K136" i="285"/>
  <c r="K59" i="285"/>
  <c r="K62" i="285" s="1"/>
  <c r="E98" i="289"/>
  <c r="P4" i="290"/>
  <c r="R20" i="73"/>
  <c r="L9" i="4"/>
  <c r="L15" i="4" s="1"/>
  <c r="W41" i="288"/>
  <c r="W42" i="288"/>
  <c r="W43" i="288"/>
  <c r="W45" i="288"/>
  <c r="W46" i="288"/>
  <c r="W44" i="288"/>
  <c r="X46" i="346"/>
  <c r="X10" i="346"/>
  <c r="E61" i="314"/>
  <c r="H61" i="314"/>
  <c r="F98" i="285"/>
  <c r="F101" i="285"/>
  <c r="F102" i="285"/>
  <c r="F96" i="285"/>
  <c r="F99" i="285"/>
  <c r="F103" i="285"/>
  <c r="F97" i="285"/>
  <c r="F100" i="285"/>
  <c r="F104" i="285"/>
  <c r="J60" i="52"/>
  <c r="H60" i="52"/>
  <c r="K54" i="52"/>
  <c r="K59" i="52" s="1"/>
  <c r="K62" i="52" s="1"/>
  <c r="K136" i="52"/>
  <c r="G54" i="52"/>
  <c r="G59" i="52" s="1"/>
  <c r="G62" i="52" s="1"/>
  <c r="G136" i="52"/>
  <c r="D54" i="52"/>
  <c r="D59" i="52" s="1"/>
  <c r="D62" i="52" s="1"/>
  <c r="D136" i="52"/>
  <c r="F54" i="52"/>
  <c r="F59" i="52" s="1"/>
  <c r="F62" i="52" s="1"/>
  <c r="F136" i="52"/>
  <c r="E54" i="52"/>
  <c r="E59" i="52" s="1"/>
  <c r="E62" i="52" s="1"/>
  <c r="E136" i="52"/>
  <c r="G61" i="314"/>
  <c r="X10" i="288"/>
  <c r="Y42" i="292"/>
  <c r="M39" i="346"/>
  <c r="AB45" i="293" l="1"/>
  <c r="Y43" i="296"/>
  <c r="W22" i="344"/>
  <c r="Y14" i="316"/>
  <c r="Y12" i="316"/>
  <c r="U43" i="308"/>
  <c r="U42" i="346"/>
  <c r="U41" i="346"/>
  <c r="U41" i="308"/>
  <c r="P37" i="344"/>
  <c r="P44" i="344" s="1"/>
  <c r="P47" i="344" s="1"/>
  <c r="Y34" i="308"/>
  <c r="Z28" i="344"/>
  <c r="Z29" i="344" s="1"/>
  <c r="Z33" i="344"/>
  <c r="J49" i="346"/>
  <c r="J54" i="346" s="1"/>
  <c r="K49" i="346"/>
  <c r="K54" i="346" s="1"/>
  <c r="Y33" i="346"/>
  <c r="Y34" i="346" s="1"/>
  <c r="Y28" i="346"/>
  <c r="Y29" i="346" s="1"/>
  <c r="N49" i="344"/>
  <c r="N54" i="344" s="1"/>
  <c r="O49" i="344"/>
  <c r="O54" i="344" s="1"/>
  <c r="J49" i="308"/>
  <c r="J54" i="308" s="1"/>
  <c r="K49" i="308"/>
  <c r="K54" i="308" s="1"/>
  <c r="Y28" i="308"/>
  <c r="Y29" i="308" s="1"/>
  <c r="V22" i="308"/>
  <c r="V43" i="308" s="1"/>
  <c r="Q39" i="308"/>
  <c r="R39" i="308" s="1"/>
  <c r="W15" i="308"/>
  <c r="W15" i="346"/>
  <c r="R38" i="344"/>
  <c r="E96" i="52"/>
  <c r="E98" i="52"/>
  <c r="E100" i="52"/>
  <c r="E102" i="52"/>
  <c r="E104" i="52"/>
  <c r="E97" i="52"/>
  <c r="E103" i="52"/>
  <c r="E99" i="52"/>
  <c r="E101" i="52"/>
  <c r="D96" i="52"/>
  <c r="D98" i="52"/>
  <c r="D100" i="52"/>
  <c r="D102" i="52"/>
  <c r="D104" i="52"/>
  <c r="D97" i="52"/>
  <c r="D99" i="52"/>
  <c r="D101" i="52"/>
  <c r="D103" i="52"/>
  <c r="J97" i="52"/>
  <c r="J99" i="52"/>
  <c r="J101" i="52"/>
  <c r="J103" i="52"/>
  <c r="J96" i="52"/>
  <c r="J98" i="52"/>
  <c r="J100" i="52"/>
  <c r="J102" i="52"/>
  <c r="J104" i="52"/>
  <c r="F97" i="52"/>
  <c r="F99" i="52"/>
  <c r="F101" i="52"/>
  <c r="F103" i="52"/>
  <c r="F96" i="52"/>
  <c r="F98" i="52"/>
  <c r="F100" i="52"/>
  <c r="F102" i="52"/>
  <c r="F104" i="52"/>
  <c r="I96" i="52"/>
  <c r="I98" i="52"/>
  <c r="I100" i="52"/>
  <c r="I102" i="52"/>
  <c r="I104" i="52"/>
  <c r="I97" i="52"/>
  <c r="I103" i="52"/>
  <c r="I99" i="52"/>
  <c r="I101" i="52"/>
  <c r="G81" i="314"/>
  <c r="G85" i="314"/>
  <c r="G83" i="314"/>
  <c r="G87" i="314"/>
  <c r="G82" i="314"/>
  <c r="G84" i="314"/>
  <c r="G80" i="314"/>
  <c r="G89" i="314" s="1"/>
  <c r="G86" i="314"/>
  <c r="K97" i="52"/>
  <c r="K99" i="52"/>
  <c r="K101" i="52"/>
  <c r="K103" i="52"/>
  <c r="K98" i="52"/>
  <c r="K104" i="52"/>
  <c r="K100" i="52"/>
  <c r="K102" i="52"/>
  <c r="K96" i="52"/>
  <c r="H80" i="314"/>
  <c r="H84" i="314"/>
  <c r="H82" i="314"/>
  <c r="H86" i="314"/>
  <c r="H81" i="314"/>
  <c r="H83" i="314"/>
  <c r="H87" i="314"/>
  <c r="H85" i="314"/>
  <c r="E83" i="314"/>
  <c r="E87" i="314"/>
  <c r="E81" i="314"/>
  <c r="E85" i="314"/>
  <c r="E84" i="314"/>
  <c r="E80" i="314"/>
  <c r="E86" i="314"/>
  <c r="E82" i="314"/>
  <c r="J89" i="314"/>
  <c r="K43" i="133"/>
  <c r="B43" i="133" s="1"/>
  <c r="G43" i="133" s="1"/>
  <c r="B3" i="13" s="1"/>
  <c r="J44" i="133"/>
  <c r="K47" i="257"/>
  <c r="I49" i="257"/>
  <c r="I83" i="314"/>
  <c r="I87" i="314"/>
  <c r="I81" i="314"/>
  <c r="I85" i="314"/>
  <c r="I80" i="314"/>
  <c r="I86" i="314"/>
  <c r="I82" i="314"/>
  <c r="I84" i="314"/>
  <c r="V22" i="346"/>
  <c r="W20" i="346"/>
  <c r="O38" i="346"/>
  <c r="AA9" i="344"/>
  <c r="AA24" i="344"/>
  <c r="AA31" i="344"/>
  <c r="AA26" i="344"/>
  <c r="AB8" i="344"/>
  <c r="Y14" i="344"/>
  <c r="Y34" i="344" s="1"/>
  <c r="Y19" i="344"/>
  <c r="Y13" i="344"/>
  <c r="Y18" i="344"/>
  <c r="I106" i="285"/>
  <c r="J60" i="295"/>
  <c r="D136" i="295"/>
  <c r="D54" i="295"/>
  <c r="D59" i="295" s="1"/>
  <c r="K54" i="295"/>
  <c r="K136" i="295"/>
  <c r="J54" i="295"/>
  <c r="J136" i="295"/>
  <c r="I54" i="295"/>
  <c r="I136" i="295"/>
  <c r="Y10" i="308"/>
  <c r="Y46" i="308"/>
  <c r="Z9" i="346"/>
  <c r="Z24" i="346"/>
  <c r="Z31" i="346"/>
  <c r="AA8" i="346"/>
  <c r="Z26" i="346"/>
  <c r="Y44" i="296"/>
  <c r="AB43" i="296" s="1"/>
  <c r="Y41" i="296"/>
  <c r="Q39" i="344"/>
  <c r="R39" i="344" s="1"/>
  <c r="S39" i="344" s="1"/>
  <c r="T39" i="344" s="1"/>
  <c r="U39" i="344" s="1"/>
  <c r="V39" i="344" s="1"/>
  <c r="W39" i="344" s="1"/>
  <c r="AB47" i="292"/>
  <c r="AB47" i="293"/>
  <c r="X18" i="308"/>
  <c r="X13" i="308"/>
  <c r="X19" i="308"/>
  <c r="X14" i="308"/>
  <c r="V41" i="344"/>
  <c r="V42" i="344"/>
  <c r="V43" i="344"/>
  <c r="X20" i="316"/>
  <c r="X22" i="316" s="1"/>
  <c r="X27" i="316" s="1"/>
  <c r="D106" i="285"/>
  <c r="W41" i="296"/>
  <c r="W42" i="296"/>
  <c r="W44" i="296"/>
  <c r="W43" i="296"/>
  <c r="W45" i="296"/>
  <c r="W46" i="296"/>
  <c r="F60" i="295"/>
  <c r="H54" i="295"/>
  <c r="H59" i="295" s="1"/>
  <c r="H62" i="295" s="1"/>
  <c r="H136" i="295"/>
  <c r="G54" i="295"/>
  <c r="G59" i="295" s="1"/>
  <c r="G136" i="295"/>
  <c r="F54" i="295"/>
  <c r="F59" i="295" s="1"/>
  <c r="F136" i="295"/>
  <c r="E54" i="295"/>
  <c r="E59" i="295" s="1"/>
  <c r="E136" i="295"/>
  <c r="AD19" i="316"/>
  <c r="Y45" i="296"/>
  <c r="I49" i="249"/>
  <c r="K47" i="249"/>
  <c r="J106" i="285"/>
  <c r="N39" i="346"/>
  <c r="O39" i="346" s="1"/>
  <c r="G97" i="52"/>
  <c r="G99" i="52"/>
  <c r="G101" i="52"/>
  <c r="G103" i="52"/>
  <c r="G100" i="52"/>
  <c r="G102" i="52"/>
  <c r="G96" i="52"/>
  <c r="G106" i="52" s="1"/>
  <c r="G104" i="52"/>
  <c r="G98" i="52"/>
  <c r="X44" i="288"/>
  <c r="X41" i="288"/>
  <c r="X42" i="288"/>
  <c r="X43" i="288"/>
  <c r="X45" i="288"/>
  <c r="X46" i="288"/>
  <c r="D137" i="52"/>
  <c r="K97" i="285"/>
  <c r="K99" i="285"/>
  <c r="M99" i="285" s="1"/>
  <c r="D12" i="286" s="1"/>
  <c r="H12" i="286" s="1"/>
  <c r="K101" i="285"/>
  <c r="K103" i="285"/>
  <c r="K96" i="285"/>
  <c r="K98" i="285"/>
  <c r="K100" i="285"/>
  <c r="M100" i="285" s="1"/>
  <c r="D13" i="286" s="1"/>
  <c r="H13" i="286" s="1"/>
  <c r="P5" i="286" s="1"/>
  <c r="P6" i="286" s="1"/>
  <c r="Q6" i="286" s="1"/>
  <c r="D14" i="248" s="1"/>
  <c r="K102" i="285"/>
  <c r="K104" i="285"/>
  <c r="M104" i="285" s="1"/>
  <c r="D14" i="286" s="1"/>
  <c r="H14" i="286" s="1"/>
  <c r="L14" i="286" s="1"/>
  <c r="W20" i="308"/>
  <c r="W22" i="308" s="1"/>
  <c r="AB45" i="288"/>
  <c r="AB44" i="288"/>
  <c r="AB47" i="288" s="1"/>
  <c r="D28" i="248" s="1"/>
  <c r="Y17" i="316"/>
  <c r="F23" i="4"/>
  <c r="X43" i="296"/>
  <c r="X45" i="296"/>
  <c r="X46" i="296"/>
  <c r="X41" i="296"/>
  <c r="X44" i="296"/>
  <c r="X42" i="296"/>
  <c r="L47" i="308"/>
  <c r="M37" i="308"/>
  <c r="H62" i="52"/>
  <c r="X20" i="344"/>
  <c r="X22" i="344" s="1"/>
  <c r="Z46" i="344"/>
  <c r="Z10" i="344"/>
  <c r="M101" i="285"/>
  <c r="M97" i="285"/>
  <c r="D10" i="286" s="1"/>
  <c r="H10" i="286" s="1"/>
  <c r="M102" i="285"/>
  <c r="G60" i="295"/>
  <c r="E60" i="295"/>
  <c r="D60" i="295"/>
  <c r="K59" i="295"/>
  <c r="K62" i="295" s="1"/>
  <c r="J59" i="295"/>
  <c r="J62" i="295" s="1"/>
  <c r="I59" i="295"/>
  <c r="I62" i="295" s="1"/>
  <c r="Y10" i="346"/>
  <c r="Y46" i="346"/>
  <c r="Y42" i="296"/>
  <c r="K47" i="256"/>
  <c r="I49" i="256"/>
  <c r="M95" i="289"/>
  <c r="D11" i="290" s="1"/>
  <c r="H11" i="290" s="1"/>
  <c r="P5" i="290" s="1"/>
  <c r="P6" i="290" s="1"/>
  <c r="Q6" i="290" s="1"/>
  <c r="J98" i="289"/>
  <c r="M90" i="289"/>
  <c r="X14" i="346"/>
  <c r="X19" i="346"/>
  <c r="X13" i="346"/>
  <c r="X18" i="346"/>
  <c r="F106" i="285"/>
  <c r="D80" i="314"/>
  <c r="D84" i="314"/>
  <c r="D82" i="314"/>
  <c r="D86" i="314"/>
  <c r="D85" i="314"/>
  <c r="D81" i="314"/>
  <c r="D83" i="314"/>
  <c r="D87" i="314"/>
  <c r="W42" i="344"/>
  <c r="W41" i="344"/>
  <c r="W43" i="344"/>
  <c r="L47" i="346"/>
  <c r="M37" i="346"/>
  <c r="I49" i="250"/>
  <c r="K47" i="250"/>
  <c r="AA16" i="316"/>
  <c r="Z10" i="316"/>
  <c r="Z9" i="316"/>
  <c r="K47" i="12"/>
  <c r="I49" i="12"/>
  <c r="M98" i="285"/>
  <c r="D11" i="286" s="1"/>
  <c r="H11" i="286" s="1"/>
  <c r="M103" i="285"/>
  <c r="P38" i="308"/>
  <c r="Q38" i="308" s="1"/>
  <c r="R38" i="308" s="1"/>
  <c r="S38" i="308" s="1"/>
  <c r="T38" i="308" s="1"/>
  <c r="U38" i="308" s="1"/>
  <c r="Z9" i="308"/>
  <c r="Z33" i="308" s="1"/>
  <c r="Z31" i="308"/>
  <c r="AA8" i="308"/>
  <c r="Z24" i="308"/>
  <c r="Z26" i="308"/>
  <c r="Y46" i="296"/>
  <c r="F82" i="314"/>
  <c r="F86" i="314"/>
  <c r="F80" i="314"/>
  <c r="F84" i="314"/>
  <c r="F83" i="314"/>
  <c r="F87" i="314"/>
  <c r="F85" i="314"/>
  <c r="F81" i="314"/>
  <c r="Y15" i="344" l="1"/>
  <c r="Z14" i="316"/>
  <c r="Z12" i="316"/>
  <c r="Q37" i="344"/>
  <c r="Q44" i="344" s="1"/>
  <c r="Q47" i="344" s="1"/>
  <c r="Z34" i="308"/>
  <c r="V41" i="308"/>
  <c r="V42" i="308"/>
  <c r="V38" i="308"/>
  <c r="W38" i="308" s="1"/>
  <c r="AA28" i="344"/>
  <c r="AA29" i="344" s="1"/>
  <c r="AA33" i="344"/>
  <c r="L49" i="346"/>
  <c r="L54" i="346" s="1"/>
  <c r="M44" i="346"/>
  <c r="M47" i="346" s="1"/>
  <c r="Z33" i="346"/>
  <c r="Z34" i="346" s="1"/>
  <c r="Z28" i="346"/>
  <c r="Z29" i="346" s="1"/>
  <c r="W22" i="346"/>
  <c r="W43" i="346" s="1"/>
  <c r="P49" i="344"/>
  <c r="P54" i="344" s="1"/>
  <c r="N37" i="308"/>
  <c r="O37" i="308" s="1"/>
  <c r="M44" i="308"/>
  <c r="M47" i="308" s="1"/>
  <c r="M49" i="308" s="1"/>
  <c r="M54" i="308" s="1"/>
  <c r="L49" i="308"/>
  <c r="L54" i="308" s="1"/>
  <c r="Z28" i="308"/>
  <c r="Z29" i="308" s="1"/>
  <c r="S39" i="308"/>
  <c r="T39" i="308" s="1"/>
  <c r="U39" i="308" s="1"/>
  <c r="V39" i="308" s="1"/>
  <c r="W39" i="308" s="1"/>
  <c r="X15" i="346"/>
  <c r="S38" i="344"/>
  <c r="T38" i="344" s="1"/>
  <c r="U38" i="344" s="1"/>
  <c r="P39" i="346"/>
  <c r="Q39" i="346" s="1"/>
  <c r="R39" i="346" s="1"/>
  <c r="S39" i="346" s="1"/>
  <c r="T39" i="346" s="1"/>
  <c r="U39" i="346" s="1"/>
  <c r="V39" i="346" s="1"/>
  <c r="H96" i="295"/>
  <c r="H98" i="295"/>
  <c r="H100" i="295"/>
  <c r="H102" i="295"/>
  <c r="H104" i="295"/>
  <c r="H99" i="295"/>
  <c r="H101" i="295"/>
  <c r="H97" i="295"/>
  <c r="H103" i="295"/>
  <c r="Z10" i="308"/>
  <c r="Z46" i="308"/>
  <c r="L87" i="314"/>
  <c r="D14" i="315" s="1"/>
  <c r="H14" i="315" s="1"/>
  <c r="K49" i="12"/>
  <c r="AB45" i="12" s="1"/>
  <c r="T47" i="12"/>
  <c r="L83" i="314"/>
  <c r="D12" i="315" s="1"/>
  <c r="H12" i="315" s="1"/>
  <c r="L82" i="314"/>
  <c r="D11" i="315" s="1"/>
  <c r="H11" i="315" s="1"/>
  <c r="AD25" i="316"/>
  <c r="J97" i="295"/>
  <c r="J99" i="295"/>
  <c r="J101" i="295"/>
  <c r="J103" i="295"/>
  <c r="J96" i="295"/>
  <c r="J102" i="295"/>
  <c r="J104" i="295"/>
  <c r="J98" i="295"/>
  <c r="J100" i="295"/>
  <c r="X41" i="344"/>
  <c r="X42" i="344"/>
  <c r="X43" i="344"/>
  <c r="K106" i="285"/>
  <c r="AE19" i="316"/>
  <c r="E62" i="295"/>
  <c r="G62" i="295"/>
  <c r="AB45" i="296"/>
  <c r="AB44" i="296"/>
  <c r="K49" i="257"/>
  <c r="AB45" i="257"/>
  <c r="T47" i="257"/>
  <c r="E89" i="314"/>
  <c r="H89" i="314"/>
  <c r="F106" i="52"/>
  <c r="J106" i="52"/>
  <c r="M98" i="52"/>
  <c r="AA26" i="308"/>
  <c r="AA9" i="308"/>
  <c r="AA33" i="308" s="1"/>
  <c r="AA31" i="308"/>
  <c r="AB8" i="308"/>
  <c r="AA24" i="308"/>
  <c r="L84" i="314"/>
  <c r="Y14" i="346"/>
  <c r="Y19" i="346"/>
  <c r="Y13" i="346"/>
  <c r="Y18" i="346"/>
  <c r="K96" i="295"/>
  <c r="K98" i="295"/>
  <c r="K100" i="295"/>
  <c r="K102" i="295"/>
  <c r="K104" i="295"/>
  <c r="K97" i="295"/>
  <c r="K99" i="295"/>
  <c r="K101" i="295"/>
  <c r="K103" i="295"/>
  <c r="Z14" i="344"/>
  <c r="Z34" i="344" s="1"/>
  <c r="Z19" i="344"/>
  <c r="Z13" i="344"/>
  <c r="Z18" i="344"/>
  <c r="H96" i="52"/>
  <c r="H98" i="52"/>
  <c r="H100" i="52"/>
  <c r="H102" i="52"/>
  <c r="H104" i="52"/>
  <c r="M104" i="52" s="1"/>
  <c r="H97" i="52"/>
  <c r="M97" i="52" s="1"/>
  <c r="H99" i="52"/>
  <c r="H101" i="52"/>
  <c r="H103" i="52"/>
  <c r="K49" i="249"/>
  <c r="AB45" i="249"/>
  <c r="T47" i="249"/>
  <c r="X15" i="308"/>
  <c r="Z10" i="346"/>
  <c r="Z46" i="346"/>
  <c r="V42" i="346"/>
  <c r="V41" i="346"/>
  <c r="V43" i="346"/>
  <c r="I89" i="314"/>
  <c r="K106" i="52"/>
  <c r="M103" i="52"/>
  <c r="M96" i="52"/>
  <c r="D106" i="52"/>
  <c r="AA10" i="316"/>
  <c r="AB16" i="316"/>
  <c r="AA9" i="316"/>
  <c r="L81" i="314"/>
  <c r="D10" i="315" s="1"/>
  <c r="F89" i="314"/>
  <c r="Z17" i="316"/>
  <c r="K49" i="250"/>
  <c r="AB45" i="250" s="1"/>
  <c r="T47" i="250"/>
  <c r="N37" i="346"/>
  <c r="N44" i="346" s="1"/>
  <c r="L85" i="314"/>
  <c r="D89" i="314"/>
  <c r="L80" i="314"/>
  <c r="X20" i="346"/>
  <c r="M98" i="289"/>
  <c r="O98" i="289" s="1"/>
  <c r="D9" i="290"/>
  <c r="K49" i="256"/>
  <c r="AB45" i="256"/>
  <c r="T47" i="256"/>
  <c r="F62" i="295"/>
  <c r="X20" i="308"/>
  <c r="X39" i="344"/>
  <c r="AB8" i="346"/>
  <c r="AA26" i="346"/>
  <c r="AA31" i="346"/>
  <c r="AA9" i="346"/>
  <c r="AA24" i="346"/>
  <c r="D62" i="295"/>
  <c r="Y20" i="344"/>
  <c r="AC8" i="344"/>
  <c r="AB26" i="344"/>
  <c r="AB24" i="344"/>
  <c r="AB9" i="344"/>
  <c r="AB31" i="344"/>
  <c r="AA10" i="344"/>
  <c r="AA46" i="344"/>
  <c r="M101" i="52"/>
  <c r="M102" i="52"/>
  <c r="E106" i="52"/>
  <c r="L86" i="314"/>
  <c r="I97" i="295"/>
  <c r="I99" i="295"/>
  <c r="I101" i="295"/>
  <c r="I103" i="295"/>
  <c r="I96" i="295"/>
  <c r="I98" i="295"/>
  <c r="I100" i="295"/>
  <c r="I102" i="295"/>
  <c r="I104" i="295"/>
  <c r="Y20" i="316"/>
  <c r="Y22" i="316" s="1"/>
  <c r="Y27" i="316" s="1"/>
  <c r="W41" i="308"/>
  <c r="W43" i="308"/>
  <c r="W42" i="308"/>
  <c r="M96" i="285"/>
  <c r="Y14" i="308"/>
  <c r="Y18" i="308"/>
  <c r="Y13" i="308"/>
  <c r="Y19" i="308"/>
  <c r="D137" i="295"/>
  <c r="P38" i="346"/>
  <c r="Q38" i="346" s="1"/>
  <c r="R38" i="346" s="1"/>
  <c r="S38" i="346" s="1"/>
  <c r="T38" i="346" s="1"/>
  <c r="U38" i="346" s="1"/>
  <c r="V38" i="346" s="1"/>
  <c r="W38" i="346" s="1"/>
  <c r="K44" i="133"/>
  <c r="B44" i="133" s="1"/>
  <c r="G44" i="133" s="1"/>
  <c r="B3" i="14" s="1"/>
  <c r="J45" i="133"/>
  <c r="I106" i="52"/>
  <c r="M99" i="52"/>
  <c r="M100" i="52"/>
  <c r="AB47" i="296" l="1"/>
  <c r="D26" i="248" s="1"/>
  <c r="R37" i="344"/>
  <c r="R44" i="344" s="1"/>
  <c r="AA34" i="308"/>
  <c r="AA14" i="316"/>
  <c r="AA12" i="316"/>
  <c r="Z15" i="344"/>
  <c r="AB28" i="344"/>
  <c r="AB29" i="344" s="1"/>
  <c r="AB33" i="344"/>
  <c r="M49" i="346"/>
  <c r="M54" i="346" s="1"/>
  <c r="X22" i="346"/>
  <c r="X38" i="346" s="1"/>
  <c r="W42" i="346"/>
  <c r="W41" i="346"/>
  <c r="W39" i="346"/>
  <c r="X39" i="346" s="1"/>
  <c r="AA33" i="346"/>
  <c r="AA34" i="346" s="1"/>
  <c r="AA28" i="346"/>
  <c r="AA29" i="346" s="1"/>
  <c r="Y20" i="346"/>
  <c r="Y15" i="346"/>
  <c r="Q49" i="344"/>
  <c r="Q54" i="344" s="1"/>
  <c r="Y22" i="344"/>
  <c r="Y41" i="344" s="1"/>
  <c r="N44" i="308"/>
  <c r="N47" i="308" s="1"/>
  <c r="O44" i="308"/>
  <c r="O47" i="308" s="1"/>
  <c r="AA28" i="308"/>
  <c r="AA29" i="308" s="1"/>
  <c r="P37" i="308"/>
  <c r="Q37" i="308" s="1"/>
  <c r="Q44" i="308" s="1"/>
  <c r="V38" i="344"/>
  <c r="W38" i="344" s="1"/>
  <c r="X38" i="344" s="1"/>
  <c r="Y38" i="344" s="1"/>
  <c r="Z38" i="344" s="1"/>
  <c r="AA38" i="344" s="1"/>
  <c r="AB38" i="344" s="1"/>
  <c r="AC38" i="344" s="1"/>
  <c r="AD38" i="344" s="1"/>
  <c r="AE38" i="344" s="1"/>
  <c r="AF38" i="344" s="1"/>
  <c r="AG38" i="344" s="1"/>
  <c r="Y15" i="308"/>
  <c r="X22" i="308"/>
  <c r="X39" i="308" s="1"/>
  <c r="M106" i="285"/>
  <c r="O106" i="285" s="1"/>
  <c r="D9" i="286"/>
  <c r="D96" i="295"/>
  <c r="D98" i="295"/>
  <c r="D100" i="295"/>
  <c r="D102" i="295"/>
  <c r="D104" i="295"/>
  <c r="D101" i="295"/>
  <c r="D97" i="295"/>
  <c r="D103" i="295"/>
  <c r="D99" i="295"/>
  <c r="F97" i="295"/>
  <c r="F99" i="295"/>
  <c r="F101" i="295"/>
  <c r="F103" i="295"/>
  <c r="F104" i="295"/>
  <c r="F98" i="295"/>
  <c r="F100" i="295"/>
  <c r="F96" i="295"/>
  <c r="F106" i="295" s="1"/>
  <c r="F102" i="295"/>
  <c r="H10" i="315"/>
  <c r="L20" i="315"/>
  <c r="N20" i="315" s="1"/>
  <c r="AC16" i="316"/>
  <c r="AB10" i="316"/>
  <c r="AB9" i="316"/>
  <c r="U47" i="257"/>
  <c r="W47" i="257" s="1"/>
  <c r="V47" i="257"/>
  <c r="X47" i="257" s="1"/>
  <c r="AE25" i="316"/>
  <c r="I106" i="295"/>
  <c r="AB31" i="346"/>
  <c r="AB9" i="346"/>
  <c r="AB24" i="346"/>
  <c r="AC8" i="346"/>
  <c r="AB26" i="346"/>
  <c r="X41" i="346"/>
  <c r="N47" i="346"/>
  <c r="O37" i="346"/>
  <c r="O44" i="346" s="1"/>
  <c r="T49" i="250"/>
  <c r="Z14" i="346"/>
  <c r="Z19" i="346"/>
  <c r="Z13" i="346"/>
  <c r="Z18" i="346"/>
  <c r="H106" i="52"/>
  <c r="AB24" i="308"/>
  <c r="AB26" i="308"/>
  <c r="AB9" i="308"/>
  <c r="AB33" i="308" s="1"/>
  <c r="AB31" i="308"/>
  <c r="AC8" i="308"/>
  <c r="G96" i="295"/>
  <c r="G98" i="295"/>
  <c r="G100" i="295"/>
  <c r="G102" i="295"/>
  <c r="G104" i="295"/>
  <c r="G97" i="295"/>
  <c r="G99" i="295"/>
  <c r="G101" i="295"/>
  <c r="G103" i="295"/>
  <c r="T49" i="12"/>
  <c r="Z18" i="308"/>
  <c r="Z13" i="308"/>
  <c r="Z19" i="308"/>
  <c r="Z14" i="308"/>
  <c r="K45" i="133"/>
  <c r="B45" i="133" s="1"/>
  <c r="G45" i="133" s="1"/>
  <c r="B3" i="278" s="1"/>
  <c r="B227" i="73" s="1"/>
  <c r="J46" i="133"/>
  <c r="AA14" i="344"/>
  <c r="AA34" i="344" s="1"/>
  <c r="AA19" i="344"/>
  <c r="AA13" i="344"/>
  <c r="AA18" i="344"/>
  <c r="E12" i="295"/>
  <c r="E12" i="52"/>
  <c r="E12" i="289"/>
  <c r="J31" i="39"/>
  <c r="J15" i="277"/>
  <c r="J31" i="277" s="1"/>
  <c r="Y20" i="308"/>
  <c r="R47" i="344"/>
  <c r="S37" i="344"/>
  <c r="S44" i="344" s="1"/>
  <c r="AC31" i="344"/>
  <c r="AC9" i="344"/>
  <c r="AC24" i="344"/>
  <c r="AD8" i="344"/>
  <c r="AC26" i="344"/>
  <c r="AA10" i="346"/>
  <c r="AA46" i="346"/>
  <c r="T49" i="256"/>
  <c r="D9" i="315"/>
  <c r="L89" i="314"/>
  <c r="N89" i="314" s="1"/>
  <c r="Z20" i="316"/>
  <c r="Z22" i="316" s="1"/>
  <c r="Z27" i="316" s="1"/>
  <c r="AA17" i="316"/>
  <c r="T49" i="249"/>
  <c r="Z20" i="344"/>
  <c r="K106" i="295"/>
  <c r="T49" i="257"/>
  <c r="E97" i="295"/>
  <c r="E99" i="295"/>
  <c r="E101" i="295"/>
  <c r="E103" i="295"/>
  <c r="E96" i="295"/>
  <c r="E106" i="295" s="1"/>
  <c r="E98" i="295"/>
  <c r="E100" i="295"/>
  <c r="E102" i="295"/>
  <c r="E104" i="295"/>
  <c r="J106" i="295"/>
  <c r="H106" i="295"/>
  <c r="AB46" i="344"/>
  <c r="AB10" i="344"/>
  <c r="Y42" i="344"/>
  <c r="U47" i="256"/>
  <c r="W47" i="256" s="1"/>
  <c r="V47" i="256"/>
  <c r="X47" i="256" s="1"/>
  <c r="D14" i="290"/>
  <c r="H9" i="290"/>
  <c r="U47" i="250"/>
  <c r="W47" i="250" s="1"/>
  <c r="V47" i="250"/>
  <c r="X47" i="250" s="1"/>
  <c r="M106" i="52"/>
  <c r="O106" i="52" s="1"/>
  <c r="D10" i="248" s="1"/>
  <c r="U47" i="249"/>
  <c r="W47" i="249" s="1"/>
  <c r="V47" i="249"/>
  <c r="X47" i="249" s="1"/>
  <c r="D13" i="315"/>
  <c r="H13" i="315" s="1"/>
  <c r="AA10" i="308"/>
  <c r="AA46" i="308"/>
  <c r="AF19" i="316"/>
  <c r="U47" i="12"/>
  <c r="W47" i="12" s="1"/>
  <c r="V47" i="12"/>
  <c r="X47" i="12" s="1"/>
  <c r="R36" i="315"/>
  <c r="L14" i="315"/>
  <c r="X38" i="308"/>
  <c r="AB14" i="316" l="1"/>
  <c r="AB12" i="316"/>
  <c r="Y39" i="344"/>
  <c r="AB34" i="308"/>
  <c r="Y43" i="344"/>
  <c r="AA15" i="344"/>
  <c r="X42" i="346"/>
  <c r="X43" i="346"/>
  <c r="AC28" i="344"/>
  <c r="AC29" i="344" s="1"/>
  <c r="AC33" i="344"/>
  <c r="N49" i="346"/>
  <c r="N54" i="346" s="1"/>
  <c r="AB33" i="346"/>
  <c r="AB34" i="346" s="1"/>
  <c r="AB28" i="346"/>
  <c r="AB29" i="346" s="1"/>
  <c r="Z20" i="346"/>
  <c r="Y22" i="346"/>
  <c r="R49" i="344"/>
  <c r="R54" i="344" s="1"/>
  <c r="Z22" i="344"/>
  <c r="Z41" i="344" s="1"/>
  <c r="O49" i="308"/>
  <c r="O54" i="308" s="1"/>
  <c r="N49" i="308"/>
  <c r="N54" i="308" s="1"/>
  <c r="P44" i="308"/>
  <c r="P47" i="308" s="1"/>
  <c r="AB28" i="308"/>
  <c r="AB29" i="308" s="1"/>
  <c r="Y22" i="308"/>
  <c r="Y39" i="308" s="1"/>
  <c r="X42" i="308"/>
  <c r="Z20" i="308"/>
  <c r="X43" i="308"/>
  <c r="X41" i="308"/>
  <c r="Z15" i="346"/>
  <c r="AA20" i="344"/>
  <c r="AB14" i="344"/>
  <c r="AB34" i="344" s="1"/>
  <c r="AB19" i="344"/>
  <c r="AB13" i="344"/>
  <c r="AB18" i="344"/>
  <c r="Z43" i="344"/>
  <c r="H9" i="315"/>
  <c r="D16" i="315"/>
  <c r="Q47" i="308"/>
  <c r="R37" i="308"/>
  <c r="R44" i="308" s="1"/>
  <c r="AG19" i="316"/>
  <c r="AE8" i="344"/>
  <c r="AD26" i="344"/>
  <c r="AD24" i="344"/>
  <c r="AD9" i="344"/>
  <c r="AD31" i="344"/>
  <c r="S47" i="344"/>
  <c r="T37" i="344"/>
  <c r="T44" i="344" s="1"/>
  <c r="AD8" i="308"/>
  <c r="AC24" i="308"/>
  <c r="AC26" i="308"/>
  <c r="AC9" i="308"/>
  <c r="AC33" i="308" s="1"/>
  <c r="AC31" i="308"/>
  <c r="AF25" i="316"/>
  <c r="AG25" i="316"/>
  <c r="AB17" i="316"/>
  <c r="M103" i="295"/>
  <c r="M102" i="295"/>
  <c r="D9" i="284"/>
  <c r="D20" i="290"/>
  <c r="V49" i="257"/>
  <c r="U49" i="257"/>
  <c r="W49" i="257" s="1"/>
  <c r="K46" i="133"/>
  <c r="B46" i="133" s="1"/>
  <c r="G46" i="133" s="1"/>
  <c r="B3" i="280" s="1"/>
  <c r="J47" i="133"/>
  <c r="Z15" i="308"/>
  <c r="U49" i="12"/>
  <c r="W49" i="12" s="1"/>
  <c r="V49" i="12"/>
  <c r="X49" i="12" s="1"/>
  <c r="Y49" i="12" s="1"/>
  <c r="AB41" i="12" s="1"/>
  <c r="AB44" i="12" s="1"/>
  <c r="AB46" i="12" s="1"/>
  <c r="D16" i="248" s="1"/>
  <c r="U49" i="250"/>
  <c r="W49" i="250" s="1"/>
  <c r="V49" i="250"/>
  <c r="AD8" i="346"/>
  <c r="AC26" i="346"/>
  <c r="AC31" i="346"/>
  <c r="AC9" i="346"/>
  <c r="AC24" i="346"/>
  <c r="M97" i="295"/>
  <c r="M100" i="295"/>
  <c r="H9" i="286"/>
  <c r="D16" i="286"/>
  <c r="D22" i="286" s="1"/>
  <c r="D12" i="248" s="1"/>
  <c r="U49" i="249"/>
  <c r="W49" i="249" s="1"/>
  <c r="V49" i="249"/>
  <c r="U49" i="256"/>
  <c r="W49" i="256" s="1"/>
  <c r="V49" i="256"/>
  <c r="X49" i="256" s="1"/>
  <c r="Y49" i="256" s="1"/>
  <c r="AB41" i="256" s="1"/>
  <c r="AB44" i="256" s="1"/>
  <c r="AB46" i="256" s="1"/>
  <c r="D20" i="248" s="1"/>
  <c r="AA14" i="346"/>
  <c r="AA19" i="346"/>
  <c r="AA18" i="346"/>
  <c r="AA13" i="346"/>
  <c r="AC10" i="344"/>
  <c r="AC46" i="344"/>
  <c r="G106" i="295"/>
  <c r="AB10" i="308"/>
  <c r="AB46" i="308"/>
  <c r="O47" i="346"/>
  <c r="P37" i="346"/>
  <c r="P44" i="346" s="1"/>
  <c r="AC10" i="316"/>
  <c r="AD16" i="316"/>
  <c r="AC9" i="316"/>
  <c r="M101" i="295"/>
  <c r="M98" i="295"/>
  <c r="AA14" i="308"/>
  <c r="AA18" i="308"/>
  <c r="AA13" i="308"/>
  <c r="AA19" i="308"/>
  <c r="AA20" i="316"/>
  <c r="AA22" i="316" s="1"/>
  <c r="AA27" i="316" s="1"/>
  <c r="AB46" i="346"/>
  <c r="AB10" i="346"/>
  <c r="M99" i="295"/>
  <c r="M104" i="295"/>
  <c r="M96" i="295"/>
  <c r="D106" i="295"/>
  <c r="AC14" i="316" l="1"/>
  <c r="AC12" i="316"/>
  <c r="Y38" i="308"/>
  <c r="AC34" i="308"/>
  <c r="AB15" i="344"/>
  <c r="AA22" i="344"/>
  <c r="AA42" i="344" s="1"/>
  <c r="AD28" i="344"/>
  <c r="AD29" i="344" s="1"/>
  <c r="AD33" i="344"/>
  <c r="Z22" i="346"/>
  <c r="Z42" i="346" s="1"/>
  <c r="O49" i="346"/>
  <c r="O54" i="346" s="1"/>
  <c r="AC33" i="346"/>
  <c r="AC34" i="346" s="1"/>
  <c r="AC28" i="346"/>
  <c r="AC29" i="346" s="1"/>
  <c r="Y38" i="346"/>
  <c r="Z38" i="346" s="1"/>
  <c r="Y42" i="346"/>
  <c r="Y43" i="346"/>
  <c r="Y41" i="346"/>
  <c r="Y39" i="346"/>
  <c r="Z39" i="346" s="1"/>
  <c r="Z41" i="346"/>
  <c r="Z42" i="344"/>
  <c r="S49" i="344"/>
  <c r="S54" i="344" s="1"/>
  <c r="Z39" i="344"/>
  <c r="P49" i="308"/>
  <c r="P54" i="308" s="1"/>
  <c r="Y43" i="308"/>
  <c r="Y41" i="308"/>
  <c r="Y42" i="308"/>
  <c r="Q49" i="308"/>
  <c r="Q54" i="308" s="1"/>
  <c r="AC28" i="308"/>
  <c r="AC29" i="308" s="1"/>
  <c r="Z22" i="308"/>
  <c r="Z39" i="308" s="1"/>
  <c r="AA15" i="308"/>
  <c r="AC14" i="344"/>
  <c r="AC34" i="344" s="1"/>
  <c r="AC19" i="344"/>
  <c r="AC13" i="344"/>
  <c r="AC18" i="344"/>
  <c r="X49" i="257"/>
  <c r="Y49" i="257" s="1"/>
  <c r="AB41" i="257" s="1"/>
  <c r="AB44" i="257" s="1"/>
  <c r="AB46" i="257" s="1"/>
  <c r="D18" i="248" s="1"/>
  <c r="AC10" i="308"/>
  <c r="AC46" i="308"/>
  <c r="T47" i="344"/>
  <c r="U37" i="344"/>
  <c r="U44" i="344" s="1"/>
  <c r="L24" i="315"/>
  <c r="D33" i="315"/>
  <c r="M106" i="295"/>
  <c r="O106" i="295" s="1"/>
  <c r="AA20" i="308"/>
  <c r="AD9" i="346"/>
  <c r="AD24" i="346"/>
  <c r="AD31" i="346"/>
  <c r="AE8" i="346"/>
  <c r="AD26" i="346"/>
  <c r="AA43" i="344"/>
  <c r="AB20" i="344"/>
  <c r="AB14" i="346"/>
  <c r="AB19" i="346"/>
  <c r="AB13" i="346"/>
  <c r="AB18" i="346"/>
  <c r="AC17" i="316"/>
  <c r="AB18" i="308"/>
  <c r="AB13" i="308"/>
  <c r="AB19" i="308"/>
  <c r="AB14" i="308"/>
  <c r="AA15" i="346"/>
  <c r="AE16" i="316"/>
  <c r="AD10" i="316"/>
  <c r="AD9" i="316"/>
  <c r="P47" i="346"/>
  <c r="Q37" i="346"/>
  <c r="Q44" i="346" s="1"/>
  <c r="AA20" i="346"/>
  <c r="AC10" i="346"/>
  <c r="AC46" i="346"/>
  <c r="X49" i="250"/>
  <c r="Y49" i="250" s="1"/>
  <c r="AB41" i="250" s="1"/>
  <c r="AB44" i="250" s="1"/>
  <c r="AB46" i="250" s="1"/>
  <c r="D24" i="248" s="1"/>
  <c r="I9" i="1" s="1"/>
  <c r="AB20" i="316"/>
  <c r="AB22" i="316" s="1"/>
  <c r="AB27" i="316" s="1"/>
  <c r="AE9" i="344"/>
  <c r="AE24" i="344"/>
  <c r="AE31" i="344"/>
  <c r="AE26" i="344"/>
  <c r="AF8" i="344"/>
  <c r="R47" i="308"/>
  <c r="S37" i="308"/>
  <c r="S44" i="308" s="1"/>
  <c r="X49" i="249"/>
  <c r="Y49" i="249" s="1"/>
  <c r="AB41" i="249" s="1"/>
  <c r="AB44" i="249" s="1"/>
  <c r="AB46" i="249" s="1"/>
  <c r="D22" i="248" s="1"/>
  <c r="K47" i="133"/>
  <c r="B47" i="133" s="1"/>
  <c r="G47" i="133" s="1"/>
  <c r="B3" i="281" s="1"/>
  <c r="J48" i="133"/>
  <c r="K48" i="133" s="1"/>
  <c r="B48" i="133" s="1"/>
  <c r="G48" i="133" s="1"/>
  <c r="B3" i="282" s="1"/>
  <c r="AD9" i="308"/>
  <c r="AD33" i="308" s="1"/>
  <c r="AD31" i="308"/>
  <c r="AE8" i="308"/>
  <c r="AD24" i="308"/>
  <c r="AD26" i="308"/>
  <c r="AD10" i="344"/>
  <c r="AD46" i="344"/>
  <c r="AA39" i="344"/>
  <c r="Z38" i="308" l="1"/>
  <c r="Z42" i="308"/>
  <c r="AD14" i="316"/>
  <c r="AD12" i="316"/>
  <c r="AA41" i="344"/>
  <c r="Z43" i="346"/>
  <c r="AD34" i="308"/>
  <c r="AA22" i="308"/>
  <c r="AA43" i="308" s="1"/>
  <c r="AC15" i="344"/>
  <c r="AE28" i="344"/>
  <c r="AE29" i="344" s="1"/>
  <c r="AE33" i="344"/>
  <c r="P49" i="346"/>
  <c r="P54" i="346" s="1"/>
  <c r="AA22" i="346"/>
  <c r="AA39" i="346" s="1"/>
  <c r="AB20" i="346"/>
  <c r="AD33" i="346"/>
  <c r="AD34" i="346" s="1"/>
  <c r="AD28" i="346"/>
  <c r="AD29" i="346" s="1"/>
  <c r="AB15" i="346"/>
  <c r="T49" i="344"/>
  <c r="T54" i="344" s="1"/>
  <c r="AC20" i="344"/>
  <c r="AC22" i="344" s="1"/>
  <c r="R49" i="308"/>
  <c r="R54" i="308" s="1"/>
  <c r="Z43" i="308"/>
  <c r="AD28" i="308"/>
  <c r="AD29" i="308" s="1"/>
  <c r="Z41" i="308"/>
  <c r="AB15" i="308"/>
  <c r="AD13" i="344"/>
  <c r="AD18" i="344"/>
  <c r="AD14" i="344"/>
  <c r="AD34" i="344" s="1"/>
  <c r="AD19" i="344"/>
  <c r="AG8" i="344"/>
  <c r="AF26" i="344"/>
  <c r="AF24" i="344"/>
  <c r="AF9" i="344"/>
  <c r="AF28" i="344" s="1"/>
  <c r="AF31" i="344"/>
  <c r="AE10" i="344"/>
  <c r="AE46" i="344"/>
  <c r="Q47" i="346"/>
  <c r="R37" i="346"/>
  <c r="R44" i="346" s="1"/>
  <c r="AC13" i="308"/>
  <c r="AC19" i="308"/>
  <c r="AC14" i="308"/>
  <c r="AC18" i="308"/>
  <c r="AE10" i="316"/>
  <c r="AF16" i="316"/>
  <c r="AE9" i="316"/>
  <c r="AB22" i="344"/>
  <c r="AD10" i="346"/>
  <c r="AD46" i="346"/>
  <c r="U47" i="344"/>
  <c r="V37" i="344"/>
  <c r="V44" i="344" s="1"/>
  <c r="AE26" i="308"/>
  <c r="AE9" i="308"/>
  <c r="AE33" i="308" s="1"/>
  <c r="AE31" i="308"/>
  <c r="AF8" i="308"/>
  <c r="AE24" i="308"/>
  <c r="AD10" i="308"/>
  <c r="AD46" i="308"/>
  <c r="AB39" i="344"/>
  <c r="S47" i="308"/>
  <c r="T37" i="308"/>
  <c r="T44" i="308" s="1"/>
  <c r="AC14" i="346"/>
  <c r="AC19" i="346"/>
  <c r="AC13" i="346"/>
  <c r="AC18" i="346"/>
  <c r="AD17" i="316"/>
  <c r="AB20" i="308"/>
  <c r="AF8" i="346"/>
  <c r="AE26" i="346"/>
  <c r="AE9" i="346"/>
  <c r="AE24" i="346"/>
  <c r="AE31" i="346"/>
  <c r="AA42" i="346"/>
  <c r="AA38" i="346"/>
  <c r="AC20" i="316"/>
  <c r="AC22" i="316" s="1"/>
  <c r="AC27" i="316" s="1"/>
  <c r="AB22" i="308" l="1"/>
  <c r="AB41" i="308" s="1"/>
  <c r="AA41" i="308"/>
  <c r="AE34" i="308"/>
  <c r="AE14" i="316"/>
  <c r="AE12" i="316"/>
  <c r="AA38" i="308"/>
  <c r="AA39" i="308"/>
  <c r="AB39" i="308" s="1"/>
  <c r="AA42" i="308"/>
  <c r="AD15" i="344"/>
  <c r="AB22" i="346"/>
  <c r="AB42" i="346" s="1"/>
  <c r="Q49" i="346"/>
  <c r="Q54" i="346" s="1"/>
  <c r="AA41" i="346"/>
  <c r="AC15" i="346"/>
  <c r="AA43" i="346"/>
  <c r="AE28" i="346"/>
  <c r="AE29" i="346" s="1"/>
  <c r="AE33" i="346"/>
  <c r="AE34" i="346" s="1"/>
  <c r="U49" i="344"/>
  <c r="U54" i="344" s="1"/>
  <c r="AF29" i="344"/>
  <c r="S49" i="308"/>
  <c r="S54" i="308" s="1"/>
  <c r="AE28" i="308"/>
  <c r="AE29" i="308" s="1"/>
  <c r="AC20" i="308"/>
  <c r="AB38" i="346"/>
  <c r="AC20" i="346"/>
  <c r="AE17" i="316"/>
  <c r="AB42" i="308"/>
  <c r="AB43" i="308"/>
  <c r="AD14" i="346"/>
  <c r="AD19" i="346"/>
  <c r="AD13" i="346"/>
  <c r="AD18" i="346"/>
  <c r="AG16" i="316"/>
  <c r="AF10" i="316"/>
  <c r="AF9" i="316"/>
  <c r="AB41" i="346"/>
  <c r="AB43" i="346"/>
  <c r="AE13" i="344"/>
  <c r="AE18" i="344"/>
  <c r="AE14" i="344"/>
  <c r="AE34" i="344" s="1"/>
  <c r="AE19" i="344"/>
  <c r="AD20" i="344"/>
  <c r="AE10" i="346"/>
  <c r="AE46" i="346"/>
  <c r="AD20" i="316"/>
  <c r="AD22" i="316" s="1"/>
  <c r="AD27" i="316" s="1"/>
  <c r="AC39" i="344"/>
  <c r="AF24" i="308"/>
  <c r="AF26" i="308"/>
  <c r="AF9" i="308"/>
  <c r="AF33" i="308" s="1"/>
  <c r="AF31" i="308"/>
  <c r="AG8" i="308"/>
  <c r="V47" i="344"/>
  <c r="W37" i="344"/>
  <c r="W44" i="344" s="1"/>
  <c r="AB41" i="344"/>
  <c r="AB42" i="344"/>
  <c r="AB43" i="344"/>
  <c r="AC15" i="308"/>
  <c r="R47" i="346"/>
  <c r="S37" i="346"/>
  <c r="S44" i="346" s="1"/>
  <c r="AG31" i="344"/>
  <c r="AG9" i="344"/>
  <c r="AG28" i="344" s="1"/>
  <c r="AG24" i="344"/>
  <c r="AG26" i="344"/>
  <c r="AC41" i="344"/>
  <c r="AC43" i="344"/>
  <c r="AC42" i="344"/>
  <c r="T47" i="308"/>
  <c r="U37" i="308"/>
  <c r="U44" i="308" s="1"/>
  <c r="AF10" i="344"/>
  <c r="AF46" i="344"/>
  <c r="AB39" i="346"/>
  <c r="AF31" i="346"/>
  <c r="AF9" i="346"/>
  <c r="AF24" i="346"/>
  <c r="AF26" i="346"/>
  <c r="AG8" i="346"/>
  <c r="AD18" i="308"/>
  <c r="AD13" i="308"/>
  <c r="AD19" i="308"/>
  <c r="AD14" i="308"/>
  <c r="AE10" i="308"/>
  <c r="AE46" i="308"/>
  <c r="AB38" i="308"/>
  <c r="AF14" i="316" l="1"/>
  <c r="AF12" i="316"/>
  <c r="AC22" i="308"/>
  <c r="AC41" i="308" s="1"/>
  <c r="AE15" i="344"/>
  <c r="AC22" i="346"/>
  <c r="AC38" i="346" s="1"/>
  <c r="AF34" i="308"/>
  <c r="R49" i="346"/>
  <c r="R54" i="346" s="1"/>
  <c r="AF28" i="346"/>
  <c r="AF29" i="346" s="1"/>
  <c r="AF33" i="346"/>
  <c r="AF34" i="346" s="1"/>
  <c r="V49" i="344"/>
  <c r="V54" i="344" s="1"/>
  <c r="AG29" i="344"/>
  <c r="AE20" i="344"/>
  <c r="T49" i="308"/>
  <c r="T54" i="308" s="1"/>
  <c r="AF28" i="308"/>
  <c r="AF29" i="308" s="1"/>
  <c r="AC38" i="308"/>
  <c r="AD15" i="308"/>
  <c r="AE20" i="316"/>
  <c r="AE22" i="316" s="1"/>
  <c r="AE27" i="316" s="1"/>
  <c r="AF17" i="316"/>
  <c r="AF20" i="316" s="1"/>
  <c r="AG26" i="346"/>
  <c r="AG9" i="346"/>
  <c r="AG24" i="346"/>
  <c r="AG31" i="346"/>
  <c r="AC42" i="308"/>
  <c r="S47" i="346"/>
  <c r="T37" i="346"/>
  <c r="T44" i="346" s="1"/>
  <c r="AG24" i="308"/>
  <c r="AG26" i="308"/>
  <c r="AG9" i="308"/>
  <c r="AG33" i="308" s="1"/>
  <c r="AG31" i="308"/>
  <c r="AD15" i="346"/>
  <c r="AE14" i="346"/>
  <c r="AE19" i="346"/>
  <c r="AE13" i="346"/>
  <c r="AE18" i="346"/>
  <c r="AG10" i="316"/>
  <c r="AG9" i="316"/>
  <c r="AG10" i="344"/>
  <c r="AG46" i="344"/>
  <c r="W47" i="344"/>
  <c r="X37" i="344"/>
  <c r="X44" i="344" s="1"/>
  <c r="AF10" i="308"/>
  <c r="AF46" i="308"/>
  <c r="AE14" i="308"/>
  <c r="AE18" i="308"/>
  <c r="AE13" i="308"/>
  <c r="AE19" i="308"/>
  <c r="AD20" i="308"/>
  <c r="AF46" i="346"/>
  <c r="AF10" i="346"/>
  <c r="AF14" i="344"/>
  <c r="AF33" i="344" s="1"/>
  <c r="AF34" i="344" s="1"/>
  <c r="AF19" i="344"/>
  <c r="AF13" i="344"/>
  <c r="AF18" i="344"/>
  <c r="U47" i="308"/>
  <c r="V37" i="308"/>
  <c r="V44" i="308" s="1"/>
  <c r="AD22" i="344"/>
  <c r="AD20" i="346"/>
  <c r="AC39" i="308" l="1"/>
  <c r="AC43" i="308"/>
  <c r="AG14" i="316"/>
  <c r="AG12" i="316"/>
  <c r="AC39" i="346"/>
  <c r="AC43" i="346"/>
  <c r="AD22" i="346"/>
  <c r="AD43" i="346" s="1"/>
  <c r="AC42" i="346"/>
  <c r="AC41" i="346"/>
  <c r="AG34" i="308"/>
  <c r="AE22" i="344"/>
  <c r="AE42" i="344" s="1"/>
  <c r="S49" i="346"/>
  <c r="S54" i="346" s="1"/>
  <c r="AG33" i="346"/>
  <c r="AG34" i="346" s="1"/>
  <c r="AG28" i="346"/>
  <c r="AG29" i="346" s="1"/>
  <c r="W49" i="344"/>
  <c r="W54" i="344" s="1"/>
  <c r="AF15" i="344"/>
  <c r="U49" i="308"/>
  <c r="U54" i="308" s="1"/>
  <c r="AD22" i="308"/>
  <c r="AD43" i="308" s="1"/>
  <c r="AG28" i="308"/>
  <c r="AG29" i="308" s="1"/>
  <c r="AE20" i="308"/>
  <c r="AE15" i="308"/>
  <c r="AE20" i="346"/>
  <c r="AF20" i="344"/>
  <c r="AF22" i="316"/>
  <c r="AF27" i="316" s="1"/>
  <c r="AG17" i="316"/>
  <c r="AE43" i="344"/>
  <c r="V47" i="308"/>
  <c r="W37" i="308"/>
  <c r="W44" i="308" s="1"/>
  <c r="AF19" i="308"/>
  <c r="AF14" i="308"/>
  <c r="AF18" i="308"/>
  <c r="AF13" i="308"/>
  <c r="AG14" i="344"/>
  <c r="AG33" i="344" s="1"/>
  <c r="AG34" i="344" s="1"/>
  <c r="AG19" i="344"/>
  <c r="AG13" i="344"/>
  <c r="AG18" i="344"/>
  <c r="AD42" i="346"/>
  <c r="AD41" i="346"/>
  <c r="AD41" i="344"/>
  <c r="AD42" i="344"/>
  <c r="AD43" i="344"/>
  <c r="Y37" i="344"/>
  <c r="Y44" i="344" s="1"/>
  <c r="X47" i="344"/>
  <c r="AG10" i="346"/>
  <c r="AG46" i="346"/>
  <c r="AF13" i="346"/>
  <c r="AF14" i="346"/>
  <c r="AF18" i="346"/>
  <c r="AF19" i="346"/>
  <c r="AD38" i="346"/>
  <c r="AD39" i="344"/>
  <c r="AE39" i="344" s="1"/>
  <c r="AF39" i="344" s="1"/>
  <c r="AG39" i="344" s="1"/>
  <c r="T47" i="346"/>
  <c r="U37" i="346"/>
  <c r="U44" i="346" s="1"/>
  <c r="AE15" i="346"/>
  <c r="AG10" i="308"/>
  <c r="AG46" i="308"/>
  <c r="AD39" i="308" l="1"/>
  <c r="AD38" i="308"/>
  <c r="AD41" i="308"/>
  <c r="AE41" i="344"/>
  <c r="AD39" i="346"/>
  <c r="AD42" i="308"/>
  <c r="AF22" i="344"/>
  <c r="AF41" i="344" s="1"/>
  <c r="T49" i="346"/>
  <c r="T54" i="346" s="1"/>
  <c r="AE22" i="346"/>
  <c r="AE43" i="346" s="1"/>
  <c r="X49" i="344"/>
  <c r="X54" i="344" s="1"/>
  <c r="AG20" i="344"/>
  <c r="AG15" i="344"/>
  <c r="V49" i="308"/>
  <c r="V54" i="308" s="1"/>
  <c r="AE22" i="308"/>
  <c r="AE43" i="308" s="1"/>
  <c r="AF15" i="308"/>
  <c r="AF20" i="346"/>
  <c r="AF15" i="346"/>
  <c r="AF20" i="308"/>
  <c r="AG20" i="316"/>
  <c r="AG22" i="316" s="1"/>
  <c r="AG27" i="316" s="1"/>
  <c r="C29" i="316" s="1"/>
  <c r="D12" i="305" s="1"/>
  <c r="Y47" i="344"/>
  <c r="Z37" i="344"/>
  <c r="Z44" i="344" s="1"/>
  <c r="U47" i="346"/>
  <c r="V37" i="346"/>
  <c r="V44" i="346" s="1"/>
  <c r="AG13" i="346"/>
  <c r="AG18" i="346"/>
  <c r="AG14" i="346"/>
  <c r="AG19" i="346"/>
  <c r="AE38" i="346"/>
  <c r="AF38" i="346" s="1"/>
  <c r="AG38" i="346" s="1"/>
  <c r="AG13" i="308"/>
  <c r="AG19" i="308"/>
  <c r="AG14" i="308"/>
  <c r="AG18" i="308"/>
  <c r="W47" i="308"/>
  <c r="X37" i="308"/>
  <c r="X44" i="308" s="1"/>
  <c r="AF43" i="344" l="1"/>
  <c r="AE38" i="308"/>
  <c r="AE39" i="308"/>
  <c r="AF42" i="344"/>
  <c r="AG15" i="346"/>
  <c r="AE42" i="346"/>
  <c r="AE41" i="346"/>
  <c r="U49" i="346"/>
  <c r="U54" i="346" s="1"/>
  <c r="AE39" i="346"/>
  <c r="Y49" i="344"/>
  <c r="Y54" i="344" s="1"/>
  <c r="AG22" i="344"/>
  <c r="W49" i="308"/>
  <c r="W54" i="308" s="1"/>
  <c r="AE41" i="308"/>
  <c r="AE42" i="308"/>
  <c r="AG15" i="308"/>
  <c r="AG20" i="308"/>
  <c r="AF22" i="308"/>
  <c r="AF22" i="346"/>
  <c r="AA37" i="344"/>
  <c r="AA44" i="344" s="1"/>
  <c r="Z47" i="344"/>
  <c r="V47" i="346"/>
  <c r="W37" i="346"/>
  <c r="W44" i="346" s="1"/>
  <c r="X47" i="308"/>
  <c r="Y37" i="308"/>
  <c r="Y44" i="308" s="1"/>
  <c r="AG20" i="346"/>
  <c r="AG22" i="346" s="1"/>
  <c r="AF39" i="308" l="1"/>
  <c r="AF38" i="308"/>
  <c r="V49" i="346"/>
  <c r="V54" i="346" s="1"/>
  <c r="Z49" i="344"/>
  <c r="Z54" i="344" s="1"/>
  <c r="AG42" i="344"/>
  <c r="AG43" i="344"/>
  <c r="AG41" i="344"/>
  <c r="AG22" i="308"/>
  <c r="AG43" i="308" s="1"/>
  <c r="X49" i="308"/>
  <c r="X54" i="308" s="1"/>
  <c r="AF41" i="308"/>
  <c r="AF42" i="308"/>
  <c r="AF43" i="308"/>
  <c r="AF43" i="346"/>
  <c r="AF41" i="346"/>
  <c r="AF42" i="346"/>
  <c r="AF39" i="346"/>
  <c r="AG39" i="346" s="1"/>
  <c r="AG41" i="346"/>
  <c r="AG42" i="346"/>
  <c r="AG43" i="346"/>
  <c r="W47" i="346"/>
  <c r="X37" i="346"/>
  <c r="X44" i="346" s="1"/>
  <c r="AB37" i="344"/>
  <c r="AB44" i="344" s="1"/>
  <c r="AA47" i="344"/>
  <c r="Y47" i="308"/>
  <c r="Z37" i="308"/>
  <c r="Z44" i="308" s="1"/>
  <c r="AG38" i="308" l="1"/>
  <c r="AG41" i="308"/>
  <c r="AG42" i="308"/>
  <c r="AG39" i="308"/>
  <c r="W49" i="346"/>
  <c r="W54" i="346" s="1"/>
  <c r="AA49" i="344"/>
  <c r="AA54" i="344" s="1"/>
  <c r="Y49" i="308"/>
  <c r="Y54" i="308" s="1"/>
  <c r="AC37" i="344"/>
  <c r="AC44" i="344" s="1"/>
  <c r="AB47" i="344"/>
  <c r="Z47" i="308"/>
  <c r="AA37" i="308"/>
  <c r="AA44" i="308" s="1"/>
  <c r="X47" i="346"/>
  <c r="Y37" i="346"/>
  <c r="Y44" i="346" s="1"/>
  <c r="X49" i="346" l="1"/>
  <c r="X54" i="346" s="1"/>
  <c r="AB49" i="344"/>
  <c r="AB54" i="344" s="1"/>
  <c r="Z49" i="308"/>
  <c r="Z54" i="308" s="1"/>
  <c r="AD37" i="344"/>
  <c r="AD44" i="344" s="1"/>
  <c r="AC47" i="344"/>
  <c r="AB37" i="308"/>
  <c r="AB44" i="308" s="1"/>
  <c r="AA47" i="308"/>
  <c r="Y47" i="346"/>
  <c r="Z37" i="346"/>
  <c r="Z44" i="346" s="1"/>
  <c r="Y49" i="346" l="1"/>
  <c r="Y54" i="346" s="1"/>
  <c r="AC49" i="344"/>
  <c r="AC54" i="344" s="1"/>
  <c r="AA49" i="308"/>
  <c r="AA54" i="308" s="1"/>
  <c r="AC37" i="308"/>
  <c r="AC44" i="308" s="1"/>
  <c r="AB47" i="308"/>
  <c r="AA37" i="346"/>
  <c r="AA44" i="346" s="1"/>
  <c r="Z47" i="346"/>
  <c r="AE37" i="344"/>
  <c r="AE44" i="344" s="1"/>
  <c r="AD47" i="344"/>
  <c r="Z49" i="346" l="1"/>
  <c r="Z54" i="346" s="1"/>
  <c r="AD49" i="344"/>
  <c r="AD54" i="344" s="1"/>
  <c r="AB49" i="308"/>
  <c r="AB54" i="308" s="1"/>
  <c r="AF37" i="344"/>
  <c r="AF44" i="344" s="1"/>
  <c r="AE47" i="344"/>
  <c r="AD37" i="308"/>
  <c r="AD44" i="308" s="1"/>
  <c r="AC47" i="308"/>
  <c r="AB37" i="346"/>
  <c r="AB44" i="346" s="1"/>
  <c r="AA47" i="346"/>
  <c r="AA49" i="346" l="1"/>
  <c r="AA54" i="346" s="1"/>
  <c r="AE49" i="344"/>
  <c r="AE54" i="344" s="1"/>
  <c r="AC49" i="308"/>
  <c r="AC54" i="308" s="1"/>
  <c r="AE37" i="308"/>
  <c r="AE44" i="308" s="1"/>
  <c r="AD47" i="308"/>
  <c r="AC37" i="346"/>
  <c r="AC44" i="346" s="1"/>
  <c r="AB47" i="346"/>
  <c r="AG37" i="344"/>
  <c r="AF47" i="344"/>
  <c r="AB49" i="346" l="1"/>
  <c r="AB54" i="346" s="1"/>
  <c r="AG44" i="344"/>
  <c r="AG47" i="344" s="1"/>
  <c r="AF49" i="344"/>
  <c r="AF54" i="344" s="1"/>
  <c r="AD49" i="308"/>
  <c r="AD54" i="308" s="1"/>
  <c r="AF37" i="308"/>
  <c r="AF44" i="308" s="1"/>
  <c r="AE47" i="308"/>
  <c r="AD37" i="346"/>
  <c r="AD44" i="346" s="1"/>
  <c r="AC47" i="346"/>
  <c r="AC49" i="346" l="1"/>
  <c r="AC54" i="346" s="1"/>
  <c r="AG49" i="344"/>
  <c r="AG54" i="344" s="1"/>
  <c r="C56" i="344" s="1"/>
  <c r="D14" i="305" s="1"/>
  <c r="AE49" i="308"/>
  <c r="AE54" i="308" s="1"/>
  <c r="AE37" i="346"/>
  <c r="AE44" i="346" s="1"/>
  <c r="AD47" i="346"/>
  <c r="AG37" i="308"/>
  <c r="AF47" i="308"/>
  <c r="AD49" i="346" l="1"/>
  <c r="AD54" i="346" s="1"/>
  <c r="AF49" i="308"/>
  <c r="AF54" i="308" s="1"/>
  <c r="AG44" i="308"/>
  <c r="AG47" i="308" s="1"/>
  <c r="AF37" i="346"/>
  <c r="AF44" i="346" s="1"/>
  <c r="AE47" i="346"/>
  <c r="AE49" i="346" l="1"/>
  <c r="AE54" i="346" s="1"/>
  <c r="AG49" i="308"/>
  <c r="AG54" i="308" s="1"/>
  <c r="C56" i="308" s="1"/>
  <c r="D13" i="305" s="1"/>
  <c r="AG37" i="346"/>
  <c r="AF47" i="346"/>
  <c r="AF49" i="346" l="1"/>
  <c r="AF54" i="346" s="1"/>
  <c r="AG44" i="346"/>
  <c r="AG47" i="346" s="1"/>
  <c r="AG49" i="346" l="1"/>
  <c r="AG54" i="346" s="1"/>
  <c r="C56" i="346" s="1"/>
  <c r="D15" i="305" s="1"/>
  <c r="D16" i="305" s="1"/>
  <c r="D19" i="305" s="1"/>
</calcChain>
</file>

<file path=xl/comments1.xml><?xml version="1.0" encoding="utf-8"?>
<comments xmlns="http://schemas.openxmlformats.org/spreadsheetml/2006/main">
  <authors>
    <author>Ayush Baheti</author>
  </authors>
  <commentList>
    <comment ref="T21" authorId="0" shapeId="0">
      <text>
        <r>
          <rPr>
            <b/>
            <sz val="9"/>
            <color indexed="81"/>
            <rFont val="Tahoma"/>
            <family val="2"/>
          </rPr>
          <t>Ayush Baheti:</t>
        </r>
        <r>
          <rPr>
            <sz val="9"/>
            <color indexed="81"/>
            <rFont val="Tahoma"/>
            <family val="2"/>
          </rPr>
          <t xml:space="preserve">
To be input</t>
        </r>
      </text>
    </comment>
  </commentList>
</comments>
</file>

<file path=xl/comments2.xml><?xml version="1.0" encoding="utf-8"?>
<comments xmlns="http://schemas.openxmlformats.org/spreadsheetml/2006/main">
  <authors>
    <author>Windows User</author>
  </authors>
  <commentList>
    <comment ref="I9" authorId="0" shapeId="0">
      <text>
        <r>
          <rPr>
            <b/>
            <sz val="9"/>
            <color indexed="81"/>
            <rFont val="Tahoma"/>
            <family val="2"/>
          </rPr>
          <t>Windows User:</t>
        </r>
        <r>
          <rPr>
            <sz val="9"/>
            <color indexed="81"/>
            <rFont val="Tahoma"/>
            <family val="2"/>
          </rPr>
          <t xml:space="preserve">
0</t>
        </r>
      </text>
    </comment>
  </commentList>
</comments>
</file>

<file path=xl/comments3.xml><?xml version="1.0" encoding="utf-8"?>
<comments xmlns="http://schemas.openxmlformats.org/spreadsheetml/2006/main">
  <authors>
    <author>Valuation Common</author>
    <author>KC</author>
  </authors>
  <commentList>
    <comment ref="W18" authorId="0" shapeId="0">
      <text>
        <r>
          <rPr>
            <b/>
            <sz val="9"/>
            <color indexed="81"/>
            <rFont val="Tahoma"/>
            <family val="2"/>
          </rPr>
          <t>Valuation Common:</t>
        </r>
        <r>
          <rPr>
            <sz val="9"/>
            <color indexed="81"/>
            <rFont val="Tahoma"/>
            <family val="2"/>
          </rPr>
          <t xml:space="preserve">
Check</t>
        </r>
      </text>
    </comment>
    <comment ref="W22" authorId="0" shapeId="0">
      <text>
        <r>
          <rPr>
            <b/>
            <sz val="9"/>
            <color indexed="81"/>
            <rFont val="Tahoma"/>
            <family val="2"/>
          </rPr>
          <t>Valuation Common:</t>
        </r>
        <r>
          <rPr>
            <sz val="9"/>
            <color indexed="81"/>
            <rFont val="Tahoma"/>
            <family val="2"/>
          </rPr>
          <t xml:space="preserve">
CNS</t>
        </r>
      </text>
    </comment>
    <comment ref="W24" authorId="0" shapeId="0">
      <text>
        <r>
          <rPr>
            <b/>
            <sz val="9"/>
            <color indexed="81"/>
            <rFont val="Tahoma"/>
            <family val="2"/>
          </rPr>
          <t>Valuation Common:</t>
        </r>
        <r>
          <rPr>
            <sz val="9"/>
            <color indexed="81"/>
            <rFont val="Tahoma"/>
            <family val="2"/>
          </rPr>
          <t xml:space="preserve">
CNS</t>
        </r>
      </text>
    </comment>
    <comment ref="W54" authorId="0" shapeId="0">
      <text>
        <r>
          <rPr>
            <b/>
            <sz val="9"/>
            <color indexed="81"/>
            <rFont val="Tahoma"/>
            <family val="2"/>
          </rPr>
          <t>Valuation Common:</t>
        </r>
        <r>
          <rPr>
            <sz val="9"/>
            <color indexed="81"/>
            <rFont val="Tahoma"/>
            <family val="2"/>
          </rPr>
          <t xml:space="preserve">
CNS</t>
        </r>
      </text>
    </comment>
    <comment ref="W64" authorId="0" shapeId="0">
      <text>
        <r>
          <rPr>
            <b/>
            <sz val="9"/>
            <color indexed="81"/>
            <rFont val="Tahoma"/>
            <family val="2"/>
          </rPr>
          <t>Valuation Common:</t>
        </r>
        <r>
          <rPr>
            <sz val="9"/>
            <color indexed="81"/>
            <rFont val="Tahoma"/>
            <family val="2"/>
          </rPr>
          <t xml:space="preserve">
CNS, but not lead</t>
        </r>
      </text>
    </comment>
    <comment ref="W73" authorId="0" shapeId="0">
      <text>
        <r>
          <rPr>
            <b/>
            <sz val="9"/>
            <color indexed="81"/>
            <rFont val="Tahoma"/>
            <family val="2"/>
          </rPr>
          <t>Valuation Common:</t>
        </r>
        <r>
          <rPr>
            <sz val="9"/>
            <color indexed="81"/>
            <rFont val="Tahoma"/>
            <family val="2"/>
          </rPr>
          <t xml:space="preserve">
CNS</t>
        </r>
      </text>
    </comment>
    <comment ref="W74" authorId="0" shapeId="0">
      <text>
        <r>
          <rPr>
            <b/>
            <sz val="9"/>
            <color indexed="81"/>
            <rFont val="Tahoma"/>
            <family val="2"/>
          </rPr>
          <t>Valuation Common:</t>
        </r>
        <r>
          <rPr>
            <sz val="9"/>
            <color indexed="81"/>
            <rFont val="Tahoma"/>
            <family val="2"/>
          </rPr>
          <t xml:space="preserve">
CNS</t>
        </r>
      </text>
    </comment>
    <comment ref="W78" authorId="0" shapeId="0">
      <text>
        <r>
          <rPr>
            <b/>
            <sz val="9"/>
            <color indexed="81"/>
            <rFont val="Tahoma"/>
            <family val="2"/>
          </rPr>
          <t>Valuation Common:</t>
        </r>
        <r>
          <rPr>
            <sz val="9"/>
            <color indexed="81"/>
            <rFont val="Tahoma"/>
            <family val="2"/>
          </rPr>
          <t xml:space="preserve">
CNS</t>
        </r>
      </text>
    </comment>
    <comment ref="W110" authorId="0" shapeId="0">
      <text>
        <r>
          <rPr>
            <b/>
            <sz val="9"/>
            <color indexed="81"/>
            <rFont val="Tahoma"/>
            <family val="2"/>
          </rPr>
          <t>Valuation Common:</t>
        </r>
        <r>
          <rPr>
            <sz val="9"/>
            <color indexed="81"/>
            <rFont val="Tahoma"/>
            <family val="2"/>
          </rPr>
          <t xml:space="preserve">
Obesity</t>
        </r>
      </text>
    </comment>
    <comment ref="W116" authorId="0" shapeId="0">
      <text>
        <r>
          <rPr>
            <b/>
            <sz val="9"/>
            <color indexed="81"/>
            <rFont val="Tahoma"/>
            <family val="2"/>
          </rPr>
          <t>Valuation Common:</t>
        </r>
        <r>
          <rPr>
            <sz val="9"/>
            <color indexed="81"/>
            <rFont val="Tahoma"/>
            <family val="2"/>
          </rPr>
          <t xml:space="preserve">
CNS</t>
        </r>
      </text>
    </comment>
    <comment ref="W118" authorId="0" shapeId="0">
      <text>
        <r>
          <rPr>
            <b/>
            <sz val="9"/>
            <color indexed="81"/>
            <rFont val="Tahoma"/>
            <family val="2"/>
          </rPr>
          <t>Valuation Common:</t>
        </r>
        <r>
          <rPr>
            <sz val="9"/>
            <color indexed="81"/>
            <rFont val="Tahoma"/>
            <family val="2"/>
          </rPr>
          <t xml:space="preserve">
CNS</t>
        </r>
      </text>
    </comment>
    <comment ref="W124" authorId="0" shapeId="0">
      <text>
        <r>
          <rPr>
            <b/>
            <sz val="9"/>
            <color indexed="81"/>
            <rFont val="Tahoma"/>
            <family val="2"/>
          </rPr>
          <t>Valuation Common:</t>
        </r>
        <r>
          <rPr>
            <sz val="9"/>
            <color indexed="81"/>
            <rFont val="Tahoma"/>
            <family val="2"/>
          </rPr>
          <t xml:space="preserve">
CNS</t>
        </r>
      </text>
    </comment>
    <comment ref="W130" authorId="0" shapeId="0">
      <text>
        <r>
          <rPr>
            <b/>
            <sz val="9"/>
            <color indexed="81"/>
            <rFont val="Tahoma"/>
            <family val="2"/>
          </rPr>
          <t>Valuation Common:</t>
        </r>
        <r>
          <rPr>
            <sz val="9"/>
            <color indexed="81"/>
            <rFont val="Tahoma"/>
            <family val="2"/>
          </rPr>
          <t xml:space="preserve">
Microbiome</t>
        </r>
      </text>
    </comment>
    <comment ref="W131" authorId="0" shapeId="0">
      <text>
        <r>
          <rPr>
            <b/>
            <sz val="9"/>
            <color indexed="81"/>
            <rFont val="Tahoma"/>
            <family val="2"/>
          </rPr>
          <t>Valuation Common:</t>
        </r>
        <r>
          <rPr>
            <sz val="9"/>
            <color indexed="81"/>
            <rFont val="Tahoma"/>
            <family val="2"/>
          </rPr>
          <t xml:space="preserve">
Microbiome</t>
        </r>
      </text>
    </comment>
    <comment ref="W170" authorId="0" shapeId="0">
      <text>
        <r>
          <rPr>
            <b/>
            <sz val="9"/>
            <color indexed="81"/>
            <rFont val="Tahoma"/>
            <family val="2"/>
          </rPr>
          <t>Valuation Common:</t>
        </r>
        <r>
          <rPr>
            <sz val="9"/>
            <color indexed="81"/>
            <rFont val="Tahoma"/>
            <family val="2"/>
          </rPr>
          <t xml:space="preserve">
CNS</t>
        </r>
      </text>
    </comment>
    <comment ref="B174" authorId="1" shapeId="0">
      <text>
        <r>
          <rPr>
            <b/>
            <sz val="9"/>
            <color indexed="81"/>
            <rFont val="Tahoma"/>
            <family val="2"/>
          </rPr>
          <t>KC:</t>
        </r>
        <r>
          <rPr>
            <sz val="9"/>
            <color indexed="81"/>
            <rFont val="Tahoma"/>
            <family val="2"/>
          </rPr>
          <t xml:space="preserve">
Company has become Private as of 02/28/17 (Closed Date)</t>
        </r>
      </text>
    </comment>
  </commentList>
</comments>
</file>

<file path=xl/comments4.xml><?xml version="1.0" encoding="utf-8"?>
<comments xmlns="http://schemas.openxmlformats.org/spreadsheetml/2006/main">
  <authors>
    <author>Valuation Common</author>
  </authors>
  <commentList>
    <comment ref="W12" authorId="0" shapeId="0">
      <text>
        <r>
          <rPr>
            <b/>
            <sz val="9"/>
            <color indexed="81"/>
            <rFont val="Tahoma"/>
            <family val="2"/>
          </rPr>
          <t>Valuation Common:</t>
        </r>
        <r>
          <rPr>
            <sz val="9"/>
            <color indexed="81"/>
            <rFont val="Tahoma"/>
            <family val="2"/>
          </rPr>
          <t xml:space="preserve">
Check</t>
        </r>
      </text>
    </comment>
    <comment ref="W13" authorId="0" shapeId="0">
      <text>
        <r>
          <rPr>
            <b/>
            <sz val="9"/>
            <color indexed="81"/>
            <rFont val="Tahoma"/>
            <family val="2"/>
          </rPr>
          <t>Valuation Common:</t>
        </r>
        <r>
          <rPr>
            <sz val="9"/>
            <color indexed="81"/>
            <rFont val="Tahoma"/>
            <family val="2"/>
          </rPr>
          <t xml:space="preserve">
CNS</t>
        </r>
      </text>
    </comment>
    <comment ref="W14" authorId="0" shapeId="0">
      <text>
        <r>
          <rPr>
            <b/>
            <sz val="9"/>
            <color indexed="81"/>
            <rFont val="Tahoma"/>
            <family val="2"/>
          </rPr>
          <t>Valuation Common:</t>
        </r>
        <r>
          <rPr>
            <sz val="9"/>
            <color indexed="81"/>
            <rFont val="Tahoma"/>
            <family val="2"/>
          </rPr>
          <t xml:space="preserve">
CNS</t>
        </r>
      </text>
    </comment>
    <comment ref="W27" authorId="0" shapeId="0">
      <text>
        <r>
          <rPr>
            <b/>
            <sz val="9"/>
            <color indexed="81"/>
            <rFont val="Tahoma"/>
            <family val="2"/>
          </rPr>
          <t>Valuation Common:</t>
        </r>
        <r>
          <rPr>
            <sz val="9"/>
            <color indexed="81"/>
            <rFont val="Tahoma"/>
            <family val="2"/>
          </rPr>
          <t xml:space="preserve">
CNS</t>
        </r>
      </text>
    </comment>
    <comment ref="W28" authorId="0" shapeId="0">
      <text>
        <r>
          <rPr>
            <b/>
            <sz val="9"/>
            <color indexed="81"/>
            <rFont val="Tahoma"/>
            <family val="2"/>
          </rPr>
          <t>Valuation Common:</t>
        </r>
        <r>
          <rPr>
            <sz val="9"/>
            <color indexed="81"/>
            <rFont val="Tahoma"/>
            <family val="2"/>
          </rPr>
          <t xml:space="preserve">
CNS, but not lead</t>
        </r>
      </text>
    </comment>
    <comment ref="W29" authorId="0" shapeId="0">
      <text>
        <r>
          <rPr>
            <b/>
            <sz val="9"/>
            <color indexed="81"/>
            <rFont val="Tahoma"/>
            <family val="2"/>
          </rPr>
          <t>Valuation Common:</t>
        </r>
        <r>
          <rPr>
            <sz val="9"/>
            <color indexed="81"/>
            <rFont val="Tahoma"/>
            <family val="2"/>
          </rPr>
          <t xml:space="preserve">
CNS</t>
        </r>
      </text>
    </comment>
    <comment ref="W30" authorId="0" shapeId="0">
      <text>
        <r>
          <rPr>
            <b/>
            <sz val="9"/>
            <color indexed="81"/>
            <rFont val="Tahoma"/>
            <family val="2"/>
          </rPr>
          <t>Valuation Common:</t>
        </r>
        <r>
          <rPr>
            <sz val="9"/>
            <color indexed="81"/>
            <rFont val="Tahoma"/>
            <family val="2"/>
          </rPr>
          <t xml:space="preserve">
CNS</t>
        </r>
      </text>
    </comment>
    <comment ref="W31" authorId="0" shapeId="0">
      <text>
        <r>
          <rPr>
            <b/>
            <sz val="9"/>
            <color indexed="81"/>
            <rFont val="Tahoma"/>
            <family val="2"/>
          </rPr>
          <t>Valuation Common:</t>
        </r>
        <r>
          <rPr>
            <sz val="9"/>
            <color indexed="81"/>
            <rFont val="Tahoma"/>
            <family val="2"/>
          </rPr>
          <t xml:space="preserve">
CNS</t>
        </r>
      </text>
    </comment>
    <comment ref="W43" authorId="0" shapeId="0">
      <text>
        <r>
          <rPr>
            <b/>
            <sz val="9"/>
            <color indexed="81"/>
            <rFont val="Tahoma"/>
            <family val="2"/>
          </rPr>
          <t>Valuation Common:</t>
        </r>
        <r>
          <rPr>
            <sz val="9"/>
            <color indexed="81"/>
            <rFont val="Tahoma"/>
            <family val="2"/>
          </rPr>
          <t xml:space="preserve">
Obesity</t>
        </r>
      </text>
    </comment>
    <comment ref="W44" authorId="0" shapeId="0">
      <text>
        <r>
          <rPr>
            <b/>
            <sz val="9"/>
            <color indexed="81"/>
            <rFont val="Tahoma"/>
            <family val="2"/>
          </rPr>
          <t>Valuation Common:</t>
        </r>
        <r>
          <rPr>
            <sz val="9"/>
            <color indexed="81"/>
            <rFont val="Tahoma"/>
            <family val="2"/>
          </rPr>
          <t xml:space="preserve">
CNS</t>
        </r>
      </text>
    </comment>
    <comment ref="W45" authorId="0" shapeId="0">
      <text>
        <r>
          <rPr>
            <b/>
            <sz val="9"/>
            <color indexed="81"/>
            <rFont val="Tahoma"/>
            <family val="2"/>
          </rPr>
          <t>Valuation Common:</t>
        </r>
        <r>
          <rPr>
            <sz val="9"/>
            <color indexed="81"/>
            <rFont val="Tahoma"/>
            <family val="2"/>
          </rPr>
          <t xml:space="preserve">
CNS</t>
        </r>
      </text>
    </comment>
    <comment ref="W46" authorId="0" shapeId="0">
      <text>
        <r>
          <rPr>
            <b/>
            <sz val="9"/>
            <color indexed="81"/>
            <rFont val="Tahoma"/>
            <family val="2"/>
          </rPr>
          <t>Valuation Common:</t>
        </r>
        <r>
          <rPr>
            <sz val="9"/>
            <color indexed="81"/>
            <rFont val="Tahoma"/>
            <family val="2"/>
          </rPr>
          <t xml:space="preserve">
Microbiome</t>
        </r>
      </text>
    </comment>
    <comment ref="W47" authorId="0" shapeId="0">
      <text>
        <r>
          <rPr>
            <b/>
            <sz val="9"/>
            <color indexed="81"/>
            <rFont val="Tahoma"/>
            <family val="2"/>
          </rPr>
          <t>Valuation Common:</t>
        </r>
        <r>
          <rPr>
            <sz val="9"/>
            <color indexed="81"/>
            <rFont val="Tahoma"/>
            <family val="2"/>
          </rPr>
          <t xml:space="preserve">
Microbiome</t>
        </r>
      </text>
    </comment>
    <comment ref="W59" authorId="0" shapeId="0">
      <text>
        <r>
          <rPr>
            <b/>
            <sz val="9"/>
            <color indexed="81"/>
            <rFont val="Tahoma"/>
            <family val="2"/>
          </rPr>
          <t>Valuation Common:</t>
        </r>
        <r>
          <rPr>
            <sz val="9"/>
            <color indexed="81"/>
            <rFont val="Tahoma"/>
            <family val="2"/>
          </rPr>
          <t xml:space="preserve">
CNS</t>
        </r>
      </text>
    </comment>
  </commentList>
</comments>
</file>

<file path=xl/comments5.xml><?xml version="1.0" encoding="utf-8"?>
<comments xmlns="http://schemas.openxmlformats.org/spreadsheetml/2006/main">
  <authors>
    <author>Harsh Mansatta</author>
  </authors>
  <commentList>
    <comment ref="H70" authorId="0" shapeId="0">
      <text>
        <r>
          <rPr>
            <b/>
            <sz val="9"/>
            <color indexed="81"/>
            <rFont val="Tahoma"/>
            <family val="2"/>
          </rPr>
          <t>Harsh Mansatta:</t>
        </r>
        <r>
          <rPr>
            <sz val="9"/>
            <color indexed="81"/>
            <rFont val="Tahoma"/>
            <family val="2"/>
          </rPr>
          <t xml:space="preserve">
4 programmes</t>
        </r>
      </text>
    </comment>
    <comment ref="H72" authorId="0" shapeId="0">
      <text>
        <r>
          <rPr>
            <b/>
            <sz val="9"/>
            <color indexed="81"/>
            <rFont val="Tahoma"/>
            <family val="2"/>
          </rPr>
          <t>Harsh Mansatta:</t>
        </r>
        <r>
          <rPr>
            <sz val="9"/>
            <color indexed="81"/>
            <rFont val="Tahoma"/>
            <family val="2"/>
          </rPr>
          <t xml:space="preserve">
2 products</t>
        </r>
      </text>
    </comment>
  </commentList>
</comments>
</file>

<file path=xl/comments6.xml><?xml version="1.0" encoding="utf-8"?>
<comments xmlns="http://schemas.openxmlformats.org/spreadsheetml/2006/main">
  <authors>
    <author>Priyadarshini Pant</author>
  </authors>
  <commentList>
    <comment ref="F51" authorId="0" shapeId="0">
      <text>
        <r>
          <rPr>
            <b/>
            <sz val="9"/>
            <color indexed="81"/>
            <rFont val="Tahoma"/>
            <family val="2"/>
          </rPr>
          <t>Formula Change</t>
        </r>
      </text>
    </comment>
  </commentList>
</comments>
</file>

<file path=xl/comments7.xml><?xml version="1.0" encoding="utf-8"?>
<comments xmlns="http://schemas.openxmlformats.org/spreadsheetml/2006/main">
  <authors>
    <author>Priyadarshini Pant</author>
  </authors>
  <commentList>
    <comment ref="F51" authorId="0" shapeId="0">
      <text>
        <r>
          <rPr>
            <b/>
            <sz val="9"/>
            <color indexed="81"/>
            <rFont val="Tahoma"/>
            <family val="2"/>
          </rPr>
          <t>Formula Change</t>
        </r>
      </text>
    </comment>
  </commentList>
</comments>
</file>

<file path=xl/comments8.xml><?xml version="1.0" encoding="utf-8"?>
<comments xmlns="http://schemas.openxmlformats.org/spreadsheetml/2006/main">
  <authors>
    <author>CIQ RNA</author>
    <author>Valuation Common</author>
  </authors>
  <commentList>
    <comment ref="AE10" authorId="0" shapeId="0">
      <text>
        <r>
          <rPr>
            <b/>
            <sz val="9"/>
            <color indexed="81"/>
            <rFont val="Tahoma"/>
            <family val="2"/>
          </rPr>
          <t>CIQ RNA:</t>
        </r>
        <r>
          <rPr>
            <sz val="9"/>
            <color indexed="81"/>
            <rFont val="Tahoma"/>
            <family val="2"/>
          </rPr>
          <t xml:space="preserve">
=CIQ(F10, "IQ_YTW", $AK$6)/100</t>
        </r>
      </text>
    </comment>
    <comment ref="AE123" authorId="1" shapeId="0">
      <text>
        <r>
          <rPr>
            <b/>
            <sz val="9"/>
            <color indexed="81"/>
            <rFont val="Tahoma"/>
            <family val="2"/>
          </rPr>
          <t>=CIQ(F108, "IQ_YTW", $AK$6)/100</t>
        </r>
      </text>
    </comment>
    <comment ref="AE124" authorId="1" shapeId="0">
      <text>
        <r>
          <rPr>
            <b/>
            <sz val="9"/>
            <color indexed="81"/>
            <rFont val="Tahoma"/>
            <family val="2"/>
          </rPr>
          <t>=CIQ(F109, "IQ_YTW", $AK$6)/100</t>
        </r>
      </text>
    </comment>
    <comment ref="AE125" authorId="1" shapeId="0">
      <text>
        <r>
          <rPr>
            <b/>
            <sz val="9"/>
            <color indexed="81"/>
            <rFont val="Tahoma"/>
            <family val="2"/>
          </rPr>
          <t>=CIQ(F110, "IQ_YTW", $AK$6)/100</t>
        </r>
      </text>
    </comment>
  </commentList>
</comments>
</file>

<file path=xl/comments9.xml><?xml version="1.0" encoding="utf-8"?>
<comments xmlns="http://schemas.openxmlformats.org/spreadsheetml/2006/main">
  <authors>
    <author>Rob</author>
    <author>heatherkiessling</author>
  </authors>
  <commentList>
    <comment ref="E11" authorId="0" shapeId="0">
      <text>
        <r>
          <rPr>
            <b/>
            <sz val="9"/>
            <color indexed="81"/>
            <rFont val="Tahoma"/>
            <family val="2"/>
          </rPr>
          <t>Rob:</t>
        </r>
        <r>
          <rPr>
            <sz val="9"/>
            <color indexed="81"/>
            <rFont val="Tahoma"/>
            <family val="2"/>
          </rPr>
          <t xml:space="preserve">
New vesting start after transfer of some initially vested shares</t>
        </r>
      </text>
    </comment>
    <comment ref="E13" authorId="0" shapeId="0">
      <text>
        <r>
          <rPr>
            <b/>
            <sz val="9"/>
            <color indexed="81"/>
            <rFont val="Tahoma"/>
            <family val="2"/>
          </rPr>
          <t>Rob:</t>
        </r>
        <r>
          <rPr>
            <sz val="9"/>
            <color indexed="81"/>
            <rFont val="Tahoma"/>
            <family val="2"/>
          </rPr>
          <t xml:space="preserve">
New vesting start after transfer of some initially vested shares</t>
        </r>
      </text>
    </comment>
    <comment ref="W69" authorId="1" shapeId="0">
      <text>
        <r>
          <rPr>
            <b/>
            <sz val="9"/>
            <color indexed="81"/>
            <rFont val="Tahoma"/>
            <family val="2"/>
          </rPr>
          <t>heatherkiessling:</t>
        </r>
        <r>
          <rPr>
            <sz val="9"/>
            <color indexed="81"/>
            <rFont val="Tahoma"/>
            <family val="2"/>
          </rPr>
          <t xml:space="preserve">
employee terminated 30Jun2017</t>
        </r>
      </text>
    </comment>
    <comment ref="W80" authorId="0" shapeId="0">
      <text>
        <r>
          <rPr>
            <b/>
            <sz val="9"/>
            <color indexed="81"/>
            <rFont val="Tahoma"/>
            <family val="2"/>
          </rPr>
          <t>Rob:</t>
        </r>
        <r>
          <rPr>
            <sz val="9"/>
            <color indexed="81"/>
            <rFont val="Tahoma"/>
            <family val="2"/>
          </rPr>
          <t xml:space="preserve">
Employee terminated 10/20/17</t>
        </r>
      </text>
    </comment>
    <comment ref="W84" authorId="0" shapeId="0">
      <text>
        <r>
          <rPr>
            <b/>
            <sz val="9"/>
            <color indexed="81"/>
            <rFont val="Tahoma"/>
            <family val="2"/>
          </rPr>
          <t>Rob:</t>
        </r>
        <r>
          <rPr>
            <sz val="9"/>
            <color indexed="81"/>
            <rFont val="Tahoma"/>
            <family val="2"/>
          </rPr>
          <t xml:space="preserve">
Employee terminated 1/5/18</t>
        </r>
      </text>
    </comment>
    <comment ref="W86" authorId="1" shapeId="0">
      <text>
        <r>
          <rPr>
            <b/>
            <sz val="9"/>
            <color indexed="81"/>
            <rFont val="Tahoma"/>
            <family val="2"/>
          </rPr>
          <t>heatherkiessling:</t>
        </r>
        <r>
          <rPr>
            <sz val="9"/>
            <color indexed="81"/>
            <rFont val="Tahoma"/>
            <family val="2"/>
          </rPr>
          <t xml:space="preserve">
employee terminated 30Jun2017</t>
        </r>
      </text>
    </comment>
    <comment ref="W92" authorId="0" shapeId="0">
      <text>
        <r>
          <rPr>
            <b/>
            <sz val="9"/>
            <color indexed="81"/>
            <rFont val="Tahoma"/>
            <family val="2"/>
          </rPr>
          <t>Rob:</t>
        </r>
        <r>
          <rPr>
            <sz val="9"/>
            <color indexed="81"/>
            <rFont val="Tahoma"/>
            <family val="2"/>
          </rPr>
          <t xml:space="preserve">
Employee terminated 10/20/17</t>
        </r>
      </text>
    </comment>
    <comment ref="W100" authorId="0" shapeId="0">
      <text>
        <r>
          <rPr>
            <b/>
            <sz val="9"/>
            <color indexed="81"/>
            <rFont val="Tahoma"/>
            <family val="2"/>
          </rPr>
          <t>Rob:</t>
        </r>
        <r>
          <rPr>
            <sz val="9"/>
            <color indexed="81"/>
            <rFont val="Tahoma"/>
            <family val="2"/>
          </rPr>
          <t xml:space="preserve">
Employee terminated 1/5/18</t>
        </r>
      </text>
    </comment>
  </commentList>
</comments>
</file>

<file path=xl/comments10.xml><?xml version="1.0" encoding="utf-8"?>
<comments xmlns="http://schemas.openxmlformats.org/spreadsheetml/2006/main">
  <authors>
    <author>KC</author>
  </authors>
  <commentList>
    <comment ref="AF7" authorId="0" shapeId="0">
      <text>
        <r>
          <rPr>
            <b/>
            <sz val="9"/>
            <color indexed="81"/>
            <rFont val="Tahoma"/>
            <family val="2"/>
          </rPr>
          <t>KC:</t>
        </r>
        <r>
          <rPr>
            <sz val="9"/>
            <color indexed="81"/>
            <rFont val="Tahoma"/>
            <family val="2"/>
          </rPr>
          <t xml:space="preserve">
Add Phase of lead drug</t>
        </r>
      </text>
    </comment>
  </commentList>
</comments>
</file>

<file path=xl/comments11.xml><?xml version="1.0" encoding="utf-8"?>
<comments xmlns="http://schemas.openxmlformats.org/spreadsheetml/2006/main">
  <authors>
    <author>Harpreet Singh</author>
  </authors>
  <commentList>
    <comment ref="T13" authorId="0" shapeId="0">
      <text>
        <r>
          <rPr>
            <b/>
            <sz val="9"/>
            <color indexed="81"/>
            <rFont val="Tahoma"/>
            <family val="2"/>
          </rPr>
          <t xml:space="preserve">Estimates
</t>
        </r>
      </text>
    </comment>
    <comment ref="U13" authorId="0" shapeId="0">
      <text>
        <r>
          <rPr>
            <b/>
            <sz val="9"/>
            <color indexed="81"/>
            <rFont val="Tahoma"/>
            <family val="2"/>
          </rPr>
          <t xml:space="preserve">Estimates
</t>
        </r>
      </text>
    </comment>
    <comment ref="AC13" authorId="0" shapeId="0">
      <text>
        <r>
          <rPr>
            <b/>
            <sz val="9"/>
            <color indexed="81"/>
            <rFont val="Tahoma"/>
            <family val="2"/>
          </rPr>
          <t xml:space="preserve">Estimates
</t>
        </r>
      </text>
    </comment>
    <comment ref="AD13" authorId="0" shapeId="0">
      <text>
        <r>
          <rPr>
            <b/>
            <sz val="9"/>
            <color indexed="81"/>
            <rFont val="Tahoma"/>
            <family val="2"/>
          </rPr>
          <t xml:space="preserve">Estimates
</t>
        </r>
      </text>
    </comment>
    <comment ref="AE13" authorId="0" shapeId="0">
      <text>
        <r>
          <rPr>
            <b/>
            <sz val="9"/>
            <color indexed="81"/>
            <rFont val="Tahoma"/>
            <family val="2"/>
          </rPr>
          <t xml:space="preserve">Estimates
</t>
        </r>
      </text>
    </comment>
  </commentList>
</comments>
</file>

<file path=xl/comments12.xml><?xml version="1.0" encoding="utf-8"?>
<comments xmlns="http://schemas.openxmlformats.org/spreadsheetml/2006/main">
  <authors>
    <author>Dhara Shah</author>
    <author>Valuation Common</author>
    <author>Windows User</author>
  </authors>
  <commentList>
    <comment ref="AA8" authorId="0" shapeId="0">
      <text>
        <r>
          <rPr>
            <b/>
            <sz val="9"/>
            <color indexed="81"/>
            <rFont val="Tahoma"/>
            <family val="2"/>
          </rPr>
          <t>Dhara Shah:</t>
        </r>
        <r>
          <rPr>
            <sz val="9"/>
            <color indexed="81"/>
            <rFont val="Tahoma"/>
            <family val="2"/>
          </rPr>
          <t xml:space="preserve">
Do not delete. This is an array formula, so please adjust (Ctrl+Shift+Enter) if range changes</t>
        </r>
      </text>
    </comment>
    <comment ref="D10" authorId="1" shapeId="0">
      <text>
        <r>
          <rPr>
            <b/>
            <sz val="9"/>
            <color indexed="81"/>
            <rFont val="Tahoma"/>
            <family val="2"/>
          </rPr>
          <t>Valuation Common:</t>
        </r>
        <r>
          <rPr>
            <sz val="9"/>
            <color indexed="81"/>
            <rFont val="Tahoma"/>
            <family val="2"/>
          </rPr>
          <t xml:space="preserve">
Update if selected levered beta is not available or applicable</t>
        </r>
      </text>
    </comment>
    <comment ref="E58" authorId="2" shapeId="0">
      <text>
        <r>
          <rPr>
            <b/>
            <sz val="9"/>
            <color indexed="81"/>
            <rFont val="Tahoma"/>
            <family val="2"/>
          </rPr>
          <t>Windows User:</t>
        </r>
        <r>
          <rPr>
            <sz val="9"/>
            <color indexed="81"/>
            <rFont val="Tahoma"/>
            <family val="2"/>
          </rPr>
          <t xml:space="preserve">
MSCI emerging markets</t>
        </r>
      </text>
    </comment>
  </commentList>
</comments>
</file>

<file path=xl/comments13.xml><?xml version="1.0" encoding="utf-8"?>
<comments xmlns="http://schemas.openxmlformats.org/spreadsheetml/2006/main">
  <authors>
    <author/>
  </authors>
  <commentList>
    <comment ref="B6" authorId="0" shapeId="0">
      <text>
        <r>
          <rPr>
            <sz val="10"/>
            <rFont val="Arial"/>
            <family val="2"/>
          </rPr>
          <t>Ranked on:
Annual Sales (Indication) - WW
2024</t>
        </r>
      </text>
    </comment>
    <comment ref="X6" authorId="0" shapeId="0">
      <text>
        <r>
          <rPr>
            <sz val="10"/>
            <rFont val="Arial"/>
            <family val="2"/>
          </rPr>
          <t>Compound Annual Growth Rate (CAGR) (2010 to 2024)</t>
        </r>
      </text>
    </comment>
    <comment ref="H8" authorId="0" shapeId="0">
      <text>
        <r>
          <rPr>
            <sz val="10"/>
            <rFont val="Arial"/>
            <family val="2"/>
          </rPr>
          <t>Patent Comment:
Patent date &amp; number refers to "Steroids as agonists for FXR" (US#7138390) including 1826 days of expected patent term extension. Patent protection refers to "Steroids as agonists for FXR" (US#8058267 &amp; #8377916) exp. on 21 FEB 2022. Source: 06 JUN 2017 Presentation, USPTO, 2017 10-K, S-1 (4 SEP 2012), 29 JUL 2008 press release, 8 MAR 2016 presentation.</t>
        </r>
      </text>
    </comment>
    <comment ref="AB8" authorId="0" shapeId="0">
      <text>
        <r>
          <rPr>
            <sz val="10"/>
            <rFont val="Arial"/>
            <family val="2"/>
          </rPr>
          <t>Company Disclosed Competitive Profile:
Source: Intercept Pharmaceuticals 2012 10-K, Page 5-7:
We are currently conducting our Phase 3 POISE trial, which has been designed to study the safety and efficacy of OCA in PBC patients with an inadequate therapeutic response to ursodiol or who are unable to tolerate ursodiol. In this trial, eligible PBC patients continue their ursodiol treatment, except for those patients unable to tolerate ursodiol, and were randomized into one of three trial arms of approximately 72 patients each, adding either: 10 mg of OCA; 5 mg of OCA increasing over the course of the trial to 10 mg of OCA; or a placebo. The double-blind phase of the trial will be 12 months in duration, and patients completing this phase will have the option to continue in an open label, long-term safety extension phase for another five years, during which all patients will receive OCA treatment with daily doses ranging from 5 mg to 25 mg a day, as clinically indicated.
In March 2013, we enrolled our first patient into the long-term safety extension phase of our POISE trial. The primary endpoint of the 12 month double-blind portion of the POISE trial is the achievement of both a reduction in ALP level to below a threshold of 1.67 times upper limit normal, or ULN, with a minimum of 15% reduction in ALP level from baseline, and a normal bilirubin level, a biomarker of liver function, as compared to placebo after 12 months of therapy. ULN is the uppermost level of a specified parameter that is considered normal in healthy people. Patients with ALP and bilirubin levels within these thresholds have been shown in long-term studies to be at significantly lower risk of progressing to liver transplant and death. In order to be eligible to enter the POISE trial, patients must have previously met the diagnostic criteria for PBC and have been taking a therapeutic dose of ursodiol for at least 12 months or, if unable to tolerate ursodiol, patients must not have been on therapy for at least three months prior to entering the trial. In addition, patients must have ALP levels of at least 1.67 times ULN and/or bilirubin levels of one to two times ULN. The POISE trial was designed to enroll 180 patients across approximately 60 clinical sites in North America and Europe. We completed enrollment of the POISE trial in December 2012 with 59 participating clinical sites in North America and Europe.
As of March 15, 2013, the discontinuation rate due to pruritus, even if attributed solely to the OCA dose groups, is lower than that seen in the 10mg OCA dose group in our Phase 2 combination study. We are advancing a once daily 10 mg dose of OCA in the POISE trial as our potential approvable dose.
If the POISE trial is successful, we intend to submit an NDA to the FDA for approval of OCA for the treatment of PBC in the United States and an MAA to the EMA for approval in Europe. Based on written scientific advice from the EMA, we believe that the EMA will accept our current clinical program as the basis for considering approval of OCA for PBC. With respect to the FDA, we intend to request an accelerated approval of OCA based on the acceptance of the POISE trial primary endpoint as a surrogate endpoint that is reasonably likely to predict clinical benefit. If the FDA grants an accelerated approval of OCA, we will be required to conduct one or more additional clinical trials post-approval to verify and confirm the clinical benefit predicted by the surrogate endpoint. This clinical outcomes trial must satisfy FDA’s definition of an adequate and well-controlled trial and would have to be substantially underway at the time of the NDA submission and would be completed after accelerated approval. We are in discussions with the FDA about the design of the clinical outcomes trial and plan to initiate it as early as the second half of 2013. 
In addition, other nonclinical studies that we will need to complete are carcinogenicity studies in two rodent species, which were initiated in early 2012, and reproductive toxicology studies. Finally, before we submit an NDA to the FDA, we believe that we will need to be substantially underway with a clinical outcomes trial to confirm clinical benefit at the time of NDA submission. We are in discussions with the FDA about the design of the clinical outcomes trial and plan to initiate it as early as the second half of 2013. It is possible that the FDA may require that we conduct and/or complete additional clinical trials and preclinical studies before it will consider our NDA for approval.
Phase 2 Trial for Portal Hypertension
We are currently conducting an open label Phase 2a trial of OCA, called the PESTO trial, in patients with alcoholic liver cirrhosis and portal hypertension in order to evaluate the ability of OCA to reduce HVPG in patients with end-stage liver disease. The primary endpoint of the trial is the reduction of HVPG after seven days of treatment by 15% or more, or to less than 12 mm Hg, a level at which the risk of adverse clinical outcomes has been shown to be significantly reduced. We presented results from a 10 mg dose group of the PESTO trial at the 2012 AASLD annual meeting. The results from the first 10 mg dose group showed that OCA was well tolerated in all twelve patients in the trial and five of eight patients who underwent portal circulation pressure assessments met the primary efficacy endpoint. 
The PESTO trial is ongoing with a 25 mg dose of OCA currently being evaluated and another 10 mg dose group being tested at a second center. We anticipate completing the trial in the fourth quarter of 2013. We are utilizing the safety data from the PESTO trial to supplement our safety data set for our planned NDA and MAA filings for PBC to include the evaluation of OCA in patients with end-stage liver disease. If the PESTO trial supports the further development of OCA for the treatment of portal hypertension, we intend to initiate a placebo-controlled, randomized Phase 2 clinical trial in patients with portal hypertension for a longer treatment period. However, we will need to secure funding to continue to advance OCA beyond that point for this indication.
 Potential Use of OCA to Treat Nonalcoholic Steatohepatitis (NASH)
Ongoing Phase 2 Trial for NASH
OCA is currently being tested in a Phase 2b NASH trial, called the FLINT trial, which is testing a 25 mg single daily dose of OCA versus placebo in 280 patients with NASH. We are sponsoring the FLINT trial in collaboration with the U.S. National Institute of Diabetes and Digestive and Kidney Diseases, or NIDDK, which oversees a clinical research network of eight leading NASH centers in the United States. The NIDDK submitted an IND to the FDA for OCA for the treatment of NASH in 2010. 
In November 2012, the NIDDK completed enrollment of the FLINT trial, achieving the target of 280 patients for this trial. We anticipate that final results will be available in late 2014. If this trial supports the further development of OCA as a treatment for NASH, we anticipate that we will need to secure additional funding to advance OCA for this indication. In addition, our collaborator DSP has initiated a second Phase 2 NASH trial in Japan. This trial is evaluating the efficacy and safety of a once-daily dose of OCA as compared to placebo, with a targeted enrollment of 200 patients. This trial is anticipated to be completed in the first half of 2016.
Phase 2 Trial: OCA as Therapy in Type 2 Diabetic Patients with NAFLD.
We have also completed a Phase 2 clinical trial of OCA in 64 type 2 diabetic patients with NAFLD. This double-blind, placebo-controlled trial tested 25 mg and 50 mg doses of OCA over a six-week period and assessed the effects of OCA on insulin sensitivity. The trial demonstrated that OCA therapy significantly improved insulin sensitivity both in the liver and peripheral tissues, thereby meeting the primary endpoint in the trial. Significant improvements in weight loss and reductions in liver enzymes such as GGT and ALT were also noted. The trial also showed that OCA was well-tolerated by the trial patients, with side effects no different than those reported on placebo (apart from mild constipation in the 50 mg group).
Source: Dainippon Fiscal 2011 Annual Report (YE MAR 2012), Page 21:
Compounds that entered clinical development in Japan in fiscal 2011 are DSP-6952 for the treatment of Irritable Bowel Syndrome (IBS) with constipation and chronic idiopathic constipation; DSP-1747 for the treatment of primary biliary cirrhosis (PBC) and nonalcoholic steatohepatitis (NASH), in-licensed from Intercept Pharmaceuticals Inc.; and DSP-5990 for treatment of MRSA infection, in-licensed from Takeda
In-licensed from Intercept Pharmaceuticals, DSP-1747 is a farnesoid X receptor (FXR) agonist whose ligand is the primary human bile acid chenodeoxycholic acid, the natural endogenous FXR agonist. Intercept Pharmaceuticals is conducting development overseas. A Phase III study is underway for patients with PBC, and Phase II/III studies are underway for patients with NASH. DSP-1747 is expected to be the world’s fi rst drug approved for NASH.
Source: Intercept Pharmaceuticals S-1 (4 SEP 2012), Page 79-85: 
Our lead product candidate, OCA, is a bile acid analog and first-in-class FXR agonist derived from the primary human bile acid chenodeoxycholic acid, or CDCA. CDCA, a natural FXR agonist, has historically been used safely as a chronic therapy for cholesterol gallstone disease. We are initially developing OCA for the second line treatment of PBC for patients with an inadequate therapeutic response to ursodiol or who are unable to tolerate ursodiol. OCA has received orphan drug designation in the United States for the treatment of PBC and a related disease called primary sclerosing cholangitis, or PSC. OCA also has orphan designation in Europe for PBC. We filed an IND with the FDA for OCA for the treatment of PBC in 2006. We believe we are the first company to have advanced an FXR agonist into clinical trials and are currently enrolling our Phase 3 POISE trial to evaluate the safety and efficacy of OCA as a novel treatment in PBC. We own worldwide rights to OCA outside of Japan and China, where we have exclusively licensed the compound to DSP, which also has an option to exclusively license OCA in certain additional Asian countries. 
We have completed two randomized, placebo-controlled Phase 2 trials of OCA in PBC patients. The first trial enrolled 165 patients to evaluate the addition of OCA to ursodiol in patients with an inadequate response to ursodiol therapy, and the second trial enrolled 59 patients to evaluate OCA given as monotherapy. Both trials showed that, over a 12-week period, single daily doses of OCA at the lowest dose of 10 mg met the Phase 2 primary and secondary endpoints of those trials, producing statistically significant reductions in levels of ALP and other important liver enzymes. Further, long-term open label extension phases of these trials have demonstrated that the majority of patients taking OCA for at least 12 months, with some on therapy for more than 30 months, maintained a durable treatment response. 
OCA Benefits in PBC 
We believe that OCA has the potential to provide the following benefits in the treatment of PBC: 
 • Efficacy. In addition to achieving the primary endpoint in our Phase 2 trials, the data also demonstrated that 80% of OCA-treated patients across our Phase 2 trials experienced a reduction in ALP levels of at least 10%, which we consider to be a clinically meaningful improvement, as compared to 13% of placebo-treated patients. Furthermore, our analysis of the data for those Phase 2 patients who would have met the entry criteria for our POISE trial demonstrated that after 12 weeks of treatment approximately 40% to 45% of OCA-treated patients would have met the POISE trial primary endpoint, as compared to 5% to 9% of the placebo-treated patients. 
 • Pharmacological Activity. Unlike ursodiol, which has no FXR-agonistic activity, OCA is approximately 100-times more potent than CDCA in activating the receptor. In numerous animal models, sustained FXR activation with OCA treatment has resulted in the prevention, and even reversal, of liver damage caused by progressive fibrosis. Our Phase 2 trials have demonstrated that most patients taking OCA also have significant reductions in immunoglobulin M, or IgM, and, in the combination trial with ursodiol, C-reactive protein, or CRP, common indicators of autoimmune activity. We believe that this demonstrates potential disease-modifying therapeutic activity directly addressing the underlying autoimmune pathology. 
 • Ease of Use. We anticipate seeking approval of OCA for the treatment of PBC at a dose of a single 10 mg tablet each day, which is approximately 1/100 the amount of ursodiol that a patient is typically prescribed. 
Phase 3 PBC Program for OCA 
We are currently enrolling our Phase 3 POISE trial, which has been designed to study the safety and efficacy of OCA in PBC patients with an inadequate therapeutic response to ursodiol or who are unable to tolerate ursodiol. In this trial, eligible PBC patients currently taking a stable therapeutic dose of ursodiol will continue their ursodiol treatment and be randomized into one of three trial arms of 60 patients each, adding either: 10 mg of OCA; 5 mg of OCA increasing over the course of the trial to 10 mg of OCA; or a placebo. The double-blind phase of the trial is designed to be 12 months in duration, and patients completing this phase will continue in an open label, long-term safety extension phase for another five years, during which all patients will receive OCA treatment with doses as low as 5 mg and as high as 25 mg a day, as clinically indicated. 
The primary endpoint of the 12 month double-blind portion of the POISE trial is the achievement of both a reduction in ALP level to below a threshold of 1.67 times upper limit normal, or ULN, with a minimum of 15% reduction in ALP level from baseline, and a normal bilirubin level, compared to placebo after 12 months of therapy. In order to be eligible to enter the POISE trial, patients must have previously met the diagnostic criteria for PBC and have been taking a therapeutic dose of ursodiol for at least 12 months or, if unable to tolerate ursodiol, patients must not have been on therapy for at least three months prior to entering the trial. In addition, patients must have ALP levels of at least 1.67 times ULN and/or bilirubin levels of one to two times ULN. The POISE trial is designed to enroll 180 patients across approximately 60 clinical sites in North America and Europe. We currently expect results from the trial to be available by mid-2014. 
If the POISE trial is successful, we intend to submit a NDA to the FDA for approval of OCA for the treatment of PBC in the United States and a MAA to the EMA for approval in Europe. Based on written scientific advice from the EMA, we believe that the EMA will accept our current clinical program as the basis for considering approval of OCA for PBC. With respect to the FDA, we intend to request that the POISE trial primary endpoint be accepted as a basis for approval of OCA under the FDA’s accelerated approval regulation that enables the use of a surrogate endpoint reasonably likely to predict clinical benefit. If the FDA agrees to consider the potential approval of OCA in accordance with its accelerated approval regulation based on the POISE trial results, we will likely have to conduct a Phase 3 clinical outcomes trial to confirm the clinical benefit predicted by the biochemical therapeutic response. This Phase 3 clinical outcomes trial would have to be substantially underway at the time of the NDA submission and would be completed after accelerated approval. We are in discussions with the FDA about the details of such a clinical trial and are planning to initiate it as early as the second half of 2013. 
A number of published clinical studies have demonstrated that a reduction in ALP or attaining an ALP below specific thresholds correlates with significant reduction in adverse clinical outcomes, such as liver failure, transplant and death. Similarly, studies have demonstrated that elevated bilirubin levels are predictive of adverse outcomes. We believe that one of the key factors in the FDA’s acceptance of our POISE trial primary endpoint as a basis for approval will be the result of additional analysis of the already available PBC clinical outcomes data. We are sponsoring an independent study involving more than ten leading academic PBC centers in Europe and North America that are pooling their long-term patient data to further substantiate that the POISE trial primary endpoint is predictive of clinical benefit. We anticipate these results will support what we believe is an emerging consensus among PBC opinion leaders concerning the clinical utility of our selected endpoint. We are calling this collection of centers the “PBC Supergroup” and it is anticipated that data from at least 4,000 patients will be submitted. 
We believe this study will comprise the single largest analysis of outcomes in PBC patients and that the analysis will confirm the results already published, or made available to us, by four different members of the PBC Supergroup (University of Toronto, Mayo Clinic, University of Paris and Erasmus University (Rotterdam)). These groups have independently corroborated that the achievement of an ALP level of less than 1.67 times ULN, together with a normal bilirubin level, correlate with a significant reduction of risk of adverse clinical outcomes such as liver transplant and death. 
Summary of additional preclinical and clinical studies required for regulatory submissions 
Based on our interactions with the FDA and EMA, we believe that, in addition to the successful completion of the POISE trial, we will need to complete the following clinical studies prior to our planned NDA and MAA filings: 
 • long-term monotherapy safety extension studies, resulting in approximately 650 patient cumulative years of safety data across all clinical trials; 
 • a Phase 1 clinical trial in healthy volunteers to evaluate the effect of OCA on the heart’s electrical cycle, known as the QT interval; and 
 • additional clinical pharmacology trials, including, but not limited to, drug interactions, the effects of food and drug-disease interaction studies. 
In addition, other preclinical studies that we will need to complete are carcinogenicity studies in two rodent species, which were initiated in early 2012, and reproductive toxicology studies. Finally, before we submit a NDA to the FDA, we believe that we will need to be substantially underway with a Phase 3 clinical outcomes trial to confirm clinical benefit at the time of NDA submission. We are in discussions with the FDA about the details of such a clinical trial and are planning to initiate it as early as the second half of 2013. It is possible that the FDA may require that we conduct and/or complete additional clinical trials and preclinical studies before it will consider our NDA for approval.
Summary of Completed OCA PBC Clinical Trials 
Phase 2 Trial: OCA as Combination Therapy in PBC Patients 
We have completed a double-blind, placebo-controlled Phase 2 clinical trial of OCA in 165 patients with PBC. The trial evaluated the effects of adding one of three doses of OCA (10 mg, 25 mg and 50 mg) or placebo to ursodiol therapy in patients with ALP levels of higher than 1.5 times ULN who had not responded adequately to ursodiol therapy alone. Patients continued their prior ursodiol dose throughout the trial. At the end of the 12-week treatment period, all three doses of OCA added to ursodiol therapy produced statistically significant reductions in ALP levels as compared with patients receiving placebo plus ursodiol therapy, the primary endpoint. OCA-treated patients demonstrated a mean reduction of 21% to 25% in ALP levels, as compared to patients receiving placebo plus ursodiol therapy, who exhibited a mean reduction of less than 3%. At trial entry, the baseline mean ALP value for all the patient groups was approximately 2.4 times ULN. In addition, patients who received OCA experienced similar significant decreases in other clinically relevant liver enzymes such as gamma glutamyl transferase, or GGT, aspartate transaminase, or AST, alanine transaminase, or ALT, and bilirubin. Furthermore, serum markers of inflammation and immune response also improved as seen in reductions of CRP and IgM, which are closely associated with autoimmune dysfunction in PBC. 
With the exception of a higher incidence of pruritus in the two highest OCA dose groups and a higher incidence of severe pruritus in all OCA dose groups, the Phase 2 clinical trial data showed that adverse events were generally similar across all groups, including the placebo group. Pruritus was dose dependent, with the ursodiol plus placebo incidence at 50%, ursodiol plus 10 mg of OCA at 47%, ursodiol plus 25 mg of OCA at 85% and ursodiol plus 50 mg of OCA at 80%. However, the severity of pruritus and the discontinuation rate due to severe pruritus increased with OCA dose and was worse than seen with placebo. There were no other statistically significant side effects observed over the placebo group, except for mild nausea. 
Open Label Long-Term Safety and Efficacy Trial for OCA as Combination Therapy 
Following the completion of the double-blind portion of the Phase 2 combination trial described above, 78 patients were enrolled in an open label long-term safety and efficacy extension study, or LTSE. Of these patients, 19 subsequently discontinued their participation in the LTSE, ten due to pruritus, one due to elevated bilirubin and eight due to other adverse events or for other reasons. There were five serious adverse events in the LTSE, of which two occurred at each of the 10 mg and 25 mg doses and one occurred at the 50 mg dose. None of the serious adverse events, which were typically related to hospitalizations for pre-existing conditions, was considered likely to be related to OCA therapy, and no serious adverse event was considered to be hepatic in nature. 
In the LTSE, patients continued to receive open label OCA, increasing from a dose of 10 mg to as high as 50 mg each day. In patients whose dose was increased, there was a benefit of increasing the dose up to 25 mg from 10 mg (with an incremental 9% fall in ALP), but not in increasing the dose above 25 mg. Over two-thirds of the patients were increased to 20 mg or more. Pruritus was the most common adverse event, reported in 68 of the 78 patients (approximately 87%). Other adverse events included fatigue, insomnia and upper respiratory tract infection, each of which was reported by approximately 13% of the patients in the LTSE. 
Phase 2 Trial: OCA as Monotherapy in PBC Patients 
We have completed a 59 patient double-blind, placebo-controlled Phase 2 clinical trial of OCA given as a monotherapy to patients with PBC. The trial evaluated the effects of 10 mg and 50 mg doses of OCA compared to placebo in patients with baseline ALP levels of higher than 1.5 times ULN. Patients either had never taken ursodiol or had not been taking ursodiol for at least 3 months before the start of the trial. At the end of the 12-week treatment period, statistically significant reductions in ALP were seen in the treated patients (38% to 45% mean ALP reductions compared with no change in the placebo-treated patients). Patients in the 10 mg dose group experienced absolute reductions in ALP levels from a mean of approximately 3.9 times ULN to approximately 1.9 times ULN at the end of the study. Even greater reductions in GGT (63% to 75%) were seen in the OCA-treated groups (compared to 3% for placebo-treated groups). There were also significant improvements in ALT levels and bilirubin levels. In addition, IgM also improved. Pruritus was seen more commonly in the patients treated with OCA, with the incidence, severity and discontinuation rate all increasing with dose; otherwise, the other adverse events were not clearly different across the groups. 
Ongoing Open Label Long-Term Safety and Efficacy Trial for OCA as a Monotherapy 
Following the completion of the double-blind portion of the Phase 2 monotherapy trial described above, some patients were given the option to enroll in an open label long-term safety and efficacy extension study, or monotherapy LTSE. The monotherapy LTSE phase is currently ongoing. Patients continue to receive open label OCA in this phase, and have been increased from a starting dose of 10 mg to as high as 50 mg. Approximately half of the patients are currently taking 20 mg or more of OCA. Consistent with the combination trial LTSE, continued improvements in biochemistry have been seen. Pruritus is the most common adverse event and has been reported over the course of the monotherapy LTSE in 24 of the 28 subjects (or 86%) for whom data are available. Other adverse events include headache, arthralgia, fatigue and nausea, which have been reported in approximately 32%, 25%, 21% and 21% of the patients, respectively. 
Summary of Completed Phase 1 Trials 
OCA has been evaluated in two Phase 1 clinical trials to study its safety and pharmacokinetic profile in healthy volunteers. The first was a single ascending dose trial in 24 subjects testing single OCA doses in the range of 50 mg to 500 mg. The second was a multiple ascending dose trial in 50 subjects testing repeated OCA doses in the range of 25 mg to 250 mg for 12 consecutive days. Adverse events seen in the Phase 1 trials were generally mild. Only two adverse events, upper abdominal pain and nasopharyngitis, were observed in one subject each in the single ascending dose trial. In the multiple ascending dose trial, doses from 25 mg to 100 mg were generally well-tolerated. At the highest dose of 250 mg, ALT and AST increases were seen, consistent with our animal toxicology data. This dose is 25-times greater than the 10 mg dose in the POISE trial and ten-times greater than the 25 mg dose being tested in our ongoing Phase 2b trial for NASH, called the FLINT trial. Half of the subjects in the 250 mg dosing group reported mild pruritus and one discontinued due to a rash. 
Additional Potential Clinical Indications for OCA 
Based on the potential protective effects of OCA in the liver, we are conducting clinical trials in additional chronic liver disease indications with potential greater market opportunities, with the view of expanding OCA’s therapeutic applications. 
. 
Phase 2 Trial for Portal Hypertension 
OCA is currently being tested in an open label Phase 2a trial, called the PESTO trial, in patients with portal hypertension to evaluate the ability of OCA to reduce hepatic portal venous pressure in patients with end-stage liver disease. The primary endpoint of the trial is to lower the hepatic venous pressure gradient after seven days of treatment by 15% or more, or to 12 mm Hg or less, a level at which the risk of adverse clinical outcomes has been shown to be significantly reduced. An initial safety cohort of four patients demonstrated that OCA was well-tolerated at the 10 mg dose. We are currently conducting an efficacy trial of the 10 mg dose in seven to nine patients, while also completing a safety cohort at a 25 mg dose before continuing with a planned efficacy cohort at this higher dose. We anticipate receiving results from the 10 mg dose group of our PESTO trial by the end of 2012. We are utilizing the data from this trial to supplement our safety data set for our planned NDA for PBC to include the evaluation of OCA in patients with end-stage liver disease. If the PESTO trial supports the further development of OCA for the treatment of portal hypertension, we may initiate a Phase 2 clinical trial in patients with portal hypertension. However, we will need to secure funding in addition to the proceeds from this offering to continue to advance OCA for this indication. 
Ongoing Phase 2 Trial for NASH 
OCA is currently being tested in a Phase 2b NASH trial, called the FLINT trial, that is testing a 25 mg single daily dose of OCA versus placebo in 280 patients with NASH. We are sponsoring the FLINT trial in collaboration with the U.S. National Institute of Diabetes and Digestive and Kidney Diseases, or NIDDK, which oversees a clinical research network of eight leading NASH centers in the United States. The NIDDK filed an IND with the FDA for OCA for the treatment of NASH in 2010. The primary endpoint in the 72-week double-blind FLINT trial is based on liver biopsy and is defined as an improvement of two or more points in the NAFLD activity score (a system of scoring the histopathological features in the liver) with no worsening of liver fibrosis. The NIDDK is providing the majority of funding for the trial, which we anticipate will be fully enrolled in 2012, with final results expected in late 2014. If this trial supports the further development of OCA as a treatment for NASH, we anticipate that we will need to secure additional funding to advance OCA for this indication. 
In June 2012, the NIDDK’s data and safety monitoring board, or DSMB, for the FLINT trial completed an interim analysis and recommended that the trial should continue based on data from 101 patients who had completed at least 24 weeks and up to 15 months of the trial. The interim analysis reviewed the change from baseline in ALT levels as the efficacy criterion variable and all available safety data. Based on the recommendation of the DSMB, the NIDDK decided to continue the FLINT trial.
Phase 2 Trial: OCA as Therapy in Type 2 Diabetic Patients with NAFLD 
We have also completed a Phase 2 clinical trial of OCA in 64 type 2 diabetic patients with NAFLD. This double-blind, placebo-controlled trial tested 25 mg and 50 mg doses of OCA over a six-week period and assessed the effects of OCA on insulin sensitivity. The trial demonstrated that OCA therapy significantly improved insulin sensitivity both in the liver and peripheral tissues, thereby meeting the primary endpoint in the trial. Significant improvements in weight loss and reductions in liver enzymes such as GGT and ALT were also noted. The trial also showed that OCA was well-tolerated by the trial patients, with side effects no different than those reported on placebo (apart from mild constipation in the 50 mg group). 
Potential Use of OCA to Treat Bile Acid Diarrhea 
In July 2012, investigators at the Imperial College of London initiated enrollment of an open label Phase 2a trial, called the OBADIAH trial, to investigate whether OCA can stimulate the hormone known as fibroblast growth factor 19, or FGF19, in patients with bile acid diarrhea. Bile acid diarrhea is an under-recognized but common subtype of inflammatory bowel syndrome with diarrhea, or IBS-D, marked by chronic watery diarrhea. FGF19 levels are substantially reduced in these patients, resulting in impaired feedback inhibition of bile acid synthesis. The resulting excess bile acids spill into the intestine where they produce diarrhea by stimulating intestinal secretion. FGF19 is synthesized in the small intestine under the direct regulation of FXR and we have shown in all three of our completed Phase 2 trials that OCA markedly stimulates the release of FGF19. The primary outcome measure of the OBADIAH trial will be to assess the change in FGF19 levels over a two-week period in ten patients with bile acid diarrhea and in two control groups. The Imperial College of London is acting as the sponsor of the OBADIAH trial. If positive, this trial could support the further development of OCA for the treatment of bile acid diarrhea, in which case we would need to secure additional funding for the advancement of OCA for this indication. 
Other Potential Indications for OCA 
We believe that OCA may have potential therapeutic application in other chronic diseases such as PSC, another autoimmune cholestatic liver disease; inflammatory bowel disease, including Crohn’s disease and/or ulcerative colitis; biliary atresia, a pediatric disease characterized by deficient bile duct development; and Aligille Syndrome, a very rare genetic disorder that affects the liver and other organs. We anticipate that we will need to secure additional funding for the advancement of OCA for any of these indications.</t>
        </r>
      </text>
    </comment>
    <comment ref="AC8" authorId="0" shapeId="0">
      <text>
        <r>
          <rPr>
            <sz val="10"/>
            <rFont val="Arial"/>
            <family val="2"/>
          </rPr>
          <t>Company Disclosed Competitive Profile: 
Source: Intercept Pharmaceuticals 2013 10-K, Page 5: 
..We have completed two randomized, placebo-controlled Phase 2 trials of OCA in PBC patients, one with OCA in combination with ursodiol and one with OCA as monotherapy. The first trial enrolled 165 patients to evaluate the addition of OCA to ursodiol in patients with an inadequate response to ursodiol therapy, and the second trial enrolled 59 patients to evaluate OCA given as monotherapy. Both trials showed that, over a 12-week period, single daily doses of OCA at the lowest dose of 10 mg met the primary and secondary endpoints of those trials, producing statistically significant reductions in levels of ALP of greater than 20% and statistically significant reductions in levels of other important liver enzymes. We consider reductions in ALP levels of greater than 10% to be a clinically meaningful improvement. Further, long-term open-label extension phases of these trials have demonstrated that the majority of patients taking OCA for at least 12 months, with some on therapy for more than 4 years, maintained a durable treatment response. Pruritus, or itching, a very common symptom in PBC patients, was the most common adverse event reported in our Phase 2 trials, with severity increasing with dose. 
Page5: 
Phase 3 PBC Program for OCA 
We designed our Phase 3 POISE trial to study the safety and efficacy of OCA in PBC patients with an inadequate therapeutic response to ursodiol or who are unable to tolerate ursodiol. In this trial, eligible PBC patients continued their ursodiol treatment, except for those patients unable to tolerate ursodiol, and were randomized into one of three trial arms of approximately 72 patients each, adding either: 10 mg of OCA; 5 mg of OCA increasing over the course of the trial to 10 mg of OCA; or a placebo. Of the 217 patients randomized, 19 patients (approximately 9%) discontinued early, including seven patients (approximately 3%) who did so due to pruritus. Top-line results from the double-blind phase of the POISE trial are expected to be available in March 2014. Patients completing the 12 month double-blind phase have been given the option to continue in an open-label, long-term safety extension, or LTSE, phase for another five years, during which all patients will receive OCA treatment with daily doses ranging from 5 mg to 25 mg, as clinically indicated. Of the 198 patients who completed the double-blind phase, more than 95% continued in the LTSE phase of the trial, and approximately 188 patients remained in the LTSE phase of the trial as of February 28, 2014.  
The primary endpoint of the 12 month double-blind portion of the POISE trial is the achievement of both a reduction in ALP level to below a threshold of 1.67 times upper limit normal, or ULN, with a minimum of 15% reduction in ALP level from baseline, and a normal bilirubin level, a biomarker of liver function, for patients in the applicable treatment arm of the trial as compared to patients in the placebo arm after 12 months of therapy. ULN is the uppermost level of a specified parameter that is considered normal in healthy people. Patients with ALP and bilirubin levels below these thresholds have been shown in long-term studies to be at significantly lower risk of progressing to liver transplant and death. In order to be eligible to enter the POISE trial, patients must have previously met the diagnostic criteria for PBC and have been taking a therapeutic dose of ursodiol for at least 12 months or, if unable to tolerate ursodiol, patients must not have been on therapy for at least three months prior to entering the trial. In addition, patients must have had ALP levels of at least 1.67 times ULN and/or bilirubin levels of one to two times ULN. The POISE trial was designed to enroll 180 patients across approximately 60 clinical sites in North America and Europe. We completed enrollment of 217 patients into the POISE trial in December 2012 with 59 participating clinical sites in North America and Europe. 
..If the results of the POISE trial are positive, we intend to submit a New Drug Application, or NDA, to the U.S. Food and Drug Administration, or FDA, for approval of OCA for the treatment of PBC in the United States and a Marketing Authorization Application, or MAA, to the European Medicines Agency, or EMA, for approval in Europe, at the end of 2014. Based on written scientific advice from the EMA, we believe that the EMA will consider our current clinical program to be appropriate to support an MAA for OCA. With respect to the FDA, we intend to request an accelerated approval of OCA based on the acceptance of the POISE trial primary endpoint as a surrogate endpoint that is reasonably likely to predict clinical benefit. If the FDA grants an accelerated approval of OCA, we will be required to complete a clinical outcomes trial post-approval to confirm the clinical benefit predicted by the achievement of the surrogate endpoint. This clinical outcomes trial must satisfy FDA’s definition of an adequate and well-controlled trial and is expected to be underway at the time the FDA makes a decision whether to grant accelerated approval, with completion to follow on a post-marketing basis. As the acceptance of a new accelerated approval endpoint is a review issue, the FDA will likely not formally confirm our use of a surrogate endpoint in the POISE trial as the basis for regulatory approval until after the NDA is submitted. In the meantime, we are in discussions with the FDA about the design of the clinical outcomes trial and plan to initiate it during the third quarter of 2014. 
Page 18: 
..We intend to initiate a multicenter, 24-week, randomized, double-blind, placebo-controlled Phase 2 trial of OCA in 75 patients with PSC in the second half of 2014. We anticipate that this trial will evaluate the effects of 1.5 mg, 3 mg, 5 mg and 10 mg doses of OCA compared to placebo in patients with baseline ALP levels higher than two times ULN. The primary efficacy endpoint will be the reduction of ALP levels, as compared to placebo. In addition, OCA’s effect on other secondary liver function endpoints, as well as ulcerative colitis symptoms, will also be assessed. If this trial supports the further development of OCA as a treatment for PSC, we anticipate that we will need to secure additional funding to advance OCA for this indication.
Source: Intercepts Pharmaceuticals S-1 (1 OCT 2013), Page 1:
Our lead product candidate, obeticholic acid, or OCA, is a bile acid analog, a chemical substance that has a structure based on a naturally occurring human bile acid. OCA is a first-in-class product candidate that selectively binds to and induces activity in the farnesoid X receptor, or FXR, which we believe has broad liver-protective properties. We are developing OCA initially for primary biliary cirrhosis, or PBC, as a second line treatment for patients who have an inadequate response to or who are unable to tolerate standard of care therapy and therefore need additional treatment. PBC is a chronic autoimmune liver disease that, if inadequately treated, may eventually lead to cirrhosis, liver failure and death. We are conducting a Phase 3 clinical trial of OCA in PBC, which we call the POISE trial, that we anticipate will serve as the basis for seeking regulatory approval in the United States and Europe. In December 2012, we completed enrollment of the POISE trial approximately three months ahead of schedule with 217 patients, exceeding the originally targeted number of patients by approximately 20% and thereby improving the statistical power of the trial from 90% to 95%. We currently expect results from the POISE trial to be available in the second quarter of 2014. OCA has received orphan drug designation in the United States and Europe for the treatment of PBC. We own worldwide rights to OCA outside of Japan and China, where we have exclusively licensed the compound to Dainippon Sumitomo Pharma, or DSP, and granted it an option to exclusively license OCA in certain other Asian countries. Patents covering the composition of matter for OCA expire in 2022, before any patent term adjustments or patent term extensions. 
Page 2-3:
We have previously completed two randomized, placebo-controlled Phase 2 trials of OCA in PBC patients, one with OCA in combination with ursodiol and one with OCA as monotherapy. The results demonstrated that, over a 12-week period, single daily doses of OCA at the lowest dose of 10 milligrams (mg) met the primary endpoint in both Phase 2 trials, producing statistically significant reductions in ALP levels of greater than 20%. We consider reductions in ALP levels of greater than 10% to be a clinically meaningful improvement. Pruritus, or itching, a very common symptom in PBC patients, was the most common adverse event reported in our Phase 2 trials, with severity increasing with dose. Our Phase 3 POISE trial has been designed to study the safety and efficacy of OCA in PBC patients with an inadequate therapeutic response to ursodiol or who are unable to tolerate ursodiol. The primary endpoint of the 12-month double-blind portion of the POISE trial is the achievement of both an ALP level of less than 1.67 times upper limit normal, or ULN, with a minimum 15% reduction in ALP level from baseline, and a normal bilirubin level, as compared to placebo. Patients with ALP and bilirubin levels within these thresholds have been shown in long-term studies to be at significantly lower risk of progressing to liver transplant and death. We are advancing a once daily 10 mg dose of OCA in the POISE trial as our potential approvable dose. We completed an intention to treat analysis for the 10 mg dose groups in our two Phase 2 trials that was limited to those patients who would have met the POISE trial entry criteria. This analysis demonstrated that after 12 weeks of treatment, approximately 40% to 45% of OCA-treated patients would have met the POISE trial primary endpoint, as compared to 5% to 9% of the placebo-treated patients. In addition, 80% of OCA-treated patients across our Phase 2 trials had a reduction in ALP levels of at least 10%, as compared to 13% of placebo-treated patients. If the POISE trial is successful, we currently intend to submit a New Drug Application, or NDA, to the U.S. Food and Drug Administration, or FDA, for approval of OCA for the treatment of PBC in the United States and a Marketing Authorization Application, or MAA, to the European Medicines Agency, or EMA, for approval in Europe, by the end of 2014. Based on written scientific advice from the EMA, we believe that the EMA will accept our current clinical program as the basis for considering approval of OCA for PBC. With respect to the FDA, we intend to request an accelerated approval of our NDA for OCA based on the use of the POISE trial primary endpoint as a surrogate endpoint that is reasonably likely to predict clinical benefit. If the FDA grants an accelerated approval of our NDA for OCA, we will be required to conduct one or more additional clinical trials post-approval to verify and confirm the clinical benefit predicted by achievement of the surrogate endpoint. This clinical outcomes trial must satisfy the FDA’s definition of an adequate and well-controlled trial and is expected to be substantially underway at the time the FDA grants accelerated approval, with completion to follow after receiving accelerated approval. Although the FDA has not confirmed our use of a surrogate endpoint in the POISE trial as a basis for regulatory approval, we are in discussions with the FDA about the design of the clinical outcomes trial and plan to initiate it during the first half of 2014.
Page 4:
We are currently conducting an open label Phase 2a trial of OCA in patients with portal hypertension, studying once-daily doses of 10 mg and 25 mg, and we presented results from the 10 mg dose group of this trial at the annual meeting of the American Association for the Study of Liver Diseases in November 2012. There are currently no approved therapies for the treatment of portal hypertension, although beta blockers are commonly used to treat patients. In addition, OCA is currently being tested in a Phase 2b trial for the treatment of NASH, known as the FLINT trial, which is sponsored by the U.S. National Institute of Diabetes and Digestive and Kidney Diseases, or NIDDK, in collaboration with us. In November 2012, the NIDDK completed enrollment, achieving the target of 280 patients for this trial. Based on the interim analysis that was completed in June 2012, the NIDDK decided to continue this Phase 2b trial and we anticipate that final results will be available in the fourth quarter of 2014. In addition, our collaborator, DSP, has initiated a second Phase 2 NASH trial in Japan, with a targeted enrollment of 200 patients, that is anticipated to be completed in the first half of 2016. There are currently no approved therapies for the treatment of NASH. In addition, investigators at the Imperial College of London initiated enrollment in July 2012 in an open label Phase 2a trial of OCA as a treatment for bile acid diarrhea, which we refer to as the OBADIAH trial, and presented initial results in patients with primary bile acid diarrhea at the 2013 Digestive Diseases Week annual meeting in May 2013. We expect final results from this trial will be available in the fourth quarter of 2013. By virtue of our patent portfolio and the proprietary know-how of our employees and our collaborators at the University of Perugia, we believe that we hold a leading position in the bile acid chemistry therapeutic field. Through a longstanding collaboration with Professor Roberto Pellicciari, Ph.D., one of our co-founders, and certain scientists in the medicinal chemistry group at the University of Perugia, we have gained the capability to rationally design compounds that bind selectively and potently to FXR and other bile acid receptors. Starting with OCA, which was invented by Professor Pellicciari and, together with its underlying patents, was assigned to us under our agreements with him and the University of Perugia, our collaboration has resulted in a pipeline of bile acid analogs in addition to OCA, which target both FXR and a second dedicated bile acid receptor called TGR5, a target of interest for the treatment of type 2 diabetes and associated metabolic diseases. We intend to continue developing these and other product candidates as we advance our pipeline, in some cases subject to the procurement of additional funding or through strategic collaborations.</t>
        </r>
      </text>
    </comment>
    <comment ref="AD8" authorId="0" shapeId="0">
      <text>
        <r>
          <rPr>
            <sz val="10"/>
            <rFont val="Arial"/>
            <family val="2"/>
          </rPr>
          <t>Company Disclosed Competitive Profile:
Source: Intercept Pharmaceuticals 2014 10-K, Page 1:
In January 2015, OCA received breakthrough therapy designation from the U.S. Food and Drug Administration, or FDA, for the treatment of NASH patients with liver fibrosis. OCA has also been granted fast track designation by the FDA for the treatment of patients with PBC who have an inadequate response to or are intolerant of ursodiol. OCA has received orphan drug designation in the United States and the European Union for the treatment of PBC and primary sclerosing cholangitis, or PSC. In March 2014, we completed a Phase 3 clinical trial, known as the POISE trial, in which OCA achieved the primary endpoint for the treatment of PBC. We intend to use these results, along with two previously completed randomized Phase 2 clinical trials of OCA in PBC, as the basis for seeking the first regulatory approvals to market OCA in the United States and Europe. We initiated a rolling New Drug Application, or NDA, submission with the FDA for OCA in PBC in December 2014 under the FDA’s accelerated approval pathway. We also plan to submit an application for marketing approval for OCA in PBC in Europe. We plan to complete our filings for marketing approval of OCA in PBC in the United States and Europe during the first half of 2015. If we receive marketing approval from regulatory authorities based on these applications, we plan to initiate the commercial launch of OCA in PBC in the United States and certain European countries in 2016.
OCA achieved the primary endpoint in a Phase 2b clinical trial for the treatment of NASH, known as the FLINT trial, which was sponsored by the U.S. National Institute of Diabetes and Digestive and Kidney Diseases, or NIDDK, a part of the National Institutes of Health. The FLINT trial was completed in late July 2014. We are planning to finalize the design of our Phase 3 clinical program in NASH in the second quarter of 2015, subject to the completion of our regulatory discussions with the FDA and the European Medicines Agency, or EMA, and then initiate the clinical program. We also intend to initiate a clinical trial in 2015 characterizing the lipid metabolic effects of OCA and cholesterol management effects of concomitant statin administration in NASH patients. Our collaborator, Sumitomo Dainippon Pharma Co. Ltd., or Sumitomo Dainippon, has completed enrollment in a 200-patient Phase 2 NASH clinical trial of OCA in Japan with a primary efficacy endpoint similar to that used in our Phase 2b FLINT trial, which is anticipated to be completed by the end of 2015. In December 2014, we initiated an international Phase 2 clinical trial in patients with PSC to evaluate the effects
Page 7:
Following the completion of the double-blind portion of the POISE trial described above, patients were given the option to enroll in an open-label long-term safety and efficacy extension trial, or the POISE LTSE. The POISE LTSE is currently ongoing.
Page 15:
We plan to initiate a Phase 2 clinical trial in pediatric patients with biliary atresia in the second half of 2015.
Page 75:
We initiated our clinical outcomes confirmatory trial for OCA in PBC in December 2014 and expect the trial to be completed on a post-marketing basis.
Source: Sumitomo Dainippon Pharma Fiscal 2013 Annual Report (YE MAR 2014), Page 34:
DSP-1747, In-licensed from Intercept Pharmaceuticals Inc., is an agonist to farnesoid X receptor (FXR) whose ligand is the primary human bile acid chenodeoxycholic acid, the natural endogenous FXR agonist. The compound is expected to be effective for hepatic dysfunction and hepatic fibrosis associated with an increase of bile acid in the liver.</t>
        </r>
      </text>
    </comment>
    <comment ref="AE8" authorId="0" shapeId="0">
      <text>
        <r>
          <rPr>
            <sz val="10"/>
            <rFont val="Arial"/>
            <family val="2"/>
          </rPr>
          <t>Company Disclosed Competitive Profile:
Source: Dainippon Fiscal 2014 Annual Report (YE MAR 2015), Page 16:
In the area of disease fields where no approved drugs exist, EPI-743 is in the late phase of clinical development for Leigh syndrome, and DSP-1747 is under development for nonalcoholic steatohepatitis (NASH).</t>
        </r>
      </text>
    </comment>
    <comment ref="AF8" authorId="0" shapeId="0">
      <text>
        <r>
          <rPr>
            <sz val="10"/>
            <rFont val="Arial"/>
            <family val="2"/>
          </rPr>
          <t>Company Comment:
Source: Intercept Pharmaceuticals FY 2016 Results (23 FEB 2017):
"2016 was a truly momentous year for Intercept, marked by the U.S. and European approvals of Ocaliva for the treatment of primary biliary cholangitis (PBC)," said Mark Pruzanski, M.D., President and CEO of Intercept. "We successfully transitioned to a commercial organization with our U.S. launch for PBC in June 2016 that generated net sales of $18.2 million for the year, while making solid progress in our clinical development programs."
Intercept recognized $18.2 million of net sales of Ocaliva for the full year 2016. Intercept currently recognizes revenue using the sell-through method (i.e., when its specialty pharmacies dispense Ocaliva to patients, not when products are sold to the specialty pharmacies). Revenue recognition will transition from the sell-through method to the sell-in method once a sufficient period of commercial experience has occurred to enable Intercept to estimate product returns.</t>
        </r>
      </text>
    </comment>
    <comment ref="AG8" authorId="0" shapeId="0">
      <text>
        <r>
          <rPr>
            <sz val="10"/>
            <rFont val="Arial"/>
            <family val="2"/>
          </rPr>
          <t>Company Comment:
Source: Intercept Pharmaceuticals FY 2017 Results (14 FEB 2018):
Intercept recorded $129.2 million of worldwide net Ocaliva sales for the full year 2017, and $37.3 million for the fourth quarter of 2017.Net U.S. Ocaliva sales were $115.8 million for the full year 2017 and $32.0 million for the fourth quarter of 2017.
Net ex-U.S. international Ocaliva sales were $13.4 million for the full year 2017, and $5.3 million for the fourth quarter of 2017.</t>
        </r>
      </text>
    </comment>
    <comment ref="H9" authorId="0" shapeId="0">
      <text>
        <r>
          <rPr>
            <sz val="10"/>
            <rFont val="Arial"/>
            <family val="2"/>
          </rPr>
          <t>Patent Comment:
Patent date refers to NoA for US patent for NASH &amp; issued European patent for NASH &amp; hepatic fibrosis covering 32 countries &amp; Hong Kong covering NASH &amp; other hepatic diseases with protection upto the end of 2035. Patent Protection refers to NoA in US for hepatic fibrosis &amp; in China for NASH &amp; hepatic fibrosis exp until 2035, "extensive protection of the exclusivity for a complete range of subject matters including a large series of structural variants, pharmaceutical uses &amp; compositions in the field of cardiometabolic diseases, process of production &amp; pharmaceutical combinations", protection in US, Europe, China, Russia, Australia, Canada, Japan &amp;  India &amp; pending application covering its use in oncology. Source: 2012 AR, press releases.</t>
        </r>
      </text>
    </comment>
    <comment ref="Z9" authorId="0" shapeId="0">
      <text>
        <r>
          <rPr>
            <sz val="10"/>
            <rFont val="Arial"/>
            <family val="2"/>
          </rPr>
          <t>Company Disclosed Competitive Profile
Source: GENFIT 2010 Annual Report, Pages 8-9:
GFT505 IS A NEW GENERATION DRUG CANDIDATE (DUAL PPAR / – NON-PPARγ) FOR THE MANAGEMENT OF GLOBAL CARDIOMETABOLIC RISK ASSOCIATED WITH PREDIABETES AND DIABETES GFT505 is the most advanced compound of a group of drug candidates developed by GENFIT.
GFT505 targets multiple risk factors of prediabetes and diabetes: hyperglycemia and insulin resistance, atherogenic dyslipidemia (low levels of HDL-cholesterol, elevated triglycerides), and inflammation, as well as certain liver disorders often associated with prediabetic and diabetic states (Non-Alcoholic Fatty Liver Disease or NAFLD, and Non-Alcoholic Steato-Hepatitis or NASH).
 Proof of efficacy and safety of GFT505 have been obtained in Phase I and Phase IIa trials as follows:
Improvement of glucose homeostasis in prediabetic patients Significant reduction in fasting plasma glucose, fasting insulinemia and improvement of insulin resistance index (HOMA)
Improvement in the insulin sensitivity of peripheral tissues Significant potentiation of the action of insulin produced during a meal test on the plasma free fatty acid concentration
Improvement of the two components of atherogenic dyslipidemia Significant reduction in plasma triglycerides and increase in HDL-cholesterol
Demonstration of anti-inflammatory effects Significant reduction in plasma fibrinogen and haptoglobin Demonstration of favorable effects on two indicators of diabetes-associated liver dysfunction Significant reduction in plasma ALAT and γGT
Demonstration of a very good safety profile No safety concerns identified in Phase I and II No effect on plasma homocysteine and other PPAR related safety markers
 GFT505, MAJOR 2010 EVENTS
In September 2010, GENFIT announced the results of the GFT505-109-6 clinical trial performed in healthy normoglycemic volunteers treated for 14 days with 100mg/day of GFT505. The treatment potentialized insulin action on the adipose tissue during a meal test, thus confirming the anti-diabetic potential of GFT505. In January 2010, the GFT505-109-5 clinical trial demonstrated that the co-administration of GFT505 and a statin did not result in significant pharmokinetic drug-drug interaction, and thus should not be associated with the undesirable side-effects observed with certain fibrate/statin co-prescriptions.
In September 2010, GENFIT launched two further clinical studies that aim to reinforce the therapeutic potential of GFT505:
The GFT505-210-5 clinical trial will evaluate the efficacy and safety of 3 months of treatment with GFT505 in diabetic patients. Efficacy will be assessed by changes in plasma HbA1c levels as the primary endpoint, but also by the evaluation of criteria such as glucose homeostasis, plasma lipids, and certain inflammatory markers. The results of this study are expected in July 2011.
The GFT505-210-6 clinical trial aims to demonstrate the effects of GFT505 on liver glucose production and insulin sensitivity in glucose-intolerant patients. The results of this mechanism-of-action study are expected in August 2011.</t>
        </r>
      </text>
    </comment>
    <comment ref="AA9" authorId="0" shapeId="0">
      <text>
        <r>
          <rPr>
            <sz val="10"/>
            <rFont val="Arial"/>
            <family val="2"/>
          </rPr>
          <t xml:space="preserve">Company Disclosed Competitive Profile
Source: GENFIT 2011 Annual Report, Pages 5-6:
GFT505, AN IDEAL CANDIDATE FOR THE TREATMENT OF NASH AND THE REDUCTION OF CARDIOVASCULAR RISK IN HIGH-RISK PATIENTS
The drug candidate GFT505 shows a wide spectrum of action on multiple parameters implicated in the development of the liver diseases and the cardiovascular complications associated with type 2 diabetes. In particular, its beneficial effects on insulin sensitivity and glucose metabolism, liver enzymes, dyslipidemia, and inflammatory markers make GFT505 an ideal candidate for the treatment of Non-Alcoholic Steato-Hepatitis (NASH). The therapeutic efficacy and the excellent safety profile of GFT505 have been shown in multiple Phase I and IIa clinical trials. In 2011, conclusive results on insulin resistance and liver dysfunction markers were obtained in both diabetic [GFT505-210-5 study] and glucose-intolerant [GFT505-210-6 study] populations. For NASH, specific preclinical studies in animal models have shown that GFT505 strongly reduces steatosis (fat in the liver), inflammation, and hepatic fibrosis. In early 2012, the Company also completed regulatory long-term animal toxicology studies with GFT505, that confirmed the absence of major adverse effects relevant to humans.
GFT505, DISCOVERED AND DEVELOPED BY GENFIT AS ONE OF THE FIRST DRUGS FOR THE TREATMENT OF NASH
With the completion of Phase IIa clinical trials and animal toxicology studies, the Company has recently launched the Phase IIb development plan for GFT505 up to market registration for the primary indication of NASH treatment in type 2 diabetic patients. The development plan has recently received a favorable scientific opinion from the European Medicines Agency (EMA), and the Company has commissioned a medico-economic study to estimate its potential sales price. The effects of GFT505 on glucose homeostasis, its capacity to regulate plasma levels of triglycerides and HDL-cholesterol, and its anti-inflammatory effects also open the way to a secondary indication of cardiovascular risk reduction in high-risk diabetic patients.
Page 15:
Today, GENFIT has a portfolio of 218 patents and patent applications (142 granted), grouped into 18 families. This portfolio includes patents covering new molecules and their potential therapeutic applications, as well as new therapeutic applications for pre-existing molecules. In particular, 151 patents or patent applications concern GFT505.
</t>
        </r>
      </text>
    </comment>
    <comment ref="AB9" authorId="0" shapeId="0">
      <text>
        <r>
          <rPr>
            <sz val="10"/>
            <rFont val="Arial"/>
            <family val="2"/>
          </rPr>
          <t>Company Disclosed Competitive Profile
Source: GENFIT 2012 Annual Report, Pages 6-7:
In 2012, a new Phase I study in obese and/or diabetic volunteers confirmed the safety of GFT505 at single doses of up to 300 mg and in 14-day repeated doses of up to 240 mg/d. A further Phase I study showed that there is no risk of drug-drug interaction between GFT505 and the reference drug warfarin, thus significantly extending the possibility of co-prescriptions with GFT505. 
Also in 2012, new pre-clinical data confirmed that GFT505 strongly reduces steatosis (fat in the liver), inflammation, and hepatic fibrosis in disease models of NASH. Moreover, the oral administration of GFT505 resulted in the elimination of established liver fibrosis. A research program was also initiated to study the anti-fibrotic mechanism of action of GFT505. 
The first results showed that the anti-fibrotic effects are mediated by an original mechanism of action that opens the door to the further evaluation of GFT505 in hepatic/cirrhotic fibrosis linked to chronic viral- or alcohol-induced hepatitis. These findings reinforce the innovative character of GFT505, and in 2012 the Company filed a new patent application on its use for the treatment of fibrotic diseases and certain types of cancer. 
In early 2012, the Company completed regulatory long-term animal toxicology studies with GFT505, that confirmed the absence of major adverse effects relevant to humans. The reports of these studies and of carcinogenicity studies after two years of treatment in rats and mice have been finalized.
These studies confirm the safety of use of GFT505 at high doses in animals. The reports have been submitted to regulatory health authorities who validated these conclusions through the EMA’s Scientific Advice procedure and at a pre-IND meeting with the FDA. In early 2012, the Company also completed the constitution of its network of international experts, in order to define and finalize the protocol of the pivotal Phase IIb study in NASH (study design, type of patients, duration of treatment, doses of GFT505, primary and secondary endpoints, etc.), and to construct the development plan of GFT505 up to market approval. The entire dossier including the results of pre-clinical (pharmacology, ADME, regulatory toxicology) and clinical studies, the detailed design of the Phase IIb study, and the global development plan was discussed with the EMA and the FDA in the first half of 2012. 
Following the favorable opinion of the EMA and the FDA, the protocol for the pivotal Phase IIb study was submitted to the appropriate regulatory authorities. This study, GFT505-212-7, is one of the largest interventional studies ever conducted in NASH. A total of 75 to 80 centers of clinical excellence in the United States and in multiple European countries will participate in the study and recruit a total of 270 patients. Approval for the study was received from the FDA in August 2012, and successively from the European health agencies in Belgium, Germany, UK, Italy, Spain, Romania, France, and The Netherlands. Patient recruitment is ongoing in the US and in Europe, and the first patients have been under treatment since October 2012. In March 2013, more than 100 patients had already been recruited to the study.</t>
        </r>
      </text>
    </comment>
    <comment ref="AC9" authorId="0" shapeId="0">
      <text>
        <r>
          <rPr>
            <sz val="10"/>
            <rFont val="Arial"/>
            <family val="2"/>
          </rPr>
          <t>Company Disclosed Competitive Profile:
Source: GENFIT 2013 Annual Report, Page 4:
GFT505, the most advanced proprietary drug candidate of a group of components discovered and developed historically by GENFIT to take charge of cardiovascular and metabolic diseases in groups of people suffering from a metabolic syndrome, with a focus on obese, pre-diabetic and diabetic patients.
This drug candidate is presently undergoing phase IIb clinical trials, essentially for patients belonging to one and/or the other of these groups and suffering from a liver disease of metabolic origin called Non-Alcoholic Steato-Hepatitis or NASH.
Page 6:
In the same manner, additional preclinical data obtained in January 2013 on human liver cells confirmed an extended therapeutic potential covering all stages of NASH including cirrhosis, with the underlying anti-fibrosis action mechanism demonstrated on the occasion of these latest works opening the door to GFT505 evaluation, beyond NASH, in liver fibrosis and cirrhosis linked to chronic viral hepatitis or alcohol.
Page 15-16:
In January 2014, the effects of GFT505 on the proliferation of 21 cell lines of cancerous cells of human origin were evaluated in vitro. GFT505 blocked the proliferation of a great majority of these cells, suggesting that it might enable prevention, not only of development of cirrhosis, but also to decrease the associated risk of liver cancer. In February 2014, the FDA (Food and Drug Administration) granted a “Fast Track" designation to the GFT505 project for treatment of NASH.
2014 outlook: Assigning an early option for the marketing rights for GTF505 and bringing clinical development of GFT505 up to the beginning of the Phase III trials so as to strengthen its value.</t>
        </r>
      </text>
    </comment>
    <comment ref="AE9" authorId="0" shapeId="0">
      <text>
        <r>
          <rPr>
            <sz val="10"/>
            <rFont val="Arial"/>
            <family val="2"/>
          </rPr>
          <t xml:space="preserve">Company Disclosed Competitive Profile:
Source: Genfit 2015 Annual Report, Page 5:
The Elafibranor/GFT505 program, Elafibranor being the generic name approved in June 2015 by World Health Organization for GFT505, the most advanced proprietary drug candidate of the Company. Elafibranor has notably terminated a Phase IIb clnical trial in Europe and in the United State (GOLDEN 505 trial), for the treatment of Non Alcoholic Steato Hepatitis (NASH), a liver disease affecting in particular the patients with metabolic disorders.
Pages 67-71:
The first efficacy results from the GOLDEN-505 Phase IIb study were announced by the Company in March 2015. After correction for baseline severity and site heterogeneity by a standardized statistical analysis, GFT505 at 120mg met the primary endpoint: Reversal on NASH without worsening of fibrosis. Analysis showed that the least severe patients, with NAS=3, do not need to be treated (approximately half of these patients showed a spontaneous NASH reversal). A secondary analysis performed on the population that the Company has chosen to target for the Phase III of Elafibranor in NASH (NAS≥4), showed a significant activity of GFT505 at 120 mg/d on the major primary endpoint of the study and on numerous other histological evaluation criteria. The toxicity of GFT505 has been evaluated in numerous specific regulatory animal studies with up to two years of treatment in rats and mice and one year of treatment in monkeys at high doses. These studies have not revealed any major toxicity signal. In particular, GFT505 does not show any of the deleterious effects associated with glitazones. It does not induce weight gain, peripheral edema, or an increase in heart weight. Two-year carcinogenicity studies in rats and mice did not reveal any risk of cancer that was relevant to humans. The safety of GFT505 has also been evaluated in Phase I studies of healthy lean volunteers, overweight or obese subjects, and/or diabetic subjects. Phase I studies testing increasing single doses of GFT505 up to 360 mg have not shown any sign of intolerance or toxicity. Similarly, Phase I studies testing the repeated administration for 14 days of increasing doses of GFT505 up to 300 mg have confirmed its favorable tolerance profile. A specific regulatory cardiac safety study did not reveal any adverse effect on cardiac function at the dose of 300 mg/d. Finally, in the Phase IIb study GOLDEN-505, the safety assessment after one year of treatment showed a very favorable profile, in line with the intermediate conclusions of the expert committee (DSMB) mandated to monitor product safety throughout the study. There were no cardiac events, no signals on cancer, and no death in the GFT505 treatment groups. Weight remained stable, and no signal of edema was observed. A mild increase in creatinine was noted (&lt; 5%; GFT505 120mg vs placebo), which is a known reversible effect of GFT505 and other molecules that act on the PPAR nuclear receptor. The most common adverse events in this study were of gastrointestinal nature and of mild intensity, with no notable difference between the groups.
</t>
        </r>
      </text>
    </comment>
    <comment ref="AK9" authorId="0" shapeId="0">
      <text>
        <r>
          <rPr>
            <sz val="10"/>
            <rFont val="Arial"/>
            <family val="2"/>
          </rPr>
          <t xml:space="preserve">EvaluatePharma® Comment: Revenue forecasts are split between end-user sales and royalities to reflect the difference of opinion amongst analysts. </t>
        </r>
      </text>
    </comment>
    <comment ref="AL9" authorId="0" shapeId="0">
      <text>
        <r>
          <rPr>
            <sz val="10"/>
            <rFont val="Arial"/>
            <family val="2"/>
          </rPr>
          <t xml:space="preserve">EvaluatePharma® Comment: Revenue forecasts are split between end-user sales and royalities to reflect the difference of opinion amongst analysts. </t>
        </r>
      </text>
    </comment>
    <comment ref="AM9" authorId="0" shapeId="0">
      <text>
        <r>
          <rPr>
            <sz val="10"/>
            <rFont val="Arial"/>
            <family val="2"/>
          </rPr>
          <t xml:space="preserve">EvaluatePharma® Comment: Revenue forecasts are split between end-user sales and royalities to reflect the difference of opinion amongst analysts. </t>
        </r>
      </text>
    </comment>
    <comment ref="AN9" authorId="0" shapeId="0">
      <text>
        <r>
          <rPr>
            <sz val="10"/>
            <rFont val="Arial"/>
            <family val="2"/>
          </rPr>
          <t xml:space="preserve">EvaluatePharma® Comment: Revenue forecasts are split between end-user sales and royalities to reflect the difference of opinion amongst analysts. </t>
        </r>
      </text>
    </comment>
    <comment ref="H10" authorId="0" shapeId="0">
      <text>
        <r>
          <rPr>
            <sz val="10"/>
            <rFont val="Arial"/>
            <family val="2"/>
          </rPr>
          <t>Patent Comment:
Patent date and number refers to US patent for "Method of synthesizing thyroid hormone analogs and polymorphs thereof" (US#9266861). RoW patent expiry refers to issued patents outside US, expiring between 2026 to 2033. Patent protection refers to four US and 69 foreign issued patents and allowed patent applications, and two US and 25 foreign pending patent applications, relating to composition-of-matter. Patent protection also refers to pending patent applications, if issued, expire in the US and in countries outside of the US between 2026 and 2033.  Source: 2016 10-K, VIA 2010 10-K.</t>
        </r>
      </text>
    </comment>
    <comment ref="H11" authorId="0" shapeId="0">
      <text>
        <r>
          <rPr>
            <sz val="10"/>
            <rFont val="Arial"/>
            <family val="2"/>
          </rPr>
          <t>Patent Comment:
Patent date refers to NoA for US patent for NASH &amp; issued European patent for NASH &amp; hepatic fibrosis covering 32 countries &amp; Hong Kong covering NASH &amp; other hepatic diseases with protection upto the end of 2035. Patent Protection refers to NoA in US for hepatic fibrosis &amp; in China for NASH &amp; hepatic fibrosis exp until 2035, "extensive protection of the exclusivity for a complete range of subject matters including a large series of structural variants, pharmaceutical uses &amp; compositions in the field of cardiometabolic diseases, process of production &amp; pharmaceutical combinations", protection in US, Europe, China, Russia, Australia, Canada, Japan &amp;  India &amp; pending application covering its use in oncology. Source: 2012 AR, press releases.</t>
        </r>
      </text>
    </comment>
    <comment ref="H12" authorId="0" shapeId="0">
      <text>
        <r>
          <rPr>
            <sz val="10"/>
            <rFont val="Arial"/>
            <family val="2"/>
          </rPr>
          <t>Patent Comment:
Patent date &amp; number refers to "Galacto-rhamnogalacturonate compositions for the treatment of non-alcoholic steatohepatitis and non-alcoholic fatty liver disease" (US#8658787). Patent protection refers to "Composition of Novel Carbohydrate Drug for Treatment of Human Diseases"(US#9649327). Patent protection also refers to US patent "Method and Treatment of Pulmonary Fibrosis" (US#9968631) exp 2032. RoW expiry refers to China patent covering "Composition of Novel Carbohydrate Drug for Treatment of Human Diseases". Source: 27 JUN 2018, 25 JAN 2018, 12 SEP 2017 press release, 25 APR 2017, 14 APR 2017 Presentation, 12 JUL 2016 PR, 24 FEB 2016, 2016 10-K,Q3 2017 Results, 2017 10-K.</t>
        </r>
      </text>
    </comment>
    <comment ref="AA12" authorId="0" shapeId="0">
      <text>
        <r>
          <rPr>
            <sz val="10"/>
            <rFont val="Arial"/>
            <family val="2"/>
          </rPr>
          <t>Company Discosed Competitive Profile:
Source: Galectin Therapeutics 2011 10-K, Page 6:
We believe that GR-MD-02 has the potential to treat NASH and other forms of liver fibrosis. The driving factor for our commitment to galectin inhibition for fibrosis is scientific evidence that strongly suggests that galectin-3 is essential for the development of liver fibrosis in animals. Published data show that mice lacking the galectin-3 gene are incapable of developing liver fibrosis in response to toxin insult to the liver and in fatty liver disease. Moreover, mice that do not have the galectin-3 gene are resistant to lung and kidney fibrosis.
We have evaluated the ability of GR-MD-02 to block galectin-3 in animal models of liver fibrosis, the conclusions of which yielded positive results. These experiments, along with several others that include human liver cells, have identified what we believe to be the mechanism of action for the creation of fibrotic scar tissue in the liver.
Recently, we presented pre-clinical data at the European Society for the Study of the Liver in Lisbon, Portugal, which data demonstrated that GR-MD-02 reversed NASH-induced fibrosis in the liver of mice. The animal model used was analogous to that of humans, in that the mice were given diabetes and then subsequently fed a high-fat diet, both conditions associated with the human disease. The data show that there is a reduction in fat accumulation, hepatocyte degeneration and inflammation in the liver histology on the left after 4 weeks of treatment with GR-MD-02, which was administered twice a week. The significant improvement is confirmed using a standard NASH grading system.
The percent of collagen in the livers (fibrotic tissue as demonstrated by percent Sirius red staining) was reduced by treatment with GR-MD-02 to levels equivalent to normal levels irrespective of whether treatment was started early (before fibrosis developed) or late (after the development of fibrosis). These effects in the NASH mice were independent of serum glucose and lipid levels, which were elevated in all animals. In addition, the galectin-3 levels in the liver tissue were markedly reduced by the therapy, indicating the proposed mechanism of inhibiting galectin-3 is likely operative.
In summary, our pre-clinical data show that GR-MD-02 may have a therapeutic effect on liver fibrosis as shown in several relevant animal models. Therefore, we chose GR-MD-02 as the lead candidate in a development program targeted initially at fibrotic liver disease associated with NASH. GR-MD-02 is currently being evaluated in pre-clinical toxicology and pharmacology studies with the aim of obtaining an IND from the FDA by the end of 2012 for initiating human studies in patients with NASH. We will seek to gain FDA approval for Phase I and Phase II studies of GR-MD-02 in NASH as well as other indications in diseases with liver fibrosis.</t>
        </r>
      </text>
    </comment>
    <comment ref="AB12" authorId="0" shapeId="0">
      <text>
        <r>
          <rPr>
            <sz val="10"/>
            <rFont val="Arial"/>
            <family val="2"/>
          </rPr>
          <t>Company Discosed Competitive Profile:
Source: Galectin Therapeutics 2012 10-K, Page 3-4:
GR-MD-02 is our lead product candidate for treatment of fibrotic disease. Our preclinical data show that GR-MD-02 has a powerful therapeutic effect on liver fibrosis as shown in several relevant animal models. Therefore, we chose GR-MD-02 as the lead candidate in a development program targeted initially at fibrotic liver disease associated with non-alcoholic steatohepatitis (NASH, or fatty liver disease. In January 2013, an Investigational New Drug (“IND”) was submitted to the FDA with the goal of initiating a Phase I study in patients with NASH and advanced liver fibrosis to evaluate the human safety of GR-MD-02 and pharmacodynamics biomarkers of disease. On March 1, 2013, the FDA indicated we could proceed with a US Phase 1 clinical trial for GR-MD-02 with a development program aimed at obtaining support for a proposed indication of GR-MD-02 for treatment of NASH with advanced fibrosis. Pre-clinical studies also show promise for the combination of GR-MD-02 with other approved immunotherapies and this additional use will be explored for possible advancement into clinical trials. Our drug candidate provides a promising new approach for the therapy of fibrotic diseases, and liver fibrosis in particular. Fibrosis is the formation of excess connective tissue (collagen and other proteins plus cellular elements such as myofibroblasts) in response to damage, inflammation or repair. When the fibrotic tissue becomes confluent, it obliterates the cellular architecture, leading to scarring and dysfunction of the underlying organ.
 We have evaluated the ability of GR-MD-02 to block galectin-3 in animal models of liver fibrosis, the conclusions of which yielded positive results. Our pre-clinical data show that GR-MD-02 may have a therapeutic effect on liver fibrosis as shown in several relevant animal models. Therefore, we chose GRMD- 02 as the lead candidate in a development program targeted initially at fibrotic liver disease associated with NASH. We evaluated GR-MD-02 in preclinical toxicology and pharmacology studies during 2013 and filed an IND with the FDA in January 2013 for initiating human studies in patients with NASH. In February 2013 we entered into an agreement with CTI Clinical Trial Services to assist with the design, development and conduct of one or more clinical research studies, specifically for services with respect to our Phase I clinical trials to evaluate safety of GR-MD-02 in patients with NASH. The FDA notified us in March 2013 that we may proceed with a Phase I clinical trial for patients with NASH and we expect to begin enrolling patients in the Phase I clinical trial in the second quarter of 2013, with top line results expected by the end of 2013 or early 2014. Depending on the results of the Phase I study, and available funding, we may initiate a Phase II clinical trial in mid-2014 to assess the efficacy of GR-MD-02 in patients with NASH and advanced liver fibrosis with expected top-line clinical results by mid to late 2015. Our Phase II clinical program is likely to include additional clinical trials to fully characterize human response to GR-MD-02 and to better position the Company for a successful Phase III clinical trial program.</t>
        </r>
      </text>
    </comment>
    <comment ref="AC12" authorId="0" shapeId="0">
      <text>
        <r>
          <rPr>
            <sz val="10"/>
            <rFont val="Arial"/>
            <family val="2"/>
          </rPr>
          <t xml:space="preserve">Company Discosed Competitive Profile:
Source: Galectin Therapeutics 2013 10-K, Page 2:
Fibrosis. GR-MD-02 is our lead product candidate for treatment of fibrotic disease. Our preclinical data show that GR-MD-02 has a powerful therapeutic effect on liver fibrosis as shown in several relevant animal models. Therefore, we chose GR-MD-02 as the lead candidate in a development program targeted initially at fibrotic liver disease associated with non-alcoholic steatohepatitis (NASH, or fatty liver disease). In January 2013, an Investigational New Drug (“IND”) was submitted to the FDA with the goal of initiating a Phase 1 study in patients with NASH and advanced liver fibrosis to evaluate the human safety of GR-MD-02 and pharmacodynamics biomarkers of disease. On March 1, 2013, the FDA indicated we could proceed with a US Phase 1 clinical trial for GR-MD-02 with a development program aimed at obtaining support for a proposed indication of GR-MD-02 for treatment of NASH with advanced fibrosis. Pre-clinical studies also show promise for the combination of GR-MD-02 with other approved immunotherapies and this additional use has been advanced into clinical trials under an Investigator-sponsored IND in the United States.
Our drug candidate provides a promising new approach for the therapy of fibrotic diseases, and liver fibrosis in particular. Fibrosis is the formation of excess connective tissue (collagen and other proteins plus cellular elements such as myofibroblasts) in response to damage, inflammation or repair. When the fibrotic tissue becomes confluent, it obliterates the cellular architecture, leading to scarring and dysfunction of the underlying organ.
</t>
        </r>
      </text>
    </comment>
    <comment ref="AD12" authorId="0" shapeId="0">
      <text>
        <r>
          <rPr>
            <sz val="10"/>
            <rFont val="Arial"/>
            <family val="2"/>
          </rPr>
          <t>Company Disclosed Competitive Profile:
Source: Galectin Therapeutics 2014 10-K, Pages 2-4:
Our drug candidates provide a promising new therapeutic approach to enhance the activity of the immune system against cancer cells. Preclinical studies have indicated that GR-MD-02 enhances the immune response to and more specifically increased tumorshrinkage and enhanced survival in immune competent mice with prostate, breast, melanoma and sarcoma cancers when combined with one of the immune checkpoint inhibitors, anti-CTLA-4 or anti-PD-1. These preclinical data have led to the filing of an Investigator-sponsored IND and the initiation of a study of GR-MD-02 in combination with Yervoy (ipilimumab) in a Phase 1B study of patients with metastatic melanoma. This study is being conducted under the sponsorship of Providence Portland Medical Center’s Earle A. Chiles Research Institute (EACRI). 
We believe the mechanism of action for GM-CT-01 and GR-MD-02 is based upon interaction with, and inhibition of, galectin proteins, particularly galectin-3, which are expressed at high levels in certain pathological states including inflammation, fibrosis and cancer. While GMCT-01 and GR-MD-02 are capable of binding to multiple galectin proteins, we believe that they have the greatest affinity for galectin-3, the most prominent galectin implicated in pathological processes. Blocking galectin in cancer and liver fibrosis has specific salutary effects on the disease process, as discussed below.
In January 2014, we completed the enrollment of the first cohort of patients in the Phase 1 trial with no serious adverse events being reported. We reported initial safety and tolerability results from the first cohort of patients on June 30, 2014. The second cohort of this Phase 1 trial began and enrollment was completed in April 2014. In July 2014, we reported the results from the second cohort of patients. Enrollment of the third cohort of Phase 1 began in July 2014 with interim results presented in November 2014 with the final report on cohort 3 presented in January 2015. The results of the Phase 1 study demonstrate that (i) GR-MD-02 was safe and well tolerated by patients with advanced NASH liver fibrosis after IV administration of four doses of 2 mg/kg, 4 mg/kg and 8mg/kg lean body weight, (ii) Pharmacokinetics revealed drug exposure in humans at the 8 mg/kg dose that was equivalent to the upper range of the targeted therapeutic dose determined from effective doses in NASH animal models, (iii) Disease Serum Marker Effect showed there was a statistically significant, dose-dependent reduction in FibroTest scores due to a statistically significant reduction in alpha-2 macroglobulin (A2M) serum levels, and (iv) Liver Stiffness Effect, as measured by FibroScan showed that there was a signal of reduced liver stiffness in patients receiving GR-MD-02. The reduction seen in A2M does not necessarily mean fibrosis got better in this short study, but does suggest changes in the fibrogenic process that might lead to an improvement in fibrosis with longer-term therapy. These Phase 1 results in NASH patients with advanced fibrosis provide a firm foundation for entry into a Phase 2 development program. The company held an “End of Phase 1 meeting” with FDA and, amongst other things, received clear guidance on the primary endpoint for a Phase 2 trial. Our Phase 2 clinical trial design targets a patient population with cirrhosis due to NASH. The study endpoints will include those that are closely associated with outcomes in patients with cirrhosis Primary endpoint: Hepatic venous pressure gradient (HVPG). Planned secondary endpoints include: morphometric analysis of collagen on liver biopsies and other secondary endpoints will include non-invasive tests to evaluate for correlation with HVPG and liver collagen. We have awarded the contract for the primary Phase 2 study to a well-known CRO with experience in NASH trials and expect to initiate a Phase 2 clinical trial in the first half of 2015 to assess the efficacy of GR-MD-02 in patients with NASH and advanced liver fibrosis. The timing of initial results from the Phase 2 trial are dependent upon the trial design, and, amongst other factors, the rate of patient enrollment; and the trial design is being finalized. Our Phase 2 clinical program currently includes one additional clinical trial in patients with NASH with advanced fibrosis to fully characterize human response to GR-MD-02 and to better position the Company for a successful Phase 3 clinical trial program.</t>
        </r>
      </text>
    </comment>
    <comment ref="AE12" authorId="0" shapeId="0">
      <text>
        <r>
          <rPr>
            <sz val="10"/>
            <rFont val="Arial"/>
            <family val="2"/>
          </rPr>
          <t xml:space="preserve">Company Disclosed Competitive Profile
Source: Galectin Therapeutics 2015 10-K, Page 34-37:
GR-MD-02 is our lead product candidate for treatment of fibrotic disease. Our preclinical data show that GR-MD-02 has a significant therapeutic effect on liver fibrosis as shown in several relevant animal models. In addition, in NASH animal models GR-MD-02 has been shown to reduce liver fat, inflammation, and ballooning degeneration or death of liver cells. Therefore, we chose GR-MD-02 as the lead candidate in a development program targeted initially at fibrotic liver disease associated with non-alcoholic steatohepatitis (NASH, or fatty liver disease). In January 2013, an Investigational New Drug (“IND”) was submitted to the FDA with the goal of initiating a Phase 1 study in patients with NASH and advanced liver fibrosis to evaluate the human safety of GR-MD-02 and pharmacodynamics biomarkers of disease. On March 1, 2013, the FDA indicated we could proceed with a US Phase 1 clinical trial for GR-MD-02 with a development program aimed at obtaining support for a proposed indication of GR-MD-02 for treatment of NASH with advanced fibrosis. The Phase 1 trial was completed and demonstrated that GR-MD-02 up to 8 mg/Kg, i.v. was safe and well tolerated and the human pharmacokinetic data defined a drug dose for use in the planned Phase 2 trials. Additionally, there was evidence of a pharmacodynamic effect of GR-MD-02 at the 8 mg/kg dose with a decrease in alpha 2 macroglobulin, a serum marker of fibrotic activity, and a reduction in liver stiffness as determined by FibroScan®. An “End of Phase 1 Meeting” was held with FDA which, amongst other items, provided guidance on the primary endpoint for the Phase 2 clinical trial.
Additionally, an open label drug-drug interaction study was completed during the second quarter of 2015 with GR-MD-02 and it showed that with 8 mg/kg dose of GR-MD-02 and 2 mg/kg dose of midazolam there was
no drug-drug interaction and no serious adverse events or drug-related adverse events were observed. This study was required by the U.S. Food and Drug Administration (FDA) and the primary objective was to determine if single or multiple intravenous (IV) doses of GR-MD-02 affect the pharmacokinetics (PK) of midazolam. The secondary objective was to assess the safety and tolerability of GR-MD-02 when administered concomitantly with midazolam. The lack of a drug interaction in this study enables Galectin to expand the number of patients eligible for its Phase 2 clinical trial. In addition, should GR-MD-02 be approved for marketing, the success of this study supports a broader patient population for the drug label.
Our Phase 2 program in fibrotic disease consists of two separate human clinical trials. The first clinical trial is the NASH-CX study for patients with NASH with cirrhosis, which began enrolling in June 2015. This study is a randomized, placebo-controlled, double-blind, parallel-group Phase 2 trial to evaluate the safety and efficacy of GR-MD-02 for the treatment of liver fibrosis and resultant portal hypertension in patients with NASH cirrhosis. A total of 156 patients at approximately 50 sites in the United States will be randomized to receive either 2 mg/kg of GR-MD-02, 8 mg/kg of GR-MD-02 or placebo, with 52 patients in each group. The primary endpoint is a reduction in change in hepatic venous pressure gradient (HVPG). Patients will receive an infusion every other week for one year, total of 26 infusions, and will be evaluated to determine the change in HVPG as compared with placebo. HVPG will be correlated with secondary endpoints of fibrosis on liver biopsy as well as with measurement of liver stiffness (FibroScan(R)) and assessment of liver metabolism (13C-methacetin breath test, Exalenz), which are non-invasive measures of the liver that may be used in future studies. Data readout is expected by the end of 2017.
The second clinical trial is the NASH-FX for patients with NASH advanced fibrosis uses a variety of non-invasive fibrosis assessment technologies. The first patient in this 30 patient study is was consented in September 2015, and the study is designed for 15 patients receiving 8 mg/kg of GR-MD-02 and 15 receiving placebo to be treated. That study will evaluate the safety and efficacy of GR-MD-02 for a four month treatment period of bi-weekly infusions of GR-MD-02 on non-invasive measures on liver stiffness as assessed imaging of liver fibrosis using multi-parametric magnetic resonance imaging (LiverMultiScan(R), Perspectum Diagnostics), as the primary endpoint, as well as magnetic resonance-elastography and FibroScan score, as secondary endpoints. Top-line data is expected to be available in the third quarter of 2016.
Our drug candidate provides a promising new approach for the therapy of fibrotic diseases, and liver fibrosis in particular. Fibrosis is the formation of excess connective tissue (collagen and other proteins plus cellular elements such as myofibroblasts) in response to damage, inflammation or repair. When the fibrotic tissue becomes confluent, it obliterates the cellular architecture, leading to scarring and dysfunction of the underlying organ. Given galectin-3’s broad biological functionality, it has been demonstrated to be involved in cancer, inflammation and fibrosis, heart disease, renal disease and stroke. We have further demonstrated the broad applicability of the actions of our galectin-3 inhibitor’s biological effect in ameliorating fibrosis involving lung, kidney and cardiac tissues in a variety of animal models.
The focus and goal of the therapeutic program is to stop the progression of and reverse the fibrosis in the liver and, thereby improve liver function and prevent the development of complications of fibrosis/cirrhosis and liver-related mortality in patients.
Cancer Immunotherapy.
We believe there is potential for galectin inhibition to play a key role in the burgeoning area of cancer immunotherapy. For example, there have been several recent approvals of drugs that enhance a patient’s immune system to fight cancer. With many additional vaccines and immune stimulatory agents in development, industry analysts forecast that this market could generate over $35 billion in sales over the next 10 years. It is our goal to use a galectin inhibitor to enhance the immune system function to fight cancer in a way that complements other approaches to this type of therapy. Our drug candidates provide a promising new therapeutic approach to enhance the activity of the immune system against cancer cells. Preclinical studies have indicated that GR-MD-02 enhances the immune response to cancer cells, increased tumor shrinkage and enhanced survival in immune competent mice with prostate, breast, melanoma and sarcoma cancers when(ipilimumab) in a Phase 1B study of patients with metastatic melanoma. This study is being conducted under the sponsorship of Providence Portland Medical Center’s Earle A. Chiles Research Institute (EACRI). A study with Keytruda and GRMD-02 is conducted by EACRI is expected to begin enrolling by April 2016.
We believe the mechanism of action for GR-MD-02 is based upon interaction with, and inhibition of, galectin proteins, particularly galectin-3, which are expressed at high levels in certain pathological states including inflammation, fibrosis and cancer. While GR-MD-02 is capable of binding to multiple galectin proteins, we believe that it has the greatest affinity for galectin-3, the most prominent galectin implicated in pathological processes. Blocking galectin in cancer and liver fibrosis has specific salutary effects on the disease process, as discussed below.
Psoriasis.
During our Phase 1 NASH fibrosis trial with GR-MD-02, a clinical effect on plaque psoriasis was observed in a NASH patient who also had this disease. This patient had marked improvement in her psoriasis, with improvement beginning after the third infusion. She reported that her psoriasis was “completely gone” and her skin was “normal” after the fourth infusion. Her skin remained normal for 17 months after the final infusion of study drug. The patient is convinced that the improvement in her psoriasis is related to the study drug. This serendipitous finding, combined with galectin-3 protein being markedly upregulated in the capillary epithelia (small blood vessels) of the psoriatic dermis (plaque lesions), led to a phase 2a trial in patients with moderate to severe plaque psoriasis. GR-MD-02 inhibition of galectin-3 may attenuate capillary changes in the psoriatic dermis and inflammatory recruitment, perhaps explaining the improvements observed in the NASH fibrosis trial patient. In this open-label, unblinded trial (no placebo, all patients knowingly receive active drug), 10 patients with moderate to severe plaque psoriasis are administered GR-MD-02 every two weeks for 12 weeks. We anticipate top line data for this trial by the end of the third quarter of 2016.
</t>
        </r>
      </text>
    </comment>
    <comment ref="H13" authorId="0" shapeId="0">
      <text>
        <r>
          <rPr>
            <sz val="10"/>
            <rFont val="Arial"/>
            <family val="2"/>
          </rPr>
          <t>Patent Comment:
Patent date &amp; number refers US patent "Method of treating non-alcoholic steatohepatitis"(US#9012509). Patent protection refers to US patent "Phenoxyalkylcarboxylic acid derivatives and process for their preparations"(US#4985585) expiring JUN 2020. Patent protection also refers to received notice of allowance from USPTO covering MN-001  (tipelukast) &amp; MN-002 (a major metabolite of MN-001) for the treatment of fibrosis exp. JUN 2035. Source: 18 MAY 2018 Presentation, Medicinova 2017 10-K, USPTO &amp; 24 JUL 2016 Press Release.</t>
        </r>
      </text>
    </comment>
    <comment ref="H14" authorId="0" shapeId="0">
      <text>
        <r>
          <rPr>
            <sz val="10"/>
            <rFont val="Arial"/>
            <family val="2"/>
          </rPr>
          <t>Patent Comment:
Patent date refers to Anti-LPS enriched immunoglobulin preparation for use in treatment and/or prophylaxis of a pathologic disorder (JP#5740390, AUS#2010243205, 2011290478) expiring 27 APR 2030. Patent protection refers to pending patent in Canada  2760096, 2808361; Israel 315924; Mexico 335793; USA 13/265,252, 13/817,414; Europe 2424890 2808361  &amp; Eurasia 201171304 expiring 27 APR 2030; if granted. Patent protection also refers to Hong Kong 12103554.8, 1185016;  Korea 10-2011-7027634 expiring 27 APR 2030. Source: 2016 AR.</t>
        </r>
      </text>
    </comment>
    <comment ref="AD15" authorId="0" shapeId="0">
      <text>
        <r>
          <rPr>
            <sz val="10"/>
            <rFont val="Arial"/>
            <family val="2"/>
          </rPr>
          <t>Company Disclosed Competitive Profile:
Source: Shire 2014 Annual Report, Page 132:
This acquisition brings two novel, orally active therapeutic compounds SHP625 (formerly LUM001), in Phase 2 clinical development and SHP626 (formerly LUM002), ready to enter Phase 1b clinical development in the fi rst half of 2015. Both compounds are inhibitors of the apical sodium-dependent bile acid transport (“ASBT”), which is primarily responsible for recycling bile acids from the intestine to the liver. SHP625 is being investigated for the potential relief of the extreme itching associated with cholestatic liver disease and three other indications. SHP626 is in development for the treatment of nonalcoholic steatohepatitis.
Source: Lumena Pharmaceuticals S-1 (2 APR 2014), Page 3-4:
Our second product candidate, LUM002, is a novel, once-daily, orally-administered, highly potent and selective ASBT inhibitor in development for the treatment of NASH, a condition characterized by fat deposits in the liver, leading to inflammation and significant fibrosis. While the underlying cause of liver injury in NASH is not known, it is strongly associated with obesity, type 2 diabetes, high cholesterol and triglycerides and other metabolic disorders. By blocking bile acid reabsorption, we expect LUM002 to reduce hepatic cholesterol levels and increase colonic bile acid concentrations. Elevated colonic bile acids signal through receptors on cells in the distal portion of the large intestine. This signaling stimulates the secretion of proteins that regulate insulin release from the pancreas and glucose metabolism. We believe that therapeutic strategies aimed at modulating insulin resistance and normalizing lipoprotein metabolism have significant potential to benefit patients with NASH. LUM002 has been evaluated in two completed Phase 1 clinical trials in healthy volunteers and metabolic disease patients, and we plan to initiate a Phase 2 clinical trial in NASH patients in the second half of 2014. 
NASH represents a substantial unmet medical need. According to the National Digestive Diseases Information Clearinghouse, 2-5% of Americans, or 6 million to 16 million individuals, suffer from this disease, of which an estimated 600,000 have been identified as having severe liver disease, which we view as the initial addressable market for LUM002.
We intend to seek strategic partnerships to accelerate the broader clinical development and commercialization of LUM002 in NASH and other metabolic diseases. We have exclusive worldwide rights to both of our product candidates.</t>
        </r>
      </text>
    </comment>
    <comment ref="AE15" authorId="0" shapeId="0">
      <text>
        <r>
          <rPr>
            <sz val="10"/>
            <rFont val="Arial"/>
            <family val="2"/>
          </rPr>
          <t xml:space="preserve">Company Disclosed Competitive Profile:
Source: Shire 2015 10-K, Page 22: 
SHP626 was acquired as part of the acquisition of Lumena and is in development for the treatment of NASH, a common and often “silent” liver disease characterized by fat deposits in the liver and inflammation which can progress to significant fibrosis. A US IND was approved by the FDA in the fourth quarter of 2014, and a Phase 1b multiple dose trial has been completed.
Page F-28:
This acquisition brought two novel, orally active therapeutic compounds SHP625 (formerly LUM001) and SHP626 (formerly LUM002). Both compounds are inhibitors of the apical sodium-dependent bile acid transport (“ASBT”), which is primarily responsible for recycling bile acids from the intestine to the liver. At acquisition date SHP625 was being investigated for the potential relief of the extreme itching associated with cholestatic liver disease and three other indications. In the year to December 31, 2015 Shire fully impaired the SHP625 IPR&amp;D intangible asset (see Note 12 for further details). SHP626 is in development for the treatment of nonalcoholic steatohepatitis.
</t>
        </r>
      </text>
    </comment>
    <comment ref="H16" authorId="0" shapeId="0">
      <text>
        <r>
          <rPr>
            <sz val="10"/>
            <rFont val="Arial"/>
            <family val="2"/>
          </rPr>
          <t>Patent Comment:
Patent date refers to earliest assumed generic launch. Patent protection refers to "Bile salt conjugates" (US#6384024) exp. on 23 OCT 2020 &amp; (US#6589946) exp. on 21 FEB 2022. RoW exp. date refers to "Use of FABACs in the treatment, prevention and inhibition of progression of Alzheimer’s Disease, cerebral amyloid angiopathy and other brain diseases characterized by amyloid plaque deposits", granted in Europe. Patent Protection also refers to FABACs, including  Aramchol, as well as methods for preventing or dissolving cholesterol gallstones in bile &amp; reducing or preventing arteriosclerosis using FABACs, granted in US &amp; Europe exp. on 25 MAR 2019 &amp; in  Israel exp. on 8 APR 2018. Source: 2013 F-1, USPTO, 9 JUN 2014 press release &amp; 2015 20-F.</t>
        </r>
      </text>
    </comment>
    <comment ref="AD16" authorId="0" shapeId="0">
      <text>
        <r>
          <rPr>
            <sz val="10"/>
            <rFont val="Arial"/>
            <family val="2"/>
          </rPr>
          <t>Company Disclosed Competitive Profile:
Source: Galmed Pharmaceuticals S-1 (06 FEB 2014), Page 1:
During the second half of 2014, we intend to begin a multi-center, randomized, double-blind, placebo-controlled, dose-ranging Phase IIb clinical trial of aramchol in 240 NASH patients who also suffer from obesity and insulin resistance. Our development of aramchol to date has been deemed appropriate by the FDA, the United Kingdom’s Medicines and Healthcare Products Regulatory Agency, or MHRA, Germany’s Bundesinstitut für Arzneimittel und Medizinprodukte, or BfArM, and deemed satisfactory by France’s Agence Nationale de Sécurité du Médicament et des Produits de Santé, or ANSM. Our planned Phase IIb clinical trial for aramchol in NASH patients is in accordance with the study design recommended by the MHRA, deemed acceptable by BfArM, and deemed satisfactory by ANSM. Recently, the FDA confirmed in a written pre-IND advisory letter that such study design is acceptable for a Phase IIb study. BfArM and ANSM also confirmed, in minutes of each of their respective scientific advisory meetings, that if successful, this Phase IIb trial may serve as a basis for Phase III pivotal trials of aramchol. The FDA and MHRA invited us to discuss the next steps in the development of aramchol after the results of the Phase IIb study are analyzed. If the Phase III trials are successful, we intend to submit a New Drug Application, or NDA, to the FDA and a Marketing Authorization Application, or MAA, to the EMA for the approval of aramchol for the treatment of NASH in patients who also suffer from obesity and insulin resistance in the United States and Europe. We currently expect results from the Phase IIb trial to be available in the second half of 2016. During this Phase IIb trial, and once 120 patients complete six months of treatment, we intend to conduct an interim analysis of the efficacy and safety of aramchol based on blood markers of inflammation. We currently expect results from the interim analysis to be available in the second half of 2015. We also currently plan to conduct, but provide no assurance that we will conduct, an open-label Phase IIa proof-ofconcept clinical trial of aramchol for the treatment of NASH in children, which will be preceded by further preclinical studies and pharmacokinetic, or PK, studies, and an open-label Phase IIa proof-of-concept clinical trial of aramchol for the treatment of cholesterol gallstones.
Page 2:
A multi-center, randomized, double-blind, placebo-controlled Phase IIa trial of aramchol in 60 NAFLD and NASH patients in 12 centers in Israel, whose study design was deemed acceptable by the FDA in 2007 at a pre-IND scientific advisory meeting, demonstrated that aramchol reduced liver fat in a dose dependent manner, as evidenced by a statistically significant reduction of liver fat measured by Nuclear Magnetic Resonance Spectroscopy, or NMRS, which measures tissue chemical components, over a three month treatment period of once-daily 300 mg doses of aramchol, and induces positive trends in several metabolic parameters.
Page 73:
We are currently planning a Phase IIb trial to evaluate the efficacy and determine the safest and most efficient dose of aramchol as a novel treatment for NASH patients with obesity and insulin resistance. We plan to file an IND application with the FDA in the first quarter of 2014 in order to use the results of our previously conducted, and to be conducted clinical studies in Europe, Latin America and Israel, as a basis for the FDA's future approval to conduct the pivotal Phase III clinical trials and other clinical trials in the United States. We believe that filing the IND application could enable the first patent family covering aramchol’s composition of matter to enjoy longer patent protection.</t>
        </r>
      </text>
    </comment>
    <comment ref="AE16" authorId="0" shapeId="0">
      <text>
        <r>
          <rPr>
            <sz val="10"/>
            <rFont val="Arial"/>
            <family val="2"/>
          </rPr>
          <t>Company Disclosed Competitive Profile:
Source: Galmed Pharmaceuticals 2015 20-F, Pages 48-58:
Our product candidate, Aramchol, is a first-in-class synthetic FABAC which we are initially developing for the once-daily oral treatment of NASH in OD patients.
Phase I Trials Aramchol was evaluated in two Phase I clinical trials to study its safety, tolerability and PK profile in healthy volunteers, in both single and multiple dose administrations. The first Phase I clinical trial was an escalating single-dose trial conducted in 16 subjects testing Aramchol doses ranging from 30 mg to 900 mg. The subsequent Phase I clinical trial was a repeated-dose trial conducted over four days in 25 subjects testing repeated daily doses of Aramchol of 30 mg and 300 mg. The profiles for the groups were similar and the maximal plasma concentration of Aramchol increased with the higher doses. The PK profile demonstrated that Aramchol is suitable at each dose for once-daily administration and there were neither significant adverse events observed in either Phase I trial nor any notable changes in biochemical, hematologic, cardiovascular or other safety parameters.
Phase IIA Trial: Aramchol Treatment in NAFLD or NASH Patients
In January 2012, we completed a 60 patient multi-center, randomized, double-blind, placebo-controlled Phase IIA clinical trial of Aramchol in patients with NAFLD or NASH between the ages of 18 and 75 in 12 centers in Israel. The Phase IIA study results were published in July 2014 in the peerreviewed Clinical Gastroenterology and Hepatology Journal. In accordance with the AASLD’s guidelines for Phase IIA studies in NAFLD or NASH, the trial was performed in patients with either NAFLD or NASH, rather than only in NASH patients. The trial’s primary efficacy endpoint was a reduction in liver fat content, and did not consider inflammation or fibrosis, which can be diagnosed only by liver biopsy. We believe that the short study duration of three months of treatment followed by a one-month follow-up period did not warrant repeated biopsies. The trial evaluated the effects on liver fat content of 100 mg and 300 mg once-daily doses of Aramchol compared to a placebo. At the end of the three month treatment period, statistically significant reductions in liver fat concentration as measured by MRS were observed in the 300 mg patient group. Specifically, a 12.57% mean liver fat content reduction was observed in the 300 mg group, as compared to a mean reduction of 2.89% in the 100 mg group and a mean increase of 6.39% in the placebo-treated patients. These results indicate that the effects of Aramchol are dose-dependent, as demonstrated in the graph below, which presents the results with respect to the 57 patients who successfully completed the entire treatment period.
Our Phase IIB ARREST Study for Aramchol
The Company believes that Aramchol will reduce and eventually eliminate liver inflammation by the mechanism of action described above, while also mitigating cardiovascular comorbidities. We submitted an IND application to FDA to initiate the ARREST Study, and hope to expand the scope of the IND in the future to conduct pivotal Phase III clinical trials for NASH and other clinical trials in the United States. The FDA cleared our IND application, allowing us to conduct the Phase IIB ARREST Study in the United States. In September 2014, the FDA granted Fast Track designation status to Aramchol for the treatment of NASH. Fast Track designation may accelerate the development process and may expedite the review of drugs that show promise in treating serious, life-threatening medical conditions for which no other drug either exists or is as effective.
We are currently conducting our Phase IIB ARREST Study to evaluate the safety and effectiveness of two different doses of Aramchol for the treatment NASH in OD patients. In order to be eligible to participate in our ARREST Study, patients must be affected by NASH, as diagnosed by a biopsy, be overweight as measured by a Body Mass Index between 26 and 29 or obese as measured by a Body Mass Index of 30 or greater, and who are pre diabetic or type II diabetic.
Aramchol for the Treatment of Other Indications
In addition to the ARREST Study, we are exploring other indications for the use of Aramchol.
On December 1, 2015 we announced that our Investigational New Drug (IND) for the ARRIVE Study, a proof-of-concept clinical trial that will evaluate the safety and efficacy of Aramchol in up to 50 patients with HIV-associated lipodystrophy and NAFLD, was allowed by FDA to proceed. The ARRIVE Study is an investigator-initiated study sponsored by the University of California San Diego, where it will be conducted, and led by Professor Rohit Loomba. The Study is designed as a randomized, double-blinded, allocation-concealed, placebo-controlled, proof-of-concept Phase IIA clinical trial, and will evaluate either Aramchol at 600 mg or placebo for 16 weeks in up to 50 patients with HIV-associated lipodystrophy and NAFLD. Pre- and post-treatment MRI-measured liver fat content and total body fat via dual energy x-ray absorptiometry (DEXA) will be compared. The primary end point of successful therapy will be an improvement in hepatic steatosis as measured by MRI. Secondary endpoints will be an improvement in total body fat,  metabolic profile, and liver biochemistry. On March 1, 2016, we announced that we have randomized the first patient in the ARRIVE study. We believe that top line results will be available by the end of 2017.
On November 13, 2014, we announced the first administration of Aramchol in a proof-of-concept Phase IIA clinical trial for the treatment of newly formed cholesterol gallstones following bariatric surgery. However, due to poor patient recruitment and higher-priority clinical programs, we decided to terminate the study on October 1, 2015. At the moment, we believe that it is unlikely that we will revive another study in cholesterol gallstones.
We are also investigating the possibility of developing combination therapy to address NASH-associated fibrosis. Such product could potentially combine Aramchol with either a new compound that would be developed in house, with an existing compound that has undergone pre-clinical testing and which we would license from a separate entity or with an existing compound we will reposition. We plan to announce developments in combination therapy for advanced (fibrotic) NASH in the second quarter of 2016.</t>
        </r>
      </text>
    </comment>
    <comment ref="H17" authorId="0" shapeId="0">
      <text>
        <r>
          <rPr>
            <sz val="10"/>
            <rFont val="Arial"/>
            <family val="2"/>
          </rPr>
          <t>Patent Comment:
Patent date &amp; number refers to US patent "Treatment of NAFLD and NASH" (US#9381181). Patent protection refers to "Treatment of intrahepatic cholestatic disease" (US#9486428) expiring 19 MAR35. Patent protection also refers to US patent expiry 2033. Patent protection also refers to 5 issued US and 73 foreign patents and 5 pending US and 36 foreign patent applications covering chemical compositions, salt forms of the chemical compound and methods of treating dyslipidaemia. Patent term expiration 2024-2033. Source: 8 NOV16 presentation, 11 OCT16 press release, S-1 (8 APR 2014).</t>
        </r>
      </text>
    </comment>
    <comment ref="Z17" authorId="0" shapeId="0">
      <text>
        <r>
          <rPr>
            <sz val="10"/>
            <rFont val="Arial"/>
            <family val="2"/>
          </rPr>
          <t>Company Disclosed competitive Profile:
Source: Johnson &amp; Johnson 2010 Annual Report, Page 9:
A new collaboration with Metabolex, Inc. focuses on discovering, developing and commercializing new treatment options for people
with type 2 diabetes and obesity.</t>
        </r>
      </text>
    </comment>
    <comment ref="AC17" authorId="0" shapeId="0">
      <text>
        <r>
          <rPr>
            <sz val="10"/>
            <rFont val="Arial"/>
            <family val="2"/>
          </rPr>
          <t>Company Disclosed Competitive Profile:
Source: CymaBay Therapeutics 2013 10-K, Page 15:
In human clinical studies, MBX-8025 had favorable effects on circulating lipids as well as a benefit in biochemical markers of liver health. Accordingly, we have recognized a range of indications linked to both lipid and hepatic disorders that may be applicable to treatment with MBX-8025 through it’s PPARd mechasnim. As one example, homozygous familial hypercholesterolemia (HoFH) is a rare genetically inherited disorder in which loss or diminished function of the low density lipoprotein receptor (LDL-R) leads to extremely high levels of LDL cholesterol (LDL-C), early disease and death in early adulthood. MBX-8025 has been shown to reduce LDL-C, and studies in mice with other PPARd agonists have shown that they are able to reduce LDL-C in mice which lack the LDL-R. Thus, it is possible that MBX-8025 may have the potential to provide LDL-C lowering with clinical benefit to patients with HoFH. We are currently exploring the feasibility and potential for use of MBX-8025 in HoFH, as well as in other rare diseases in which a scientific rationale exists based on clinical results observed to date with MBX-8025 and/or other known molecular, cellular or mechanistic information that suggests a potential benefit from stimulating PPARd.
Nonclinical Overview
Three-month toxicology studies in rodents (alone and in combination with atorvastatin, the generic name of the cholesterol lowering drug Lipitor®) and in monkeys have been completed. In addition, the 2-year carcinogenicity studies in mice and rats have been completed. Johnson &amp; Johnson Pharmaceutical Research &amp; Development filed an IND for this compound with the FDA in July 2005 and subsequently transferred the application to CymaBay in March 2007.
Next Steps in Development of MBX-8025
The pharmacological action of MBX-8025 has been established in the setting of mixed dyslipidemia, but because this indication does have other therapies available, we believe its greatest benefit to patients is likely to be in orphan or other high unmet need indications. We are actively engaged in a selection process that involves using the scientific literature together with scientific experts and regulatory authorities to prioritize among the therapeutic opportunities that have a rational connection to PPARd’s role in human health and disease.
Source: CymaBay Therapeutics S-1 (29 NOV 2013), Page 59:
MBX-8025 has potential therapeutic application for disorders linked to deficits in lipid storage, handling and utilization, many of which result in metabolic disorders. To date, it has been in development as a first-in-class treatment that effectively addresses all three lipid disorders associated with mixed dyslipidemia (abnormal lipid levels in the blood) as well as a majority of the cardiovascular risk factors that define metabolic syndrome. The future development program will focus on high unmet need indications in dyslipidemia as well as in high unmet need specialty and orphan diseases.
Five Phase 1 clinical studies and one Phase 2 clinical study with MBX-8025 have been completed. The 8-week Phase 2 study investigated MBX-8025 at doses of 50 or 100 mg/day in moderately obese patients with mixed dyslipidemia. The study demonstrated that treatment with MBX-8025 led to significant reductions in total LDL (~20%) and selective depletion of the small dense atherogenic (promotion of arterial plaque formation) LDL particles, resulting in an exceptional improvement in the LDL particle size profile. It also decreased TGs (~30%) and raised HDL (~12%). This unique combination of effects significantly decreased the atherogenic risk of patients’ lipid profile. When administered in combination with atorvastatin (Lipitor®), MBX-8025 provided a comprehensive improvement in all lipid and cardiovascular risk parameters without side effects seen in other combination lipid therapies. The beneficial effects demonstrated in the Phase 2 study have been published in the peer-reviewed journals Atherosclerosis and Journal of Clinical Endocrinology &amp; Metabolism. In addition, MBX-8025 addressed other aspects of metabolic syndrome, including improvements in insulin sensitivity and trends toward decreased waist circumference and body fat. Over half of the patients that entered the Phase 2 study meeting the criteria for metabolic syndrome no longer met the criteria at the end of the study. MBX-8025 demonstrated potent anti-inflammatory activity resulting in 43-72% reductions of high-sensitivity C-reactive protein. MBX-8025 also improved surrogate markers of liver health, suggesting the possibility that it may reduce abnormal fat accumulation in the liver. All of these effects provide potential benefits to patients in multiple high unmet need diseases.</t>
        </r>
      </text>
    </comment>
    <comment ref="AD17" authorId="0" shapeId="0">
      <text>
        <r>
          <rPr>
            <sz val="10"/>
            <rFont val="Arial"/>
            <family val="2"/>
          </rPr>
          <t xml:space="preserve">Company Disclosed Competitive Profile:
Source: CymaBay Therapeutics 2014 10-K, Page 3:
Our second product candidate, MBX-8025, demonstrated favorable effects on cholesterol, triglycerides and markers of liver health in a Phase 2 clinical trial in patients with mixed dyslipidemia. We are planning to pursue development of MBX-8025 in a number of orphan diseases in which these attributes could be beneficial, such as homozygous familial hypercholestorolemia (HoFH), primary biliary cirrhosis (PBC) and severe hypertriglyceridemia (SHTG). We also believe that MBX-8025 could have utility in the treatment of the more prevalent, but high unmet need, indication of nonalcoholic steatohepatitis (NASH). We plan to initiate one or more pilot or proof-ofconcept studies for MBX-8025, beginning with HoFH, in the first half of 2015.
Page 10:
In 2014, we initiated six month and twelve month toxicology studies of MBX-8025 in rodents and monkeys, respectively, that we expect to be completed by the first quarter of 2016.
Page 14:
We have decided to redirect the development of MBX-8025 toward serious rare and orphan diseases or more prevalent diseases with higher unmet medical need. We have focused on diseases in which there is a clear scientific rationale or clinical data to suggest that the beneficial effects of MBX-8025 observed in our mixed dyslipidemia trial may be retained in that disease population. The indications of interest are HoFH, PBC, SHTG and NASH. 
Source: CymaBay Therapeutics S-1 (08 APR 2014), Page 1:
Our second product candidate, MBX-8025, demonstrated favorable effects on cholesterol, triglycerides and markers of liver health in a Phase 2 clinical trial in patients with mixed dyslipidemia. We are considering pursuing MBX-8025 in a number of orphan diseases in which these attributes would be beneficial, such as Homozygous Familial Hypercholestorolemia (HoFH). We plan to identify one or more indications for further development in the second half of 2014.
Page 3:
MBX-8025 is a selective, potent peroxisome proliferator-activated receptor-delta (PPARd) agonist that has potential therapeutic application for disorders linked to defects in lipid storage, handling and utilization. The pharmacological action of MBX-8025 has been established in a Phase 2 clinical trial in patients with mixed dyslipidemia, which is characterized by elevated levels of LDL-C and triglycerides and below normal levels of HDL-C. In this trial, MBX-8025 demonstrated favorable effects on cholesterol, triglycerides and markers of liver health. However, we believe that its greatest benefit to patients and the best path for regulatory approval is likely to be in an orphan or other high unmet need indication. We have identified a range of indications linked to both lipid and hepatic disorders that may be applicable for treatment with MBX-8025, including HoFH, a rare genetic disorder characterized by extremely high levels of LDL-C.
Page 14:
We expect our research and development expenses to increase in connection with our ongoing activities, particularly if we commence a Phase 3 clinical trial with arhalofenate and undertake additional clinical trials of our other product candidates MBX-8025 and MBX-2982. Before we commence a Phase 3 clinical trial for arhalofenate, we will need to raise substantial additional capital. We also will need to raise substantial additional capital in the future to complete the development and commercialization of MBX-8025 and MBX-2982, for which we currently have no planned clinical trials. Because successful development of our product candidates is uncertain, we are unable to estimate the actual funds required to complete research and development and commercialize our products under development.estinal tract and promotes glucose-regulated insulin secretion in the pancreas. Based on the results from four Phase 1 and one Phase 2 clinical trials, we believe MBX-2982 has the potential to be used as a combination therapy for lowering glucose in patients with Type 2 diabetes. We do not anticipate conducting an additional study in diabetes until a suitable partner is identified.
</t>
        </r>
      </text>
    </comment>
    <comment ref="AE17" authorId="0" shapeId="0">
      <text>
        <r>
          <rPr>
            <sz val="10"/>
            <rFont val="Arial"/>
            <family val="2"/>
          </rPr>
          <t>Company Disclosed Competitive Profile:
Source: CymaBay Therapeutics 2015 10-K, Pages 5-11:
Five Phase 1 and two Phase 2 clinical trials with MBX-8025 have been completed. A third Phase 2 clinical trial is currently ongoing in patients with primary biliary cholangitis (PBC). The first phase 2 clinical trial in overweight and obese patients with mixed dyslipidemia was an eight-week trial in which MBX-8025 was administered at doses of 50 or 100 mg/day both alone and in combination with 20 mg/day of atorvastatin. This study also had a placebo arm and a 20 mg/day atorvastatin monotherapy arm. Treatment effects with MBX-8025 observed in this study included lowering of LDL-C with selective depletion of pro-atherogenic dense LDL-C particles, decreases in triglycerides and increases in HDL. Patients taking MBX-8025 also experienced decreased levels of alkaline phosphatase and gamma glutamyl transferase, which when elevated are biochemical markers of cholestasis. 
In January 2015, we announced preclinical data demonstrating the potential of MBX-8025 to treat patients with HoFH. MBX-8025 gave durable and significant decreases in LDL-C concentrations of greater than 40% in the Watanabe Heritable Hyperlipidemic rabbit, an accepted pre-clinical model of human HoFH. Based on this preclinical data, our understanding of the mechanism of action of MBX-8025 and the remaining unmet need for these patients despite the approval of recent therapies, we conducted a Phase 2 pilot study of MBX-8025 in HoFH patients.
Phase 2 Study of MBX-8025 in HoFH 
In April 2015, we initiated a Phase 2 study of MBX-8025 in patients with HoFH. This was an open label, dose escalation study of 12 weeks duration conducted at five centers in Europe and Canada. Thirteen patients were enrolled, all of whom had genetically confirmed HoFH, including 2 subjects who had functionally negative mutations in their LDL-R genes. All of the subjects were taking ezetimibe and were on maximum statin therapy. None of the study participants received lomitapide, mipomersen or a PCSK9 inhibitor. Eight patients were undergoing concomitant apheresis on a weekly or biweekly schedule. Despite being on maximal conventional therapy, the average baseline LDL-C was 368 mg/dL. Subjects received once daily treatment with 50 mg of MBX-8025 for 4 weeks, after which the dose was escalated to 100 and 200 mg in successive 4 week periods. The goals of the study were to evaluate the effect on LDL-C as well as a spectrum of other lipid-related parameters, including PCSK9 levels, and to collect safety information. 
Phase 2 Study of MBX-8025 in PBC 
In November 2015, we initiated a Phase 2 study of MBX-8025 in patients with primary biliary cholangitis. In this study, approximately 75 patients who have had an inadequate response to ursodiol will be enrolled and randomized to receive either placebo or MBX-8025 (either 50 mg or 200 mg once daily) for 12 weeks. The primary endpoint will be the change in alkaline phosphatase, a parameter that has been used in prior clinical studies with PBC and which is believed to reflect the status of the disease. A variety of secondary outcomes including safety, tolerability, effects of MBX-8025 on PBC response criteria, effects of MBX-8025 on other markers of liver function, lipids, pruritus and Quality of Life will also be studied. We expect the study to enroll patients in the U.S. as well as Canada, Germany, Poland and the U.K. and expect it to be completed by the end of 2016. 
Based on data from our Phase 2 clinical trial in patients with mixed dyslipidemia and available data from other PPARd agonists, we believe MBX-8025 may have utility in treating patients with NASH. The decrease in GGT, a biochemical marker which has been recognized to be linked with hepatic fat accumulation, observed in our phase 2 mixed dyslipidemia trial is consistent with results reported for another PPARd agonist GW501516. A short term clinical trial with GW501516 demonstrated that the compound decreased hepatic fat. In addition to our clinical experience with MBX-8025, along with that of other PPARd agonists, the well documented property that MBX-8025 induces the oxidation of fatty acid leads us to believe that our compound could potentially benefit patients affected with NAFLD who are further at risk of developing NASH. We continue to evaluate the opportunity to develop MBX-8025 in NASH among a number of additional indications.</t>
        </r>
      </text>
    </comment>
    <comment ref="H18" authorId="0" shapeId="0">
      <text>
        <r>
          <rPr>
            <sz val="10"/>
            <rFont val="Arial"/>
            <family val="2"/>
          </rPr>
          <t xml:space="preserve">Patent Comment:
Patent protection refers to pending US patent applications &amp; numerous foreign patent applications. Source: 2016 10-K, Fiscal 2015 10-K
</t>
        </r>
      </text>
    </comment>
    <comment ref="AF18" authorId="0" shapeId="0">
      <text>
        <r>
          <rPr>
            <sz val="10"/>
            <rFont val="Arial"/>
            <family val="2"/>
          </rPr>
          <t>Company Disclosed Competitive Profile:
Source: Enanta Pharmaceuticals Fiscal 2015 10-K (YE SEP 2016), Pages 5-6:
We initiated Phase 1 clinical trials of our lead FXR agonist candidate, EDP-305, in September 2016. Our double-blind, placebo-controlled Phase 1 study is designed to evaluate the safety, tolerability and pharmacokinetics of single ascending doses (SAD) and multiple ascending doses (MAD) of EDP-305 in healthy adults, and in adults with presumptive non-alcoholic fatty liver disease, known as NAFLD. By presumptive NAFLD, we mean adults who are obese, with or without pre-diabetes or type 2 diabetes, whom we are including in order to obtain initial safety data and additional data regarding the relationship between EDP-305 plasma concentration levels and certain pharmacological effects in the context of fatty liver disease. This relationship will be explored by using bio-markers that are relevant to the disease and to the activity of EDP-305, such as evaluation of lipids, glucose, insulin resistance and specific markers of FXR activity. The study will enroll approximately 90 subjects and is designed to evaluate up to 5 dose cohorts, with EDP-305 administered orally, once daily.</t>
        </r>
      </text>
    </comment>
    <comment ref="H19" authorId="0" shapeId="0">
      <text>
        <r>
          <rPr>
            <sz val="10"/>
            <rFont val="Arial"/>
            <family val="2"/>
          </rPr>
          <t>Patent Comment:
Patent date refers to earliest assumed generic launch. Patent protection refers to "Bile salt conjugates" (US#6384024) exp. on 23 OCT 2020 &amp; (US#6589946) exp. on 21 FEB 2022. RoW exp. date refers to "Use of FABACs in the treatment, prevention and inhibition of progression of Alzheimer’s Disease, cerebral amyloid angiopathy and other brain diseases characterized by amyloid plaque deposits", granted in Europe. Patent Protection also refers to FABACs, including  Aramchol, as well as methods for preventing or dissolving cholesterol gallstones in bile &amp; reducing or preventing arteriosclerosis using FABACs, granted in US &amp; Europe exp. on 25 MAR 2019 &amp; in  Israel exp. on 8 APR 2018. Source: 2013 F-1, USPTO, 9 JUN 2014 press release &amp; 2015 20-F.</t>
        </r>
      </text>
    </comment>
    <comment ref="H20" authorId="0" shapeId="0">
      <text>
        <r>
          <rPr>
            <sz val="10"/>
            <rFont val="Arial"/>
            <family val="2"/>
          </rPr>
          <t>Patent Comment:
Patent date reflects earliest assumed generic launch. Patent protection refers to "Pyrazolo pyridine derivatives as NADPH oxidase inhibitors" (US#8389518) &amp; pending applications outside USA. Patent protection refers to ODS in US &amp; EU for treatment of Idiopathic Pulmonary Fibrosis (IPF). Source: USPTO &amp; Genkyotex JUL 2012 presentation, 17 DEC 2012, 2 DEC 2010 &amp; 27 SEP 2010 press releases.</t>
        </r>
      </text>
    </comment>
    <comment ref="AM20" authorId="0" shapeId="0">
      <text>
        <r>
          <rPr>
            <sz val="10"/>
            <rFont val="Arial"/>
            <family val="2"/>
          </rPr>
          <t xml:space="preserve">EvaluatePharma®Comment:
Revenue forecasts are split between end-user sales and royalties to reflect the difference of opinion amongst analysts (For DKD indication).
</t>
        </r>
      </text>
    </comment>
    <comment ref="AN20" authorId="0" shapeId="0">
      <text>
        <r>
          <rPr>
            <sz val="10"/>
            <rFont val="Arial"/>
            <family val="2"/>
          </rPr>
          <t xml:space="preserve">EvaluatePharma®Comment:
Revenue forecasts are split between end-user sales and royalties to reflect the difference of opinion amongst analysts (For DKD indication).
</t>
        </r>
      </text>
    </comment>
    <comment ref="H21" authorId="0" shapeId="0">
      <text>
        <r>
          <rPr>
            <sz val="10"/>
            <rFont val="Arial"/>
            <family val="2"/>
          </rPr>
          <t>Patent Comment:
Patent date &amp; number refers to US patent for “methods of reducing risk of pancreatitis for patients with TG≥ 500 mg/dL with gemcabene treatment” (US#8846761). Patent protection refers to US patent for "Calcium dicarboxylate ethers, methods of making same, and treatment of vascular disease and diabetes therewith" (US#6861555) exp. on 17 DEC 2021. RoW patent expiry refers to European patent (EP#2658536) covering "Gemcabene and Derivatives for Treating Pancreatitis covering the use of gemcabene for decreasing the risk of developing pancreatitis in patients having a blood triglyceride level of 500 mg/dL or higher". Source: Gemphire 2017 10-K, 22 MAY 2018 presentation, 31 JAN 2018, Press Release, 08 JUN 2017 presentation.</t>
        </r>
      </text>
    </comment>
    <comment ref="A23" authorId="0" shapeId="0">
      <text>
        <r>
          <rPr>
            <sz val="10"/>
            <rFont val="Arial"/>
            <family val="2"/>
          </rPr>
          <t>Group Total: Equals the sum of values in report based on report grouping.
Note: Where  Top 5,10,100 etc filters have been applied, the aggregate value relates to the total of the original unfiltered group - not the displayed filtered data. Where n/a appears, a value has been hidden but is included in Group Total.
Examples:
e.g. Top 100 drugs reports. These are not grouped but are filtered to show only the top 100 products by sales in a particular year.  The Group Total displayed is equal to the sum of all data within Evaluate Pharma - not just the top 100 products i.e. total market size.
e.g. Global Majors - Top 10 products.  Report is grouped by Company and filtered to show only the top 10 products by sales in a particular year.  Group Totals are displayed for each company and are equal to the sum of all available data for that company - not just the top 10 products.</t>
        </r>
      </text>
    </comment>
    <comment ref="B29" authorId="0" shapeId="0">
      <text>
        <r>
          <rPr>
            <sz val="10"/>
            <rFont val="Arial"/>
            <family val="2"/>
          </rPr>
          <t>Shaded Cells
A shaded cell signifies potentially incomplete data. E.g. A shaded cell in "Change (+/-)" means there is no corresponding value, i.e. there is data for 2001, but no data for 2000.  This could signify a product launch, first time disclosure of sales, a product acquisition or missing data.
A shaded cell containing n/a signifies valid data followed by blank or zero values. E.g. A shaded cell containing n/a in "Change (+/-)" means a value is present for 2000, but blank for 2001. This could signify a product disposal / withdrawal, discontinuation of disclosure or missing data.</t>
        </r>
      </text>
    </comment>
  </commentList>
</comments>
</file>

<file path=xl/comments14.xml><?xml version="1.0" encoding="utf-8"?>
<comments xmlns="http://schemas.openxmlformats.org/spreadsheetml/2006/main">
  <authors>
    <author/>
  </authors>
  <commentList>
    <comment ref="B6" authorId="0" shapeId="0">
      <text>
        <r>
          <rPr>
            <sz val="10"/>
            <rFont val="Arial"/>
            <family val="2"/>
          </rPr>
          <t>Ranked on:
Annual Sales (Indication) - WW
2024</t>
        </r>
      </text>
    </comment>
    <comment ref="X6" authorId="0" shapeId="0">
      <text>
        <r>
          <rPr>
            <sz val="10"/>
            <rFont val="Arial"/>
            <family val="2"/>
          </rPr>
          <t>Compound Annual Growth Rate (CAGR) (2010 to 2024)</t>
        </r>
      </text>
    </comment>
    <comment ref="H8" authorId="0" shapeId="0">
      <text>
        <r>
          <rPr>
            <sz val="10"/>
            <rFont val="Arial"/>
            <family val="2"/>
          </rPr>
          <t xml:space="preserve">Patent Comment:
Patent date refers to US compound patent. Patent protection refers to biologics data package protection expiring 2026. RoW expiry refers to EU patent. Source: Annual Report 2017 &amp; 2017 10-K. </t>
        </r>
      </text>
    </comment>
    <comment ref="AB8" authorId="0" shapeId="0">
      <text>
        <r>
          <rPr>
            <sz val="10"/>
            <rFont val="Arial"/>
            <family val="2"/>
          </rPr>
          <t>Company Disclosed Competitive Profile:
Source: Eli Lilly 2012 10-K, Page 25: 
In October 2012, we announced positive top-line results of three completed Phase III AWARD trials (AWARD-1, AWARD-3, and AWARD-5) studying dulaglutide as a once-weekly treatment for type 2 diabetes. The primary efficacy endpoints, as measured by reduction in hemoglobin A1c (HbA1c) at the 1.5 mg dose, were met in all three studies. Having met the primary endpoints, superiority for HbA1c lowering was examined, and both doses of dulaglutide (0.75 mg and 1.5 mg) demonstrated statistically superior reduction in HbA1c from baseline compared to exenatide twicedaily injection at 26 weeks (AWARD-1); metformin at 26 weeks (AWARD-3); and sitagliptin at 52 weeks (AWARD-5). We anticipate filing for regulatory review in the U.S. and Europe in 2013.
Source: Eli Lilly 2012 Annual Report, Page 5: 
In October, Lilly announced positive top-line results of three completed Phase III trials for dulaglutide, our GLP-1 analog being studied as a onceweekly treatment for type 2 diabetes. Dulaglutide demonstrated statistically superior reductions in HbA1c compared to exenatide twice-daily injection at 26 weeks; metformin at 26 weeks; and sitagliptin at 52 weeks.</t>
        </r>
      </text>
    </comment>
    <comment ref="AC8" authorId="0" shapeId="0">
      <text>
        <r>
          <rPr>
            <sz val="10"/>
            <rFont val="Arial"/>
            <family val="2"/>
          </rPr>
          <t>Company Disclosed Competitive Profile:
Source: Eli Lilly 2013 10-K, Page 29:
In April 2013, we announced that the Phase III AWARD-2 and AWARD-4 trials studying dulaglutide as an investigational once-weekly treatment for type 2 diabetes met the primary endpoints related to reduction in hemoglobin A1c (HbA1c) compared to insulin glargine, and that the 1.5 mg dose demonstrated statistically superior reduction in HbA1c from baseline compared to insulin glargine in both trials. In the third quarter of 2013, we filed for regulatory review in both the U.S. and Europe.</t>
        </r>
      </text>
    </comment>
    <comment ref="AD8" authorId="0" shapeId="0">
      <text>
        <r>
          <rPr>
            <sz val="10"/>
            <rFont val="Arial"/>
            <family val="2"/>
          </rPr>
          <t>Company Comment:
Source: Eli Lilly 2014 10-K, Page 4:
Trulicity, for the treatment of type 2 diabetes (approved in the U.S. and Europe in 2014).
Source: Eli Lilly 2014 Annual Report, Page 8:
Trulicity is a once-weekly, injectable solution designed to improve glycemic control in adults with type 2 diabetes and should be used along with diet and exercise. Trulicity is a glucagon-like peptide-1 (GLP-1) receptor agonist that acts like GLP-1, a natural hormone that helps the body release its own insulin following a meal.
 Discovered in Lilly Research Laboratories, Trulicity was designed for the individual with diabetes who’s making the transition to injectable therapy. Trulicity comes in a ready-to-use single-dose pen with a pre-attached, hidden needle. It does not require any mixing, measuring, or needle preparation and can be taken any time of day, with or without meals.
 The approval of Trulicity was based on five Phase III clinical trials. In all five, Trulicity met its primary endpoint—lowering of hemoglobin A1c, a measure of average blood glucose—and was superior to other, conventional treatments. In a sixth trial, dulaglutide became the only GLP-1 agent in a Phase III study to show non-inferiority to the highest dose of Victoza®.
 Trulicity is now approved for adults in the United States, Europe, Australia, and the United Arab Emirates as an adjunct to diet and exercise for the treatment of type 2 diabetes. It is currently in regulatory review in Japan as well as other regions.</t>
        </r>
      </text>
    </comment>
    <comment ref="AE8" authorId="0" shapeId="0">
      <text>
        <r>
          <rPr>
            <sz val="10"/>
            <rFont val="Arial"/>
            <family val="2"/>
          </rPr>
          <t>Company Comment:
Source: Eli Lilly FY 2015 Results (28 JAN 2016):
For the full-year 2015, worldwide revenue increased 2 percent...This increase was comprised of 8 percent due to increased volume and 1 percent due to higher prices, partially offset by 7 percent due to the unfavorable impact of foreign exchange rates. The increase in volume was primarily due to the inclusion of revenue from Novartis Animal Health and increased volume for several pharmaceutical products, including Cyramza, Trulicity and Humalog, as well as Erbitux due to the transfer of commercialization rights in North America. These worldwide volume increases were partially offset by the residual impact of the loss of exclusivity for Cymbalta and Evista.
Source: Eli Lilly 2015 10-K, Page 4:
Trulicity®, for the treatment of type 2 diabetes (approved in the U.S. and Europe in 2014 and Japan in 2015).</t>
        </r>
      </text>
    </comment>
    <comment ref="AF8" authorId="0" shapeId="0">
      <text>
        <r>
          <rPr>
            <sz val="10"/>
            <rFont val="Arial"/>
            <family val="2"/>
          </rPr>
          <t>Company Comment:
Source: Eli Lilly FY 2016 Results (31 JAN 2017):
“Newly launched products - including Trulicity, Cyramza, Jardiance and Taltz - led Lilly’s volume driven growth in 2016. Pipeline progress also continued with approvals of new products and new indications for existing products in our core therapeutic areas of diabetes, oncology and immunology," said David A. Ricks, Lilly’s president and CEO.
…The worldwide volume increase was primarily driven by Trulicity and other new pharmaceutical products, including Cyramza, Jardiance and Taltz, as well as Humalog and Erbitux (due to the transfer of commercialization rights in North America to Lilly)….
Revenue in the U.S. increased 14 percent to $11.506 billion, driven by increased volume for several pharmaceutical products, including Trulicity, Humalog, Erbitux (due to the transfer of commercialization rights in North America to Lilly), Taltz and Jardiance, partially offset by lower volumes for Zyprexa…
Revenue outside the U.S. decreased 1 percent to $9.716 billion as lower realized prices and volume from the losses of exclusivity for Cymbalta in Europe and Canada, Zyprexa in Japan, and Alimta in several countries were largely offset by increased volume for several new pharmaceutical products, including Cyramza and Trulicity.
For the full year 2016, worldwide Trulicity revenue was $925.5 million. U.S. revenue was $737.6 million, driven by growth in the GLP-1 market and increased share of market for Trulicity. Revenue outside the U.S. was $187.9 million.</t>
        </r>
      </text>
    </comment>
    <comment ref="AG8" authorId="0" shapeId="0">
      <text>
        <r>
          <rPr>
            <sz val="10"/>
            <rFont val="Arial"/>
            <family val="2"/>
          </rPr>
          <t>Company Comment:
Source: Eli Lilly FY 2017 Results (31 JAN 2018):
For the full year 2017, worldwide Trulicity revenue was $2.030 billion, an increase of 119 percent compared with 2016. U.S. revenue increased 118 percent, to $1.610 billion, driven by increased share of market for Trulicity and growth in the GLP-1 class. Revenue outside the U.S. increased 123 percent, to $419.9 million.</t>
        </r>
      </text>
    </comment>
    <comment ref="H9" authorId="0" shapeId="0">
      <text>
        <r>
          <rPr>
            <sz val="10"/>
            <rFont val="Arial"/>
            <family val="2"/>
          </rPr>
          <t>Patent Comment:
Patent date &amp; number refers to Acylated GLP-1 compounds (US#8129343, #8536122) exp. 29 JAN 2029 &amp; 20 MAR 2026. RoW expiry refers to EU patent "Acylated glp-1 compounds" (EP#1863839). Patent protection also refers to Needle mounting system and a method for mounting a needle assembly (US#7762994, #8579869) exp. 23 MAY 2024 &amp; 30 JUN 2023; Propylene glycol-containing peptide formulations which are optimal for production and for use in injection devices (US#8114833) exp. 13 AUG 2025; Automatic injection device with reset feature (US#6899699, #8672898, #9486588) exp. 2 JAN 2022. Patent protection refers to patents granted in Germany, Japan &amp; China expiring in 2031, 2031 &amp; 2026 respectively. Source: 2017 20-F, 2015 20-F, US PTO &amp; 2017 AR, 2018 PR.</t>
        </r>
      </text>
    </comment>
    <comment ref="Z9" authorId="0" shapeId="0">
      <text>
        <r>
          <rPr>
            <sz val="10"/>
            <rFont val="Arial"/>
            <family val="2"/>
          </rPr>
          <t xml:space="preserve">Company Disclosed Competitive Profile:
Source: Novo Nordisk Annual Report 2010, Page 24: 
Once-weekly GLP-1 analogue. Phase 3 initiation was postponed in June 2010 pending a long-acting portfolio development strategy decision. 
</t>
        </r>
      </text>
    </comment>
    <comment ref="AA9" authorId="0" shapeId="0">
      <text>
        <r>
          <rPr>
            <sz val="10"/>
            <rFont val="Arial"/>
            <family val="2"/>
          </rPr>
          <t>Company Disclosed Competitive Profile:
Source: Novo Nordisk 2011 Annual Report, Page 19:
Our late-stage GLP-1 pipeline includes two new treatments, a fixed combination of Victoza® with Degludec, which may offer the benefits of both compounds in a convenient solution, and a novel once-weekly GLP-1 analogue, semaglutide.
Page 34: 
We are also exploring the GLP-1 analogue semaglutide for once-weekly use.</t>
        </r>
      </text>
    </comment>
    <comment ref="AB9" authorId="0" shapeId="0">
      <text>
        <r>
          <rPr>
            <sz val="10"/>
            <rFont val="Arial"/>
            <family val="2"/>
          </rPr>
          <t>Company Disclosed Competitive Profile:
Source: Novo Nordisk 2012 Annual Report, Page 11:
Within GLP-1, semaglutide was selected as the company’s once-weekly candidate and was approved to enter the global phase 3 development programme, SUSTAIN™, starting in the first half of 2013, while liraglutide Depot was discontinued.</t>
        </r>
      </text>
    </comment>
    <comment ref="AC9" authorId="0" shapeId="0">
      <text>
        <r>
          <rPr>
            <sz val="10"/>
            <rFont val="Arial"/>
            <family val="2"/>
          </rPr>
          <t>Company Disclosed Competitive Profile:    
Source: Novo Nordisk 2013 Annual Report, Page 10:  
Novo Nordisk’s once-weekly analogue semaglutide has now started three of six global phase 3a trials, one of which will collect cardiovascular outcomes and other long-term diabetes-related endpoints.</t>
        </r>
      </text>
    </comment>
    <comment ref="AD9" authorId="0" shapeId="0">
      <text>
        <r>
          <rPr>
            <sz val="10"/>
            <rFont val="Arial"/>
            <family val="2"/>
          </rPr>
          <t xml:space="preserve">Company Disclosed Competitive Profile:
Source: Novo Nordisk 2014 Annual Report, Page 2:
2015 will also bring very important study results for other key development projects within diabetes: the remaining phase 3a data for faster-acting insulin aspart; all phase 3a results for the use of Victoza® in people with type 1 diabetes; the first phase 3a results for semaglutide, a once-weekly GLP-1 analogue; and phase 2 results for an oral (tablet) formulation of GLP-1.
</t>
        </r>
      </text>
    </comment>
    <comment ref="AE9" authorId="0" shapeId="0">
      <text>
        <r>
          <rPr>
            <sz val="10"/>
            <rFont val="Arial"/>
            <family val="2"/>
          </rPr>
          <t>Company Disclosed Competitive Profile:
Source: Novo Nordisk Annual Report 2015, Page 10:
During the second half of 2015, Novo Nordisk completed four out of six phase 3a trials with semaglutide in the SUSTAIN programme. Semaglutide is a new GLP-1 analogue administered subcutaneously once weekly for the treatment of type 2 diabetes in adults. The data reported so far confirm the strong efficacy profile of semaglutide, which also appeared safe and well tolerated in the trials.</t>
        </r>
      </text>
    </comment>
    <comment ref="AF9" authorId="0" shapeId="0">
      <text>
        <r>
          <rPr>
            <sz val="10"/>
            <rFont val="Arial"/>
            <family val="2"/>
          </rPr>
          <t>Company Disclosed Competitive Profile:
Source: Novo Nordisk 2016 Annual Report, Page 25:
The good news from Novo Nordisk’s GLP-1 analogue research continued with the results from the SUSTAIN 6 trial of once-weekly semaglutide. In the first dedicated premarketing cardiovascular outcomes trial in people with type 2 diabetes at high CV risk, semaglutide was shown to significantly reduce the risk of the composite primary endpoint of time to first occurrence of either CV death, heart attack or non-fatal stroke by 26% compared to placebo, when added to standard of care in 3,297 adults with type 2 diabetes at high CV risk.15 Furthermore, the trial showed that participants experienced significantly reduced blood sugar levels and superior and sus- tained weight loss compared to standard of care.15 “The results of SUSTAIN 6 were profound and exceeded our expectations,” says Dr Moses. “This study was designed to demonstrate the cardiovascular safety of semaglutide, but it went beyond that and proved an actual and significant risk. reduction in the composite cardiovascular events, even with the relatively small study population and short trial duration.” Novo Nordisk submitted semaglutide for regulatory approval at the end of 2016.</t>
        </r>
      </text>
    </comment>
    <comment ref="AG9" authorId="0" shapeId="0">
      <text>
        <r>
          <rPr>
            <sz val="10"/>
            <rFont val="Arial"/>
            <family val="2"/>
          </rPr>
          <t>Company Comment:
Source: Novo Nordisk 2017 20-F, Page 6-7:
In December 2017, Novo Nordisk obtained approval from the FDA and received a positive opinion from the European Committee for Medicinal Products for Human Use (CHMP) for the once-weekly GLP-1 product, Ozempic, for the treatment of adults with Type 2 diabetes. Ozempic will be launched in the United States in 2018.</t>
        </r>
      </text>
    </comment>
    <comment ref="H10" authorId="0" shapeId="0">
      <text>
        <r>
          <rPr>
            <sz val="10"/>
            <rFont val="Arial"/>
            <family val="2"/>
          </rPr>
          <t>Patent Comment:
Patent date &amp; number refers to Glucopyranosyl-substituted phenyl derivatives, medicaments containing such compounds, their use and process for their manufacture (US#7579449) exp. 1 AUG 2028 incl. 1001 days of expected patent extension. Patent protection refers to US patent titled "Crystalline form of 1-chloro-4-(.beta.-D-glucopyranos-1-yl)-2-[4-((S)-tetrahydrofuran-3-yloxy- )-benzyl]-benzene, a method for its preparation and the use thereof for preparing medicaments" (US#7713938) exp. 15 APR 2027. Source: US FDA, US PTO, Eli Lilly 2017 Annual report &amp; Eli Lilly 2017 10-K.</t>
        </r>
      </text>
    </comment>
    <comment ref="Z10" authorId="0" shapeId="0">
      <text>
        <r>
          <rPr>
            <sz val="10"/>
            <rFont val="Arial"/>
            <family val="2"/>
          </rPr>
          <t>Company Disclosed Competitive Profile:
Source: Eli Lilly 2010 10-K, Page 51:
IIn January 2011, we and BI entered into a global agreement to jointly develop and commercialize a portfolio of diabetes compounds currently in mid- and late-stage development. Included are BI’s two oral diabetes agents, linagliptin, for which an NDA has been submitted to the FDA, and BI10773, which is currently in Phase III clinical testing; our two basal insulin analogues, LY2605541 and LY2963016, both expected to begin Phase III clinical testing in 2011; and the option to co-develop and co-commercialize our anti-TGF-beta monoclonal antibody, which is currently in Phase II clinical testing. Under the terms of the agreement, we made an initial one-time payment to BI of  € 300.0 million for acquired IPR&amp;D related to this arrangement, which will be included as expense in the first quarter of 2011 and is deductible for tax purposes. BI will be eligible to receive up to a total of  € 625.0 million in success-based regulatory milestones for linagliptin and BI10773. We will be eligible to receive up to a total of $650.0 million in success-based regulatory milestones on our two basal analogue insulins. Should BI elect to opt-in to the Phase III development and potential commercialization of the anti-TGF-beta monoclonal antibody, we would be eligible for up to $525.0 million in opt-in and success-based regulatory milestone payments. The companies will share ongoing development costs equally. Upon successful regulatory approval of any product resulting from the collaboration, the companies will equally share in the product’s commercialization costs and gross margin. Each company will also be entitled to potential performance payments on sales of the molecules they contribute to the collaboration.</t>
        </r>
      </text>
    </comment>
    <comment ref="AA10" authorId="0" shapeId="0">
      <text>
        <r>
          <rPr>
            <sz val="10"/>
            <rFont val="Arial"/>
            <family val="2"/>
          </rPr>
          <t>Company Disclosed Competitive Profile:
Source: Eli Lilly 2011 10-K, Pages 19:
In January 2011, we announced a global agreement with Boehringer Ingelheim (Boehringer) to jointly develop and commercialize a portfolio of diabetes compounds currently in mid- and late-stage development, including Boehringer’s two investigational oral diabetes agents, linagliptin and empagliflozin.</t>
        </r>
      </text>
    </comment>
    <comment ref="AB10" authorId="0" shapeId="0">
      <text>
        <r>
          <rPr>
            <sz val="10"/>
            <rFont val="Arial"/>
            <family val="2"/>
          </rPr>
          <t>Company Disclosed Competitive Profile:
Source: Boehringer Ingelheim Annual Report 2012, Page 56-57:
Empagliflozin represents a novel class of antidiabetic drugs, the SGLT2-inhibitors.
Its efficacy and safety is determined in 12 multinational phase III studies with over 14,500 patients, including a cardiovascular outcome study that is one of the largest of its kind.
In the four completed phase III clinical trials for empagliflozin, the primary efficacy endpoint, defined as significant change in HbA1c from baseline compared to placebo, was met. Filing for regulatory review in the USA, Europe and Japan is expected in 2013.
Source: Eli Lilly 2012 10-K, Page 25:
In January 2013, we announced positive top-line results for four completed Phase III clinical trials studying empagliflozin for treatment of patients with type 2 diabetes. In all four studies, the primary efficacy endpoint, defined as significant change in HbA1c from baseline compared to placebo, was met with empagliflozin (10 and 25 mg) taken once daily. The pivotal studies for empagliflozin completed in 2012, and we and Boehringer Ingelheim anticipate filing for regulatory review in the U.S., Europe, and Japan in 2013.
Source: Eli Lilly 2012 Annual Report, Page 5: 
In January 2013, Lilly and Boehringer Ingelheim announced topline results for four completed Phase III clinical trials for empagliflozin, an investigational SGLT-2 inhibitor for type 2 diabetes. In all four studies, the primary efficacy endpoint—defined as change in HbA1c from baseline compared to placebo—was met with empagliflozin 10 mg and 25 mg taken once daily.</t>
        </r>
      </text>
    </comment>
    <comment ref="AC10" authorId="0" shapeId="0">
      <text>
        <r>
          <rPr>
            <sz val="10"/>
            <rFont val="Arial"/>
            <family val="2"/>
          </rPr>
          <t>Company Disclosed Competitive Profile:
Source: Eli Lilly 2013 10-K, Page 29:
In January 2013, we announced positive top-line results for four completed Phase III clinical trials studying empagliflozin for treatment of patients with type 2 diabetes. In all four studies, the primary efficacy endpoint, defined as significant change in HbA1c from baseline compared to placebo, was met with empagliflozin (10 and 25 mg) taken once daily. The pivotal studies for empagliflozin were completed in 2012. In the first quarter of 2013, Boehringer Ingelheim filed for regulatory review in both the U.S. and Europe. The Boehringer Ingelheim manufacturing facility where empagliflozin is being produced is subject to an FDA warning letter; however, it is not clear if this will impact the timing of FDA action for empagliflozin. In the fourth quarter of 2013, Boehringer Ingelheim filed for regulatory review in Japan.
Source: Boehringer Ingelheim Annual Report 2013, Page 11:
In the field of diabetes, we have successfully completed key phase III trials for the compound empagliflozin and have submitted an application for international marketing authorisation. We expect to receive initial authorisation and market launch this year. 
Page 17:
At the end of 2012 and in the first half of 2013, a number of pivotal studies into the investigational agent empagliflozin were finally completed in the phase III clinical trials programme (EMPA-REG). Empagliflozin is a member of the sodium glucose cotransporter 2 (SGLT2) inhibitor class of drugs. The programme focused on type 2 diabetes, enrolled more than 14,000 patients and comprised more than ten multinational clinical trials. Key study data were released at various international diabetes congresses in 2013. In addition, enrolment for a further trials programme was completed in July 2013. The EMPA-REG OUTCOME trial is an event-driven cardiovascular endpoint study, evaluating the effect of empagliflozin versus standard treatment in 7,000 people with type 2 diabetes and high cardiovascular risk. Boehringer Ingelheim is confident that the large data set will convince authorities in the registration process.</t>
        </r>
      </text>
    </comment>
    <comment ref="AD10" authorId="0" shapeId="0">
      <text>
        <r>
          <rPr>
            <sz val="10"/>
            <rFont val="Arial"/>
            <family val="2"/>
          </rPr>
          <t>Company Comment:
Source: Eli Lilly 2014 10-K, Page 61:
Jardiance was approved in Europe, the U.S., and Japan in May, August, and December 2014, respectively. The product was launched in certain European countries and the U.S. in the third quarter of 2014.
Source: Boehringer Ingelheim Annual Report 2014, Page 16:
In 2014, the company received approval in various markets for empagliflozin (jardiance) in diabetes.
Page 55:
In 2015, the cardiovascular outcomes trial EMPA REG OUTCOME with empagliflozin will be the first cardiovascular outcomes study of a SGLT2 inhibitor to read out.</t>
        </r>
      </text>
    </comment>
    <comment ref="AE10" authorId="0" shapeId="0">
      <text>
        <r>
          <rPr>
            <sz val="10"/>
            <rFont val="Arial"/>
            <family val="2"/>
          </rPr>
          <t>Company Comment:
Source: Boehringer Ingelheim Annual Report 2015, Pages 21-22:
Results of the cardiovascular outcomes trial EMPA-REG OUTCOME demonstrated that jardiance (empagliflozin) is reducing death caused by cardiovascular complications. The overall cardiovascular effect of jardiance was also seen in high-risk patients already suffering from heart failure 5 or renal impairment at study beginning.6 Additional data from EMPA-REG OUTCOME showed that jardiance also significantly slowed the progression of diabetic kidney disease compared with placebo and reduced clinically relevant renal events by more than a third. In 2015, we received approval and launched the combination drugs glyxambi (linagliptin/empagliflozin) and synjardy  (empagliflozin/metformin). Further clinical trials and regulatory submissions for additional combination tablets, meeting the individual treatment needs for this complex condition, are well underway. Beyond EMPA-REG OUTCOME for jardiance, two large cardiovascular outcome trials (carolina and carmelina) for trajenta  are on schedule to complete on time.</t>
        </r>
      </text>
    </comment>
    <comment ref="AF10" authorId="0" shapeId="0">
      <text>
        <r>
          <rPr>
            <sz val="10"/>
            <rFont val="Arial"/>
            <family val="2"/>
          </rPr>
          <t>Data Source:
Boehringer Ingelheim 2017 Annual Report, Page 11
Company Comment: 
Source: Boehringer Ingelheim 2016 Annual Report, Page 6:
In the field of diabetes, we are continuing to work highly successfully with our alliance partner Eli Lilly and Company. Through our cardiovascular long-term outcome study empa-reg outcome®, we have been able to demonstrate that jardiance® for the treatment of type 2 diabetes significantly reduces the risk of dying of cardiovascular diseases. It has even been approved by the US Food and Drug Administration. The European authorities have also seen the huge potential of jardiance® and have updated their product information.</t>
        </r>
      </text>
    </comment>
    <comment ref="AG10" authorId="0" shapeId="0">
      <text>
        <r>
          <rPr>
            <sz val="10"/>
            <rFont val="Arial"/>
            <family val="2"/>
          </rPr>
          <t>Company Comment:
Source: Boehringer Ingelheim FY 2017 Results (25 APR 2018):
In the human pharmaceuticals business, Boehringer Ingelheim last year succeeded in generating net sales of more than one billion US dollars each with six medicines. These were the respiratory medicine SPIRIVA, the anticoagulant PRADAXA, the diabetes medicines TRAJENTA and JARDIANCE, OFEV, which is used to treat the rare disease idiopathic pulmonary fibrosis (IPF), and MICARDIS medicines used for the treatment of hypertension...
Source: Boehringer Ingelheim 2017 Annual Report, Page 11:
…Moreover, Pradaxa, which is used to prevent strokes in patients with atrial  fibrillation, as well as for the prevention and treatment of thromboembolic disorders, and trajenta and jardiance, which remain on a growth path and are used to treat type 2 diabetes, also made significant contributions to Boehringer Ingelheim’s success…
Page 22:
At EUR 1,008 million, the medicine jardiance, which is used for the treatment of type 2 diabetes, achieved sales in excess of one billion euros for the first time in 2017 (+ 132.8%).</t>
        </r>
      </text>
    </comment>
    <comment ref="H11" authorId="0" shapeId="0">
      <text>
        <r>
          <rPr>
            <sz val="10"/>
            <rFont val="Arial"/>
            <family val="2"/>
          </rPr>
          <t>Patent Comment:
Patent date &amp; number refers to "Insulin derivatives" (US#7615532) including 1803 days of expected patent extension. Patent protection refers to “Automatic injection device with reset feature” (US#6899699, #9486588 &amp; #8672898) exp on 2 JAN 2022. Patent protection also refers to “Dial-down mechanism for wind-up pen” (US#7686786) exp on 3 AUG 2026 &amp; (US#9132239) exp on 1 FEB 2032. Patent protection also refers to NCE exp 25 SEP 2020. RoW expiry refers to EU patent. Patent protection also refers to Germany patent expiring in 2028, Chinese patent expiring in 2024 &amp; Japanese patent expiring in 2027. Source: USPTO, USFDA, 2017 AR, 01 NOV 2017 PR &amp; 05 MAY 2015 Presentation.</t>
        </r>
      </text>
    </comment>
    <comment ref="Z11" authorId="0" shapeId="0">
      <text>
        <r>
          <rPr>
            <sz val="10"/>
            <rFont val="Arial"/>
            <family val="2"/>
          </rPr>
          <t xml:space="preserve">Company Disclosed Competitive Profile:
Source: Novo Nordisk Annual Report 2010, Page 3-4: 
We saw tremendous progress in 2010 in our development pipeline, with positive results from phase 3 trials for our next-generation insulins, Degludec (insulin degludec) and DegludecPlus (insulin degludec/insulin aspart). We expect to file for regulatory approval of Degludec (insulin degludec) and DegludecPlus (insulin degludec/insulin aspart) this year. We will initiate phase 3 trials for a fixed combination of Degludec (insulin degludec) and Victoza® which may offer the benefits of both compounds in a fixed, convenient solution.
Page 9: 
The number of people participating in Novo Nordisk’s clinical trials increased by 74% in 2010. Due to the phase 3 trials for Degludec and DegludecPlus, which involve more than 9,000 people, 19,361 people participated in Novo Nordisk’s clinical trials in 2010, compared with 11,130 in 2009.
Page 24: 
Ultra-long-acting basal insulin. Enrolment in the phase 3a programme completed in June 2010. First phase 3a study results announced in October 2010.
 Page 30: 
In January 2011, we completed the phase 3a programme for Degludec and DegludecPlus. The data generated from 17 randomised, controlled treat-to-target trials in more than 10,000 type 1 and type 2 diabetes patients from more than 40 countries, consistently revealed benefits related to efficacy, safety and convenience of both Degludec and DegludecPlus. The trials mostly used insulin analogues as comparator products and the key results are provided in this section. We expect to submit applications for regulatory approval of Degludec and DegludecPlus in the US and Europe in the second half of 2011. 
</t>
        </r>
      </text>
    </comment>
    <comment ref="AA11" authorId="0" shapeId="0">
      <text>
        <r>
          <rPr>
            <sz val="10"/>
            <rFont val="Arial"/>
            <family val="2"/>
          </rPr>
          <t>Company Disclosed Competitive Profile:
Source: Novo Nordisk 2011 Annual Report, Page 3-5:
Equally significant were the finalisation of the clinical activities and filing for regulatory approval in Europe, Japan and the US of a new generation of insulin products. These are based on the ultra-long principle of Degludec, allowing for a half-life twice as long as the basal insulins most commonly used today. With these products it is our hope that we can offer both the world’s longest-acting basal insulin, Degludec, and a combination of this basal insulin with the world’s leading short-acting insulin, NovoRapid® (NovoLog®), DegludecPlus, which will offer people with diabetes superior glucose control, reducing the risk of hypoglycaemia (too low blood sugar) and providing greater dosing flexibility. Degludec is also designed to provide people with diabetes the flexibility to administer their insulin at any time of day, at different times from day to day.
Our focus in 2012 will be on: The regulatory process for approval of Degludec and DegludecPlus in our main markets and preparations for the launch of these new-generation insulins.
Novo Nordisk achieved a significant milestone in 2011, as applications for marketing authorisation of two new-generation insulins, Degludec1 and DegludecPlus2, were filed in major markets.
Page 13: 
For 2012, growth in operating profit is expected to be around 10% measured in local currencies. The outlook for growth in operating profit reflects significant expenditure related to the expected launch of the ultra-long-acting insulin Degludec.
Page 33-34: 
Our focus on improving the lives of people with diabetes led us to develop two new-generation insulins, Degludec and DegludecPlus, which were filed for regulatory approval in key markets in 2011. These new-generation insulins are designed to have an ultra-long action for the treatment of type 1 and type 2 diabetes, providing stable and consistent blood glucose control while reducing the rate of hypoglycaemia, particularly at night when hypoglycaemic events are difficult to manage. It is known that many healthcare providers and people with diabetes intentionally undertreat to avoid incidences of hypoglycaemia, allowing higher levels of blood glucose with the potential for health complications.
Degludec is designed to provide greater dosing flexibility, with more than 40 hours' glucose control. This flexibility can give people with diabetes the flexibility to administer once-daily treatment at a different time from day to day. DegludecPlus combines ultra-long-acting insulin degludec and the most prescribed rapid-acting insulin, NovoRapid®, providing both basal and mealtime glucose control.
The regulatory filings for Degludec and DegludecPlus were largely based on results from the BEGIN™ and BOOST™ clinical trial programmes. Data from the 17 trials have shown Degludec to effectively lower blood glucose levels, while demonstrating a lower rate of hypoglycaemia, particularly at night, relative to insulin glargine. In addition, Degludec will offer greater flexibility as to time of administration and, when used with FlexTouch®, can allow larger single doses than other insulin devices on the market. At present, many people need to take two injections to get their total insulin dose.
BEGIN™ and BOOST™ were the largest clinical trial programmes in the history of insulin therapy, involving nearly 10,000 people with type 1 and type 2 diabetes. The programmes were designed after consulting with regulatory agencies in the EU, Japan and the US.
We intend to make Degludec and DegludecPlus available in FlexTouch®, the first insulin pen that will have the potential to deliver up to 160 insulin units in a single injection.</t>
        </r>
      </text>
    </comment>
    <comment ref="AB11" authorId="0" shapeId="0">
      <text>
        <r>
          <rPr>
            <sz val="10"/>
            <rFont val="Arial"/>
            <family val="2"/>
          </rPr>
          <t xml:space="preserve">Company Comment:
Source: Novo Nordisk 2012 Annual Report, Page 3:
However, almost all attention from investors and the media was on our new generation of insulins, TresibaR (insulin degludec) and RyzodegR (a combination of insulin degludec and insulin aspart). Both products were approved in Japan in 2012 and in the EU in January 2013. In the US, Canada, Switzerland and other countries, the approval process is ongoing.
We are planning regulatory filing for IDegLira in the EU mid-2013 and in the US during 2013 pending marketing authorisation for TresibaR.
Page 11: 
Novo Nordisk is planning regulatory filing for IDegLira in the EU mid-2013 and in the US during 2013 pending marketing authorisation of TresibaR.
Page 16: 
A new generation of insulins, TresibaR (insulin degludec) and RyzodegR (insulin degludec/insulin aspart), is due to be launched in key markets in 2013.
</t>
        </r>
      </text>
    </comment>
    <comment ref="AC11" authorId="0" shapeId="0">
      <text>
        <r>
          <rPr>
            <sz val="10"/>
            <rFont val="Arial"/>
            <family val="2"/>
          </rPr>
          <t>EvaluatePharma® Comment:
Sales value calculated as sum of disclosed four quarters sales (JAN13 - DEC13).
Quarterly Sales: See individual quarters.
Company Comment:
Source: Novo Nordisk FY 2013 Results (30 JAN 2014):
…Lars Rebien Sørensen, president and CEO: “We are pleased with Novo Nordisk’s financial  performance in 2013, a year which also posed challenges for us. The double-digit sales  growth has again in 2013 been driven by robust growth of our portfolio of modern  insulins and Victoza. For Tresiba, the Complete Response Letter in the US was a  disappointment, but in markets where we have launched the product, performance has  been encouraging.” 
...In  the countries where Tresiba is reimbursed on a similar level as insulin glargine, it has  steadily grown its share of the basal insulin market. In these countries, Tresiba now  represents around 10% of the basal insulin market measured in monthly value market  share. In the markets where Tresiba has been launched with restricted market access  compared to insulin glargine, market penetration remains modest.  
Insulins and protein-related products
Sales of insulins and protein-related products increased by 11% in local currencies and by 6% in Danish kroner to DKK 51,577 million. Measured in local currencies, sales growth was driven by North America, International Operations and Region China. Novo Nordisk is the global leader with 48% of the total insulin market and 46% of the market for modern insulin and new-generation insulin, both measured in volume. Sales of modern insulins increased by 14% in local currencies and by 10% in Danish kroner to DKK 38,153 million. North America accounted for two-thirds of the growth, followed by International Operations and Region China. Sales of modern insulins now constitute 78% of Novo Nordisk’s sales of insulin.
North America
Sales of insulins and protein-related products in North America increased by 18% in local currencies and by 14% in Danish kroner. Sales growth reflects a continued positive contribution from pricing in the US, solid market penetration of all three modern insulins, NovoLog, Levemir  and NovoLog Mix 70/30. 55% of Novo Nordisk’s modern insulin volume in the US is used in the prefilled device FlexPen.
Europe
Sales of insulins and protein-related products in Europe remained unchanged in local currencies and decreased by 1% in Danish kroner. The development reflects that the declining human insulin sales are offset by the continued progress for Levemir and NovoRapid. Furthermore, sales are impacted by a low volume growth of the insulin market, around 3%, as well as the implementation of pricing reforms in several European markets. The device penetration in Europe remains high with 96% of Novo Nordisk’s insulin volume being used in devices, primarily NovoPen and FlexPen.
International Operations
Sales of insulins and protein-related products in International Operations increased by 15% in local currencies and by 6% in Danish kroner. The growth, which is positively impacted by the timing in tenders and shipments in a number of countries, is driven by all three modern insulins and a contribution from human insulins. Currently, 59% of Novo Nordisk’s insulin volume in the major private markets is used in devices.
Region China
Sales of insulins and protein-related products in Region China increased by 15% in local currencies and by 14% in Danish kroner. The sales growth was driven by all three modern insulins, while sales of human insulins only grew modestly. Currently, 97% of Novo Nordisk’s insulin volume in China is used in devices, primarily the durable device NovoPen.
Japan &amp; Korea
Sales of insulins and protein-related products in Japan &amp; Korea decreased by 3% in local currencies and by 22% measured in Danish kroner. The sales development reflects a stagnant Japanese insulin volume market and the negative impact of a challenging competitive environment, which is only partly offset by the robust uptake of Tresiba. The device penetration in Japan remains high with 98% of Novo Nordisk’s insulin volume being used in devices, primarily FlexPen.
Company Disclosed Competitive Profile:    
Source: Novo Nordisk 2013 Annual Report, Page 10:  
In response to the Complete Response Letter on Tresiba from the US Food and Drug Administration (FDA), Novo Nordisk initiated a cardiovascular outcomes trial (DEVOTE) in October. It is double-blind, uses insulin glargine as comparator and will include 7,500 type 2 diabetes patients who have existing or high risk of cardiovascular diseases. Novo Nordisk expects to have sufficient data to support an interim analysis within two to three years and to complete the study within four to six years from initiation. The data will also be used to support the resubmission of Ryzodeg, the combination of Tresiba and insulin aspart.</t>
        </r>
      </text>
    </comment>
    <comment ref="AD11" authorId="0" shapeId="0">
      <text>
        <r>
          <rPr>
            <sz val="10"/>
            <rFont val="Arial"/>
            <family val="2"/>
          </rPr>
          <t>EvaluatePharma® Comment:
Sales value calculated as sum of disclosed four quarters sales (JAN14 - DEC14).
Quarterly Sales: See individual quarters.
Company Comment:
Source: Novo Nordisk 2014 Annual Report, page 2:
Measured in local currencies, Tresiba® accounted for 8% of sales growth and continues to do well in all the markets in which it is competing on an equal footing in terms of reimbursement status with other insulin products. Tresiba® was launched in Japan in March 2013, and by the end of 2014 it had claimed more than 26% of the segment for long-acting insulin (basal insulin) measured in value.
Page 6:
The roll-out of Tresiba® (insulin degludec), the once-daily new-generation insulin with an ultra-long duration of action, continues and the product has now been launched in 23 countries, most recently in Italy. In Japan,
where Tresiba® was launched in March 2013 with the same level of reimbursement as insulin glargine, its share of the basal insulin market has grown steadily and Tresiba® has now captured 26% of the basal insulin market measured in monthly value market share.
Source: Novo Nordisk FY 2014 Results (30 JAN 2015):
Lars Rebien Sørensen, president and CEO: “We are pleased with Novo Nordisk’s financial performance in 2014; a more challenging year than usual. Levemir and Victoza drove most of our sales growth, and our new long-acting insulin Tresiba continues to perform well. 2015 will be an important year for us with the first launches of Saxenda and Xultophy as well as significant results from our late-stage development portfolio.”
The roll-out of Tresiba (insulin degludec), the once-daily new-generation insulin with an ultra-long duration of action, continues and the product has now been launched in 23 countries, most recently in Italy. In Japan, where Tresiba was launched in March 2013 with the same level of reimbursement as insulin glargine, its share of the basal insulin market has grown steadily and Tresiba has now captured 26% of the basal insulin market measured in monthly value market share. Similarly, Tresiba has shown solid penetration in other markets with reimbursement at a similar level to insulin glargine, whereas penetration remains modest in markets with restricted market access compared to insulin glargine.
Europe
Sales of insulin and protein-related products in Europe were unchanged in both local currencies and in Danish kroner. The development reflects a contracting premix insulin segment and declining human insulin sales which are only partly offset by the penetration of Tresiba and the continued progress of NovoRapid...
Japan &amp; Korea
Sales of insulin and protein-related products in Japan &amp; Korea decreased by 2% in local currencies and by 9% measured in Danish kroner. The sales development reflects a declining Japanese insulin volume market and challenging underlying market dynamics which are partly offset by the strong uptake of Tresiba...</t>
        </r>
      </text>
    </comment>
    <comment ref="AE11" authorId="0" shapeId="0">
      <text>
        <r>
          <rPr>
            <sz val="10"/>
            <rFont val="Arial"/>
            <family val="2"/>
          </rPr>
          <t>Data Source:
Novo Nordisk FY 2016 Results (02 FEB 2017).
Company Comment:
Source: Novo Nordisk FY 2015 Results (03 FEB 2016):
Sales of new-generation insulin (Tresiba®, Ryzodeg® and Xultophy®) reached DKK 1,438 million compared with DKK 658 million in 2014. 
Europe
Sales of insulin in Europe increased by 2% in Danish kroner and were unchanged in local currencies. Sales growth is driven by the penetration of Tresiba®, the continued progress of NovoRapid® as well as a positive contribution from Xultophy®, offset by a contracting premix insulin segment and declining human insulin sales...
International Operations
Sales of insulin in International Operations increased by 21% in Danish kroner and by 18% in local currencies. The growth in local currencies is driven by human insulin and the three modern insulins as well as Tresiba®. Currently, 58% of Novo Nordisk’s insulin volume in the major private markets is used in devices.
Source: Novo Nordisk 2015 20-F, Page 7:
The roll-out of Tresiba (insulin degludec), the once-daily new-generation insulin, continues and the product has now been launched in 39 countries including the United States with initial encouraging market access and Spain. In Japan, where Tresiba was launched in March 2013 with the same level of reimbursement as insulin glargine, its share of the basal insulin market has grown steadily, and Tresiba has captured 33% of the market (26% in 2014) measured in monthly value market share. Similarly, Tresiba has shown solid penetration in other markets with reimbursement at a similar level to insulin glargine, whereas penetration remains modest in markets with restricted market access compared to insulin glargine. Novo Nordisk ceased distribution of Tresiba  in Germany in January 2016 as a result of the negative outcome from price negotiations with the National Association of Statutory Health Insurance Funds (GKV-SV).</t>
        </r>
      </text>
    </comment>
    <comment ref="AF11" authorId="0" shapeId="0">
      <text>
        <r>
          <rPr>
            <sz val="10"/>
            <rFont val="Arial"/>
            <family val="2"/>
          </rPr>
          <t>Company Comment:
Source: Novo Nordisk FY 2016 Results (02 FEB 2017):
Sales of new-generation insulin (Tresiba, Xultophy and Ryzodeg) reached DKK 4,459 million compared with DKK 1,438 million in 2015.
Sales of Tresiba (insulin degludec), the once-daily new-generation insulin, reached DKK 4,056 million compared with DKK 1,270 million in 2015. The roll-out of Tresiba continues and the product has now been launched in 52 countries. In the USA, where Tresiba was launched broadly in January 2016, the feedback from patients and prescribers is encouraging, and the product has achieved wide commercial and Medicare Part D formulary coverage. By the end of 2016, Tresiba had captured a 5.5% market share of the US basal insulin market measured by weekly total prescriptions. In Japan, where Tresiba was launched in March 2013 with similar reimbursement as insulin glargine U100, its share of the basal insulin market has grown steadily, and Tresiba has now captured 39% of the basal insulin market measured by monthly value market share. Similarly, Tresiba has shown solid penetration in other markets with reimbursement at a similar level to insulin glargine U100, whereas penetration remains modest in markets with restricted market access.
Europe
Sales of insulin in Europe increased by 1% in local currencies and decreased by 2% in Danish kroner. Sales were driven by the penetration of Tresiba as well as a positive contribution from Xultophy across the region, partly offset by contracting modern insulin sales and the ceased distribution of Tresiba and Xultophy in Germany. The device penetration in Europe is high, and 96% of Novo Nordisk’s insulin volume is being used in devices, primarily NovoPen and FlexPen.
International Operations
Sales of insulin in International Operations increased by 15% in local currencies and by 2% in Danish kroner. The growth in local currencies reflects growth in modern insulin, the new-generation insulin products Tresiba and Ryzodeg as well as human insulin. Currently, 58% of Novo Nordisk’s insulin volume in the major private markets is used in devices. Region China.
Pacific
Sales of insulin in Pacific declined by 1% in local currencies and increased by 4% in Danish kroner. The sales development reflects declining sales in Canada and Australia partly offset by continued uptake of Tresiba and the introduction of Ryzodeg in Japan. The device penetration in Japan is high with 98% of Novo Nordisk’s insulin volume used predominantly in FlexTouch devices.
Source: Novo Nordisk  2016 20-F, Page 7:
The roll-out of Tresiba (insulin degludec), the once-daily new-generation insulin, continues and the product has now been launched in 52 countries. In the United States, where Tresiba was launched broadly in January 2016, early feedback from patients and prescribers is encouraging, and the product has achieved wide commercial and Medicare Part D formulary coverage. By the end of 2016, Tresiba had captured a 5.5% market share of the United States basal insulin market measured in weekly total prescriptions. In Japan, where Tresiba was launched in March 2013 with similar reimbursement as insulin glargine U100, its share of the basal insulin market has grown steadily, and Tresiba has now captured 39% of the basal insulin market measured by monthly value market share. Similarly, Tresiba has shown solid penetration in other markets with reimbursement at a similar level to insulin glargine U100, whereas penetration remains modest in markets with restricted market access.</t>
        </r>
      </text>
    </comment>
    <comment ref="AG11" authorId="0" shapeId="0">
      <text>
        <r>
          <rPr>
            <sz val="10"/>
            <rFont val="Arial"/>
            <family val="2"/>
          </rPr>
          <t>Company Comment:
Source: Novo Nordisk FY 2017 Results (01 FEB 2018):
Sales of new-generation insulin (Tresiba, Xultophy, Ryzodeg and Fiasp) reached DKK 8,647 million compared with DKK 4,459 million in 2016.
Sales of Tresiba (insulin degludec), the once-daily new-generation insulin, reached DKK 7,327 million compared with DKK 4,056 million in 2016. The roll-out of Tresiba continues and the product has now been launched in 62 countries. In the USA where Tresiba was launched broadly in January 2016, the product maintains wide commercial and Medicare Part D formulary coverage. Generally, Tresiba has shown solid penetration in markets with reimbursement at a similar level to insulin glargine U100, whereas penetration remains modest in markets with restricted market access. In September 2017, Novo Nordisk obtained the approval of Tresiba in China. Novo Nordisk expects to launch Tresiba in China without reimbursement and with limited market access in the first quarter of 2018.
North America Operations 
Sales of insulin in North America Operations decreased by 3% in Danish kroner and by 1% in local currencies. Sales decline was driven by lower Levemir sales due to lower realised prices for basal insulin as well as an impact from patients switching to Tresiba. Sales decline was partly countered by significantly higher sales of Tresiba. 58% of Novo Nordisk’s volume of the new-generation insulin and modern insulin in the USA is used in the prefilled devices FlexPen and FlexTouch.
Europe
Sales of insulin in Region Europe increased by 2% in Danish kroner and by 3% in local currencies. Sales were driven by Xultophy and the continued penetration of Tresiba as well as a positive contribution from both NovoRapid and Fiasp across the region, partly offset by declining human insulin and NovoMix sales as well as contracting Levemir sales reflecting the continued roll-out of Tresiba.
Region AAMEO 
Sales of insulin in Region AAMEO increased by 4% in Danish kroner and by 9% in local currencies. The sales growth is reflecting the growth of the overall diabetes care market driven by modern insulin as well as the new-generation insulin Tresiba and Ryzodeg, partly offset by declining human insulin sales. Currently, 63% of Novo Nordisk’s insulin volume in the major private markets in Region AAMEO is used in devices.
Region Japan &amp; Korea 
Sales of insulin in Region Japan &amp; Korea decreased by 4% in Danish kroner and increased by 1% in local currencies. The sales development in local currencies reflects continued positive uptake of Ryzodeg and positive contribution from Tresiba in Japan and Korea, partly offset by lower modern insulin and human insulin sales in the region reflecting the declining insulin volume market in Japan.
Region Latin America 
Sales of insulin in Region Latin America increased by 14% in Danish kroner and by 21% in local currencies. The sales development reflects the continued growth of modern insulin and strong uptake of Tresiba as well as modest growth of human insulin. Currently, 45% of Novo Nordisk’s insulin volume in the major private markets in Region Latin America is used in devices, primarily FlexPen and FlexTouch.
Source: Novo Nordisk 2017 20-F, Page 6-7:
In the United States where Tresiba was launched broadly in January 2016, the product maintains wide commercial and Medicare Part D formulary coverage. Generally, Tresiba has shown solid penetration in markets with reimbursement at a similar level to insulin glargine U100, whereas penetration remains modest in markets with restricted market access. In September 2017, Novo Nordisk obtained the approval of Tresiba in China. Novo Nordisk expects to launch Tresiba in China without reimbursement and with limited market access in the first quarter of 2018.</t>
        </r>
      </text>
    </comment>
    <comment ref="H12" authorId="0" shapeId="0">
      <text>
        <r>
          <rPr>
            <sz val="10"/>
            <rFont val="Arial"/>
            <family val="2"/>
          </rPr>
          <t>Patent Comment:
Patent date &amp; number refers to "C-aryl glucoside SGLT2 inhibitors and method" (US#6515117 &amp; #6414126) exp. 3 OCT 2025 incl. 1825 days of expected patent extension. Patent protection refers to "Methods for treating extreme insulin resistance in patients resistant to previous treatment with other anti-diabetic drugs employing an SGLT2 inhibitor and compositions thereof" (US#8685934) expiring on 26 MAY 2030. Patent protection also refers to "Pharmaceutical formulations containing an SGLT2 inhibitor" (US#9198925) expiring on 4 OCT 2020. Source: 2015 AR, US PTO, FDA &amp; BMY 2012 10-K.</t>
        </r>
      </text>
    </comment>
    <comment ref="Z12" authorId="0" shapeId="0">
      <text>
        <r>
          <rPr>
            <sz val="10"/>
            <rFont val="Arial"/>
            <family val="2"/>
          </rPr>
          <t>Company Disclosed Competitive Profile:
Source: Bristol-Myers Squibb 2010 10-K, Page 42:
Dapagliflozin – an oral SGLT2 inhibitor in Phase III development for the treatment of diabetes that is part of our strategic alliance with AstraZeneca
•   In December 2010, the Company and AstraZeneca completed the submission of a New Drug Application with the FDA and a Marketing Authorization Application with the European Medicines Agency for dapagliflozin as a once-daily oral therapy for the treatment of adult patients with type 2 diabetes. The MAA was validated by the European Medicines Agency in January 2011.
•   In September 2010, the Company and AstraZeneca announced results from a randomized, double blind Phase III clinical study of dapagliflozin at the 46th European Association for the Study of Diabetes (EASD) Annual Meeting which demonstrated that the addition of dapagliflozin to glimepiride (a sulphonylurea) therapy produced significant reductions in glycosylated hemoglobin levels (HbA1c) in adult patients with type 2 diabetes compared to glimepiride alone. The study also demonstrated that dapagliflozin plus glimepiride achieved reductions in the secondary efficacy endpoints of change in total body weight, oral glucose tolerance test (OGTT) and fasting plasma glucose (FPG) levels from baseline at week 24 compared to placebo plus glimepiride. More people taking dapagliflozin and glimepiride were able to achieve a target HbA1c of less than 7% compared to patients taking glimepiride alone. Also, drug-related adverse affects were reported at a similar rate between treatment groups, but signs, symptoms and other reports suggestive of genital tract infections, but not urinary tract infections, were more frequently reported in dapagliflozin treated subjects.
•   In September 2010, the Company and AstraZeneca also announced at the EASD results from a randomized, double-blind Phase III clinical study in adults with type 2 diabetes inadequately controlled on metformin therapy alone. The study demonstrated dapagliflozin was non-inferior compared to glipizide in improving HbA1c when added to existing metformin therapy during a 52-week treatment period. The study also demonstrated that dapagliflozin plus metformin achieved significant reductions in key efficacy secondary endpoints: reduction in total body weight from baseline, compared with a weight gain on glipizide plus metformin therapy and a reduced number of patients reporting one or more hypoglycemic events. Also, frequencies of adverse events, serious adverse events and study discontinuations were comparable across treatment groups, but signs, symptoms and other reports suggestive of urinary tract or genital infections were more common in dapagliflozin treated subjects.
•   In June 2010, findings from a 24-week Phase III clinical study were published that demonstrated that dapagliflozin, administered as monotherapy, achieved statistically significant mean reductions at 5 mg and 10 mg doses once daily in the primary endpoint of glycosylated hemoglobin levels in treatment-naïve adult patients with newly diagnosed type 2 diabetes, compared to placebo.
•   In June 2010, results from a 24-week Phase III clinical study were presented that demonstrated that the addition of dapagliflozin achieved reductions in the primary endpoint, glycosylated hemoglobin level, in inadequately controlled type 2 diabetes patients who were treated with insulin (with or without oral anti-diabetes medications (OADS)), compared to placebo plus insulin (with or without OADS). The study also demonstrated that dapagliflozin achieved reductions in the secondary endpoints that evaluated the change in total body weight from baseline, change in baseline from in mean daily insulin dose and change from baseline in fasting plasma glucose.
Source: AstraZeneca 2010 Annual Report, Page 4:
On March 8, 2011 the Company and Bristol-Myers Squibb Company announced that the FDA has accepted for review an NDA for dapagliflozin, an investigational compound for the treatment of adults with type 2 diabetes mellitus. An MAA for dapagliflozin has also been validated by the European Medicines Agency (EMA). The NDA and MAA submissions for dapagliflozin were filed in December 2010. The PDUFA goal date for the FDA is October 28, 2011. 
The US and European submissions included data of up to two years in duration from a global development program involving approximately 6,000 individuals in 40 clinical studies. In accordance with FDA guidelines, the US application also includes data assessing the cardiovascular safety of dapagliflozin in adults with type 2 diabetes.
Page 133:
n 2010, we made major regulatory submissions for vandetanib (for thyroid cancer), Zinforo (an anti-bacterial medicine), dapagliflozin (for diabetes) and Axanum (a cardiovascular medicine).
Page 202:
Dapagliflozin, an investigational compound, is a potential first-inclass SGLT2 inhibitor under joint development with BMS as a oncedaily oral therapy for the treatment of adult patients with Type 2 diabetes. Our extensive global Phase III programme evaluated dapagliflozin as initial therapy and as an add-on to other widely used anti-diabetic treatments. Reported data from five pivotal Phase III studies now in the public domain suggest a product profile that is encouraging, consistent, and with differentiated patient benefits, including the potential to be the first oral agent to provide HbA1c reduction, along with secondary benefits of weight loss and a reduction in blood pressure. In the Phase III studies, genital infections and urinary tract infections were generally higher in the dapagliflozin group but mild or moderate in nature, responded to an initial course of standard treatment and rarely led to discontinuation.
In December, AstraZeneca and BMS filed an NDA and an MAA with the FDA and the EMA for dapagliflozin as a once-daily oral therapy for the treatment of adult patients with Type 2 diabetes.
Page 251:
In January 2007, AstraZeneca signed an exclusive co-development and co-promotion agreement with BMS for the development and commercialisation of saxagliptin, a dipeptidyl peptidase IV inhibitor (DPP-IV) for the treatment of Type 2 diabetes, and dapagliflozin, a selective sodium-glucose co-transporter 2 (SGLT2) inhibitor. The agreement is global (with the exception of Japan) for saxagliptin. Under each agreement the two companies jointly develop the clinical and marketing strategy and share development and commercialisation expenses on a global basis. To date, AstraZeneca has made upfront and milestone payments totalling $300 million for saxagliptin and $50 million for dapagliflozin and may make future milestone payments of $350 million on dapagliflozin contingent on achievement of regulatory milestones and launch in key markets.
Following launch, profits and losses globally are shared equally and an additional $300 million of sales-related payments for each product may be triggered based on worldwide sales success. The Group made milestone payments to BMS of $50 million in 2010, $150 million in 2009 and $50 million in 2008.</t>
        </r>
      </text>
    </comment>
    <comment ref="AA12" authorId="0" shapeId="0">
      <text>
        <r>
          <rPr>
            <sz val="10"/>
            <rFont val="Arial"/>
            <family val="2"/>
          </rPr>
          <t>Evaluate Comment:
Bristol-Myers Squibb book WW sales and share profits equally with AstraZeneca.
Company Disclosed Competitive Profile:
Source: Bristol-Myers Squibb 2011 10-K, Page 9: 
Dapagliflozin is an oral SGLT2 inhibitor for the potential treatment of diabetes. It is currently in the registrational process in both the EU and the U.S. It was discovered internally and is part of our alliance with AstraZeneca. We own a patent covering dapagliflozin as composition of matter that expires in October 2020 in the U.S. In January 2012, we received a complete response letter regarding our NDA for dapagliflozin.
Page 39: 
In January 2012, the FDA issued a complete response letter regarding the NDA for dapagliflozin. The complete response letter requests additional clinical data to allow a better assessment of the benefit-risk profile for dapagliflozin. This includes clinical trial data from ongoing studies and may require information from new clinical trials. The companies will work closely with the FDA to determine the appropriate next steps for the dapagliflozin application, and are in ongoing discussions with health authorities in Europe and other countries as part of the application procedures. • In December 2011, the Company and AstraZeneca announced at the International Diabetes Federation 2011 World Diabetes Conference the results of a Phase III study of dapagliflozin that showed reductions on blood sugar levels (glycosylated hemoglobin levels or HbA1c) seen at 24 weeks with dapagliflozin and existing glimepiride (sulfonylurea) therapy, compared to placebo added to glimepiride were maintained at 48 weeks in adults with type 2 diabetes. Patients taking dapagliflozin added to glimepiride also maintained reductions in fasting plasma glucose levels, post-prandial glucose and total body weight. • In November 2011, the Company and AstraZeneca presented a meta-analysis of clinical data on cardiovascular safety in adult patients with type 2 diabetes that showed that dapagliflozin was not associated with an unacceptable increase in cardiovascular risk relative to all comparators pooled in the clinical programs. • In July 2011, the FDA's Endocrinologic and Metabolic Drugs Advisory Committee voted nine to six that the efficacy and safety data did not provide substantial evidence to support approval of the NDA for dapagliflozin as an adjunct to diet and exercise to improve glycemic control in adults with type 2 diabetes mellitus. • In June 2011 at the American Diabetes Association meeting, the Company and AstraZeneca presented the results from several Phase III clinical studies examining dapagliflozin added to metformin. • The MAA for dapagliflozin has been validated by the EMA. The MAA submission for dapagliflozin was filed in December 2010.
Source: AstraZeneca 2011 Annual Report, Page 61:
Dapagliflozin, an investigational compound, is a potential first-in-class SGLT2 inhibitor under joint development with BMS as a once-daily oral therapy for the treatment of adult patients with Type 2 diabetes. In March 2011, the FDA accepted for review the NDA filed by AstraZeneca and BMS for dapagliflozin as a once-daily oral therapy for the treatment of adult patients with Type 2 diabetes. In June, AstraZeneca and BMS announced the results of two Phase III trials that showed that dapagliflozin treatment was effective in lowering blood glucose and body weight as initial combination therapy with metformin in drug-naïve Type 2 diabetes patients with poor glycemic control. In addition, long-term (102 week) data from double-blind extensions of two Phase III studies in Type 2 diabetes patients showed that improvements in blood glucose lowering and weight loss were maintained over two years for dapagliflozin added to metformin. In July, AstraZeneca and BMS reported the outcome of the FDA Advisory Committee meeting on the NDA. On the question ‘Do the efficacy and safety data provide substantial evidence to support approval of dapagliflozin as an adjunct to diet and exercise to improve glycemic control in adults with Type 2 diabetes mellitus?’, the committee voted against recommending approval by nine ‘no’ votes to six ‘yes’. AstraZeneca and BMS subsequently submitted additional clinical data to support the FDA’s review of dapagliflozin. This submission represented a major amendment to the NDA and resulted in a three-month extension to the PDUFA action date to January 2012.
In January 2012, AstraZeneca and BMS received a Complete Response Letter from the FDA requesting additional clinical data to allow a better assessment of the benefit/risk profile for dapagliflozin. This includes clinical trial data from ongoing studies and may require information from new clinical trials. AstraZeneca and BMS will work closely with the FDA to determine the appropriate next steps for the dapagliflozin application and remain committed to its development. In November, AstraZeneca and BMS announced results from a pre-specified meta-analysis of CV safety data from 14 Phase IIb/III trials in adult patients with Type 2 diabetes. These showed that dapagliflozin was not associated with an unacceptable increase in CV risk relative to all comparators pooled in the clinical programme. The review of the MAA for dapagliflozin in the EU is in progress with a decision expected by the second quarter of 2012.</t>
        </r>
      </text>
    </comment>
    <comment ref="AB12" authorId="0" shapeId="0">
      <text>
        <r>
          <rPr>
            <sz val="10"/>
            <rFont val="Arial"/>
            <family val="2"/>
          </rPr>
          <t>EvaluatePharma®  Comment:
Bristol-Myers Squibb book WW sales and share profits equally with AstraZeneca.
Company Comment:
Source: Bristol-Myers Squibb 2012 10-K, Pages 39-40:
Forxiga – an oral sodium-glucose cotransporter 2 (SGLT2) inhibitor for the treatment of diabetes that is part of our alliance with AstraZeneca
•   In November 2012, the EC approved Forxiga for the treatment of type 2 diabetes in the EU.
•   In June 2012, at the 72nd American Diabetes Association Scientific Sessions, the Company and AstraZeneca announced results from a Phase III clinical study that showed  Forxiga  10 mg demonstrated significant reductions in blood sugar levels (glycosylated hemoglobin levels, or HbA1c) compared with placebo at 24 weeks when either agent was added to existing sitagliptin therapy (with or without metformin) in adult patients with type 2 diabetes. The results were maintained over a 24-week extension and similar results were observed when the data were stratified by background therapy. The study also demonstrated significant reductions in total body weight and fasting plasma glucose levels in patients taking Forxiga  added to sitigliptin (with or without metformin), with results maintained throughout the duration of the study.
•   In January 2012, the FDA issued a Complete Response Letter (CRL) regarding the NDA for dapagliflozin. The CRL requests additional clinical data to allow a better assessment of the benefit-risk profile for dapagliflozin. The companies will continue to work closely with the FDA to determine the appropriate next steps for the dapagliflozin application, and are in ongoing discussions with health authorities in other countries as part of the application procedures. The Company has met with the FDA and now has a path forward for potential approval for  Forxiga  in the U.S. The Company will provide additional data from ongoing studies to the FDA and expects to be able to resubmit the NDA for  Forxiga  in mid-2013. At this time, the Company expects that the FDA will have a six–month period in which to review the resubmission and will hold an Advisory Committee meeting.
Source: AstraZeneca 2012 Annual Report, Pages 54-55:
Forxiga is a first-in-class SGLT2 inhibitor developed with BMS as a once daily oral therapy for the treatment of adult patients with Type 2 diabetes. In November,  Forxiga was approved in the EU to improve glycaemic control in adult patients with Type 2 diabetes.  Forxiga  is intended to be used as an adjunct to diet and exercise in combination with other glucose-lowering medicinal products, including insulin, or as a monotherapy in metformin-intolerant patients. With the European approval, Forxiga  is now approved in 31 countries with six additional countries under regulatory review. Additional submissions are planned for 2013.
In January 2012, AstraZeneca and BMS received a Complete Response Letter from the FDA requesting additional clinical data to allow a better assessment of the benefit/ risk profile for Forxiga . AstraZeneca and BMS have since had discussions with the FDA, which have resulted in a path forward for NDA resubmission. Additional data from ongoing clinical studies will be submitted to further support the benefit/risk profile of Forxiga  with resubmission targeted for mid-2013.
In June, AstraZeneca and BMS announced results from a Phase III clinical study that showed that Forxiga  10mg demonstrated significant reductions in blood sugar levels (glycosylated haemoglobin levels, or HbA1c) compared with placebo at 24 weeks when either agent was added to existing sitagliptin therapy (with or without metformin) in adult patients with Type 2 diabetes. The results were maintained over a 24 week extension and similar results were observed when the data was analysed by subjects’ background therapy. The study also demonstrated significant reductions in total body weight and fasting plasma glucose levels in patients taking  Forxiga added to sitagliptin (with or without metformin), with results maintained throughout the duration of the study extension.</t>
        </r>
      </text>
    </comment>
    <comment ref="AC12" authorId="0" shapeId="0">
      <text>
        <r>
          <rPr>
            <sz val="10"/>
            <rFont val="Arial"/>
            <family val="2"/>
          </rPr>
          <t>EvaluatePharma®  Comment:
Bristol-Myers Squibb book WW sales and share profits equally with AstraZeneca.
Company Comment:
Source: Bristol-Myers Squibb 2013 10-K, Page 6:
Forxiga (dapagliflozin) is an oral sodium-glucose cotransporter 2 (SGLT2) for the treatment of type 2 diabetes mellitus. Forxiga is
marketed as Farxiga in the U.S. In this document unless specifically noted, we refer to both Forxiga and Farxiga as Forxiga.
Company Disclosed Competitive Profile:
Source: Bristol-Myers Squibb 2013 10-K, Page 39:
In January 2014, the Company and AstraZeneca announced the FDA has approved Farxiga to improve glycemic control, along with diet and exercise, in adults with type 2 diabetes. In June 2013, the Company and AstraZeneca announced the results of a two-week Phase IIa pilot study evaluating Farxiga added to insulin in 70 adult patients with sub-optimally controlled type 1 diabetes, which showed that the mean of daily blood glucose derived from 7-point glucose measurements trended downward in all treatment groups through day seven and reductions in total daily insulin dosing at day seven were observed with Farxiga.
In March 2013, the Japanese Ministry of Health, Labor and Welfare also accepted for review the regulatory submission for Farxiga for the treatment of type 2 diabetes. In January 2013, China‘s State Food and Drug Administration accepted for review the regulatory submission for Farxiga for the treatment of type 2 diabetes.
Company Comment:
Source: AstraZeneca FY 2013 Results (06 FEB 2014): 
Alliance revenue for Forxiga was $3 million in the quarter and $10 million for the full year, all in Europe, where  there has been good physician acceptance since approval in November 2012, but a challenging reimbursement  climate to navigate.
Source: AstraZeneca 2013 Annual Report, Page 54:
Forxiga (dapagliflozin) is a first-in-class SGLT-2 inhibitor. It was approved in the EU in November 2012 and in the US (where it is called Farxiga) in January 2014. Forxiga/Farxiga is intended to be used as an adjunct to diet and exercise in combination with other glucose-lowering medicinal products, including insulin, or as a monotherapy. Forxiga/Farxiga is now approved in 40 countries with six others under regulatory review. Additional submissions are planned for 2014.</t>
        </r>
      </text>
    </comment>
    <comment ref="AD12" authorId="0" shapeId="0">
      <text>
        <r>
          <rPr>
            <sz val="10"/>
            <rFont val="Arial"/>
            <family val="2"/>
          </rPr>
          <t>EvaluatePharma®  Comment:
01 FEB14 AstraZeneca acquired WW rights of diabetes business (previously part of its collaboration with Bristol-Myers Squibb) from Bristol-Myers Squibb. 
Company Comment:
Source: AstraZeneca 2014 Annual Report, Pages 38-39:
Farxiga/Forxiga (dapagliflozin) is a first-in-class SGLT-2 inhibitor indicated as an adjunct to diet and exercise in combination with other glucose-lowering medicinal products, including insulin, or as a monotherapy for the treatment of Type 2 diabetes mellitus. In 2014, we secured approval for dapagliflozin in the US (where it is called Farxiga) and Japan (where it is called Forxiga). Starting with the EU in 2012 (where it is called Forxiga), it is now approved in over 50 countries. It is under regulatory review in 20 additional countries.
DECLARE, a large CV outcomes trial to assess the impact of Farxiga/Forxiga on CV risk/benefit, continued in 2014. This trial evaluates whether Farxiga/Forxiga (10mg), when added to a patient’s current anti-diabetes therapy, reduces CV events such as MI, ischaemic stroke and CV-related death, compared with placebo. The trial will enrol approximately 17,000 adult patients with Type 2 diabetes mellitus and is expected to be completed in 2019. Results from the Phase II study of Farxiga/ Forxiga as compared with placebo in patients with Type 1 diabetes were published in September 2014. These results demonstrated reductions in 24-hour average glucose levels and glycaemic variability, as well as a pharmacokinetic profile similar to that of patients with Type 2 diabetes mellitus. In November 2014, we commenced a Phase III trial for Farxiga/ Forxiga in patients with Type 1 diabetes.</t>
        </r>
      </text>
    </comment>
    <comment ref="AE12" authorId="0" shapeId="0">
      <text>
        <r>
          <rPr>
            <sz val="10"/>
            <rFont val="Arial"/>
            <family val="2"/>
          </rPr>
          <t>Company Comment:
Source: AstraZeneca FY 2015 Results (04 FEB 2016):
Sales of Farxiga/Forxiga were up 137% in the year to $492m. 
In the US, sales of $261m represented growth of 114%. Promotional activity underpinned increasing total-prescription market-share growth in the year; this was accompanied by overall growth in the market. 
Sales in Europe reached $126m in the year, up by 126%. Launches of Forxiga in the year in a number of international markets, such as Australia, have been successful.
Source: AstraZeneca 2015 Annual Report &amp; 20-F, Page 33:
The Dapagliflozin Effect on CardiovascuLAR Events (DECLARE) study, a large CV outcomes trial to assess the impact of Farxiga/Forxiga on CV risk/benefit, when added to a patient’s current anti-diabetes therapy, continued in 2015.
The trial will enrol approximately 17,000 adult patients with Type 2 diabetes. DECLARE was fully enrolled in 2015 and is expected to be completed in 2019.</t>
        </r>
      </text>
    </comment>
    <comment ref="AF12" authorId="0" shapeId="0">
      <text>
        <r>
          <rPr>
            <sz val="10"/>
            <rFont val="Arial"/>
            <family val="2"/>
          </rPr>
          <t>Company Comment:
Source: AstraZeneca FY 2016 Results (02 FEB 2017):
In the year, sales of Farxiga surpassed those of Onglyza and Farxiga became the leading AstraZeneca medicine for the treatment of diabetes, consolidating its position as global leader in the SGLT2 class.
Sales of Farxiga in the US increased by 75% to $457m, primarily reflecting overall market growth and a higher net price. A stronger emphasis on promotional activity and improved levels of patient access resulted in market-share growth. Full-year sales of Forxiga in Europe increased by 52% to $187m, as the medicine continued to lead the growing class. Emerging Markets sales increased by 96% to $133m, driven by ongoing launches and improved access. In particular, strong performances were seen in the Asia-Pacific region (up by 108% to $52m), Brazil (up by 50% to $28m), and the Middle East, Africa &amp; Others region (up to $32m).
Strong growth in sales of Forxiga (up by 52% to $187m) and Brilique (up by 15% to $258m) was more than offset by a 12% decline in Symbicort sales to $909m. However, Symbicort maintained its position as the number one ICS/LABA medicine by volume, despite competition from branded and analogue medicines. Lynparza and Tagrisso sales increased to $81m and $76m respectively.
Full-year sales of Forxiga in Established ROW increased by 72% to $58m. Nexium sales declined by 10% to $537m.
Sales in Brazil increased by 2% to $348m, reflecting the strong performances of Forxiga (up by 50% to $28m), Oncology medicines (up by 1% to $82m) and Seloken (up by 6% to $63m).
Company Comment:
Source: Ono Pharmaceutical Fiscal 2016 Annual Report (YE MAR 2017) (7 AUG 2017), Page 49:
FORXIGA Tablets for type-2 diabetes increased 82.6% year-on-year to ¥7.8 billion (US$69,695 thousand).</t>
        </r>
      </text>
    </comment>
    <comment ref="AG12" authorId="0" shapeId="0">
      <text>
        <r>
          <rPr>
            <sz val="10"/>
            <rFont val="Arial"/>
            <family val="2"/>
          </rPr>
          <t>Excludes in $m:
1) +53 Japan sales
Company Comment:
Source: AstraZeneca FY 2017 Results (02 FEB 2018):
Full-year growth of 9%. Growth of 23% in the quarter (21% at CER), with strong performances from Farxiga and Brilinta, each becoming blockbusters by exceeding $1bn in sales in the year.
1% full-year growth (4% at CER), underpinned by the growth of Tagrisso and Forxiga, partly mitigated by the impact of the entry of generic competition to Crestor in the second half of the year.
Within the New CVMD Growth Platform, comprising Brilinta and Diabetes and excluding medicines such as Crestor, sales grew by 9% to $3,567m. Strong performances were delivered by Farxiga and Brilinta, each becoming blockbusters by exceeding $1bn in sales in the year.
Product Sales of $1,074m; an increase of 29% (28% at CER), consolidating its global leadership position within the sodium-glucose co-transporter 2 (SGLT2) inhibitor class.
Emerging Markets sales increased by 74% (73% at CER) to $232m, reflecting ongoing launches and improved levels of patient access. In March 2017, Forxiga became the first SGLT2-inhibitor medicine to be approved in China.
US sales in the year increased by 7% to $489m. The first-half performance, with a sales decline of 1% to $206m, was adversely impacted by the Company’s level of participation in affordability programmes. Significant changes to the Company’s approach to these programmes, however, saw a much-improved performance in the second half, illustrated by Q4 2017 sales growth of 15% to $150m. SGLT2-class growth was supported by growing evidence around cardiovascular (CV) benefits, including data from the CVD-REAL study that was published in March 2017.
Sales in Europe increased by 29% (28% at CER) to $242m as the medicine continued to gain market share in the innovative oral class; it also retained leadership in the SGLT2 class, which had the strongest class growth amongst innovative oral diabetes medicines in the year. In Japan, where Ono Pharmaceutical Co., Ltd is a partner and records in-market sales, sales to the partner amounted to $53m, representing a growth of 89% (93% at CER).
...Given the significant future potential of Farxiga, the Company continues to prioritise its commercial support over Onglyza.
The New Oncology Growth Platform in the US grew by 50% to $607m, primarily driven by encouraging Tagrisso sales growth of 59% to $405m in the year (FY 2016: $254m). Brilinta sales grew by 46% in the US to $509m. The New CVMD Growth Platform increased sales by 5% in the US to $1,942m, reflecting strong performances from Farxiga and Brilinta.</t>
        </r>
      </text>
    </comment>
    <comment ref="H13" authorId="0" shapeId="0">
      <text>
        <r>
          <rPr>
            <sz val="10"/>
            <rFont val="Arial"/>
            <family val="2"/>
          </rPr>
          <t>Patent Comment:
Patent date refers to US patent expiring in 2031. Source: 2017 20-F.</t>
        </r>
      </text>
    </comment>
    <comment ref="Z13" authorId="0" shapeId="0">
      <text>
        <r>
          <rPr>
            <sz val="10"/>
            <rFont val="Arial"/>
            <family val="2"/>
          </rPr>
          <t xml:space="preserve">Company Disclosed Competitive Profile:
Source: Novo Nordisk Annual Report 2010, Page 24: 
Long-acting oral GLP-1 analogue. First phase 1 study initiated in the fi rst quarter of 2010. 
Source: Emisphere Technologies 2010 10-K, Page 9: 
During January 2010, we announced that Novo Nordisk had initiated its first Phase I clinical trial with a long-acting oral GLP-1 analogue (NN9924). This milestone released a $2 million payment to Emisphere, whose proprietary Eligen ®  Technology is used in the formulation of NN9924. The aim of this trial, which is being conducted in the UK, is to investigate the safety, tolerability and bioavailability of NN9924 in healthy volunteers. The trial will enroll approximately 155 individuals and results from the trial are expected in 2011. There are many challenges in developing an oral formulation of GLP-1, in particular obtaining adequate bioavailability. NN9924 addresses some of these key challenges by utilizing Emisphere’s Eligen ®  Technology to facilitate absorption from the gastrointestinal tract.
</t>
        </r>
      </text>
    </comment>
    <comment ref="AA13" authorId="0" shapeId="0">
      <text>
        <r>
          <rPr>
            <sz val="10"/>
            <rFont val="Arial"/>
            <family val="2"/>
          </rPr>
          <t>Company Disclosed Competitive Profile:
Source: Novo Nordisk 2011 Annual Report, Page 18-19: 
The development of oral formulations for both insulin and Glucagon-Like Peptide-1 (GLP-1) analogues is still at an early stage and many technological challenges remain. Our current work involves searching for the most suitable compounds and the best method of oral delivery, one that will ensure that the active ingredients are not destroyed or degraded in the gastrointestinal tract before being absorbed.</t>
        </r>
      </text>
    </comment>
    <comment ref="AB13" authorId="0" shapeId="0">
      <text>
        <r>
          <rPr>
            <sz val="10"/>
            <rFont val="Arial"/>
            <family val="2"/>
          </rPr>
          <t>Company Disclosed Competitive Profile:
Source: Emisphere Technologies 2012 10-K, Page 7:
For the treatment of diabetes, research using the Eligen  Technology and GLP-1 (Glucagon-Like Peptide-1), a potential treatment for Type 2 diabetes, is being conducted by Novo Nordisk. GLP-1 is a natural hormone involved in controlling blood sugar levels. It stimulates the release of insulin only when blood sugar levels become too high. GLP-1 secretion is often impaired in people with Type 2 diabetes. Emisphere had previously conducted extensive tests on native insulin and native GLP-1which demonstrated that both macromolecules can be effectively delivered using the Eligen  Technology. With the progress that has been made in the development of second generation proteins, we concluded that a more productive pathway is to move forward with GLP-1 analogs, an oral form of which might be used to treat Type 2 diabetes and related conditions. Our research indicated that the development of oral formulations of Novo Nordisk proprietary GLP-1 receptor agonists may represent an opportunity for Emisphere.
Page 11:
In its annual report for 2012, Novo Nordisk reported that it is continuing to explore oral formulations in phase 1 studies.</t>
        </r>
      </text>
    </comment>
    <comment ref="AC13" authorId="0" shapeId="0">
      <text>
        <r>
          <rPr>
            <sz val="10"/>
            <rFont val="Arial"/>
            <family val="2"/>
          </rPr>
          <t xml:space="preserve">Company Disclosed Competitive Profile:
Source: Novo Nordisk 2013 Annual Report, Page 10:
Novo Nordisk also brought a tablet formulation of semaglutide, OG217SC, into phase 2 development.
Source: Emisphere 2013 10-K, Page 8:
The Phase II trial is designed to examine the dose range, escalation and efficacy of oral semaglutide dosed once daily over 26 weeks in subjects with Type 2 diabetes. Phase 1 development successfully completed with Oral GLP-1, OG217SC (NN9924). During January 2010, we announced that Novo Nordisk had initiated its first Phase I clinical trial with a long-acting oral GLP-1 analog (NN9924). This milestone released a $2 million payment to Emisphere. The first Phase I Trial investigated the safety, tolerability and bioavailability of NN9924 in healthy volunteers. The trial enrolled 155 individuals and was completed in May 2010. Novo Nordisk also conducted a multiple-dose Phase I trial. This multiple-dose trial investigated safety, tolerability, pharmacokinetics and pharmacodynamics of NN9924 in healthy male subjects. The trial enrolled 96 individuals and was completed in July 2011. In May of 2013, Novo Nordisk completed the last of five clinical pharmacology trials investigating the safety, tolerability as well as pharmacokinetic and pharmacodynamic profiles of oral administration of semaglutide tablets, OG217SC. The Phase 1 program in total comprised 400 healthy volunteers and 10 people with type 2 diabetes. In the trials, oral semaglutide treatment appeared to be safe and was well-tolerated. The most frequent reported adverse events were mild or moderate in severity and in line with observations from other GLP-1 class treatments with type 2 diabetes. In a 10-week multiple-dosing trial, oral administration of semaglutide was associated with a statistically significantly larger weight loss than placebo in healthy volunteers and people with Type 2 diabetes. Further, a statistically significant improvement in HbA1c was observed when compared to placebo treatment in the low number of people with Type 2 diabetes participating in the trial.
</t>
        </r>
      </text>
    </comment>
    <comment ref="AE13" authorId="0" shapeId="0">
      <text>
        <r>
          <rPr>
            <sz val="10"/>
            <rFont val="Arial"/>
            <family val="2"/>
          </rPr>
          <t>Company Disclosed Competitive Profile:
Source: Novo Nordisk Annual Report 2015, Page 10:
In August 2015, Novo Nordisk decided to initiate a phase 3a programme with oral semaglutide, a once-daily oral formulation of the long-acting GLP-1 analogue sema- glutide. The decision followed the encouraging results of the proof-of-concept phase 2 trial announced in February 2015 and the subsequent consultations with regulatory authorities. The successful phase 2 trial results mark a significant milestone for Novo Nordisk in its ambition to deliver proteinbased medicine, like semaglutide, in the form of a tablet and producing it in large scale.
Novo Nordisk intends to initiate a global phase 3a programme, named PIONEER, comprising ten trials with more than 9,000 people with type 2 diabetes. The PIONEER programme will include nine safety and efficacy trials and one trial for evaluating the cardiovascular safety of oral semaglutide.</t>
        </r>
      </text>
    </comment>
    <comment ref="AF13" authorId="0" shapeId="0">
      <text>
        <r>
          <rPr>
            <sz val="10"/>
            <rFont val="Arial"/>
            <family val="2"/>
          </rPr>
          <t xml:space="preserve">Company Disclosed Competitive Profile:
Source: Novo Nordisk 2016 Annual Report, Page 10:
In February 2016, Novo Nordisk initiated the first phase 3a trial with oral semaglutide, an oral formulation of Novo Nordisk’s longacting GLP-1 analogue semaglutide using Emisphere Eligen technology. The global PIONEER programme comprises 10 clinical trials in total.
</t>
        </r>
      </text>
    </comment>
    <comment ref="H14" authorId="0" shapeId="0">
      <text>
        <r>
          <rPr>
            <sz val="10"/>
            <rFont val="Arial"/>
            <family val="2"/>
          </rPr>
          <t>Patent Comment:
Patent date refers to patent covering "Insulin analogues " (US#5618913), incl. 60 days of patent extension, plus 6 months paediatric extension. Patent protection refers to "Injection button" (US#9265893) exp 23 SEP 2032. Patent protection refers to "Automatic injection device with reset feature" (US#8672898 &amp; #6899699) exp 2 JAN 2022. Patent protection refers to "Injection syringe" (US#6004297 &amp; #6235004) exp 28 JUL 2019 incl. 6 months paediatric extension. Patent protection refers to "Injection syringe" (US#RE43834) exp 28 JAN 2019. Source: 2017 20-F, 01 NOV 2017 PR, 05 MAY 2015 Presentation, analyst report, FDA, US PTO &amp; 2009 AR.</t>
        </r>
      </text>
    </comment>
    <comment ref="Z14" authorId="0" shapeId="0">
      <text>
        <r>
          <rPr>
            <sz val="10"/>
            <rFont val="Arial"/>
            <family val="2"/>
          </rPr>
          <t>Company Comment:
Source: Novo Nordisk FY 2010 Results (2 FEB 2011):
2010 was a very good year for Novo Nordisk with strong organic sales growth driven by the modern insulins …
North America 
Sales in North America increased by 26% in Danish kroner and by 19% in local currencies in 2010, reflecting a continued solid market penetration of the modern insulins...
Europe 
Sales in Europe increased by 4% measured in Danish kroner and by 2% in local currencies in 2010, reflecting continued progress for the portfolio of modern insulins and declining human insulin sales. Novo Nordisk holds 53% of the total insulin market and 51% of the modern insulin market. 
International Operations 
Sales in International Operations increased by 26% in Danish kroner and by 17% in local currencies in 2010. The main contributor to growth was sales of modern insulins, primarily in China.
Japan &amp; Korea 
Sales in Japan &amp; Korea increased by 10% measured in Danish kroner and decreased by 2% in local currencies in 2010. The sales development reflects sales growth for all three modern insulins..., being offset by a decline in human insulin sales. In a continuously challenging competitive environment, Novo Nordisk now holds 63% of the total insulin market in Japan and 56% of the modern insulin market.</t>
        </r>
      </text>
    </comment>
    <comment ref="AA14" authorId="0" shapeId="0">
      <text>
        <r>
          <rPr>
            <sz val="10"/>
            <rFont val="Arial"/>
            <family val="2"/>
          </rPr>
          <t xml:space="preserve">Company Comment:
Source: Novo Nordisk Annual Report 2011, Page 5:
Given the current climate, it is rewarding that Novo Nordisk was able to grow sales by 11% in local currencies in 2011. This growth was driven by our full portfolio of modern insulins, NovoRapid, Levemir and NovoMix, but most significantly by the increasing demand for Victoza, our treatment for type 2 diabetes, which became the leader in the GLP-1 category of diabetes treatments.
Source: Novo Nordisk FY 2011 Results (2 FEB 2012):
…2011 has been a very positive year for Novo Nordisk, with Victoza, NovoRapid and Levemir continuing to drive strong sales growth.
In 2011, sales of modern insulins, human insulins and protein-related products increased by 5% measured in local currencies and by 3% in Danish kroner to DKK 41,859 million compared to 2010, driven by North America, International Operations and Region China. Global insulin sales growth was negatively impacted by healthcare reforms in the US, Europe, Turkey and China as well as by a decline in human insulin sales in Europe, the US and Japan.
North America
Sales of modern insulins, human insulins and protein-related products in North America increased by 9% in local currencies and by 4% measured in Danish kroner in 2011. This reflects continued solid sales performance especially of NovoRapid and Levemir, offset by a decline in human insulin sales and a negative impact of approximately 5 percentage points from the US healthcare reform enacted in March 2010. Currently, around 46% of Novo Nordisk‟s modern insulin volume in the US is being sold in the prefilled device FlexPen compared to around 43% in 2010.
Europe
Sales in Europe decreased by 1% in local currencies and by 1% measured in Danish kroner in 2011. This reflects continued sales growth for modern insulins offset by a decline in human insulin sales. The growth of the insulin volume market in Europe is currently low, ie below 3%, and Novo Nordisk‟s full-year insulin sales are negatively impacted by market share losses, especially in the UK, and by healthcare reforms implemented during 2010 and 2011 in a number of European markets. Currently, around 96% of Novo Nordisk‟s insulin volume in Europe is being sold for use in devices.
International Operations
Sales in International Operations increased by 10% in local currencies and by 6% in Danish kroner in 2011. The growth is primarily driven by modern insulins with all three insulin analogues growing solidly, complemented by modest sales growth of human insulin. Currently, around 58% of Novo Nordisk‟s insulin volume in International Operations‟ major non-tender markets is being sold for use in devices.
Region China
Sales in Region China increased by 10% in local currencies and by 10% in Danish kroner in 2011. The main contributor to growth was sales of modern insulin with the entire portfolio growing strongly, while sales of human insulin in 2011 were at the same level as in 2010, primarily as a result of implementation of a healthcare reform in China during 2011. Currently, around 96% of Novo Nordisk‟s insulin volume in China is being sold for use in devices, primarily Penfill for use in the durable device NovoPen.
Japan &amp; Korea
Sales in Japan &amp; Korea decreased by 4% in local currencies and increased by 1% in Danish kroner in 2011. The sales development reflects sales growth for modern insulins being offset by a decline in human insulin sales. Furthermore, continuous low market growth in Japan, ie below 3%, is impacting overall growth. In Japan approximately 98% of Novo Nordisk‟s insulin volume is being used in devices, primarily FlexPen. </t>
        </r>
      </text>
    </comment>
    <comment ref="AB14" authorId="0" shapeId="0">
      <text>
        <r>
          <rPr>
            <sz val="10"/>
            <rFont val="Arial"/>
            <family val="2"/>
          </rPr>
          <t xml:space="preserve">Company Comment:
Source: Novo Nordisk FY 2012 Results (31 JAN 2013):
Sales growth of 18% driven by Victoza, NovoRapid and Levemir…
Lars Rebien Sørensen, president and CEO: “2012 has been another year with strong results for Novo Nordisk driven by the sales growth of Victoza and the two modern insulins NovoRapid and Levemir...
Modern insulins, human insulins and protein-related products
Sales of modern insulins, human insulins and protein-related products increased by 16% in Danish kroner to DKK 48,634 million and by 10% measured in local currencies, with North America, International Operations and Region China achieving the highest growth rates. Novo Nordisk is the global leader with 49% of the total insulin market and 46% of the modern insulin market, both measured in volume.
Sales of modern insulins increased by 21% in Danish kroner to DKK 34,821 million and by 15% in local currencies. North America accounted for more than half of the growth, followed by International Operations and Region China. Sales of modern insulins now constitute more than 75% of Novo Nordisk‟s sales of insulin.
North America
Sales of modern insulins, human insulins and protein-related products in North America increased by 29% in Danish kroner and by 20% in local currencies. This reflects continued solid market penetration of the modern insulins, NovoLog, Levemir and NovoLog Mix 70/30, and a modest growth in human insulin sales. 50% of Novo Nordisk‟s modern insulin volume in the US is used in the prefilled device FlexPen.
 Europe
Sales of modern insulins, human insulins and protein-related products in Europe were unchanged in Danish kroner but decreased by 1% in local currencies. Sales in Europe reflect continued progress for NovoRapid and Levemir, countered by declining human insulin sales. Sales growth in Europe is negatively impacted by a continued low insulin volume growth, below 3%, and by the implementation of pricing reforms in several European markets. The device penetration in Europe remains high with 96% of Novo Nordisk‟s insulin volume being used in devices, primarily NovoPen and FlexPen.
 International Operations
Sales of modern insulins, human insulins and protein-related products in International Operations increased by 19% in Danish kroner and by 16% in local currencies. The growth is driven by all three modern insulins and a solid contribution from human insulins. Currently, 58% of Novo Nordisk‟s insulin volume in the major private markets is used in devices.
Japan &amp; Korea 
Sales of modern insulins, human insulins and protein-related products in Japan &amp; Korea increased by 1% measured in Danish kroner but declined by 6% in local currencies. Sales development is impacted negatively by a continued volume decline in the Japanese insulin market and a challenging competitive environment. The device penetration in Japan remains high with 98% of Novo Nordisk‟s insulin volume being used in devices, primarily the FlexPen.
Region China 
Sales of modern insulins, human insulins and protein-related products in Region China increased by 27% in Danish kroner and by 15% in local currencies. The sales growth was driven by all three modern insulins, while sales of human insulins only grew modestly. Currently, 97% of Novo Nordisk‟s insulin volume in China is used in devices, primarily the durable device NovoPen.
</t>
        </r>
      </text>
    </comment>
    <comment ref="AC14" authorId="0" shapeId="0">
      <text>
        <r>
          <rPr>
            <sz val="10"/>
            <rFont val="Arial"/>
            <family val="2"/>
          </rPr>
          <t xml:space="preserve">Company Comment:
Source: Novo Nordisk FY 2013 Results (30 JAN 2014):
Sales growth of 12% in local currencies driven by growth in sales of Victoza, NovoRapid and Levemir.
Insulins and protein-related products
Sales of insulins and protein-related products increased by 11% in local currencies and by 6% in Danish kroner to DKK 51,577 million. Measured in local currencies, sales growth was driven by North America, International Operations and Region China. Novo Nordisk is the global leader with 48% of the total insulin market and 46% of the market for modern insulin and new-generation insulin, both measured in volume. Sales of modern insulins increased by 14% in local currencies and by 10% in Danish kroner to DKK 38,153 million. North America accounted for two-thirds of the growth, followed by International Operations and Region China. Sales of modern insulins now constitute 78% of Novo Nordisk’s sales of insulin.
North America
Sales of insulins and protein-related products in North America increased by 18% in local currencies and by 14% in Danish kroner. Sales growth reflects a continued positive contribution from pricing in the US, solid market penetration of all three modern insulins, NovoLog, Levemir  and NovoLog Mix 70/30. 55% of Novo Nordisk’s modern insulin volume in the US is used in the prefilled device FlexPen.
Europe
Sales of insulins and protein-related products in Europe remained unchanged in local currencies and decreased by 1% in Danish kroner. The development reflects that the declining human insulin sales are offset by the continued progress for Levemir and NovoRapid. Furthermore, sales are impacted by a low volume growth of the insulin market, around 3%, as well as the implementation of pricing reforms in several European markets. The device penetration in Europe remains high with 96% of Novo Nordisk’s insulin volume being used in devices, primarily NovoPen and FlexPen.
International Operations
Sales of insulins and protein-related products in International Operations increased by 15% in local currencies and by 6% in Danish kroner. The growth, which is positively impacted by the timing in tenders and shipments in a number of countries, is driven by all three modern insulins and a contribution from human insulins. Currently, 59% of Novo Nordisk’s insulin volume in the major private markets is used in devices.
Region China
Sales of insulins and protein-related products in Region China increased by 15% in local currencies and by 14% in Danish kroner. The sales growth was driven by all three modern insulins, while sales of human insulins only grew modestly. Currently, 97% of Novo Nordisk’s insulin volume in China is used in devices, primarily the durable device NovoPen.
Japan &amp; Korea
Sales of insulins and protein-related products in Japan &amp; Korea decreased by 3% in local currencies and by 22% measured in Danish kroner. The sales development reflects a stagnant Japanese insulin volume market and the negative impact of a challenging competitive environment, which is only partly offset by the robust uptake of Tresiba. The device penetration in Japan remains high with 98% of Novo Nordisk’s insulin volume being used in devices, primarily FlexPen.   
</t>
        </r>
      </text>
    </comment>
    <comment ref="AD14" authorId="0" shapeId="0">
      <text>
        <r>
          <rPr>
            <sz val="10"/>
            <rFont val="Arial"/>
            <family val="2"/>
          </rPr>
          <t>Company Comment:
Source: Novo Nordisk FY 2014 Results (30 JAN 2015):
North America
Sales of insulin and protein-related products in North America increased by 12% in both local currencies and Danish kroner. Sales growth is primarily driven by a positive contribution from pricing in the US and market share gains for Levemir. In the US, sales growth is negatively impacted by the partial loss of reimbursement with a large pharmacy benefit manager effective January 2014 as well as expanded Medicaid and Medicare Part D utilisation. 50% of Novo Nordisk’s modern insulin volume in the US is used in the prefilled devices FlexPen and FlexTouch.
Europe
Sales of insulin and protein-related products in Europe were unchanged in both local currencies and in Danish kroner. The development reflects a contracting premix insulin segment and declining human insulin sales which are only partly offset by the penetration of Tresiba and the continued progress of NovoRapid. Furthermore, sales are affected by a net negative impact from the implementation of pricing reforms in several European countries. The device penetration in Europe remains high with 96% of Novo Nordisk’s insulin volume being used in devices, primarily NovoPen and FlexPen.
International Operations
Sales of insulin and protein-related products in International Operations increased by 13% in local currencies and by 3% in Danish kroner reflecting a significant depreciation of key invoicing currencies, primarily the Argentinian peso, the Turkish lira and the Russian rouble against the Danish krone compared to the exchange rates in 2013. The growth in local currencies is driven by all three modern insulins offset by declining human insulin sales partly due to lower tender sales and the continued conversion of the market to modern insulin. Currently, 61% of Novo Nordisk’s insulin volume in the major private markets is used in devices.
Region China
Sales of insulin and protein-related products in Region China increased by 11% in both local currencies and Danish kroner. The sales growth was driven by all three modern insulins while sales of human insulin only grew modestly. Currently, 98% of Novo Nordisk’s insulin volume in China is used in devices, primarily the durable device NovoPen.
Japan &amp; Korea
Sales of insulin and protein-related products in Japan &amp; Korea decreased by 2% in local currencies and by 9% measured in Danish kroner. The sales development reflects a declining Japanese insulin volume market and challenging underlying market dynamics which are partly offset by the strong uptake of Tresiba. The device penetration in Japan remains high with 98% of Novo Nordisk’s insulin volume being used in devices, primarily FlexPen and FlexTouch.</t>
        </r>
      </text>
    </comment>
    <comment ref="AE14" authorId="0" shapeId="0">
      <text>
        <r>
          <rPr>
            <sz val="10"/>
            <rFont val="Arial"/>
            <family val="2"/>
          </rPr>
          <t>Company Comment 
Source: Novo Nordisk 2015 20-F, Page 8:
The formulation patent for NovoLog/NovoRapid in all major markets and for NovoLog Mix /NovoMix in the United States makes it challenging to develop a biosimilar version of these compounds without infringing Novo Nordisk’s intellectual property. Therefore, we do not anticipate that the expiry of our original compound NovoLog/NovoRapid and NovoLog Mix /NovoMix patents will have a significant near-term impact on sales, results of operations and liquidity.</t>
        </r>
      </text>
    </comment>
    <comment ref="AF14" authorId="0" shapeId="0">
      <text>
        <r>
          <rPr>
            <sz val="10"/>
            <rFont val="Arial"/>
            <family val="2"/>
          </rPr>
          <t>Company Comment:
Source: Novo Nordisk FY 2016 Results (02 FEB 2017):
Sales of modern insulin decreased by 3% in local currencies and by 5% in Danish kroner to DKK 47,510 million. Sales declined in the USA, Europe and Pacific partly offset by a positive contribution from International Operations and China. Sales of modern insulin and new-generation insulin in total constitute 82% of Novo Nordisk’s sales of insulin measured in value.</t>
        </r>
      </text>
    </comment>
    <comment ref="AG14" authorId="0" shapeId="0">
      <text>
        <r>
          <rPr>
            <sz val="10"/>
            <rFont val="Arial"/>
            <family val="2"/>
          </rPr>
          <t xml:space="preserve">Company Comment:
Source: Novo Nordisk FY 2017 Results (01 FEB 2018):
Region Europe 
Sales of insulin in Region Europe increased by 2% in Danish kroner and by 3% in local currencies. Sales were driven by Xultophy and the continued penetration of Tresiba as well as a positive contribution from both NovoRapid and Fiasp across the region, partly offset by declining human insulin and NovoMix sales as well as contracting Levemir sales reflecting the continued roll-out of Tresiba.
</t>
        </r>
      </text>
    </comment>
    <comment ref="H15" authorId="0" shapeId="0">
      <text>
        <r>
          <rPr>
            <sz val="10"/>
            <rFont val="Arial"/>
            <family val="2"/>
          </rPr>
          <t>Patent Comment:
Patent date &amp; number refers to US patent titled "Crystalline form of 1-chloro-4-(.beta.-D-glucopyranos-1-yl)-2-[4-((S)-tetrahydrofuran-3-yloxy- )-benzyl]-benzene, a method for its preparation and the use thereof for preparing medicaments" (US#7713938). RoW expiry refers to pending EU patent "Pharmaceutical composition comprising linagliptin and optionally a SGLT2 inhibitor, and uses thereof" (EP#2395984). Source: Eli Lilly Annual Report 2017, Eli Lilly 2017 10-K, US PTO &amp; FDA.</t>
        </r>
      </text>
    </comment>
    <comment ref="Z15" authorId="0" shapeId="0">
      <text>
        <r>
          <rPr>
            <sz val="10"/>
            <rFont val="Arial"/>
            <family val="2"/>
          </rPr>
          <t xml:space="preserve">Company Disclosed competitive Profile:
Source: Boehringer Ingelheim Annual Report 2010, Page 77: 
SGLT-2 inhibitor 
The compound BI 10773, a sodiumdependent glucose transporter-2 (SGLT-2) inhibitor, blocks renal glucose absorption in the kidneys, thereby improving glycaemic control. The inhibition of SGLT-2 has been seen to have a positive effect on body weight loss and reduction in blood pressure The phase II clinical trials with the compound have been concluded. 
Page 88-89:
The DPP-4 inhibitor linagliptin is the most advanced compound in the Boehringer Ingelheim diabetes portfolio. Linagliptin is being investigated as an oral once-daily tablet for the treatment of type 2 diabetes, as monotherapy and as combination therapy. Linagliptin has a primarily non-renal route of excretion (only approx. 5 % excreted via the kidneys). Data from late-stage clinical trials added to the large body of clinical evidence demonstrating that linagliptin cannot only achieve signifi cant and sustainable reductions in blood glucose, but that based on its unique pharmacokinetic profi le, linagliptin may not require dose adjustment even in patients with type 2 diabetes, with any degree of renal impairment. DPP-4 inhibitors represent an innovative approach to type 2 diabetes treatment with a unique mechanism of action compared to other classes in this therapeutic area.
The inhibition of DPP-4 is beneficial for type 2 diabetes patients to control blood glucose levels, a primary goal of type 2 diabetes management. A dose finding period (up-titration period) at the beginning of therapy is not needed when treating with a DPP-4 inhibitor. This is because of their rapid mode of action and the fact that their favorable tolerability profile does not cause nausea and vomiting, in addition to having a low risk of drug-drug interactions. This makes them appropriate as monotherapy or in combination with other commonly used anti-diabetes drugs. Linagliptin pivotal trials Four multi-center, randomised, placebo- controlled, double-blind phase III studies were conducted to investigate the effi cacy, safety, and tolerability of linagliptin (5 mg once daily) versus placebo, administered over 24 weeks in type 2 diabetes mellitus patients with insuffi cient glycaemic control. The overall HbA1c range for these studies was ≥ 7.0% and ≤ 11%, with the following background therapy: 
• Linagliptin as monotherapy (exercise and diet alone), 
• Linagliptin as an add-on to metformin, 
• Linagliptin as an add-on to metformin plus a sulfonylurea, 
• Linagliptin in combination with pioglitazone. 
Linagliptin phase III data showed that this investigational compound achieved signifi cant, sustained and clinically meaningful reductions in blood glucose as measured by haemoglobin A1c (HbA1c), fasting plasma glucose, and postprandial glucose concentrations. Furthermore, these phase III studies exhibited an outstanding safety and compatibility profile. In 2010 too, applications for market approval of linagliptin were submitted to a number of authorities worldwide. 
</t>
        </r>
      </text>
    </comment>
    <comment ref="AD15" authorId="0" shapeId="0">
      <text>
        <r>
          <rPr>
            <sz val="10"/>
            <rFont val="Arial"/>
            <family val="2"/>
          </rPr>
          <t>Company Comment:
Source: Eli Lilly 2014 10-K, Page 4:
Glyxambi, a combination tablet of linagliptin and empagliflozin (Jardiance) for the treatment of type 2 diabetes (approved in the U.S. in January 2015).
Source: Boehringer Ingelheim Annual Report 2014, Page 16:
Additionally, Boehringer Ingelheim submitted an application for market authorisation in the USA of a medicine for the treatment of type 2 diabetes, a combination tablet consisting of empagliflozin and linagliptin, which has been approved in early 2015.</t>
        </r>
      </text>
    </comment>
    <comment ref="AE15" authorId="0" shapeId="0">
      <text>
        <r>
          <rPr>
            <sz val="10"/>
            <rFont val="Arial"/>
            <family val="2"/>
          </rPr>
          <t xml:space="preserve">Company Comment:
Source: Eli Lilly 2015 10-K, Page 4:
 Glyxambi, a combination tablet of linagliptin and empagliflozin (Jardiance) for the treatment of type 2 diabetes (approved in the U.S. in 2015)
</t>
        </r>
      </text>
    </comment>
    <comment ref="H16" authorId="0" shapeId="0">
      <text>
        <r>
          <rPr>
            <sz val="10"/>
            <rFont val="Arial"/>
            <family val="2"/>
          </rPr>
          <t>Patent Comment:
Patent date &amp; number refers to ''Modified insulin derivatives having an altered action profile'' (US#5656722) including paed. extension. RoW patent expiry refers to European patent (EP#368187) covering "Insulin derivatives, their use and a pharmaceutical composition containing same". DEC17 US (PTAB) has instituted inter partes review (IPR) proceedings on all claims against two Sanofi’s patents (US#7476652 &amp; US#7713930). OCT17 Filed a patent litigation against Mylan’s NDA in the United States District for infringing Sanofi’s patents (US#7476652 &amp; US#7713930). Sanofi alleges infringement of 18 patents in its suit. Source: 2017 20-F, 14 DEC 2017 press release, Orange Book, Espacenet, USPTO.</t>
        </r>
      </text>
    </comment>
    <comment ref="Z16" authorId="0" shapeId="0">
      <text>
        <r>
          <rPr>
            <sz val="10"/>
            <rFont val="Arial"/>
            <family val="2"/>
          </rPr>
          <t>Company Comment:
Source: Sanofi- Aventis FY 2010 Results (9 FEB 2011):
In full year 2010, Lantus® family sales reached €3,510 million, up 9.1%.</t>
        </r>
      </text>
    </comment>
    <comment ref="AA16" authorId="0" shapeId="0">
      <text>
        <r>
          <rPr>
            <sz val="10"/>
            <rFont val="Arial"/>
            <family val="2"/>
          </rPr>
          <t>Company Comment:
Source: Sanofi FY 2011 Results (8 FEB 2012):
...Full year 2011 sales of Lantus reached €3,916 million, up 15.0% supported by strong performance in the U.S. (up 14.6% at €2,336 million), Emerging Markets (+26.0% at €617 million) and Japan (+19.5%).
Source: Sanofi 2011 20-F, Page 25:
In January 2011, the FDA updated its ongoing safety review of Lantus®. In addition to the analysis of the four registry analyses published in 2009, the FDA also reviewed results from a five-year diabetic retinopathy clinical trial in patients with type 2 Diabetes. Based on these data, the FDA has not concluded at this time that Lantus® increases the risk of cancer. FDA review remains ongoing. In December 2011, results of new meta-analysis were presented at the World Diabetes Congress. This new meta-analysis of all published studies—observational studies derived from databases as well as randomized controlled clinical trials and one case-control study—has demonstrated no increased risk in people using Lantus® when compared to the users of human insulin. 
Page 50: 
Lantus: the Lantus Pediatric Investigational plan was finalized as scheduled and results have been submitted in Europe in time. 
Page 103:
Lantus, the world’s leading diabetes brand (source: IMS 2011 sales), posted a 15.0% increase in net sales at constant exchange rates in 2011 to €3,916 million. This change is a result of the sharp growth in Emerging Markets (26.0% at constant exchange rates), especially in China (61.7%) and Brazil (29%), as well as solid performance in the United States (14.6%) and Japan (19.5%). In Western Europe, growth was more moderate (6.4%), which reflected the pricing pressures specifically in Germany.</t>
        </r>
      </text>
    </comment>
    <comment ref="AC16" authorId="0" shapeId="0">
      <text>
        <r>
          <rPr>
            <sz val="10"/>
            <rFont val="Arial"/>
            <family val="2"/>
          </rPr>
          <t>Company Comment:
Source: Sanofi Q4 2013 Results (06 FEB 2014):
...Diabetes recorded strong double digit growth (+18.7%) to €6,568 million in 2013 driven by the performance of Lantus (+20.0% to €5,715 million).
The Diabetes division recorded its twelfth quarter of double-digit growth (up 19.0%) to €1,735 million. Lantus sales were €1,512 million, an increase of 19.9% driven by the U.S. (€997 million, an increase of 24.1%) and Emerging Markets (€234 million, an increase of 21.4%).
In the U.S., Lantus SoloSTAR sales represented 58.0% of total Lantus sales in the quarter, versus 53.4% in the fourth quarter of 2012. Lantus sales in Western Europe were €204 million, an increase of 4.0%. In 2013, sales of Lantus totaled €5,715 million, up 20.0% driven by the U.S. (+25.6%) and Emerging Markets (+16.8% to €874 million).</t>
        </r>
      </text>
    </comment>
    <comment ref="AD16" authorId="0" shapeId="0">
      <text>
        <r>
          <rPr>
            <sz val="10"/>
            <rFont val="Arial"/>
            <family val="2"/>
          </rPr>
          <t>Company Comment:
Source: Sanofi Q4 2014 Results (05 FEB 2015):
...Full-year sales of Lantus reached €6,344 million, up 12.1%, reflecting a price effect of 7.3% (essentially in the U.S.) and a volume effect of 4.8%.</t>
        </r>
      </text>
    </comment>
    <comment ref="AE16" authorId="0" shapeId="0">
      <text>
        <r>
          <rPr>
            <sz val="10"/>
            <rFont val="Arial"/>
            <family val="2"/>
          </rPr>
          <t>Company Comment:
Source: Sanofi Q4 2015 Results (09 FEB 2016):
...In 2015 sales of Sanofi’s glargine franchise were €6,554 million, down 8.5%.
Source: Sanofi 2015 20-F, Page 24:
On December 16, 2015, the FDA granted approval in the U.S. to Lilly and Boehringer Ingelheim for their insulin glargine product for use with KwikPen, a pre-filled dosing device, under the trade name Basaglar (NDA 205-692). It is a long-acting human insulin analog to improve glycemic control in adult and pediatric patients with type 1 diabetes and in adults with type 2 diabetes. Following this settlement in the U.S. Lilly will not sell its insulin glargine product before December 15, 2016.</t>
        </r>
      </text>
    </comment>
    <comment ref="AF16" authorId="0" shapeId="0">
      <text>
        <r>
          <rPr>
            <sz val="10"/>
            <rFont val="Arial"/>
            <family val="2"/>
          </rPr>
          <t>Company Comment:
Source: Sanofi FY 2016 Results (08 FEB 2017):
...In 2016, Lantus sales were €5,714 million, down 9.4%.</t>
        </r>
      </text>
    </comment>
    <comment ref="AG16" authorId="0" shapeId="0">
      <text>
        <r>
          <rPr>
            <sz val="10"/>
            <rFont val="Arial"/>
            <family val="2"/>
          </rPr>
          <t>Company Comment:
Source: Sanofi FY 2017 Results (07 FEB 2018):
…Full-year 2017 Lantus sales decreased 17.5% to €4,622 million.</t>
        </r>
      </text>
    </comment>
    <comment ref="H17" authorId="0" shapeId="0">
      <text>
        <r>
          <rPr>
            <sz val="10"/>
            <rFont val="Arial"/>
            <family val="2"/>
          </rPr>
          <t>Patent Comment:
Patent date &amp; number refers to US patent "8-[3-amino-piperidin-1-yl]-xanthines, the preparation thereof and their use as pharmaceutical compositions" (US#7407955) including 629 days of patent extension. Patent protection refers to US patent "Use of dipeptidyl peptidase IV effectors for lowering the blood glucose level in mammals" (US#6303661). Patent protection also refers to issued US patents (US#6890898, US#7078381 &amp; US#73459428). Patent protection refers to US patent titled "Uses of DPP-IV inhibitors" expires 23 AUG 2027 (US#8673927). Source :Eli Lilly Annual Report 2017, Eli Lilly 2017 10-K, US PTO &amp; FDA.</t>
        </r>
      </text>
    </comment>
    <comment ref="Z17" authorId="0" shapeId="0">
      <text>
        <r>
          <rPr>
            <sz val="10"/>
            <rFont val="Arial"/>
            <family val="2"/>
          </rPr>
          <t xml:space="preserve">Company Disclosed Competitive Profile:
Source: Eli Lilly 2010 10-K, Page 51: 
In January 2011, we and BI entered into a global agreement to jointly develop and commercialize a portfolio of diabetes compounds currently in mid- and late-stage development. Included are BI’s two oral diabetes agents, linagliptin, for which an NDA has been submitted to the FDA, and BI10773, which is currently in Phase III clinical testing; our two basal insulin analogues, LY2605541 and LY2963016, both expected to begin Phase III clinical testing in 2011; and the option to co-develop and co-commercialize our anti-TGF-beta monoclonal antibody, which is currently in Phase II clinical testing. Under the terms of the agreement, we made an initial one-time payment to BI of  € 300.0 million for acquired IPR&amp;D related to this arrangement, which will be included as expense in the first quarter of 2011 and is deductible for tax purposes. BI will be eligible to receive up to a total of  € 625.0 million in success-based regulatory milestones for linagliptin and BI10773. We will be eligible to receive up to a total of $650.0 million in success-based regulatory milestones on our two basal analogue insulins. Should BI elect to opt-in to the Phase III development and potential commercialization of the anti-TGF-beta monoclonal antibody, we would be eligible for up to $525.0 million in opt-in and success-based regulatory milestone payments. The companies will share ongoing development costs equally. Upon successful regulatory approval of any product resulting from the collaboration, the companies will equally share in the product’s commercialization costs and gross margin. Each company will also be entitled to potential performance payments on sales of the molecules they contribute to the collaboration.
Company Disclosed competitive Profile:
Source: Boehringer Ingelheim Annual Report 2010, Page 77: 
SGLT-2 inhibitor 
The compound BI 10773, a sodiumdependent glucose transporter-2 (SGLT-2) inhibitor, blocks renal glucose absorption in the kidneys, thereby improving glycaemic control. The inhibition of SGLT-2 has been seen to have a positive effect on body weight loss and reduction in blood pressure The phase II clinical trials with the compound have been concluded. 
Page 88-89:
The DPP-4 inhibitor linagliptin is the most advanced compound in the Boehringer Ingelheim diabetes portfolio. Linagliptin is being investigated as an oral once-daily tablet for the treatment of type 2 diabetes, as monotherapy and as combination therapy. Linagliptin has a primarily non-renal route of excretion (only approx. 5 % excreted via the kidneys). Data from late-stage clinical trials added to the large body of clinical evidence demonstrating that linagliptin cannot only achieve signifi cant and sustainable reductions in blood glucose, but that based on its unique pharmacokinetic profi le, linagliptin may not require dose adjustment even in patients with type 2 diabetes, with any degree of renal impairment. DPP-4 inhibitors represent an innovative approach to type 2 diabetes treatment with a unique mechanism of action compared to other classes in this therapeutic area.
The inhibition of DPP-4 is beneficial for type 2 diabetes patients to control blood glucose levels, a primary goal of type 2 diabetes management. A dose finding period (up-titration period) at the beginning of therapy is not needed when treating with a DPP-4 inhibitor. This is because of their rapid mode of action and the fact that their favorable tolerability profile does not cause nausea and vomiting, in addition to having a low risk of drug-drug interactions. This makes them appropriate as monotherapy or in combination with other commonly used anti-diabetes drugs. Linagliptin pivotal trials Four multi-center, randomised, placebo- controlled, double-blind phase III studies were conducted to investigate the effi cacy, safety, and tolerability of linagliptin (5 mg once daily) versus placebo, administered over 24 weeks in type 2 diabetes mellitus patients with insuffi cient glycaemic control. The overall HbA1c range for these studies was ≥ 7.0% and ≤ 11%, with the following background therapy: 
• Linagliptin as monotherapy (exercise and diet alone), 
• Linagliptin as an add-on to metformin, 
• Linagliptin as an add-on to metformin plus a sulfonylurea, 
• Linagliptin in combination with pioglitazone. 
Linagliptin phase III data showed that this investigational compound achieved signifi cant, sustained and clinically meaningful reductions in blood glucose as measured by haemoglobin A1c (HbA1c), fasting plasma glucose, and postprandial glucose concentrations. Furthermore, these phase III studies exhibited an outstanding safety and compatibility profile. In 2010 too, applications for market approval of linagliptin were submitted to a number of authorities worldwide. 
</t>
        </r>
      </text>
    </comment>
    <comment ref="AA17" authorId="0" shapeId="0">
      <text>
        <r>
          <rPr>
            <sz val="10"/>
            <rFont val="Arial"/>
            <family val="2"/>
          </rPr>
          <t>Company Comment:
Source: Eli Lilly 2011 10-K, Page 2:
Tradjenta™, approved and launched in 2011 for the treatment of type 2 diabetes.
Pages 19:
In January 2011, we announced a global agreement with Boehringer Ingelheim (Boehringer) to jointly develop and commercialize a portfolio of diabetes compounds currently in mid- and late-stage development, including Boehringer’s two investigational oral diabetes agents, linagliptin and empagliflozin. In 2011, linagliptin was approved and launched in the U.S. (trade name Tradjenta), Japan (trade name Trazenta™), Europe (trade name Trajenta ® ), and other countries.</t>
        </r>
      </text>
    </comment>
    <comment ref="AB17" authorId="0" shapeId="0">
      <text>
        <r>
          <rPr>
            <sz val="10"/>
            <rFont val="Arial"/>
            <family val="2"/>
          </rPr>
          <t>Company Comment:
Source: Boehringer Ingelheim Annual Report 2012, Page 56:
Linagliptin belongs to the drug class of DPP4-inhibitors.
Trajenta has been approved very rapidly in all major markets and approval for fixed-dose combinations with metformin (jentadueto), or as add-on to insulin treatment, was obtained in 2012. It can also be administered without dosage adjustment in patients with impaired renal function, which frequently occurs in diabetic patients.
Source: Eli Lilly 2012 Annual Report, Page 3: 
In other approvals last year, the U.S. Food and Drug Administration (FDA) and European Commission (EC) both approved Jentadueto® —which combines Tradjenta® and metformin in a single pill—and both also approved Tradjenta as add-on therapy to insulin.</t>
        </r>
      </text>
    </comment>
    <comment ref="AC17" authorId="0" shapeId="0">
      <text>
        <r>
          <rPr>
            <sz val="10"/>
            <rFont val="Arial"/>
            <family val="2"/>
          </rPr>
          <t>EvaluatePharma® Comment:
Includes sales of Jentadueto. 
Company Disclosed Competitive Profile:
Source: Boehringer Ingelheim Annual Report 2013, Page 16:
The CARMELINA trial is investigating the effect of linagliptin versus standard care on cardiovascular and renal microvascular events. The study group consists of more than 8,000 adults with type 2 diabetes at risk of cardiovascular and renal events. Patient enrolment started in July 2013. The ongoing CAROLINA study is the only event-driven, head-to-head cardiovascular outcomes trial comparing a DPP-4 inhibitor (linagliptin) with a sulfonylurea (glimepiride). The resulting data will be highly relevant for the treatment selection. Last patient recruitment for CAROLINA was accomplished in November 2012. Treatment of elderly type 2 diabetes patients can be complex and challenging. Data from a phase III study published in The Lancet in August 2013 showed that the blood glucose levels of elderly people with type 2 diabetes, following a 24-week treatment with linagliptin, had dropped significantly compared with those receiving placebo. Adverse events seen with linagliptin occurred in a comparable frequency to that with placebo. There was no significant difference compared with placebo in terms of hypoglycaemia when patients received no concomitant treatments which are known to increase the risk of hypoglycaemia, such as insulin.</t>
        </r>
      </text>
    </comment>
    <comment ref="AD17" authorId="0" shapeId="0">
      <text>
        <r>
          <rPr>
            <sz val="10"/>
            <rFont val="Arial"/>
            <family val="2"/>
          </rPr>
          <t>EvaluatePharma® Comment:
Includes sales of Jentadueto.</t>
        </r>
      </text>
    </comment>
    <comment ref="AE17" authorId="0" shapeId="0">
      <text>
        <r>
          <rPr>
            <sz val="10"/>
            <rFont val="Arial"/>
            <family val="2"/>
          </rPr>
          <t>EvaluatePharma® Comment:
Includes sales of Jentadueto.
Company Comment:
Source: Boehringer Ingelheim Annual Report 2015, Page 22:
…Further clinical trials and regulatory submissions for additional combination tablets, meeting the individual treatment needs for this complex condition, are well underway. Beyond EMPA-REG OUTCOME for jardiance, two large cardiovascular outcome trials (carolina and carmelina) for trajenta  are on schedule to complete on time.</t>
        </r>
      </text>
    </comment>
    <comment ref="AF17" authorId="0" shapeId="0">
      <text>
        <r>
          <rPr>
            <sz val="10"/>
            <rFont val="Arial"/>
            <family val="2"/>
          </rPr>
          <t>Company Comment:
Source: Boehringer Ingelheim 2016 Annual Report, Page 22:
At EUR 1,128 million, the medicine trajenta, which is used for the treatment of type 2 diabetes, achieved sales in excess of one billion euros for the first time in 2016 (+ 24.1%).</t>
        </r>
      </text>
    </comment>
    <comment ref="AG17" authorId="0" shapeId="0">
      <text>
        <r>
          <rPr>
            <sz val="10"/>
            <rFont val="Arial"/>
            <family val="2"/>
          </rPr>
          <t>Company Comment:
Source: Boehringer Ingelheim FY 2017 Results (25 APR 2018):
In the human pharmaceuticals business, Boehringer Ingelheim last year succeeded in generating net sales of more than one billion US dollars each with six medicines. These were the respiratory medicine SPIRIVA, the anticoagulant PRADAXA, the diabetes medicines TRAJENTA and JARDIANCE, OFEV, which is used to treat the rare disease idiopathic pulmonary fibrosis (IPF), and MICARDIS medicines used for the treatment of hypertension.</t>
        </r>
      </text>
    </comment>
    <comment ref="H18" authorId="0" shapeId="0">
      <text>
        <r>
          <rPr>
            <sz val="10"/>
            <rFont val="Arial"/>
            <family val="2"/>
          </rPr>
          <t>Patent Comment:
Patent date &amp; number refers to US patent "Insulin analogs modified at position 29 of the B chain" (US#5514646). Formulation patent expires JUN 2014 (#5474978). Patent protection also refers to "Medication dispensing apparatus with triple screw threads for mechanical advantage” (US#7291132) exp on 09 AUG 2024. Source: FDA &amp; US PTO, Eli Lilly 2013 10-K.</t>
        </r>
      </text>
    </comment>
    <comment ref="Z18" authorId="0" shapeId="0">
      <text>
        <r>
          <rPr>
            <sz val="10"/>
            <rFont val="Arial"/>
            <family val="2"/>
          </rPr>
          <t>EvaluatePharma® Comment:
Humalog sales include Humalog Mix 75/25 &amp; Humalog Mix 50/50.
Company Comment:
Source: Eli Lilly FY 2010 Results (27 JAN 2011):
For the full year of 2010, worldwide Humalog sales increased 5 percent to $2.054 billion. U.S. Humalog sales for 2010 were $1.222 billion, a 1 percent increase driven by higher prices, partially offset by the impact of wholesaler buying patterns. Humalog sales outside the U.S. were $831.8 million, an 11 percent increase driven by increased demand primarily in Japan and China.</t>
        </r>
      </text>
    </comment>
    <comment ref="AA18" authorId="0" shapeId="0">
      <text>
        <r>
          <rPr>
            <sz val="10"/>
            <rFont val="Arial"/>
            <family val="2"/>
          </rPr>
          <t>EvaluatePharma® Comment:
Humalog sales include Humalog Mix 75/25 &amp; Humalog Mix 50/50.
Company Comment:
Source: Eli Lilly FY 2011 Results (31 JAN 2012):
For the full year of 2011, worldwide Humalog sales increased 15 percent to $2.368 billion. U.S. Humalog sales for 2011 were $1.399 billion, a 14 percent increase driven by higher demand and, to a lesser extent, higher prices. Humalog sales outside the U.S. were $968.7 million, a 16 percent increase driven by higher demand and, to a lesser extent, the favorable impact of foreign exchange rates.</t>
        </r>
      </text>
    </comment>
    <comment ref="AB18" authorId="0" shapeId="0">
      <text>
        <r>
          <rPr>
            <sz val="10"/>
            <rFont val="Arial"/>
            <family val="2"/>
          </rPr>
          <t>EvaluatePharma® Comment:
Humalog sales include Humalog Mix 75/25 &amp; Humalog Mix 50/50.
Company Comment:
Source: Eli Lilly FY 2012 Results (29 JAN 2013):
For the full year of 2012, worldwide Humalog sales increased 1 percent to $2.395 billion. U.S. Humalog sales for 2012 were $1.371 billion, a 2 percent decline due to increased government and commercial rebates. U.S. sales of Humalog have also been negatively impacted by the product's removal from a large formulary in 2012. Humalog sales outside the U.S. were $1.025 billion, a 6 percent increase driven by higher demand, partially offset by the unfavorable impact of foreign exchange rates.
Source: Eli Lilly FY 2012 Presentation (29 JAN 2013), Slide 27:
U.S. sales decreased 19%
International sales increased 12%</t>
        </r>
      </text>
    </comment>
    <comment ref="AC18" authorId="0" shapeId="0">
      <text>
        <r>
          <rPr>
            <sz val="10"/>
            <rFont val="Arial"/>
            <family val="2"/>
          </rPr>
          <t>EvaluatePharma® Comment:
Humalog sales include Humalog Mix 75/25 &amp; Humalog Mix 50/50.
Company Comment:
Source: Eli Lilly FY 2013 Results (30 JAN 2014):
For the full year of 2013, worldwide Humalog sales increased 9 percent to $2.611 billion. U.S.  Humalog sales for 2013 were $1.521 billion, an 11 percent increase driven by higher prices,  wholesaler buying patterns and increased demand. Humalog sales outside the U.S. were $1.090  billion, a 6 percent increase driven by higher volume, partially offset by the unfavorable impact of  foreign exchange rates.</t>
        </r>
      </text>
    </comment>
    <comment ref="AD18" authorId="0" shapeId="0">
      <text>
        <r>
          <rPr>
            <sz val="10"/>
            <rFont val="Arial"/>
            <family val="2"/>
          </rPr>
          <t>EvaluatePharma® Comment:
Humalog sales include Humalog Mix 75/25 &amp; Humalog Mix 50/50.
Company Comment:
Source: Eli Lilly FY 2014 Results (30 JAN 2015):
For the full year of 2014, worldwide Humalog sales increased 7 percent to $2.785 billion. U.S. Humalog sales for 2014 were $1.628 billion, a 7 percent increase driven by increased demand, partially offset by lower net effective selling prices as a result of payer contracts and greater Medicaid and Medicare utilization, as well as wholesaler buying patterns. Humalog sales outside the U.S. were $1.158 billion, a 6 percent increase driven by increased volume and, to a lesser extent, higher prices, partially offset by the unfavorable impact of foreign exchange rates.</t>
        </r>
      </text>
    </comment>
    <comment ref="AE18" authorId="0" shapeId="0">
      <text>
        <r>
          <rPr>
            <sz val="10"/>
            <rFont val="Arial"/>
            <family val="2"/>
          </rPr>
          <t>EvaluatePharma® Comment:
Humalog sales include Humalog Mix 75/25 &amp; Humalog Mix 50/50.
Company Comment:
Source: Eli Lilly FY 2015 Results (28 JAN 2016):
For the full year of 2015, worldwide Humalog sales increased 2 percent to $2.842 billion. U.S. Humalog sales for 2015 were $1.772 billion, a 9 percent increase, driven by higher realized prices and, to a lesser extent, increased volume. Humalog sales outside the U.S. were $1.070 billion, an 8 percent decline, driven by the unfavorable impact of foreign exchange rates, partially offset by higher volume.</t>
        </r>
      </text>
    </comment>
    <comment ref="AF18" authorId="0" shapeId="0">
      <text>
        <r>
          <rPr>
            <sz val="10"/>
            <rFont val="Arial"/>
            <family val="2"/>
          </rPr>
          <t>EvaluatePharma® Comment:
Humalog sales include Humalog Mix 75/25 &amp; Humalog Mix 50/50.
Company Comment:
Source: Eli Lilly FY 2016 Results (31 JAN 2017):
Revenue in the U.S. increased 14 percent to $11.506 billion, driven by increased volume for several pharmaceutical products, including Trulicity, Humalog, Erbitux (due to the transfer of commercialization rights in North America to Lilly), Taltz and Jardiance, partially offset by lower volumes for Zyprexa…
For the full year 2016, worldwide Humalog revenue decreased 3 percent to $2.769 billion. U.S. Humalog revenue for 2016 was $1.685 billion, a 5 percent decrease, driven by lower realized prices, partially offset by increased demand. Humalog revenue outside the U.S. was $1.084 billion, a 1 percent increase, driven by increased volume and, to a lesser extent, higher realized prices, partially offset by the unfavorable impact of foreign exchange rates.</t>
        </r>
      </text>
    </comment>
    <comment ref="AG18" authorId="0" shapeId="0">
      <text>
        <r>
          <rPr>
            <sz val="10"/>
            <rFont val="Arial"/>
            <family val="2"/>
          </rPr>
          <t>EvaluatePharma® Comment:
Humalog sales include Humalog Mix 75/25 &amp; Humalog Mix 50/50.
Company Comment:
Source: Eli Lilly FY 2017 Results (31 JAN 2018):
...The increase in revenue was partially offset by decreased volume due to loss of exclusivity for Strattera and Effient, as well as decreased demand for Cialis and food animal products, and lower realized prices for Humalog...
For the full year 2017, worldwide Humalog revenue increased 3 percent to $2.865 billion. U.S. Humalog revenue for 2017 was $1.718 billion, a 2 percent increase, driven primarily by higher realized prices due to changes in estimates for rebates and discounts, which decreased revenue in 2016 and increased revenue in 2017. Humalog revenue outside the U.S. was $1.147 billion, a 6 percent increase, driven by increased volume and, to a lesser extent, higher realized prices, partially offset by the unfavorable impact of foreign exchange rates.</t>
        </r>
      </text>
    </comment>
    <comment ref="AH18" authorId="0" shapeId="0">
      <text>
        <r>
          <rPr>
            <sz val="10"/>
            <rFont val="Arial"/>
            <family val="2"/>
          </rPr>
          <t>EvaluatePharma® Comment:
Humalog sales include Humalog Mix 75/25 &amp; Humalog Mix 50/50.</t>
        </r>
      </text>
    </comment>
    <comment ref="AI18" authorId="0" shapeId="0">
      <text>
        <r>
          <rPr>
            <sz val="10"/>
            <rFont val="Arial"/>
            <family val="2"/>
          </rPr>
          <t>EvaluatePharma® Comment:
Humalog sales include Humalog Mix 75/25 &amp; Humalog Mix 50/50.</t>
        </r>
      </text>
    </comment>
    <comment ref="AJ18" authorId="0" shapeId="0">
      <text>
        <r>
          <rPr>
            <sz val="10"/>
            <rFont val="Arial"/>
            <family val="2"/>
          </rPr>
          <t>EvaluatePharma® Comment:
Humalog sales include Humalog Mix 75/25 &amp; Humalog Mix 50/50.</t>
        </r>
      </text>
    </comment>
    <comment ref="AK18" authorId="0" shapeId="0">
      <text>
        <r>
          <rPr>
            <sz val="10"/>
            <rFont val="Arial"/>
            <family val="2"/>
          </rPr>
          <t>EvaluatePharma® Comment:
Humalog sales include Humalog Mix 75/25 &amp; Humalog Mix 50/50.</t>
        </r>
      </text>
    </comment>
    <comment ref="AL18" authorId="0" shapeId="0">
      <text>
        <r>
          <rPr>
            <sz val="10"/>
            <rFont val="Arial"/>
            <family val="2"/>
          </rPr>
          <t>EvaluatePharma® Comment:
Humalog sales include Humalog Mix 75/25 &amp; Humalog Mix 50/50.</t>
        </r>
      </text>
    </comment>
    <comment ref="AM18" authorId="0" shapeId="0">
      <text>
        <r>
          <rPr>
            <sz val="10"/>
            <rFont val="Arial"/>
            <family val="2"/>
          </rPr>
          <t>EvaluatePharma® Comment:
Humalog sales include Humalog Mix 75/25 &amp; Humalog Mix 50/50.</t>
        </r>
      </text>
    </comment>
    <comment ref="AN18" authorId="0" shapeId="0">
      <text>
        <r>
          <rPr>
            <sz val="10"/>
            <rFont val="Arial"/>
            <family val="2"/>
          </rPr>
          <t>EvaluatePharma® Comment:
Humalog sales include Humalog Mix 75/25 &amp; Humalog Mix 50/50.</t>
        </r>
      </text>
    </comment>
    <comment ref="H19" authorId="0" shapeId="0">
      <text>
        <r>
          <rPr>
            <sz val="10"/>
            <rFont val="Arial"/>
            <family val="2"/>
          </rPr>
          <t>Patent Comment:
Patent date &amp; number refers to US patent “Pen-type injector”, including 6-months paediatric extension. Patent protection refers to “Long-acting formulations of insulin” (US#9345750) expiring on 18 MAY 2031. RoW expiry refers to EU patent for "Long - acting formulations of insulins" (EP2387989) &amp; (EP2571517) expiring on 18 MAY 2031. Source: 2017 20-F, US PTO, EPO, CIPO &amp; SIPO.</t>
        </r>
      </text>
    </comment>
    <comment ref="AA19" authorId="0" shapeId="0">
      <text>
        <r>
          <rPr>
            <sz val="10"/>
            <rFont val="Arial"/>
            <family val="2"/>
          </rPr>
          <t>Company Disclosed Competitive Profile:
Source: Sanofi 2011 20-F, Page 50:
A new formulation of insulin glargine has been tested in Phase I. This new product shows an improved pharmacodynamic profile. Phase III investigating the efficacy and safety in a broad patients population has been initiated end of 2011 
Source: Sanofi 2011 Annual Report, Page 26:
Sanofi has chosen to concentrate its efforts on projects with great added value for patients. Among these, three are currently in Phase-III testing: a new formulation of insulin glargine to treat type-2 diabetes; SAR302503, a JAK-2 inhibitor, for the treatment of myelofi brosis; Fluzone® and VaxiGrip®, quadrivalent inactivated infl uenza vaccines.</t>
        </r>
      </text>
    </comment>
    <comment ref="AB19" authorId="0" shapeId="0">
      <text>
        <r>
          <rPr>
            <sz val="10"/>
            <rFont val="Arial"/>
            <family val="2"/>
          </rPr>
          <t>Company Disclosed Competitive Profile:
Source: Sanofi 2012 20-F, Page 29:
The main compound currently in Phase III clinical development in the Diabetes field is New Glargine Formulation: A new formulation of insulin glargine with an improved pharmacodynamic profile is now in Phase III clinical testing. In addition to the two Phase III studies started during 2011, in the second half of 2012 the EDITION III and IV Phase III trials were initiated together with two dedicated clinical studies in Japan.</t>
        </r>
      </text>
    </comment>
    <comment ref="AC19" authorId="0" shapeId="0">
      <text>
        <r>
          <rPr>
            <sz val="10"/>
            <rFont val="Arial"/>
            <family val="2"/>
          </rPr>
          <t>Company Disclosed Competitive Profile:
Source: Sanofi 2013 20-F, Page 40-41:
A new formulation of insulin glargine has been shown in Phase I studies to have an improved pharmacodynamic profile with even longer, more stable and flatter activity than Lantus, with the potential to translate into good glycemic outcomes with less hypoglycemia.
The completed Phase III program includes four studies (EDITION I, II, III and IV) and two studies in Japanese patients (EDITION JPI and JPII). The Phase III program is assessing the efficacy and safety of U300 compared with Lantus in various populations. The results of Edition I and II have demonstrated similar level of glycemic control between U300 and Lantus, while U300 was consistently associated with a reduction in risk of hypoglycemia. Topline results of EDITION III, IV and JPI showed a similar level of glycemic control in both groups. In EDITION III, fewer patients were affected by the nocturnal severe or confirmed hypoglycemic events in the U300 group but the difference was not statistically significant. The analysis of this criterion was not planned as main secondary endpoint in EDITION IV and JPI.</t>
        </r>
      </text>
    </comment>
    <comment ref="AD19" authorId="0" shapeId="0">
      <text>
        <r>
          <rPr>
            <sz val="10"/>
            <rFont val="Arial"/>
            <family val="2"/>
          </rPr>
          <t>Company Disclosed Competitive Profile:
Source: Sanofi 2014 20-F, Pages 42-43:
Toujeo (Glargine U300): A new formulation of insulin glargine has demonstrated in Phase I studies an improved pharmacodynamic profile with an even flatter and more prolonged action profile than Lantus_, with the potential to translate into good glycemic outcomes with less hypoglycemia.
The Phase III program, completed with 12 months data, includes four EU/US studies (EDITION I, II, III and IV) and two studies in Japanese patients (EDITION JPI and JPII). The Phase III program assessed the efficacy and safety of Toujeo_ compared with Lantus_ in various patient populations (type 1 and type 2 Diabetes Mellitus/T1DM and T2DM).
In all three studies in T2DM (EDITION I, II &amp;III), a similar level of glycemic control (HbA1c) in Toujeo_ and Lantus_ was demonstrated over the 6-month period, while a lower risk of hypoglycemia was found in the Toujeo_ group. The extension of the studies to 12 months demonstrated maintenance of glycemic control and did not identify any safety signals. In the EDITION IV study in T1DM, similar glycemic control and safety profile were achieved regardless of whether the injection was in the morning or in the evening. The 12-month results of the EDITION JPI (T1DM) and EDITION JPII (T2DM) studies confirmed the aforementioned findings of comparable glycemic control as well as reduced hypoglycemia reporting in the Toujeo_ group.
On February 25, 2015, the U.S. Food and Drug Administration (FDA) approved Toujeo_ to improve glycemic control in adults living with type 1 and type 2 diabetes. Toujeo_ is expected to be available in the U.S. at the beginning of the second quarter of 2015.
On February 26, 2015, Toujeo_ received CHMP (Committee for Medicinal Products for Human Use) positive opinion for use in adults with type 1 and type 2 diabetes. Further Marketing Applications were submitted in Japan (July 2014), Australia (May 2014), Switzerland (May 2014) and Canada (June 2014).</t>
        </r>
      </text>
    </comment>
    <comment ref="AE19" authorId="0" shapeId="0">
      <text>
        <r>
          <rPr>
            <sz val="10"/>
            <rFont val="Arial"/>
            <family val="2"/>
          </rPr>
          <t>Company Comment:
Source: Sanofi FY 2015 Results (09 FEB 2016):
Toujeo, the new-generation basal insulin, was launched in the U.S. market at the end of March and later in the year in other key global markets...Toujeo is now available globally in more than 20 countries and generated full year 2015 sales of €164 million including €27 million outside the U.S.
Source: Sanofi 2015 20-F, Page 25:
Sanofi’s next generation basal insulin Toujeo (insulin glargine 300 units/mL) has been granted marketing authorization by three major regulatory authorities: the FDA (February 25, 2015), the European Commission (April 28, 2015) and the Japanese Ministry of Health, Labor and Welfare (J-MHLW) where its approved brand name is Lantus XR (June 30, 2015).
Toujeo has now been launched in 20 countries, including the U.S., Germany, the U.K. and Japan. Toujeo is currently pending marketing authorization with other health authorities around the world and it is expected that an additional 24 countries including France, Italy and Spain will launch Toujeo in 2016 making this next-generation basal insulin treatment for type 1 and type 2 diabetes widely available.</t>
        </r>
      </text>
    </comment>
    <comment ref="AF19" authorId="0" shapeId="0">
      <text>
        <r>
          <rPr>
            <sz val="10"/>
            <rFont val="Arial"/>
            <family val="2"/>
          </rPr>
          <t>Company Comment:
Source: Sanofi FY 2016 Results (08 FEB 2017):
...Full-year Toujeo sales were €649 million (versus €164 million in 2015).</t>
        </r>
      </text>
    </comment>
    <comment ref="AG19" authorId="0" shapeId="0">
      <text>
        <r>
          <rPr>
            <sz val="10"/>
            <rFont val="Arial"/>
            <family val="2"/>
          </rPr>
          <t>Company Comment:
Source: Sanofi FY 2017 Results (07 FEB 2018):
...Full-year 2017 Toujeo sales increased 27.0% to €816 million.</t>
        </r>
      </text>
    </comment>
    <comment ref="H20" authorId="0" shapeId="0">
      <text>
        <r>
          <rPr>
            <sz val="10"/>
            <rFont val="Arial"/>
            <family val="2"/>
          </rPr>
          <t>Patent Comment:
Patent date &amp; number refers to patent covering "Insulin analogues " (US#5618913), incl. 60 days of patent extension, plus 6 months paediatric extension. RoW expiry refers to European patent covering composition of matter. Patent protection also refers to Japanese patent for NovoMix 30 expired in JUN 2011 &amp; for NovoMix 50 &amp; 70 expired in JUN 2014. US NCE exclusivity expired 01 NOV 2004. Patent protection also refers to formulation patent expiring on 31 DEC 2017 in US, Europe, China &amp; Japan. Source: 2017 20-F, 01 NOV 2017 PR, 05 MAY 2015 Presentation, 2015 AR, FDA &amp; analyst report.</t>
        </r>
      </text>
    </comment>
    <comment ref="Z20" authorId="0" shapeId="0">
      <text>
        <r>
          <rPr>
            <sz val="10"/>
            <rFont val="Arial"/>
            <family val="2"/>
          </rPr>
          <t>Company Comment:
Source: Novo Nordisk FY 2010 Results (2 FEB 2011):
2010 was a very good year for Novo Nordisk with strong organic sales growth driven by the modern insulins …
North America 
Sales in North America increased by 26% in Danish kroner and by 19% in local currencies in 2010, reflecting a continued solid market penetration of the modern insulins... NovoLog  and NovoLog  Mix 70/30. Novo Nordisk maintains its leadership position in the US insulin market with 42% of the total insulin market and 37% of the modern insulin market. 
Europe 
Sales in Europe increased by 4% measured in Danish kroner and by 2% in local currencies in 2010, reflecting continued progress for the portfolio of modern insulins and declining human insulin sales. Novo Nordisk holds 53% of the total insulin market and 51% of the modern insulin market. 
International Operations 
Sales in International Operations increased by 26% in Danish kroner and by 17% in local currencies in 2010. The main contributor to growth was sales of modern insulins, primarily in China.
Japan &amp; Korea 
Sales in Japan &amp; Korea increased by 10% measured in Danish kroner and decreased by 2% in local currencies in 2010. The sales development reflects sales growth for all three modern insulins ... NovoRapid  and NovoRapid Mix  30, being offset by a decline in human insulin sales. In a continuously challenging competitive environment, Novo Nordisk now holds 63% of the total insulin market in Japan and 56% of the modern insulin market.</t>
        </r>
      </text>
    </comment>
    <comment ref="AA20" authorId="0" shapeId="0">
      <text>
        <r>
          <rPr>
            <sz val="10"/>
            <rFont val="Arial"/>
            <family val="2"/>
          </rPr>
          <t xml:space="preserve">Company Comment:
Source: Novo Nordisk Annual Report 2011, Page 5:
Given the current climate, it is rewarding that Novo Nordisk was able to grow sales by 11% in local currencies in 2011. This growth was driven by our full portfolio of modern insulins, NovoRapid, Levemir and NovoMix, but most significantly by the increasing demand for Victoza, our treatment for type 2 diabetes, which became the leader in the GLP-1 category of diabetes treatments.
Source: Novo Nordisk FY 2011 Results (2 FEB 2012):
…2011 has been a very positive year for Novo Nordisk, with Victoza, NovoRapid and Levemir continuing to drive strong sales growth.
In 2011, sales of modern insulins, human insulins and protein-related products increased by 5% measured in local currencies and by 3% in Danish kroner to DKK 41,859 million compared to 2010, driven by North America, International Operations and Region China. Global insulin sales growth was negatively impacted by healthcare reforms in the US, Europe, Turkey and China as well as by a decline in human insulin sales in Europe, the US and Japan.
North America
Sales of modern insulins, human insulins and protein-related products in North America increased by 9% in local currencies and by 4% measured in Danish kroner in 2011. This reflects continued solid sales performance especially of NovoRapid and Levemir, offset by a decline in human insulin sales and a negative impact of approximately 5 percentage points from the US healthcare reform enacted in March 2010. Currently, around 46% of Novo Nordisk‟s modern insulin volume in the US is being sold in the prefilled device FlexPen compared to around 43% in 2010.
Europe
Sales in Europe decreased by 1% in local currencies and by 1% measured in Danish kroner in 2011. This reflects continued sales growth for modern insulins offset by a decline in human insulin sales. The growth of the insulin volume market in Europe is currently low, ie below 3%, and Novo Nordisk‟s full-year insulin sales are negatively impacted by market share losses, especially in the UK, and by healthcare reforms implemented during 2010 and 2011 in a number of European markets. Currently, around 96% of Novo Nordisk‟s insulin volume in Europe is being sold for use in devices.
International Operations
Sales in International Operations increased by 10% in local currencies and by 6% in Danish kroner in 2011. The growth is primarily driven by modern insulins with all three insulin analogues growing solidly, complemented by modest sales growth of human insulin. Currently, around 58% of Novo Nordisk‟s insulin volume in International Operations‟ major non-tender markets is being sold for use in devices.
Region China
Sales in Region China increased by 10% in local currencies and by 10% in Danish kroner in 2011. The main contributor to growth was sales of modern insulin with the entire portfolio growing strongly, while sales of human insulin in 2011 were at the same level as in 2010, primarily as a result of implementation of a healthcare reform in China during 2011. Currently, around 96% of Novo Nordisk‟s insulin volume in China is being sold for use in devices, primarily Penfill for use in the durable device NovoPen.
Japan &amp; Korea
Sales in Japan &amp; Korea decreased by 4% in local currencies and increased by 1% in Danish kroner in 2011. The sales development reflects sales growth for modern insulins being offset by a decline in human insulin sales. Furthermore, continuous low market growth in Japan, ie below 3%, is impacting overall growth. In Japan approximately 98% of Novo Nordisk‟s insulin volume is being used in devices, primarily FlexPen. </t>
        </r>
      </text>
    </comment>
    <comment ref="AB20" authorId="0" shapeId="0">
      <text>
        <r>
          <rPr>
            <sz val="10"/>
            <rFont val="Arial"/>
            <family val="2"/>
          </rPr>
          <t>Company Comment:
Source: Novo Nordisk FY 2012 Results (31 JAN 2013):
…Sales growth was realised within both diabetes care and biopharmaceuticals, with the majority of growth originating from the modern insulins…
Modern insulins, human insulins and protein-related products
Sales of modern insulins, human insulins and protein-related products increased by 16% in Danish kroner to DKK 48,634 million and by 10% measured in local currencies, with North America, International Operations and Region China achieving the highest growth rates. Novo Nordisk is the global leader with 49% of the total insulin market and 46% of the modern insulin market, both measured in volume.
Sales of modern insulins increased by 21% in Danish kroner to DKK 34,821 million and by 15% in local currencies. North America accounted for more than half of the growth, followed by International Operations and Region China. Sales of modern insulins now constitute more than 75% of Novo Nordisk‟s sales of insulin.
North America
Sales of modern insulins, human insulins and protein-related products in North America increased by 29% in Danish kroner and by 20% in local currencies. This reflects continued solid market penetration of the modern insulins, NovoLog, Levemir and NovoLog Mix 70/30, and a modest growth in human insulin sales. 50% of Novo Nordisk‟s modern insulin volume in the US is used in the prefilled device FlexPen.
 Europe
Sales of modern insulins, human insulins and protein-related products in Europe were unchanged in Danish kroner but decreased by 1% in local currencies. Sales in Europe reflect continued progress for NovoRapid and Levemir, countered by declining human insulin sales. Sales growth in Europe is negatively impacted by a continued low insulin volume growth, below 3%, and by the implementation of pricing reforms in several European markets. The device penetration in Europe remains high with 96% of Novo Nordisk‟s insulin volume being used in devices, primarily NovoPen and FlexPen.
International Operations
Sales of modern insulins, human insulins and protein-related products in International Operations increased by 19% in Danish kroner and by 16% in local currencies. The growth is driven by all three modern insulins and a solid contribution from human insulins. Currently, 58% of Novo Nordisk‟s insulin volume in the major private markets is used in devices.
Japan &amp; Korea 
Sales of modern insulins, human insulins and protein-related products in Japan &amp; Korea increased by 1% measured in Danish kroner but declined by 6% in local currencies. Sales development is impacted negatively by a continued volume decline in the Japanese insulin market and a challenging competitive environment. The device penetration in Japan remains high with 98% of Novo Nordisk‟s insulin volume being used in devices, primarily the FlexPen.
Region China 
Sales of modern insulins, human insulins and protein-related products in Region China increased by 27% in Danish kroner and by 15% in local currencies. The sales growth was driven by all three modern insulins, while sales of human insulins only grew modestly. Currently, 97% of Novo Nordisk‟s insulin volume in China is used in devices, primarily the durable device NovoPen.</t>
        </r>
      </text>
    </comment>
    <comment ref="AC20" authorId="0" shapeId="0">
      <text>
        <r>
          <rPr>
            <sz val="10"/>
            <rFont val="Arial"/>
            <family val="2"/>
          </rPr>
          <t xml:space="preserve">Company Comment:
Source: Novo Nordisk FY 2013 Results (30 JAN 2014):
Insulins and protein-related products
Sales of insulins and protein-related products increased by 11% in local currencies and by 6% in Danish kroner to DKK 51,577 million. Measured in local currencies, sales growth was driven by North America, International Operations and Region China. Novo Nordisk is the global leader with 48% of the total insulin market and 46% of the market for modern insulin and new-generation insulin, both measured in volume. Sales of modern insulins increased by 14% in local currencies and by 10% in Danish kroner to DKK 38,153 million. North America accounted for two-thirds of the growth, followed by International Operations and Region China. Sales of modern insulins now constitute 78% of Novo Nordisk’s sales of insulin.
North America
Sales of insulins and protein-related products in North America increased by 18% in local currencies and by 14% in Danish kroner. Sales growth reflects a continued positive contribution from pricing in the US, solid market penetration of all three modern insulins, NovoLog, Levemir  and NovoLog Mix 70/30. 55% of Novo Nordisk’s modern insulin volume in the US is used in the prefilled device FlexPen.
Europe
Sales of insulins and protein-related products in Europe remained unchanged in local currencies and decreased by 1% in Danish kroner. The development reflects that the declining human insulin sales are offset by the continued progress for Levemir and NovoRapid. Furthermore, sales are impacted by a low volume growth of the insulin market, around 3%, as well as the implementation of pricing reforms in several European markets. The device penetration in Europe remains high with 96% of Novo Nordisk’s insulin volume being used in devices, primarily NovoPen and FlexPen.
International Operations
Sales of insulins and protein-related products in International Operations increased by 15% in local currencies and by 6% in Danish kroner. The growth, which is positively impacted by the timing in tenders and shipments in a number of countries, is driven by all three modern insulins and a contribution from human insulins. Currently, 59% of Novo Nordisk’s insulin volume in the major private markets is used in devices.
Region China
Sales of insulins and protein-related products in Region China increased by 15% in local currencies and by 14% in Danish kroner. The sales growth was driven by all three modern insulins, while sales of human insulins only grew modestly. Currently, 97% of Novo Nordisk’s insulin volume in China is used in devices, primarily the durable device NovoPen.
Japan &amp; Korea
Sales of insulins and protein-related products in Japan &amp; Korea decreased by 3% in local currencies and by 22% measured in Danish kroner. The sales development reflects a stagnant Japanese insulin volume market and the negative impact of a challenging competitive environment, which is only partly offset by the robust uptake of Tresiba. The device penetration in Japan remains high with 98% of Novo Nordisk’s insulin volume being used in devices, primarily FlexPen.   
</t>
        </r>
      </text>
    </comment>
    <comment ref="AD20" authorId="0" shapeId="0">
      <text>
        <r>
          <rPr>
            <sz val="10"/>
            <rFont val="Arial"/>
            <family val="2"/>
          </rPr>
          <t>Company Comment:
Source: Novo Nordisk FY 2014 Results (30 JAN 2015):
North America
Sales of insulin and protein-related products in North America increased by 12% in both local currencies and Danish kroner. Sales growth is primarily driven by a positive contribution from pricing in the US and market share gains for Levemir. In the US, sales growth is negatively impacted by the partial loss of reimbursement with a large pharmacy benefit manager effective January 2014 as well as expanded Medicaid and Medicare Part D utilisation. 50% of Novo Nordisk’s modern insulin volume in the US is used in the prefilled devices FlexPen and FlexTouch.
Europe
Sales of insulin and protein-related products in Europe were unchanged in both local currencies and in Danish kroner. The development reflects a contracting premix insulin segment and declining human insulin sales which are only partly offset by the penetration of Tresiba and the continued progress of NovoRapid. Furthermore, sales are affected by a net negative impact from the implementation of pricing reforms in several European countries. The device penetration in Europe remains high with 96% of Novo Nordisk’s insulin volume being used in devices, primarily NovoPen and FlexPen.
International Operations
Sales of insulin and protein-related products in International Operations increased by 13% in local currencies and by 3% in Danish kroner reflecting a significant depreciation of key invoicing currencies, primarily the Argentinian peso, the Turkish lira and the Russian rouble against the Danish krone compared to the exchange rates in 2013. The growth in local currencies is driven by all three modern insulins offset by declining human insulin sales partly due to lower tender sales and the continued conversion of the market to modern insulin. Currently, 61% of Novo Nordisk’s insulin volume in the major private markets is used in devices.
Region China
Sales of insulin and protein-related products in Region China increased by 11% in both local currencies and Danish kroner. The sales growth was driven by all three modern insulins while sales of human insulin only grew modestly. Currently, 98% of Novo Nordisk’s insulin volume in China is used in devices, primarily the durable device NovoPen.
Japan &amp; Korea
Sales of insulin and protein-related products in Japan &amp; Korea decreased by 2% in local currencies and by 9% measured in Danish kroner. The sales development reflects a declining Japanese insulin volume market and challenging underlying market dynamics which are partly offset by the strong uptake of Tresiba. The device penetration in Japan remains high with 98% of Novo Nordisk’s insulin volume being used in devices, primarily FlexPen and FlexTouch.</t>
        </r>
      </text>
    </comment>
    <comment ref="AE20" authorId="0" shapeId="0">
      <text>
        <r>
          <rPr>
            <sz val="10"/>
            <rFont val="Arial"/>
            <family val="2"/>
          </rPr>
          <t>Company Comment 
Source: Novo Nordisk 2015 20-F, Page 8:
The formulation patent for NovoLog/NovoRapid in all major markets and for NovoLog Mix /NovoMix in the United States makes it challenging to develop a biosimilar version of these compounds without infringing Novo Nordisk’s intellectual property. Therefore, we do not anticipate that the expiry of our original compound NovoLog/NovoRapid and NovoLog Mix /NovoMix patents will have a significant near-term impact on sales, results of operations and liquidity.</t>
        </r>
      </text>
    </comment>
    <comment ref="AF20" authorId="0" shapeId="0">
      <text>
        <r>
          <rPr>
            <sz val="10"/>
            <rFont val="Arial"/>
            <family val="2"/>
          </rPr>
          <t>Company Comment:
Source: Novo Nordisk FY 2016 Results (02 FEB 2017):
Sales of modern insulin decreased by 3% in local currencies and by 5% in Danish kroner to DKK 47,510 million. Sales declined in the USA, Europe and Pacific partly offset by a positive contribution from International Operations and China. Sales of modern insulin and new-generation insulin in total constitute 82% of Novo Nordisk’s sales of insulin measured in value.
USA
Sales of insulin in the USA decreased by 2% both in local currencies and in Danish kroner. Sales declined due to lower NovoLog and NovoLog Mix 70/30 prices, a NovoLog and NovoLog Mix 70/30 contract loss effective from 1 January 2016 and a declining premix insulin segment, which was partly countered by growth in the basal insulin segment due the positive contribution from the introduction of Tresiba. 55% of Novo Nordisk’s modern insulin volume in the USA is used in the prefilled devices FlexPen and FlexTouch.</t>
        </r>
      </text>
    </comment>
    <comment ref="AG20" authorId="0" shapeId="0">
      <text>
        <r>
          <rPr>
            <sz val="10"/>
            <rFont val="Arial"/>
            <family val="2"/>
          </rPr>
          <t xml:space="preserve">Company Comment:
Source: Novo Nordisk FY 2017 Results (01 FEB 2018):
Sales of modern insulin decreased by 7% in Danish kroner and by 4% in local currencies to DKK 44,400 million. The decline reflects lower sales in North America Operations of Levemir due to price pressure in the basal insulin segment as well as the impact following the introduction of the new-generation insulin Tresiba and lower NovoMix sales, as the pre-mix insulin market continues to decline. The decline was partly offset by sales growth within International Operations, where Region AAMEO, Region China and Region Latin America were the main contributors to growth. Sales of modern insulin and new-generation insulin in total constitute 84% of Novo Nordisk’s global sales of insulin measured in value.
Europe Region
Sales of insulin in Region Europe increased by 2% in Danish kroner and by 3% in local currencies. Sales were driven by Xultophy and the continued penetration of Tresiba as well as a positive contribution from both NovoRapid and Fiasp across the region, partly offset by declining human insulin and NovoMix sales as well as contracting Levemir sales reflecting the continued roll-out of Tresiba.
</t>
        </r>
      </text>
    </comment>
    <comment ref="H21" authorId="0" shapeId="0">
      <text>
        <r>
          <rPr>
            <sz val="10"/>
            <rFont val="Arial"/>
            <family val="2"/>
          </rPr>
          <t>Patent Comment:
Patent date &amp; number refers to "derivatives of GLP-1 analogs" (US#6268343) including 1826 days of patent extension. Patent protection refers to US patents (US#6458924) &amp; (US#7235627) exp. 22 AUG 2017. FEB17 Teva filed ANDA with FDA for generic approval. RoW expiry refers to EU patent. Patent protection also refers to "Injection button" (US#9265893) expiring on 23 SEP 2032. Patent protection also refers to US &amp; EU patent expiring in 2023. Patent protection also refers to Chinese &amp; Japanese patent expiring in 2017 &amp; 2022 respectively. Source: 01 NOV 2017 PR, 05 MAY 2015 Presentation, USPTO, 2016 AR, FDA &amp; 2017 AR.</t>
        </r>
      </text>
    </comment>
    <comment ref="Z21" authorId="0" shapeId="0">
      <text>
        <r>
          <rPr>
            <sz val="10"/>
            <rFont val="Arial"/>
            <family val="2"/>
          </rPr>
          <t>Company Comment:
Source: Novo Nordisk FY 2010 Results (2 FEB 2011):
Sales of Victoza  reached DKK 2,317 million in 2010.
2010 was a very good year for Novo Nordisk with strong organic sales growth driven by the modern ... Victoza.
Victoza  sales reached DKK 2,317 million during 2010 reflecting solid market performance in both Europe and the US. The global launch has continued throughout 2010, most recently Russia, Argentina, Mexico and four countries in the Middle East have launched Victoza. The global market performance has been encouraging with Victoza reaching solid market shares in the GLP-1 segment as well as significantly increasing the GLP-1 class’ share of the total diabetes care market in 2010.
Company Comment:
Source: Novo Nordisk Annual Report 2010, Page 3-4: 
Uncertainties in early 2010, such as the pending approval of Victoza® and the potential for generic competition to our oral antidiabetic agent Prandin® in the US, made us cautious from the beginning of the year. Victoza® was approved in the US in January 2010 and the launch came off to a very good start.
Victoza®, our new Glucagon-Like Peptide-1 treatment, which is an analogue of the naturally occurring hormone involved in glucose regulation, has expanded the market for GLP-1 treatment. Victoza® is used for treating type 2 diabetes when oral antidiabetic therapy will no longer suffice, offering another option for managing this progressive disease at early stages.
We will initiate phase 3 trials for a fixed combination of Degludec (insulin degludec) and Victoza® which may offer the benefits of both compounds in a fixed, convenient solution.
Page 7: 
Victoza® (GLP-1 therapy for type 2 diabetes) Victoza® sales reached DKK 2,317 million during 2010 reflecting solid market performance in both Europe and the US. The global launch has continued throughout 2010, most recently in Russia, Argentina, Mexico and four countries in the Middle East. The market performance globally has been encouraging in 2010 with Victoza® reaching solid market shares in the GLP-1 segment as well as significantly increasing the GLP-1 class’s share of the total diabetes care market.
Page 18: 
With the successful launch of Victoza® (liraglutide), our once-daily Glucagon-Like Peptide-1 (GLP-1) analogue, we have a strong product offering for the earlier stages of type 2 diabetes, before insulin is needed, expanding our diabetes product range and potential market.
Page 31; 
Victoza®, or liraglutide, is the first and only human Glucagon-Like Peptide (GLP-1) analogue with 97% similarity to the natural gut hormone. Like natural GLP-1, once-daily Victoza® works by stimulating the beta cells in the pancreas to release insulin only when blood sugar levels are high. Until recently, most available treatments for diabetes involved tradeoffs for people with diabetes and physicians. While effective at lowering blood glucose, they carried the risk of inducing low blood sugar episodes (hypoglycaemia) and weight gain. New GLP-1 therapies are a major innovation in the treatment of type 2 diabetes because they lower glucose while having a low risk of triggering hypoglycaemia, and in most people with diabetes they also support weight loss. In type 2 diabetes, the ability of the pancreas to release insulin in response to glucose is impaired. GLP-1 therapies help address this defect by directly acting on the pancreas. Victoza®, the only once-daily GLP-1, can be used by adults with type 2 diabetes who are unable to achieve blood glucose goals with lifestyle changes and metformin. Treatment guidelines now call for the use of GLP-1 as an option for early treatment of diabetes. GLP-1 is a hormone from the human gut involved in glucose regulation. First available in Europe in 2009, Victoza® was launched in the US and Japan during 2010 and is now available in 24 markets. Victoza® is steadily capturing and expanding the market for GLP-1 treatment.</t>
        </r>
      </text>
    </comment>
    <comment ref="AA21" authorId="0" shapeId="0">
      <text>
        <r>
          <rPr>
            <sz val="10"/>
            <rFont val="Arial"/>
            <family val="2"/>
          </rPr>
          <t xml:space="preserve">Company Comment:
Source: Novo Nordisk Annual Report 2011, Page 5:
Given the current climate, it is rewarding that Novo Nordisk was able to grow sales by 11% in local currencies in 2011. This growth was driven by our full portfolio of modern insulins, NovoRapid, Levemir and NovoMix, but most significantly by the increasing demand for Victoza, our treatment for type 2 diabetes, which became the leader in the GLP-1 category of diabetes treatments.
Source: Novo Nordisk FY 2011 Results (2 FEB 2012):
...2011 has been a very positive year for Novo Nordisk, with Victoza, NovoRapid and Levemir continuing to drive strong sales growth.
Sales growth was realised within both diabetes care and biopharmaceuticals, with the majority of growth originating from Victoza and modern insulins.
Victoza sales reached DKK 5,991 million during 2011, reflecting solid sales performance in all regions. The global roll-out is continuing, now with 48 countries having launched Victoza, most recently Oman, Thailand, Bulgaria, Belarus, Taiwan and Jordan. Victoza achieved global market share leadership with 58% value market share in the GLP-1 segment in November 2011 compared to 30% in November 2010. Further, the GLP-1 class‟s value share of the total diabetes care market increased to 4.5% in November 2011 compared to 3.2% in November 2010.
North America
Sales of Victoza in North America increased by 167% in local currencies and by 155% measured in Danish kroner in 2011 compared to 2010. This reflects continuous GLP-1 market expansion driven by Victoza, and the value market leadership position Victoza achieved during 2011.
Europe
Sales in Europe increased by 114% in local currencies and by 115% measured in Danish kroner in 2011. This reflects continued roll-out across Europe and in particular solid sales growth in France, the UK and Italy.
International Operations
Sales in International Operations increased by 781% in local currencies and by 776% measured in Danish kroner in 2011. This reflects a low comparison base from 2010 but also very solid sales performance, especially in Brazil and the Middle East.
Region China
Victoza was launched in China during the fourth quarter of 2011, and although initial market feedback is positive, actual sales are limited.
Japan &amp; Korea
Sales in Japan &amp; Korea increased, from a relatively low base in 2010, by 348% in local currencies and by 370% measured in Danish kroner in 2011. The sales performance in 2011 is encouraging and reflects the expiry of the 14-day prescription limitation mid-2011 and a significant commercial focus on Victoza throughout the year. 
Company Disclosed Competitive Profile:
Source: Novo Nordisk 2011 Annual Report, Page 4: 
Our focus in 2012 will be on:
Execution and monitoring of the phase 3 clinical programme for liraglutide in obesity.
Page 19: 
In studies of people with diabetes and people with obesity who do not have diabetes, liraglutide has shown the potential to reduce food intake with the result of controlling weight. We are therefore exploring the option of using liraglutide as a new way of treating high-risk patients, those with obesity-related medical conditions such as high blood pressure and high cholesterol levels.
Gaining regulatory approval for antiobesity medications remains a major challenge. Compounds developed by other pharmaceutical companies to target obesity have experienced significant challenges in obtaining regulatory approval due to concerns about side effects outweighing potential benefits. However, given the results seen so far in randomised controlled trials, we believe liraglutide can offer benefits for people with severe obesity and co-morbidities. 
</t>
        </r>
      </text>
    </comment>
    <comment ref="AB21" authorId="0" shapeId="0">
      <text>
        <r>
          <rPr>
            <sz val="10"/>
            <rFont val="Arial"/>
            <family val="2"/>
          </rPr>
          <t>Company Comment:
Source: Novo Nordisk FY 2012 Results (31 JAN 2013):
Sales growth of 18% driven by Victoza, NovoRapid and Levemir…
Lars Rebien Sørensen, president and CEO: “2012 has been another year with strong results for Novo Nordisk driven by the sales growth of Victoza and the two modern insulins NovoRapid and Levemir...
…Sales growth was realised within both diabetes care and biopharmaceuticals, with the majority of growth originating from the modern insulins and Victoza…
Victoza sales increased by 58% in Danish kroner to DKK 9,495 million and by 50% in local currencies, reflecting robust sales performance in all regions. The global roll-out is continuing, with 60 countries having launched Victoza by the end of December 2012. Since September, Victoza has been launched in South Korea and two smaller countries. Victoza holds the global market share leadership with a 68% value market share in the GLP-1 segment compared to 58% in 2011. The GLP-1 segment‟s value share of the total diabetes care market has increased to 6.0% compared to 4.5% in 2011.
North America 
Sales of Victoza in North America increased by 60% in Danish kroner and by 48% measured in local currencies. This reflects a continued expansion of the GLP-1 class, which represents 7.3% of the total US diabetes care market in value compared to 5.8% in 2011. Despite the launch of a competitive product, Victoza continues to drive the US GLP-1 market expansion and is the GLP-1 market leader with a 62% value market share.
Europe
Sales in Europe increased by 50% in Danish kroner and by 48% measured in local currencies. Sales growth is primarily driven by France, the UK, Italy and Spain. In Europe, the GLP-1 class‟s share of the total diabetes care market in value has increased to 6.7% compared to 5.0% in 2011. Victoza is the GLP-1 market leader with a value market share of 76%.
International Operations 
Sales in International Operations increased by 90% in Danish kroner and by 98% measured in local currencies. This reflects continued strong performance, driven by Brazil and a number of Middle Eastern countries, and a modest comparator in 2011. The GLP-1 class is expanding in International Operations and represents 3.0% of the total diabetes care market in value compared to 1.2% in 2011. The significant expansion of the GLP-1 class is primarily driven by a strong uptake in Brazil. Victoza is the GLP-1 market leader across International Operations with a value market share of 80%.
Japan &amp; Korea
Sales in Japan &amp; Korea increased by 39% in Danish kroner and by 29% measured in local currencies. In Japan, the GLP-1 market is growing and represents 2.3% of the total diabetes care market in value compared to 1.6% in 2011. Victoza is the leader in the Japanese GLP-1 class with a value market share of 77%.
Region China
Victoza was launched in China during the fourth quarter of 2011. Early market feedback is positive and hospital listings are developing satisfactorily. The GLP-1 class in China is not reimbursed and relatively modest in size, but its share of the total diabetes care market in value has expanded to 0.5% compared to 0.2% in 2011. Victoza holds a GLP-1 value market share of 44%.
Source: Novo Nordisk 2012 Annual Report, Page 11: 
The product label for VictozaR was expanded in both the EU and the US based on studies comparing VictozaR with exenatide and sitagliptin showing the superiority of VictozaR in blood sugar control and weight reduction. As part of a post-approval commitment given in the US and the EU with the objective of assessing the cardiovascular benefit–risk profile of VictozaR, completion of enrolment of more than 9,000 patients globally was achieved. Also, positive results from a phase 1 trial exploring the efficacy and safety of liraglutide, the active ingredient in VictozaR, as adjunct therapy to insulin in people with type 1 diabetes, enabled the decision to be taken to progress this project into a phase 3 programme, ADJUNCT™, commencing in the second half of 2013, with the intention of further expanding the VictozaR label.</t>
        </r>
      </text>
    </comment>
    <comment ref="AC21" authorId="0" shapeId="0">
      <text>
        <r>
          <rPr>
            <sz val="10"/>
            <rFont val="Arial"/>
            <family val="2"/>
          </rPr>
          <t>Company Comment:
Source: Novo Nordisk FY 2013 Results (30 JAN 2014):
Sales growth of 12% in local currencies driven by growth in sales of  Victoza, NovoRapid and Levemir.  
Lars Rebien Sørensen, president and CEO: “We are pleased with Novo Nordisk’s financial  performance in 2013, a year which also posed challenges for us. The double-digit sales  growth has again in 2013 been driven by robust growth of our portfolio of modern  insulins and Victoza…  
…Sales  growth was realised within both diabetes care and biopharmaceuticals, with the majority  of growth originating from the modern insulins and Victoza.  
Victoza sales increased by 27% in local currencies and by 23% in Danish kroner to DKK  11,633 million, reflecting robust sales performance driven by North America, Europe and  International Operations. Victoza holds the global market share leadership in the GLP-1  segment with a 71% value market share compared to 68% in 2012. The GLP-1  segment’s value share of the total diabetes care market has increased to 6.9% compared  to 5.9% in 2012.  
North America 
Sales of Victoza in North America increased by 31% in local currencies and by 27% in  Danish kroner. This reflects a continued expansion of the GLP-1 class, which represents  8.6% of the total US diabetes care market in value compared to 7.3% in 2012. Despite  the launch of a competing product in 2012, Victoza continues to drive the US GLP-1  market expansion and is the GLP-1 market leader, now with a 67% value market share  compared to 62% a year ago. 
Europe  
Sales in Europe increased by 20% in local currencies and by 19% in Danish kroner. Sales  growth is primarily driven by France, the UK, Spain and Italy. In Europe, the GLP-1 class’  share of the total diabetes care market in value has increased to 7.6% compared to  6.7% in 2012. Victoza is the GLP-1 market leader with a value market share of 78%.   
International Operations 
Sales in International Operations increased by 31% in local currencies and by 21% in  Danish kroner. Sales growth is primarily driven by a number of Middle Eastern countries,  Brazil and Argentina. The GLP-1 class’ share of the diabetes care market in value has  contracted to 2.8% compared to 3.0% in 2012. This reflects a decline in the class’ share  of the total diabetes care market in Brazil following a strong initial penetration. Outside  Brazil, the class continues to expand. Victoza is the GLP-1 market leader across  International Operations with a value market share of 75%.   
Region China  
Sales in Region China increased by 84% in local currencies and by 83% in Danish kroner. The GLP-1 class in China is not reimbursed and relatively modest in size. However, its  share of the total diabetes care market in value has expanded to 0.6% compared to  0.5% in 2012. Victoza holds a GLP-1 value market share of 74%.    
Japan &amp; Korea  
Sales in Japan &amp; Korea decreased by 8% in local currencies and by 27% in Danish  kroner. In Japan, the GLP-1 class represents 2.1% of the total diabetes care market  value. Victoza remains the leader in the class with a value market share of 71%.   
Company Disclosed Competitive Profile:    
Source: Novo Nordisk 2013 Annual Report, Page 10:  
A 3 mg dose of liraglutide, the active substance in Victoza, was filed for regulatory review in both the US and the EU as a potential new obesity treatment.</t>
        </r>
      </text>
    </comment>
    <comment ref="AD21" authorId="0" shapeId="0">
      <text>
        <r>
          <rPr>
            <sz val="10"/>
            <rFont val="Arial"/>
            <family val="2"/>
          </rPr>
          <t>Company Comment:
Source: Novo Nordisk FY 2014 Results (30 JAN 2015):
Sales growth of 8% in local currencies driven by growth in sales of Levemir and Victoza
Sales increased by 8% in local currencies and by 6% in Danish kroner to 88.8 billion.
 Sales of modern and new-generation insulin increased by 12% (10% in Danish kroner).
 Sales of Victoza increased by 16% (15% in Danish kroner).
Lars Rebien Sørensen, president and CEO: “We are pleased with Novo Nordisk’s financial performance in 2014; a more challenging year than usual. Levemir and Victoza drove most of our sales growth, and our new long-acting insulin Tresiba continues to perform well. 2015 will be an important year for us with the first launches of Saxenda and Xultophy as well as significant results from our late-stage development portfolio.”
...Sales growth was realised within both diabetes care and biopharmaceuticals, with the majority of growth originating from modern insulin and Victoza...
Victoza sales increased by 16% in local currencies and by 15% in Danish kroner to DKK 13,426 million. Sales growth is driven by North America and reflects a lower GLP-1 volume growth and the impact of the partial loss of reimbursement with a large pharmacy benefit manager in the US. Despite the lower volume growth, the GLP-1 segment’s value share of the total diabetes care market has increased to 7.0% compared to 6.7% in 2013. Victoza is market leader in the GLP-1 segment with a 71% value market share, which is comparable to the share in 2013.
North America
Sales of Victoza in North America increased by 20% in both local currencies and Danish kroner. This reflects a positive impact from pricing and the continued growth of the GLP-1 class, although at a lower level, which is partly offset by the partial loss of reimbursement with a large pharmacy benefit manager in the US. The GLP-1 class’ value share of the total diabetes care market is 8.4% and its growth continues to be driven by Victoza. Victoza is the market leader with a 69% value market share compared to 67% a year ago.
Europe
Sales in Europe increased by 7% in local currencies and by 8% in Danish kroner. Sales growth is primarily driven by Germany and Spain. In Europe, the GLP-1 class’ share of the total diabetes care market in value has increased to 8.0% from 7.6% in 2013; however, the volume growth of the class has decelerated. Victoza is the GLP-1 market leader with a value market share of 78%.
International Operations
Sales in International Operations increased by 16% in local currencies and by 8% in Danish kroner. Sales growth is primarily driven by a number of countries in the Middle East and South America. The share of the diabetes care market in value for the GLP-1 class has contracted to 2.3% from 2.6% in 2013. This reflects a declining share for the class in Brazil following a strong initial penetration. Victoza is the GLP-1 market leader across International Operations with a value market share of 76%.
Region China
Sales in Region China increased by 34% in both local currencies and Danish kroner. In China, the GLP-1 class, which represents 0.7% of the total diabetes care market in value, is generally not reimbursed and relatively modest in size. Victoza holds a GLP-1 value market share of 58%.
Japan &amp; Korea
Sales in Japan &amp; Korea decreased by 8% in local currencies and by 15% in Danish kroner reflecting competition from tablet-based treatments and competing GLP-1 products. In Japan, the GLP-1 class represents 2.1% of the total diabetes care market value. Victoza remains the leader in the class with a value market share of 60%.</t>
        </r>
      </text>
    </comment>
    <comment ref="AE21" authorId="0" shapeId="0">
      <text>
        <r>
          <rPr>
            <sz val="10"/>
            <rFont val="Arial"/>
            <family val="2"/>
          </rPr>
          <t xml:space="preserve">Company Comment:
Source: Novo Nordisk FY 2015 Results (03 FEB 2016):
Victoza® sales increased by 34% in Danish kroner and by 18% in local currencies to DKK 18,027 million. Sales growth is driven by North America as well as positive contribution from Europe, Japan &amp; Korea and International Operations. 
North America
Sales of Victoza® in North America increased by 44% in Danish kroner and by 21% in local currencies. Sales growth is driven by an underlying prescription volume growth of the GLP-1 class of more than 20% in the US. The value share of the GLP-1 class of the total US diabetes care market has increased to 9.0%. The growth of the GLP-1 market continues to be driven by Victoza® and the launch of competing products. Victoza® is the market leader with a 65% value market share.
Europe
Sales in Europe increased by 8% in Danish kroner and by 7% in local currencies. Sales growth is primarily driven by Germany, France and Spain while partly offset by the UK. In Europe, the share of the GLP-1 class of the total diabetes care market in value has increased to 8.9%. Victoza® is the GLP-1 market leader with a value market share of 75%.
International Operations
Sales in International Operations increased by 17% in Danish kroner and by 17% in local currencies. Sales growth is primarily driven by a number of countries in the Middle East and Latin America. The value share of the GLP-1 class of the total diabetes care market has declined slightly to 2.2% primarily due to stagnating GLP-1 sales in Brazil. Victoza® is the GLP-1 market leader across International Operations with a value market share of 77%.
Region China 
Sales in Region China increased by 25% in Danish kroner and by 6% in local currencies. The modest increase in sales measured in local currencies reflects intensified competition and the declining growth rate for the overall diabetes care market. In China, the GLP-1 class, which represents 0.8% of the total diabetes care market in value, is generally not reimbursed and relatively modest in size. Victoza® holds a GLP-1 value market share of 54%. 
Japan &amp; Korea 
Sales in Japan &amp; Korea increased by 68% in Danish kroner and by 60% in local currencies. The sales growth reflects a positive impact of an improved product label in Japan in September 2014. In Japan, the GLP-1 class now represents 3.7% of the total diabetes care market value compared with 2.1% in 2014. Victoza® remains the leader in the class with a value market share of 69%. 
</t>
        </r>
      </text>
    </comment>
    <comment ref="AF21" authorId="0" shapeId="0">
      <text>
        <r>
          <rPr>
            <sz val="10"/>
            <rFont val="Arial"/>
            <family val="2"/>
          </rPr>
          <t>Company Comment:
Source: Novo Nordisk FY 2016 Results (01 FEB 2017):
Victoza sales increased by 12% in local currencies and by 11% in Danish kroner to DKK 20,046 million. Sales growth is driven by the USA and International Operations. The GLP-1 segment’s value share of the total diabetes care market has increased to 9.8% compared with 8.0% in 2015. Victoza is the market leader in the GLP-1 segment with a 58% value market share. USA
Sales of Victoza in the USA increased by 12% in local currencies and by 13% in Danish kroner. Sales growth is driven by an underlying prescription volume growth of the GLP-1 class of more than 30% in the USA. The growth of the GLP-1 market continues to be driven by recently introduced competing once-weekly products and Victoza. The value share of the GLP-1 class of the total US diabetes care market has increased to 11.5%. Despite intensified competition, Victoza is still the market leader with a 56% value market share.
Europe Operations
Sales in Europe increased by 2% in local currencies and were unchanged in Danish kroner. Sales growth is driven by the Nordic countries and Portugal offset by declining sales in France, Germany and the United Kingdom. In Europe, the share of the GLP-1 class of the total diabetes care market in value has increased to 9.6%. Victoza is the GLP-1 market leader with a value market share of 66%.
International Operations
Sales in International Operations increased by 32% in local currencies and by 23% in Danish kroner. Sales growth is primarily driven by a number of countries in the Middle East and Latin America. The value share of the GLP-1 class of the total diabetes care market increased to 2.9%. Victoza is the GLP-1 market leader across International Operations with a value market share of 80%. 
China Operations
Sales in Region China increased by 25% in local currencies and by 20% in Danish kroner. In China, the GLP-1 class, which represents a modest 0.9% of the total diabetes care market in value, is generally not reimbursed. Victoza holds a GLP-1 value market share of 56%.
Pacific Operations
Sales in Pacific increased by 15% in local currencies and by 20% in Danish kroner. The sales growth reflects the continued expansion of the GLP-1 market in Japan as well as a positive market development in Canada. In Japan, the GLP-1 class represents 5.2% of the total diabetes care market value compared with 2.8% in 2015. Victoza remains the leader in the class with a value market share of 61%.</t>
        </r>
      </text>
    </comment>
    <comment ref="AG21" authorId="0" shapeId="0">
      <text>
        <r>
          <rPr>
            <sz val="10"/>
            <rFont val="Arial"/>
            <family val="2"/>
          </rPr>
          <t xml:space="preserve">Company Comment:
Source: Novo Nordisk FY 2017 Results (01 FEB 2018):
Victoza sales increased by 16% in Danish kroner and by 18% in local currencies to DKK 23,173 million. Sales growth is predominantly driven by North America Operations comprising 90% share of growth. The GLP-1 segment’s value share of the total diabetes care market has increased to 11.8% compared with 9.7% 12 months ago. Victoza is the market leader in the GLP-1 segment with a 50% value market share.
North America Operations
Sales of Victoza in North America Operations increased by 19% in Danish kroner and by 22% in local currencies. Sales growth is driven by an underlying prescription volume growth of the GLP-1 class of more than 20% in the USA, a positive impact from higher realised prices and the updated product label reflecting the reduced risk of major cardiovascular events. The growth of the GLP-1 market continues to be driven by a competing once-weekly product and Victoza. The value share of the GLP-1 class of the total North American diabetes care market has increased to 13.9%. Despite intensified competition, Victoza is still the market leader in the GLP-1 class with a 48% value market share.
International Operations 
Sales of Victoza in International Operations increased by 5% in Danish kroner and by 7% in local currencies. Sales growth is predominantly driven by Region AAMEO, Region Europe, Region China and Region Latin America. The value share of the GLP-1 class of the total International Operations diabetes care market has increased to 6.6% from 5.8% in 2016. Victoza is the market leader with a 56% value market share.
Europe Operations
Sales in Region Europe increased by 2% in Danish kroner and increased by 3% in local currencies. The sales growth in local currencies was driven by Germany but partly offset by the intensified competition from a once-weekly GLP-1 product across the region. In Region Europe, the share of the GLP-1 class of the total diabetes care market in value has increased to 10.5%. Despite intensified competition, Victoza remains the market leader in Region Europe in the GLP-1 class with a 58% value market share.
AAMEO Operations
Sales in Region AAMEO increased by 20% in Danish kroner and by 22% in local currencies. Sales growth is primarily driven by a number of countries in the Middle East as well as Kazakhstan and Egypt. The value share of the GLP-1 class of the total diabetes care market increased to 2.7%. Victoza is the GLP-1 market leader across Region AAMEO with a value market share of 49%.
China Operations
Sales in Region China increased by 21% in Danish kroner and by 24% in local currencies. Following the inclusion in the Chinese National Reimbursement Drug List in July, Victoza has now been included in the provincial reimbursement lists across the country. In China, the underlying momentum is encouraging, and Victoza has increased its GLP-1 value market share to 69%. However, the GLP-1 class only represents 0.9% of the total diabetes care market measured in value.
Japan &amp; Korea Operations
Sales in Region Japan &amp; Korea decreased by 5% in Danish kroner and remained unchanged in local currencies. The sales development reflects the intensified competition which is partly offset by continued expansion of the GLP-1 market in Japan. In Region Japan &amp; Korea, the GLP-1 class represents 4.6% of the total diabetes care market value compared with 3.3% in 2016. Victoza holds a value market share of 41%.
Latin America Operations
Sales in Region Latin America increased by 14% in Danish kroner and by 13% in local currencies. The sales growth reflects the continued expansion of the GLP-1 markets across the region. In Region Latin America, the GLP-1 class represents 5.3% of the total diabetes care market value compared with 4.5% in 2016. Victoza remains the leader in the class with a value market share of 75%.
Sales in the fourth quarter of 2017 decreased by 5% in Danish kroner and increased by 1% in local currencies compared with the same period in 2016. Sales growth measured in local currencies was driven by Victoza, new-generation insulin, Saxenda and haemophilia products, partly offset by modern insulin, growth disorders, Vagifem and human insulin. From a geographic perspective, sales growth in local currencies was driven by International Operations growing by 4%, partly offset by a decline in sales of 1% in North America Operations. The declining sales in North America Operations reflect lower modern insulin and growth disorder sales and lower Vagifem sales following the launch of a generic version, all in the USA. Furthermore, sales in North America Operations were negatively impacted by approximately 3 percentage points due to rebate adjustments related to prior quarters in 2017 in the modern insulin segment, especially NovoLog, as well as for Tresiba, partly offset by a positive contribution from Victoza.
</t>
        </r>
      </text>
    </comment>
    <comment ref="H22" authorId="0" shapeId="0">
      <text>
        <r>
          <rPr>
            <sz val="10"/>
            <rFont val="Arial"/>
            <family val="2"/>
          </rPr>
          <t>Patent Comment:
Patent date refers to patent granted in US. Patent protection refers to patents granted in Germany, Japan &amp; China expiring in 2028, 2027 &amp; 2024 respectively. Patent protection also refers to EU patent expiring in 31 DEC 2029. Source: 01 NOV 2017 Press release, 2017 AR, 2015 20-F &amp; 05 MAY 2015 Presentation.</t>
        </r>
      </text>
    </comment>
    <comment ref="Z22" authorId="0" shapeId="0">
      <text>
        <r>
          <rPr>
            <sz val="10"/>
            <rFont val="Arial"/>
            <family val="2"/>
          </rPr>
          <t xml:space="preserve">Company Disclosed Competitive Profile:
Source: Novo Nordisk Annual Report 2010, Page 24:
GLP-1 and basal insulin combination. Phase 1 studies are ongoing.
</t>
        </r>
      </text>
    </comment>
    <comment ref="AA22" authorId="0" shapeId="0">
      <text>
        <r>
          <rPr>
            <sz val="10"/>
            <rFont val="Arial"/>
            <family val="2"/>
          </rPr>
          <t>Company Disclosed Competitive Profile:
Source: Novo Nordisk 2011 Annual Report, Page 4: 
Our focus in 2012 will be on: 
Clinical development of fixed combinations of Degludec and Victoza®, which may offer a new option for intensification of the treatment of type 2 diabetes.
Page 19: 
We also seek to expand our leadership within GLP-1 treatment. With the successful launch of Victoza® (liraglutide), our once-daily GLP-1 analogue, we have the leading GLP-1 treatment for the early stages of type 2 diabetes in adults.
Our late-stage GLP-1 pipeline includes two new treatments, a fixed combination of Victoza® with Degludec, which may offer the benefits of both compounds in a convenient solution, and a novel once-weekly GLP-1 analogue, semaglutide.
Page 53: 
Other notable examples of progress in the clinical development pipeline included initiation of phase 3 trials for a fixed combination of insulin degludec and liraglutide, a fast-acting treatment for haemophilia patients with inhibitors, a long-acting factor IX compound for the treatment of haemophilia B, and the use of liraglutide for obesity.</t>
        </r>
      </text>
    </comment>
    <comment ref="AB22" authorId="0" shapeId="0">
      <text>
        <r>
          <rPr>
            <sz val="10"/>
            <rFont val="Arial"/>
            <family val="2"/>
          </rPr>
          <t>Company Disclosed Competitive Profile:
Source: Novo Nordisk 2012 Annual Report, Page 3:
Despite all eyes being on TresibaR and RyzodegR, I would like to mention a few other encouraging developments. One is the completion of the phase 3a programme for IDegLira, a fixedratio combination of liraglutide and insulin degludec for the treatment of patients with type 2 diabetes. We are planning regulatory filing for IDegLira in the EU mid-2013 and in the US during 2013 pending marketing authorisation for TresibaR.
Page 11: Novo Nordisk is planning regulatory filing for IDegLira in the EU mid-2013 and in the US during 2013 pending marketing authorisation of TresibaR.</t>
        </r>
      </text>
    </comment>
    <comment ref="AC22" authorId="0" shapeId="0">
      <text>
        <r>
          <rPr>
            <sz val="10"/>
            <rFont val="Arial"/>
            <family val="2"/>
          </rPr>
          <t>Company Disclosed Competitive Profile:    
Source: Novo Nordisk 2013 Annual Report, Page 10:  
Mid-2013, Novo Nordisk filed IDegLira for regulatory review in the EU. IDegLira is a fixed combination of insulin degludec and liraglutide and Novo Nordisk is the first company to submit a product in this new class. The filing of IDegLira in the US is pending the outcome of the interim analysis planned for the DEVOTE trial.</t>
        </r>
      </text>
    </comment>
    <comment ref="AD22" authorId="0" shapeId="0">
      <text>
        <r>
          <rPr>
            <sz val="10"/>
            <rFont val="Arial"/>
            <family val="2"/>
          </rPr>
          <t>Company Comment:
Source: Novo Nordisk 2014 Annual Report, page 2:
In September 2014, the European Commission granted marketing authorisation for Xultophy® for the treatment of type 2 diabetes in adults. Xultophy® is a fixed combination of insulin degludec (Tresiba®) and liraglutide (Victoza®) offering a new way to intensify treatment and improve blood glucose control. In January 2015, Switzerland was the first country to launch Xultophy®, and more countries will follow during the year.
Page 31:
Moreover, fewer of the patients on Xultophy® had the weight gain that often comes with insulin therapy. Xultophy® was approved in the EU in September 2014 and launched in Switzerland
as the first country in January 2015.</t>
        </r>
      </text>
    </comment>
    <comment ref="AE22" authorId="0" shapeId="0">
      <text>
        <r>
          <rPr>
            <sz val="10"/>
            <rFont val="Arial"/>
            <family val="2"/>
          </rPr>
          <t>EvaluatePharma® Comment:
Novo Nordisk discloses sales which includes Tresiba, Ryzodeg &amp; Xultophy.  Evaluate Ltd. have applied the brokers' split to 2015 disclosed sales
Company Comment:
Source: Novo Nordisk FY 2015 Results (03 FEB 2016):
Sales of new-generation insulin (Tresiba®, Ryzodeg® and Xultophy®) reached DKK 1,438 million compared with DKK 658 million in 2014.
Source: Novo Nordisk Annual Report 2015, Page 10:
In September 2015, Novo Nordisk filed the NDA to the US FDA for Xultophy, the first once-daily single-injection combination of Tresiba (insulin degludec) and Victoza (liraglutide). The submission is currently being reviewed under the US FDA’s Prescription Drug User Fee Act V (PDUFA V).</t>
        </r>
      </text>
    </comment>
    <comment ref="AF22" authorId="0" shapeId="0">
      <text>
        <r>
          <rPr>
            <sz val="10"/>
            <rFont val="Arial"/>
            <family val="2"/>
          </rPr>
          <t>Company Comment:
Source: Novo Nordisk FY 2016 Results (02 FEB 2017):
Sales of new-generation insulin (Tresiba, Xultophy and Ryzodeg) reached DKK 4,459 million compared with DKK 1,438 million in 2015.
Xultophy (IDegLira), a once-daily single-injection combination of insulin degludec (Tresiba) and liraglutide (Victoza), is currently marketed in nine countries, and launch activities are progressing as planned. In November 2016, Xultophy 100/3.6 was approved by the US Food and Drug administration (FDA) and Novo Nordisk plans to launch the product in first half of 2017.
Europe
Sales of insulin in Europe increased by 1% in local currencies and decreased by 2% in Danish kroner. Sales were driven by the penetration of Tresiba as well as a positive contribution from Xultophy across the region, partly offset by contracting modern insulin sales and the ceased distribution of Tresiba and Xultophy in Germany. The device penetration in Europe is high, and 96% of Novo Nordisk’s insulin volume is being used in devices, primarily NovoPen and FlexPen.
Source: Novo Nordisk 2016 20-F, Page 7:
Xultophy (IDegLira), a once-daily single-injection combination of insulin degludec (Tresiba) and liraglutide (Victoza), has now been marketed in nine countries, and launch activities are generally progressing as planned. In November 2016, Xultophy 100/3.6 was approved by the U.S. Food and Drug Administration (“FDA”) and Novo Nordisk plans to launch the product in the United States in the first half of 2017.</t>
        </r>
      </text>
    </comment>
    <comment ref="AG22" authorId="0" shapeId="0">
      <text>
        <r>
          <rPr>
            <sz val="10"/>
            <rFont val="Arial"/>
            <family val="2"/>
          </rPr>
          <t>Company Comment:
Source: Novo Nordisk FY 2017 Results (01 FEB 2018):
Sales of new-generation insulin (Tresiba, Xultophy, Ryzodeg and Fiasp) reached DKK 8,647 million compared with DKK 4,459 million in 2016.
Sales of Xultophy, a once-daily combination of insulin degludec (Tresiba) and liraglutide (Victoza), reached DKK 729 million compared with DKK 207 million in 2016. Sales growth was driven by both International Operations, where predominantly Region Europe contributed to growth, and North America Operations. Xultophy has now been launched in 18 countries; in the USA, it was launched in May 2017 under the brand name Xultophy 100/3.6.
Source: Novo Nordisk 2017 20-F, Page 6-7:
Xultophy (IDegLira), a once-daily single-injection combination of insulin degludec (Tresiba) and liraglutide (Victoza), has now been launched in 18 countries; in the United States, it was launched in May 2017 under the brand name Xultophy 100/3.6.</t>
        </r>
      </text>
    </comment>
    <comment ref="AA23" authorId="0" shapeId="0">
      <text>
        <r>
          <rPr>
            <sz val="10"/>
            <rFont val="Arial"/>
            <family val="2"/>
          </rPr>
          <t xml:space="preserve">Company Disclosed Competitive Profile:
Source: Eli Lilly 2011 10-K, Pages 19:
New insulin glargine product—In September, we began the first Phase III clinical trial for our new insulin glargine product.
</t>
        </r>
      </text>
    </comment>
    <comment ref="AB23" authorId="0" shapeId="0">
      <text>
        <r>
          <rPr>
            <sz val="10"/>
            <rFont val="Arial"/>
            <family val="2"/>
          </rPr>
          <t>Company Disclosed Competitive Profile:
Source: Eli Lilly 2012 10-K, Page 25: 
New insulin glargine product (Q3 2011)—a new insulin glargine product for the treatment of type 1 and type 2 diabetes (in collaboration with Boehringer Ingelheim).</t>
        </r>
      </text>
    </comment>
    <comment ref="AC23" authorId="0" shapeId="0">
      <text>
        <r>
          <rPr>
            <sz val="10"/>
            <rFont val="Arial"/>
            <family val="2"/>
          </rPr>
          <t>Company Disclosed Competitive Profile:
Source: Eli Lilly 2013 10-K, Page 29:
In July 2013, we and Boehringer Ingelheim announced that the marketing authorization application for our new insulin glargine product, filed in June 2013 through the biosimilar pathway, was accepted for review by the European Medicines Agency. In the fourth quarter of 2013, we filed for regulatory review in the U.S. and Japan. 
In January 2014, Sanofi-Aventis U.S. LLC (Sanofi) filed a lawsuit against us in the U.S. District Court for the District of Delaware alleging patent infringement with respect to our insulin glargine product for which we are seeking approval from the FDA. Sanofi asserts infringement of two patents relating to pen injector devices and two patents relating to insulin glargine formulations. Under the Hatch-Waxman Act, the initiation of the lawsuit automatically invokes a stay of FDA approval of the product for a period of 30 months, which may be shortened in the event of an earlier decision in our favor. We believe the lawsuit is without merit, and we are prepared to vigorously defend against the allegations.</t>
        </r>
      </text>
    </comment>
    <comment ref="AD23" authorId="0" shapeId="0">
      <text>
        <r>
          <rPr>
            <sz val="10"/>
            <rFont val="Arial"/>
            <family val="2"/>
          </rPr>
          <t>Company Comment:
Source: Eli Lilly 2014 10-K, Page 61:
Our new insulin glargine product was approved by the European Commission in Europe in September 2014 and regulatory authorities in Japan in December 2014. Basaglar received tentative approval in the U.S. in August 2014.</t>
        </r>
      </text>
    </comment>
    <comment ref="AE23" authorId="0" shapeId="0">
      <text>
        <r>
          <rPr>
            <sz val="10"/>
            <rFont val="Arial"/>
            <family val="2"/>
          </rPr>
          <t>Company Comment:
Source: Eli Lilly 2015 10-K, Page 4:
Basaglar (insulin glargine injection), a long-acting human insulin analog for the treatment of diabetes (launched in Japan in 2015 and in Europe in 2015 under the trade name Abasaglar). Basaglar was also approved in the U.S. in 2015; under an agreement settling patent litigation with Sanofi-Aventis U.S. LLC (Sanofi) regarding Sanofi's insulin glargine product, we will have the ability to launch Basaglar in the U.S. on December 15, 2016. Under the terms of the agreement, Sanofi has granted us a royalty-bearing license so we can manufacture and sell Basaglar in the Kwikpen device globally.
Source: Sanofi 2015 20-F, Page 24:
On December 16, 2015, the FDA granted approval in the U.S. to Lilly and Boehringer Ingelheim for their insulin glargine product for use with KwikPen, a pre-filled dosing device, under the trade name Basaglar (NDA 205-692). It is a long-acting human insulin analog to improve glycemic control in adult and pediatric patients with type 1 diabetes and in adults with type 2 diabetes. Following this settlement in the U.S. Lilly will not sell its insulin glargine product before December 15, 2016.</t>
        </r>
      </text>
    </comment>
    <comment ref="AF23" authorId="0" shapeId="0">
      <text>
        <r>
          <rPr>
            <sz val="10"/>
            <rFont val="Arial"/>
            <family val="2"/>
          </rPr>
          <t>Company Comment:
Source: Eli Lilly Q4 2016 Results (31 JAN 2017):
For the full year 2016, Basaglar generated worldwide revenue of $86.1 million.</t>
        </r>
      </text>
    </comment>
    <comment ref="AG23" authorId="0" shapeId="0">
      <text>
        <r>
          <rPr>
            <sz val="10"/>
            <rFont val="Arial"/>
            <family val="2"/>
          </rPr>
          <t>Company Comment:
Source: Eli Lilly FY 2017 Results (31 JAN 2018):
For the full year of 2017, Basaglar generated worldwide revenue of $432.1 million. U.S. revenue was $311.1 million.</t>
        </r>
      </text>
    </comment>
    <comment ref="H24" authorId="0" shapeId="0">
      <text>
        <r>
          <rPr>
            <sz val="10"/>
            <rFont val="Arial"/>
            <family val="2"/>
          </rPr>
          <t>Patent Comment:
No unexpired patents or exclusivity. NCE exclusivity expired 29 APR 1995. Series of process patents running until 2012. Source: Broker's Report.</t>
        </r>
      </text>
    </comment>
    <comment ref="Z24" authorId="0" shapeId="0">
      <text>
        <r>
          <rPr>
            <sz val="10"/>
            <rFont val="Arial"/>
            <family val="2"/>
          </rPr>
          <t>Company Comment:
Source: Eli Lilly FY 2010 Results (27 JAN 2011):
For the full year of 2010, worldwide Humulin sales increased 7 percent to $1.089 billion. U.S. Humulin sales for 2010 were $470.8 million, a 17 percent increase driven primarily by higher prices and higher demand. Humulin sales outside the U.S. were $618.0 million, essentially flat when compared to 2009, due to lower prices offset by increased demand and the favorable impact of foreign exchange rates.</t>
        </r>
      </text>
    </comment>
    <comment ref="AA24" authorId="0" shapeId="0">
      <text>
        <r>
          <rPr>
            <sz val="10"/>
            <rFont val="Arial"/>
            <family val="2"/>
          </rPr>
          <t>Company Comment:
Source: Eli Lilly FY 2011 Results (31 JAN 2012):
For the full year of 2011, worldwide Humulin sales increased 15 percent to $1.249 billion. U.S. Humulin sales for 2011 were $588.1 million, a 25 percent increase driven by higher prices for Humulin and higher demand for Humulin ReliOn. Humulin sales outside the U.S. were $660.7 million, a 7 percent increase driven by higher demand and the favorable impact of foreign exchange rates, partially offset by lower prices.</t>
        </r>
      </text>
    </comment>
    <comment ref="AB24" authorId="0" shapeId="0">
      <text>
        <r>
          <rPr>
            <sz val="10"/>
            <rFont val="Arial"/>
            <family val="2"/>
          </rPr>
          <t>Company Comment:
Source: Eli Lilly FY 2012 Results (29 JAN 2013):
For the full year of 2012, worldwide Humulin sales decreased 1 percent to $1.239 billion. U.S. Humulin sales for 2012 were $592.1 million, a 1 percent increase driven by higher prices, largely offset by decreased demand. U.S. sales of Humulin have been negatively impacted by the product's removal from a large formulary in 2012, as well as the continued decline in the market for human insulin and the termination of the Humulin ReliOn agreement. Humulin sales outside the U.S. were $647.0 million, a 2 percent decrease driven by the unfavorable impact of foreign exchange rates, partially offset by higher volume.
Source: Eli Lilly FY 2012 Presentation (29 JAN 2013), Slide 32:
U.S. sales decreased 4%
International sales increased 2%</t>
        </r>
      </text>
    </comment>
    <comment ref="AC24" authorId="0" shapeId="0">
      <text>
        <r>
          <rPr>
            <sz val="10"/>
            <rFont val="Arial"/>
            <family val="2"/>
          </rPr>
          <t xml:space="preserve">Company Comment:
Source: Eli Lilly FY 2013 Results (30 JAN 2014):
For the full year of 2013, worldwide Humulin sales increased 6 percent to $1.316 billion. U.S.  Humulin sales for 2013 were $677.2 million, a 14 percent increase, driven by higher prices,  partially offset by decreased demand. Humulin sales outside the U.S. were $638.6 million, a 1  percent decrease, driven by the unfavorable impact of foreign exchange rates, partially offset by  increased volume.
</t>
        </r>
      </text>
    </comment>
    <comment ref="AD24" authorId="0" shapeId="0">
      <text>
        <r>
          <rPr>
            <sz val="10"/>
            <rFont val="Arial"/>
            <family val="2"/>
          </rPr>
          <t xml:space="preserve">Company Comment:
Source: Eli Lilly FY 2014 Results (30 JAN 2015):
For the full year of 2014, worldwide Humulin sales increased 6 percent to $1.400 billion. U.S. Humulin sales for 2014 were $713.1 million, a 5 percent increase, primarily driven by increased demand, partially offset by wholesaler buying patterns. Humulin sales outside the U.S. were $687.0 million, a 8 percent increase, driven by increased volume, partially offset by the unfavorable impact of foreign exchange rates.
</t>
        </r>
      </text>
    </comment>
    <comment ref="AE24" authorId="0" shapeId="0">
      <text>
        <r>
          <rPr>
            <sz val="10"/>
            <rFont val="Arial"/>
            <family val="2"/>
          </rPr>
          <t>Company Comment:
Source: Eli Lilly FY 2015 Results (28 JAN 2016):
For the full year of 2015, worldwide Humulin sales decreased 7 percent to $1.307 billion. U.S. Humulin sales for 2015 were $764.4 million, a 7 percent increase, driven by higher realized prices and, to a lesser extent, wholesaler buying patterns, partially offset by decreased demand. Humulin sales outside the U.S. were $543.0 million, a 21 percent decline, driven by decreased volume, primarily due to the loss of a government contract in Brazil, and the unfavorable impact of foreign exchange rates.</t>
        </r>
      </text>
    </comment>
    <comment ref="AF24" authorId="0" shapeId="0">
      <text>
        <r>
          <rPr>
            <sz val="10"/>
            <rFont val="Arial"/>
            <family val="2"/>
          </rPr>
          <t xml:space="preserve">Company Comment:
Source: Eli Lilly FY 2016 Results (31 JAN 2017):
For the full year 2016, worldwide Humulin revenue increased 4 percent to $1.366 billion. U.S. revenue for 2016 was $861.8 million, a 13 percent increase, driven by increased demand and, to a lesser extent, higher realized prices. The increase in realized prices resulted from a change in estimate of a government rebate in the first quarter of 2016. Revenue outside the U.S. was $504.1 million, a 7 percent decline, driven by the unfavorable impact of foreign exchange rates and, to a lesser extent, decreased volume and lower realized prices.
</t>
        </r>
      </text>
    </comment>
    <comment ref="Z25" authorId="0" shapeId="0">
      <text>
        <r>
          <rPr>
            <sz val="10"/>
            <rFont val="Arial"/>
            <family val="2"/>
          </rPr>
          <t xml:space="preserve">EvaluatePharma® Comment:
Novo Nordisk disclose Human Insulins &amp; Insulin-related sales separately, as of Q2 2007.
Sales exclude Insulin Analogues.
Includes in DKKm:
1) +11827 Human insulins
Company Comment:
Source: Novo Nordisk FY 2010 Results (2 FEB 2011):
In 2010, sales of modern insulins, human insulins and protein-related products increased by 17% in Danish kroner to DKK 40,642 million and by 11% measured in local currencies compared to 2009, with North America and International Operations having the highest growth rates. Novo Nordisk is the global leader with 51% of the total insulin market and 46% of the modern insulin market. 
Europe 
Sales in Europe increased by 4% measured in Danish kroner and by 2% in local currencies in 2010, reflecting continued progress for the portfolio of modern insulins and declining human insulin sales. Novo Nordisk holds 53% of the total insulin market and 51% of the modern insulin market. 
Japan &amp; Korea 
Sales in Japan &amp; Korea increased by 10% measured in Danish kroner and decreased by 2% in local currencies in 2010. The sales development reflects sales growth for all three modern insulins, Levemir , NovoRapid  and NovoRapid Mix  30, being offset by a decline in human insulin sales.
</t>
        </r>
      </text>
    </comment>
    <comment ref="AA25" authorId="0" shapeId="0">
      <text>
        <r>
          <rPr>
            <sz val="10"/>
            <rFont val="Arial"/>
            <family val="2"/>
          </rPr>
          <t xml:space="preserve">Evaluate Comment:
Sales exclude Insulin Analogues.
Includes in DKKm:
1) +10785 Human insulins
Company Comment:
Source: Novo Nordisk FY 2011 Results (2 FEB 2012):
In 2011, sales of modern insulins, human insulins and protein-related products increased by 5% measured in local currencies and by 3% in Danish kroner to DKK 41,859 million compared to 2010, driven by North America, International Operations and Region China. Global insulin sales growth was negatively impacted by healthcare reforms in the US, Europe, Turkey and China as well as by a decline in human insulin sales in Europe, the US and Japan.
North America
Sales of modern insulins, human insulins and protein-related products in North America increased by 9% in local currencies and by 4% measured in Danish kroner in 2011. This reflects continued solid sales performance especially of NovoRapid and Levemir, offset by a decline in human insulin sales and a negative impact of approximately 5 percentage points from the US healthcare reform enacted in March 2010. Currently, around 46% of Novo Nordisk‟s modern insulin volume in the US is being sold in the prefilled device FlexPen compared to around 43% in 2010.
Europe
Sales in Europe decreased by 1% in local currencies and by 1% measured in Danish kroner in 2011. This reflects continued sales growth for modern insulins offset by a decline in human insulin sales. The growth of the insulin volume market in Europe is currently low, ie below 3%, and Novo Nordisk‟s full-year insulin sales are negatively impacted by market share losses, especially in the UK, and by healthcare reforms implemented during 2010 and 2011 in a number of European markets. Currently, around 96% of Novo Nordisk‟s insulin volume in Europe is being sold for use in devices.
International Operations
Sales in International Operations increased by 10% in local currencies and by 6% in Danish kroner in 2011. The growth is primarily driven by modern insulins with all three insulin analogues growing solidly, complemented by modest sales growth of human insulin. Currently, around 58% of Novo Nordisk‟s insulin volume in International Operations‟ major non-tender markets is being sold for use in devices.
Region China
Sales in Region China increased by 10% in local currencies and by 10% in Danish kroner in 2011. The main contributor to growth was sales of modern insulin with the entire portfolio growing strongly, while sales of human insulin in 2011 were at the same level as in 2010, primarily as a result of implementation of a healthcare reform in China during 2011. Currently, around 96% of Novo Nordisk‟s insulin volume in China is being sold for use in devices, primarily Penfill for use in the durable device NovoPen.
Japan &amp; Korea
Sales in Japan &amp; Korea decreased by 4% in local currencies and increased by 1% in Danish kroner in 2011. The sales development reflects sales growth for modern insulins being offset by a decline in human insulin sales. Furthermore, continuous low market growth in Japan, ie below 3%, is impacting overall growth. In Japan approximately 98% of Novo Nordisk‟s insulin volume is being used in devices, primarily FlexPen. 
</t>
        </r>
      </text>
    </comment>
    <comment ref="AB25" authorId="0" shapeId="0">
      <text>
        <r>
          <rPr>
            <sz val="10"/>
            <rFont val="Arial"/>
            <family val="2"/>
          </rPr>
          <t>EvaluatePharma® Comment:
Sales exclude Insulin Analogues.
Includes in DKKm:
1) +11302Human insulins
Company Comment:
Source: Novo Nordisk FY 2012 Results (31 JAN 2013):
Modern insulins, human insulins and protein-related products
Sales of modern insulins, human insulins and protein-related products increased by 16% in Danish kroner to DKK 48,634 million and by 10% measured in local currencies, with North America, International Operations and Region China achieving the highest growth rates. Novo Nordisk is the global leader with 49% of the total insulin market and 46% of the modern insulin market, both measured in volume.
Sales of modern insulins increased by 21% in Danish kroner to DKK 34,821 million and by 15% in local currencies. North America accounted for more than half of the growth, followed by International Operations and Region China. Sales of modern insulins now constitute more than 75% of Novo Nordisk‟s sales of insulin.
North America
Sales of modern insulins, human insulins and protein-related products in North America increased by 29% in Danish kroner and by 20% in local currencies. This reflects continued solid market penetration of the modern insulins, NovoLog, Levemir and NovoLog Mix 70/30, and a modest growth in human insulin sales. 50% of Novo Nordisk‟s modern insulin volume in the US is used in the prefilled device FlexPen.
 Europe
Sales of modern insulins, human insulins and protein-related products in Europe were unchanged in Danish kroner but decreased by 1% in local currencies. Sales in Europe reflect continued progress for NovoRapid and Levemir, countered by declining human insulin sales. Sales growth in Europe is negatively impacted by a continued low insulin volume growth, below 3%, and by the implementation of pricing reforms in several European markets. The device penetration in Europe remains high with 96% of Novo Nordisk‟s insulin volume being used in devices, primarily NovoPen and FlexPen.
 International Operations
Sales of modern insulins, human insulins and protein-related products in International Operations increased by 19% in Danish kroner and by 16% in local currencies. The growth is driven by all three modern insulins and a solid contribution from human insulins. Currently, 58% of Novo Nordisk‟s insulin volume in the major private markets is used in devices.
Japan &amp; Korea 
Sales of modern insulins, human insulins and protein-related products in Japan &amp; Korea increased by 1% measured in Danish kroner but declined by 6% in local currencies. Sales development is impacted negatively by a continued volume decline in the Japanese insulin market and a challenging competitive environment. The device penetration in Japan remains high with 98% of Novo Nordisk‟s insulin volume being used in devices, primarily the FlexPen.
Region China 
Sales of modern insulins, human insulins and protein-related products in Region China increased by 27% in Danish kroner and by 15% in local currencies. The sales growth was driven by all three modern insulins, while sales of human insulins only grew modestly. Currently, 97% of Novo Nordisk‟s insulin volume in China is used in devices, primarily the durable device NovoPen.</t>
        </r>
      </text>
    </comment>
    <comment ref="AC25" authorId="0" shapeId="0">
      <text>
        <r>
          <rPr>
            <sz val="10"/>
            <rFont val="Arial"/>
            <family val="2"/>
          </rPr>
          <t xml:space="preserve">EvaluatePharma® Comment:
Sales exclude Insulin Analogues.
Includes in DKKm:
1) +10869 Human insulins
Company Comment:
Source: Novo Nordisk FY 2013 Results (30 JAN 2014):
Insulins and protein-related products
Sales of insulins and protein-related products increased by 11% in local currencies and by 6% in Danish kroner to DKK 51,577 million. Measured in local currencies, sales growth was driven by North America, International Operations and Region China. Novo Nordisk is the global leader with 48% of the total insulin market and 46% of the market for modern insulin and new-generation insulin, both measured in volume. Sales of modern insulins increased by 14% in local currencies and by 10% in Danish kroner to DKK 38,153 million. North America accounted for two-thirds of the growth, followed by International Operations and Region China. Sales of modern insulins now constitute 78% of Novo Nordisk’s sales of insulin.
North America
Sales of insulins and protein-related products in North America increased by 18% in local currencies and by 14% in Danish kroner. Sales growth reflects a continued positive contribution from pricing in the US, solid market penetration of all three modern insulins, NovoLog, Levemir  and NovoLog Mix 70/30. 55% of Novo Nordisk’s modern insulin volume in the US is used in the prefilled device FlexPen.
Europe
Sales of insulins and protein-related products in Europe remained unchanged in local currencies and decreased by 1% in Danish kroner. The development reflects that the declining human insulin sales are offset by the continued progress for Levemir and NovoRapid. Furthermore, sales are impacted by a low volume growth of the insulin market, around 3%, as well as the implementation of pricing reforms in several European markets. The device penetration in Europe remains high with 96% of Novo Nordisk’s insulin volume being used in devices, primarily NovoPen and FlexPen.
International Operations
Sales of insulins and protein-related products in International Operations increased by 15% in local currencies and by 6% in Danish kroner. The growth, which is positively impacted by the timing in tenders and shipments in a number of countries, is driven by all three modern insulins and a contribution from human insulins. Currently, 59% of Novo Nordisk’s insulin volume in the major private markets is used in devices.
Region China
Sales of insulins and protein-related products in Region China increased by 15% in local currencies and by 14% in Danish kroner. The sales growth was driven by all three modern insulins, while sales of human insulins only grew modestly. Currently, 97% of Novo Nordisk’s insulin volume in China is used in devices, primarily the durable device NovoPen.
Japan &amp; Korea
Sales of insulins and protein-related products in Japan &amp; Korea decreased by 3% in local currencies and by 22% measured in Danish kroner. The sales development reflects a stagnant Japanese insulin volume market and the negative impact of a challenging competitive environment, which is only partly offset by the robust uptake of Tresiba. The device penetration in Japan remains high with 98% of Novo Nordisk’s insulin volume being used in devices, primarily FlexPen. </t>
        </r>
      </text>
    </comment>
    <comment ref="AD25" authorId="0" shapeId="0">
      <text>
        <r>
          <rPr>
            <sz val="10"/>
            <rFont val="Arial"/>
            <family val="2"/>
          </rPr>
          <t>EvaluatePharma® Comment:
Sales exclude Insulin Analogues.
Includes in DKKm:
1) +10298 Human insulins
Company Comment:
Source: Novo Nordisk FY 2014 Results (30 JAN 2015):
North America
Sales of insulin and protein-related products in North America increased by 12% in both local currencies and Danish kroner. Sales growth is primarily driven by a positive contribution from pricing in the US and market share gains for Levemir. In the US, sales growth is negatively impacted by the partial loss of reimbursement with a large pharmacy benefit manager effective January 2014 as well as expanded Medicaid and Medicare Part D utilisation. 50% of Novo Nordisk’s modern insulin volume in the US is used in the prefilled devices FlexPen and FlexTouch.
Europe
Sales of insulin and protein-related products in Europe were unchanged in both local currencies and in Danish kroner. The development reflects a contracting premix insulin segment and declining human insulin sales which are only partly offset by the penetration of Tresiba and the continued progress of NovoRapid. Furthermore, sales are affected by a net negative impact from the implementation of pricing reforms in several European countries. The device penetration in Europe remains high with 96% of Novo Nordisk’s insulin volume being used in devices, primarily NovoPen and FlexPen.
International Operations
Sales of insulin and protein-related products in International Operations increased by 13% in local currencies and by 3% in Danish kroner reflecting a significant depreciation of key invoicing currencies, primarily the Argentinian peso, the Turkish lira and the Russian rouble against the Danish krone compared to the exchange rates in 2013. The growth in local currencies is driven by all three modern insulins offset by declining human insulin sales partly due to lower tender sales and the continued conversion of the market to modern insulin. Currently, 61% of Novo Nordisk’s insulin volume in the major private markets is used in devices.
Region China
Sales of insulin and protein-related products in Region China increased by 11% in both local currencies and Danish kroner. The sales growth was driven by all three modern insulins while sales of human insulin only grew modestly. Currently, 98% of Novo Nordisk’s insulin volume in China is used in devices, primarily the durable device NovoPen.
Japan &amp; Korea
Sales of insulin and protein-related products in Japan &amp; Korea decreased by 2% in local currencies and by 9% measured in Danish kroner. The sales development reflects a declining Japanese insulin volume market and challenging underlying market dynamics which are partly offset by the strong uptake of Tresiba. The device penetration in Japan remains high with 98% of Novo Nordisk’s insulin volume being used in devices, primarily FlexPen and FlexTouch.</t>
        </r>
      </text>
    </comment>
    <comment ref="AE25" authorId="0" shapeId="0">
      <text>
        <r>
          <rPr>
            <sz val="10"/>
            <rFont val="Arial"/>
            <family val="2"/>
          </rPr>
          <t>Evaluate Comment:
Sales exclude Insulin Analogues.</t>
        </r>
      </text>
    </comment>
    <comment ref="AF25" authorId="0" shapeId="0">
      <text>
        <r>
          <rPr>
            <sz val="10"/>
            <rFont val="Arial"/>
            <family val="2"/>
          </rPr>
          <t xml:space="preserve">EvaluatePharma® Comment:
Sales exclude Insulin Analogues.
Includes in DKKm:
1) +11090 Human insulins
</t>
        </r>
      </text>
    </comment>
    <comment ref="AG25" authorId="0" shapeId="0">
      <text>
        <r>
          <rPr>
            <sz val="10"/>
            <rFont val="Arial"/>
            <family val="2"/>
          </rPr>
          <t>EvaluatePharma® Comment:
Sales exclude Insulin Analogues.
Company Comment:
Source: Novo Nordisk FY 2017 Results (01 FEB 2018):
Sales in the fourth quarter of 2017 decreased by 5% in Danish kroner and increased by 1% in local currencies compared with the same period in 2016. Sales growth measured in local currencies was driven by Victoza, new-generation insulin, Saxenda and haemophilia products, partly offset by modern insulin, growth disorders, Vagifem and human insulin. From a geographic perspective, sales growth in local currencies was driven by International Operations growing by 4%, partly offset by a decline in sales of 1% in North America Operations. The declining sales in North America Operations reflect lower modern insulin and growth disorder sales and lower Vagifem sales following the launch of a generic version, all in the USA. Furthermore, sales in North America Operations were negatively impacted by approximately 3 percentage points due to rebate adjustments related to prior quarters in 2017 in the modern insulin segment, especially NovoLog, as well as for Tresiba, partly offset by a positive contribution from Victoza.
International Operations 
Sales of insulin in International Operations increased by 3% in Danish kroner and by 6% in local currencies. Sales growth was driven by both new-generation insulin and modern insulin, partly offset by declining human insulin sales.
Region Europe
Sales of insulin in Region Europe increased by 2% in Danish kroner and by 3% in local currencies. Sales were driven by Xultophy and the continued penetration of Tresiba as well as a positive contribution from both NovoRapid and Fiasp across the region, partly offset by declining human insulin and NovoMix sales as well as contracting Levemir sales reflecting the continued roll-out of Tresiba.
Region AAMEO 
Sales of insulin in Region AAMEO increased by 4% in Danish kroner and by 9% in local currencies. The sales growth is reflecting the growth of the overall diabetes care market driven by modern insulin as well as the new-generation insulin Tresiba and Ryzodeg, partly offset by declining human insulin sales. Currently, 63% of Novo Nordisk’s insulin volume in the major private markets in Region AAMEO is used in devices.
Region China 
Sales of insulin in Region China increased by 3% in Danish kroner and by 7% in local currencies. The sales growth is driven by continued growth in the modern insulin products, where Novo Nordisk has improved its market share in each insulin segment, partly offset by declining human insulin sales.
Region Japan &amp; Korea 
Sales of insulin in Region Japan &amp; Korea decreased by 4% in Danish kroner and increased by 1% in local currencies. The sales development in local currencies reflects continued positive uptake of Ryzodeg and positive contribution from Tresiba in Japan and Korea, partly offset by lower modern insulin and human insulin sales in the region reflecting the declining insulin volume market in Japan.
Region Latin America 
Sales of insulin in Region Latin America increased by 14% in Danish kroner and by 21% in local currencies. The sales development reflects the continued growth of modern insulin and strong uptake of Tresiba as well as modest growth of human insulin. Currently, 45% of Novo Nordisk’s insulin volume in the major private markets in Region Latin America is used in devices, primarily FlexPen and FlexTouch.</t>
        </r>
      </text>
    </comment>
    <comment ref="AH25" authorId="0" shapeId="0">
      <text>
        <r>
          <rPr>
            <sz val="10"/>
            <rFont val="Arial"/>
            <family val="2"/>
          </rPr>
          <t>Evaluate Comment:
Sales exclude Insulin Analogues.</t>
        </r>
      </text>
    </comment>
    <comment ref="AI25" authorId="0" shapeId="0">
      <text>
        <r>
          <rPr>
            <sz val="10"/>
            <rFont val="Arial"/>
            <family val="2"/>
          </rPr>
          <t>Evaluate Comment:
Sales exclude Insulin Analogues.</t>
        </r>
      </text>
    </comment>
    <comment ref="AJ25" authorId="0" shapeId="0">
      <text>
        <r>
          <rPr>
            <sz val="10"/>
            <rFont val="Arial"/>
            <family val="2"/>
          </rPr>
          <t>Evaluate Comment:
Sales exclude Insulin Analogues.</t>
        </r>
      </text>
    </comment>
    <comment ref="AK25" authorId="0" shapeId="0">
      <text>
        <r>
          <rPr>
            <sz val="10"/>
            <rFont val="Arial"/>
            <family val="2"/>
          </rPr>
          <t>Evaluate Comment:
Sales exclude Insulin Analogues.</t>
        </r>
      </text>
    </comment>
    <comment ref="AL25" authorId="0" shapeId="0">
      <text>
        <r>
          <rPr>
            <sz val="10"/>
            <rFont val="Arial"/>
            <family val="2"/>
          </rPr>
          <t>Evaluate Comment:
Sales exclude Insulin Analogues.</t>
        </r>
      </text>
    </comment>
    <comment ref="AM25" authorId="0" shapeId="0">
      <text>
        <r>
          <rPr>
            <sz val="10"/>
            <rFont val="Arial"/>
            <family val="2"/>
          </rPr>
          <t>Evaluate Comment:
Sales exclude Insulin Analogues.</t>
        </r>
      </text>
    </comment>
    <comment ref="AN25" authorId="0" shapeId="0">
      <text>
        <r>
          <rPr>
            <sz val="10"/>
            <rFont val="Arial"/>
            <family val="2"/>
          </rPr>
          <t>Evaluate Comment:
Sales exclude Insulin Analogues.</t>
        </r>
      </text>
    </comment>
    <comment ref="H26" authorId="0" shapeId="0">
      <text>
        <r>
          <rPr>
            <sz val="10"/>
            <rFont val="Arial"/>
            <family val="2"/>
          </rPr>
          <t>Patent Comment:
Patent date refers to patent covering "Acylated insulin" (US#5750497), including 1497 days patent extension. Patent protection refers to " Dose mechanism for an injection device for limiting a dose setting corresponding to the amount of medicament left " (US#8920383) expiring 17 JUL 2026. Patent protection also refers to "Automatic injection device with a top release mechanism" (US#9108002) exp on 20 JAN 2026. RoW expiry refers to EU patent. Patent protection also refers to "Dial-down mechanism for wind-up pen" (US#9132239) exp on 1 FEB 2032. Source: 2017 20-F, 01 NOV 2017 PR, 2017 AR, 2015 AR, USPTO &amp; 05 MAY 2015 Presentation</t>
        </r>
      </text>
    </comment>
    <comment ref="Z26" authorId="0" shapeId="0">
      <text>
        <r>
          <rPr>
            <sz val="10"/>
            <rFont val="Arial"/>
            <family val="2"/>
          </rPr>
          <t>Company Comment:
Source: Novo Nordisk FY 2010 Results (2 FEB 2011):
2010 was a very good year for Novo Nordisk with strong organic sales growth driven by the modern insulins …
North America 
Sales in North America increased by 26% in Danish kroner and by 19% in local currencies in 2010, reflecting a continued solid market penetration of the modern insulins, Levemir... Novo Nordisk maintains its leadership position in the US insulin market with 42% of the total insulin market and 37% of the modern insulin market. 
Europe 
Sales in Europe increased by 4% measured in Danish kroner and by 2% in local currencies in 2010, reflecting continued progress for the portfolio of modern insulins and declining human insulin sales. Novo Nordisk holds 53% of the total insulin market and 51% of the modern insulin market. 
International Operations 
Sales in International Operations increased by 26% in Danish kroner and by 17% in local currencies in 2010. The main contributor to growth was sales of modern insulins, primarily in China.
Japan &amp; Korea 
Sales in Japan &amp; Korea increased by 10% measured in Danish kroner and decreased by 2% in local currencies in 2010. The sales development reflects sales growth for all three modern insulins, Levemir ... being offset by a decline in human insulin sales. In a continuously challenging competitive environment, Novo Nordisk now holds 63% of the total insulin market in Japan and 56% of the modern insulin market.</t>
        </r>
      </text>
    </comment>
    <comment ref="AA26" authorId="0" shapeId="0">
      <text>
        <r>
          <rPr>
            <sz val="10"/>
            <rFont val="Arial"/>
            <family val="2"/>
          </rPr>
          <t xml:space="preserve">Company Comment:
Source: Novo Nordisk Annual Report 2011, Page 5:
Given the current climate, it is rewarding that Novo Nordisk was able to grow sales by 11% in local currencies in 2011. This growth was driven by our full portfolio of modern insulins, NovoRapid, Levemir and NovoMix, but most significantly by the increasing demand for Victoza, our treatment for type 2 diabetes, which became the leader in the GLP-1 category of diabetes treatments.
Source: Novo Nordisk FY 2011 Results (2 FEB 2012):
…2011 has been a very positive year for Novo Nordisk, with Victoza, NovoRapid and Levemir continuing to drive strong sales growth.
In 2011, sales of modern insulins, human insulins and protein-related products increased by 5% measured in local currencies and by 3% in Danish kroner to DKK 41,859 million compared to 2010, driven by North America, International Operations and Region China. Global insulin sales growth was negatively impacted by healthcare reforms in the US, Europe, Turkey and China as well as by a decline in human insulin sales in Europe, the US and Japan.
North America
Sales of modern insulins, human insulins and protein-related products in North America increased by 9% in local currencies and by 4% measured in Danish kroner in 2011. This reflects continued solid sales performance especially of NovoRapid and Levemir, offset by a decline in human insulin sales and a negative impact of approximately 5 percentage points from the US healthcare reform enacted in March 2010. Currently, around 46% of Novo Nordisk‟s modern insulin volume in the US is being sold in the prefilled device FlexPen compared to around 43% in 2010.
Europe
Sales in Europe decreased by 1% in local currencies and by 1% measured in Danish kroner in 2011. This reflects continued sales growth for modern insulins offset by a decline in human insulin sales. The growth of the insulin volume market in Europe is currently low, ie below 3%, and Novo Nordisk‟s full-year insulin sales are negatively impacted by market share losses, especially in the UK, and by healthcare reforms implemented during 2010 and 2011 in a number of European markets. Currently, around 96% of Novo Nordisk‟s insulin volume in Europe is being sold for use in devices.
International Operations
Sales in International Operations increased by 10% in local currencies and by 6% in Danish kroner in 2011. The growth is primarily driven by modern insulins with all three insulin analogues growing solidly, complemented by modest sales growth of human insulin. Currently, around 58% of Novo Nordisk‟s insulin volume in International Operations‟ major non-tender markets is being sold for use in devices.
Region China
Sales in Region China increased by 10% in local currencies and by 10% in Danish kroner in 2011. The main contributor to growth was sales of modern insulin with the entire portfolio growing strongly, while sales of human insulin in 2011 were at the same level as in 2010, primarily as a result of implementation of a healthcare reform in China during 2011. Currently, around 96% of Novo Nordisk‟s insulin volume in China is being sold for use in devices, primarily Penfill for use in the durable device NovoPen.
Japan &amp; Korea
Sales in Japan &amp; Korea decreased by 4% in local currencies and increased by 1% in Danish kroner in 2011. The sales development reflects sales growth for modern insulins being offset by a decline in human insulin sales. Furthermore, continuous low market growth in Japan, ie below 3%, is impacting overall growth. In Japan approximately 98% of Novo Nordisk‟s insulin volume is being used in devices, primarily FlexPen. </t>
        </r>
      </text>
    </comment>
    <comment ref="AB26" authorId="0" shapeId="0">
      <text>
        <r>
          <rPr>
            <sz val="10"/>
            <rFont val="Arial"/>
            <family val="2"/>
          </rPr>
          <t>Company Comment:
Source: Novo Nordisk FY 2012 Results (31 JAN 2013):
Sales growth of 18% driven by Victoza, NovoRapid and Levemir…
Lars Rebien Sørensen, president and CEO: “2012 has been another year with strong results for Novo Nordisk driven by the sales growth of Victoza and the two modern insulins NovoRapid and Levemir...
Modern insulins, human insulins and protein-related products
Sales of modern insulins, human insulins and protein-related products increased by 16% in Danish kroner to DKK 48,634 million and by 10% measured in local currencies, with North America, International Operations and Region China achieving the highest growth rates. Novo Nordisk is the global leader with 49% of the total insulin market and 46% of the modern insulin market, both measured in volume.
Sales of modern insulins increased by 21% in Danish kroner to DKK 34,821 million and by 15% in local currencies. North America accounted for more than half of the growth, followed by International Operations and Region China. Sales of modern insulins now constitute more than 75% of Novo Nordisk‟s sales of insulin.
North America
Sales of modern insulins, human insulins and protein-related products in North America increased by 29% in Danish kroner and by 20% in local currencies. This reflects continued solid market penetration of the modern insulins, NovoLog, Levemir and NovoLog Mix 70/30, and a modest growth in human insulin sales. 50% of Novo Nordisk‟s modern insulin volume in the US is used in the prefilled device FlexPen.
Europe
Sales of modern insulins, human insulins and protein-related products in Europe were unchanged in Danish kroner but decreased by 1% in local currencies. Sales in Europe reflect continued progress for NovoRapid and Levemir, countered by declining human insulin sales. Sales growth in Europe is negatively impacted by a continued low insulin volume growth, below 3%, and by the implementation of pricing reforms in several European markets. The device penetration in Europe remains high with 96% of Novo Nordisk‟s insulin volume being used in devices, primarily NovoPen and FlexPen.
 International Operations
Sales of modern insulins, human insulins and protein-related products in International Operations increased by 19% in Danish kroner and by 16% in local currencies. The growth is driven by all three modern insulins and a solid contribution from human insulins. Currently, 58% of Novo Nordisk‟s insulin volume in the major private markets is used in devices.
Japan &amp; Korea 
Sales of modern insulins, human insulins and protein-related products in Japan &amp; Korea increased by 1% measured in Danish kroner but declined by 6% in local currencies. Sales development is impacted negatively by a continued volume decline in the Japanese insulin market and a challenging competitive environment. The device penetration in Japan remains high with 98% of Novo Nordisk‟s insulin volume being used in devices, primarily the FlexPen.
Region China 
Sales of modern insulins, human insulins and protein-related products in Region China increased by 27% in Danish kroner and by 15% in local currencies. The sales growth was driven by all three modern insulins, while sales of human insulins only grew modestly. Currently, 97% of Novo Nordisk‟s insulin volume in China is used in devices, primarily the durable device NovoPen.
Source: Novo Nordisk 2012 Annual Report, Page 11:
In 2012, Novo Nordisk made several advances in its marketed product portfolio. Following its approval for use in children aged 2–5 in the US, LevemirR became the modern long-acting basal insulin offering treatment to the widest range of patients in both the US and the EU.</t>
        </r>
      </text>
    </comment>
    <comment ref="AC26" authorId="0" shapeId="0">
      <text>
        <r>
          <rPr>
            <sz val="10"/>
            <rFont val="Arial"/>
            <family val="2"/>
          </rPr>
          <t xml:space="preserve">Company Comment:
Source: Novo Nordisk FY 2013 Results (30 JAN 2014):
Sales growth of 12% in local currencies driven by growth in sales of Victoza, NovoRapid and Levemir.
Insulins and protein-related products
Sales of insulins and protein-related products increased by 11% in local currencies and by 6% in Danish kroner to DKK 51,577 million. Measured in local currencies, sales growth was driven by North America, International Operations and Region China. Novo Nordisk is the global leader with 48% of the total insulin market and 46% of the market for modern insulin and new-generation insulin, both measured in volume. Sales of modern insulins increased by 14% in local currencies and by 10% in Danish kroner to DKK 38,153 million. North America accounted for two-thirds of the growth, followed by International Operations and Region China. Sales of modern insulins now constitute 78% of Novo Nordisk’s sales of insulin.
North America
Sales of insulins and protein-related products in North America increased by 18% in local currencies and by 14% in Danish kroner. Sales growth reflects a continued positive contribution from pricing in the US, solid market penetration of all three modern insulins, NovoLog, Levemir  and NovoLog Mix 70/30. 55% of Novo Nordisk’s modern insulin volume in the US is used in the prefilled device FlexPen.
Europe
Sales of insulins and protein-related products in Europe remained unchanged in local currencies and decreased by 1% in Danish kroner. The development reflects that the declining human insulin sales are offset by the continued progress for Levemir and NovoRapid. Furthermore, sales are impacted by a low volume growth of the insulin market, around 3%, as well as the implementation of pricing reforms in several European markets. The device penetration in Europe remains high with 96% of Novo Nordisk’s insulin volume being used in devices, primarily NovoPen and FlexPen.
International Operations
Sales of insulins and protein-related products in International Operations increased by 15% in local currencies and by 6% in Danish kroner. The growth, which is positively impacted by the timing in tenders and shipments in a number of countries, is driven by all three modern insulins and a contribution from human insulins. Currently, 59% of Novo Nordisk’s insulin volume in the major private markets is used in devices.
Region China
Sales of insulins and protein-related products in Region China increased by 15% in local currencies and by 14% in Danish kroner. The sales growth was driven by all three modern insulins, while sales of human insulins only grew modestly. Currently, 97% of Novo Nordisk’s insulin volume in China is used in devices, primarily the durable device NovoPen.
Japan &amp; Korea
Sales of insulins and protein-related products in Japan &amp; Korea decreased by 3% in local currencies and by 22% measured in Danish kroner. The sales development reflects a stagnant Japanese insulin volume market and the negative impact of a challenging competitive environment, which is only partly offset by the robust uptake of Tresiba. The device penetration in Japan remains high with 98% of Novo Nordisk’s insulin volume being used in devices, primarily FlexPen.   
</t>
        </r>
      </text>
    </comment>
    <comment ref="AD26" authorId="0" shapeId="0">
      <text>
        <r>
          <rPr>
            <sz val="10"/>
            <rFont val="Arial"/>
            <family val="2"/>
          </rPr>
          <t>Company Comment:
Source: Novo Nordisk FY 2014 Results (30 JAN 2015):
Sales growth of 8% in local currencies driven by growth in sales of Levemir and Victoza
Lars Rebien Sørensen, president and CEO: “We are pleased with Novo Nordisk’s financial performance in 2014; a more challenging year than usual. Levemir and Victoza drove most of our sales growth, and our new long-acting insulin Tresiba continues to perform well. 2015 will be an important year for us with the first launches of Saxenda and Xultophy as well as significant results from our late-stage development portfolio.”
North America
Sales of insulin and protein-related products in North America increased by 12% in both local currencies and Danish kroner. Sales growth is primarily driven by a positive contribution from pricing in the US and market share gains for Levemir. In the US, sales growth is negatively impacted by the partial loss of reimbursement with a large pharmacy benefit manager effective January 2014 as well as expanded Medicaid and Medicare Part D utilisation. 50% of Novo Nordisk’s modern insulin volume in the US is used in the prefilled devices FlexPen and FlexTouch.
Europe
Sales of insulin and protein-related products in Europe were unchanged in both local currencies and in Danish kroner. The development reflects a contracting premix insulin segment and declining human insulin sales which are only partly offset by the penetration of Tresiba and the continued progress of NovoRapid. Furthermore, sales are affected by a net negative impact from the implementation of pricing reforms in several European countries. The device penetration in Europe remains high with 96% of Novo Nordisk’s insulin volume being used in devices, primarily NovoPen and FlexPen.
International Operations
Sales of insulin and protein-related products in International Operations increased by 13% in local currencies and by 3% in Danish kroner reflecting a significant depreciation of key invoicing currencies, primarily the Argentinian peso, the Turkish lira and the Russian rouble against the Danish krone compared to the exchange rates in 2013. The growth in local currencies is driven by all three modern insulins offset by declining human insulin sales partly due to lower tender sales and the continued conversion of the market to modern insulin. Currently, 61% of Novo Nordisk’s insulin volume in the major private markets is used in devices.
Region China
Sales of insulin and protein-related products in Region China increased by 11% in both local currencies and Danish kroner. The sales growth was driven by all three modern insulins while sales of human insulin only grew modestly. Currently, 98% of Novo Nordisk’s insulin volume in China is used in devices, primarily the durable device NovoPen.
Japan &amp; Korea
Sales of insulin and protein-related products in Japan &amp; Korea decreased by 2% in local currencies and by 9% measured in Danish kroner. The sales development reflects a declining Japanese insulin volume market and challenging underlying market dynamics which are partly offset by the strong uptake of Tresiba. The device penetration in Japan remains high with 98% of Novo Nordisk’s insulin volume being used in devices, primarily FlexPen and FlexTouch.</t>
        </r>
      </text>
    </comment>
    <comment ref="AF26" authorId="0" shapeId="0">
      <text>
        <r>
          <rPr>
            <sz val="10"/>
            <rFont val="Arial"/>
            <family val="2"/>
          </rPr>
          <t>Company Comment:
Source: Novo Nordisk FY 2016 Results (02 FEB 2017):
Sales of modern insulin decreased by 3% in local currencies and by 5% in Danish kroner to DKK 47,510 million. Sales declined in the USA, Europe and Pacific partly offset by a positive contribution from International Operations and China. Sales of modern insulin and new-generation insulin in total constitute 82% of Novo Nordisk’s sales of insulin measured in value.</t>
        </r>
      </text>
    </comment>
    <comment ref="AG26" authorId="0" shapeId="0">
      <text>
        <r>
          <rPr>
            <sz val="10"/>
            <rFont val="Arial"/>
            <family val="2"/>
          </rPr>
          <t xml:space="preserve">Company Comment:
Source: Novo Nordisk FY 2017 Results (01 FEB 2018):
Sales of modern insulin decreased by 7% in Danish kroner and by 4% in local currencies to DKK 44,400 million. The decline reflects lower sales in North America Operations of Levemir due to price pressure in the basal insulin segment as well as the impact following the introduction of the new-generation insulin Tresiba and lower NovoMix sales, as the pre-mix insulin market continues to decline. The decline was partly offset by sales growth within International Operations, where Region AAMEO, Region China and Region Latin America were the main contributors to growth. Sales of modern insulin and new-generation insulin in total constitute 84% of Novo Nordisk’s global sales of insulin measured in value.
North America Operations 
Sales of insulin in North America Operations decreased by 3% in Danish kroner and by 1% in local currencies. Sales decline was driven by lower Levemir sales due to lower realised prices for basal insulin as well as an impact from patients switching to Tresiba. Sales decline was partly countered by significantly higher sales of Tresiba. 58% of Novo Nordisk’s volume of the new-generation insulin and modern insulin in the USA is used in the prefilled devices FlexPen and FlexTouch.
Region Europe 
Sales of insulin in Region Europe increased by 2% in Danish kroner and by 3% in local currencies. Sales were driven by Xultophy and the continued penetration of Tresiba as well as a positive contribution from both NovoRapid and Fiasp across the region, partly offset by declining human insulin and NovoMix sales as well as contracting Levemir sales reflecting the continued roll-out of Tresiba.
</t>
        </r>
      </text>
    </comment>
    <comment ref="H27" authorId="0" shapeId="0">
      <text>
        <r>
          <rPr>
            <sz val="10"/>
            <rFont val="Arial"/>
            <family val="2"/>
          </rPr>
          <t>Patent Comment:
Patent date refers to US generic launch. Patent protection refers to expiry of NDF exclusivity. 5yr Hatch-Waxman exclusivity plus 6mth paed. Extension, expired on 3-SEP-2000. JAN02 1st generic launched in US. MAR 2000 US data exclusivity expired. Source: FDA, US PTO, 10K &amp; Website.</t>
        </r>
      </text>
    </comment>
    <comment ref="Z27" authorId="0" shapeId="0">
      <text>
        <r>
          <rPr>
            <sz val="10"/>
            <rFont val="Arial"/>
            <family val="2"/>
          </rPr>
          <t>Company Comment:
Source: MerckKGaA Q4 2010 Results (21 FEB 2011):
… Glucophage products, 8.4% to EUR 316 million ...</t>
        </r>
      </text>
    </comment>
    <comment ref="AA27" authorId="0" shapeId="0">
      <text>
        <r>
          <rPr>
            <sz val="10"/>
            <rFont val="Arial"/>
            <family val="2"/>
          </rPr>
          <t>Company Comment:
Source: MerckKGaA FY 2011 Presentation (6 MAR 2012), Slide 29:
Growth of Concor and Glucophage mainly due to Emerging Markets.
Source: MerckKGaA 2011 Annual report, Page 65:
The branded products from the Glucophage ® range generated sales of € 346 million – an increase of 9.6%. Performance in growth markets was particularly dynamic. Sales of the Glucophage ® range rose by 44% in Asia to € 100 million and by 18% in Latin America to € 94 million. We recorded sales declines in Europe because at times we reached our production capacity limits.</t>
        </r>
      </text>
    </comment>
    <comment ref="AB27" authorId="0" shapeId="0">
      <text>
        <r>
          <rPr>
            <sz val="10"/>
            <rFont val="Arial"/>
            <family val="2"/>
          </rPr>
          <t>Company Comment:
Source: MerckKGaA FY 2012 Presentation (7 MAR 2013), Slide 42:
Solid demand for Glucophage, Gonal-f, and Thyroid products drives organic sales in Emerging Markets
Source: MerckKGaA 2012 Annual report, Page 59:
…The solid performance was based predominantly on our multiple sclerosis (MS) treatment Rebif , our fertility product Gonal-f , and our diabetes drug Glucophage . These key products delivered organic growth rates ranging from 8% to 15%...
Page 60:
Sales in the Rest of World region grew 12.0%, mainly thanks to the good performance of Glucophage and Erbitux.
Page 63:
Globally, around 366 million people have diabetes, and the prevalence of this disease is rising. Glucophage (metformin) remains the drug of choice for first-line treatment of type 2 diabetes. Thanks to the strong performance of this oral antidiabetic franchise, it became the third-largest absolute growth contributor to Merck Serono’s 2012 top-line performance. Sales rose by 14.7% organically to € 400 million, supported by strong sales in the Emerging Markets region and Japan.</t>
        </r>
      </text>
    </comment>
    <comment ref="AC27" authorId="0" shapeId="0">
      <text>
        <r>
          <rPr>
            <sz val="10"/>
            <rFont val="Arial"/>
            <family val="2"/>
          </rPr>
          <t>Company Comment:
Source: MerckKGaA FY 2013 Presentation (06 MAR 2014), Slide 48:
Glucophage with volatile performance in Europe mitigated to some extent by well-performing Emerging Markets
Source: 2013 Annual Report, Page 100:
...Sales of Glucophage, which grew organically by 4.8% primarily due to sales in the Emerging Markets region, totaled € 394 million (2012: € 399 million)...</t>
        </r>
      </text>
    </comment>
    <comment ref="AE27" authorId="0" shapeId="0">
      <text>
        <r>
          <rPr>
            <sz val="10"/>
            <rFont val="Arial"/>
            <family val="2"/>
          </rPr>
          <t xml:space="preserve">Company Comment:
Source: MerckKGaA FY 2015 Financial Report (08 MAR 2016):
Glucophage ®, which is used for the treatment of diabetes, also delivered a strong organic sales increase of 20.0%. Including negative foreign exchange effects, sales climbed to € 437 million (2014: € 378 million). Organic sales growth was mainly achieved in Europe and the Middle East and Africa region.
In March 2013, Merck established an agreement with Bristol-Myers Squibb Company, USA, for the co-commercialization of the antidiabetic agent Glucophage® (active ingredient: metformin hydrochloride) for the treatment of type 2 diabetes in China. In 2015, Merck recorded sales of € 84.3 million from co-commercialization (2014: € 59.3 million).
</t>
        </r>
      </text>
    </comment>
    <comment ref="AF27" authorId="0" shapeId="0">
      <text>
        <r>
          <rPr>
            <sz val="10"/>
            <rFont val="Arial"/>
            <family val="2"/>
          </rPr>
          <t>Data Source:
Merck KGaA Q2 2017 Regional Sector Sales Financial Table (03 AUG 2017).
Company Comment:
Source: Merck KGaA 2016 Annual Report, Page 48:
Glucophage®, containing the active ingredient metformin, is the drug of choice for first-line treatment of type 2 diabetes. In October 2016, metformin received a positive CHMP opinion for treatment of type 2 diabetes patients with moderate renal impairment (CKD stage 3), which will be reflected in a label change in Europe. This will allow Glucophage® and other metformin products to be used safely by a larger group of patients with type 2 diabetes. The indication for Glucophage® is being extended to include prediabetes and has been granted approval in 12 markets around the world.
Page 109:
In 2016, the Healthcare business sector generated organic sales growth of 4.6%. Negative exchange rate effects of – 4.6% and a negative portfolio effect of – 1.1% led to an overall decline in net sales of – 1.1% to € 6,855 million (2015: € 6,934 million)…The increase was driven in particular by profit-sharing from the co-commercialization of Xalkori with Pfizer, Inc., USA. The agreement reached with Bristol-Myers Squibb Company, USA, in 2013 on the co-promotion of Glucophage in China continued to have a positive effect on commission income.
Page 110:
In North America, the second-largest region in terms of sales, organic growth of 11.1% led to net sales of € 1,601 million (2015: € 1,430 million)…North America’s contribution to net sales of the Healthcare business sector thus increased to 23% (2015: 21%). In the Asia-Pacific region, organic sales growth of 9.4% was recorded in 2016. This development was mainly attributable to higher sales of Gonal-f and Euthyrox, higher commission income from the co-promotion of Glucophage with Bristol-Myers Squibb in China, as well as the growth of the Consumer Health business. In 2016, this region’s share of the business sector’s net sales further increased to 21% (2015: 19%).
In 2016, the Middle East and Africa region achieved organic sales growth of 5.5%, with net sales totaling € 461 million (2015: € 450 million). Double-digit organic growth in particular with Rebif, Erbitux, Concor, and Euthyrox compensated for the organic decline in sales of Glucophage and negative exchange rate effects of – 1.8%.
Page 113:
Sales by the General Medicine franchise (including CardioMetabolic Care), which commercializes products to treat cardiovascular diseases and diabetes, among other things, declined to € 1,720 million (2015: € 1,791 million1). Organic growth of 4.2% was canceled out by negative foreign exchange effects of – 7.9%...Product sales of Glucophage fell owing to an organic decline of – 1.6% and negative exchange rate effects of – 9.4%. However, commission income for Glucophage rose, amounting to € 106 million (2015: € 86 million), which corresponded to an organic increase of 24.3% and was also driven by performance in China...</t>
        </r>
      </text>
    </comment>
    <comment ref="AG27" authorId="0" shapeId="0">
      <text>
        <r>
          <rPr>
            <sz val="10"/>
            <rFont val="Arial"/>
            <family val="2"/>
          </rPr>
          <t>Data Source:
Merck KGaA FY 2017 Regional Sector Sales Financial Table (08 MAR 2018).
Company Comment:
Source: Merck KGaA 2017 Annual Report, Page 121:
…In the Biopharma business, organic sales growth was especially attributable to medicines from the General Medicine franchise (including CardioMetabolic Care), first and foremost Glucophage, Euthyrox and Concor…
Page121:
…Commission income, which is also included in net sales, dropped by – 53.4% to € 83 million (2016: € 178 million). This was especially attributable to the takeover of the Glucophage commercialization rights in China from Bristol-Myers Squibb at the beginning of 2017. In the past, Healthcare recorded exclusively commission income for Glucophage sales in China. Since the beginning of 2017, the business sector no longer reports commission income for this product, but rather the corresponding sales for Glucophage in China. In return, license payments are made to Bristol-Myers Squibb.
Page122:
Asia-Pacific …This was mainly due to the changed business model for Glucophage marketing in China as of January 1, 2017. The business with fertility medicines, including Gonal-f, as well as the Consumer Health business generated double-digit organic growth in some cases…</t>
        </r>
      </text>
    </comment>
    <comment ref="H28" authorId="0" shapeId="0">
      <text>
        <r>
          <rPr>
            <sz val="10"/>
            <rFont val="Arial"/>
            <family val="2"/>
          </rPr>
          <t>Patent Comment:
Patent date &amp; number refers to "Crystalline form of 1-(.beta.-D-glucopyransoyl)-4-methyl-3-[5-(4-fluorophenyl)-2- thienylmethyl]benzene hemihydrate" (US#7943582). Patent protection refers to "Glucopyranoside compound" (US#7943788) expires on 14 JUL 2027. Patent protection also refers to "Glucopyranoside compound" (US#8222219) expires on 05 APR 2025 including 255 days of patent extension. Patent protection also refers to Crystalline form of 1-(.beta.-D-glucopyranosyl)-4-methyl-3-[5-(4-fluorophenyl)-2-thienylmethy- l]benzene hemihydrate (US#8513202) exp 3 DEC 2027. NCE exclusivity expires on 29 MAR 2018. Source: 2017 10-K, US PTO &amp; FDA.</t>
        </r>
      </text>
    </comment>
    <comment ref="Z28" authorId="0" shapeId="0">
      <text>
        <r>
          <rPr>
            <sz val="10"/>
            <rFont val="Arial"/>
            <family val="2"/>
          </rPr>
          <t>Company Disclosed competitive Profile:
Source: Depomed 2010 10-K, Pages 16-17:
In August 2010, the Company entered into a non-exclusive license agreement with Janssen Pharmaceutica N.V. (Janssen), granting Janssen a license to certain patents related to the Company's Acuform drug delivery technology to be used in developing fixed dose combinations of canagliflozin and extended release metformin. Under the terms of the agreement, Janssen was also granted a right of reference to the NDA covering the Company's Glumetza product in Janssen's regulatory filings covering fixed dose combinations of canagliflozin and extended release metformin. The parties also entered into a service agreement under which Depomed is responsible for providing formulation work associated with the fixed dose combination products.
In August 2010, Janssen paid the Company a $5.0 million upfront license fee and a refundable $1.0 million prepayment for formulation work to be performed under the service agreement. Work performed by the Company under the service agreement is reimbursed by Janssen on an agreed-upon FTE rate per hour plus out-of-pocket expenses.
Under the license agreement, the Company is also eligible to receive additional development milestones. In September 2010, the Company achieved the first development milestone under the agreement related to formulation work, which triggered a $5.0 milestone from Janssen to the Company. The $5.0 million milestone was received in October 2010.
The agreement also provides for royalties to the Company on future net sales of Janssen's fixed dosed combinations of canagliflozin and extended release metformin.
Source: Johnson &amp; Johnson 2010 Annual Report, Page 9:
In 2010, a large clinical development program for canagliflozin* and new collaborations supported the Company’s commitment to build a portfolio of diabetes treatments.
Canagliflozin is an investigational oral, selective sodium-glucose transporter-2 (SGLT2) inhibitor being studied in patients for the treatment of type 2 diabetes. The Phase III clinical trial program involves more than 10,000 patients.</t>
        </r>
      </text>
    </comment>
    <comment ref="AA28" authorId="0" shapeId="0">
      <text>
        <r>
          <rPr>
            <sz val="10"/>
            <rFont val="Arial"/>
            <family val="2"/>
          </rPr>
          <t xml:space="preserve">Company Disclosed Competitive Profile:
Source: Johnson &amp; Johnson 2011 Annual Report, Page 1: 
We have replenished or advanced our pipelines with new technologies, like the Fibrin Pad for hemostasis, as well as compounds like canagliflozin for diabetes and bapineuzumab for Alzheimer’s disease.
</t>
        </r>
      </text>
    </comment>
    <comment ref="AB28" authorId="0" shapeId="0">
      <text>
        <r>
          <rPr>
            <sz val="10"/>
            <rFont val="Arial"/>
            <family val="2"/>
          </rPr>
          <t>Company Comment:
Source: Johnson &amp; Johnson 2012 Annual Report, Page 6:
The Company submitted several New Drug Applications, including an NDA to the FDA and Marketing Authorization Application (MAA) to the European Medicines Agency (EMA) seeking approval for the use of canagliflozin, an oral, once-daily, selective sodium glucose co-transporter 2 (SGLT2) inhibitor, for the treatment of adult patients with type 2 diabetes, and an NDA seeking approval for a fixed-dose therapy combining canagliflozin and immediate release metformin to treat patients with type 2 diabetes. Additional submissions included a supplemental Biologics License Application to the FDA and a Type II Variation to the EMA requesting approval of STELARA  (ustekinumab) for the treatment of adult patients with active psoriatic arthritis, and a Biologics License Application to the FDA requesting approval of an investigational intravenous formulation of the anti-tumor necrosis factor (TNF)-alpha SIMPONI  (golimumab) for the treatment of adults with moderately to severely active rheumatoid arthritis. In addition, a supplemental Biologics License Application was submitted to the FDA and a Type II Variation was submitted to the EMA requesting approval of SIMPONI  (golimumab) for the treatment of moderately to severely active ulcerative colitis in adult patients who have had an inadequate response to conventional therapy including corticosteroids and 6 mercaptopurine (6 MP) or azathioprine (AZA), or who are intolerant to or have medical contraindications for such therapies. Finally, an MAA was submitted to the EMA seeking conditional approval for the use of bedaquiline (TMC207) as an oral treatment, to be used as part of combination therapy for pulmonary, multi-drug resistant tuberculosis in adults.</t>
        </r>
      </text>
    </comment>
    <comment ref="AC28" authorId="0" shapeId="0">
      <text>
        <r>
          <rPr>
            <sz val="10"/>
            <rFont val="Arial"/>
            <family val="2"/>
          </rPr>
          <t>Company Comment:
Source: Johnson &amp; Johnson FY 2013 Results (21 JAN 2014):
Worldwide Pharmaceutical sales of $28.1 billion for the full-year 2013 represented an increase of 10.9% versus the prior year with an operational increase of 12.0% and a negative impact from currency of 1.1%. Domestic sales increased 12.3%; international sales increased 9.6%, which reflected an operational increase of 11.8% and a negative currency impact of 2.2%.
The strong sales results of new products included ZYTIGA (abiraterone acetate), an oral, once-daily medication for use in combination with prednisone for the treatment of metastatic, castration-resistant prostate cancer; XARELTO (rivaroxaban), an oral anticoagulant; the combined sales of COMPLERA/EVIPLERA (emtricitabine /rilpivirine/tenofovir disoproxil fumarate) and EDURANT (rilpivirine) for the treatment of HIV and INVOKANA (canagliflozin) for the treatment of adults with type 2 diabetes.
Source: Johnson &amp; Johnson 2013 Annual Report, Page 6: 
During 2013, the company received several regulatory approvals including: The FDA and European Commission (EC) approved INVOKANA (canagliflozin), an oral, once-daily, selective sodium glucose co-transporter 2 inhibitor, for the treatment of adults with type 2 diabetes.  
Additionally, an MAA was submitted to the EMA for canagliflozin/metformin fixed-dose combination therapy to treat patients with type 2 diabetes.
Company Disclosed Competitive Profile:
Source: Mitsubishi Tanabe Pharma Fiscal 2012 Annual Report (YE MAR 2013), Page 24:
It inhibits SGLT2, a transporter that is involved in the reabsorption of glucose in the renal tubules. In this way, glucose is excreted outside the body with urine, and the blood glucose level is lowered. TA-7284 is a type 2 diabetes mellitus treatment agent that has a strong blood glucose lowering effect through a new mechanism of action that does not work through insulin. In addition, it has a weight reduction effect that is not seen with other oral diabetes treatment drugs. Mitsubishi Tanabe Pharma is conducting development in Japan, where an application for TA-7284 was filed in May 2013. Overseas, TA-7284 licensee Janssen Pharmaceuticals, of the U.S., received approval for TA-7284, which is the first SGLT2 inhibitor approved in the U.S., in March 2013. An application has also been filed in Europe.</t>
        </r>
      </text>
    </comment>
    <comment ref="AD28" authorId="0" shapeId="0">
      <text>
        <r>
          <rPr>
            <sz val="10"/>
            <rFont val="Arial"/>
            <family val="2"/>
          </rPr>
          <t>EvaluatePharma ® Comment: 
Backup to T-1095. Stems from AUG 2000 deal with JNJ: out-licensed rights to USA &amp; Europe.
Includes sales of Invokamet.
Source: Johnson &amp; Johnson Q1 2015 Results (14 APR 2015)
Includes in $m (% operational change, excl. currency effect):
1) US sales: +569
2) Intl sales: +17
Total WW sales: +$586
Company Comment:
Source: Johnson &amp; Johnson FY 2014 Results (20 JAN 2015):
The strong sales results were driven by new products and the strength of our core products. New products include OLYSIO/SOVRIAD (simeprevir), for combination treatment of chronic hepatitis C in adult patients; XARELTO (rivaroxaban), an oral anticoagulant; ZYTIGA (abiraterone acetate), an oral, once-daily medication for use in combination with prednisone for the treatment of metastatic, castration-resistant prostate cancer; INVOKANA (canagliflozin), for the treatment of adults with type 2 diabetes; and IMBRUVICA (ibrutinib), an oral, once-daily therapy approved for use in treating certain B-cell malignancies, or blood cancers.
Company Comment:
Source: Mitsubishi Tanabe Pharma Fiscal 2013 Annual Report (YE MAR 2014), Page 47:
TA -7284 (Canagliflozin) Indication: Type 2 diabetes mellitus TA-7284 inhibits SGLT2, a transporter that is involved in the reabsorption of glucose in the renal tubules. In this way, glucose is excreted outside the body with urine, and the blood glucose level is lowered. TA-7284 is a type 2 diabetes mellitus treatment agent with a new mechanism of action that does not work through insulin. In addition, it has a weight reduction effect that is not seen with other oral diabetes treatment drugs. Mitsubishi Tanabe Pharma has been conducting development in Japan, where approval was received in July 2014 for type 2 diabetes mellitus. Mitsubishi Tanabe Pharma plans to begin sales under the name Canaglu. Overseas, licensee Janssen Pharmaceuticals received approval for TA-7284 in March 2013, making TA-7284 the first SGLT2 inhibitor approved in the U.S. Janssen Pharmaceuticals has begun sales under the name Invokana. Approval was received in Europe in November 2013 and sales have commenced. Furthermore, in the U.S., Janssen Pharmaceuticals began phase 3 clinical trials for diabetic nephropathy and fixed dose combination with metformin (extended release preparation). In April 2014, Janssen Pharmaceuticals received approval for fixed dose combination with metformin (immediate release preparation) in Europe. The Company participated in a multinational study for diabetic nephropathy conducted by Janssen Pharmaceuticals.</t>
        </r>
      </text>
    </comment>
    <comment ref="AE28" authorId="0" shapeId="0">
      <text>
        <r>
          <rPr>
            <sz val="10"/>
            <rFont val="Arial"/>
            <family val="2"/>
          </rPr>
          <t xml:space="preserve">EvaluatePharma ® Comment: 
Backup to T-1095. Stems from AUG 2000 deal with JNJ: out-licensed rights to USA &amp; Europe.
Includes sales of Invokamet.
Includes in $m (% operational change, excl. currency effect):
1) US sales: +1238
2) Intl sales: +70
Total WW sales: +$1308
</t>
        </r>
      </text>
    </comment>
    <comment ref="AF28" authorId="0" shapeId="0">
      <text>
        <r>
          <rPr>
            <sz val="10"/>
            <rFont val="Arial"/>
            <family val="2"/>
          </rPr>
          <t>EvaluatePharma ® Comment: 
Includes sales of Invokamet.
Includes in $m (% operational change, excl. currency effect):
1) US sales: +1273 (2.8%)
2) Intl sales: +134 (Greater than 100%)
Total WW sales: +1407 (8.1%)
Company Comment:
Source: Johnson &amp; Johnson FY 2016 Results (24 JAN 2017):
Worldwide operational results, excluding the net impact of acquisitions, divestitures and hepatitis C sales, were driven by new products and the strength of core products. Strong growth in new products include IMBRUVICA (ibrutinib), an oral, once-daily therapy approved for use in treating certain B-cell malignancies, a type of blood or lymph node cancer; DARZALEX (daratumumab), for the treatment of patients with multiple myeloma; XARELTO (rivaroxaban), an oral anticoagulant and INVOKANA/INVOKAMET (canagliflozin), for the treatment of adults with type 2 diabetes.
Source: Mitsubishi Tanabe Pharma Fiscal 2016 Annual Report (YE MAR 2017), Page 36:
Received approval in Taiwan for an indication of type 2 diabetes mellitus.
Licensee Janssen Pharmaceuticals, Inc., of the U.S., received approval in the U.S. for an indication of type 2 diabetes mellitus.</t>
        </r>
      </text>
    </comment>
    <comment ref="AG28" authorId="0" shapeId="0">
      <text>
        <r>
          <rPr>
            <sz val="10"/>
            <rFont val="Arial"/>
            <family val="2"/>
          </rPr>
          <t>EvaluatePharma ® Comment: 
Includes sales of Invokamet.
Includes in $m (% operational change, excl. currency effect):
1) US sales: +944 (-25.8%)
2) Intl sales: +167 (+23.7%)
Total WW sales: +1111 (-21.1%)
Company Comment:
Source: Johnson &amp; Johnson FY 2017 Results Presentation (23 JAN 2018):
INVOKANA/INVOKAMET lower sales due to increased contracting discounts, higher utilization in Medicaid and share loss.
Source: Johnson &amp; Johnson 2017 10-K, Page 19:
Cardiovascular/Metabolism/Other products sales were $6.3 billion, a decline of 1.7% as compared to the prior year attributable to lower sales of INVOKANA/INVOKAMET (canagliflozin) in the U.S. primarily due to an increase in price discounts and market share decline driven by competitive pressure. This was partially offset by sales growth of XARELTO(rivaroxaban) due to increased market growth and market share, as well as sales of non-PAH (pulmonary arterial hypertension) products from the Actelion acquisition.</t>
        </r>
      </text>
    </comment>
    <comment ref="H29" authorId="0" shapeId="0">
      <text>
        <r>
          <rPr>
            <sz val="10"/>
            <rFont val="Arial"/>
            <family val="2"/>
          </rPr>
          <t>Patent Comment:
Patent date refers to US patent "Highly pure acarbose" (US#4904769). Patent protection refers to Japanese patent expired in 2010. JUL12 Watson launched generic version in UK. Source: Watson 25 JUL 2012 press release, FDA, US PTO &amp; Broker's Report.</t>
        </r>
      </text>
    </comment>
    <comment ref="Z29" authorId="0" shapeId="0">
      <text>
        <r>
          <rPr>
            <sz val="10"/>
            <rFont val="Arial"/>
            <family val="2"/>
          </rPr>
          <t>Company Comment:
Source: Bayer 2010 Annual Report, Page 61:
Sales of our oral antidiabetic Glucobay® (Fx adj. +2.9%) rose due to steady growth in China, while business receded elsewhere, particularly in Europe, on account of generic competition.</t>
        </r>
      </text>
    </comment>
    <comment ref="AA29" authorId="0" shapeId="0">
      <text>
        <r>
          <rPr>
            <sz val="10"/>
            <rFont val="Arial"/>
            <family val="2"/>
          </rPr>
          <t xml:space="preserve">Company Comment:
Source: Bayer FY 2011 Results (28 FEB 2012):
Sales of our oral diabetes medicine Glucobay rose, thanks to steady growth in China. In Europe and Japan, however, sales declined in the face of generic competition.
</t>
        </r>
      </text>
    </comment>
    <comment ref="AB29" authorId="0" shapeId="0">
      <text>
        <r>
          <rPr>
            <sz val="10"/>
            <rFont val="Arial"/>
            <family val="2"/>
          </rPr>
          <t>Company Comment:
Source: Bayer 2012 Annual Report, Pages 71-72:
 Sales of Aspirin Cardio to prevent heart attacks and of our oral diabetes treaent Glucobay rose considerably, largely thanks to the steady expansion of our marketing activities in China…</t>
        </r>
      </text>
    </comment>
    <comment ref="AC29" authorId="0" shapeId="0">
      <text>
        <r>
          <rPr>
            <sz val="10"/>
            <rFont val="Arial"/>
            <family val="2"/>
          </rPr>
          <t>Company Comment:
Source: Bayer FY 2013 Results (28 FEB 2014):
...The oral diabetes treatment Glucobay benefited from continuing growth in demand in the Emerging Markets.</t>
        </r>
      </text>
    </comment>
    <comment ref="AD29" authorId="0" shapeId="0">
      <text>
        <r>
          <rPr>
            <sz val="10"/>
            <rFont val="Arial"/>
            <family val="2"/>
          </rPr>
          <t>Company Comment:
Source: Bayer FY 2014 Results (26 FEB 2015):
Aspirin Cardio and Glucobay driven by the performance in emerging economies.</t>
        </r>
      </text>
    </comment>
    <comment ref="AE29" authorId="0" shapeId="0">
      <text>
        <r>
          <rPr>
            <sz val="10"/>
            <rFont val="Arial"/>
            <family val="2"/>
          </rPr>
          <t>Includes in €m:
1) +523 Glucobay.
Less
2) 2 US sales (Assumed to be sales to Schering-Plough as they book sales in US &amp; Puerto Rico)</t>
        </r>
      </text>
    </comment>
    <comment ref="AF29" authorId="0" shapeId="0">
      <text>
        <r>
          <rPr>
            <sz val="10"/>
            <rFont val="Arial"/>
            <family val="2"/>
          </rPr>
          <t>Includes in €m:
1) +515 Glucobay.
Less
2) 3 US sales (Assumed to be sales to Schering-Plough as they book sales in US &amp; Puerto Rico)</t>
        </r>
      </text>
    </comment>
    <comment ref="AG29" authorId="0" shapeId="0">
      <text>
        <r>
          <rPr>
            <sz val="10"/>
            <rFont val="Arial"/>
            <family val="2"/>
          </rPr>
          <t>Includes in €m:
1) +563 Glucobay.
Less
2) 2 US sales (Assumed to be sales to Schering-Plough as they book sales in US &amp; Puerto Rico)</t>
        </r>
      </text>
    </comment>
    <comment ref="H30" authorId="0" shapeId="0">
      <text>
        <r>
          <rPr>
            <sz val="10"/>
            <rFont val="Arial"/>
            <family val="2"/>
          </rPr>
          <t>Patent Comment:
Patent date refers to "Beta-amino heterocyclic dipeptidyl peptidase inhibitors for the treatment or prevention of diabetes" (US#6699871) eligible to receive 6 months paediatric exclusivity. Patent covering the salt formulation expires in 2026 (USA). Additional patent protection refers to five years of NCE exclusivity, expiring 16 OCT 2011. Row refers to Europe patent expiry eligible to receive 6 months paediatric exclusivity. Source: 2017 10-K, US PTO &amp; FDA.</t>
        </r>
      </text>
    </comment>
    <comment ref="Z30" authorId="0" shapeId="0">
      <text>
        <r>
          <rPr>
            <sz val="10"/>
            <rFont val="Arial"/>
            <family val="2"/>
          </rPr>
          <t>Company Comment:
Source: Merck &amp; Co FY 2010 Results (03 FEB 2011):
JANUVIA reached $2.4 billion in worldwide sales in 2010, while JANUMET achieved $954 million in global sales for the year. The combined JANUVIA/JANUMET franchise had sales of $3.3 billion for the full year of 2010, an increase of 29 percent.</t>
        </r>
      </text>
    </comment>
    <comment ref="AA30" authorId="0" shapeId="0">
      <text>
        <r>
          <rPr>
            <sz val="10"/>
            <rFont val="Arial"/>
            <family val="2"/>
          </rPr>
          <t>Company Comment:
Source: Merck &amp; Co FY 2011 Results (02 FEB 2012):
Full-Year...Double-Digit Global Growth for JANUVIA, JANUMET, ISENTRESS and GARDASIL.
...The combined JANUVIA/JANUMET franchise had sales of $4.7 billion for the full year of 2011, an increase of 40 percent.</t>
        </r>
      </text>
    </comment>
    <comment ref="AB30" authorId="0" shapeId="0">
      <text>
        <r>
          <rPr>
            <sz val="10"/>
            <rFont val="Arial"/>
            <family val="2"/>
          </rPr>
          <t xml:space="preserve">Company Comment:
Source: Merck &amp; Co FY 2012 Results (1 FEB 2013):
Full-Year and Fourth-Quarter Double-Digit Global Sales Growth for JANUVIA…
Worldwide sales of the combined diabetes franchise of JANUVIA/JANUMET… The combined franchise had sales of $5.7 billion for the full year of 2012, an increase of 23 percent …
</t>
        </r>
      </text>
    </comment>
    <comment ref="AC30" authorId="0" shapeId="0">
      <text>
        <r>
          <rPr>
            <sz val="10"/>
            <rFont val="Arial"/>
            <family val="2"/>
          </rPr>
          <t>Company Comment:
Source: Merck &amp; Co FY 2013 Results (5 FEB 2014):
...Worldwide sales of the combined diabetes franchise of JANUVIA (sitagliptin)/JANUMET, medicines that help lower blood sugar
levels in adults with type 2 diabetes, were $1.6 billion in the fourth quarter of 2013, growing 2 percent compared to the prior
year quarter, including a negative 4 percent impact from foreign exchange, primarily driven by growth in Europe and the
emerging markets. The combined franchise had sales of $5.8 billion for the full year of 2013, an increase of 2 percent
compared with the prior year, including a negative 3 percent impact from foreign exchange...</t>
        </r>
      </text>
    </comment>
    <comment ref="AF30" authorId="0" shapeId="0">
      <text>
        <r>
          <rPr>
            <sz val="10"/>
            <rFont val="Arial"/>
            <family val="2"/>
          </rPr>
          <t xml:space="preserve">Source:Ono Pharmaceutical Fiscal 2016 Annual Report (YE MAR 2017) (7 AUG 2017), Page 49:
GLACTIV Tablets for type-2 diabetes decreased 6.5% year-on-year to ¥29.4 billion (US$262,301 thousand).
</t>
        </r>
      </text>
    </comment>
    <comment ref="H31" authorId="0" shapeId="0">
      <text>
        <r>
          <rPr>
            <sz val="10"/>
            <rFont val="Arial"/>
            <family val="2"/>
          </rPr>
          <t>Patent Comment:
Patent date and number refers to US patent for “Peptide agonists of GLP-1 activity” (US#6528486; US#RE45313) including expected patent extension if granted. Patent protection refers to "Drive mechanisms suitable for use in drug delivery devices” (US#9610409) exp. on 2 MAR 2024. RoW expiry refers to EU patent including expected SPC (if granted). Patent protection refers to "Drive mechanisms suitable for use in drug delivery devices"(US#9604008, US#9561331, US#9604009 &amp; US#9533105) expiring 30 JUN 2034. Source: 2017 20-F, FDA &amp; US PTO.</t>
        </r>
      </text>
    </comment>
    <comment ref="Z31" authorId="0" shapeId="0">
      <text>
        <r>
          <rPr>
            <sz val="10"/>
            <rFont val="Arial"/>
            <family val="2"/>
          </rPr>
          <t xml:space="preserve">Company Disclosed Competitive Profile:
Source: Zealand Pharma IPO Prospectus (3 NOV 2010), Page 48-49:
Combination lixisenatide and Lantus® therapy 
Almost all patients with type 2 diabetes ultimately require insulin treatment as the disease progresses. Although effective, insulin therapy has shortcomings, in particular weight gain and the risk of hypoglycemia. In the UK Prospective Diabetes Study, a major controlled clinical trial of diabetes therapies, it was demonstrated that improved glycemic control significantly reduces the risk of long-term complications, in particular cardiovascular disease. 
Zealand Pharma expects that the combination of lixisenatide and sanofi-aventis’ Lantus® has the potential to provide type 2 diabetes patients with a superior therapeutic alternative through: 
• better glycemic management - leading to both fewer hyperglycemic episodes after meals and fewer episodes of a decrease in blood glucose (decreased frequency of hypoglycemia); 
• better weight control - by being “weight neutral” or by leading to statistically significant weight loss; this is particularly important when contrasted with the known weight gain associated with OADs, insulin and insulin analog treatments; 
• slowing disease progression - helping preserve the body’s ability to control blood glucose, potentially reducing late-stage complications such as disorders of the kidney, the eyes, the sensory, motor and autonomous nerves, as well as the extremities; and 
• convenience, a single once-daily injection using a pen device with a fine gauge needle. 
According to IMS, Lantus® was the best-selling insulin on the market in 2009, in terms of both revenue and units sold. Sanofi-aventis reported sales of Lantus® in 2009 of EUR 3.08 billion, which was 10.5% of its consolidated revenue. BioPharmaInsight has estimated that Lantus® will generate peak sales of approximately USD 5.7 billion in 2015. Zealand Pharma believes that royalties from the combination product have the potential to become a significant source of revenue for the Company following successful commercialization of the drug candidate. 
Clinical development 
A Phase I clinical trial of the lixisenatide/Lantus® combination therapy using separate and simultaneous injections of the two products was successfully completed in 2010 and a Phase III development plan is now being finalized for the combination product. In September 2010, sanofi-aventis announced the results of one of the Phase III GETGOAL clinical trials involving lixisenatide administered as an add-on treatment on top of basal insulins including Lantus®. GETGOAL-L-ASIA assessed the efficacy and safety of lixisenatide administered in combination with basal insulin, and showed that lixisenatide, when dosed oncedaily in combination with basal insulin (with or without sulfonylurea), significantly improved glycemic control in patients with type 2 diabetes. It was a 24-week, doubleblind, placebo-controlled, two-arm parallel-group, multicenter trial in a total of 300 Asian patients with type-2 diabetes insufficiently controlled with basal insulin (with or without sulfonylurea). Patients in the study had baseline HbA1c levels between 7% and 10%, were 20 years of age or older, and were diagnosed with type-2 diabetes for at least one year before the screening visit. They were randomized to add either lixisenatide once-daily, or placebo to their existing treatment regimen. Sixty percent of patients were taking Lantus® as their basal insulin. 
According to sanofi-aventis, the Phase III combination study met its primary endpoint, the addition of lixisenatide once-daily to basal insulin reduced HbA1c levels by 0.88% versus placebo (p&lt;0.0001), and the study raised no safety concerns. The full study findings are expected to be presented in 2011. 
Sanofi-aventis has announced that, in order to obtain marketing authorizations, it will have to perform a pivotal clinical study, which it currently expects to start within the next 12-18 months, using a combination of lixisenatide and Lantus® administered with the device to be selected by sanofi-aventis for commercial launch. An acceptable bioequivalence and bioavailability profile will also need to be demonstrated. 
The Company expects, on the basis of the announcements made to date by sanofi-aventis and assuming that the clinical development program can be completed as currently planned, that applications for marketing authorizations for the combination product will be filed in the first half of 2013 in the European Union, Japan and the United States. Zealand Pharma does not control the clinical development program or regulatory filings for the lixisenatide/Lantus® combination therapy, but the Company believes that, in the ordinary course, marketing authorizations for the combination product will be received approximately 12 months after completion of the applicable filings. 
Sanofi-aventis collaboration 
In June 2003, Zealand Pharma out-licensed lixisenatide to Aventis Deutschland GmbH. In 2004, sanofi acquired Aventis Deutschland GmbH, forming sanofi-aventis. Zealand Pharma has granted sanofi-aventis exclusive, worldwide rights to develop, manufacture and market lixisenatide, as well as an option to acquire (without additional charge) an exclusive license to develop, manufacture and market certain back-up compounds falling within the scope of Zealand Pharma’s lixisenatide patents. Sanofi-aventis assumed responsibility for further development, manufacturing and marketing of lixisenatide, and developed and implemented its own patent protection strategy. The license agreement includes provisions for the development and commercialization of lixisenatide in combination with Lantus®. Under the license agreement, Zealand Pharma will receive development milestone payments, low double-digit royalties on the net sales of lixisenatide and the lixisenatide/Lantus® combination product, and sales-based milestones for the combination product. Such payments by sanofi-aventis to Zealand Pharma will trigger the Company’s own obligation to make certain payments to third parties. See “Part I - Company Information - Material Agreements” for further details. 
Patent protection 
The Zealand Pharma patents covering lixisenatide also cover pharmaceutical compositions that combine lixisenatide with anti-diabetic agents such as Lantus®. The expiration date of the patents is in 2020. Zealand Pharma believes it will be able to obtain an extension of the term of some of the relevant patents or patent claims in certain key jurisdictions, for a maximum of five additional years. 
Source: Zealand Pharma 2010 Annual Report, Page 9:
combination therapy The combination of Zealand Pharma’s lixisenatide and sanofi-aventis’ Lantus® has the potential to provide Type 2 Diabetes patients with a superior therapeutic alterna¬tive to insulin treatment alone. Although uniquely effective, insulin therapy has shortcomings, in particular weight gain and the risk of hypoglycemia. The combination of the insulin, Lantus, with lixisenatide, a GLP-1, is thus expected to supplement the effects of insulin with the observed effects of GLP-1 in the form of better glycemic con-trol, weight control, and a reduced risk of hypoglycemia, thereby slowing the progres¬sion of the disease.
Clinical Development Status
A Phase I clinical trial of the lixisenatide/Lantus combination therapy using separate and simultaneous injections of the two pro-ducts was successfully completed in 2010 and a complete Phase III development plan is now being finalized for the combination product. In September 2010, sanofi-aventis announced the results of one of the Phase III GETGOAL clinical trials involving lixisenatide administered as an add-on treatment on top of basal insulins including Lantus. The re¬sults reported that the Phase III combination study met its primary endpoint: the addition of a once-daily lixisenatide injection to basal insulin reduced HbA1c levels by 0.88% ver¬sus placebo (p&lt;0.0001), and the study raised no safety concerns.
Zealand Pharma is building a metabolic program that treats not just diabetes in isolation but also related diseases like obesity, one of the most important cofac¬tors involved in developing and managing Type 2 Diabetes. According to the World Health Organization, approximately 90% of type 2 diabetics are either overweight or obese, and therefore there exists signifi¬cant need for drugs addressing this issue. Stu-dies have shown that a weight gain of 1 kg increases cardiovascular risk by 3.1% and diabetes risk by 4.5 - 9%, with obesity driving approximately 60% of increasing prevalence of diabetes. Conversely, body weight loss significantly reduces diabetes-related complications and mortality while simultaneously improving other health parameters like blood pressure and choles¬terol levels. As such, Zealand Pharma is developing athird treatment for Type 2 Diabetes in ZP2929, a GLP-1–glucagon dual-receptor agonist that has shown sustained and clini¬cally relevant weight loss and significant gly¬cemic control in preclinical diabetes models.
Our Partner – sanofi-aventis
Zealand Pharma out-licensed the clinical development and global marketing rights of lixisenatide to sanofi-aventis in 2003. In sanofi-aventis, the fourth largest pharma¬ceutical firm in the world based on sales, Zealand has found a world-class partner in whom it has the greatest confidence will en¬able its lead compound lixisenatide to treat diabetes patients worldwide. The potential for lixisenatide to be used not only as a monotherapy but also in combination with the world’s market leading long-acting insu¬lin analog, Lantus, presents a tremendous opportunity for Zealand Pharma. In January of 2011 Zealand Pharma and sanofi-aventis entered into a novel research collaboration on an undisclosed early diabetes target.
</t>
        </r>
      </text>
    </comment>
    <comment ref="AA31" authorId="0" shapeId="0">
      <text>
        <r>
          <rPr>
            <sz val="10"/>
            <rFont val="Arial"/>
            <family val="2"/>
          </rPr>
          <t xml:space="preserve">Company Disclosed Competitive Profile:
Source: Sanofi 2011 20-F, Page 27:
Lixisenatide (AVE0010 GLP-1: Glucagon-like peptide-1 agonist, type 2 diabetes mellitus; Phase IIIb; lixisenatide is in-licensed from Zealand Pharma A/S). The GETGOAL Phase III studies were finalized and demonstrated that lixisenatide was effective in lowering blood sugar and decreasing body weight with good safety and tolerability. These results were presented at international conferences (e.g. ADA, EASD, IDF). Lixisenatide was submitted in the fourth quarter of 2011 to EMA, Switzerland, Mexico, Brazil, Canada, Ukraine, South Africa and Australia. Additional Phase IIIb studies have been initiated. 
Phase I studies on combination of lixisenatide and Lantus® have been successfully finalized. A proof-of-concept study to compare insulin glargine/ lixisenatide fixed ratio combination versus insulin glargine on glycemic control over 24 weeks has begun
Source: Zealand Pharma 2011 Annual Report, Page 38:
Lixisenatide (lyxumia) and lixisenatide/Lantus for Type 2 diabetes – in partnership with Sanofi
Lixisenatide is a GLP-1 peptide agonist, invented by Zealand Pharma for once-daily injectable dosing to treat Type 2 diabetes. The global commercial rights to the compound have been licensed to Sanofi (see p. 30; “Partnership with Sanofi in diabetes”), which is developing lixisenatide both in a stand-alone pen device (intended trademark Lyxumia) and in combination with Lantus, Sanofi’s world leading basal insulin product.
Top-line results have been reported also from a Phase IIIb study, GetGoal Duo 1, evaluating the efficacy and safety of lixisenatide in a free combination with Lantus (insulin glargine) in Type 2 diabetes patients uncontrolled on OAD medication – mainly metformin. The results were positive, showing that lixisenatide in combination with Lantus helped to achieve HbA1c target levels of &lt; 7.0% in patients with uncontrolled HbA1c despite well controlled fasting glucose levels. In the study, lixisenatide showed to significantly improve 2-hour post-prandial glucose (following a meal). In the study, the most common adverse events were mild and transient nausea and vomiting. 50 (22.4%) lixisenatide treated patients and 30 (13.5%) patients on placebo reported symptomatic hypo-glycemic events (low blood sugar) as defined in the protocol.
Lixisenatide/Lantus combinations
In preparation for Phase III Sanofi is also developing lixisenatide in combinations with their world-leading once-daily basal insulin, Lantus. Preparations are on track for start in early 2013 of a Phase III study of a lixisenatide-Lantus combination based on a pen device, that will allow for flexible dosing of Lantus combined with a fixed dose of lixisenatide. In parallel, Sanofi is evaluating a premix combination of lixisenatide-Lantus in a study, that was initiated in November 2011 and which is expected to complete enrollment of patients in Q4 2012.
</t>
        </r>
      </text>
    </comment>
    <comment ref="AB31" authorId="0" shapeId="0">
      <text>
        <r>
          <rPr>
            <sz val="10"/>
            <rFont val="Arial"/>
            <family val="2"/>
          </rPr>
          <t>Company Disclosed Competitive Profile:
Source: Sanofi 2012 20-F, Page 28:
A proof-of-concept study to compare insulin glargine/lixisenatide fixed ratio combination versus insulin glargine on glycemic control over 24 weeks has been fully recruited.
Source: Zealand Pharma 2012 Annual Report, Page 13:
To further advance the therapeutic rationale for lixisenatide in  combination with Lantus, Sanofi is evaluating a Fix-Flex single  product to allow for full flexible dosing of Lantus combined  with a fixed dose of Lyxumia, and in parallel evaluating a  Fixed-Ratio combination product in a Phase IIb study.  Given a technical issue encountered during the last  development steps of the Fix-Flex product, Sanofi in  February announced that timelines for the start of Phase  III studies of the Lantus/lixisenatide single combination  product is being reassessed.   
In the Phase IIb study of the Fixed-Ratio combination  product, the enrolment of up to 323 patients was completed  earlier in 2013.</t>
        </r>
      </text>
    </comment>
    <comment ref="AC31" authorId="0" shapeId="0">
      <text>
        <r>
          <rPr>
            <sz val="10"/>
            <rFont val="Arial"/>
            <family val="2"/>
          </rPr>
          <t>Company Disclosed Competitive Profile:
Source: Sanofi 2013 20-F, Page 41:
Lixilan Fixed-Ratio, a combination of insulin glargine and lixisenatide, is also under clinical development. A proof-of-concept study to examine the glycemic control of Lixilan versus insulin glargine alone over 24 weeks has been completed. The Lixilan Phase III program started recently in the first quarter of 2014 with two clinical studies: 
LixiLan-O study in patients insufficiently controlled on oral antidiabetics drugs;
LixiLan-L study in patients not at goal on basal insulin.
Lixilan has the potential to be the first combination of Basal Insulin/GLP-1 in a single daily injection marketed in the U.S.
Source: Zealand Pharma 2013 Annual Report, Page 21: 
The fixed-ratio combination has been evaluated by Sanofi in a Phase IIb study versus Lantus alone for its effect on glycemic control, as measured by HbA1c reduction over 24 weeks, in 323 Type 2 diabetic patients treated with metformin. The study was completed in 2013 and publication of the results is expected in connection with a medical congress later in 2014.
In February 2014, Sanofi announced the initiation of the LixiLan Phase III clinical development program for the fixed-ratio combination.
Completion of the LixiLan studies is expected in the 2nd half of 2015 and the planned timing for regulatory filings leaves the potential for the fixed-ratio combination of Lyxumia and Lantus to be the first fixed-ratio combination of a basal insulin with a GLP-1 agonist in a single daily injection to be marketed in the US.</t>
        </r>
      </text>
    </comment>
    <comment ref="AD31" authorId="0" shapeId="0">
      <text>
        <r>
          <rPr>
            <sz val="10"/>
            <rFont val="Arial"/>
            <family val="2"/>
          </rPr>
          <t>Company Disclosed Competitive Profile:
Source: Sanofi 2014 20-F, Page 43:
Lixilan_ Fixed-Ratio: Lixilan_ Fixed-Ratio, a combination of insulin glargine and lixisenatide, is under clinical development; a proof-of-concept study to examine the glycemic control of Lixilan_ versus insulin glargine alone over 24 weeks was completed in 2014. The Lixilan_ Phase III program is ongoing with two clinical studies. All patients were enrolled during 2014:
• LixiLan-O study in patients insufficiently controlled on oral antidiabetic drugs, and 
• LixiLan-L study in patients not at goal on basal insulin.</t>
        </r>
      </text>
    </comment>
    <comment ref="AE31" authorId="0" shapeId="0">
      <text>
        <r>
          <rPr>
            <sz val="10"/>
            <rFont val="Arial"/>
            <family val="2"/>
          </rPr>
          <t>Company Disclosed Competitive Profile:
Source: Sanofi 2015 20-F, Page 39:
The dossier was submitted to the FDA in December 2015. Sanofi redeemed a priority review voucher (PRV) with the submission to designate the NDA for an expedited 6-month review. The FDA accepted the LixiLan New Drug Application on February 22, 2016. The FDA decision is expected in August 2016. The LixiLan regulatory submission is planned in the E.U. in March 2016.</t>
        </r>
      </text>
    </comment>
    <comment ref="AG31" authorId="0" shapeId="0">
      <text>
        <r>
          <rPr>
            <sz val="10"/>
            <rFont val="Arial"/>
            <family val="2"/>
          </rPr>
          <t>Company Comment:
Source: Sanofi FY 2017 Results (07 FEB 2018):
…Soliqua 100/33 / Suliqua sales were €9 million in the fourth quarter and €26 million in 2017.</t>
        </r>
      </text>
    </comment>
    <comment ref="H32" authorId="0" shapeId="0">
      <text>
        <r>
          <rPr>
            <sz val="10"/>
            <rFont val="Arial"/>
            <family val="2"/>
          </rPr>
          <t>Patent Comment:
Patent date refers to "Beta-amino heterocyclic dipeptidyl peptidase inhibitors for the treatment or prevention of diabetes" (US#6699871) eligible to receive 6 months paediatric exclusivity. Patent protection also refers to US patent covering salt exp. in 2026. Additional patent protection refers to five years of NCE exclusivity, expiring 16 OCT 2011. Row refers to Europe patent expiry. Source: 2017 10-K, US PTO &amp; FDA.</t>
        </r>
      </text>
    </comment>
    <comment ref="Z32" authorId="0" shapeId="0">
      <text>
        <r>
          <rPr>
            <sz val="10"/>
            <rFont val="Arial"/>
            <family val="2"/>
          </rPr>
          <t>Company Comment:
Source: Merck &amp; Co FY 2010 Results (03 FEB 2011):
JANUVIA reached $2.4 billion in worldwide sales in 2010, while JANUMET achieved $954 million in global sales for the year. The combined JANUVIA/JANUMET franchise had sales of $3.3 billion for the full year of 2010, an increase of 29 percent.</t>
        </r>
      </text>
    </comment>
    <comment ref="AA32" authorId="0" shapeId="0">
      <text>
        <r>
          <rPr>
            <sz val="10"/>
            <rFont val="Arial"/>
            <family val="2"/>
          </rPr>
          <t>Company Comment:
Source: Merck &amp; Co FY 2011 Results (02 FEB 2012):
Full-Year...Double-Digit Global Growth for JANUVIA, JANUMET, ISENTRESS and GARDASIL.
...The combined JANUVIA/JANUMET franchise had sales of $4.7 billion for the full year of 2011, an increase of 40 percent.</t>
        </r>
      </text>
    </comment>
    <comment ref="AB32" authorId="0" shapeId="0">
      <text>
        <r>
          <rPr>
            <sz val="10"/>
            <rFont val="Arial"/>
            <family val="2"/>
          </rPr>
          <t xml:space="preserve">Company Comment:
Source: Merck &amp; Co FY 2012 Results (1 FEB 2013):
Full-Year and Fourth-Quarter Double-Digit Global Sales Growth for JANUVIA and JANUMET…
Worldwide sales of the combined diabetes franchise of JANUVIA/JANUMET… The combined franchise had sales of $5.7 billion for the full year of 2012, an increase of 23 percent …
</t>
        </r>
      </text>
    </comment>
    <comment ref="AC32" authorId="0" shapeId="0">
      <text>
        <r>
          <rPr>
            <sz val="10"/>
            <rFont val="Arial"/>
            <family val="2"/>
          </rPr>
          <t>Company Comment:
Source: Merck &amp; Co FY 2013 Results (5 FEB 2014):
...Worldwide sales of the combined diabetes franchise of JANUVIA (sitagliptin)/JANUMET, medicines that help lower blood sugar
levels in adults with type 2 diabetes, were $1.6 billion in the fourth quarter of 2013, growing 2 percent compared to the prior
year quarter, including a negative 4 percent impact from foreign exchange, primarily driven by growth in Europe and the
emerging markets. The combined franchise had sales of $5.8 billion for the full year of 2013, an increase of 2 percent
compared with the prior year, including a negative 3 percent impact from foreign exchange...</t>
        </r>
      </text>
    </comment>
    <comment ref="H33" authorId="0" shapeId="0">
      <text>
        <r>
          <rPr>
            <sz val="10"/>
            <rFont val="Arial"/>
            <family val="2"/>
          </rPr>
          <t>Patent Comment:
Patent date refers to US expiry for formulation patent. Patent protection refers to patents granted in Germany, Japan &amp; China expiring in 2028, 2027 &amp; 2024 respectively. RoW date refers to EU expiry. Patent protection also refers to US &amp; EU patent expiring in 2030. Source: 2015 20-F, 01 NOV 17 Press Release &amp; 2017 AR, 2018 PR.</t>
        </r>
      </text>
    </comment>
    <comment ref="Z33" authorId="0" shapeId="0">
      <text>
        <r>
          <rPr>
            <sz val="10"/>
            <rFont val="Arial"/>
            <family val="2"/>
          </rPr>
          <t xml:space="preserve">Company Disclosed Competitive Profile:
Source: Novo Nordisk Annual Report 2010, Page 24: 
Ultra-fast-acting insulin analogue. First phase 1 studies initiated during the second quarter of 2010. 
</t>
        </r>
      </text>
    </comment>
    <comment ref="AB33" authorId="0" shapeId="0">
      <text>
        <r>
          <rPr>
            <sz val="10"/>
            <rFont val="Arial"/>
            <family val="2"/>
          </rPr>
          <t>Company Disclosed Competitive Profile:
Source: Novo Nordisk 2012 Annual Report, Page 3:
In December 2012, we selected for phase 3 development a new formulation of insulin aspart, called FIAsp, with a faster onset of appearance than NovoRapidR (NovoLogR in the US), which we hope will enable more flexible insulin administration in connection with meals, as well as improved blood sugar control after meals.
Page 11: 
Finally, based on the successful completion of the phase 1 trial of the new faster-acting formulation of insulin aspart (NovoRapidR), FIAsp will initiate its phase 3 programme, onsetR, in the second half of 2013.</t>
        </r>
      </text>
    </comment>
    <comment ref="AC33" authorId="0" shapeId="0">
      <text>
        <r>
          <rPr>
            <sz val="10"/>
            <rFont val="Arial"/>
            <family val="2"/>
          </rPr>
          <t>Company Disclosed Competitive Profile:    
Source: Novo Nordisk 2013 Annual Report, Page 17:  
Novo Nordisk is also developing a new faster-acting formulation of insulin aspart to be taken at mealtimes and recently initiated an extensive phase 3a programme.</t>
        </r>
      </text>
    </comment>
    <comment ref="AE33" authorId="0" shapeId="0">
      <text>
        <r>
          <rPr>
            <sz val="10"/>
            <rFont val="Arial"/>
            <family val="2"/>
          </rPr>
          <t>Company Disclosed Competitive Profile:
Source: Novo Nordisk Annual Report 2015, Page 10:
In December 2015, Novo Nordisk submitted the Marketing Authorisation Application (MAA) to the European Medicines Agency (EMA) and the NDA to the US FDA for fasteracting insulin aspart. Faster-acting insulin aspart is a mealtime insulin for improved control of postprandial glucose excursions and has been developed for the treatment of people with type 1 and type 2 diabetes.
The filing of faster-acting insulin aspart is based on the results from the onset clinical trial programme, which involved around 2,100 people with type 1 and 2 diabetes. In the onset programme, people treated with faster-acting insulin aspart achieved improvements in postprandial control versus NovoRapid and an HbA1c reduction on par with NovoRapid. Across the onset trials, faster-acting insulin aspart had a safe and well-tolerated profile, with the most common adverse event being hypoglycaemia similar to the levels observed with NovoRapid.</t>
        </r>
      </text>
    </comment>
    <comment ref="AF33" authorId="0" shapeId="0">
      <text>
        <r>
          <rPr>
            <sz val="10"/>
            <rFont val="Arial"/>
            <family val="2"/>
          </rPr>
          <t xml:space="preserve">Company Disclosed Competitive Profile:
Source: Novo Nordisk 2016 Annual Report, Page 10:
In October 2016, Novo Nordisk announced that it had received a Complete Response Letter (CRL) from the US Food and Drug Administration (FDA) regarding the New Drug Application (NDA) for fast-acting insulin aspart. In the letter, the FDA requested additional information related to the assay for the immunogenicity and the assay used to generate the clinical pharmacokinetics data before the review of the NDA could be completed. Novo Nordisk expects to resubmit the fast-acting insulin aspart NDA as a class II re-submission within the next three months. In January 2017, Novo Nordisk announced that the European Commission had granted marketing authorisation for Fiasp for the treatment of diabetes in adults and that Novo Nordisk had also received marketing authorisation for Fiasp from Health Canada.
</t>
        </r>
      </text>
    </comment>
    <comment ref="AG33" authorId="0" shapeId="0">
      <text>
        <r>
          <rPr>
            <sz val="10"/>
            <rFont val="Arial"/>
            <family val="2"/>
          </rPr>
          <t>EvaluatePharma® Comment:
Fiasp sales not disclosed by Novo Nordisk in 2017 Results (01 FEB 2018).
Company Comment:
Source: Novo Nordisk 2017 20-F, Page 6-7:
The novel mealtime insulin Fiasp, fast-acting insulin aspart, received marketing authorization from the European Commission in the first quarter of 2017 and approvals were also received in Norway, Iceland and Canada. In September 2017, Novo Nordisk received the approval of Fiasp in the USA. Fiasp will be launched in the USA in 2018 and has now been launched in 17 countries including recent launches in France and the Netherlands.</t>
        </r>
      </text>
    </comment>
    <comment ref="H34" authorId="0" shapeId="0">
      <text>
        <r>
          <rPr>
            <sz val="10"/>
            <rFont val="Arial"/>
            <family val="2"/>
          </rPr>
          <t>Patent Comment:
Patent date &amp; number refers to "C-aryl glucoside SGLT2 inhibitors and method" (US#6515117 &amp; #6414126) exp. 3 OCT 2025 incl. 1825 days of expected patent extension. Patent protection also refers to US patent "Polymer-based sustained release device" (US#7456254) expiring on 30 JUN 2025. Patent protection also refers to US patent "Polymer-based sustained release device" (US#7563871 &amp; US#9238076) expiring on 15 APR24 &amp; (US#7612176, #8431685 &amp; #8461105) expiring on 13 APR25. RoW expiry refers to European patent. Data exclusivity exp. in 2021 in Europe &amp; 2020 in Japan. Source: AZN 2017 AR, 2013 10-K BMS, Alkermes 2011 10-K, FDA, US PTO, AZN 2014 AR &amp; 12 JAN12 Presentation.</t>
        </r>
      </text>
    </comment>
    <comment ref="AB34" authorId="0" shapeId="0">
      <text>
        <r>
          <rPr>
            <sz val="10"/>
            <rFont val="Arial"/>
            <family val="2"/>
          </rPr>
          <t>EvaluatePharma®  Comment:
From Bristol-Myers Squibb: WW 50/50 profit share.</t>
        </r>
      </text>
    </comment>
    <comment ref="AC34" authorId="0" shapeId="0">
      <text>
        <r>
          <rPr>
            <sz val="10"/>
            <rFont val="Arial"/>
            <family val="2"/>
          </rPr>
          <t>EvaluatePharma ®Comment: Alkermes year end changed from MAR to DEC.
Company Disclosed Competitive Profile:
Source: Alkermes 2013 10-K, Page 12:
AstraZeneca is developing line extensions for BYDUREON, including a dual-chamber pen device, and weekly and monthly suspension formulations using our proprietary technology for extended-release microspheres. In January 2014, AstraZeneca stated that they expect the BYDUREON dual-chamber pen to be approved in the U.S. in the second quarter of 2014 and in the EU in the fourth quarter of 2014, and that they plan to file for approval of the dual-chamber pen in Japan during the second quarter of 2014. In December 2013, AstraZeneca announced its expectation to file for approval of the BYDUREON once-weekly suspension in the U.S. and EU in 2015.
EvaluatePharma®  Comment:
From Bristol-Myers Squibb: WW 50/50 profit share.
Company Comment:
Source: AstraZeneca FY 2013 Results (06 FEB 2014):
…The  Company’s share of worldwide revenue for the exenatide products was $357 million for the full year.
Source: AstraZeneca 2013 20-F, Page 2:
On March 3, 2014, AstraZeneca announced that the FDA had approved the Bydureon Pen (exenatide extended-release for injectable suspension) 2 mg as an adjunct to diet and exercise to improve glycaemic control in adults with type 2 diabetes.
Company Disclosed Competitive Profile:
Source: AstraZeneca 2013 Annual Report, Page 55: 
We continue to develop the delivery systems for Bydureon, including a dual chamber pen that will reduce the number of steps required to mix its components. A supplemental new drug application (sNDA) was submitted to the FDA in the third quarter of 2013 and we are expecting a six-month review. We filed for approval of the dual chamber pen in the EU in the fourth quarter of 2013.
We are also developing a once-weekly suspension of Bydureon. Recruitment is complete for the exenatide weekly suspension Phase III programme and the studies are ongoing.
The EXSCEL (EXenatide Study of Cardiovascular Event Lowering) study is designed to determine if there are favourable CV effects of exenatide treatment using Bydureon. The EXSCEL study started in 2010 and is planned to run until 2017. The study has enrolled patients during 2013 and is designed for 9,500 patients.</t>
        </r>
      </text>
    </comment>
    <comment ref="AD34" authorId="0" shapeId="0">
      <text>
        <r>
          <rPr>
            <sz val="10"/>
            <rFont val="Arial"/>
            <family val="2"/>
          </rPr>
          <t>Company Disclosed Competitive Profile:
Source: Alkermes 2014 10-K, Page 8:
In September 2014, AstraZeneca announced that the once-weekly BYDUREON Pen 2 mg, which is a pre-filled, single-use pen injector that contains the same formulation and dose as the original BYDUREON single-dose tray, was available by prescription in pharmacies in the U.S. AstraZeneca stated that it received a positive opinion from the Committee for Medicinal Products for Human Use ("CHMP") on the BYDUREON dual-chamber pen and that it filed for approval of the dual-chamber pen in Japan in April 2014.
Page 12:
In the third quarter of 2014, AstraZeneca announced the completion of two phase 3 trials of exenatide once weekly suspension for autoinjection, DURATION-NEO-1 and DURATION-NEO-2. The DURATION-NEO-1 phase 3 study evaluated exenatide once weekly suspension for autoinjection compared to twice-daily exenatide in adult patients with type 2 diabetes that had inadequate glycemic control. The trial met its primary endpoint of non-inferiority. The DURATION-NEO-2 study was a randomized, long-term, open-label, multicenter study comparing the glycemic effects, safety and tolerability of exenatide once weekly suspension to sitagliptin and placebo in subjects with type 2 diabetes. AstraZeneca expects to file marketing applications for this product candidate in the U.S. and EU in 2015.
EvaluatePharma®  Comment:
01 FEB14 AstraZeneca acquired WW rights of diabetes business (previously part of its collaboration with Bristol-Myers Squibb) from Bristol-Myers Squibb.
Company Comment:
Source: AstraZeneca FY 2014 Results (05 FEB 2015):
...Global 2014 revenue was $767m, up 115%.
Source: AstraZeneca 2014 Annual Report, Page 39:
In 2014, we continued to develop delivery systems for Bydureon and secured approval for the Bydureon Pen in the US and EU. The Bydureon Pen is a pre-filled, single-use pen injector that eliminates the need to transfer the medication between a vial and syringe during the self-injection process. It was successfully launched in the US in September 2014 and is expected to launch in the EU in early 2015. We are also developing a once weekly suspension of Bydureon to be used in an autoinjector device. The Phase III programme for this asset continues to progress and the first data was presented in 2014.
The Exenatide Study of Cardiovascular Event Lowering (EXSCEL) study also continued during 2014. This study, which began in 2010 and is expected to end in 2017, evaluates whether there are favourable CV effects of exenatide treatment using Bydureon.</t>
        </r>
      </text>
    </comment>
    <comment ref="AE34" authorId="0" shapeId="0">
      <text>
        <r>
          <rPr>
            <sz val="10"/>
            <rFont val="Arial"/>
            <family val="2"/>
          </rPr>
          <t>Includes:
1) Onglyza
2) Kombiglyze XR
Company Comment:
Source: AstraZeneca FY 2015 Results (04 FEB 2016):
Combined sales were $896m in the year, representing growth of 21%; Bydureon represented approximately 65% of total Bydureon/Byetta sales. 
In the US, sales were $691m, up by 21%, with higher volumes driven by market growth and higher net prices. 
The majority of the remaining sales of Bydureon/Byetta were in Europe, totalling $143m; Bydureon sales in Europe grew by 65% to $81m, reflecting the Company’s ongoing effort to expand its Diabetes presence. 
Source: AstraZeneca 2015 20-F, Page 33:
The Phase III programme for a once-weekly suspension of Bydureon continues to progress.
The Exenatide Study of Cardiovascular Event Lowering (EXSCEL) study also continued during 2015. This study, which began in 2010 and is expected to end in 2017 is evaluating the impact of Bydureon, in addition to usual care on CV outcomes in patients with Type 2 diabetes.</t>
        </r>
      </text>
    </comment>
    <comment ref="AF34" authorId="0" shapeId="0">
      <text>
        <r>
          <rPr>
            <sz val="10"/>
            <rFont val="Arial"/>
            <family val="2"/>
          </rPr>
          <t>Company Comment:
Source: AstraZeneca FY 2016 Results (02 FEB 2017):
Combined full-year US sales for Bydureon/Byetta were $627m. Bydureon sales in the US declined by 4% to $463m, representing 74% of total Bydureon/Byetta US sales. Around 75% of sales came from the new dual-chamber pen compared to the prior tray presentation. The decline in US Byetta sales of 22% to $164m was attributed to the Company’s promotional focus on Bydureon. The decline in both Bydureon and Byetta US sales reflected lower net pricing; a regulatory submission for the new Bydureon autoinjector is anticipated in the US in the first half of 2017.
Full-year sales in Europe increased by 3% to $145m, reflecting the Company’s ongoing effort to expand its Diabetes presence. Full-year sales of Byetta and Bydureon in Emerging Markets increased by 13% to $24m and decreased by 25% to $4m, respectively. On 10 October 2016, AstraZeneca entered into a strategic collaboration with 3SBio Inc. (3SBio) for the rights to commercialise Bydureon and Byetta in the Chinese market. The agreement allowed the Company to benefit from 3SBio’s established local expertise in injectable medicines as well as focus on its oral type-2 diabetes medicines.</t>
        </r>
      </text>
    </comment>
    <comment ref="AG34" authorId="0" shapeId="0">
      <text>
        <r>
          <rPr>
            <sz val="10"/>
            <rFont val="Arial"/>
            <family val="2"/>
          </rPr>
          <t>Company Comment:
Source: AstraZeneca FY 2017 Results (02 FEB 2018):
Product Sales of $574m; a decline of 1%, driven by pricing pressures. Favourable sales volumes were a result of continued growth in the glucagon-like peptide-1 (GLP-1) class at the expense of insulin.
Sales of Bydureon in Emerging Markets were $9m. In 2016, AstraZeneca entered a strategic collaboration with 3SBio for the rights to commercialise Bydureon in China as the Company focused on its oral Diabetes strategy.
Sales in the US declined by 1% to $458m, reflecting the level of competition and resulting price pressures. US sales in the quarter grew by 1% to $115m, partly reflecting market growth and the impact of the aforementioned true-up sales adjustments. In the third quarter of the year, the Company successfully launched the injectable suspension autoinjector, known as Bydureon BCise in the US. The new autoinjector is a new formulation of Bydureon injectable suspension in an improved once-weekly, single-dose autoinjector device. It is designed for patient convenience in a pre-filled device with a pre-attached, hidden needle.
Bydureon sales in Europe declined by 12% (11% at CER) in the year to $88m, resulting from the impact of increased levels of competition.</t>
        </r>
      </text>
    </comment>
    <comment ref="H35" authorId="0" shapeId="0">
      <text>
        <r>
          <rPr>
            <sz val="10"/>
            <rFont val="Arial"/>
            <family val="2"/>
          </rPr>
          <t>Patent Comment:
Patent date refers to US patent. Source: 2017 10-K.</t>
        </r>
      </text>
    </comment>
    <comment ref="AE35" authorId="0" shapeId="0">
      <text>
        <r>
          <rPr>
            <sz val="10"/>
            <rFont val="Arial"/>
            <family val="2"/>
          </rPr>
          <t>Company Disclosed Competitive Profile:
Source: Merck &amp; Co 2015 10-K, Page 14:
MK-8835, ertugliflozin, is an investigational oral sodium glucose cotransporter-2 (SGLT2) inhibitor being evaluated for the treatment of type 2 diabetes in collaboration with Pfizer Inc. Ertugliflozin is also being studied in combination with Januvia (sitagliptin) and metformin. Merck expects to submit applications for regulatory approval in the United States for ertugliflozin and the two fixed-dose combination tablets by the end of 2016.</t>
        </r>
      </text>
    </comment>
    <comment ref="H36" authorId="0" shapeId="0">
      <text>
        <r>
          <rPr>
            <sz val="10"/>
            <rFont val="Arial"/>
            <family val="2"/>
          </rPr>
          <t>Patent Comment:
Patent date &amp; number refers to "Dioxa-bicyclo[3.2.1]octane-2,3,4-triol derivatives" (US#8080580). NCE expires 19 DEC 2022. Source: 2017 10-K.</t>
        </r>
      </text>
    </comment>
    <comment ref="AC36" authorId="0" shapeId="0">
      <text>
        <r>
          <rPr>
            <sz val="10"/>
            <rFont val="Arial"/>
            <family val="2"/>
          </rPr>
          <t>Company Disclosed Competitive Profile:
Source: Merck &amp; Co 2013 10-K, Page 14:
Ertugliflozin, is an investigational oral sodium glucose cotransporter (“SGLT2”) inhibitor being evaluated for the treatment of type 2 diabetes. During 2013, the Company entered into a worldwide (except Japan) collaboration agreement with Pfizer Inc. for the development and commercialization of ertugliflozin.
Source: Pfizer 2013 10-K, Page 29:
An oral SGLT2 inhibitor for the treatment of type 2 diabetes, which is being developed in collaboration with Merck.</t>
        </r>
      </text>
    </comment>
    <comment ref="AD36" authorId="0" shapeId="0">
      <text>
        <r>
          <rPr>
            <sz val="10"/>
            <rFont val="Arial"/>
            <family val="2"/>
          </rPr>
          <t>Company Disclosed Competitive Profile:
Source: Merck &amp; Co. 2014 10-K, Page 15:
MK-8835, ertugliflozin, is an investigational oral sodium glucose cotransporter-2 (“SGLT2”) inhibitor being evaluated for the treatment of type 2 diabetes in collaboration with Pfizer Inc.</t>
        </r>
      </text>
    </comment>
    <comment ref="AE36" authorId="0" shapeId="0">
      <text>
        <r>
          <rPr>
            <sz val="10"/>
            <rFont val="Arial"/>
            <family val="2"/>
          </rPr>
          <t>Company Disclosed Competitive Profile:
Source: Merck &amp; Co 2015 10-K, Page 14:
MK-8835, ertugliflozin, is an investigational oral sodium glucose cotransporter-2 (SGLT2) inhibitor being evaluated for the treatment of type 2 diabetes in collaboration with Pfizer Inc. Ertugliflozin is also being studied in combination with Januvia (sitagliptin) and metformin. Merck expects to submit applications for regulatory approval in the United States for ertugliflozin and the two fixed-dose combination tablets by the end of 2016.
Source: Pfizer 2015 10-K, Page 74:
In April 2013, we announced that we entered into a worldwide (except Japan) collaboration agreement with Merck for the development and commercialization of Pfizer’s ertugliflozin (PF-04971729), an investigational oral sodium glucose cotransporter (SGLT2) inhibitor currently in Phase 3 development for the treatment of type 2 diabetes.
Source: Pfizer 2015 Annual Report, Page 5:
Pfizer and Merck &amp; Co., Inc. have a collaboration to develop ertugliflozin, a new class of diabetes medicines called SGLT2 inhibitors. Now in Phase 3 trials, both as a single agent and in combination with other commonly prescribed diabetic medications, ertugliflozin enables the kidneys to remove and excrete excess glucose from the body.</t>
        </r>
      </text>
    </comment>
    <comment ref="H37" authorId="0" shapeId="0">
      <text>
        <r>
          <rPr>
            <sz val="10"/>
            <rFont val="Arial"/>
            <family val="2"/>
          </rPr>
          <t>Patent Comment:
Patent date &amp; number refers to "Dipeptidyl peptidase inhibitors" (US#7807689). Patent protection also refers to US patent "Pharmaceutical composition" (US#6329404) expiring on 19-JUN-2016. Patent protection also refers to US patent "Dipeptidyl peptidase inhibitors" (US#8288539) expiring on 15-MAR-2025. NCE exclusivity expiring on 25-JAN-2018. Source: FDA &amp; US PTO.</t>
        </r>
      </text>
    </comment>
    <comment ref="Z37" authorId="0" shapeId="0">
      <text>
        <r>
          <rPr>
            <sz val="10"/>
            <rFont val="Arial"/>
            <family val="2"/>
          </rPr>
          <t>Data Source:
Takeda Data Book Fiscal 2010 Results (APR 2010 - MAR 2011) (11 MAY 2011), Page 6-7
Company Comment:
Source: Takeda Fiscal 2010 Results (APR 2010 – MAR 2011) (11 MAY 2011): 
Despite of sales growth of VELCADE (a drug for multiple myeloma treatment) by Millennium in the U.S., Actos (a drug for type 2 diabetes treatment), DEXILANT (a drug for gastroesophageal reflux disease) and ULORIC (a drug for hyperuricemia for patients with chronic gout) by Takeda Pharmaceuticals North America, Inc. (hereinafter “TPNA”) and contributions from eight new drugs launched in Japan, including Vectibix (a drug for cancer treatment), Nesina (a drug for type 2 diabetes treatment), and Unisia (a drug for hypertension treatment), consolidated net sales decreased due to a sharp decrease in sales of Prevacid (a drug for peptic ulcer treatment) caused by the expiry of its patent in the U.S. and the Yen’s appreciation against the U.S. dollar and Euro (negative effects: ¥60.7 billion).</t>
        </r>
      </text>
    </comment>
    <comment ref="AA37" authorId="0" shapeId="0">
      <text>
        <r>
          <rPr>
            <sz val="10"/>
            <rFont val="Arial"/>
            <family val="2"/>
          </rPr>
          <t>Data Source:
Takeda Fiscal 2011 Financial Results Data Book (APR 2011 - MAR 2012) (11 MAY 2012), Page 6-7
Company Comment:
Source: Takeda Fiscal 2011 Financial Results (APR 2011 - MAR 2012) (11 MAY 2012):
In Japan, sales of ―VECTIBIX (a cancer drug) and ―NESINA (a drug for type 2 diabetes) both introduced two years ago have grown strongly. 
Company Disclosed Competitive Profile:
Source: Takeda Fiscal 2010 Annual Report (YE MAR 2011), Page 26:
Moreover, Takeda can maximize the value of its products and pipelines by using Nycomed’s established business infrastructure in emerging markets. Specifically, upon the closing of the transaction, Takeda can use Nycomed’s development expertise to accelerate the application for approval and subsequent commercialization of its products in the late-stage of clinical development, such as type 2 diabetes treatment SYR-322 (generic name: alogliptin benzoate).
Page 40: 
Originally discovered by Takeda San Diego, Inc., SYR-322 treats type 2 diabetes by inhibiting the action of the DPP-4* enzyme. The drug obtained regulatory approval in Japan in April 2010 and was launched under the brand name NESINA. Takeda is continuing development and application activities toward regulatory approvals worldwide.
Page 59:
Phase III trials initiated for type 2 diabetes treatment SYR-322.
Through Takeda China, the Group plans to achieve better market penetration in China with existing core products, such as Actos and Leuprorelin Acetate, while also to rapidly bring to market new products such as the type 2 diabetes treatment SYR-322 (generic name: alogliptin benzoate).</t>
        </r>
      </text>
    </comment>
    <comment ref="AB37" authorId="0" shapeId="0">
      <text>
        <r>
          <rPr>
            <sz val="10"/>
            <rFont val="Arial"/>
            <family val="2"/>
          </rPr>
          <t>Company Disclosed Competitive Profile:
Source: Takeda Fiscal 2011 Annual Report (YE MAR 2012), Page 43:
Continue discussions on regulatory approval with the U.S. FDA
Data Source:
Takeda Fiscal 2012 Financial Results Data Book (APR 2012 - MAR 2013) (09 MAY 2013), Page 6-7
Company Comment:
Source: Takeda Fiscal 2012 Financial Results (APR 2012 - MAR 2013) (09 MAY 2013): 
Net sales in Japan were ¥588.4 billion, a decrease of ¥3.8 billion (0.6%), compared to the previous year. Despite higher sales of products launched in 2010 such as NESINA and Vectibix in addition to the contribution of AZILVA launched in May 2012, the drop in sales of Actos and Blopress mainly due to the drug price reduction could not fully absorbed.</t>
        </r>
      </text>
    </comment>
    <comment ref="AC37" authorId="0" shapeId="0">
      <text>
        <r>
          <rPr>
            <sz val="10"/>
            <rFont val="Arial"/>
            <family val="2"/>
          </rPr>
          <t>Company Comment:
Source: Takeda Fiscal 2013 Annual Report (YE MAR 2014), Page 35:
Originally discovered by Takeda California, Inc., SYR-322 treats type 2 diabetes by inhibiting the action of the DPP-4 enzyme. SYR-322 obtained regulatory approval in Japan in April 2010, the U.S. in January 2013, and Europe in September 2013, and was launched under the brand name NESINA. Takeda is continuing development activities and submission toward regulatory approvals in emerging markets.
Page 11:
Takeda focused on maximizing sales of new products launched in June 2013: NESINA, KAZANO (fixed-dose combination of NESINA and metformin), and OSENI (fixed-dose combination of NESINA and ACTOS).
Data Source:
Takeda Fiscal 2013 Financial Results Data Book (APR 2013 - MAR 2014) (08 MAY 2014), Page 7.
Company Comment:
Source: Takeda Fiscal 2012 Annual Report (YE MAR 2013), Page 29: 
Treatment for Type 2 Diabetes: SYR-322 (alogliptin benzoate) (U.S./Japan: Approved, Europe: Filed) SYR-322 treats type 2 diabetes by inhibiting the action of the DPP-4* enzyme. SYR-322 obtained regulatory approval in Japan in April 2010 and the U.S. in January 2013, and was launched under the brand name NESINA. Takeda is continuing development activities and submission towards regulatory approvals in Europe and emerging markets.</t>
        </r>
      </text>
    </comment>
    <comment ref="AD37" authorId="0" shapeId="0">
      <text>
        <r>
          <rPr>
            <sz val="10"/>
            <rFont val="Arial"/>
            <family val="2"/>
          </rPr>
          <t>Data Source:
Takeda Q3 Fiscal 2015 Consolidated Financial Results (OCT 2015 – DEC 2015) (03 FEB  2016), Page no: 16-17.
Includes in ¥bn:
1) +38.4 Japan
2) +4.1 US
3) +0.6 Europe &amp; Canada
4) +1.3 Emerging Markets
Company Comment:
Source: Takeda Fiscal 2014 Financial Results (APR 2014 - MAR 2015) (15 MAY 2015):
Revenue in Japan was ¥561.3 billion, a decrease of ¥20.8 billion (-3.6%) compared to the previous year. Contribution from sales increase of products launched in and after 2010 such as AZILVA, LOTRIGA and NESINA could not fully absorb the decrease in sales mainly due to the National Health Insurance price reduction and the penetration of generic products.</t>
        </r>
      </text>
    </comment>
    <comment ref="AE37" authorId="0" shapeId="0">
      <text>
        <r>
          <rPr>
            <sz val="10"/>
            <rFont val="Arial"/>
            <family val="2"/>
          </rPr>
          <t>Data Source:
Takeda Fiscal 2015 Financial Results Data Book (APR 2015 - MAR 2016) (10 MAY 2016), Page 5-6.
Includes in ¥bn:
1) +36.9 Japan
2) +5.3 US
3) +3.5 Europe &amp; Canada
4) +3.3 Emerging Markets
Company Disclosed Competitive Profile: 
Source: Takeda Fiscal 2014 Annual Report (YE MAR 2015), Page 32:
Takeda is continuing development and submission activities toward regulatory approvals in Emerging Markets such as Brazil and Russia, and is currently conducting Phase III clinical trials of a fixed-dose combination of NESINA with metformin in Japan.</t>
        </r>
      </text>
    </comment>
    <comment ref="AF37" authorId="0" shapeId="0">
      <text>
        <r>
          <rPr>
            <sz val="10"/>
            <rFont val="Arial"/>
            <family val="2"/>
          </rPr>
          <t>Data Source:
Takeda Fiscal 2016 Financial Results Data Book (APR 2016 - MAR 2017) (10 MAY 2017), Page 7.
Includes in ¥bn:
1) +32.9 Japan
2) +5.2 US
3) +6.1 Europe &amp; Canada
4) +4.9 Emerging Markets</t>
        </r>
      </text>
    </comment>
    <comment ref="AG37" authorId="0" shapeId="0">
      <text>
        <r>
          <rPr>
            <sz val="10"/>
            <rFont val="Arial"/>
            <family val="2"/>
          </rPr>
          <t>Data Source:
Takeda Fiscal 2017 Financial Results Data Book (APR 2017 - MAR 2018) (14 MAY 2018), Page 5.
Includes in ¥bn:
1) +30.1 Japan
2) +6.0 US
3) +9.0 Europe &amp; Canada
4) +8.6 Emerging markets</t>
        </r>
      </text>
    </comment>
    <comment ref="H38" authorId="0" shapeId="0">
      <text>
        <r>
          <rPr>
            <sz val="10"/>
            <rFont val="Arial"/>
            <family val="2"/>
          </rPr>
          <t>Patent Comment:
RoW expiry refers to European Patent on compound including SPC. Patent protection refers to Japan patent on compound expiring in 2024 including PTE, patent on Galvus formulation expiring in 2025 including PTE &amp; RDP expiring in 2018. Source: Novartis 2017 20-F.</t>
        </r>
      </text>
    </comment>
    <comment ref="Z38" authorId="0" shapeId="0">
      <text>
        <r>
          <rPr>
            <sz val="10"/>
            <rFont val="Arial"/>
            <family val="2"/>
          </rPr>
          <t>EvaluatePharma® Comment:
Includes sales of Galvus &amp; Eucreas.</t>
        </r>
      </text>
    </comment>
    <comment ref="AA38" authorId="0" shapeId="0">
      <text>
        <r>
          <rPr>
            <sz val="10"/>
            <rFont val="Arial"/>
            <family val="2"/>
          </rPr>
          <t>EvaluatePharma® Comment:
Includes sales of Galvus &amp; Eucreas.
Company Comment:
Source: Novartis 2011 Annual Report, Page 165:
Galvus/Eucreas (+73% to USD 677 million, +66% cc), which includes oral treatments with vildagliptin for type 2 diabetes, has shown strong growth in Japan and many European, Latin American and Asian Pacific markets since launch in 2007. The single-pill combination Eucreas/GalvusMet (vildagliptin and metformin) accounted for the majority of sales, with the expanded use of Galvus in elderly patients over 75 years old in the EU also fueling growth in 2011. Additional EU approvals for use in moderate or severe renally impaired type 2 diabetes patients are expected to drive growth in 2012. Vildagliptin is now approved in more than 90 countries with an additional launch expected in China in 2012.</t>
        </r>
      </text>
    </comment>
    <comment ref="AB38" authorId="0" shapeId="0">
      <text>
        <r>
          <rPr>
            <sz val="10"/>
            <rFont val="Arial"/>
            <family val="2"/>
          </rPr>
          <t>EvaluatePharma® Comment:
Includes sales of Galvus &amp; Eucreas.
Company Disclosed Competitive Profile:
Source: Novartis 2012 20-F, Page 35:
Galvus (vildagliptin), an oral DPP-4 inhibitor, and Eucreas, a single-pill combination of vildagliptin and metformin, are indicated for the for the treatment of type 2 diabetes. The products were first approved in 2008. Galvus is currently approved in more than 100 countries, including EU member states, Latin America, Asia-Pacific and Japan. Eucreas was the first single-pill combining a DPP-4 inhibitor and metformin to be launched in Europe and is currently approved in more than 85 countries. In 2012, Galvus received EU approval for expanded use as a second-line monotherapy for type 2 diabetes patients who cannot take meformin. In addition, in 2012, the European Commission approved the use of Galvus and Eucreas in combination with other diabetes treatments. The first new approval was for the use of vildagliptin in combination with insulin, with or without metformin, for patients with type 2 diabetes when diet, exercise and a stable dose of insulin do not result in glycemic control. The second approval was for the use of vildagliptin in triple combination with metformin and a sulphonylurea for the treatment of type 2 diabetes when diet and exercise plus dual therapy with these two agents do not provide adequate glycemic control.</t>
        </r>
      </text>
    </comment>
    <comment ref="AC38" authorId="0" shapeId="0">
      <text>
        <r>
          <rPr>
            <sz val="10"/>
            <rFont val="Arial"/>
            <family val="2"/>
          </rPr>
          <t>EvaluatePharma® Comment:
Includes sales of Galvus &amp; Eucreas.</t>
        </r>
      </text>
    </comment>
    <comment ref="AD38" authorId="0" shapeId="0">
      <text>
        <r>
          <rPr>
            <sz val="10"/>
            <rFont val="Arial"/>
            <family val="2"/>
          </rPr>
          <t>EvaluatePharma® Comment:
Includes sales of Galvus &amp; Eucreas.</t>
        </r>
      </text>
    </comment>
    <comment ref="AE38" authorId="0" shapeId="0">
      <text>
        <r>
          <rPr>
            <sz val="10"/>
            <rFont val="Arial"/>
            <family val="2"/>
          </rPr>
          <t>EvaluatePharma® Comment:
Includes sales of Galvus &amp; Eucreas.
Company Comment:
Source: Novartis 2015 20-F, Page 45:
…In 2014, Eucreas (850/50mg and 1000/50mg) was approved in China as the first high-dose single-pill combination metformin/DPP-4 inhibitor approved in that country. Galvus monotherapy indication was approved in China in April 2015. Eucreas was approved in Japan in September 2015 under the name EquMet as the first single-pill combination metformin/DPP-4 inhibitor approved in that country.</t>
        </r>
      </text>
    </comment>
    <comment ref="AF38" authorId="0" shapeId="0">
      <text>
        <r>
          <rPr>
            <sz val="10"/>
            <rFont val="Arial"/>
            <family val="2"/>
          </rPr>
          <t>EvaluatePharma® Comment:
Includes sales of Galvus &amp; Eucreas.</t>
        </r>
      </text>
    </comment>
    <comment ref="AG38" authorId="0" shapeId="0">
      <text>
        <r>
          <rPr>
            <sz val="10"/>
            <rFont val="Arial"/>
            <family val="2"/>
          </rPr>
          <t>EvaluatePharma® Comment:
Includes sales of Galvus &amp; Eucreas.
Company Comment:
Source: Novartis 2017 20-F, Page 49:
Galvus (vildagliptin), an oral DPP-4 inhibitor, and Eucreas, a single-pill combination of vildagliptin and metformin, are indicated for the treatment of type 2 diabetes. The products were first approved in 2007. Galvus is currently approved in more than 130 countries, including EU member states, Japan (as Equa) and countries in Latin America and Asia-Pacific. Eucreas was the first single-pill combination of a DPP-4 inhibitor and metformin approved in Europe, and also under the trade name Galvus Met, and is currently approved in more than 125 countries. In 2012, Galvus received approval in the EU for expanded use as a second-line monotherapy for type 2 diabetes patients who cannot take metformin. In 2012, the EU approved the use of Galvus in combination with insulin, with or without metformin, for patients with type 2 diabetes when diet, exercise and a stable dose of insulin do not result in glycemic control. The use of vildagliptin in triple combination with metformin and a sulphonylurea is also approved in the EU for the treatment of type 2 diabetes when diet and exercise plus dual therapy with vildagliptin and metformin do not provide adequate glycemic control. Galvus monotherapy indication was approved in China in 2015. Eucreas was approved in Japan in 2015 under the name Equmet as the first single-pill combination metformin/DPP-4 inhibitor approved in that country.</t>
        </r>
      </text>
    </comment>
    <comment ref="H40" authorId="0" shapeId="0">
      <text>
        <r>
          <rPr>
            <sz val="10"/>
            <rFont val="Arial"/>
            <family val="2"/>
          </rPr>
          <t>Patent Comment:
Patent expiry refers to US composition of matter patent (US#5618913), incl. paed. ext. - expires AUG 2011 in Europe &amp; Japan. Source: analyst report &amp; FDA.</t>
        </r>
      </text>
    </comment>
    <comment ref="Z40" authorId="0" shapeId="0">
      <text>
        <r>
          <rPr>
            <sz val="10"/>
            <rFont val="Arial"/>
            <family val="2"/>
          </rPr>
          <t xml:space="preserve">EvaluatePharma® Comment:
The sales of Modern insulins are disclosed separately since Q1 2006.
Includes in DKKm:
1) +2214 Protein-related sales </t>
        </r>
      </text>
    </comment>
    <comment ref="AA40" authorId="0" shapeId="0">
      <text>
        <r>
          <rPr>
            <sz val="10"/>
            <rFont val="Arial"/>
            <family val="2"/>
          </rPr>
          <t xml:space="preserve">EvaluatePharma® Comment:
The sales of Modern insulins are disclosed separately since Q1 2006.
Includes in DKKm:
1) +2309 Protein-related sales </t>
        </r>
      </text>
    </comment>
    <comment ref="AB40" authorId="0" shapeId="0">
      <text>
        <r>
          <rPr>
            <sz val="10"/>
            <rFont val="Arial"/>
            <family val="2"/>
          </rPr>
          <t xml:space="preserve">EvaluatePharma® Comment:
The sales of Modern insulins are disclosed separately since Q1 2006.
Includes in DKKm:
1) +2511 Protein-related sales </t>
        </r>
      </text>
    </comment>
    <comment ref="AC40" authorId="0" shapeId="0">
      <text>
        <r>
          <rPr>
            <sz val="10"/>
            <rFont val="Arial"/>
            <family val="2"/>
          </rPr>
          <t xml:space="preserve">EvaluatePharma® Comment:
The sales of Modern insulins are disclosed separately since Q1 2006.
Sales value calculated as sum of disclosed four quarters sales (JAN13 - DEC13).
Quarterly Sales: See individual quarters.
Includes in DKKm:
1) +2412 Protein-related sales </t>
        </r>
      </text>
    </comment>
    <comment ref="AD40" authorId="0" shapeId="0">
      <text>
        <r>
          <rPr>
            <sz val="10"/>
            <rFont val="Arial"/>
            <family val="2"/>
          </rPr>
          <t>EvaluatePharma® Comment:
The sales of Modern insulins are disclosed separately since Q1 2006.
Company Comment:
Source: Novo Nordisk FY 2014 Results (30 JAN 2015):
North America
Sales of insulin and protein-related products in North America increased by 12% in both local currencies and Danish kroner. Sales growth is primarily driven by a positive contribution from pricing in the US and market share gains for Levemir. In the US, sales growth is negatively impacted by the partial loss of reimbursement with a large pharmacy benefit manager effective January 2014 as well as expanded Medicaid and Medicare Part D utilisation. 50% of Novo Nordisk’s modern insulin volume in the US is used in the prefilled devices FlexPen and FlexTouch.
Europe
Sales of insulin and protein-related products in Europe were unchanged in both local currencies and in Danish kroner. The development reflects a contracting premix insulin segment and declining human insulin sales which are only partly offset by the penetration of Tresiba and the continued progress of NovoRapid. Furthermore, sales are affected by a net negative impact from the implementation of pricing reforms in several European countries. The device penetration in Europe remains high with 96% of Novo Nordisk’s insulin volume being used in devices, primarily NovoPen and FlexPen.
International Operations
Sales of insulin and protein-related products in International Operations increased by 13% in local currencies and by 3% in Danish kroner reflecting a significant depreciation of key invoicing currencies, primarily the Argentinian peso, the Turkish lira and the Russian rouble against the Danish krone compared to the exchange rates in 2013. The growth in local currencies is driven by all three modern insulins offset by declining human insulin sales partly due to lower tender sales and the continued conversion of the market to modern insulin. Currently, 61% of Novo Nordisk’s insulin volume in the major private markets is used in devices.
Region China
Sales of insulin and protein-related products in Region China increased by 11% in both local currencies and Danish kroner. The sales growth was driven by all three modern insulins while sales of human insulin only grew modestly. Currently, 98% of Novo Nordisk’s insulin volume in China is used in devices, primarily the durable device NovoPen.
Japan &amp; Korea
Sales of insulin and protein-related products in Japan &amp; Korea decreased by 2% in local currencies and by 9% measured in Danish kroner. The sales development reflects a declining Japanese insulin volume market and challenging underlying market dynamics which are partly offset by the strong uptake of Tresiba. The device penetration in Japan remains high with 98% of Novo Nordisk’s insulin volume being used in devices, primarily FlexPen and FlexTouch.</t>
        </r>
      </text>
    </comment>
    <comment ref="AE40" authorId="0" shapeId="0">
      <text>
        <r>
          <rPr>
            <sz val="10"/>
            <rFont val="Arial"/>
            <family val="2"/>
          </rPr>
          <t xml:space="preserve">EvaluatePharma® Comment:
The sales of Modern insulins are disclosed separately since Q1 2006.
</t>
        </r>
      </text>
    </comment>
    <comment ref="AF40" authorId="0" shapeId="0">
      <text>
        <r>
          <rPr>
            <sz val="10"/>
            <rFont val="Arial"/>
            <family val="2"/>
          </rPr>
          <t xml:space="preserve">EvaluatePharma® Comment:
The sales of Modern insulins are disclosed separately since Q1 2006.
</t>
        </r>
      </text>
    </comment>
    <comment ref="AG40" authorId="0" shapeId="0">
      <text>
        <r>
          <rPr>
            <sz val="10"/>
            <rFont val="Arial"/>
            <family val="2"/>
          </rPr>
          <t xml:space="preserve">EvaluatePharma® Comment:
The sales of Modern insulins are disclosed separately since Q1 2006.
</t>
        </r>
      </text>
    </comment>
    <comment ref="AH40" authorId="0" shapeId="0">
      <text>
        <r>
          <rPr>
            <sz val="10"/>
            <rFont val="Arial"/>
            <family val="2"/>
          </rPr>
          <t xml:space="preserve">EvaluatePharma® Comment:
The sales of Modern insulins are disclosed separately since Q1 2006.
</t>
        </r>
      </text>
    </comment>
    <comment ref="AI40" authorId="0" shapeId="0">
      <text>
        <r>
          <rPr>
            <sz val="10"/>
            <rFont val="Arial"/>
            <family val="2"/>
          </rPr>
          <t xml:space="preserve">EvaluatePharma® Comment:
The sales of Modern insulins are disclosed separately since Q1 2006.
</t>
        </r>
      </text>
    </comment>
    <comment ref="AJ40" authorId="0" shapeId="0">
      <text>
        <r>
          <rPr>
            <sz val="10"/>
            <rFont val="Arial"/>
            <family val="2"/>
          </rPr>
          <t xml:space="preserve">EvaluatePharma® Comment:
The sales of Modern insulins are disclosed separately since Q1 2006.
</t>
        </r>
      </text>
    </comment>
    <comment ref="AK40" authorId="0" shapeId="0">
      <text>
        <r>
          <rPr>
            <sz val="10"/>
            <rFont val="Arial"/>
            <family val="2"/>
          </rPr>
          <t xml:space="preserve">EvaluatePharma® Comment:
The sales of Modern insulins are disclosed separately since Q1 2006.
</t>
        </r>
      </text>
    </comment>
    <comment ref="AL40" authorId="0" shapeId="0">
      <text>
        <r>
          <rPr>
            <sz val="10"/>
            <rFont val="Arial"/>
            <family val="2"/>
          </rPr>
          <t xml:space="preserve">EvaluatePharma® Comment:
The sales of Modern insulins are disclosed separately since Q1 2006.
</t>
        </r>
      </text>
    </comment>
    <comment ref="AM40" authorId="0" shapeId="0">
      <text>
        <r>
          <rPr>
            <sz val="10"/>
            <rFont val="Arial"/>
            <family val="2"/>
          </rPr>
          <t xml:space="preserve">EvaluatePharma® Comment:
The sales of Modern insulins are disclosed separately since Q1 2006.
</t>
        </r>
      </text>
    </comment>
    <comment ref="AN40" authorId="0" shapeId="0">
      <text>
        <r>
          <rPr>
            <sz val="10"/>
            <rFont val="Arial"/>
            <family val="2"/>
          </rPr>
          <t xml:space="preserve">EvaluatePharma® Comment:
The sales of Modern insulins are disclosed separately since Q1 2006.
</t>
        </r>
      </text>
    </comment>
    <comment ref="H41" authorId="0" shapeId="0">
      <text>
        <r>
          <rPr>
            <sz val="10"/>
            <rFont val="Arial"/>
            <family val="2"/>
          </rPr>
          <t>Patent Comment:
Patent date &amp; number refers to "Insulin derivatives" (US#7615532) including 1803 days of expected patent extension. Patent protection also refers to  “Insulin preparations containing NaCl” (US#5866538) expires on 20 JUN 2017. Patent protection refers to “Automatic injection device with reset feature” (US#6899699, #8672898) expires on 02 JAN 2022. Patent protection also refers to "Automatic injection device with a top release mechanism" (US#9108002) expires on 20 JAN 2026. Patent protection also refers to “Injection device with torsion spring and rotatable display” (US#8684969) expires on 25 OCT 2025. RoW expiry refers to EU patent. Source: 01 NOV 2017 PR,  05 MAY 2015 Presentation, 2017 AR, 2015 20-F, US PTO &amp; FDA</t>
        </r>
      </text>
    </comment>
    <comment ref="Z41" authorId="0" shapeId="0">
      <text>
        <r>
          <rPr>
            <sz val="10"/>
            <rFont val="Arial"/>
            <family val="2"/>
          </rPr>
          <t xml:space="preserve">Company Disclosed Competitive Profile:
Source: Novo Nordisk Annual Report 2010, Page 3-4:
We saw tremendous progress in 2010 in our development pipeline, with positive results from phase 3 trials for our next-generation insulins, Degludec (insulin degludec) and DegludecPlus (insulin degludec/insulin aspart). We expect to file for regulatory approval of Degludec (insulin degludec) and DegludecPlus (insulin degludec/insulin aspart) this year.
Page 9: 
The number of people participating in Novo Nordisk’s clinical trials increased by 74% in 2010. Due to the phase 3 trials for Degludec and DegludecPlus, which involve more than 9,000 people, 19,361 people participated in Novo Nordisk’s clinical trials in 2010, compared with 11,130 in 2009.
Page 24: 
Ultra-long-acting basal insulin with a bolus boost. Enrolment in the phase 3a programme completed in June 2010. First phase 3a study results announced in August 2010.
Page 30: 
In January 2011, we completed the phase 3a programme for Degludec and DegludecPlus. The data generated from 17 randomised, controlled treat-to-target trials in more than 10,000 type 1 and type 2 diabetes patients from more than 40 countries, consistently revealed benefits related to efficacy, safety and convenience of both Degludec and DegludecPlus. The trials mostly used insulin analogues as comparator products and the key results are provided in this section. We expect to submit applications for regulatory approval of Degludec and DegludecPlus in the US and Europe in the second half of 2011. DegludecPlus, the first prandial basal insulin combination containing ultra-long-acting Degludec and insulin aspart (NovoRapid®), was also tested in phase 3a studies. In one six month study, twicedaily DegludecPlus was compared to twice-daily NovoMix® 30 in people with late-stage type 2 diabetes. DegludecPlus effectively improved long-term glycaemic control by reducing blood glucose to just above 7%. Despite similar blood glucose reductions to NovoMix® 30, the DegludecPlus treated group demonstrated a significantly lower risk of hypoglycaemia including a more than 70% reduction in night-time hypoglycaemia. The DegludecPlus patients also had a significant reduction in fasting blood glucose, achieved target control faster and required a lower total insulin dose. 
</t>
        </r>
      </text>
    </comment>
    <comment ref="AA41" authorId="0" shapeId="0">
      <text>
        <r>
          <rPr>
            <sz val="10"/>
            <rFont val="Arial"/>
            <family val="2"/>
          </rPr>
          <t>Company Disclosed Competitive Profile:
Source: Novo Nordisk 2011 Annual Report, Page 3-5:
Equally significant were the finalisation of the clinical activities and filing for regulatory approval in Europe, Japan and the US of a new generation of insulin products. These are based on the ultra-long principle of Degludec, allowing for a half-life twice as long as the basal insulins most commonly used today. With these products it is our hope that we can offer both the world’s longest-acting basal insulin, Degludec, and a combination of this basal insulin with the world’s leading short-acting insulin, NovoRapid® (NovoLog®), DegludecPlus, which will offer people with diabetes superior glucose control, reducing the risk of hypoglycaemia (too low blood sugar) and providing greater dosing flexibility. Degludec is also designed to provide people with diabetes the flexibility to administer their insulin at any time of day, at different times from day to day.
Our focus in 2012 will be on: The regulatory process for approval of Degludec and DegludecPlus in our main markets and preparations for the launch of these new-generation insulins.
Novo Nordisk achieved a significant milestone in 2011, as applications for marketing authorisation of two new-generation insulins, Degludec1 and DegludecPlus2, were filed in major markets.
Page 13: 
For 2012, growth in operating profit is expected to be around 10% measured in local currencies. The outlook for growth in operating profit reflects significant expenditure related to the expected launch of the ultra-long-acting insulin Degludec.
Page 33-34: 
Our focus on improving the lives of people with diabetes led us to develop two new-generation insulins, Degludec and DegludecPlus, which were filed for regulatory approval in key markets in 2011. These new-generation insulins are designed to have an ultra-long action for the treatment of type 1 and type 2 diabetes, providing stable and consistent blood glucose control while reducing the rate of hypoglycaemia, particularly at night when hypoglycaemic events are difficult to manage. It is known that many healthcare providers and people with diabetes intentionally undertreat to avoid incidences of hypoglycaemia, allowing higher levels of blood glucose with the potential for health complications.
Degludec is designed to provide greater dosing flexibility, with more than 40 hours' glucose control. This flexibility can give people with diabetes the flexibility to administer once-daily treatment at a different time from day to day. DegludecPlus combines ultra-long-acting insulin degludec and the most prescribed rapid-acting insulin, NovoRapid®, providing both basal and mealtime glucose control.
The regulatory filings for Degludec and DegludecPlus were largely based on results from the BEGIN™ and BOOST™ clinical trial programmes. Data from the 17 trials have shown Degludec to effectively lower blood glucose levels, while demonstrating a lower rate of hypoglycaemia, particularly at night, relative to insulin glargine. In addition, Degludec will offer greater flexibility as to time of administration and, when used with FlexTouch®, can allow larger single doses than other insulin devices on the market. At present, many people need to take two injections to get their total insulin dose.
BEGIN™ and BOOST™ were the largest clinical trial programmes in the history of insulin therapy, involving nearly 10,000 people with type 1 and type 2 diabetes. The programmes were designed after consulting with regulatory agencies in the EU, Japan and the US.
We intend to make Degludec and DegludecPlus available in FlexTouch®, the first insulin pen that will have the potential to deliver up to 160 insulin units in a single injection.</t>
        </r>
      </text>
    </comment>
    <comment ref="AB41" authorId="0" shapeId="0">
      <text>
        <r>
          <rPr>
            <sz val="10"/>
            <rFont val="Arial"/>
            <family val="2"/>
          </rPr>
          <t xml:space="preserve">Company Comment:
Source: Novo Nordisk 2012 Annual Report, Page 3:
However, almost all attention from investors and the media was on our new generation of insulins, TresibaR (insulin degludec) and RyzodegR (a combination of insulin degludec and insulin aspart). Both products were approved in Japan in 2012 and in the EU in January 2013. In the US, Canada, Switzerland and other countries, the approval process is ongoing.
Page 16: 
A new generation of insulins, TresibaR (insulin degludec) and RyzodegR (insulin degludec/insulin aspart), is due to be launched in key markets in 2013.
</t>
        </r>
      </text>
    </comment>
    <comment ref="AC41" authorId="0" shapeId="0">
      <text>
        <r>
          <rPr>
            <sz val="10"/>
            <rFont val="Arial"/>
            <family val="2"/>
          </rPr>
          <t>Company Disclosed Competitive Profile:    
Source: Novo Nordisk 2013 Annual Report, Page 10:  
Novo Nordisk expects to have sufficient data to support an interim analysis within two to three years and to complete the study within four to six years from initiation. The data will also be used to support the resubmission of Ryzodeg, the combination of Tresiba and insulin aspart.</t>
        </r>
      </text>
    </comment>
    <comment ref="AD41" authorId="0" shapeId="0">
      <text>
        <r>
          <rPr>
            <sz val="10"/>
            <rFont val="Arial"/>
            <family val="2"/>
          </rPr>
          <t>Company Comment:
Source: Novo Nordisk 2014 Annual Report, page 6:
Ryzodeg®, a soluble formulation of insulin degludec and insulin aspart, has in addition to Mexico now also been launched in India. Launch activities in both countries are progressing as planned and early feedback from patients and prescribers is encouraging.</t>
        </r>
      </text>
    </comment>
    <comment ref="AE41" authorId="0" shapeId="0">
      <text>
        <r>
          <rPr>
            <sz val="10"/>
            <rFont val="Arial"/>
            <family val="2"/>
          </rPr>
          <t xml:space="preserve">EvaluatePharma® Comment:
Novo Nordisk discloses sales which includes Tresiba, Ryzodeg &amp; Xultophy.  Evaluate Ltd. have applied the brokers' split to 2015 disclosed sales
Company Comment:
Source: Novo Nordisk FY 2015 Results (03 FEB 2016):
Sales of new-generation insulin (Tresiba®, Ryzodeg® and Xultophy®) reached DKK 1,438 million compared with DKK 658 million in 2014.
Source: Novo Nordisk 2015 20-F, Page 7:
Ryzodeg, a soluble formulation of insulin degludec and insulin aspart, was recently launched in Japan as the third market, following launches in Mexico and India. Launch activities are progressing as planned and early feedback from patients and prescribers is encouraging.
</t>
        </r>
      </text>
    </comment>
    <comment ref="AF41" authorId="0" shapeId="0">
      <text>
        <r>
          <rPr>
            <sz val="10"/>
            <rFont val="Arial"/>
            <family val="2"/>
          </rPr>
          <t>Data Source:
Novo Nordisk FY 2017 Results (01 FEB 2018).
Company Comment:
Source: Novo Nordisk FY 2016 Results (02 FEB 2017):
Sales of new-generation insulin (Tresiba, Xultophy and Ryzodeg) reached DKK 4,459 million compared with DKK 1,438 million in 2015.
Ryzodeg, a soluble formulation of insulin degludec and insulin aspart, has now been marketed in 10 countries, and feedback from patients and prescribers is encouraging.
International Operations
Sales of insulin in International Operations increased by 15% in local currencies and by 2% in Danish kroner. The growth in local currencies reflects growth in modern insulin, the new-generation insulin products Tresiba and Ryzodeg as well as human insulin. Currently, 58% of Novo Nordisk’s insulin volume in the major private markets is used in devices. Region China.
Pacific
Sales of insulin in Pacific declined by 1% in local currencies and increased by 4% in Danish kroner. The sales development reflects declining sales in Canada and Australia partly offset by continued uptake of Tresiba and the introduction of Ryzodeg in Japan. The device penetration in Japan is high with 98% of Novo Nordisk’s insulin volume used predominantly in FlexTouch devices.
Source: Novo Nordisk  2016 20-F, Page 7:
Ryzodeg, a soluble formulation of insulin degludec and insulin aspart, has now been marketed in 10 countries, and feedback from patients and prescribers is encouraging.</t>
        </r>
      </text>
    </comment>
    <comment ref="AG41" authorId="0" shapeId="0">
      <text>
        <r>
          <rPr>
            <sz val="10"/>
            <rFont val="Arial"/>
            <family val="2"/>
          </rPr>
          <t>Company Comment:
Source: Novo Nordisk FY 2017 Results (01 FEB 2018):
Sales of new-generation insulin (Tresiba, Xultophy, Ryzodeg and Fiasp) reached DKK 8,647 million compared with DKK 4,459 million in 2016.
Sales of Ryzodeg, a soluble formulation of insulin degludec and insulin aspart, reached DKK 492 million compared with DKK 196 million in 2016. Sales growth was driven by International Operations, where Region Japan &amp; Korea and Region AAMEO contributed to growth. Ryzodeg has now been marketed in 18 countries, and feedback from patients and prescribers remains encouraging.
Region AAMEO 
Sales of insulin in Region AAMEO increased by 4% in Danish kroner and by 9% in local currencies. The sales growth is reflecting the growth of the overall diabetes care market driven by modern insulin as well as the new-generation insulin Tresiba and Ryzodeg, partly offset by declining human insulin sales. Currently, 63% of Novo Nordisk’s insulin volume in the major private markets in Region AAMEO is used in devices.
Region Japan &amp; Korea 
Sales of insulin in Region Japan &amp; Korea decreased by 4% in Danish kroner and increased by 1% in local currencies. The sales development in local currencies reflects continued positive uptake of Ryzodeg and positive contribution from Tresiba in Japan and Korea, partly offset by lower modern insulin and human insulin sales in the region reflecting the declining insulin volume market in Japan.
Source: Novo Nordisk 2017 20-F, Page 6-7:
Ryzodeg, a soluble formulation of insulin degludec and insulin aspart, has now been marketed in 18 countries, and feedback from patients and prescribers remains encouraging.</t>
        </r>
      </text>
    </comment>
    <comment ref="H42" authorId="0" shapeId="0">
      <text>
        <r>
          <rPr>
            <sz val="10"/>
            <rFont val="Arial"/>
            <family val="2"/>
          </rPr>
          <t>Patent Comment:
Patent date refers to US patent "Heterocyclic substituted sulfonyl ureas, and their uses" (US#4379785), including paediatric exclusivity. NCE exclusivity expired NOV 2000. RoW expiry refers to patent in EU expired DEC 2005 &amp; Japan expired DEC 2005. Source: 2017 20-F &amp;, USPTO.</t>
        </r>
      </text>
    </comment>
    <comment ref="Z42" authorId="0" shapeId="0">
      <text>
        <r>
          <rPr>
            <sz val="10"/>
            <rFont val="Arial"/>
            <family val="2"/>
          </rPr>
          <t>Company Comment:
Source: Sanofi- Aventis FY 2010 Results (9 FEB 2011):
Amaryl® net sales reached ... €478 million (+7.7%) in 2010, driven by performance in Asia .</t>
        </r>
      </text>
    </comment>
    <comment ref="AA42" authorId="0" shapeId="0">
      <text>
        <r>
          <rPr>
            <sz val="10"/>
            <rFont val="Arial"/>
            <family val="2"/>
          </rPr>
          <t>Company Comment:
Source: Sanofi 2011 20-F Page 104:
Amaryl saw net sales decrease by 7.9% at constant exchange rates in 2011 to €436 million, due principally to competition from generics in Japan, and despite an 8.6% increase (at constant exchange rates) in Emerging Markets.</t>
        </r>
      </text>
    </comment>
    <comment ref="AB42" authorId="0" shapeId="0">
      <text>
        <r>
          <rPr>
            <sz val="10"/>
            <rFont val="Arial"/>
            <family val="2"/>
          </rPr>
          <t>Company Comment:
Source: Sanofi FY 2012 Results (07 FEB 2013):
… Sales of Amaryl in 2012 were €421 million (-8.0%), of which 62.5% were generated in Emerging Markets (€263 million), an increase of 11.4%.</t>
        </r>
      </text>
    </comment>
    <comment ref="AC42" authorId="0" shapeId="0">
      <text>
        <r>
          <rPr>
            <sz val="10"/>
            <rFont val="Arial"/>
            <family val="2"/>
          </rPr>
          <t>Company Comment:
Source: Sanofi FY 2013 Results (06 FEB 2014):
...In Emerging Markets, sales of the product grew 10.8% to €66 million. In 2013, sales of Amaryl were €375 million (-1.0%), reflecting 9.9% growth (to €269 million) in Emerging Markets and generic competition in Japan where sales decreased 18.4% to €81 million.</t>
        </r>
      </text>
    </comment>
    <comment ref="AD42" authorId="0" shapeId="0">
      <text>
        <r>
          <rPr>
            <sz val="10"/>
            <rFont val="Arial"/>
            <family val="2"/>
          </rPr>
          <t xml:space="preserve">Company Comment:
Source: Sanofi Q4 2014 Results (05 FEB 2015):
…Full-year sales of Amaryl were stable at €360 million.
In Japan, sales were €550 million, a decrease of 12.0% in the fourth-quarter sales reflecting the impact of generic competition to Allegra , Myslee , Amaryl and Taxotere and lower sales of vaccines. Full-year sales in Japan were €2,119 million (down 8.6%).
</t>
        </r>
      </text>
    </comment>
    <comment ref="AE42" authorId="0" shapeId="0">
      <text>
        <r>
          <rPr>
            <sz val="10"/>
            <rFont val="Arial"/>
            <family val="2"/>
          </rPr>
          <t>Company Comment:
Source: Sanofi FY 2015 Results (09 FEB 2016):
...In 2015, Amaryl® sales were up 1.7% to €393 million...</t>
        </r>
      </text>
    </comment>
    <comment ref="AF42" authorId="0" shapeId="0">
      <text>
        <r>
          <rPr>
            <sz val="10"/>
            <rFont val="Arial"/>
            <family val="2"/>
          </rPr>
          <t>Company Comment:
Source: Sanofi FY 2016 Results (08 FEB 2017):
...In 2016, Amaryl sales were €362 million, down 3.8%.</t>
        </r>
      </text>
    </comment>
    <comment ref="AG42" authorId="0" shapeId="0">
      <text>
        <r>
          <rPr>
            <sz val="10"/>
            <rFont val="Arial"/>
            <family val="2"/>
          </rPr>
          <t>Company Comment:
Source: Sanofi FY 2017 Results (07 FEB 2018):
... Full-year 2017 Amaryl sales were down 1.4% to €337 million.</t>
        </r>
      </text>
    </comment>
    <comment ref="H43" authorId="0" shapeId="0">
      <text>
        <r>
          <rPr>
            <sz val="10"/>
            <rFont val="Arial"/>
            <family val="2"/>
          </rPr>
          <t>Patent Comment:
Patent date refers to "Cyclopropyl-fused pyrrolidine-based inhibitors of dipeptidyl peptidase IV &amp; method" (US#6395767/RE44186) including 896 days patent extension. Patent protection refers to "Coated tablet formulation and method" (US#7951400) expiring on 30 NOV 2028. RoW expiry refers to EU composition of matter patent. China exclusivity expires 2021. NCE exclusivity expired on 31-JUL-2014. MAY14 Allergan confirmed ANDA filing against Onglyza; AstraZeneca filed suit against Allergan. Source: 2017 AR, Allergan 27 MAY 2014 PR, 2013 10-K BMS, US PTO, FDA &amp; 2015 AR.</t>
        </r>
      </text>
    </comment>
    <comment ref="Z43" authorId="0" shapeId="0">
      <text>
        <r>
          <rPr>
            <sz val="10"/>
            <rFont val="Arial"/>
            <family val="2"/>
          </rPr>
          <t>EvaluatePharma®  Comment:
Bristol-Myers Squibb book WW sales and share profits equally with AstraZeneca.
Company Comment:
Source: FY 2009 Results (28 JAN 2010):
Alliance revenue from the ONGLYZA collaboration with Bristol-Myers Squibb totalled $11 million for the full year, as $2 million in revenue in the fourth quarter was recorded in addition to the $9 million in the third quarter, which was AstraZeneca’s share of launch stocking sales in the US following US FDA approval on 31 July 2009.
Company Disclosed Competitive Profile:
Source: Bristol-Myers Squibb 2009 10-K, Page 40-41:
In October 2009, the Company and AstraZeneca announced that the European Commission has granted marketing authorization for ONGLYZA, a dipeptidyl peptidase-4 inhibitor, in all 27 countries of the European Union to treat type 2 diabetes in adults with either metformin, a sulfonylurea or a thiazolidinedione, when any of these other agents alone, with diet and exercise, does not provide adequate glycemic control.
In October 2009, the Company and AstraZeneca announced results of the 18-week Phase IIIb study in adults with type 2 diabetes with inadequate glycemic control on metformin therapy alone found that the addition of ONGLYZA 5mg per day to metformin treatment achieved the primary objective of demonstrating non-inferiority compared to the addition of JANUVIA*(sitagliptin) 100mg per day to metformin treatment in reducing HbA1c from baseline.
In July 2009, the Company and AstraZeneca announced that the FDA approved ONGLYZA. ONGLYZA is indicated as an adjunct to diet and exercise to improve blood sugar (glycemic) control in adults for the treatment of type 2 diabetes mellitus. ONGLYZA once daily can be used in combination with commonly prescribed oral anti-diabetic medications, metformin, sulfonylureas or thiazolidinediones, or as a monotherapy to significantly reduce glycosylated hemoglobin levels.
In June 2009, at the American Diabetes Association Annual Scientific Sessions, interim analysis (at 102 weeks) of a 42-month long-term Phase III extension study was presented which showed that when ONGLYZA was added to metformin in patients with inadequately controlled type 2 diabetes, the profile of adverse events was consistent with that seen at 24 weeks, and the treatment regimen produced long-term glycemic improvement.</t>
        </r>
      </text>
    </comment>
    <comment ref="AA43" authorId="0" shapeId="0">
      <text>
        <r>
          <rPr>
            <sz val="10"/>
            <rFont val="Arial"/>
            <family val="2"/>
          </rPr>
          <t xml:space="preserve">EvaluatePharma®  Comment:
Bristol-Myers Squibb book WW sales and share profits equally with AstraZeneca.
Company Comment:
Source: Bristol-Myers Squibb 2011 10-K, Page 39-40:
ONGLYZA/KOMBIGLYZE (saxagliptin/saxagliptin and metformin) – a treatment for type 2 diabetes that is part of our strategic alliance with AstraZeneca
• In December 2011, the FDA approved ONGLYZA for use as a combination therapy with insulin (with or without metformin) to improve blood
sugar in adult patients with type 2 diabetes.
• In November 2011, the European Commission approved KOMBIGLYZE (known in the EU as KOMBOGLYZE) for the treatment of type 2
diabetes.
• In November 2011, the European Commission approved ONGLYZA for use as a combination therapy with insulin (with or without metformin)
to improve blood sugar (glycemic) control in adult patients with type 2 diabetes.
• In September 2011 at the 47th European Association for the Study of Diabetes annual meeting, the Company and AstraZeneca announced results
from an investigational Phase IIIb clinical study which reported that ONGLYZA 5 mg added to insulin (with or without metformin) maintained
glycemic control (glycosylated hemoglobin levels or HbA1c) in adult patients with type 2 diabetes compared to the addition of placebo at 24 to
52 weeks. 
In June 2011, the Company and AstraZeneca announced results from an investigational Phase IIIb clinical study which reported that ONGLYZA
5 mg added to insulin (with or without metformin) significantly reduced blood sugar levels (glycosylated hemoglobin levels or HbA1c) at 24
weeks compared to treatment with placebo added to insulin (with or without metformin).
• In May 2011, the Company and AstraZeneca announced that the State Food and Drug Administration approved ONGLYZA in China.
• In February 2011, the Company and AstraZeneca announced that the European Commission approved a label update for ONGLYZA in the
treatment of adults with type 2 diabetes who have moderate or severe renal impairment making ONGLYZA the first dipeptidyl peptidase-4
(DDP-4) inhibitor in Europe available for type 2 diabetes patients with moderate or severe renal impairment.
• In February 2011, the Company and AstraZeneca announced that the FDA approved the inclusion of data from two clinical studies in an update
to the ONGLYZA U.S. Prescribing Information for adults with type 2 diabetes. The U.S. label update provides further evidence regarding use in
renally impaired adults with type 2 diabetes as well as comparisons between glipizide and ONGLYZA in patients also taking metformin.
Source: AstraZeneca 2011 Annual Report, Page 60: 
AstraZeneca continues its strong worldwide1 collaboration with BMS to develop and commercialise two compounds discovered by BMS (Onglyza™ (saxagliptin) and dapagliflozin) for the treatment of Type 2 diabetes.
Onglyza™ has been submitted for regulatory review in more than 90 countries and approved in 68, including the US, Canada, Mexico, 30 European countries, India, Brazil and China. In March 2011, Onglyza™ became the first DPP-IV inhibitor available for use in Europe in Type 2 diabetes patients with moderate or severe renal impairment. This followed the European Commission’s approval of a label update for Onglyza™ in the treatment of adults with Type 2 diabetes who have moderate or severe renal impairment. The approved dosage for this patient group is a once-daily 2.5mg dose.
In November, AstraZeneca and BMS were granted approval from the European Commission for the marketing authorisation for Komboglyze™ (a fixed dose combination of Onglyza™ and metformin immediate release tablets) as a treatment for adults with Type 2 diabetes. The decision applies to the 27 member states of the EU. This followed FDA approval in November 2010 for Kombiglyze XR™, a fixed dose combination of Onglyza™ plus metformin hydrochloride extended-release tablets. Kombiglyze XR™ is the first and only once-a-day metformin extended release plus DPP-IV inhibitor combination tablet providing strong comprehensive glycaemic control across glycosylated haemoglobin levels (HbA1c), fasting plasma glucose and post-prandial glucose. Kombiglyze XR™ was launched in January 2011 in the US.
</t>
        </r>
      </text>
    </comment>
    <comment ref="AB43" authorId="0" shapeId="0">
      <text>
        <r>
          <rPr>
            <sz val="10"/>
            <rFont val="Arial"/>
            <family val="2"/>
          </rPr>
          <t>EvaluatePharma®  Comment:
Bristol-Myers Squibb book WW sales and share profits equally with AstraZeneca.
Company Comment:
Source: FY 2009 Results (28 JAN 2010):
Alliance revenue from the ONGLYZA collaboration with Bristol-Myers Squibb totalled $11 million for the full year, as $2 million in revenue in the fourth quarter was recorded in addition to the $9 million in the third quarter, which was AstraZeneca’s share of launch stocking sales in the US following US FDA approval on 31 July 2009.
Company Disclosed Competitive Profile:
Source: Bristol-Myers Squibb 2009 10-K, Page 40-41:
In October 2009, the Company and AstraZeneca announced that the European Commission has granted marketing authorization for ONGLYZA, a dipeptidyl peptidase-4 inhibitor, in all 27 countries of the European Union to treat type 2 diabetes in adults with either metformin, a sulfonylurea or a thiazolidinedione, when any of these other agents alone, with diet and exercise, does not provide adequate glycemic control.
In October 2009, the Company and AstraZeneca announced results of the 18-week Phase IIIb study in adults with type 2 diabetes with inadequate glycemic control on metformin therapy alone found that the addition of ONGLYZA 5mg per day to metformin treatment achieved the primary objective of demonstrating non-inferiority compared to the addition of JANUVIA*(sitagliptin) 100mg per day to metformin treatment in reducing HbA1c from baseline.
In July 2009, the Company and AstraZeneca announced that the FDA approved ONGLYZA. ONGLYZA is indicated as an adjunct to diet and exercise to improve blood sugar (glycemic) control in adults for the treatment of type 2 diabetes mellitus. ONGLYZA once daily can be used in combination with commonly prescribed oral anti-diabetic medications, metformin, sulfonylureas or thiazolidinediones, or as a monotherapy to significantly reduce glycosylated hemoglobin levels.
In June 2009, at the American Diabetes Association Annual Scientific Sessions, interim analysis (at 102 weeks) of a 42-month long-term Phase III extension study was presented which showed that when ONGLYZA was added to metformin in patients with inadequately controlled type 2 diabetes, the profile of adverse events was consistent with that seen at 24 weeks, and the treatment regimen produced long-term glycemic improvement.
Source: AstraZeneca 2012 Annual Report, Pages 54-55:
Onglyza is a DPP-IV inhibitor used for the treatment of Type 2 diabetes and has been submitted for regulatory review in 94 countries and approved in 81, including the US, Canada, Mexico, the EU, India, Brazil and China.
The SAVOR-TIMI 53 (saxagliptin assessment of vascular outcomes recorded in patients with diabetes mellitus) trial, which has completed recruitment, is designed to determine whether treatment with  Onglyza  when added to a patient’s current standard of care will result in a reduction in a composite CV endpoint (CV death, non-fatal myocardial infarction, non-fatal ischaemic stroke) compared to placebo. This trial, involving 16,500 adult patients with Type 2 diabetes with a history of established CV disease or multiple risk factors, is also designed to fulfil a post-marketing requirement for the FDA.</t>
        </r>
      </text>
    </comment>
    <comment ref="AC43" authorId="0" shapeId="0">
      <text>
        <r>
          <rPr>
            <sz val="10"/>
            <rFont val="Arial"/>
            <family val="2"/>
          </rPr>
          <t>EvaluatePharma®  Comment:
Bristol-Myers Squibb book WW sales and share profits equally with AstraZeneca.
Company Comment:
Source: AstraZeneca FY 2013 Results (06 FEB 2014):
...AstraZeneca’s share of worldwide alliance revenue for the full year was $378 million, up  17 percent.
Source: FY 2009 Results (28 JAN 2010):
Alliance revenue from the ONGLYZA collaboration with Bristol-Myers Squibb totalled $11 million for the full year, as $2 million in revenue in the fourth quarter was recorded in addition to the $9 million in the third quarter, which was AstraZeneca’s share of launch stocking sales in the US following US FDA approval on 31 July 2009.
Company Disclosed Competitive Profile:
Source: AstraZeneca 2013 Annual Report, Page 55:
With the completion of the SAVOR-TIMI 53 (saxagliptin assessment of vascular outcomes recorded in patients with Type 2 diabetes mellitus) trial in September 2013, Onglyza is now among the most extensively studied anti-diabetic medications. The trial, involving 16,500 adult patients with Type 2 diabetes mellitus, with a history of established CV disease or multiple risk factors, was also designed to fulfil a post-marketing requirement for the FDA.
Within its clinically relevant high CV risk population, SAVOR met the primary safety objective, demonstrating no increased risk for the primary composite endpoint of CV death, non-fatal MI or non-fatal ischaemic stroke, when added to a patient’s current standard of care (with or without other anti-diabetic therapies), as compared to placebo. Onglyza did not meet the primary efficacy endpoint of superiority to placebo for the same composite endpoint. Patients treated with Onglyza experienced improved glycaemic control and reduced development and progression of microalbuminuria over two years as assessed in exploratory analyses. The large size of SAVOR also allowed us to evaluate a broad range of other data of interest. Overall adverse events, serious adverse events and discontinuations were similar to placebo and the rates of pancreatitis and pancreatic cancer were low and balanced between Onglyza and placebo. The major secondary composite endpoint of CV death, non-fatal MI, non-fatal ischaemic stroke or hospitalisation for heart failure, unstable angina or coronary revascularisation was balanced across the two arms. One component of the composite secondary endpoint, hospitalisation for heart failure, occurred more in the Onglyza group compared to placebo. There was no increased rate of hypoglycemia among patients treated with Onglyza compared to placebo when added to metformin monotherapy and higher rates of hypoglycemia only in the Onglyza group compared to the placebo group among patients taking sulfonylureas, agents known to cause hypoglycemia, at baseline.</t>
        </r>
      </text>
    </comment>
    <comment ref="AD43" authorId="0" shapeId="0">
      <text>
        <r>
          <rPr>
            <sz val="10"/>
            <rFont val="Arial"/>
            <family val="2"/>
          </rPr>
          <t xml:space="preserve">Includes:
1) Onglyza
2) Kombiglyze XR
Company Comment:
Source: AstraZeneca FY 2014 Results (05 FEB 2015):
...Global revenue in 2014 was $820m, up 119%.
Company Disclosed Competitive Profile:
Source: AstraZeneca 2014 Annual Report, Page 38:
The CV outcome study SAVOR-TIMI 53 (Saxagliptin Assessment of Vascular Outcomes Recorded in Patients with Type 2 diabetes mellitus) was completed in September 2013, making Onglyza one of the most extensively studied anti-diabetic medications. The trial involved 16,500 adult patients with Type 2 diabetes mellitus with a history of established CV disease or multiple risk factors. The trial also fulfilled an FDA post-marketing requirement. In this study, Onglyza met the primary safety objective of non-inferiority but did not meet the primary efficacy objective of superiority. In July 2014, the EMA updated the EU label to include these study results. Other regulatory authorities are currently reviewing the data. </t>
        </r>
      </text>
    </comment>
    <comment ref="AE43" authorId="0" shapeId="0">
      <text>
        <r>
          <rPr>
            <sz val="10"/>
            <rFont val="Arial"/>
            <family val="2"/>
          </rPr>
          <t xml:space="preserve">Includes:
1) Onglyza
2) Kombiglyze XR
Company Comment:
Source: AstraZeneca FY 2015 Results (04 FEB 2016):
Sales were up 2% in the year to $786m, with sales in Q4 2015 increasing by 3%.
US sales in the year declined by 13% to $420m as a consequence of a greater emphasis on the promotion of Farxiga. Competitive pressures in the DPP-4 class drove lower volumes and a decline inthe net price.
Sales in Europe grew by 8% to $141m, while Emerging Markets sales increased by 41% to $159m
</t>
        </r>
      </text>
    </comment>
    <comment ref="AF43" authorId="0" shapeId="0">
      <text>
        <r>
          <rPr>
            <sz val="10"/>
            <rFont val="Arial"/>
            <family val="2"/>
          </rPr>
          <t>Includes:
1) Onglyza
2) Kombiglyze XR
Company Comment:
Source: AstraZeneca FY 2016 Results (02 FEB 2017):
Sales in the US declined by 10% to $376m, as the Company prioritised sales and marketing resources towards Farxiga. Continued competitive pressures in the DPP-4 class led to lower market share but were partially offset by reduced levels of utilisation of patient-access programmes. Full-year sales in Europe declined by 5% to $132m and by 4% in Emerging Markets to $142m, again reflecting the Company’s focus on Farxiga.</t>
        </r>
      </text>
    </comment>
    <comment ref="AG43" authorId="0" shapeId="0">
      <text>
        <r>
          <rPr>
            <sz val="10"/>
            <rFont val="Arial"/>
            <family val="2"/>
          </rPr>
          <t>Includes:
1) Onglyza
2) Kombiglyze XR
Company Comment:
Source: AstraZeneca FY 2017 Results (02 FEB 2018):
Product Sales of $611m in the year, a decline of 15% (16% at CER). Onglyza sales, however, grew by 21% in Q4 2017 (19% at CER) to $180m. The performance in the latter period partly reflected favourable true-up adjustments relating to the first nine months of 2017 in the US, as well as an encouraging performance in Emerging Markets. Given the significant future potential of Farxiga, the Company continues to prioritise its commercial support over Onglyza.
The full-year performance reflected adverse pressures on the dipeptidyl peptidase-4 (DPP-4) class and an acceleration of ongoing Diabetes market dynamics, where patients are moving to medicines and classes of medicines with documented CV benefits.
Sales in Emerging Markets declined by 8% (10% at CER) to $130m. Onglyza, however, entered the NRDL in China in the year, underpinning Q4 2017 Emerging Markets sales growth of 16% (13% at CER) in the quarter to $37m. Sales in Europe in the year declined by 21% to $104m, reflecting the broader dynamic of shift away from the DPP-4 class. In Japan, in-market sales are recorded by Kyowa Hakko Kirin Co., Ltd, to whom sales totalled $13m.
China sales grew by 12% (15% at CER) to $2,955m, representing 48% of total Emerging Markets sales. Onglyza and Iressa were included on the NRDL in China in the year, as were Brilinta, Faslodex and Seroquel XR; the benefits of this inclusion are anticipated to favourably impact Product Sales after FY 2017...</t>
        </r>
      </text>
    </comment>
    <comment ref="AH43" authorId="0" shapeId="0">
      <text>
        <r>
          <rPr>
            <sz val="10"/>
            <rFont val="Arial"/>
            <family val="2"/>
          </rPr>
          <t>Includes:
1) Onglyza
2) Kombiglyze XR</t>
        </r>
      </text>
    </comment>
    <comment ref="AI43" authorId="0" shapeId="0">
      <text>
        <r>
          <rPr>
            <sz val="10"/>
            <rFont val="Arial"/>
            <family val="2"/>
          </rPr>
          <t>Includes:
1) Onglyza
2) Kombiglyze XR</t>
        </r>
      </text>
    </comment>
    <comment ref="AJ43" authorId="0" shapeId="0">
      <text>
        <r>
          <rPr>
            <sz val="10"/>
            <rFont val="Arial"/>
            <family val="2"/>
          </rPr>
          <t>Includes:
1) Onglyza
2) Kombiglyze XR</t>
        </r>
      </text>
    </comment>
    <comment ref="AK43" authorId="0" shapeId="0">
      <text>
        <r>
          <rPr>
            <sz val="10"/>
            <rFont val="Arial"/>
            <family val="2"/>
          </rPr>
          <t>Includes:
1) Onglyza
2) Kombiglyze XR</t>
        </r>
      </text>
    </comment>
    <comment ref="AL43" authorId="0" shapeId="0">
      <text>
        <r>
          <rPr>
            <sz val="10"/>
            <rFont val="Arial"/>
            <family val="2"/>
          </rPr>
          <t>Includes:
1) Onglyza
2) Kombiglyze XR</t>
        </r>
      </text>
    </comment>
    <comment ref="AM43" authorId="0" shapeId="0">
      <text>
        <r>
          <rPr>
            <sz val="10"/>
            <rFont val="Arial"/>
            <family val="2"/>
          </rPr>
          <t>Includes:
1) Onglyza
2) Kombiglyze XR</t>
        </r>
      </text>
    </comment>
    <comment ref="AN43" authorId="0" shapeId="0">
      <text>
        <r>
          <rPr>
            <sz val="10"/>
            <rFont val="Arial"/>
            <family val="2"/>
          </rPr>
          <t>Includes:
1) Onglyza
2) Kombiglyze XR</t>
        </r>
      </text>
    </comment>
    <comment ref="H44" authorId="0" shapeId="0">
      <text>
        <r>
          <rPr>
            <sz val="10"/>
            <rFont val="Arial"/>
            <family val="2"/>
          </rPr>
          <t>Patent Comment:
Patent date refers to "Zinc-free and low-zinc insulin preparations having improved stability" (US#6960561). Patent protection refers to "Insulin derivatives having a rapid onset of action" (US#6221633) expiring on 18-JUN-2018. Patent protection also refers to US patents (US#7452860) &amp; (US#7696162) expiring on 22-MAR-2022. Patent protection also refers to "Pen-type injector" (US#8603044) expiring on 02-MAR-2024, (US#9011391) expiring on 26 MAR 2024, (US#8512297) expiring on 15-SEP-2024, (US#8679069) expiring on 12-APR-2025 &amp; (US#7918833) expiring on 23-SEP-2027. RoW expiry refers to patent granted in Japan. Source: 2017 20-F, US PTO &amp; FDA.</t>
        </r>
      </text>
    </comment>
    <comment ref="Z44" authorId="0" shapeId="0">
      <text>
        <r>
          <rPr>
            <sz val="10"/>
            <rFont val="Arial"/>
            <family val="2"/>
          </rPr>
          <t>Company Comment:
Source: Sanofi- Aventis FY 2010 Results (9 FEB 2011):
Full year 2010 net sales of Apidra reached €177 million (up 24.1%).</t>
        </r>
      </text>
    </comment>
    <comment ref="AA44" authorId="0" shapeId="0">
      <text>
        <r>
          <rPr>
            <sz val="10"/>
            <rFont val="Arial"/>
            <family val="2"/>
          </rPr>
          <t>Company Comment:
Source: Sanofi 2011 20-F Page 103:
Net sales of the rapid-acting insulin analog Apidra advanced by 9.6% at constant exchange rates in 2011 to €190 million, led by solid performances in Japan (87.9% growth) and the United States (11.3% growth). At year-end, sales were impacted negatively by a temporary shortage of Apidra  3ml cartridges.
Source: Sanofi FY 2011 Results (8 FEB 2012):
…Full year 2011 sales of Apidra reached €190 million, an increase of 9.6%.</t>
        </r>
      </text>
    </comment>
    <comment ref="AB44" authorId="0" shapeId="0">
      <text>
        <r>
          <rPr>
            <sz val="10"/>
            <rFont val="Arial"/>
            <family val="2"/>
          </rPr>
          <t>Company Comment:
Source: Sanofi FY 2012 Results (07 FEB 2013):
…Sales of Apidra in 2012 were €230 million (+16.8%).</t>
        </r>
      </text>
    </comment>
    <comment ref="AC44" authorId="0" shapeId="0">
      <text>
        <r>
          <rPr>
            <sz val="10"/>
            <rFont val="Arial"/>
            <family val="2"/>
          </rPr>
          <t>Company Comment:
Source: Sanofi Q4 2013 Results (06 FEB 2014):
Sales of Apidra... €288 million (up 31.7%) in... 2013...</t>
        </r>
      </text>
    </comment>
    <comment ref="AD44" authorId="0" shapeId="0">
      <text>
        <r>
          <rPr>
            <sz val="10"/>
            <rFont val="Arial"/>
            <family val="2"/>
          </rPr>
          <t>Company Comment:
Source: Sanofi Q4 2014 Results (05 FEB 2015):
...In 2014, sales of Apidra grew 19.1% to €336 million.</t>
        </r>
      </text>
    </comment>
    <comment ref="AE44" authorId="0" shapeId="0">
      <text>
        <r>
          <rPr>
            <sz val="10"/>
            <rFont val="Arial"/>
            <family val="2"/>
          </rPr>
          <t>Company Comment:
Source: Sanofi FY 2015 Results (09 FEB 2016):
...In 2015, sales of Apidra® were up 4.8% to €376 million.</t>
        </r>
      </text>
    </comment>
    <comment ref="AF44" authorId="0" shapeId="0">
      <text>
        <r>
          <rPr>
            <sz val="10"/>
            <rFont val="Arial"/>
            <family val="2"/>
          </rPr>
          <t>Company Comment:
Source: Sanofi FY 2016 Results (08 FEB 2017):
...In 2016, Apidra sales decreased 1.1% to €367 million.</t>
        </r>
      </text>
    </comment>
    <comment ref="AG44" authorId="0" shapeId="0">
      <text>
        <r>
          <rPr>
            <sz val="10"/>
            <rFont val="Arial"/>
            <family val="2"/>
          </rPr>
          <t>Company Comment:
Source: Sanofi FY 2017 Results (07 FEB 2018):
... Full-year 2017 Apidra sales increased 4.9% to €377 million.</t>
        </r>
      </text>
    </comment>
    <comment ref="AA45" authorId="0" shapeId="0">
      <text>
        <r>
          <rPr>
            <sz val="10"/>
            <rFont val="Arial"/>
            <family val="2"/>
          </rPr>
          <t>Company Disclosed Competitive Profile:
Source: Furiex Pharmaceuticals 10-K (7 MAR 2012), Page 10:
On September 8, 2011, Takeda announced that SYR-472 entered Phase III clinical trials in Japan for treatment of Type-2 diabetes. If SYR-472 is approved, then we would be eligible to receive royalty payments at the same rates as for Nesina.</t>
        </r>
      </text>
    </comment>
    <comment ref="AB45" authorId="0" shapeId="0">
      <text>
        <r>
          <rPr>
            <sz val="10"/>
            <rFont val="Arial"/>
            <family val="2"/>
          </rPr>
          <t>Company Disclosed Competitive Profile:
Source: Furiex Pharmaceuticals 2012 10-K (18 MAR 2013) , Page 3:
In Japan, Takeda currently markets alogliptin under the name Nesina and two fixed dose combination tablets of Nesina and Actos (pioglitazone) under the name Liovel. In January 2013, Takeda confirmed the approval from the U.S. Food and Drug Administration, or FDA, of Nesina (alogliptin) and the fixed-dose combination therapies, Oseni (alogliptin and pioglitazone) and Kazano (alogliptin and metformin) for treatment of Type-2 diabetes. In September 2011, Takeda commenced Phase III clinical trials for trelagliptin in Japan for treatment of Type-2 diabetes.</t>
        </r>
      </text>
    </comment>
    <comment ref="AC45" authorId="0" shapeId="0">
      <text>
        <r>
          <rPr>
            <sz val="10"/>
            <rFont val="Arial"/>
            <family val="2"/>
          </rPr>
          <t xml:space="preserve">Company Disclosed Competitive Profile:
Source: Furiex Pharmaceuticals 2013 10-K (17 MAR 2014) , Page 9:
Trelagliptin (SYR-472) is part of the DPP-4 inhibitor portfolio that Takeda purchased from PPD and Syrrx in 2005. Trelagliptin has the same mechanism of action as alogliptin. However, in contrast to alogliptin, which is a once-daily oral therapy, trelagliptin is a once-weekly oral agent. Takeda completed two Phase II studies in early 2008, the primary endpoint of which was HbA (1C) at 12 weeks. In September 2011, Takeda commenced Phase III clinical trials for trelagliptin in Japan for treatment of Type-2 diabetes. Takeda has conducted: (1) a 52-week open-label study in Japan in approximately 600 subjects who are not well-controlled on diet and exercise or another oral anti-diabetic drug; and (2) a 24-week double-blind study of trelagliptin compared to placebo or alogliptin. Currently, all available DPP-4 inhibitors are dosed once-daily. A once-weekly treatment, such as trelagliptin, should provide patients with a convenient therapeutic alternative, and has the potential to improve treatment compliance. 
Recent events: In early March 2014, Takeda announced that it had submitted an NDA to the Japanese Ministry of Health, Labour and Welfare for trelagliptin succinate for the treatment for type 2 diabetes. If trelagliptin is approved, we would be eligible to receive sales-based royalty payments and sales-based milestone payments based on global product sales at the same rates as for Nesina, as described above.
</t>
        </r>
      </text>
    </comment>
    <comment ref="AD45" authorId="0" shapeId="0">
      <text>
        <r>
          <rPr>
            <sz val="10"/>
            <rFont val="Arial"/>
            <family val="2"/>
          </rPr>
          <t>Company Comment: 
Source: Takeda Fiscal 2014 Annual Report (YE MAR 2015), Page 32:
In March 2015, Takeda received approval for the drug in Japan, where it is now being marketed as ZAFATEK.
Company Disclosed Competitive Profile:
Source: Takeda Fiscal 2013 Annual Report (YE MAR 2014), Page 35:
SYR-472 is a once-weekly DPP-4 inhibitor that is anticipated to be a new treatment option for patients who require more effective control of their blood glucose levels. In March 2014, Takeda filed a New Drug Application in Japan.</t>
        </r>
      </text>
    </comment>
    <comment ref="H46" authorId="0" shapeId="0">
      <text>
        <r>
          <rPr>
            <sz val="10"/>
            <rFont val="Arial"/>
            <family val="2"/>
          </rPr>
          <t>Patent Comment:
Patent date &amp; number refers to "Cyclopropyl-fused pyrrolidine-based inhibitors of dipeptidyl peptidase IV and method" (US#RE44186). Patent protection refers to US patent "C-aryl glucoside SGLT2 inhibitors and method" (US#6515117, US#6414126 &amp; US#6936590) expiring on 04 OCT 2020. Patent protection also refers to US patent "Crystal structures of SGLT2 inhibitors and processes for preparing same" (US#7919598 &amp; US#8501698) expiring on 16 DEC 2029 &amp; 20 JUN 2027 respectively. Patent protection also refers to US patent "Pharmaceutical formulations containing an SGLT2 inhibitor" (US#8221786, US#8361972, US#8716251) expiring on 21 MAR 2028 &amp; (US#9198925) expiring on 04 OCT 2020. Source: 2017 AR, USPTO &amp; Orange book.</t>
        </r>
      </text>
    </comment>
    <comment ref="AD46" authorId="0" shapeId="0">
      <text>
        <r>
          <rPr>
            <sz val="10"/>
            <rFont val="Arial"/>
            <family val="2"/>
          </rPr>
          <t>Company Disclosed Competitive Profile:
Source: AstraZeneca 2014 Annual Report, Page 39:
We are developing an FDC of saxagliptin and dapagliflozin, which combines two complementary mechanisms designed to help more patients reach their treatment goals. In May 2014, we reported results of the first clinical trial of this novel combination, which demonstrated powerful glucose lowering and allowed more than twice as many patients to reach the recognised glucose goal than either agent alone. We submitted an NDA to the FDA in December 2014 and expect to submit a regulatory filing in the EU in 2015.</t>
        </r>
      </text>
    </comment>
    <comment ref="AE46" authorId="0" shapeId="0">
      <text>
        <r>
          <rPr>
            <sz val="10"/>
            <rFont val="Arial"/>
            <family val="2"/>
          </rPr>
          <t>Company Disclosed Competitive Profile:
Source: AstraZeneca 2015 Annual Report &amp; 20-F, Page 33:
We are developing an FDC of saxagliptin and dapagliflozin, which combines two complementary mechanisms designed to help more patients with Type 2 diabetes reach their treatment goals. In October 2015, AstraZeneca received a Complete Response Letter (CRL) from the FDA regarding the NDA for the investigational FDC of saxagliptin and dapagliflozin for the treatment of adult patients with Type 2 diabetes. The CRL states that more clinical data are required to support the application. We are working closely with the FDA to determine the appropriate next steps for the NDA and remain committed to the development of saxagliptin and dapagliflozin. We will file additional clinical data from a study which is now completed and continue our conversations with the FDA. This announcement does not affect interactions with other health authorities as part of these application procedures for the FDC, including an ongoing review by the EU for the FDC.</t>
        </r>
      </text>
    </comment>
    <comment ref="Z48" authorId="0" shapeId="0">
      <text>
        <r>
          <rPr>
            <sz val="10"/>
            <rFont val="Arial"/>
            <family val="2"/>
          </rPr>
          <t xml:space="preserve">Company Disclosed Competitive Profile:
Source: Astellas Fiscal 2009 Annual Report (YE MAR 2010), Page 20:
ASP1941 is a sodium-glucose co-transporter 2 (SGLT2) inhibitor to treat type 2 diabetes. SGLT2 inhibitors suppress glucose reabsorption in the renal tubules, providing a novel mechanism of action for the treatment of type 2 diabetes. Global development is progressing steadily. ASP1941 is at Phase 3 in Japan and Phase 2b in Europe and the US. In Japan, we are conducting two Phase 3 trials on ASP1941 monotherapy and a study on combination use with metformin. We also plan to start other studies on combination use with anti-hyperglycemic drugs during the fiscal year ending March 31, 2011. In spring 2010, we started a Phase 2b trial on monotherapy in the US and a Phase 2b trial on combination use with metformin in Europe. We presented positive results of the Japanese Phase 2b study and the US Phase 2a study at the American Diabetes Association in June 2010.
</t>
        </r>
      </text>
    </comment>
    <comment ref="AC48" authorId="0" shapeId="0">
      <text>
        <r>
          <rPr>
            <sz val="10"/>
            <rFont val="Arial"/>
            <family val="2"/>
          </rPr>
          <t>Company Comment:
Source: Astellas Fiscal 2013 Annual Report (YE MAR 2014), Page 18:
JAN14 Marketing approval received in Japan for Suglat for treatment of type 2 diabetes. Launched in April 2014
Page 21:
Japan’s first SGLT2 inhibitor to receive approval for the treatment of type 2 diabetes. It was launched in April 2014 and we co-promote it with Kotobuki Pharmaceutical Co., Ltd. and MSD K.K.</t>
        </r>
      </text>
    </comment>
    <comment ref="AD48" authorId="0" shapeId="0">
      <text>
        <r>
          <rPr>
            <sz val="10"/>
            <rFont val="Arial"/>
            <family val="2"/>
          </rPr>
          <t>Company Comment:
Source: Astellas Pharma Fiscal 2014 Annual Report (YE MAR 2015) Page 44:
Suglat was launched in April 2014 as Japan’s fi rst Sodium-Glucose Co-Transporter 2 (SGLT2) inhibitor.
Data Source:
Astellas Pharma Fiscal 2014 Supplement Documents (APR 2014- MAR 2015) (11 MAY 2015) Pages: 5-7.
Company Comment:
Source: Astellas Fiscal 2014 Results (APR 2014- MAR 2015) (11 MAY 2015):
&lt;Japan&gt;
- In addition to Betanis, new products such as Cimzia for the treatment of adult patients with rheumatoid arthritis and Gonax for the treatment of prostate cancer were growth in sales. Additionally, there were contributions from sales of the selective SGLT2 inhibitor Suglat and XTANDI, which were launched in April and May 2014, respectively.</t>
        </r>
      </text>
    </comment>
    <comment ref="AE48" authorId="0" shapeId="0">
      <text>
        <r>
          <rPr>
            <sz val="10"/>
            <rFont val="Arial"/>
            <family val="2"/>
          </rPr>
          <t>Data Source:
Astellas Pharma Fiscal 2015 Supplement Documents (APR 2015- MAR 2016) (11 MAY 2016) Pages: 5-7.
Company Comment:
Source: Astellas Fiscal 2015 Results (APR 2015- MAR 2016) (11 MAY 2016):
&lt;Japan&gt;
Sales in Japan decreased by 0.3% year-on-year to ¥497.2 billion. Sales in the Japanese market increased by 0.3% year-on-year to ¥483.0 billion.
- There was growth in sales of products including XTANDI, OAB treatments Vesicare and Betanis, Prograf, the anti-inflammatory and anti-pain drug Celecox, Symbicort for the treatment of bronchial asthma, Suglat for the treatment of type 2 diabetes...
Source: Astellas Pharma Fiscal 2015 Annual Report (YE MAR 2016) Page 46:
Suglat is Japan’s first sodium-glucose co-transporter 2 (SGLT2) inhibitor. In Japan, Astellas is co-promoting Suglat with Kotobuki Pharmaceutical Co., Ltd. and MSD K.K. In fiscal 2015, sales of Suglat grew 77.8% to ¥7.3 billion, following the availability of long-term prescriptions from May 2015. Suglat’s share of the market for selective SGLT2 inhibitors in Japan was around 39% (on a value basis).</t>
        </r>
      </text>
    </comment>
    <comment ref="AF48" authorId="0" shapeId="0">
      <text>
        <r>
          <rPr>
            <sz val="10"/>
            <rFont val="Arial"/>
            <family val="2"/>
          </rPr>
          <t>Data Source:
Astellas Pharma Fiscal 2016 Supplement Documents (APR 2016- MAR 2017) (27 APR 2017), Pages: 5-7.
Company Comment:
Source: Astellas Fiscal 2016 Results (APR 2016- MAR 2017) (27 APR 2017):
&lt;Japan&gt;
Sales in Japan decreased by 3.3% year-on-year to ¥480.8 billion. Sales in the Japanese market decreased by 6.3% year-on-year to ¥452.7 billion.
- There was growth in sales of products including overall OAB treatments Vesicare and Betanis, the anti-inflammatory and anti-pain treatment Celecox, Symbicort for the treatment of bronchial asthma and Suglat for the treatment of type 2 diabetes.
In addition to sales of XTANDI and the OAB treatments Vesicare and Betanis, sales of the mainstay products such as Suglat and Symbicort are anticipated to grow continuously...</t>
        </r>
      </text>
    </comment>
    <comment ref="AG48" authorId="0" shapeId="0">
      <text>
        <r>
          <rPr>
            <sz val="10"/>
            <rFont val="Arial"/>
            <family val="2"/>
          </rPr>
          <t>Data Source:
Astellas Pharma Fiscal 2017 Supplement Documents (APR 2017- MAR 2018) (26 APR 2018), Pages: 6-8.
Company Comment:
Source: Astellas Fiscal 2017 Results (APR 2017- MAR 2018) (26 APR 2018):
In the Japanese market, continued growth was achieved with products that include Celecox for the treatment of inflammation and pain, Symbicort for the treatment of bronchial asthma, Suglat for the treatment of type 2 diabetes, and Cimzia for the treatment of adult patients with rheumatoid arthritis…</t>
        </r>
      </text>
    </comment>
    <comment ref="H49" authorId="0" shapeId="0">
      <text>
        <r>
          <rPr>
            <sz val="10"/>
            <rFont val="Arial"/>
            <family val="2"/>
          </rPr>
          <t>Patent Comment:
Patent protection refers to US exclusivity till 2026. Source: 2017 20-F, 2016 10- K.</t>
        </r>
      </text>
    </comment>
    <comment ref="AE49" authorId="0" shapeId="0">
      <text>
        <r>
          <rPr>
            <sz val="10"/>
            <rFont val="Arial"/>
            <family val="2"/>
          </rPr>
          <t>Company Disclosed Competitive Profile:
Source: Lexicon Pharmaceuticals 2015 10K, Pages 3-4:
Sotagliflozin (LX4211)
Type 1 Diabetes
We are conducting two pivotal Phase 3 clinical trials evaluating the safety and tolerability of sotagliflozin and its effects on glycemic parameters associated with type 1 diabetes. Each of the pivotal Phase 3 trials are expected to enroll approximately 750 patients with type 1 diabetes in randomized, double-blind, placebo-controlled studies of 200mg and 400mg once daily doses of sotagliflozin over 24-week treatment periods, followed by 28-week extensions We are also concurrently conducting a Phase 2 clinical trial of sotagliflozin in a younger adult type 1 diabetes population in collaboration with JDRF and a dose-ranging study of sotagliflozin in patients with type 1 diabetes.
We previously completed a Phase 2 clinical trial evaluating the safety and tolerability of sotagliflozin and its effects on glycemic parameters associated with type 1 diabetes.
Type 2 Diabetes
We and Sanofi are presently preparing for the initiation of Phase 3 development of sotagliflozin in type 2 diabetes patients. We previously completed two Phase 2 clinical trials evaluating the safety and tolerability of sotagliflozin and its effects on glycemic parameters associated with type 2 diabetes.
In addition, we previously completed a clinical trial evaluating the safety and tolerability of sotagliflozin and its effects on glycemic parameters associated with type 2 diabetes in patients with moderate renal impairment. The clinical trial enrolled 30 patients with type 2 diabetes and moderate to severe renal impairment in a randomized, double-blind, placebo-controlled study of a 400mg once daily dose of sotagliflozin over a seven-day treatment period. The primary efficacy endpoint under evaluation in the trial was the change in postprandial glucose from baseline to day seven, with secondary endpoints including a variety of glycemic control parameters. Data from the study showed that treatment with sotagliflozin provided clinically meaningful and statistically significant reductions (p&lt;0.05) in post-prandial glucose and produced significant elevations in GLP-1, a hormone involved in control of glucose and appetite. Sotagliflozin was well tolerated and adverse events were generally mild to moderate, with the overall incidence of adverse events with sotagliflozin being similar to placebo.
We have entered into a collaboration and license agreement with Sanofi under which we granted Sanofi an exclusive, worldwide, royalty-bearing right and license to develop, manufacture and commercialize sotagliflozin. 
Source: Sanofi 2015 20-F, Page 39:
The product is in Phase III in the treatment of type 1 diabetes and in Phase II in the treatment of type 2 diabetes.</t>
        </r>
      </text>
    </comment>
    <comment ref="AH49" authorId="0" shapeId="0">
      <text>
        <r>
          <rPr>
            <sz val="10"/>
            <rFont val="Arial"/>
            <family val="2"/>
          </rPr>
          <t xml:space="preserve">EvaluatePharma® Comment:
Analyst forecasting combined sales for Type I &amp; Type II diabetes.
</t>
        </r>
      </text>
    </comment>
    <comment ref="AI49" authorId="0" shapeId="0">
      <text>
        <r>
          <rPr>
            <sz val="10"/>
            <rFont val="Arial"/>
            <family val="2"/>
          </rPr>
          <t xml:space="preserve">EvaluatePharma® Comment:
Analyst forecasting combined sales for Type I &amp; Type II diabetes.
</t>
        </r>
      </text>
    </comment>
    <comment ref="AJ49" authorId="0" shapeId="0">
      <text>
        <r>
          <rPr>
            <sz val="10"/>
            <rFont val="Arial"/>
            <family val="2"/>
          </rPr>
          <t xml:space="preserve">EvaluatePharma® Comment:
Analyst forecasting combined sales for Type I &amp; Type II diabetes.
</t>
        </r>
      </text>
    </comment>
    <comment ref="AK49" authorId="0" shapeId="0">
      <text>
        <r>
          <rPr>
            <sz val="10"/>
            <rFont val="Arial"/>
            <family val="2"/>
          </rPr>
          <t xml:space="preserve">EvaluatePharma® Comment:
Analyst forecasting combined sales for Type I &amp; Type II diabetes.
</t>
        </r>
      </text>
    </comment>
    <comment ref="AL49" authorId="0" shapeId="0">
      <text>
        <r>
          <rPr>
            <sz val="10"/>
            <rFont val="Arial"/>
            <family val="2"/>
          </rPr>
          <t xml:space="preserve">EvaluatePharma® Comment:
Analyst forecasting combined sales for Type I &amp; Type II diabetes.
</t>
        </r>
      </text>
    </comment>
    <comment ref="AM49" authorId="0" shapeId="0">
      <text>
        <r>
          <rPr>
            <sz val="10"/>
            <rFont val="Arial"/>
            <family val="2"/>
          </rPr>
          <t xml:space="preserve">EvaluatePharma® Comment:
Analyst forecasting combined sales for Type I &amp; Type II diabetes.
</t>
        </r>
      </text>
    </comment>
    <comment ref="AN49" authorId="0" shapeId="0">
      <text>
        <r>
          <rPr>
            <sz val="10"/>
            <rFont val="Arial"/>
            <family val="2"/>
          </rPr>
          <t xml:space="preserve">EvaluatePharma® Comment:
Analyst forecasting combined sales for Type I &amp; Type II diabetes.
</t>
        </r>
      </text>
    </comment>
    <comment ref="AC50" authorId="0" shapeId="0">
      <text>
        <r>
          <rPr>
            <sz val="10"/>
            <rFont val="Arial"/>
            <family val="2"/>
          </rPr>
          <t>Company Disclosed Competitive Profile:
Source: Bristol-Myers Squibb 2013 10-K, Page 39:
In March 2013, the Japanese Ministry of Health, Labor and Welfare also accepted for review the regulatory submission for Farxiga for the treatment of type 2 diabetes.</t>
        </r>
      </text>
    </comment>
    <comment ref="AD50" authorId="0" shapeId="0">
      <text>
        <r>
          <rPr>
            <sz val="10"/>
            <rFont val="Arial"/>
            <family val="2"/>
          </rPr>
          <t>Data Source:
Ono Pharmaceuticals Flash Report Fiscal 2014 (APR 2014 – MAR 2015) (12 MAY 2015), Page no: 11
Company Comment:
Source: Ono Pharmaceutical Fiscal 2013 Annual Report (YE MAR 2014), Page 15:
We also concluded an agreement with AstraZeneca of the UK for co-promotion in Japan of a drug for treatment of type 2 diabetes (an SGLT2 inhibitor) and launched co-promotion in March 2014.</t>
        </r>
      </text>
    </comment>
    <comment ref="AE50" authorId="0" shapeId="0">
      <text>
        <r>
          <rPr>
            <sz val="10"/>
            <rFont val="Arial"/>
            <family val="2"/>
          </rPr>
          <t xml:space="preserve">Data Source:
Ono Pharmaceuticals Flash Report Fiscal 2015 (APR 2015 – MAR 2016) (11 MAY 2016), Page no: 11
</t>
        </r>
      </text>
    </comment>
    <comment ref="AF50" authorId="0" shapeId="0">
      <text>
        <r>
          <rPr>
            <sz val="10"/>
            <rFont val="Arial"/>
            <family val="2"/>
          </rPr>
          <t>Data Source:
Ono Pharmaceuticals Flash Report Fiscal 2016 (APR 2016 – MAR 2017) (11 MAY 2017), Page no: 10
Company Comment:
Source: Ono Pharmaceutical Fiscal 2016 Annual Report (YE MAR 2017) (7 AUG 2017), Page 49:
FORXIGA Tablets for type-2 diabetes increased 82.6% year-on-year to ¥7.8 billion (US$69,695 thousand).</t>
        </r>
      </text>
    </comment>
    <comment ref="AG50" authorId="0" shapeId="0">
      <text>
        <r>
          <rPr>
            <sz val="10"/>
            <rFont val="Arial"/>
            <family val="2"/>
          </rPr>
          <t>Data Source:
Ono Pharmaceuticals Flash Report Fiscal 2017 (APR 2017 – MAR 2018) (10 MAY 2018), Page no: 10</t>
        </r>
      </text>
    </comment>
    <comment ref="Z51" authorId="0" shapeId="0">
      <text>
        <r>
          <rPr>
            <sz val="10"/>
            <rFont val="Arial"/>
            <family val="2"/>
          </rPr>
          <t>Data Source:
Ono Pharmaceuticals Flash Report  Fiscal 2010 ( APR 2010 – MAR 2011 ) (11 MAY 2011), Page no: 13
Company Comment:
Source: Fiscal 2010 Annual Report (YE 31 MAR 2011), Page 18:
Looking at the performance of some key individual products, Glactiv Tablets for the treatment of Type II diabetes launched in December 2009 has managed to acquire increased numbers of new prescriptions well beyond the original planned target, thanks to strong detailing and information activities. Sales totaled ¥11,113 million (US$133,892 thousand), exceeding even the revised figure of ¥10,500 million (US$126,506 thousand) which was an upward revision at the time of the business results announcement for the third quarter of FY 2011…</t>
        </r>
      </text>
    </comment>
    <comment ref="AA51" authorId="0" shapeId="0">
      <text>
        <r>
          <rPr>
            <sz val="10"/>
            <rFont val="Arial"/>
            <family val="2"/>
          </rPr>
          <t>Data Source:
Ono Pharmaceuticals Fiscal 2011 Flash Report (APR 2011 – MAR 2012)  (09 MAY 2012), Page no: 14</t>
        </r>
      </text>
    </comment>
    <comment ref="AB51" authorId="0" shapeId="0">
      <text>
        <r>
          <rPr>
            <sz val="10"/>
            <rFont val="Arial"/>
            <family val="2"/>
          </rPr>
          <t xml:space="preserve">Evaluate Pharma® Comment:
Actual sales adjusted to match with broker forecast as total product sales exceeded the total reported revenue of the company.
Data Source:
Ono Pharmaceuticals Fiscal 2012 Flash Report (APR 2012 – MAR 2013)  (13 MAY 2013), Page no: 14
</t>
        </r>
      </text>
    </comment>
    <comment ref="AC51" authorId="0" shapeId="0">
      <text>
        <r>
          <rPr>
            <sz val="10"/>
            <rFont val="Arial"/>
            <family val="2"/>
          </rPr>
          <t>Evaluate Pharma® Comment:
Actual sales adjusted to match with broker forecast as total product sales exceeded the total reported revenue of the company.
Data Source:
Ono Pharmaceuticals Fiscal 2013 Flash Report (APR 2013 – MAR 2014)  (13 MAY 2014), Page no: 12</t>
        </r>
      </text>
    </comment>
    <comment ref="AD51" authorId="0" shapeId="0">
      <text>
        <r>
          <rPr>
            <sz val="10"/>
            <rFont val="Arial"/>
            <family val="2"/>
          </rPr>
          <t xml:space="preserve">Data Source:
Ono Pharmaceuticals Flash Report Fiscal 2014 (APR 2014 – MAR 2015) (12 MAY 2015), Page no: 11
</t>
        </r>
      </text>
    </comment>
    <comment ref="AE51" authorId="0" shapeId="0">
      <text>
        <r>
          <rPr>
            <sz val="10"/>
            <rFont val="Arial"/>
            <family val="2"/>
          </rPr>
          <t xml:space="preserve">Data Source:
Ono Pharmaceuticals Flash Report Fiscal 2015 (APR 2015 – MAR 2016) (11 MAY 2016), Page no: 11
</t>
        </r>
      </text>
    </comment>
    <comment ref="AF51" authorId="0" shapeId="0">
      <text>
        <r>
          <rPr>
            <sz val="10"/>
            <rFont val="Arial"/>
            <family val="2"/>
          </rPr>
          <t>Data Source:
Ono Pharmaceuticals Flash Report Fiscal 2016 (APR 2016 – MAR 2017) (11 MAY 2017), Page no: 10
Source:
Ono Pharmaceutical Fiscal 2016 Annual Report (YE MAR 2017) (7 AUG 2017), Page 49:
GLACTIV Tablets for type-2 diabetes decreased 6.5% year-on-year to ¥29.4 billion (US$262,301 thousand).</t>
        </r>
      </text>
    </comment>
    <comment ref="AG51" authorId="0" shapeId="0">
      <text>
        <r>
          <rPr>
            <sz val="10"/>
            <rFont val="Arial"/>
            <family val="2"/>
          </rPr>
          <t>Data Source:
Ono Pharmaceuticals Flash Report Fiscal 2017 (APR 2017 – MAR 2018) (10 MAY 2018), Page no: 10</t>
        </r>
      </text>
    </comment>
    <comment ref="H52" authorId="0" shapeId="0">
      <text>
        <r>
          <rPr>
            <sz val="10"/>
            <rFont val="Arial"/>
            <family val="2"/>
          </rPr>
          <t>Patent Comment:
Patent date and number refers to US patent covering "Methods and Compositions for Oral Administrations of Proteins" (US#9259456) includes extension of 18 months under patent term adjustment. Patent protection refers to issued patents in India, EU, Spain, China, Russia, S. Africa, Israel, New Zealand &amp; Japan covering “Methods and Compositions for Oral Administrations of Proteins". Patent protection also refers to pending patent application (PCT No 60/718,716) for methods and composition for oral administration of proteins. Source: 30 MAY 2018, 2008 10-K &amp; 12 APR 2016, 29 MAR 2016, 24 SEP 2015, 19 AUG 2014, 10 APR 2014, 19 NOV 2013, 3 OCT 2013, 17 SEP 2013, 3 SEP 2013, 3 APR 2013, 11 JUL 2012, 16 MAY 2012 &amp; 10 JAN 2012 press releases.</t>
        </r>
      </text>
    </comment>
    <comment ref="Z52" authorId="0" shapeId="0">
      <text>
        <r>
          <rPr>
            <sz val="10"/>
            <rFont val="Arial"/>
            <family val="2"/>
          </rPr>
          <t xml:space="preserve">Company Disclosed Competitive Profile:
Source: Oramed Pharmaceuticals Fiscal 2010 10-K (YE 31 AUG 2011), Page 2: 
Oral Insulin: We are seeking to revolutionize the treatment of diabetes through our proprietary flagship product, an orally ingestible insulin capsule (ORMD0801) currently in Phase 2 clinical trials. Our technology allows insulin to travel from the gastrointestinal tract via the portal vein to the bloodstream, revolutionizing the manner in which insulin is delivered. It enables its passage in a more physiological manner than current delivery methods of insulin.
Through our research and development efforts, we are developing an oral dosage form that will withstand the harsh chemical environment of the stomach or intestines and will be effective in delivering active insulin for the treatment of diabetes. The proteins and vehicles that are added to the insulin in the formulation process must not modify chemically or biologically, and the insulin and the dosage form must be safe to ingest.
Our research and development team has performed numerous animal studies to optimize the composition and functionality of their oral insulin (ORMD0801) modality and to demonstrate its safety and efficacy. Our studies have confirmed the feasibility of lowering blood glucose levels with an orally administered form of insulin that is both safe and effective.
Our technology is a platform that has the potential to deliver medications and vaccines orally that today can only be delivered via injection.
Page 4: 
In May 2009, we commenced a non-FDA approved Phase 2B study in South Africa to evaluate the safety, tolerability and efficacy of our oral insulin capsule (ORMD0801) on type 2 diabetic volunteers. On May 6, 2010, we reported that the capsule was found to be well tolerated and exhibited a positive safety profile. No cumulative adverse effects were reported throughout this first study of extended exposure to the capsule.
On February 10, 2010, we entered into agreements with Vetgenerics Research G. Ziv Ltd., a clinical research organization, to conduct a toxicology trial on our oral insulin capsules. On March 23, 2011, we reported that we successfully completed the resulting comprehensive toxicity study for our oral insulin capsule (ORMD0801). The study was completed under conditions prescribed by the FDA Good Laboratory Practices regulations and is the last study required to be performed before filing an IND filing.
On September 14, 2010, we reported the successful results of an exploratory clinical trial testing the effectiveness of our oral insulin capsule (ORMD0801) in type 1 diabetes patients suffering from uncontrolled diabetes. Unstable or labile diabetes is characterized by recurrent, unpredictable and dramatic blood glucose swings often linked with irregular hyperglycemia and sometimes serious hypoglycemia affecting type 1 diabetes patients. This newly completed exploratory study was a proof of concept study for defining a novel indication for ORMD0801. We believe the encouraging results justify further clinical development of ORMD0801 capsule application toward management of uncontrolled diabetes.
We intend to file an IND application with the FDA for Phase 2 clinical studies of our orally ingested insulin during the fourth quarter of 2011. If we do not receive comments from the FDA on our IND application within 30 days from submission, we intend to immediately commence an FDA approved Phase 2 study to evaluate the safety, tolerability and efficacy of our oral insulin capsule (ORMD0801) on type 2 diabetic volunteers. 
</t>
        </r>
      </text>
    </comment>
    <comment ref="AB52" authorId="0" shapeId="0">
      <text>
        <r>
          <rPr>
            <sz val="10"/>
            <rFont val="Arial"/>
            <family val="2"/>
          </rPr>
          <t xml:space="preserve">Company Disclosed Competitive Profile:
Source: Oramed Pharmaceuticals Fiscal 2011 10-K (YE 31 AUG 2012), Pages 3-4:
Orally Ingestible Insulin
During fiscal year 2007 we conducted several clinical studies of our orally ingestible insulin. The studies were intended to assess both the safety/tolerability and absorption properties of our proprietary oral insulin. Based on the pharmacokinetic and pharmacologic outcomes of these trials, we decided to continue the development of our oral insulin product.
In November 2007, we successfully completed animal studies in preparation for the Phase 1B clinical trial of our oral insulin capsule (ORMD0801).
In January 2008, we commenced the non-FDA approved Phase 1B clinical trials with our oral insulin capsule, in healthy human volunteers with the intent of dose optimization.
In March 2008, we successfully completed our Phase 1B clinical trials.
In April 2008, we commenced a non-FDA approved Phase 2A study to evaluate the safety and efficacy of our oral insulin capsule in type 2 diabetic volunteers at Hadassah Medical Center in Jerusalem. In August 2008, we announced the successful results of this trial.
In July 2008 we were granted approval by the Institutional Review Board Committee of Hadassah Medical Center in Jerusalem, or the IRB, to conduct a non-FDA approved Phase 2A study to evaluate the safety and efficacy of our oral insulin capsule on type 1 diabetic volunteers. In September 2008, we announced the beginning of this trial. In July 2009 we reported positive results from this trial.
In April 2009, we entered into a consulting service agreement with ADRES Advanced Regulatory Services Ltd., or ADRES, (which was amended in February 2012), pursuant to which ADRES will provide services for the purpose of filing an IND application with the FDA for a Phase 2 study according to the FDA requirements. The FDA approval process and, if approved, registration for commercial use as an oral drug can take several years.
In May 2009, we commenced a non-FDA approved Phase 2B study in South Africa to evaluate the safety, tolerability and efficacy of our oral insulin capsule on type 2 diabetic volunteers. In May 2010, we reported that the capsule was found to be well tolerated and exhibited a positive safety profile. No cumulative adverse effects were reported throughout this first study of extended exposure to the capsule.
In February 2010, we entered into agreements with Vetgenerics Research G. Ziv Ltd., a clinical research organization, to conduct a toxicology trial on our oral insulin capsules. In March 2011, we reported that we successfully completed the resulting comprehensive toxicity study for our oral insulin capsule. The study was completed under conditions prescribed by the FDA Good Laboratory Practices regulations.
In September 2010, we reported the successful results of an exploratory clinical trial testing the effectiveness of our oral insulin capsule in type 1 diabetes patients suffering from uncontrolled diabetes. Unstable or labile diabetes is characterized by recurrent, unpredictable and dramatic blood glucose swings often linked with irregular hyperglycemia and sometimes serious hypoglycemia affecting type 1 diabetes patients.
This completed exploratory study was a proof of concept study for defining a novel indication for ORMD0801. We believe the encouraging results justify further clinical development of ORMD0801 capsule application toward management of uncontrolled diabetes.
We intend to file an IND application with the FDA for Phase 2 clinical studies of our orally ingested insulin during the fourth calendar quarter of 2012. If we do not receive comments from the FDA on our IND application within 30 days from submission, we intend to immediately commence an FDA approved Phase 2 study to evaluate the safety, tolerability and efficacy of our oral insulin capsule on type 2 diabetic volunteers.
In September 2012, we entered into a Master Service Agreement with Medpace, Inc., or Medpace, to retain Medpace as a clinical research organization for our upcoming Phase 2 clinical trial for an oral insulin capsule that is expected to start in the first calendar quarter of 2013 in the United States, and is expected to be completed in September 2013.
Page 6:
In January 2012, we filed a provisional patent application with the U.S. Patent and Trademark Office for a combination therapy of our lead compound, ORMD0801, in combination with our oral GLP-1 analog formulation, ORMD0901. We also hold three patents issued by the Australian, Israeli and New Zealand Patent Offices that cover a part of our technology which allows for the oral delivery of peptides.
</t>
        </r>
      </text>
    </comment>
    <comment ref="AC52" authorId="0" shapeId="0">
      <text>
        <r>
          <rPr>
            <sz val="10"/>
            <rFont val="Arial"/>
            <family val="2"/>
          </rPr>
          <t>Company Disclosed Competitive Profile:
Source: Oramed Pharmaceuticals Fiscal 2012 10-K (YE 31 AUG 2013), Pages 3-4:
We are seeking to revolutionize the treatment of diabetes through our proprietary flagship product, an orally ingestible insulin capsule (ORMD0801) currently in non-U.S. Food and Drug Administration, or FDA, approved Phase 2 clinical trials. Our technology allows insulin to travel from the gastrointestinal tract via the portal vein to the bloodstream, revolutionizing the manner in which insulin is delivered. It enables its passage in a more physiological manner than current delivery methods of insulin.  Our technology is a platform that has the potential to deliver medications and vaccines orally that today can only be delivered via injection.
In September 2012, we entered into a Master Services Agreement with Medpace, Inc., or Medpace, to retain Medpace as a CRO for our upcoming Phase 2 clinical trial for an oral insulin capsule that was expected to start in the first calendar quarter of 2013 in the United States, and was expected to be completed in December 2013.</t>
        </r>
      </text>
    </comment>
    <comment ref="AD52" authorId="0" shapeId="0">
      <text>
        <r>
          <rPr>
            <sz val="10"/>
            <rFont val="Arial"/>
            <family val="2"/>
          </rPr>
          <t>Company Disclosed Competitive Profile:
Source: Oramed Pharmaceuticals Fiscal 2013 10-K (YE AUG 2014), Page 2:
We are seeking to revolutionize the treatment of diabetes through our proprietary flagship product, an orally ingestible insulin capsule (ORMD-0801). Having completed Phase IIa clinical trials in patients with both type 1 and type 2 diabetes, we anticipate the initiation of Phase IIb clinical trials in approximately 180 patients with type 2 diabetes under an Investigational New Drug application, or IND, with the U.S. Food and Drug Administration, or FDA, in the first quarter of calendar year 2015.
Because the identical formulation of ORMD-0801 had not yet been studied in humans at bedtime, in February 2013 the FDA noted concerns about mitigating potential risks of severe hypoglycemia and requested that we perform a sub-study in a controlled in-patient setting for a one-week period prior to beginning the larger multi-centered Phase II trial. As a result, we withdrew the original IND and, in April 2013, we submitted a new IND for the Phase IIa sub-study. Following the FDA’s clearance to proceed in May 2013, we began the Phase IIa sub-study in July 2013. As we announced in January 2014, the Phase IIa sub-study met all primary and secondary endpoints. Specifically, the Phase IIa study evaluated the pharmacodynamic effects of ORMD-0801 on mean nighttime glucose (determined using a continuous glucose monitor). In addition, no serious adverse events occurred during this study, and the only adverse events that occurred were not drug related. In light of these results, we believe that we should move forward with the Phase IIb clinical trial on approximately 180 type 2 diabetic patients, which we are preparing to initiate in the first quarter of calendar year 2015. This double-blind, randomized, 28-day study clinical trial will be designed to assess the safety and efficacy of ORMD-0801 and will be conducted in approximately 30 sites in the United States.
Page 3:
In February 2014, we submitted a protocol to the FDA to initiate a Phase IIa trial of our oral insulin capsule for type 1 diabetes volunteers. The protocol was submitted under our existing IND to include both type 1 and type 2 diabetes indications. The double-blind, randomized, placebo controlled, seven-day study design was carried out at an inpatient setting on 25 type 1 diabetic patients. We began this study in March 2014. As we announced in October 2014, the results showed that ORMD-0801 oral insulin given before meals appeared to be safe and well-tolerated for the dosing regimen in this study.</t>
        </r>
      </text>
    </comment>
    <comment ref="AI52" authorId="0" shapeId="0">
      <text>
        <r>
          <rPr>
            <sz val="10"/>
            <rFont val="Arial"/>
            <family val="2"/>
          </rPr>
          <t>EvaluatePharma® Comment: Revenue forecasts are split between end-user sales and royalties to reflect the difference of opinion amongst analysts.</t>
        </r>
      </text>
    </comment>
    <comment ref="AJ52" authorId="0" shapeId="0">
      <text>
        <r>
          <rPr>
            <sz val="10"/>
            <rFont val="Arial"/>
            <family val="2"/>
          </rPr>
          <t>EvaluatePharma® Comment: Revenue forecasts are split between end-user sales and royalties to reflect the difference of opinion amongst analysts.</t>
        </r>
      </text>
    </comment>
    <comment ref="AK52" authorId="0" shapeId="0">
      <text>
        <r>
          <rPr>
            <sz val="10"/>
            <rFont val="Arial"/>
            <family val="2"/>
          </rPr>
          <t>EvaluatePharma® Comment: Revenue forecasts are split between end-user sales and royalties to reflect the difference of opinion amongst analysts.</t>
        </r>
      </text>
    </comment>
    <comment ref="AL52" authorId="0" shapeId="0">
      <text>
        <r>
          <rPr>
            <sz val="10"/>
            <rFont val="Arial"/>
            <family val="2"/>
          </rPr>
          <t>EvaluatePharma® Comment: Revenue forecasts are split between end-user sales and royalties to reflect the difference of opinion amongst analysts.</t>
        </r>
      </text>
    </comment>
    <comment ref="AM52" authorId="0" shapeId="0">
      <text>
        <r>
          <rPr>
            <sz val="10"/>
            <rFont val="Arial"/>
            <family val="2"/>
          </rPr>
          <t>EvaluatePharma® Comment: Revenue forecasts are split between end-user sales and royalties to reflect the difference of opinion amongst analysts.</t>
        </r>
      </text>
    </comment>
    <comment ref="AN52" authorId="0" shapeId="0">
      <text>
        <r>
          <rPr>
            <sz val="10"/>
            <rFont val="Arial"/>
            <family val="2"/>
          </rPr>
          <t>EvaluatePharma® Comment: Revenue forecasts are split between end-user sales and royalties to reflect the difference of opinion amongst analysts.</t>
        </r>
      </text>
    </comment>
    <comment ref="AA53" authorId="0" shapeId="0">
      <text>
        <r>
          <rPr>
            <sz val="10"/>
            <rFont val="Arial"/>
            <family val="2"/>
          </rPr>
          <t>Company Disclosed Competitive Profile:
Source: Taisho Pharmaceuticals Fiscal 2010 Annual Report (YE MAR 2011), Page 12:
In the metabolic disease field, Taisho Pharmaceutical is currently advancing the in-house development of the diabetes drug TS-071. TS-071 is a novel sodium-glucose cotransporter 2 (SGLT2) inhibitor, and it has drawn significant attention industrywide. Competition for the realization of similar drugs has intensified across the industry. By aggressively allocating its management resources to TS-071 development, Taisho Pharmaceutical is working to launch this promising drug ahead of its competitors.</t>
        </r>
      </text>
    </comment>
    <comment ref="AB53" authorId="0" shapeId="0">
      <text>
        <r>
          <rPr>
            <sz val="10"/>
            <rFont val="Arial"/>
            <family val="2"/>
          </rPr>
          <t>Company Disclosed Competitive Profile:
Source: Taisho Pharmaceuticals Fiscal 2011 Annual Report (YE MAR 2012), Page 17:
In the fiscal year ended March 31, 2012, Taisho Pharmaceutical commenced Phase 3 clinical trials of TS-071, which is being developed as a treatment of diabetes, and TT-063, which is being developed as a treatment of osteoarthritis and other conditions. Developed in-house, TS-071 is attracting attention as a diabetes drug with a new mechanism of action, namely as a novel sodiumdependent glucose cotransporter 2 (SGLT2) inhibitor. Taisho Pharmaceutical is currently facing intensified competition for the development of similar drugs across the industry. By aggressively allocating its management resources to TS-071 development, Taisho Pharmaceutical is working to launch this promising drug ahead of its competitors.</t>
        </r>
      </text>
    </comment>
    <comment ref="AC53" authorId="0" shapeId="0">
      <text>
        <r>
          <rPr>
            <sz val="10"/>
            <rFont val="Arial"/>
            <family val="2"/>
          </rPr>
          <t>Company Disclosed Competitive Profile:
Source: Taisho Pharmaceuticals Fiscal 2012 Annual Report (YE MAR 2013), Page 16:
In April 2013, we filed for manufacturing and marketing approval of the SGLT2 inhibitor luseogliflozin hydrate (development code: TS-071) with the Ministry of Health, Labour and Welfare in Japan for the indication of Type 2 diabetes. TS-071 was created by Taisho Pharmaceutical.
 Luseogliflozin hydrate is a drug with a new mechanism of action that selectively inhibits sodium-glucose cotransporter 2 (SGLT2). It lowers blood glucose levels by inhibit - ing the re-absorption of glucose in the kidneys, thereby increasing urinary excretion of glucose. With a different mechanism of action to traditional oral hypoglycemic agents, luseogliflozin hydrate has the potential to treat Type 2 diabetes in combination with a broad range of other medications.
 The number of people suspected to have diabetes in Japan is estimated to be around 9 million. We expect luseogliflozin hydrate to become a novel treatment for diabetes that improves postprandial and fasting blood glucose levels, in addition to having a low risk of inducing hypoglycemia, which is a concern with diabetes treatments, as well as a weight-reduction effect. Through the marketing of luseogliflozin hydrate, we hope to provide a new option for treating diabetes in many more patients.</t>
        </r>
      </text>
    </comment>
    <comment ref="AD53" authorId="0" shapeId="0">
      <text>
        <r>
          <rPr>
            <sz val="10"/>
            <rFont val="Arial"/>
            <family val="2"/>
          </rPr>
          <t>Data Source:
Taisho Pharmaceuticals Fiscal 2014 Reference Data (APR 2014 – MAR 2015) (13 MAY 2015), Page no 5-6.
Company Comment:
Source: Taisho Pharmaceutical Holdings Fiscal 2014 Results (YE MAR 2015) (13 MAY 2015):
... In addition, Lusefi, a Type 2 diabetes treatment launched in May 2014, had sales of ¥2.4 billion.
... Lusefi, launched in May 2014, for which sales are expected to be ¥4.0 billion (up 67.5%)</t>
        </r>
      </text>
    </comment>
    <comment ref="AE53" authorId="0" shapeId="0">
      <text>
        <r>
          <rPr>
            <sz val="10"/>
            <rFont val="Arial"/>
            <family val="2"/>
          </rPr>
          <t>Data Source:
Taisho Pharmaceuticals Fiscal 2015 Reference Data (APR 2015 – MAR 2016) (16 MAY 2016), Page no 6.
Company Comment:
Source: Taisho Pharmaceutical Holdings Fiscal 2015 Results (APR 2015 - MAR 2016) (16 MAY 2016):
...Type 2 diabetes treatment Lusefi fell by 63.0% to ¥0.9 billion.</t>
        </r>
      </text>
    </comment>
    <comment ref="AF53" authorId="0" shapeId="0">
      <text>
        <r>
          <rPr>
            <sz val="10"/>
            <rFont val="Arial"/>
            <family val="2"/>
          </rPr>
          <t>Data Source:
Taisho Pharmaceuticals Fiscal 2016 Reference Data (APR 2016 – MAR 2017) (15 MAY 2017), Page no 5-6.
Company Comment:
Source: Taisho Pharmaceutical Holdings Fiscal 2016 Results (APR 2016 - MAR 2017) (15 MAY 2017):
…In addition, Type 2 diabetes treatment Lusefi rose by 225.2% to ¥2.9 billion, and LOQOA, a transdermal anti-inflammatory analgesic patch formulation which was launched in January 2016, was ¥1.8 billion.</t>
        </r>
      </text>
    </comment>
    <comment ref="AG53" authorId="0" shapeId="0">
      <text>
        <r>
          <rPr>
            <sz val="10"/>
            <rFont val="Arial"/>
            <family val="2"/>
          </rPr>
          <t xml:space="preserve">Data Source:
Taisho Pharmaceuticals Fiscal 2017 Reference Data (APR 2017 – MAR 2018) (14 MAY 2018), Page no 6.
Company Comment:
Source: Taisho Pharmaceutical Holdings Fiscal 2017 Results (APR 2017 – MAR 2018) (14 MAY 2018): 
Osteoporosis agent Edirol rose 12.4% to ¥25.4 billion, Type 2 diabetes treatment Lusefi was up 73.0% to ¥5.0 billion, and transdermal anti-inflammatory analgesic patch formulation LOQOA rose 68.2% to ¥3.1 billion. However, beta-lactamase inhibitor-penicillin antibacterial agent ZOSYN decreased by 37.0% to ¥9.8 billion, macrolide antibiotic Clarith fell by 17.8% to ¥7.7 billion, and peripheral vasodilator Palux was down 9.2% to ¥4.9 billion compared to the previous fiscal year partly due to the effects of generic drugs. </t>
        </r>
      </text>
    </comment>
    <comment ref="H54" authorId="0" shapeId="0">
      <text>
        <r>
          <rPr>
            <sz val="10"/>
            <rFont val="Arial"/>
            <family val="2"/>
          </rPr>
          <t>Patent Comment:
Patent date and number refers to "Peptide agonists of GLP-1 activity"(US#6528486). Patent protection refers to "Exendin variant peptides"(US#RE45313) expiring 12 JUL 2020. Patent protection refers to "Drive mechanism for a drug delivery device and drug delivery device"(US#8882721, #8915888, #9072836 &amp; #9084853) exp on 28 JUN 2031, 8 JUN 2030, 15 MAR 2032 &amp; 5 OCT 2031 resp. Patent protection also refers to "Medication delivery device and method for operating a medication delivery device"(US#8475414 &amp; #9308329) exp 28 DEC 2030. RoW patent expiry refers to EU &amp; Japan patent. Patent protection also refers to new chemical entity exclusivity expiring 27 JUL 2021. Source: 2017 20-F, 2005 Annual Report &amp; Zealand Pharma website (11 JUL 2002) &amp; FDA.</t>
        </r>
      </text>
    </comment>
    <comment ref="Z54" authorId="0" shapeId="0">
      <text>
        <r>
          <rPr>
            <sz val="10"/>
            <rFont val="Arial"/>
            <family val="2"/>
          </rPr>
          <t xml:space="preserve">Company Disclosed Competitive Profile:
Source: Sanofi-Aventis 20-F, Page 21:
Lixisenatide (AVE0010 GLP-1: Glucagon-like peptide-1 agonist, type 2 diabetes mellitus; Phase III). (lixisenatide is in- icensed from Zealand Pharma A/S). In Phase IIb, once-a-day dosing with lixisenatide was shown to be effective in lowering blood sugar and decreasing body weight with good tolerability. Enrollment to the nine studies of the GETGOAL Phase III program in adult patients with type 2 diabetes mellitus was completed at the end of 2009. Positive results were obtained from the first Phase III trials with AVE0010, and were presented at EASD in Stockholm. An initial study investigating use of AVE0010 on top of basal insulins confirmed improvement of HbA1C. A program evaluating the benefit
of a combination of lixisenatide / Lantus® is currently in Phase I.
Source: Zealand Pharma IPO Prospectus (3 NOV 2010), Page 46-48:
Lixisenatide 
Zealand Pharma has out-licensed global rights to its lead compound lixisenatide to sanofi-aventis, the fourth largest pharmaceutical firm in the world based on global sales. Lixisenatide is now under development as both a oncedaily monotherapy, and in combination with sanofi-aventis’ long-acting insulin analog Lantus®, the current market leader among long-acting insulin analogs. Lixisenatide is a 44 amino acid, exendin-4 analog with a SIP® modification. Lixisenatide has been reported to be a potent GLP-1 receptor agonist drug, effective in lowering blood sugar with a good safety and tolerability profile; in addition, in a dose-range study presented in September 2010, statistically significant weight loss as compared to placebo was observed. For more, see "- Lixisenatide monotheraphy Clinical development". 
Lixisenatide monotherapy 
Lixisenatide has been developed to provide type 2 diabetes patients with improved blood glucose control by permitting the body to respond to glucose fluctuations through optimal release of insulin over a longer period of time than naturally occurring GLP-1 would allow. 
Based on the results of studies performed to date, including the initial Phase III trials of lixisenatide, the Company believes that lixisenatide will have a competitive profile as a once-daily GLP-1 receptor agonist drug in terms of efficacy, safety and convenience. 
Clinical development Sanofi-aventis initiated a number of Phase III trials (the “GETGOAL” program) to support applications for marketing authorizations world-wide for different regimes using lixisenatide to treat type 2 diabetes. The GETGOAL program has substantially completed enrollment - over 4,000 diabetic patients worldwide were enrolled as of end of 2009 - and is evaluating a once-a-day injection of lixisenatide, both alone and in combination with other existing diabetes treatments (OADs, insulin and insulin analogs), versus placebo and other existing diabetic treatments on their own. Substantially all of the GETGOAL trials completed enrollment by the end of 2009. 
The first monotherapy trial (a placebo-controlled Phase III study for lixisenatide administered for 12 weeks as a monotherapy to patients with type 2 diabetes) (“GETGOAL MONO”) was reported at the European Association for the Study of Diabetes (“EASD”) meeting in Stockholm, Sweden in September 2010. GETGOAL MONO involved 360 patients with type 2 diabetes not currently receiving glucose-lowering therapy and with initial HbA1c levels between 7% and 10%. 
Sanofi-aventis announced the initial results of another GETGOAL trial in September 2010. See “- Combination lixisenatide and Lantus® therapy - Clinical development”. 
HbA1c is the most validated and generally accepted measure of glycemic control, an indication of how well a patient has been able to control type 2 diabetes. A consensus statement adopted by the American Diabetes Association and the EASD in 2009, in light of the results of controlled clinical trials, provides that in order to reduce the risk of the most common complications of diabetes, an HbA1c level equal to or greater than 7.0% should trigger initiation of therapy (or a change in prior therapy) with the goal of achieving an HbA1c level of less than 7.0%. 
In the GETGOAL MONO clinical trial, patients were randomized to one of the following four once-daily treatment regimens: 
• lixisenatide two-step titration (10 micrograms once-daily for 1 week, 15 micrograms once-daily for 1 week, then 20 micrograms once-daily), involving 120 patients; 
• lixisenatide one-step titration (10 micrograms once daily for 2 weeks, then 20 micrograms once-daily), involving 119 patients; 
placebo two-step titration, involving 61 patients; and 
• placebo one-step titration, involving 61 patients. 
Lixisenatide met all of the end-points and was generally well tolerated: 
• HbA1c was significantly reduced in both lixisenatide groups versus placebo, and significantly more patients in the lixisenatide groups achieved HbA1c levels of less than 6.5% and 7%, as compared to the placebo groups (46.5% to 52.2% for lixisenatide versus 26.8% for placebo). 
• Fasting blood glucose and two-hour post-meal glucose levels were significantly improved in both lixisenatide groups, with better control of post-meal glucose. 
• Mean decreases in body weight of 2 kg were observed in all groups, including placebo. In the narrower population of patients included in the earlier phase IIb trial of lixisenatide on top of metformin, mean weight-loss of 3.5 kg. and 2.7 kg. for the highest and second-highest doses - 30 micrograms and 20 micrograms - respectively was observed. 
• There was only one (0.4%) serious treatment-emergent adverse event (“TEAE”) in a lixisenatide-treated patient compared with five (4.1%) TEAE in the placebo groups. 
• The most common adverse event was, as expected with this class of GLP-1 receptor agonist drugs, nausea (20.2% to 24.2% of lixisenatide-treated patients versus 4.1% for placebo). The incidence of symptomatic hypoglycemia was low, 1.7% and 1.6% in the lixisenatide and placebo groups, respectively. 
In addition, sanofi-aventis initiated a cardiovascular outcome study in mid-2010 consisting of 6,000 patients with type 2 diabetes who had experienced an acute coronary syndrome event. Sanofi-aventis has announced that it is expecting lixisenatide to have cardiovascular safety “data” at launch. 
Sanofi-aventis has further announced the initiation of additional Phase II/IIIb studies comparing lixisenatide and leading diabetes treatments. The Company expects, on the basis of the announcements made to date by sanofi-aventis concerning its development plan, and assuming that the clinical development program can be completed as planned, that applications for marketing authorizations for the lixisenatide will be filed in the second half of 2011 in the European Union and Japan, and in the second half of 2012 in the United States. Zealand Pharma does not control the clinical development program or regulatory filings for lixisenatide, but the Company believes that, in the ordinary course, marketing authorizations for lixisenatide will be received approximately 12 months after completion of the applicable filings.
Source: Sanofi Aventis 2010 Annual Report, Page 8:
The burden of chronic diseases, such as diabetes, continues to escalate and effective disease management is still not optimal. Lantus®, our insulin, is now the number 1 diabetes brand worldwide and our GLP-1, lixisenatide (under Zealand Pharma A/S
license) is showing good initial results in trials.
Page 11:
We will continue to concentrate on advancing the portfolio, in particular completing the lixisenatide and dengue phase III trials.
Page 21:
Initial positive results have also been obtained for lixisenatide, a GLP-1 receptor agonist, in two phase III studies within the “GetGoal” program.
Page 31:
Also, major clinical studies (ORIGIN, phase IV tests of Lantus® and Amaryl®, the “GetGoal” program for lixisenatide) will involve Chinese patients.
Source: Zealand Pharma 2010 Annual Report, Page 9:
Lixisenatide is a once-daily injectable, GLP-1 receptor agonist for the treatment of Type 2 Diabetes. The compound has been devel¬oped to provide Type 2 Diabetes patients with improved blood glucose control by increasing the body’s ability to respond to glucose fluctuations in the blood through the release of insulin. Zealand Pharma has out-licensed the development and commer¬cial rights of lixisenatide to sanofi-aventis, who initiated the compound in clinical trials both as a once-daily, stand-alone treatment (“monotherapy”) and in combination with its own long-acting insulin analogue, Lan¬tus®, the current market leading long-acting insulin analogue.
Clinical Development Status
The efficacy and safety of lixisenatide once-daily is being assessed in the GetGoal Phase III clinical trial program. The GetGoal clinical trial programs started in May 2008and have enrolled more than 4,500 patients globally. Enrolment of the GetGoal Phase III program assessing efficacy and safety of lixisenatide in adult patients with Type 2 Diabetes mellitus treated with various oral anti-diabetic agents or insulin was completed at the end of 2009. Based on the positive results of studies performed to date, including the first Phase III trial, GETGOAL MONO and later GETGOAL-X we believe that lixisenatide will have a competitive profile as a once-daily GLP-1receptor agonist drug in terms of efficacy, safety and convenience.
Our Partner – sanofi-aventis
Zealand Pharma out-licensed the clinical development and global marketing rights of lixisenatide to sanofi-aventis in 2003. In sanofi-aventis, the fourth largest pharma¬ceutical firm in the world based on sales, Zealand has found a world-class partner in whom it has the greatest confidence will en¬able its lead compound lixisenatide to treat diabetes patients worldwide. The potential for lixisenatide to be used not only as a monotherapy but also in combination with the world’s market leading long-acting insu¬lin analog, Lantus®, presents a tremendous opportunity for Zealand Pharma. In January of 2011 Zealand Pharma and sanofi-aventis entered into a novel research collaboration on an undisclosed early diabetes target.
</t>
        </r>
      </text>
    </comment>
    <comment ref="AA54" authorId="0" shapeId="0">
      <text>
        <r>
          <rPr>
            <sz val="10"/>
            <rFont val="Arial"/>
            <family val="2"/>
          </rPr>
          <t xml:space="preserve">Company Disclosed Competitive Profile:
Source: Sanofi 2011 20-F, Page 27: 
Lixisenatide (AVE0010 GLP-1: Glucagon-like peptide-1 agonist, type 2 diabetes mellitus; Phase IIIb; lixisenatide is in-licensed from Zealand Pharma A/S). The GETGOAL Phase III studies were finalized and demonstrated that lixisenatide was effective in lowering blood sugar and decreasing body weight with good safety and tolerability. These results were presented at international conferences (e.g. ADA, EASD, IDF). Lixisenatide was submitted in the fourth quarter of 2011 to EMA, Switzerland, Mexico, Brazil, Canada, Ukraine, South Africa and Australia. Additional Phase IIIb studies have been initiated
Source: Sanofi 2011 Annual Report, Page 6: 
We continue to develop innovative products to meet the needs of patients and to this end, filed our dossier for Lyxumia®*, our GLP-1 molecule in Europe, and will do the same in the USA late 2012. We also began Phase III studies for a new glargine formulation.
Source: Zealand Pharma 2011 Annual Report, Page 30:
Partnership with Sanofi in diabetes Zealand Pharma has a license agreement with Sanofi (www.sanofi.com), covering global development and commercialization rights to lixisenatide, our internally invented oncedaily GLP-1 agonist for the treatment of Type 2 diabetes. The agreement was signed in 2003 and amended in 2010 to cover also combination products including lixisenatide. Sanofi is one of the world’s largest pharmaceutical companies with a global leading position in diabetes care. Sanofi is developing lixisenatide (intended trademark Lyxumia) for the treatment of adults with Type 2 diabetes to achieve glycemic control in patients not adequately controlled on oral anti-diabetic medication and/or basel insulin. Sanofi is also developing lixisenatide in combinations with Lantus, Sanofi’s world leading basal insulin product. Based on the results from a global Phase III program, GetGoal, having included more than 4,500 patients with Type 2 diabetes, Sanofi filed a marketing authorization application (MAA) for lixisenatide (Lyxumia) in Europe in October 2011.
Pages 38-39:
Lixisenatide (Lyxumia) for Type 2 diabetes
Filed for registration in Europe, global GetGoal program completed Sanofi has evaluated lixisenatide in an extensive global Phase III program, GetGoal, which comprised several studies and involved more than 4,500 patients with Type 2 diabetes. In October 2011, Sanofi filed a Marketing Authorisation Application (MAA) with the European Medicines Agency (EMA) for the regulatory approval of lixisenatide as a novel treatment for Type 2 diabetes. The MAA was accepted by EMA in November 2011 and lixisenatide is now in the registration phase. The MAA includes documentation from the completed GetGoal Phase III program, providing substantial data to support lixisenatide’s intended use as a novel treatment of adults with Type 2 diabetes to achieve glycemic control; in combinations with oral medication (in patients failing to achieve glycemic control on oral anti-diabetes drugs (OADs)); and in combination with basal insulin (in patients not sufficiently controlled on basal insulin alone) To date, top-line results have been reported for lixisenatide from the GetGoal-Mono study (lixisenatide as monotherapy in drug naïve patients), the GetGoal-S, GetGoal-F1, GetGoal-M and Get-Goal-P studies (evaluating lixisenatide as add-on to oral anti-diabetes treatment), GetGoal-X (comparing lixisenatide to exenatide, a marketed GLP-1 agonist), and the GetGoal-L and GetGoal-L Asia (evaluating lixisenatide as add-on to basal insulin) studies. In all the studies, lixisenatide has delivered positive results meeting the primary endpoint of blood glucose lowering (measured on HbA1c) and with consistent HbA1c reduction across studies, driven by an effective reduction of fasting blood glucose levels and a pronounced lowering of post-prandial glocose (blood sugar levels after a meal). Further, a beneficial effect in body weight has been observed across the studies. Lixisenatide once-daily, with a one-step dose increase regimen and a single maintenance dose, has also been shown to be well-tolerated and to lead to significantly improved glycemic control with low risk of hypoglycemia in the overall GetGoal program. As with other members of the GLP-1 drug class, nausea and vomiting were the most commonly reported adverse events in most studies, albeit mild and transient. Top-line results have been reported also from a Phase IIIb study, GetGoal Duo 1, evaluating the efficacy and safety of lixisenatide in a free combination with Lantus (insulin glargine) in Type 2 diabetes patients uncontrolled on OAD medication – mainly metformin. The results were positive, showing that lixisenatide in combination with Lantus helped to achieve HbA1c target levels of &lt; 7.0% in patients with uncontrolled HbA1c despite well controlled fasting glucose levels. In the study, lixisenatide showed to significantly improve 2-hour post-prandial glucose (following a meal). In the study, the most common adverse events were mild and transient nausea and vomiting. 50 (22.4%) lixisenatide treated patients and 30 (13.5%) patients on placebo reported symptomatic hypo-glycemic events (low blood sugar) as defined in the protocol. During 2012, further results from the GetGoal Phase III program are expected to be presented at medical conferences and to be published in peer reviewed scientific and medical journals. Sanofi is also conducting a large cardiovascular safety outcome study, named “ELIXA”, with the primary objective to evaluate the cardiovascular risk profile of lixisenatide in up to 6,000 Type 2 diabetes patients with a history of a cardiac event, such as a heart attack or unstable angina. The study was initiated in June 2010 and is still recruiting patients. Based on a predefined level of cardiovascular events, preliminary ELIXA results are expected to be included in the US registration package for lixisenatide. Regulatory filing of lixisenatide in the United States is expected in Q4 2012.
</t>
        </r>
      </text>
    </comment>
    <comment ref="AB54" authorId="0" shapeId="0">
      <text>
        <r>
          <rPr>
            <sz val="10"/>
            <rFont val="Arial"/>
            <family val="2"/>
          </rPr>
          <t>Company Comment:
Source: Sanofi 2012 20-F, Page 28:
Lyxumia® (lixisenatide) is a once-daily prandial GLP-1 receptor agonist. In February 2013, the European Commission granted marketing authorization in Europe for Lyxumia® indicated for the treatment of adults with type 2 diabetes mellitus to achieve glycemic control in combination with oral glucose-lowering medicinal products and/or basal insulin when these, together with diet and exercise, do not provide adequate glycemic control. On completion of pricing and reimbursement discussions, Sanofi will initiate a phased launch of Lyxumia® throughout the European Union. Applications for regulatory approval were also submitted in several other countries around the world and are being reviewed. The FDA accepted the file for review in February 2013.
        Additional Phase IIIb studies have been initiated and the ELIXA cardiovascular outcomes trial is ongoing.
        A proof-of-concept study to compare insulin glargine/lixisenatide fixed ratio combination versus insulin glargine on glycemic control over 24 weeks has been fully recruited.
        GLP-1 is a naturally-occurring peptide hormone that is released within minutes after eating a meal. It is known to suppress glucagon secretion from pancreatic alpha cells and stimulate glucose-dependent insulin secretion by pancreatic beta cells.
        The active ingredient of Lyxumia® is in-licensed from Zealand Pharma.
Source: Zealand Pharma 2012 Annual Report, Page 12:
In February 2013, Lyxumia was granted a Marketing  Authorisation in Europe, approving the product in all 27  EU member countries as well as Norway, Iceland and  Liechtenstein for the treatment of adults with Type 2  diabetes. Recently, this was followed by first sales of the  product in the United Kingdom. Lyxumia® has received  approval also in Mexico.  
Also in February, the FDA accepted the New Drug  Application filed by Sanofi in December 2012 for lixisenatide  in the US and the product is now under regulatory review in  a large number of countries globally.   
The European approval and other regulatory filings on  lixisenatide are based on results from an international Phase  III program, GetGoal, including 11 clinical studies involving  more than 5,000 patients with Type 2 diabetes. The results  establish the product as the first once-daily prandial GLP-1  receptor agonist, characterized by a pronounced lowering  effect on post-prandial glucose (PPG) contributing to HbA1c  reduction, a beneficial effect on body weight, and a limited  risk of hypoglycemia. The PPG-lowering effect of lixisenatide  complements the predominantly fasting plasma glucose  (FPG)-lowering effect of basal insulin, making Lyxumia  particularly relevant as an add-on therapy to basal insulins,  including Lantus, to better control blood sugar. GetGoal results also showed that lixisenatide had a favourable  safety and tolerability profile in most patients, with mild and  transient nausea and vomiting, the most common adverse  events observed in the GLP-1 receptor agonist class.</t>
        </r>
      </text>
    </comment>
    <comment ref="AC54" authorId="0" shapeId="0">
      <text>
        <r>
          <rPr>
            <sz val="10"/>
            <rFont val="Arial"/>
            <family val="2"/>
          </rPr>
          <t>Company Comment:
Source: Sanofi Q4 2013 Results (06 FEB 2014):
...2013 sales of Lyxumia were... €9 million…
Source: Sanofi 2013 20-F, Page 25:
In February 2013, the European Commission granted marketing authorization in Europe for Lyxumia. On completion of pricing and reimbursement discussions, Sanofi initiated a phased launch of Lyxumia throughout the European Union. Applications for regulatory approval have also been submitted in several other countries around the world and are being reviewed. Lyxumia has also been approved for use in Australia, Brazil, Colombia, Chile, Ecuador, Japan, and Mexico.
Source: Zealand Pharma 2013 Annual Report, Pages 19-20:
In March 2013, Lyxumia was launched in the first markets by Sanofi, who holds global development and commercial rights to the product under a license agreement with Zealand. Lyxumia is currently approved in over 40 countries worldwide for the treatment of Type 2 diabetes, with commercial launches ongoing in Europe, Japan, Mexico and other markets.
In February 2013, FDA accepted a New Drug Application (NDA) filed by Sanofi for lixisenatide in the US. The filing included interim results from the ongoing cardio-vascular outcome study on lixisenatide, ELIXA.
ELIXA – Lyxumia (lixisenatide) CV outcome study: Completion in 2015 The evaluation of lixisenatide in acute coronary syndrome (ELIXA) study is an eventdriven cardiovascular (CV) outcome study in Type 2 diabetic patients with high CV risk.
The primary objective of the ELIXA study is to demonstrate that lixisenatide can reduce CV morbidity and mortality (composite endpoint of CV death, non-fatal myocardial infarction (MI), non-fatal stroke, hospitalization for unstable angina) compared to placebo in Type 2 diabetic patients who recently experienced an acute coronary syndrome (ACS) event.
The ELIXA study started in June 2010 with a target enrollment of 6,000 patients. As of August, 2013, the study was fully enrolled and study completion is expected in 2015, with results available that same year.
Company Disclosed Competitive Profile:
Source: Sanofi 2013 20-F, Page 25:
The FDA application was withdrawn in September 2013, to avoid the potential risk that public disclosure of interim data compromise the ongoing ELIXA CV outcomes trial. Sanofi intends to resubmit the application in 2015 once the ELIXA CV trial results are known.
Additional Phase IIIb studies are ongoing.</t>
        </r>
      </text>
    </comment>
    <comment ref="AD54" authorId="0" shapeId="0">
      <text>
        <r>
          <rPr>
            <sz val="10"/>
            <rFont val="Arial"/>
            <family val="2"/>
          </rPr>
          <t>Company Disclosed Competitive Profile:
Source: Sanofi 2014 20-F, Page 26:
Lyxumia_ (lixisenatide) is a once daily prandial GLP-1 receptor agonist and is indicated for the treatment of adults with type 2 diabetes mellitus to achieve glycemic control in combination with oral glucose lowering medicinal products and/or basal insulin when these, together with diet and exercise, do not provide adequate glycemic control.
In February 2013, the European Commission granted marketing authorization in Europe for Lyxumia_. On completion of pricing and reimbursement discussions, Sanofi initiated a phased launch of Lyxumia_ in most European Union countries. Applications for regulatory approval have also been submitted in several other countries around the world and are being reviewed. Lyxumia_ has been approved in over 50 countries and launched in over 20 countries around the world.
The FDA application was withdrawn in September 2013, to avoid the potential risk that public disclosure of interim data might compromise the ongoing ELIXA CV outcomes trial. Sanofi intends to resubmit the application in 2015 once the ELIXA CV trial results are known.
Additional Phase IIIb studies are ongoing. 
Company Comment:
Source: Sanofi Q4 2014 Results (05 FEB 2015):
Fourth-quarter and 2014 sales of Lyxumia were €8 million and €27 million, respectively.</t>
        </r>
      </text>
    </comment>
    <comment ref="AE54" authorId="0" shapeId="0">
      <text>
        <r>
          <rPr>
            <sz val="10"/>
            <rFont val="Arial"/>
            <family val="2"/>
          </rPr>
          <t>Company Comment:
Source: Sanofi 2015 20-F, Page 25:
Recent launches include Russia and Korea. Lyxumia has been withdrawn from the market in Germany.
Lixisenatide was submitted to the FDA on July 27, 2015 after the results of ELIXA demonstrated cardiovascular safety in type 2 diabetes patients with high cardiovascular risk. A launch is anticipated in the third quarter of 2016. Other major launches expected in 2016 include France in the fourth quarter. Additional Phase IIIb studies are ongoing including research into the safety and efficacy of Lyxumia in the pediatric setting.</t>
        </r>
      </text>
    </comment>
    <comment ref="Z55" authorId="0" shapeId="0">
      <text>
        <r>
          <rPr>
            <sz val="10"/>
            <rFont val="Arial"/>
            <family val="2"/>
          </rPr>
          <t>Company Disclosed Competitive Profile:
Source: Mitsubishi Tanabe Pharma Fiscal 2009 Annual Report (YE MAR 2010), Page 7:
In addition, in fiscal 2009 favorable progress is being made in the development of promising new drug MP-513 (type 2 diabetes mellitus). diabetes treatment agent MP-513 moved up to phase 3 trials in October 2009.
Page 16-17: 
MP-513 inhibits dipeptidyl peptidase 4 (DPP4), which breaks down GLP-1, which promotes the secretion of insulin. In this way, MP-513 promotes insulin secretion. It is less likely to cause problems associated with conventional diabetes treatments, such as hypoglycemia and weight gain. Due to MP-513’s strong DPP4 inhibition and sustained action, we expect it to have the effect of improving blood glucose with once-a-day, low-dose oral administration. MP-513’s renal excretion rate is low, so it is possible that it will not be necessary to adjust the dosage, even for patients with impaired renal function. MP-513 has great promise as a next-generation diabetes treatment, and we are proceeding with development, targeting best in class. In Japan, phase 3 trials were started in October 2009, and in Europe, phase 2 trials were started in August 2009. In the U.S. and Europe, we are also moving ahead with negotiations regarding alliances.</t>
        </r>
      </text>
    </comment>
    <comment ref="AB55" authorId="0" shapeId="0">
      <text>
        <r>
          <rPr>
            <sz val="10"/>
            <rFont val="Arial"/>
            <family val="2"/>
          </rPr>
          <t>Company Comment:
Source: Mitsubishi Tanabe Pharma Fiscal 2012 Annual Report (YE MAR 2013), Page 15: 
Mitsubishi Tanabe Pharma entered the diabetes field in September 2012 with the launch in Japan of Tenelia, a treatment agent for type 2 diabetes mellitus. Tenelia, which is the first DPP-4 inhibitor that originated in Japan, has the distinctive feature of 24-hour, sustained efficacy with once-a-day administration. Together with our co-marketing partner Daiichi Sankyo, we will leverage our combined marketing capabilities, which are the largest in Japan in the field of diabetes, and work to achieve rapid market uptake. In addition, in February 2012 we filed an application for use in combination with oral blood sugar lowering agents.</t>
        </r>
      </text>
    </comment>
    <comment ref="AC55" authorId="0" shapeId="0">
      <text>
        <r>
          <rPr>
            <sz val="10"/>
            <rFont val="Arial"/>
            <family val="2"/>
          </rPr>
          <t>Data Source:
Mitsubishi Tanabe Pharma Q1 Fiscal 2014 Results (APR 2014 – JUN 2014) (29 JUL 2014), Page No: 15.
Company Disclosed Competitive Profile:
Source: Mitsubishi Tanabe Pharma Fiscal 2012 Annual Report (YE MAR 2013), Page 28: 
Furthermore, in February 2013 we filed an application for Tenelia for a partial change in indication for type 2 diabetes mellitus in combination with all oral blood sugar lowering agents currently approved.</t>
        </r>
      </text>
    </comment>
    <comment ref="AD55" authorId="0" shapeId="0">
      <text>
        <r>
          <rPr>
            <sz val="10"/>
            <rFont val="Arial"/>
            <family val="2"/>
          </rPr>
          <t>Data Source:
Mitsubishi Tanabe Pharma in Fiscal 2014 Results (APR 2014 – MAR 2015) (08 MAY 2015), Page no. 5.</t>
        </r>
      </text>
    </comment>
    <comment ref="AE55" authorId="0" shapeId="0">
      <text>
        <r>
          <rPr>
            <sz val="10"/>
            <rFont val="Arial"/>
            <family val="2"/>
          </rPr>
          <t>Data Source:
Mitsubishi Tanabe Pharma Q1 Fiscal 2016 Results Presentation (APR 2016 – JUN 2016) (02 AUG 2016), Slide No: 14.
EvaluatePharma® Comment:
The scheme of Tenelia was changed from co-marketing by the Company and Daiichi Sankyo to solo marketing by Daiichi Sankyo from October 1, 2015. Copromotion by the Company and Daiichi Sankyo is continued. According to the change, the Company discloses total of turnover to Daiichi Sankyo and promotion fee from Daiichi Sankyo as sales amount of Tenelia (new scheme). 
Revenue of Tenelia of FY2015 indicate total of previous scheme &amp; new scheme.</t>
        </r>
      </text>
    </comment>
    <comment ref="AF55" authorId="0" shapeId="0">
      <text>
        <r>
          <rPr>
            <sz val="10"/>
            <rFont val="Arial"/>
            <family val="2"/>
          </rPr>
          <t>Data Source:
Mitsubishi Tanabe Pharma Fiscal 2016 Results Supplementary Document (APR 2016 – MAR 2017) (10 MAY 2017), Page No. 14.
Company Comment:
Source: Mitsubishi Tanabe Pharma Fiscal 2016 Results (APR 2016 – MAR 2017) (10 MAY 2017):
Revenue of domestic ethical drugs increased by 2.0%, year-on-year, to ¥314.2 billion due to the following reasons…Increase in revenue of high-priority products such as TENELIA and CANAGLU, type 2 diabetes mellitus.
Source: Mitsubishi Tanabe Pharma Fiscal 2016 Results Supplementary Document (APR 2016 – MAR 2017) (10 MAY 2017):
Revenue decreased by 0.4% or ¥1.7 to ¥423.9 billion year-on-year…sales of high-priority products such as TENELIA, type2 diabetes mellitus treatment agent,...</t>
        </r>
      </text>
    </comment>
    <comment ref="AG55" authorId="0" shapeId="0">
      <text>
        <r>
          <rPr>
            <sz val="10"/>
            <rFont val="Arial"/>
            <family val="2"/>
          </rPr>
          <t>Data Source:
Mitsubishi Tanabe Pharma Fiscal 2017 Results Supplementary Document (APR 2017 – MAR 2018) (9 MAY 2018), Page No. 14.
Company Comment:
Source: Mitsubishi Tanabe Pharma Fiscal 2017 Results (APR 2017 – MAR 2018) (09 MAY 2018).
Revenue of domestic ethical drugs decreased by 1.5%, year-on-year, to ¥309.3 billion due to the following reasons:- 
- Increase in revenue of Simponi, for the treatment agent of Rheumatoid arthritis (RA) and high-priority products such as Tenelia and Canaglu, type 2 diabetes mellitus were offset by the decline in revenue of vaccines and long-listed drugs.</t>
        </r>
      </text>
    </comment>
    <comment ref="H57" authorId="0" shapeId="0">
      <text>
        <r>
          <rPr>
            <sz val="10"/>
            <rFont val="Arial"/>
            <family val="2"/>
          </rPr>
          <t>Patent Comment:
Patent date &amp; number refers to "Crystalline form of 1-(.beta.-D-glucopyransoyl)-4-methyl-3-[5-(4-fluorophenyl)-2- thienylmethyl]benzene hemihydrate" (US#7943582). Patent protection refers to "Glucopyranoside compound" (US#7943788) expires on 14 JUL 2027. Patent protection also refers to "Glucopyranoside compound" (US#8222219) expires on 05 APR 2025 including 255 days of patent extension. Patent protection also refers to Crystalline form of 1-(.beta.-D-glucopyranosyl)-4-methyl-3-[5-(4-fluorophenyl)-2-thienylmethy- l]benzene hemihydrate (US#8513202) exp 3 DEC 2027. NCE exclusivity expires on 29 MAR 2018. Source: Johnson 2017 10-K, US PTO &amp; FDA.</t>
        </r>
      </text>
    </comment>
    <comment ref="Z57" authorId="0" shapeId="0">
      <text>
        <r>
          <rPr>
            <sz val="10"/>
            <rFont val="Arial"/>
            <family val="2"/>
          </rPr>
          <t xml:space="preserve">Company Disclosed competitive Profile:
Source: Depomed 2010 10-K, Pages 16-17:
In August 2010, the Company entered into a non-exclusive license agreement with Janssen Pharmaceutica N.V. (Janssen), granting Janssen a license to certain patents related to the Company's Acuform drug delivery technology to be used in developing fixed dose combinations of canagliflozin and extended release metformin. Under the terms of the agreement, Janssen was also granted a right of reference to the NDA covering the Company's Glumetza product in Janssen's regulatory filings covering fixed dose combinations of canagliflozin and extended release metformin. The parties also entered into a service agreement under which Depomed is responsible for providing formulation work associated with the fixed dose combination products.
In August 2010, Janssen paid the Company a $5.0 million upfront license fee and a refundable $1.0 million prepayment for formulation work to be performed under the service agreement. Work performed by the Company under the service agreement is reimbursed by Janssen on an agreed-upon FTE rate per hour plus out-of-pocket expenses.
Under the license agreement, the Company is also eligible to receive additional development milestones. In September 2010, the Company achieved the first development milestone under the agreement related to formulation work, which triggered a $5.0 milestone from Janssen to the Company. The $5.0 million milestone was received in October 2010.
The agreement also provides for royalties to the Company on future net sales of Janssen's fixed dosed combinations of canagliflozin and extended release metformin.
Source: Johnson &amp; Johnson 2010 Annual Report, Page 9:
In 2010, a large clinical development program for canagliflozin* and new collaborations supported the Company’s commitment to build a portfolio of diabetes treatments.
Canagliflozin is an investigational oral, selective sodium-glucose transporter-2 (SGLT2) inhibitor being studied in patients for the treatment of type 2 diabetes. The Phase III clinical trial program involves more than 10,000 patients. 
</t>
        </r>
      </text>
    </comment>
    <comment ref="AA57" authorId="0" shapeId="0">
      <text>
        <r>
          <rPr>
            <sz val="10"/>
            <rFont val="Arial"/>
            <family val="2"/>
          </rPr>
          <t xml:space="preserve">Company Disclosed Competitive Profile:
Source: Johnson &amp; Johnson 2011 Annual Report, Page 1: 
We have replenished or advanced our pipelines with new technologies, like the Fibrin Pad for hemostasis, as well as compounds like canagliflozin for diabetes and bapineuzumab for Alzheimer’s disease.
</t>
        </r>
      </text>
    </comment>
    <comment ref="AB57" authorId="0" shapeId="0">
      <text>
        <r>
          <rPr>
            <sz val="10"/>
            <rFont val="Arial"/>
            <family val="2"/>
          </rPr>
          <t>Company Comment:
Source: Johnson &amp; Johnson 2012 Annual Report, Page 6:
The Company submitted several New Drug Applications, including an NDA to the FDA and Marketing Authorization Application (MAA) to the European Medicines Agency (EMA) seeking approval for the use of canagliflozin, an oral, once-daily, selective sodium glucose co-transporter 2 (SGLT2) inhibitor, for the treatment of adult patients with type 2 diabetes, and an NDA seeking approval for a fixed-dose therapy combining canagliflozin and immediate release metformin to treat patients with type 2 diabetes. Additional submissions included a supplemental Biologics License Application to the FDA and a Type II Variation to the EMA requesting approval of STELARA  (ustekinumab) for the treatment of adult patients with active psoriatic arthritis, and a Biologics License Application to the FDA requesting approval of an investigational intravenous formulation of the anti-tumor necrosis factor (TNF)-alpha SIMPONI  (golimumab) for the treatment of adults with moderately to severely active rheumatoid arthritis. In addition, a supplemental Biologics License Application was submitted to the FDA and a Type II Variation was submitted to the EMA requesting approval of SIMPONI  (golimumab) for the treatment of moderately to severely active ulcerative colitis in adult patients who have had an inadequate response to conventional therapy including corticosteroids and 6 mercaptopurine (6 MP) or azathioprine (AZA), or who are intolerant to or have medical contraindications for such therapies. Finally, an MAA was submitted to the EMA seeking conditional approval for the use of bedaquiline (TMC207) as an oral treatment, to be used as part of combination therapy for pulmonary, multi-drug resistant tuberculosis in adults.</t>
        </r>
      </text>
    </comment>
    <comment ref="AC57" authorId="0" shapeId="0">
      <text>
        <r>
          <rPr>
            <sz val="10"/>
            <rFont val="Arial"/>
            <family val="2"/>
          </rPr>
          <t>EvaluatePharma ® Comment: Backup to T-1095. Stems from AUG 2000 deal with JNJ: out-licensed rights to USA &amp; Europe.
Company Comment:
Source: Johnson &amp; Johnson 2013 Annual Report, Page 6: 
During 2013, the company received several regulatory approvals including: The FDA and European Commission (EC) approved INVOKANA (canagliflozin), an oral, once-daily, selective sodium glucose co-transporter 2 inhibitor, for the treatment of adults with type 2 diabetes.
Additionally, an MAA was submitted to the EMA for canagliflozin/metformin fixed-dose combination therapy to treat patients with type 2 diabetes.
Company Disclosed Competitive Profile:
Source: Mitsubishi Tanabe Pharma Fiscal 2012 Annual Report (YE MAR 2013), Page 24:
It inhibits SGLT2, a transporter that is involved in the reabsorption of glucose in the renal tubules. In this way, glucose is excreted outside the body with urine, and the blood glucose level is lowered. TA-7284 is a type 2 diabetes mellitus treatment agent that has a strong blood glucose lowering effect through a new mechanism of action that does not work through insulin. In addition, it has a weight reduction effect that is not seen with other oral diabetes treatment drugs. Mitsubishi Tanabe Pharma is conducting development in Japan, where an application for TA-7284 was filed in May 2013. Overseas, TA-7284 licensee Janssen Pharmaceuticals, of the U.S., received approval for TA-7284, which is the first SGLT2 inhibitor approved in the U.S., in March 2013. An application has also been filed in Europe.</t>
        </r>
      </text>
    </comment>
    <comment ref="AD57" authorId="0" shapeId="0">
      <text>
        <r>
          <rPr>
            <sz val="10"/>
            <rFont val="Arial"/>
            <family val="2"/>
          </rPr>
          <t>Data Source:
Mitsubishi Tanabe Pharma Fiscal 2015 Results (APR 2015 – MAR 2016) (11 MAY 2016), Page No: 15.
EvaluatePharma ® Comment: Backup to T-1095. Stems from AUG 2000 deal with JNJ: out-licensed rights to USA &amp; Europe.
Company Comment:
Source: Mitsubishi Tanabe Pharma Fiscal 2013 Annual Report (YE MAR 2014), Page 47:
TA -7284 (Canagliflozin)
Indication: Type 2 diabetes mellitus
TA-7284 inhibits SGLT2, a transporter that is involved in the reabsorption
of glucose in the renal tubules. In this way, glucose is
excreted outside the body with urine, and the blood glucose level is
lowered. TA-7284 is a type 2 diabetes mellitus treatment agent with
a new mechanism of action that does not work through insulin. In
addition, it has a weight reduction effect that is not seen with other
oral diabetes treatment drugs. Mitsubishi Tanabe Pharma has been
conducting development in Japan, where approval was received in
July 2014 for type 2 diabetes mellitus. Mitsubishi Tanabe Pharma
plans to begin sales under the name Canaglu. Overseas, licensee
Janssen Pharmaceuticals received approval for TA-7284 in March
2013, making TA-7284 the first SGLT2 inhibitor approved in the
U.S. Janssen Pharmaceuticals has begun sales under the name
Invokana. Approval was received in Europe in November 2013
and sales have commenced. Furthermore, in the U.S., Janssen
Pharmaceuticals began phase 3 clinical trials for diabetic nephropathy
and fixed dose combination with metformin (extended release
preparation). In April 2014, Janssen Pharmaceuticals received
approval for fixed dose combination with metformin (immediate
release preparation) in Europe. The Company participated in
a multinational study for diabetic nephropathy conducted by
Janssen Pharmaceuticals.</t>
        </r>
      </text>
    </comment>
    <comment ref="AE57" authorId="0" shapeId="0">
      <text>
        <r>
          <rPr>
            <sz val="10"/>
            <rFont val="Arial"/>
            <family val="2"/>
          </rPr>
          <t>Data Source:
Mitsubishi Tanabe Pharma Fiscal 2016 Results Presentation (APR 2016 – MAR 2017) (11 MAY 2017), Slide No. 34.</t>
        </r>
      </text>
    </comment>
    <comment ref="AF57" authorId="0" shapeId="0">
      <text>
        <r>
          <rPr>
            <sz val="10"/>
            <rFont val="Arial"/>
            <family val="2"/>
          </rPr>
          <t>Data Source:
Mitsubishi Tanabe Pharma Fiscal 2016 Results Presentation (APR 2016 – MAR 2017) (11 MAY 2017), Slide No. 34.
Company Comment:
Source: Mitsubishi Tanabe Pharma Fiscal 2016 Results (APR 2016 – MAR 2017) (10 MAY 2017):
Revenue of domestic ethical drugs increased by 2.0%, year-on-year, to ¥314.2 billion due to the following reasons…Increase in revenue of high-priority products such as TENELIA and CANAGLU, type 2 diabetes mellitus.
Source: Mitsubishi Tanabe Pharma Fiscal 2016 Annual Report (YE MAR 2017), Page 36:
Received approval in Taiwan for an indication of type 2 diabetes mellitus.
Licensee Janssen Pharmaceuticals, Inc., of the U.S., received approval in the U.S. for an indication of type 2 diabetes mellitus.</t>
        </r>
      </text>
    </comment>
    <comment ref="AG57" authorId="0" shapeId="0">
      <text>
        <r>
          <rPr>
            <sz val="10"/>
            <rFont val="Arial"/>
            <family val="2"/>
          </rPr>
          <t>Data Source:
Mitsubishi Tanabe Pharma Fiscal 2017 Results Supplementary Document (APR 2017 – MAR 2018) (9 MAY 2018), Page No. 14.
Company Comment:
Source: Mitsubishi Tanabe Pharma Fiscal 2017 Results (APR 2017 – MAR 2018) (09 MAY 2018).
Revenue of domestic ethical drugs decreased by 1.5%, year-on-year, to ¥309.3 billion due to the following reasons:- 
- Increase in revenue of Simponi, for the treatment agent of Rheumatoid arthritis (RA) and high-priority products such as Tenelia and Canaglu, type 2 diabetes mellitus were offset by the decline in revenue of vaccines and long-listed drugs.
Royalty revenue, etc. decreased due to the following reasons:- 
- Increase in royalty revenue from Gilenya, for the treatment of multiple sclerosis, licensed to Novartis.
- Decrease in royalty revenue from INVOKANA and the fixed dose combination with metformin, for the treatment of type 2 diabetesmellitus, licensed to Janssen Pharmaceuticals.
Source: Mitsubishi Tanabe Pharma Q4 Fiscal 2017 Results Presentation (APR 2017 – MAR 2018) (09 MAY 2018):
INVOKANA/INVOKAMET TRx share 6.0% in demand U.S. T2D market.</t>
        </r>
      </text>
    </comment>
    <comment ref="H58" authorId="0" shapeId="0">
      <text>
        <r>
          <rPr>
            <sz val="10"/>
            <rFont val="Arial"/>
            <family val="2"/>
          </rPr>
          <t>Patent Comment:
RoW expiry refers to China patent expiring in 2020-28. Source: AZN 2017 AR.</t>
        </r>
      </text>
    </comment>
    <comment ref="H59" authorId="0" shapeId="0">
      <text>
        <r>
          <rPr>
            <sz val="10"/>
            <rFont val="Arial"/>
            <family val="2"/>
          </rPr>
          <t>Patent Comment:
Patent date refers to first generic launch by Sun Pharmaceutical Industries. Patent protection refers to US patent (US#6677358) for "NIDDM regimen" exp. 12 JUN 2018. Patent protection also refers to phenylacetic acid benzylamides (US#RE37035) expiring on 7-OCT-2017. Patent protection also refers to phenylacetic acid benzylamides (US#6143769) expiring on 7-NOV-2017 &amp; (US#5312924) expired on 17-MAY-2011. RoW expiry refers to composition of matter patent in Europe. AUG13 US Court of Appeal ruled against novonordisk. Japanese patent expiring on 31 DEC 2016. Source: 2015 AR, FDA &amp; US PTO; 08 AUG 2013 press release; 12 JUL 2013 press release.</t>
        </r>
      </text>
    </comment>
    <comment ref="Z59" authorId="0" shapeId="0">
      <text>
        <r>
          <rPr>
            <sz val="10"/>
            <rFont val="Arial"/>
            <family val="2"/>
          </rPr>
          <t>Company Comment:
Source: Novo Nordisk FY 2010 Results (2 FEB 2011):
In 2010, sales of oral antidiabetic products increased by 4% in Danish kroner to DKK 2,751 million and decreased by 1% measured in local currencies compared to 2009. The sales development primarily reflects sales growth in China being offset by lower sales in Europe due to generic competition in several European markets with the main impact in Germany.
Company Disclosed Competitive Profile:
Source: Dainippon Fiscal 2009 Annual Report (YE MAR 2010), Page 19:
In September 2009, we filed a new drug application for repaglinide, a potential treatment for diabetes intended to improve postprandial hyperglycemia that was licensed from Novo Nordisk A/S. We also started Phase III for combination therapy with biguanide/thiazolidine.</t>
        </r>
      </text>
    </comment>
    <comment ref="AA59" authorId="0" shapeId="0">
      <text>
        <r>
          <rPr>
            <sz val="10"/>
            <rFont val="Arial"/>
            <family val="2"/>
          </rPr>
          <t xml:space="preserve">Company Comment:
Source: Novo Nordisk FY 2011 Results (2 FEB 2012):
In 2011, sales of oral antidiabetic products declined by 3% measured in local currencies and by 6% in Danish kroner to DKK 2,575 million compared to 2010. The sales development primarily reflects lower sales in Europe due to generic competition in several European markets.
Company Comment:
Source: Novo Nordisk Annual Report 2011, Page 9:
In 2011, sales of oral antidiabetic products declined by 3% measured in local currencies and by 6% in Danish kroner to DKK 2,575 million compared to 2010. The sales development primarily reflects lower sales in Europe due to generic competition in several European markets.
Company Disclosed Competitive Profile:
Source: Dainippon Fiscal 2010 Annual Report (YE MAR 2011), Page 20: 
In January 2011, DSP obtained approval of SUREPOST® (generic name: repaglinide), a rapid-acting insulin secretagogue.
</t>
        </r>
      </text>
    </comment>
    <comment ref="AB59" authorId="0" shapeId="0">
      <text>
        <r>
          <rPr>
            <sz val="10"/>
            <rFont val="Arial"/>
            <family val="2"/>
          </rPr>
          <t>Company Comment:
Source: Novo Nordisk FY 2012 Results (31 JAN 2013):
Sales of oral antidiabetic products increased by 7% in Danish kroner to DKK 2,758 million and remained unchanged in local currencies. The sales development reflects sales growth in all regions except Europe where generic competition is negatively impacting overall sales in several markets.</t>
        </r>
      </text>
    </comment>
    <comment ref="AC59" authorId="0" shapeId="0">
      <text>
        <r>
          <rPr>
            <sz val="10"/>
            <rFont val="Arial"/>
            <family val="2"/>
          </rPr>
          <t xml:space="preserve">Company Comment:
Source: Novo Nordisk FY 2013 Results (30 JAN 2014):
Sales of oral antidiabetic products decreased by 16% in local currencies and by 19% in  Danish kroner to DKK 2,246 million. The negative sales development reflects an impact  from generic competition in the US and Europe as well as a changed inventory setup in  China. </t>
        </r>
      </text>
    </comment>
    <comment ref="AD59" authorId="0" shapeId="0">
      <text>
        <r>
          <rPr>
            <sz val="10"/>
            <rFont val="Arial"/>
            <family val="2"/>
          </rPr>
          <t>Company Comment:
Source: Novo Nordisk FY 2014 Results (30 JAN 2015):
...Sales growth has been negatively impacted by around 4 percentage points, primarily due to events in North America, notably the partial loss of reimbursement with a large pharmacy benefit manager, generic competition to Prandin as well as expanded Medicaid and Medicare Part D utilisation.
NovoNorm/Prandin/PrandiMet (oral antidiabetic products)
Sales of oral antidiabetic products decreased by 22% in local currencies and by 23% in Danish kroner to DKK 1,728 million. The negative sales development reflects an impact from generic competition in the US since August 2013.</t>
        </r>
      </text>
    </comment>
    <comment ref="AE59" authorId="0" shapeId="0">
      <text>
        <r>
          <rPr>
            <sz val="10"/>
            <rFont val="Arial"/>
            <family val="2"/>
          </rPr>
          <t>Company Comment:
Source: Novo Nordisk 2015 20-F, Page 8:
The total sales of Prandin/NovoNorm, an oral antidiabetic drug, were DKK 1,688 million in 2015 (DKK 1,620 million in 2014) and together with other oral antidiabetic products of DKK 134 million in 2015 (DKK 108 million in 2014), the total sales of all oral antidiabetic products (OAD) were DKK 1,822 million in 2015 (DKK 1,728 million in 2014). Prandin/NovoNorm is no longer protected as the drug compound patent has expired in all key markets.
In Europe, generic copies of NovoNorm were first introduced in Germany in 2010 and introductions of generic copies have subsequently been observed, e.g. in France, Italy, Spain and Belgium. During 2012, generic competition significantly reduced our European sales of NovoNorm with most of the reduction, varying from country to country, occurring in the first 12 months following the introduction of generic competition. Our European sales of NovoNorm continued to erode during 2015 due to generic competition, and we expect this trend to continue during 2016.
In the United States, generic copies of Prandin were approved in July 2013 from respectively Caraco and Paddock, and Novo Nordisk has since then and throughout 2015 seen a significant decline in sales of Prandin in the United States.
In China, NovoNorm has been exposed to generic competition for several years without significantly impacting our sales. Therefore, we do not expect a significant decline in NovoNorm sales in China in the short term due to generic competition.</t>
        </r>
      </text>
    </comment>
    <comment ref="AF59" authorId="0" shapeId="0">
      <text>
        <r>
          <rPr>
            <sz val="10"/>
            <rFont val="Arial"/>
            <family val="2"/>
          </rPr>
          <t>Company Comment:
Source: Novo Nordisk  2016 20-F, Page 9:
The total sales of Prandin/NovoNorm, an oral antidiabetic drug, were DKK 1,597 million in 2016 (DKK 1,688 million in 2015) and together with other oral antidiabetic products of DKK 107 million in 2016 (DKK 134 million in 2015), the total sales of all oral antidiabetic products (OAD) were DKK 1,704 million in 2016 (DKK 1,822 million in 2015). Prandin/NovoNorm is no longer protected as the drug compound patent has expired in all key markets. In Europe, generic copies of NovoNorm were first introduced in Germany in 2010 and introductions of generic copies have subsequently been observed, e.g. in France, Italy, Spain and Belgium. During 2012, generic competition significantly reduced our European sales of NovoNorm with most of the reduction, varying from country to country, occurring in the first 12 months following the introduction of generic competition. Our European sales of NovoNorm continued to erode during 2016 due to generic competition, and we expect this trend to continue during 2017.In the United States, generic copies of Prandin were approved in July 2013 from respectively Caraco and Paddock, and Novo Nordisk has since then and throughout 2016 seen a significant decline in sales of Prandin in the United States. In China, NovoNorm has been exposed to generic competition for several years without significantly impacting our sales. Therefore, we do not expect a significant decline in NovoNorm sales in China in the short term due to generic competition.</t>
        </r>
      </text>
    </comment>
    <comment ref="AG59" authorId="0" shapeId="0">
      <text>
        <r>
          <rPr>
            <sz val="10"/>
            <rFont val="Arial"/>
            <family val="2"/>
          </rPr>
          <t>EvaluatePharma® Comment:
Prandin FY 2017 sales not disclosed by  Novo Nordisk in  FY 2017 Results (01 FEB 2018).</t>
        </r>
      </text>
    </comment>
    <comment ref="AC60" authorId="0" shapeId="0">
      <text>
        <r>
          <rPr>
            <sz val="10"/>
            <rFont val="Arial"/>
            <family val="2"/>
          </rPr>
          <t>Data Source:
Kyowa Hakko Kirin FY 2013 Consolidated Financial Statements (31 JAN 2014), Page 7.</t>
        </r>
      </text>
    </comment>
    <comment ref="AD60" authorId="0" shapeId="0">
      <text>
        <r>
          <rPr>
            <sz val="10"/>
            <rFont val="Arial"/>
            <family val="2"/>
          </rPr>
          <t>Data Source:
Kyowa Hakko Kirin FY 2014 Consolidated Financial Statements (30 JAN 2015), Page 7.
Company Comment:
Source: Kyowa Hakko Kirin FY 2014 Results (30 JAN 2015):
Sales of...Onglyza®, a treatment for type-two diabetes, and other products advanced steadily.</t>
        </r>
      </text>
    </comment>
    <comment ref="AE60" authorId="0" shapeId="0">
      <text>
        <r>
          <rPr>
            <sz val="10"/>
            <rFont val="Arial"/>
            <family val="2"/>
          </rPr>
          <t xml:space="preserve">Data Source:
Kyowa Hakko Kirin FY 2015 Consolidated Financial Statements (29 JAN 2016), Page 7.
Company Comment:
Source: Kyowa Hakko Kirin FY 2015 Results (29 JAN 2016):
There was steady growth in sales of new products such as... Onglyza, a treatment for type 2 diabetes, </t>
        </r>
      </text>
    </comment>
    <comment ref="AF60" authorId="0" shapeId="0">
      <text>
        <r>
          <rPr>
            <sz val="10"/>
            <rFont val="Arial"/>
            <family val="2"/>
          </rPr>
          <t>Data Source: 
Kyowa Hakko Kirin FY 2017 Results Appendix (08 FEB 2018), Page 4.</t>
        </r>
      </text>
    </comment>
    <comment ref="AG60" authorId="0" shapeId="0">
      <text>
        <r>
          <rPr>
            <sz val="10"/>
            <rFont val="Arial"/>
            <family val="2"/>
          </rPr>
          <t>Data Source:
Kyowa Hakko Kirin FY 2017 Results Appendix (08 FEB 2018), Page 4.
Company Comment:
Source: Kyowa Hakko Kirin FY 2017 Results (08 FEB 2018):
In Japan, although the business environment grew more severe mainly due to the market penetration of generics, solid growth was shown for sales of G-Lasta, an agent for decreasing the incidence of febrile neutropenia, NOURIAST, an antiparkinsonian agent, Onglyza, a treatment for type 2 diabetes, as well as the new product LUMICEF, a treatment for psoriasis…
Revenue from products such as G-Lasta, an agent for decreasing the incidence of febrile neutropenia, NOURIAST, an antiparkinsonian agent, and Onglyza, a treatment for type 2 diabetes showed solid growth.</t>
        </r>
      </text>
    </comment>
    <comment ref="H61" authorId="0" shapeId="0">
      <text>
        <r>
          <rPr>
            <sz val="10"/>
            <rFont val="Arial"/>
            <family val="2"/>
          </rPr>
          <t>Patent Comment:
Patent date refers to first generic launch by Par Pharmaceutical. Patent protection refers to "Method of treating metabolic disorders especially diabetes, or a disease or condition associated with diabetes" (US#6559188 &amp; US#6878749) exp. on 15-SEP-2020. Patent protection also refers to "Tablet composition" (US#6641841 &amp; #6844008) exp. on 14-NOV-2017. Patent protection (held by Ajinomoto) also refers to crystals of N-(trans-4-isopropylcyclohexycarbonyl)-D-phenylalanine &amp; methods for preparing them (#5488150; &amp; #5463116) expired on 21-OCT-2012. SEP09 First generic approved &amp; launched by Par Pharmaceutical in US. Source: 10 SEP 2009 Par Pharmaceuticals press release, US PTO &amp; FDA.</t>
        </r>
      </text>
    </comment>
    <comment ref="H62" authorId="0" shapeId="0">
      <text>
        <r>
          <rPr>
            <sz val="10"/>
            <rFont val="Arial"/>
            <family val="2"/>
          </rPr>
          <t>Patent Comment:
Patent date refers to first generic launch by Lupin. Patent protection refers to "Controlled release dosage forms" (US#7780987 &amp; US#8323692). RoW expiry refers to Canadian patent which expires in 2023. Patent protection refers to "Optimal polymer mixtures for gastric retentive tablets (US#6723340) exp. on 25-OCT-2021. Patent protection also refers to "Tablet shapes to enhance gastric retention of swellable CR oral dosage forms" (US#6488962) exp. on 20 JUN 2020 &amp; "Extending duration of drug release within stomach during the fed mode" (US#6340475 &amp; US#6635280) exp. on 19 SEP 2016. Source: 10 JAN 2017 Presentation, PDL BioPharma 2014 10-K, 2014 &amp; 2011 10-K, Santarus 2011 10-K, US PTO, FDA, Press release.</t>
        </r>
      </text>
    </comment>
    <comment ref="AE62" authorId="0" shapeId="0">
      <text>
        <r>
          <rPr>
            <sz val="10"/>
            <rFont val="Arial"/>
            <family val="2"/>
          </rPr>
          <t>EvaluatePharma® Comment:
Sales calculated as sum of four quarters.</t>
        </r>
      </text>
    </comment>
    <comment ref="AF62" authorId="0" shapeId="0">
      <text>
        <r>
          <rPr>
            <sz val="10"/>
            <rFont val="Arial"/>
            <family val="2"/>
          </rPr>
          <t>EvaluatePharma® Comment:
Sales calculated as sum of four quarters.
Company Comment:
Source: Valeant Pharmaceuticals International in FY 2016 Results (28 FEB 2017):
...Generic competition was also a factor in volume declines as certain products lost exclusivity, such as Glumetza and Zegerid in our Salix business unit and Ziana in our Dermatology business unit.</t>
        </r>
      </text>
    </comment>
    <comment ref="AG62" authorId="0" shapeId="0">
      <text>
        <r>
          <rPr>
            <sz val="10"/>
            <rFont val="Arial"/>
            <family val="2"/>
          </rPr>
          <t>Data Source: 
Valeant Pharmaceuticals International FY 2017 Results (28 FEB 2018).
Sales includes:
1) Glumetza AG: $39m
2) Glumetza SLX: $133m
Total Glumetza sales: $172m</t>
        </r>
      </text>
    </comment>
    <comment ref="H63" authorId="0" shapeId="0">
      <text>
        <r>
          <rPr>
            <sz val="10"/>
            <rFont val="Arial"/>
            <family val="2"/>
          </rPr>
          <t>Patent Comment:
Patent protection also refers to EU patent expiring on  AUG 2018. Source: 2017 20-F.</t>
        </r>
      </text>
    </comment>
    <comment ref="H64" authorId="0" shapeId="0">
      <text>
        <r>
          <rPr>
            <sz val="10"/>
            <rFont val="Arial"/>
            <family val="2"/>
          </rPr>
          <t>Patent Comment:
Patent date refers to first generic launch by Teva. Patent protection refers to US patent "Pharmaceutical compositions containing exendins" (US#7297761). Patent protection also refers to US patent "Pharmaceutical compositions containing exendins" (US#7521423) expiring 15 OCT 2017. JUN16 Teva settled patent litigation with AstraZeneca relating to US Patent Nos. 6858576, 6872700, 6956026, 7297761, 6902744, 7521423, &amp; 7741269. RoW expiry refers to China patent expiring in 2020. Source: AZN 2017 AR, 23 JUN 2016 press release, BMY 2013 10-K, Eli Lilly 2010 &amp; Amylin 2010 10-K, 2015 Annual report, FDA, USPTO.</t>
        </r>
      </text>
    </comment>
    <comment ref="AB64" authorId="0" shapeId="0">
      <text>
        <r>
          <rPr>
            <sz val="10"/>
            <rFont val="Arial"/>
            <family val="2"/>
          </rPr>
          <t>EvaluatePharma®  Comment:
From Bristol-Myers Squibb: WW 50/50 profit share.</t>
        </r>
      </text>
    </comment>
    <comment ref="AC64" authorId="0" shapeId="0">
      <text>
        <r>
          <rPr>
            <sz val="10"/>
            <rFont val="Arial"/>
            <family val="2"/>
          </rPr>
          <t>EvaluatePharma®  Comment:
From Bristol-Myers Squibb: WW 50/50 profit share.
Company Comment:
Source: AstraZeneca FY 2013 Results (06 FEB 2014):
…The  Company’s share of worldwide revenue for the exenatide products was $357 million for the full year.</t>
        </r>
      </text>
    </comment>
    <comment ref="AD64" authorId="0" shapeId="0">
      <text>
        <r>
          <rPr>
            <sz val="10"/>
            <rFont val="Arial"/>
            <family val="2"/>
          </rPr>
          <t>EvaluatePharma®  Comment:
01 FEB14 AstraZeneca acquired WW rights of diabetes business (previously part of its collaboration with Bristol-Myers Squibb) from Bristol-Myers Squibb.
Company Comment:
Source: AstraZeneca FY 2014 Results (05 FEB 2015):
...Global 2014 revenue was $767m, up 115%.</t>
        </r>
      </text>
    </comment>
    <comment ref="AE64" authorId="0" shapeId="0">
      <text>
        <r>
          <rPr>
            <sz val="10"/>
            <rFont val="Arial"/>
            <family val="2"/>
          </rPr>
          <t xml:space="preserve">Includes:
1) Onglyza
2) Kombiglyze XR
Company Comment:
Source: AstraZeneca FY 2015 Results (04 FEB 2016):
Combined sales were $896m in the year, representing growth of 21%; Bydureon represented approximately 65% of total Bydureon/Byetta sales. 
In the US, sales were $691m, up by 21%, with higher volumes driven by market growth and higher net prices. 
The majority of the remaining sales of Bydureon/Byetta were in Europe, totalling $143m; Bydureon sales in Europe grew by 65% to $81m, reflecting the Company’s ongoing effort to expand its Diabetes presence. 
</t>
        </r>
      </text>
    </comment>
    <comment ref="AF64" authorId="0" shapeId="0">
      <text>
        <r>
          <rPr>
            <sz val="10"/>
            <rFont val="Arial"/>
            <family val="2"/>
          </rPr>
          <t>Company Comment:
Source: AstraZeneca FY 2016 Results (02 FEB 2017):
Combined full-year US sales for Bydureon/Byetta were $627m. Bydureon sales in the US declined by 4% to $463m, representing 74% of total Bydureon/Byetta US sales. Around 75% of sales came from the new dual-chamber pen compared to the prior tray presentation. The decline in US Byetta sales of 22% to $164m was attributed to the Company’s promotional focus on Bydureon. The decline in both Bydureon and Byetta US sales reflected lower net pricing; a regulatory submission for the new Bydureon autoinjector is anticipated in the US in the first half of 2017.
Full-year sales in Europe increased by 3% to $145m, reflecting the Company’s ongoing effort to expand its Diabetes presence. Full-year sales of Byetta and Bydureon in Emerging Markets increased by 13% to $24m and decreased by 25% to $4m, respectively. On 10 October 2016, AstraZeneca entered into a strategic collaboration with 3SBio Inc. (3SBio) for the rights to commercialise Bydureon and Byetta in the Chinese market. The agreement allowed the Company to benefit from 3SBio’s established local expertise in injectable medicines as well as focus on its oral type-2 diabetes medicines.</t>
        </r>
      </text>
    </comment>
    <comment ref="H65" authorId="0" shapeId="0">
      <text>
        <r>
          <rPr>
            <sz val="10"/>
            <rFont val="Arial"/>
            <family val="2"/>
          </rPr>
          <t>Patent Comment:
Patent date refers to patent covering "Amylin agonist peptides and uses thereof" (#5686411), including 1586 days patent extension. NCE exclusivity expires 16 MAR 2010. RoW expiry refers to EU patent covering "2-(2,4,5-substituted-anilino) pyrimidine derivatives as egfr modulators useful for treating cancer" (EP2736895). Source: Amylin Pharmaceuticals 2010 10-K, 2012 Annual report &amp; FDA.</t>
        </r>
      </text>
    </comment>
    <comment ref="AD65" authorId="0" shapeId="0">
      <text>
        <r>
          <rPr>
            <sz val="10"/>
            <rFont val="Arial"/>
            <family val="2"/>
          </rPr>
          <t xml:space="preserve">EvaluatePharma®  Comment:
01 FEB14 AstraZeneca acquired WW rights of diabetes business (previously part of its collaboration with Bristol-Myers Squibb) from Bristol-Myers Squibb. </t>
        </r>
      </text>
    </comment>
    <comment ref="AE65" authorId="0" shapeId="0">
      <text>
        <r>
          <rPr>
            <sz val="10"/>
            <rFont val="Arial"/>
            <family val="2"/>
          </rPr>
          <t>Data Source:
AstraZeneca H1 2017 Results (27 JUL 2017).</t>
        </r>
      </text>
    </comment>
    <comment ref="AF65" authorId="0" shapeId="0">
      <text>
        <r>
          <rPr>
            <sz val="10"/>
            <rFont val="Arial"/>
            <family val="2"/>
          </rPr>
          <t>Data Source:
AstraZeneca H1 2017 Results (27 JUL 2017).</t>
        </r>
      </text>
    </comment>
    <comment ref="H66" authorId="0" shapeId="0">
      <text>
        <r>
          <rPr>
            <sz val="10"/>
            <rFont val="Arial"/>
            <family val="2"/>
          </rPr>
          <t>Patent Comment:
Patent date refers to FDA final approval for Watson Pharmaceuticals' generic Glucotrol XL 5mg tablets. Patent protection refers to "Oral hypoglycaemic glipizide granulation" (US#5024843) expired on 05 SEP 2009. Source: Watson press release, FDA &amp; US PTO.</t>
        </r>
      </text>
    </comment>
    <comment ref="AA67" authorId="0" shapeId="0">
      <text>
        <r>
          <rPr>
            <sz val="10"/>
            <rFont val="Arial"/>
            <family val="2"/>
          </rPr>
          <t>Data Source: 
Kissei Pharmaceutical Fiscal 2011 Results (APR2011- MAR 2012) (08 MAY 2012) Page 4.</t>
        </r>
      </text>
    </comment>
    <comment ref="AB67" authorId="0" shapeId="0">
      <text>
        <r>
          <rPr>
            <sz val="10"/>
            <rFont val="Arial"/>
            <family val="2"/>
          </rPr>
          <t>Data Source: 
Kissei Pharmaceutical Fiscal 2012 Results (APR2012- MAR 2013) (08 MAY 2013) Page 4.</t>
        </r>
      </text>
    </comment>
    <comment ref="AC67" authorId="0" shapeId="0">
      <text>
        <r>
          <rPr>
            <sz val="10"/>
            <rFont val="Arial"/>
            <family val="2"/>
          </rPr>
          <t>Data Source: 
Kissei Pharmaceutical Fiscal 2013 Results (APR 2013- MAR 2014) (08 MAY 2014) Page 4.</t>
        </r>
      </text>
    </comment>
    <comment ref="AD67" authorId="0" shapeId="0">
      <text>
        <r>
          <rPr>
            <sz val="10"/>
            <rFont val="Arial"/>
            <family val="2"/>
          </rPr>
          <t>Data Source: 
Kissei Pharmaceutical Fiscal 2017 Results (APR 2017 - MAR 2018) (08 MAY 2018) Page 4.</t>
        </r>
      </text>
    </comment>
    <comment ref="AE67" authorId="0" shapeId="0">
      <text>
        <r>
          <rPr>
            <sz val="10"/>
            <rFont val="Arial"/>
            <family val="2"/>
          </rPr>
          <t>Data Source:
Kissei Pharmaceutical Fiscal 2015 Results (APR 2015- MAR 2016) (11 MAY 2016), Page 4.</t>
        </r>
      </text>
    </comment>
    <comment ref="AF67" authorId="0" shapeId="0">
      <text>
        <r>
          <rPr>
            <sz val="10"/>
            <rFont val="Arial"/>
            <family val="2"/>
          </rPr>
          <t>Data Source:
Kissei Pharmaceutical Q3 Fiscal 2017 Consolidated Financial Results (OCT 2017 - DEC 2017) (31 JAN 2018), Page no: 4.</t>
        </r>
      </text>
    </comment>
    <comment ref="AG67" authorId="0" shapeId="0">
      <text>
        <r>
          <rPr>
            <sz val="10"/>
            <rFont val="Arial"/>
            <family val="2"/>
          </rPr>
          <t>Data Source: 
Kissei Pharmaceutical Fiscal 2017 Results (APR 2017 - MAR 2018) (08 MAY 2018) Page 4.</t>
        </r>
      </text>
    </comment>
    <comment ref="Z68" authorId="0" shapeId="0">
      <text>
        <r>
          <rPr>
            <sz val="10"/>
            <rFont val="Arial"/>
            <family val="2"/>
          </rPr>
          <t>EvaluatePharma® Comment:
Sales include Efficib &amp; Tesavel sales.
FY 2010 Efficib &amp; Tesavel sales restated by Almirall in FY 2011 Results (27 FEB 2012).
Previously disclosed FY 2010 sales: €25.9m
Company Comment:
Source: Almirall FY 2010 Results (28 FEB 2011):
...However, current trends in the core business (expected to continue in 2011) are partially offset by ...the excellent ramping up of new products (Efficib and Tesavel).
...Strong market performance for key brands like Parapres (+9.8%) and Efficib/Tesavel (+146,7%) helped to offset generic competition...</t>
        </r>
      </text>
    </comment>
    <comment ref="AA68" authorId="0" shapeId="0">
      <text>
        <r>
          <rPr>
            <sz val="10"/>
            <rFont val="Arial"/>
            <family val="2"/>
          </rPr>
          <t xml:space="preserve">EvaluatePharma® Comment:
Sales include Efficib &amp; Tesavel sales.
</t>
        </r>
      </text>
    </comment>
    <comment ref="AB68" authorId="0" shapeId="0">
      <text>
        <r>
          <rPr>
            <sz val="10"/>
            <rFont val="Arial"/>
            <family val="2"/>
          </rPr>
          <t xml:space="preserve">EvaluatePharma® Comment:
Sales include Efficib &amp; Tesavel sales.
</t>
        </r>
      </text>
    </comment>
    <comment ref="AC68" authorId="0" shapeId="0">
      <text>
        <r>
          <rPr>
            <sz val="10"/>
            <rFont val="Arial"/>
            <family val="2"/>
          </rPr>
          <t xml:space="preserve">EvaluatePharma® Comment:
Sales include Efficib &amp; Tesavel sales.
</t>
        </r>
      </text>
    </comment>
    <comment ref="AD68" authorId="0" shapeId="0">
      <text>
        <r>
          <rPr>
            <sz val="10"/>
            <rFont val="Arial"/>
            <family val="2"/>
          </rPr>
          <t xml:space="preserve">EvaluatePharma® Comment:
Sales include Efficib &amp; Tesavel sales.
</t>
        </r>
      </text>
    </comment>
    <comment ref="AE68" authorId="0" shapeId="0">
      <text>
        <r>
          <rPr>
            <sz val="10"/>
            <rFont val="Arial"/>
            <family val="2"/>
          </rPr>
          <t xml:space="preserve">EvaluatePharma® Comment:
Sales include Efficib &amp; Tesavel sales.
</t>
        </r>
      </text>
    </comment>
    <comment ref="AF68" authorId="0" shapeId="0">
      <text>
        <r>
          <rPr>
            <sz val="10"/>
            <rFont val="Arial"/>
            <family val="2"/>
          </rPr>
          <t xml:space="preserve">EvaluatePharma® Comment:
Sales include Efficib &amp; Tesavel sales.
</t>
        </r>
      </text>
    </comment>
    <comment ref="AG68" authorId="0" shapeId="0">
      <text>
        <r>
          <rPr>
            <sz val="10"/>
            <rFont val="Arial"/>
            <family val="2"/>
          </rPr>
          <t xml:space="preserve">EvaluatePharma® Comment:
Sales include Efficib &amp; Tesavel sales.
</t>
        </r>
      </text>
    </comment>
    <comment ref="Z69" authorId="0" shapeId="0">
      <text>
        <r>
          <rPr>
            <sz val="10"/>
            <rFont val="Arial"/>
            <family val="2"/>
          </rPr>
          <t>Company Comment:
Source: Dainippon Sumitomo Pharma Fiscal 2010 Results (11 MAY 2011):
DSP has continued its intensive infusions of operating resources into its strategic products, such as AVAPRO, a therapeutic agent for hypertension drug, LONASEN, an atypical antipsychotic, and PRORENAL, a vasodilator, as well as its new products, such as TRERIEF, a Parkinson's disease drug, MIRIPLA, a therapeutic agent for hepatocellular carcinoma, and METGLUCO, a biguanide oral hypoglycemic, thereby working to maximize earnings. As a result, net sales amounted to 211,349 million yen...</t>
        </r>
      </text>
    </comment>
    <comment ref="AA69" authorId="0" shapeId="0">
      <text>
        <r>
          <rPr>
            <sz val="10"/>
            <rFont val="Arial"/>
            <family val="2"/>
          </rPr>
          <t>Data Source:
Dainippon Sumitomo Pharma Fiscal 2011 Supplementary Financial Data (APR 2011 - MAR 2012) (10 MAY 2012), Pages 5-6</t>
        </r>
      </text>
    </comment>
    <comment ref="AB69" authorId="0" shapeId="0">
      <text>
        <r>
          <rPr>
            <sz val="10"/>
            <rFont val="Arial"/>
            <family val="2"/>
          </rPr>
          <t>Data Source:
Dainippon Sumitomo Pharma Fiscal 2012 Supplementary Financial Data (APR 2012 - MAR 2013) (9 MAY 2013), Pages 6-7.
Company Comment:
Source: Dainippon Sumitomo Pharma Fiscal 2012 Consolidated Financial Results (APR 2012 - MAR 2013 ) (9 MAY 2013), Page 3:
Although the sales of METGLUCO, a biguanide oral hypoglycemic and TRERIEF, a Parkinson's disease drug increased sharply....</t>
        </r>
      </text>
    </comment>
    <comment ref="AC69" authorId="0" shapeId="0">
      <text>
        <r>
          <rPr>
            <sz val="10"/>
            <rFont val="Arial"/>
            <family val="2"/>
          </rPr>
          <t>Data Source:
Dainippon Sumitomo Pharma Fiscal 2013 Supplementary Financial Data (APR 2013 - MAR 2014) (8 MAY 2014), Pages 5-6.</t>
        </r>
      </text>
    </comment>
    <comment ref="AD69" authorId="0" shapeId="0">
      <text>
        <r>
          <rPr>
            <sz val="10"/>
            <rFont val="Arial"/>
            <family val="2"/>
          </rPr>
          <t>Data Source:
Dainippon Sumitomo Pharma Fiscal 2014 Supplementary Financial Data (APR 2014 - MAR 2015) (11 MAY 2015), Pages 5-6.</t>
        </r>
      </text>
    </comment>
    <comment ref="AE69" authorId="0" shapeId="0">
      <text>
        <r>
          <rPr>
            <sz val="10"/>
            <rFont val="Arial"/>
            <family val="2"/>
          </rPr>
          <t>Data Source:
Dainippon Sumitomo Pharma Fiscal 2015 Supplementary Financial Data (APR 2015 - MAR 2016) (12 MAY 2016), Pages 4-5.</t>
        </r>
      </text>
    </comment>
    <comment ref="AF69" authorId="0" shapeId="0">
      <text>
        <r>
          <rPr>
            <sz val="10"/>
            <rFont val="Arial"/>
            <family val="2"/>
          </rPr>
          <t>Data Source:
Dainippon Sumitomo Pharma Fiscal 2016 Supplementary Financial Data (APR 2016 - MAR 2017) (11 MAY 2017), Pages 5-6.</t>
        </r>
      </text>
    </comment>
    <comment ref="AG69" authorId="0" shapeId="0">
      <text>
        <r>
          <rPr>
            <sz val="10"/>
            <rFont val="Arial"/>
            <family val="2"/>
          </rPr>
          <t>Data Source:
Sumitomo Dainippon Pharma Fiscal 2017 Supplementary Financial Data (APR 2017 - MAR 2018) (11 MAY 2018), Pages 5-6.</t>
        </r>
      </text>
    </comment>
    <comment ref="H72" authorId="0" shapeId="0">
      <text>
        <r>
          <rPr>
            <sz val="10"/>
            <rFont val="Arial"/>
            <family val="2"/>
          </rPr>
          <t>Patent Comment:
Patent date refers to Data exclusivity in Japan. Source: Seibule product leaflet.</t>
        </r>
      </text>
    </comment>
    <comment ref="Z72" authorId="0" shapeId="0">
      <text>
        <r>
          <rPr>
            <sz val="10"/>
            <rFont val="Arial"/>
            <family val="2"/>
          </rPr>
          <t>EvaluatePharma ® Comment: Dainippon &amp; Sanwa to co-promote in Japan.</t>
        </r>
      </text>
    </comment>
    <comment ref="AA72" authorId="0" shapeId="0">
      <text>
        <r>
          <rPr>
            <sz val="10"/>
            <rFont val="Arial"/>
            <family val="2"/>
          </rPr>
          <t>EvaluatePharma ® Comment: Dainippon &amp; Sanwa to co-promote in Japan.</t>
        </r>
      </text>
    </comment>
    <comment ref="AB72" authorId="0" shapeId="0">
      <text>
        <r>
          <rPr>
            <sz val="10"/>
            <rFont val="Arial"/>
            <family val="2"/>
          </rPr>
          <t>EvaluatePharma ® Comment: Dainippon &amp; Sanwa to co-promote in Japan.</t>
        </r>
      </text>
    </comment>
    <comment ref="AC72" authorId="0" shapeId="0">
      <text>
        <r>
          <rPr>
            <sz val="10"/>
            <rFont val="Arial"/>
            <family val="2"/>
          </rPr>
          <t>EvaluatePharma ® Comment: Dainippon &amp; Sanwa to co-promote in Japan.</t>
        </r>
      </text>
    </comment>
    <comment ref="AD72" authorId="0" shapeId="0">
      <text>
        <r>
          <rPr>
            <sz val="10"/>
            <rFont val="Arial"/>
            <family val="2"/>
          </rPr>
          <t>EvaluatePharma® Comment:
Sumitomo Dainippon Pharma &amp; Sanwa Kagaku (subsidiary of Suzuken Group) Japan co-promotion deal terminated in MAR 2014.
Company Comment: 
Source: Suzuken Group Fiscal 2014 Results (APR 2014 - MAR 2015) (11 MAY 2015):
Net sales decreased year on year, mainly due to the fallback in demand from Japan's consumption tax rate increase, and the effects of a revision in national health insurance drug prices, despite an effort to promote sales mainly of diabetes mellitus-related products.
As a result of the above, net sales finished at ¥63,732 million (down 5.5% year on year).
Data Source: Suzuken Group Fiscal 2014 Financial Presentation (APR 2014 - MAR 2015) (12 MAY 2015), Page no: 7.</t>
        </r>
      </text>
    </comment>
    <comment ref="AE72" authorId="0" shapeId="0">
      <text>
        <r>
          <rPr>
            <sz val="10"/>
            <rFont val="Arial"/>
            <family val="2"/>
          </rPr>
          <t>Data Source: Suzuken Group Fiscal 2015 Financial Presentation (APR 2015 - MAR 2016) (11 MAY 2016), Page no: 7.</t>
        </r>
      </text>
    </comment>
    <comment ref="AF72" authorId="0" shapeId="0">
      <text>
        <r>
          <rPr>
            <sz val="10"/>
            <rFont val="Arial"/>
            <family val="2"/>
          </rPr>
          <t>EvaluatePharma® Comment:
Seibule sales not disclosed by Suzuken Group in Fiscal 2016 Financial Presentation (APR 2016 - MAR 2017) (11 MAY 2017).</t>
        </r>
      </text>
    </comment>
    <comment ref="Z73" authorId="0" shapeId="0">
      <text>
        <r>
          <rPr>
            <sz val="10"/>
            <rFont val="Arial"/>
            <family val="2"/>
          </rPr>
          <t>Company Disclosed Competitive Profile:
Source: LG Life Sciences 2010 Annual Report, Page: 29:
Gemigliptin is an oral dipeptidyl peptidase IV (DPP IV) inhibitor developed for the treatment of type II diabetes. It is currently under Phase III trials in Korea and India. Gemigliptin has recently been licensed-out to collaborating partners in China (DCPC) and Turkey (Nobel) for local development.</t>
        </r>
      </text>
    </comment>
    <comment ref="AA77" authorId="0" shapeId="0">
      <text>
        <r>
          <rPr>
            <sz val="10"/>
            <rFont val="Arial"/>
            <family val="2"/>
          </rPr>
          <t>Data Source:
Eris Lifesciences IPO Prospectus (8 FEB 2017), Page 46.</t>
        </r>
      </text>
    </comment>
    <comment ref="AE77" authorId="0" shapeId="0">
      <text>
        <r>
          <rPr>
            <sz val="10"/>
            <rFont val="Arial"/>
            <family val="2"/>
          </rPr>
          <t>Data Source:
Eris Lifesciences IPO Prospectus (8 FEB 2017), Page 46.
Company Comment:
Source: Eris Lifesciences IPO Prospectus (8 FEB 2017), Page 112:
Glimepiride and combinations accounted for 31.8% of the anti-diabetics market, and 42.6% of the oral anti-diabetics market, in Fiscal 2016. Glimepiride is used for treating type 2 diabetes in patients who cannot control blood sugar levels by diet and exercise alone. Glimisave, our flagship mother brand group in the Glimepiride and combinations subgroups, ranked seventh in terms of revenues in this subgroup with a market share of 5.3% in Fiscal 2016 and was ranked second in terms of prescriptions by cardiologists, fifth in prescriptions by diabetologists and second in prescriptions by consulting physicians in Fiscal 2016. DPP-4 inhibitors or gliptins are also emerging as an alternative therapy in the oral anti-diabetes therapeutic area and accounted for 27.6% of the oral anti-diabetes market in Fiscal 2016...</t>
        </r>
      </text>
    </comment>
    <comment ref="AF77" authorId="0" shapeId="0">
      <text>
        <r>
          <rPr>
            <sz val="10"/>
            <rFont val="Arial"/>
            <family val="2"/>
          </rPr>
          <t xml:space="preserve">Data Source:
Eris Lifesciences 2016-2017 Annual Report, Page 6.
</t>
        </r>
      </text>
    </comment>
    <comment ref="H78" authorId="0" shapeId="0">
      <text>
        <r>
          <rPr>
            <sz val="10"/>
            <rFont val="Arial"/>
            <family val="2"/>
          </rPr>
          <t>Patent Comment:
Patent date refers to US generic launch. Patent protection refers to expiry of NDF exclusivity. 5yr Hatch-Waxman exclusivity plus 6mth paed. Extension, expired on 3-SEP-2000. JAN02 1st generic launched in US. MAR 2000 US data exclusivity expired. Source: FDA, US PTO, 10K &amp; Website.</t>
        </r>
      </text>
    </comment>
    <comment ref="AA78" authorId="0" shapeId="0">
      <text>
        <r>
          <rPr>
            <sz val="10"/>
            <rFont val="Arial"/>
            <family val="2"/>
          </rPr>
          <t xml:space="preserve">EvaluatePharma® Comment:
Brokers forecast zero sales.
</t>
        </r>
      </text>
    </comment>
    <comment ref="H79" authorId="0" shapeId="0">
      <text>
        <r>
          <rPr>
            <sz val="10"/>
            <rFont val="Arial"/>
            <family val="2"/>
          </rPr>
          <t>Patent Comment:
Patent date refers to generic launch by Ranbaxy. Patent protection refers to composition patent covering thiazolidinedione derivatives (US#4687777). Patent protection also refers to combination patent on use of pioglitazone with a-glucosidase inhibitors &amp; sulphonlyureas expires 2017. APR15 Takeda to settle actos product liability lawsuits &amp; claims. MAR13 Tokyo district court dismisses Takeda’s Actos litigation against 10 companies. No appeal planned. Source: 11 MAR 2013 &amp; 28 JAN 2013 Japanese language source, Watson 26 OCT 2012 press release, 23 AUG 2012 &amp; 28 APR 2015 Takeda PR.</t>
        </r>
      </text>
    </comment>
    <comment ref="Z79" authorId="0" shapeId="0">
      <text>
        <r>
          <rPr>
            <sz val="10"/>
            <rFont val="Arial"/>
            <family val="2"/>
          </rPr>
          <t>Data Source:
Takeda Data Book Fiscal 2010 Results (APR 2010 - MAR 2011) (11 MAY 2011), Page 6-7
Includes in ¥bn:
1) +47.9 Japan
2) +306.2 Americas
3) +29.5 Europe
4) +4.2 Asia
Company Comment:
Source: Takeda FY 2010 Annual Report (YE MAR 2011) Page 54:
In the United States, the market for oral formulations used to treat diabetes remained steady despite challenging economic conditions. Sales of the Actos (generic name: pioglitazone hydrochloride) family of products for the treatment of type 2 diabetes continued to grow, increasing 11.5% year-on-year, to US$3,559 million. ACTOplus met, a fixed-dose combination formulation of Actos and metformin, contributed to this sales growth. Takeda will continue efforts to obtain new prescriptions for Actos by highlighting the importance of improving insulin resistance, the main form of type 2 diabetes.</t>
        </r>
      </text>
    </comment>
    <comment ref="AA79" authorId="0" shapeId="0">
      <text>
        <r>
          <rPr>
            <sz val="10"/>
            <rFont val="Arial"/>
            <family val="2"/>
          </rPr>
          <t>Data Source:
Takeda Fiscal 2011 Financial Results Data Book (APR 2011 - MAR 2012) (11 MAY 2012), Page 6-7
Includes in ¥bn:
1) +31.8 Japan
2) +244.5 Americas
3) +15.8 Europe
4) +4.1 Asia
Company Comment:
Source: Takeda Fiscal 2011 Financial Results (APR 2011 - MAR 2012) (11 MAY 2012):
The sales increase absorbed the Yen’s appreciation against the U.S. dollar and Euro (negative effects: ¥42.7 billion), the decrease in sales of Prevacid (a drug for peptic ulcer treatment) in the U.S. and the decrease in sales of Actos (a drug for type 2 diabetes treatment) in the U.S., Europe and Japan. 
Sales in the overseas markets increased by ¥77.6 billion (11.3%) to ¥766.6 billion from the previous year, mainly due to the inclusion of Nycomed six month sales from its acquisition, despite of the decrease in sales of Prevacid in the U.S. and Actos in the U.S. and Europe, and the negative impact of the yen’s appreciation.</t>
        </r>
      </text>
    </comment>
    <comment ref="AB79" authorId="0" shapeId="0">
      <text>
        <r>
          <rPr>
            <sz val="10"/>
            <rFont val="Arial"/>
            <family val="2"/>
          </rPr>
          <t>Data Source:
Takeda Fiscal 2012 Financial Results Data Book (APR 2012 - MAR 2013) (9 MAY 2013), Page 6
Includes in ¥bn:
1) +19.1 Japan
2) +90.9 Americas
3) +8.2 Europe
4) +4.7 Asia
Company Comment:
Source: Takeda Fiscal 2012 Financial Results (APR 2012 - MAR 2013) (09 MAY 2013): 
… the drop in sales of Actos and Blopress mainly due to the drug price reduction could not fully absorbed.</t>
        </r>
      </text>
    </comment>
    <comment ref="AC79" authorId="0" shapeId="0">
      <text>
        <r>
          <rPr>
            <sz val="10"/>
            <rFont val="Arial"/>
            <family val="2"/>
          </rPr>
          <t>Data Source:
Takeda Fiscal 2013 Financial Results Data Book (APR 2013 - MAR 2014) (08 MAY 2014), Page 8.
Includes in ¥bn:
1) +15.5 Japan
2) +6.2 Americas
3) +7.8 Europe
4) +7.1 Asia
Company Comment:
Source: Takeda Fiscal 2013 Financial Results (APR 2013 - MAR 2014) (08 MAY 2014):
Consolidated revenue in FY2013...  along with the impact of the yen's depreciation, absorbed the drastic decrease in sales of ACTOS (for type 2 diabetes) in the U.S. due to the penetration of generic products...</t>
        </r>
      </text>
    </comment>
    <comment ref="AD79" authorId="0" shapeId="0">
      <text>
        <r>
          <rPr>
            <sz val="10"/>
            <rFont val="Arial"/>
            <family val="2"/>
          </rPr>
          <t>Data Source:
Takeda Fiscal 2014 Financial Results Data Book (APR 2014 - MAR 2015) (15 MAY 2015), Page 5-6.
EvaluatePharma® Comment:
W.e.f. Q1 Fiscal 2014 Takeda disclosed sales including royalty income &amp; service income.
Company Disclosed Competitive Profile:
Source: Takeda Fiscal 2013 A```</t>
        </r>
      </text>
    </comment>
    <comment ref="AF79" authorId="0" shapeId="0">
      <text>
        <r>
          <rPr>
            <sz val="10"/>
            <rFont val="Arial"/>
            <family val="2"/>
          </rPr>
          <t>EvaluatePharma® Comment:
Actos sales not disclosed by Takeda in Fiscal 2016 Results (APR 2016 – MAR 2017) (10 MAY 2017).</t>
        </r>
      </text>
    </comment>
    <comment ref="H80" authorId="0" shapeId="0">
      <text>
        <r>
          <rPr>
            <sz val="10"/>
            <rFont val="Arial"/>
            <family val="2"/>
          </rPr>
          <t>Patent Comment:
Patent protection refers to "Methods and Compositions for Oral Administration of Exenatide" granted by New Zealand Patent Office. Patent protection also refers to “Methods and Compositions for Oral Administrations of Proteins" granted in India, Australia, China, Russia, S. Africa, Israel &amp; New Zealand. Patent protection also refers to Notice of Intent received from European Patent Office covering "'Methods and Compositions for Oral Administration of Proteins". Patent protection also refers to issued patent in Russia &amp; Israel covering "Methods and Compositions for Oral Administrations of Exenatide." Source: 31 OCT 2017 &amp; 9 MAY 2017 PR, 2008 10-K &amp; 29 MAR 2016 Press releases.</t>
        </r>
      </text>
    </comment>
    <comment ref="Z80" authorId="0" shapeId="0">
      <text>
        <r>
          <rPr>
            <sz val="10"/>
            <rFont val="Arial"/>
            <family val="2"/>
          </rPr>
          <t xml:space="preserve">Company Disclosed Competitive Profile:
Source: Oramed Pharmaceuticals Fiscal 2010 10-K (YE 31 AUG 2011), Page 5:
GLP-1 Analog: On September 16, 2008 we announced the launch of pre-clinical trials of ORMD0901, a GLP-1-analog. The pre-clinical trials include animal studies which suggest that the GLP-1 analog (exenatide-4) when combined with Oramed’s absorption promoters is absorbed through the gastrointestinal tract and retains its biological activity.
Glucagon-like peptide-1 (GLP-1) is an incretin hormone - a type of gastrointestinal hormone that stimulates the secretion of insulin from the pancreas. The incretin concept was hypothesized when it was noted that glucose ingested by mouth (oral) stimulated two to three times more insulin release than the same amount of glucose administered intravenously. In addition to stimulating insulin release, GLP-1 was found to suppress glucagon release (hormone involved in regulation of glucose) from the pancreas, slow gastric emptying to reduce the rate of absorption of nutrients into the blood stream, and increase satiety. Other important beneficial attributes of GLP-1 are its effects of increasing the number of beta cells (cells that manufacture and release insulin) in the pancreas and, possibly, protection of the heart.
On September 9, 2009, we received approval from the Institutional Review Board (IRB) in Israel to commence human clinical trials of an oral GLP-1 analog. The approval was granted after successful pre-clinical results were reported. The trials are being conducted on healthy volunteers at Hadassah University Medical Center in Jerusalem. Oramed’s first-in-humans clinical trial is testing the safety and efficacy of ORMD-0901, an encapsulated oral GLP-1 analog formulation. The study monitored the responses of healthy males to a single dose delivered 60 minutes before a glucose load. ORMD-0901 was well tolerated by all subjects and demonstrated physiological activity, as extrapolated from ensuing subject insulin levels when compared to those observed after treatment with placebo. 
</t>
        </r>
      </text>
    </comment>
    <comment ref="AB80" authorId="0" shapeId="0">
      <text>
        <r>
          <rPr>
            <sz val="10"/>
            <rFont val="Arial"/>
            <family val="2"/>
          </rPr>
          <t xml:space="preserve">Company Disclosed Competitive Profile:
Source: Oramed Pharmaceuticals Fiscal 2011 10-K (YE 31 AUG 2012), Page 4:
GLP-1 Analog
In September 2008 we announced the launch of pre-clinical trials of ORMD0901, an analog for GLP-1, a gastrointestinal hormone.  The pre-clinical trials include animal studies which suggest that the GLP-1 analog (exenatide-4) when combined with Oramed’s absorption promoters is absorbed through the gastrointestinal tract and retains its biological activity.
Glucagon-like peptide-1 (GLP-1) is an incretin hormone - a type of gastrointestinal hormone that stimulates the secretion of insulin from the pancreas. The incretin concept was hypothesized when it was noted that glucose ingested by mouth (oral) stimulated two to three times more insulin release than the same amount of glucose administered intravenously. In addition to stimulating insulin release, GLP-1 was found to suppress glucagon release (hormone involved in regulation of glucose) from the pancreas, slow gastric emptying to reduce the rate of absorption of nutrients into the blood stream, and increase satiety. Other important beneficial attributes of GLP-1 are its effects of increasing the number of beta cells (cells that manufacture and release insulin) in the pancreas and, possibly, protection of the heart.
In September 2009, we received approval from the IRB to commence human clinical trials of an oral GLP-1 analog. The approval was granted after successful pre-clinical results were reported. The trials are being conducted on healthy volunteers at Hadassah University Medical Center in Jerusalem. Oramed’s first-in-humans clinical trial was testing the safety and efficacy of ORMD0901, an encapsulated oral GLP-1 analog formulation.  The study monitored the responses of healthy males to a single dose delivered 60 minutes before a glucose load and was completed in December 2009.  ORMD0901 was well tolerated by all subjects and demonstrated physiological activity, as extrapolated from ensuing subject insulin levels when compared to those observed after treatment with placebo.
Page 6:
In January 2012, we filed a provisional patent application with the U.S. Patent and Trademark Office for a combination therapy of our lead compound, ORMD0801, in combination with our oral GLP-1 analog  formulation, ORMD0901. We also hold three patents issued by the Australian, Israeli and New Zealand Patent Offices that cover a part of our technology which allows for the oral delivery of peptides.
</t>
        </r>
      </text>
    </comment>
    <comment ref="AC80" authorId="0" shapeId="0">
      <text>
        <r>
          <rPr>
            <sz val="10"/>
            <rFont val="Arial"/>
            <family val="2"/>
          </rPr>
          <t xml:space="preserve">Company Disclosed Competitive Profile:
Source: Oramed Pharmaceuticals Fiscal 2012 10-K (YE 31 AUG 2013), Pages 5:
Glucagon-like peptide-1 (GLP-1) is an incretin hormone - a type of gastrointestinal hormone that stimulates the secretion of insulin from the pancreas. The incretin concept was hypothesized when it was noted that glucose ingested by mouth (oral) stimulated two to three times more insulin release than the same amount of glucose administered intravenously. In addition to stimulating insulin release, GLP-1 was found to suppress glucagon release (hormone involved in regulation of glucose) from the pancreas, slow gastric emptying to reduce the rate of absorption of nutrients into the blood stream, and increase satiety. Other important beneficial attributes of GLP-1 are its effects of increasing the number of beta cells (cells that manufacture and release insulin) in the pancreas and, possibly, protection of the heart.
</t>
        </r>
      </text>
    </comment>
    <comment ref="AD80" authorId="0" shapeId="0">
      <text>
        <r>
          <rPr>
            <sz val="10"/>
            <rFont val="Arial"/>
            <family val="2"/>
          </rPr>
          <t>Company Disclosed Competitive Profile:
Source: Oramed Pharmaceuticals Fiscal 2013 10-K (YE AUG 2014), Page 5:
In January 2013, we began a clinical trial for our oral exenatide capsule on healthy volunteers and type 2 diabetic patients. Based on this study, we decided make slight adjustments in the manufacturing of these capsules and have begun toxicology studies on the new capsules. In parallel to the toxicology studies we intend on initiating a follow-on clinical trial in the first quarter of calendar year 2015. In September 2013, we submitted a pre-IND package to the FDA for ORMD-0901, our oral exenatide capsule, for a Phase II clinical trial on healthy volunteers and type 2 diabetic patients. We expect to begin non-U.S. based Phase Ia and Ib trials and IND-enabling studies in the first quarter of calendar year 2015.</t>
        </r>
      </text>
    </comment>
    <comment ref="AJ80" authorId="0" shapeId="0">
      <text>
        <r>
          <rPr>
            <sz val="10"/>
            <rFont val="Arial"/>
            <family val="2"/>
          </rPr>
          <t>EvaluatePharma® Comment: Revenue forecasts are split between end-user sales and royalties to reflect the difference of opinion amongst analysts.</t>
        </r>
      </text>
    </comment>
    <comment ref="AK80" authorId="0" shapeId="0">
      <text>
        <r>
          <rPr>
            <sz val="10"/>
            <rFont val="Arial"/>
            <family val="2"/>
          </rPr>
          <t>EvaluatePharma® Comment: Revenue forecasts are split between end-user sales and royalties to reflect the difference of opinion amongst analysts.</t>
        </r>
      </text>
    </comment>
    <comment ref="AL80" authorId="0" shapeId="0">
      <text>
        <r>
          <rPr>
            <sz val="10"/>
            <rFont val="Arial"/>
            <family val="2"/>
          </rPr>
          <t>EvaluatePharma® Comment: Revenue forecasts are split between end-user sales and royalties to reflect the difference of opinion amongst analysts.</t>
        </r>
      </text>
    </comment>
    <comment ref="AM80" authorId="0" shapeId="0">
      <text>
        <r>
          <rPr>
            <sz val="10"/>
            <rFont val="Arial"/>
            <family val="2"/>
          </rPr>
          <t>EvaluatePharma® Comment: Revenue forecasts are split between end-user sales and royalties to reflect the difference of opinion amongst analysts.</t>
        </r>
      </text>
    </comment>
    <comment ref="AN80" authorId="0" shapeId="0">
      <text>
        <r>
          <rPr>
            <sz val="10"/>
            <rFont val="Arial"/>
            <family val="2"/>
          </rPr>
          <t>EvaluatePharma® Comment: Revenue forecasts are split between end-user sales and royalties to reflect the difference of opinion amongst analysts.</t>
        </r>
      </text>
    </comment>
    <comment ref="AC81" authorId="0" shapeId="0">
      <text>
        <r>
          <rPr>
            <sz val="10"/>
            <rFont val="Arial"/>
            <family val="2"/>
          </rPr>
          <t>Company Comment:
Source: Mylan FY 2013 Results (27 FEB 2014):
Third party net revenues from North America were $3.01 billion for the year ended December 31, 2013, compared to $3.23 billion for the comparable prior year period, representing a decrease of $217.7 million, or 6.7%. The decrease in third party net revenues was due to a greater amount of revenue from new product launches in the prior year, which totaled $784 million and included the launches of Escitalopram, Valsartan and Hydrochlorothiazide Tablets, USP and Pioglitazone. Revenues from new product launches in the current year totaled $198 million, which is a decrease of approximately 75% from the prior year.</t>
        </r>
      </text>
    </comment>
    <comment ref="H82" authorId="0" shapeId="0">
      <text>
        <r>
          <rPr>
            <sz val="10"/>
            <rFont val="Arial"/>
            <family val="2"/>
          </rPr>
          <t>Patent Comment:
Patent date refers to US patent "Highly pure acarbose" (US#4904769). Patent protection refers to Japanese patent expired in 2010. Source: FDA, US PTO &amp; Broker's Report.</t>
        </r>
      </text>
    </comment>
    <comment ref="H85" authorId="0" shapeId="0">
      <text>
        <r>
          <rPr>
            <sz val="10"/>
            <rFont val="Arial"/>
            <family val="2"/>
          </rPr>
          <t>Patent Comment:
JAN14 Filed lawsuit against Takeda in the United States District Court. Source: 2013 20-F.</t>
        </r>
      </text>
    </comment>
    <comment ref="Z87" authorId="0" shapeId="0">
      <text>
        <r>
          <rPr>
            <sz val="10"/>
            <rFont val="Arial"/>
            <family val="2"/>
          </rPr>
          <t>Company Comment:
Source: Sino Biopharmaceutical 2010 Annual Report, Page 6:
...For the year ended 31 December, 2010, the sales of the product have amounted to approximately HK$36.80 million, an increase by approximately 11.7% as compared with the same period last year.</t>
        </r>
      </text>
    </comment>
    <comment ref="AA87" authorId="0" shapeId="0">
      <text>
        <r>
          <rPr>
            <sz val="10"/>
            <rFont val="Arial"/>
            <family val="2"/>
          </rPr>
          <t xml:space="preserve">Company Comment:
Source: Sino Biopharmaceutical 2011 Annual Report, Page 15:
...For the year ended 31 December, 2011, the sales of the product have amounted to approximately HK$47.35 million, an increase by approximately 28.7% as compared with the same period last year.
Page 16:
The main diabetic medicine of the Group, Taibai sustained release tablets, which is used for lowering blood sugar level, was developed and manufactured by JCTT. There are more than 30 million diabetics in the PRC and Metformin Hydrochloride has been identified as a first-tier medicine for lowering blood sugar level. As Taibai sustained release tablets has sustained release capability, it can stabilize a patient’s blood sugar level.
</t>
        </r>
      </text>
    </comment>
    <comment ref="AB87" authorId="0" shapeId="0">
      <text>
        <r>
          <rPr>
            <sz val="10"/>
            <rFont val="Arial"/>
            <family val="2"/>
          </rPr>
          <t>Company Comment:
Source: Sino Biopharmaceutical FY 2012 Results (25 MAR 2013):
...For the year ended 31 December, 2012, the sales of the product have amounted to approximately HK$41.06 million, a decrease by approximately 13.3% as compared with the same period last year.</t>
        </r>
      </text>
    </comment>
    <comment ref="AC87" authorId="0" shapeId="0">
      <text>
        <r>
          <rPr>
            <sz val="10"/>
            <rFont val="Arial"/>
            <family val="2"/>
          </rPr>
          <t>Company Comment:
Source: Sino Biopharmaceutical FY 2013 Results (26 MAR 2014):
...For the year ended 31 December, 2013, the sales of the product have amounted to approximately HK$50.63 million, an increase by approximately 23.3% as compared with the same period last year...</t>
        </r>
      </text>
    </comment>
    <comment ref="AD87" authorId="0" shapeId="0">
      <text>
        <r>
          <rPr>
            <sz val="10"/>
            <rFont val="Arial"/>
            <family val="2"/>
          </rPr>
          <t>Company Comment:
Source: Sino Biopharmaceutical FY 2014 Results (25 MAR 2015):
...For the year ended 31 December, 2014, the sales of the product have amounted to approximately HK$57.19 million, an increase by approximately 13% as compared with the same period last year.</t>
        </r>
      </text>
    </comment>
    <comment ref="AE87" authorId="0" shapeId="0">
      <text>
        <r>
          <rPr>
            <sz val="10"/>
            <rFont val="Arial"/>
            <family val="2"/>
          </rPr>
          <t>Company Comment:
Source: Sino Biopharmaceutical FY 2015 Results (30 MAR 2016):
...As Taibai sustained release tablets has sustained release capability, it can stabilize a patient’s blood sugar level. For the year ended 31 December, 2015, the sales of the product amounted to approximately HK$75.06 million, an increase by approximately 31.2% as compared with last year.</t>
        </r>
      </text>
    </comment>
    <comment ref="AF87" authorId="0" shapeId="0">
      <text>
        <r>
          <rPr>
            <sz val="10"/>
            <rFont val="Arial"/>
            <family val="2"/>
          </rPr>
          <t>Company Comment:
Source: Sino Biopharmaceutical FY 2016 Results (13 MAR 2017):
...For the year ended 31 December, 2016, the sales of the product amounted to approximately HK$86.63 million, an increase by approximately 15.4% as compared with the same period last year.</t>
        </r>
      </text>
    </comment>
    <comment ref="AG87" authorId="0" shapeId="0">
      <text>
        <r>
          <rPr>
            <sz val="10"/>
            <rFont val="Arial"/>
            <family val="2"/>
          </rPr>
          <t>Company Comment:
Source: Sino Biopharmaceutical FY 2017 Results (22 MAR 2018):
 …For the year ended 31 December, 2017, the sales of the product amounted to approximately RMB89.39 million, an increase by approximately 20.6% as compared with the same period last year…</t>
        </r>
      </text>
    </comment>
    <comment ref="Z88" authorId="0" shapeId="0">
      <text>
        <r>
          <rPr>
            <sz val="10"/>
            <rFont val="Arial"/>
            <family val="2"/>
          </rPr>
          <t>Source: Kissei Pharmaceutical Fiscal 2010 Results (YE MAR 2011) (10 MAY 2011) (Japanese language source).</t>
        </r>
      </text>
    </comment>
    <comment ref="AA88" authorId="0" shapeId="0">
      <text>
        <r>
          <rPr>
            <sz val="10"/>
            <rFont val="Arial"/>
            <family val="2"/>
          </rPr>
          <t>Data Source: 
Kissei Pharmaceutical Fiscal 2011 Results (APR2011- MAR 2012) (08 MAY 2012) Page 4.</t>
        </r>
      </text>
    </comment>
    <comment ref="AB88" authorId="0" shapeId="0">
      <text>
        <r>
          <rPr>
            <sz val="10"/>
            <rFont val="Arial"/>
            <family val="2"/>
          </rPr>
          <t>Data Source: 
Kissei Pharmaceutical Fiscal 2012 Results (APR2012- MAR 2013) (08 MAY 2013) Page 4.</t>
        </r>
      </text>
    </comment>
    <comment ref="AC88" authorId="0" shapeId="0">
      <text>
        <r>
          <rPr>
            <sz val="10"/>
            <rFont val="Arial"/>
            <family val="2"/>
          </rPr>
          <t>Data Source: 
Kissei Pharmaceutical Fiscal 2013 Results (APR 2013- MAR 2014) (08 MAY 2014) Page 4.
Company Disclosed Competitive Profile:
Source: Kissei Pharmaceutical Fiscal 2012 Annual Report (YE MAR 2013), Page 2:
In R&amp;D, we submitted an application in December last year for an additional indication of combination therapy of our diabetes treatment mitiglinide (brand name in Japan: Glufast®) and either dipeptidyl peptidase- IV (DPP-4) inhibitors or biguanides.</t>
        </r>
      </text>
    </comment>
    <comment ref="AD88" authorId="0" shapeId="0">
      <text>
        <r>
          <rPr>
            <sz val="10"/>
            <rFont val="Arial"/>
            <family val="2"/>
          </rPr>
          <t>Data Source: 
Kissei Pharmaceutical Fiscal 2017 Results (APR 2017 - MAR 2018) (08 MAY 2018) Page 4.</t>
        </r>
      </text>
    </comment>
    <comment ref="AE88" authorId="0" shapeId="0">
      <text>
        <r>
          <rPr>
            <sz val="10"/>
            <rFont val="Arial"/>
            <family val="2"/>
          </rPr>
          <t>Data Source:
Kissei Pharmaceutical Q3 Fiscal 2017 Consolidated Financial Results (OCT 2017 - DEC 2017) (31 JAN 2018), Page no: 4.</t>
        </r>
      </text>
    </comment>
    <comment ref="AF88" authorId="0" shapeId="0">
      <text>
        <r>
          <rPr>
            <sz val="10"/>
            <rFont val="Arial"/>
            <family val="2"/>
          </rPr>
          <t>Data Source:
Kissei Pharmaceutical Fiscal 2016 Results (APR 2016- MAR 2017) (09 MAY 2017), Page 4.</t>
        </r>
      </text>
    </comment>
    <comment ref="AG88" authorId="0" shapeId="0">
      <text>
        <r>
          <rPr>
            <sz val="10"/>
            <rFont val="Arial"/>
            <family val="2"/>
          </rPr>
          <t>Data Source: 
Kissei Pharmaceutical Fiscal 2017 Results (APR 2017 - MAR 2018) (08 MAY 2018) Page 4.</t>
        </r>
      </text>
    </comment>
    <comment ref="Z90" authorId="0" shapeId="0">
      <text>
        <r>
          <rPr>
            <sz val="10"/>
            <rFont val="Arial"/>
            <family val="2"/>
          </rPr>
          <t>Data Source:
Towa Pharmaceutical Fiscal 2010 Supplementary Material (APR 2010 - MAR 2011) (13 MAY 2011), Page no: 5.</t>
        </r>
      </text>
    </comment>
    <comment ref="AA90" authorId="0" shapeId="0">
      <text>
        <r>
          <rPr>
            <sz val="10"/>
            <rFont val="Arial"/>
            <family val="2"/>
          </rPr>
          <t xml:space="preserve">Data Source:
Towa Pharmaceuticals Fiscal 2011 Supplementary material of financial results (APR 2011 – MAR 2012) (14 MAY 2012), Page No: 6
</t>
        </r>
      </text>
    </comment>
    <comment ref="AB90" authorId="0" shapeId="0">
      <text>
        <r>
          <rPr>
            <sz val="10"/>
            <rFont val="Arial"/>
            <family val="2"/>
          </rPr>
          <t>EvaluatePharma® Comment:
Voglibose sales not disclosed by Towa Pharmaceuticals in FY 2012 Results (14 MAY 2013).</t>
        </r>
      </text>
    </comment>
    <comment ref="AC90" authorId="0" shapeId="0">
      <text>
        <r>
          <rPr>
            <sz val="10"/>
            <rFont val="Arial"/>
            <family val="2"/>
          </rPr>
          <t>EvaluatePharma® Comment:
Voglibose sales not disclosed by Towa Pharmaceuticals in FY 2013 Results (14 MAY 2014).</t>
        </r>
      </text>
    </comment>
    <comment ref="Z91" authorId="0" shapeId="0">
      <text>
        <r>
          <rPr>
            <sz val="10"/>
            <rFont val="Arial"/>
            <family val="2"/>
          </rPr>
          <t>EvaluatePharma® Comment:
Fastic sales not disclosed by Daiichi Sankyo in Fiscal 2010 Results (12 MAY 2011).</t>
        </r>
      </text>
    </comment>
    <comment ref="AA91" authorId="0" shapeId="0">
      <text>
        <r>
          <rPr>
            <sz val="10"/>
            <rFont val="Arial"/>
            <family val="2"/>
          </rPr>
          <t>EvaluatePharma® Comment:
Fastic sales not disclosed by Daiichi Sankyo in Fiscal 2011 Results (11 MAY 2012).</t>
        </r>
      </text>
    </comment>
    <comment ref="Z92" authorId="0" shapeId="0">
      <text>
        <r>
          <rPr>
            <sz val="10"/>
            <rFont val="Arial"/>
            <family val="2"/>
          </rPr>
          <t>Company Disclosed Competitive Profile:
Source: Dainippon Fiscal 2009 Annual Report (YE MAR 2010), Page 19:
In September 2009, we filed a new drug application for repaglinide, a potential treatment for diabetes intended to improve postprandial hyperglycemia that was licensed from Novo Nordisk A/S. We also started Phase III for combination therapy with biguanide/thiazolidine.</t>
        </r>
      </text>
    </comment>
    <comment ref="AA92" authorId="0" shapeId="0">
      <text>
        <r>
          <rPr>
            <sz val="10"/>
            <rFont val="Arial"/>
            <family val="2"/>
          </rPr>
          <t xml:space="preserve">Data Source:
Dainippon Sumitomo Pharma Fiscal 2011 Supplementary Financial Data (APR 2011 - MAR 2012) (10 MAY 2012), Pages 5-6
Company Disclosed Competitive Profile:
Source:  Dainippon Sumitomo Pharma Fiscal 2010 Annual Report (YE MAR 2011), Page 20: 
In January 2011, DSP obtained approval of SUREPOST® (generic name: repaglinide), a rapid-acting insulin secretagogue.
</t>
        </r>
      </text>
    </comment>
    <comment ref="AB92" authorId="0" shapeId="0">
      <text>
        <r>
          <rPr>
            <sz val="10"/>
            <rFont val="Arial"/>
            <family val="2"/>
          </rPr>
          <t>Data Source:
Dainippon Sumitomo Pharma Fiscal 2012 Supplementary Financial Data (APR 2012 - MAR 2013) (9 MAY 2013), Pages 6-7.</t>
        </r>
      </text>
    </comment>
    <comment ref="AC92" authorId="0" shapeId="0">
      <text>
        <r>
          <rPr>
            <sz val="10"/>
            <rFont val="Arial"/>
            <family val="2"/>
          </rPr>
          <t>Data Source:
Dainippon Sumitomo Pharma Fiscal 2012 Supplementary Financial Data (APR 2012 - MAR 2013) (9 MAY 2013), Pages 6-7.</t>
        </r>
      </text>
    </comment>
    <comment ref="AD92" authorId="0" shapeId="0">
      <text>
        <r>
          <rPr>
            <sz val="10"/>
            <rFont val="Arial"/>
            <family val="2"/>
          </rPr>
          <t>Data Source:
Dainippon Sumitomo Pharma Fiscal 2014 Supplementary Financial Data (APR 2014 - MAR 2015) (11 MAY 2015), Pages 5-6.</t>
        </r>
      </text>
    </comment>
    <comment ref="AE92" authorId="0" shapeId="0">
      <text>
        <r>
          <rPr>
            <sz val="10"/>
            <rFont val="Arial"/>
            <family val="2"/>
          </rPr>
          <t>Data Source:
Dainippon Sumitomo Pharma Fiscal 2015 Supplementary Financial Data (APR 2015 - MAR 2016) (12 MAY 2016), Pages 4-5.</t>
        </r>
      </text>
    </comment>
    <comment ref="AF92" authorId="0" shapeId="0">
      <text>
        <r>
          <rPr>
            <sz val="10"/>
            <rFont val="Arial"/>
            <family val="2"/>
          </rPr>
          <t>Data Source:
Dainippon Sumitomo Pharma Fiscal 2016 Supplementary Financial Data (APR 2016 - MAR 2017) (11 MAY 2017), Pages 5-6.</t>
        </r>
      </text>
    </comment>
    <comment ref="AG92" authorId="0" shapeId="0">
      <text>
        <r>
          <rPr>
            <sz val="10"/>
            <rFont val="Arial"/>
            <family val="2"/>
          </rPr>
          <t>Data Source:
Sumitomo Dainippon Pharma Fiscal 2017 Supplementary Financial Data (APR 2017 - MAR 2018) (11 MAY 2018), Pages 5-6.</t>
        </r>
      </text>
    </comment>
    <comment ref="AA93" authorId="0" shapeId="0">
      <text>
        <r>
          <rPr>
            <sz val="10"/>
            <rFont val="Arial"/>
            <family val="2"/>
          </rPr>
          <t>EvaluatePharma® Comment:
Pharmstandard disclosed sales in RURm 
Disclosed FY 2012 sales ($RURm)= 39.3
Conversion rate: 0.0322360665330571 
Converted value in $ (mln): 4.01983749667222
Company Comment:
Source: Pharmstandard FY 2012 Presentation (13 FEB 2013):
Volume (million packs) sold: 1.3</t>
        </r>
      </text>
    </comment>
    <comment ref="AB93" authorId="0" shapeId="0">
      <text>
        <r>
          <rPr>
            <sz val="10"/>
            <rFont val="Arial"/>
            <family val="2"/>
          </rPr>
          <t>EvaluatePharma® Comment:
Pharmstandard disclosed sales in RURm 
Disclosed FY 2012 sales (RURm)= 124.7
Conversion rate: 0.0322360665330571 
Converted value in $ (mln): 4.01983749667222
Company Comment:
Source: Pharmstandard FY 2012 Presentation (13 FEB 2013):
Volume (million packs) sold: 1.3</t>
        </r>
      </text>
    </comment>
    <comment ref="AC93" authorId="0" shapeId="0">
      <text>
        <r>
          <rPr>
            <sz val="10"/>
            <rFont val="Arial"/>
            <family val="2"/>
          </rPr>
          <t>EvaluatePharma® Comment:
Pharmstandard disclosed sales in RURm
Disclosed FY 2013 sales (RURm)= 226.7 
Conversion rate: 0.0314025506564012 
Converted value in $ (mln): 7.11895823380615</t>
        </r>
      </text>
    </comment>
    <comment ref="H95" authorId="0" shapeId="0">
      <text>
        <r>
          <rPr>
            <sz val="10"/>
            <rFont val="Arial"/>
            <family val="2"/>
          </rPr>
          <t>Patent Comment:
Patent date refers to China patent expiring in 2020. Source: AZN 2017 AR.</t>
        </r>
      </text>
    </comment>
    <comment ref="Z97" authorId="0" shapeId="0">
      <text>
        <r>
          <rPr>
            <sz val="10"/>
            <rFont val="Arial"/>
            <family val="2"/>
          </rPr>
          <t>Data Source:
Dainippon Sumitomo Pharma Fiscal 2010 Annual Report (APR 2010 - MAR 2011) (24 JUN 2011), Page 45</t>
        </r>
      </text>
    </comment>
    <comment ref="AA97" authorId="0" shapeId="0">
      <text>
        <r>
          <rPr>
            <sz val="10"/>
            <rFont val="Arial"/>
            <family val="2"/>
          </rPr>
          <t>EvaluatePharma® Comment:
Glimicron sales not disclosed by Dainippon Sumitomo Pharma in Fiscal 2011 Results (APR 2011 - MAR 2012)  (10 MAY 2012)</t>
        </r>
      </text>
    </comment>
    <comment ref="H100" authorId="0" shapeId="0">
      <text>
        <r>
          <rPr>
            <sz val="10"/>
            <rFont val="Arial"/>
            <family val="2"/>
          </rPr>
          <t>Patent Comment:
Patent date refers to US patent. RoW expiry refers to EU patent. Source: 2016 AR.</t>
        </r>
      </text>
    </comment>
    <comment ref="Z100" authorId="0" shapeId="0">
      <text>
        <r>
          <rPr>
            <sz val="10"/>
            <rFont val="Arial"/>
            <family val="2"/>
          </rPr>
          <t xml:space="preserve">Company Disclosed Competitive Profile:
Source: Human Genome Sciences 2010 10-K, Page 6:
Albiglutide is a biological product generated from the fusion of human albumin and modified human GLP-1 peptide, and is designed to act throughout the body to help maintain normal blood-sugar levels and to control appetite. GSK currently has eight Phase 3 trials in progress to evaluate the long-term efficacy, safety and tolerability of albiglutide as monotherapy and add-on therapy for patients with type 2 diabetes mellitus. Albiglutide was created by HGS using its proprietary albumin-fusion technology, and the product was licensed to GSK in 2004.
Page 8
In February 2009, GSK initiated a Phase 3 clinical trial program to evaluate the efficacy, safety and tolerability of albiglutide in the long-term treatment of type 2 diabetes mellitus. Albiglutide was created by HGS using its proprietary albumin-fusion technology, and the product was licensed to GSK in 2004. HGS is entitled to fees and milestone payments that could amount to as much as $183.0 million — including $33.0 million received to date. We are also entitled to single-digit royalties on worldwide sales if albiglutide is commercialized.
Source: Human Genome Sciences 2010 Annual Report, Page 4: 
We also look forward to GSK’s continuing progress with late-stage products to which we have substantial financial rights. In two pivotal Phase 3 trials, GSK is currently evaluating whether darapladib can reduce the risk of adverse cardiovascular events such as heart attack or stroke in patients with chronic coronary heart disease and acute coronary syndrome, respectively. In addition, GSK has eight Phase 3 trials in progress to evaluate the long-term efficacy, safety and tolerability of albiglutide as monotherapy and add-on therapy for patients with type 2 diabetes mellitus. Darapladib was discovered by GSK based on HGS technology. HGS will receive 10% royalties on worldwide sales if darapladib is commercialized, and has a 20% copromotion option in North America and Europe. Albiglutide was created by HGS using its proprietary albumin-fusion technology, and the product was licensed to GSK in 2004. HGS is entitled to fees and milestone payments that could amount to as much as $183 million—including $33 million received to date—in addition to single-digit royalties on worldwide sales if albiglutide is commercialized
</t>
        </r>
      </text>
    </comment>
    <comment ref="AA100" authorId="0" shapeId="0">
      <text>
        <r>
          <rPr>
            <sz val="10"/>
            <rFont val="Arial"/>
            <family val="2"/>
          </rPr>
          <t>Company Disclosed Competitive Profile:
Source: Human Genome Sciences 2011 Annual Report (28 FEB 2012), Page 6: 
Albiglutide is a biological product that is generated from the fusion of human albumin and modified human GLP-1 peptide. GSK’s Phase 3 program for albiglutide includes eight trials to evaluate the long-term efficacy, safety and tolerability of albiglutide as monotherapy and add-on therapy for patients with type 2 diabetes mellitus. GSK announced topline results of the first of eight Phase 3 trials in November 2011. The study, known as Harmony 7, was designed to compare once-weekly albiglutide to once-a-day liraglutide. Results showed a reduction in HbA1c from baseline of 0.78% for patients receiving albiglutide compared to a reduction of 0.99% for liraglutide. Although the pre-specified margin of non-inferiority to liraglutide was not met, albiglutide did show a statistically significant reduction in HbA1c from baseline (p&lt;0.001). The most common adverse events observed during this study were nausea (9.9% for albiglutide versus 29.2% for liraglutide) and vomiting (5% for albiglutide versus 9.3% for liraglutide). GSK’s conclusion after review is that the data support continued progress toward registration as a possible once-weekly treatment for type 2 diabetes. GSK expects initial results from the remaining studies over the course of the next several months, and has stated that it expects to provide an update on albiglutide once a more complete view of the data is available in mid-2012. We created albiglutide using our proprietary albumin-fusion technology, and licensed it to GSK in 2004. We are entitled to fees and milestone payments that could amount to as much as $183.0 million — including $33.0 million received to date — in addition to single-digit royalties on worldwide sales if albiglutide is commercialized.</t>
        </r>
      </text>
    </comment>
    <comment ref="AB100" authorId="0" shapeId="0">
      <text>
        <r>
          <rPr>
            <sz val="10"/>
            <rFont val="Arial"/>
            <family val="2"/>
          </rPr>
          <t>Company Disclosed Competitive Profile:
Source: GlaxoSmithKline 2012 Annual Report, Page 20: 
In addition during the year, we submitted five medicines to the FDA: respiratory medicines Breo and Anoro; oncology medicines dabrafenib and trametinib (BRAF and MEK), and albiglutide for diabetes.</t>
        </r>
      </text>
    </comment>
    <comment ref="AD100" authorId="0" shapeId="0">
      <text>
        <r>
          <rPr>
            <sz val="10"/>
            <rFont val="Arial"/>
            <family val="2"/>
          </rPr>
          <t>Company Comment:
Source: GlaxoSmithKline 2014 Annual Report, Page 20:
Beyond respiratory and HIV, we have a portfolio of other Pharmaceutical products for the treatment of conditions such as lupus (Benlysta), benign prostatic hyperplasia (Avodart/Jalyn), type 2 diabetes (recently launched Tanzeum/Eperzan) and bacterial infections (Augmentin).
Page 24:
Tanzeum, a new GLP-1 treatment for type 2 diabetes, received approval in the USA offering a once-weekly injectable option for patients. The same product, under the name Eperzan, was also approved in Europe.</t>
        </r>
      </text>
    </comment>
    <comment ref="AF100" authorId="0" shapeId="0">
      <text>
        <r>
          <rPr>
            <sz val="10"/>
            <rFont val="Arial"/>
            <family val="2"/>
          </rPr>
          <t>Company Comment:
Source: GlaxoSmithKline FY 2016 Results (08 FEB 2017):
...Sales of Eperzan/Tanzeum were £121 million, primarily in the US...</t>
        </r>
      </text>
    </comment>
    <comment ref="AG100" authorId="0" shapeId="0">
      <text>
        <r>
          <rPr>
            <sz val="10"/>
            <rFont val="Arial"/>
            <family val="2"/>
          </rPr>
          <t>Company Comment:
Source: GlaxoSmithKline 2017 Annual Report, Page 29:
In 2017, we began streamlining our Pharmaceuticals products portfolio by exiting from or divesting 90 non-core brands and we are on track to reach our goal of about 20% fewer brands. This included announcing an end to the manufacture and sale of the type 2 diabetes therapy Eperzan/Tanzeum which we now expect to end during 2018...</t>
        </r>
      </text>
    </comment>
    <comment ref="AE101" authorId="0" shapeId="0">
      <text>
        <r>
          <rPr>
            <sz val="10"/>
            <rFont val="Arial"/>
            <family val="2"/>
          </rPr>
          <t>Data Source:
Eris Lifesciences IPO Prospectus (8 FEB 2017), Page 111.
Company Comment:
Source: Eris Lifesciences IPO Prospectus (8 FEB 2017), Page 112:
...Our mother brand Tendia was ranked third in the teneligliptin subgroups in terms of market share by revenue and was ranked third in prescriptions by cardiologists, second in prescriptions by diabetologists and fourth in
prescriptions by consulting physicians based on data as of September 30, 2016.
Page 116:
...Our key products manufactured through third party
manufacturing arrangements include mother brand groups Marzon and Tendia and our brand Calshine P which
had revenues of 174.3 million, 50.6 million and 133.9 million for Fiscal 2016, respectively...</t>
        </r>
      </text>
    </comment>
    <comment ref="AF101" authorId="0" shapeId="0">
      <text>
        <r>
          <rPr>
            <sz val="10"/>
            <rFont val="Arial"/>
            <family val="2"/>
          </rPr>
          <t xml:space="preserve">Data Source:
Eris Lifesciences 2016-2017 Annual Report, Page 6.
</t>
        </r>
      </text>
    </comment>
    <comment ref="Z102" authorId="0" shapeId="0">
      <text>
        <r>
          <rPr>
            <sz val="10"/>
            <rFont val="Arial"/>
            <family val="2"/>
          </rPr>
          <t>Source: Nippon ChemiPhar Fiscal 2010 Results (YE MAR 2011) (11 MAY 2011) (Japanese language source).</t>
        </r>
      </text>
    </comment>
    <comment ref="AA102" authorId="0" shapeId="0">
      <text>
        <r>
          <rPr>
            <sz val="10"/>
            <rFont val="Arial"/>
            <family val="2"/>
          </rPr>
          <t>Source: Nippon ChemiPhar Fiscal 2011 Results (APR 2011 - MAR 2012) (11 MAY 2011), Page 2</t>
        </r>
      </text>
    </comment>
    <comment ref="AB102" authorId="0" shapeId="0">
      <text>
        <r>
          <rPr>
            <sz val="10"/>
            <rFont val="Arial"/>
            <family val="2"/>
          </rPr>
          <t>Source: Nippon ChemiPhar Fiscal 2012 Results (APR 2012 - MAR 2013) (10 MAY 2013), Page 1</t>
        </r>
      </text>
    </comment>
    <comment ref="AC102" authorId="0" shapeId="0">
      <text>
        <r>
          <rPr>
            <sz val="10"/>
            <rFont val="Arial"/>
            <family val="2"/>
          </rPr>
          <t>Data Source: 
Nippon ChemiPhar Fiscal 2013 Results (APR 2013 - MAR 2014) (09 MAY 2014), Page 2</t>
        </r>
      </text>
    </comment>
    <comment ref="AD102" authorId="0" shapeId="0">
      <text>
        <r>
          <rPr>
            <sz val="10"/>
            <rFont val="Arial"/>
            <family val="2"/>
          </rPr>
          <t>Data Source: 
Nippon Chemiphar Fiscal 2014 Financial Results Supplementary Material (APR 2014 - MAR 2015) (11 MAY 2015), Page 2</t>
        </r>
      </text>
    </comment>
    <comment ref="AE102" authorId="0" shapeId="0">
      <text>
        <r>
          <rPr>
            <sz val="10"/>
            <rFont val="Arial"/>
            <family val="2"/>
          </rPr>
          <t>Data Source: 
Nippon Chemiphar Fiscal 2015 Financial Results Supplementary Material (APR 2015 - MAR 2016) (12 MAY 2016), Page 4</t>
        </r>
      </text>
    </comment>
    <comment ref="AF102" authorId="0" shapeId="0">
      <text>
        <r>
          <rPr>
            <sz val="10"/>
            <rFont val="Arial"/>
            <family val="2"/>
          </rPr>
          <t>Data Source: 
Nippon Chemiphar Fiscal 2016 Results (APR 2016 - MAR 2017) (11 MAY 2017), Slide 4.</t>
        </r>
      </text>
    </comment>
    <comment ref="AG102" authorId="0" shapeId="0">
      <text>
        <r>
          <rPr>
            <sz val="10"/>
            <rFont val="Arial"/>
            <family val="2"/>
          </rPr>
          <t>Data Source: 
Nippon Chemiphar Fiscal 2017 Results (APR 2017 - MAR 2018) (11 MAY 2018), Slide 4.</t>
        </r>
      </text>
    </comment>
    <comment ref="AE104" authorId="0" shapeId="0">
      <text>
        <r>
          <rPr>
            <sz val="10"/>
            <rFont val="Arial"/>
            <family val="2"/>
          </rPr>
          <t>Data Source:
Eris Lifesciences IPO Prospectus (8 FEB 2017), Page 111.</t>
        </r>
      </text>
    </comment>
    <comment ref="AF104" authorId="0" shapeId="0">
      <text>
        <r>
          <rPr>
            <sz val="10"/>
            <rFont val="Arial"/>
            <family val="2"/>
          </rPr>
          <t xml:space="preserve">Data Source:
Eris Lifesciences 2016-2017 Annual Report, Page 6.
</t>
        </r>
      </text>
    </comment>
    <comment ref="AA105" authorId="0" shapeId="0">
      <text>
        <r>
          <rPr>
            <sz val="10"/>
            <rFont val="Arial"/>
            <family val="2"/>
          </rPr>
          <t>Data Source: Mochida Pharmaceutical Fiscal 2011 Results (APR 2011 -  MAR 2012) (14 MAY 2012), Page no: 38
Company Comment:
Source: Mochida Pharmaceutical Fiscal 2011 Annual Report (YE 31 MAR 2012), Page 15:
In January 2012, Mochida Pharmaceutical began selling the fast-acting postprandial antihyperglycemic agent Fastic, which was licensed by Ajinomoto Pharmaceuticals Co.,Ltd. Mochida is working to expand its line of lifestylerelated disease drugs.</t>
        </r>
      </text>
    </comment>
    <comment ref="AB105" authorId="0" shapeId="0">
      <text>
        <r>
          <rPr>
            <sz val="10"/>
            <rFont val="Arial"/>
            <family val="2"/>
          </rPr>
          <t>Data Source: Mochida Pharmaceutical Fiscal 2012 Results (APR 2012 -  MAR 2013) (13 MAY 2013), Page no: 36</t>
        </r>
      </text>
    </comment>
    <comment ref="AC105" authorId="0" shapeId="0">
      <text>
        <r>
          <rPr>
            <sz val="10"/>
            <rFont val="Arial"/>
            <family val="2"/>
          </rPr>
          <t>Data Source: Mochida Pharmaceutical Fiscal 2013 Results (APR 2013 -  MAR 2014) (12 MAY 2014), Page no: 34</t>
        </r>
      </text>
    </comment>
    <comment ref="AD105" authorId="0" shapeId="0">
      <text>
        <r>
          <rPr>
            <sz val="10"/>
            <rFont val="Arial"/>
            <family val="2"/>
          </rPr>
          <t>Data Source: Mochida Pharmaceutical Fiscal 2014 Results (APR 2014 -  MAR 2015) (15 MAY 2015), Page no: 26</t>
        </r>
      </text>
    </comment>
    <comment ref="AE105" authorId="0" shapeId="0">
      <text>
        <r>
          <rPr>
            <sz val="10"/>
            <rFont val="Arial"/>
            <family val="2"/>
          </rPr>
          <t>Data Source: Mochida Pharmaceutical Fiscal 2015 Results (APR 2015 - MAR 2016) (13 MAY 2016), Page no: 26.</t>
        </r>
      </text>
    </comment>
    <comment ref="AF105" authorId="0" shapeId="0">
      <text>
        <r>
          <rPr>
            <sz val="10"/>
            <rFont val="Arial"/>
            <family val="2"/>
          </rPr>
          <t>EvaluatePharma® Comment:
Fastic sales not disclosed by Mochida Pharmaceutical in Fiscal 2016 Results (APR 2016 - MAR 2017) (15 MAY 2017).</t>
        </r>
      </text>
    </comment>
    <comment ref="AC106" authorId="0" shapeId="0">
      <text>
        <r>
          <rPr>
            <sz val="10"/>
            <rFont val="Arial"/>
            <family val="2"/>
          </rPr>
          <t>EvaluatePharma® Comment:
01 MAR 2013: Product transferred following spin-off from Dong-A Pharmaceutical.
2013 sales figure represents sum of Q2 2013 to Q4 2013 sales.</t>
        </r>
      </text>
    </comment>
    <comment ref="AD106" authorId="0" shapeId="0">
      <text>
        <r>
          <rPr>
            <sz val="10"/>
            <rFont val="Arial"/>
            <family val="2"/>
          </rPr>
          <t>Data Source:
Dong-A ST Q4 2014 Performance Results (05 FEB 2015), Page no. 26-27.</t>
        </r>
      </text>
    </comment>
    <comment ref="AE106" authorId="0" shapeId="0">
      <text>
        <r>
          <rPr>
            <sz val="10"/>
            <rFont val="Arial"/>
            <family val="2"/>
          </rPr>
          <t>Data Source:
Dong-A ST FY 2015 Results Presentation (04 FEB 2016), Page no. 27-28.</t>
        </r>
      </text>
    </comment>
    <comment ref="AF106" authorId="0" shapeId="0">
      <text>
        <r>
          <rPr>
            <sz val="10"/>
            <rFont val="Arial"/>
            <family val="2"/>
          </rPr>
          <t>Data Source:
Dong-A ST FY 2016 Results Presentation (09 FEB 2017), Page no. 30-31.</t>
        </r>
      </text>
    </comment>
    <comment ref="AG106" authorId="0" shapeId="0">
      <text>
        <r>
          <rPr>
            <sz val="10"/>
            <rFont val="Arial"/>
            <family val="2"/>
          </rPr>
          <t>EvaluatePharma® Comment:
Glimel sales not disclosed by Dong-A ST in FY 2017 Results Presentation (7 FEB 2018).</t>
        </r>
      </text>
    </comment>
    <comment ref="Z113" authorId="0" shapeId="0">
      <text>
        <r>
          <rPr>
            <sz val="10"/>
            <rFont val="Arial"/>
            <family val="2"/>
          </rPr>
          <t>Data Source:
Dainippon Sumitomo Pharma Fiscal 2010 Annual Report (APR 2010 - MAR 2011) (24 JUN 2011), Page 45</t>
        </r>
      </text>
    </comment>
    <comment ref="AA113" authorId="0" shapeId="0">
      <text>
        <r>
          <rPr>
            <sz val="10"/>
            <rFont val="Arial"/>
            <family val="2"/>
          </rPr>
          <t>Data Source:
Dainippon Sumitomo Pharma Fiscal 2011 Supplementary Financial Data (APR 2011 - MAR 2012) (10 MAY 2012), Pages 5-6</t>
        </r>
      </text>
    </comment>
    <comment ref="AB113" authorId="0" shapeId="0">
      <text>
        <r>
          <rPr>
            <sz val="10"/>
            <rFont val="Arial"/>
            <family val="2"/>
          </rPr>
          <t>EvaluatePharma® Comment:
Melbin sales not disclosed by Dainippon Sumitomo Pharma in Fiscal 2012 Results (APR 2012 - MAR 2013) (9 MAY 2013).</t>
        </r>
      </text>
    </comment>
    <comment ref="H114" authorId="0" shapeId="0">
      <text>
        <r>
          <rPr>
            <sz val="10"/>
            <rFont val="Arial"/>
            <family val="2"/>
          </rPr>
          <t>Patent Comment:
No unexpired patents or exclusivity. Source: FDA.</t>
        </r>
      </text>
    </comment>
    <comment ref="AE115" authorId="0" shapeId="0">
      <text>
        <r>
          <rPr>
            <sz val="10"/>
            <rFont val="Arial"/>
            <family val="2"/>
          </rPr>
          <t>Data Source:
Eris Lifesciences IPO Prospectus (8 FEB 2017), Page 111.</t>
        </r>
      </text>
    </comment>
    <comment ref="AF115" authorId="0" shapeId="0">
      <text>
        <r>
          <rPr>
            <sz val="10"/>
            <rFont val="Arial"/>
            <family val="2"/>
          </rPr>
          <t xml:space="preserve">Data Source:
Eris Lifesciences 2016-2017 Annual Report, Page 6.
</t>
        </r>
      </text>
    </comment>
    <comment ref="H117" authorId="0" shapeId="0">
      <text>
        <r>
          <rPr>
            <sz val="10"/>
            <rFont val="Arial"/>
            <family val="2"/>
          </rPr>
          <t>Patent Comment:
Patent protection also refers to application for Composition of Purified Soluble Mannans for Dietary Supplements and Methods of Use Thereof (W02012/061675). Patent protection refers to application for Encapsulation of Pharmaceuticals for Taste Masking in Chewable Tablets (PCT/US14/27243). Patent protection refers to application for Compositions for Inhibiting Amylase Mediated Hydrolysis of Alpha (1-4) Linked Glucose Polymers (WO PCT/US16/31120). APR18 Won patent position argued with EPO protecting composition of matter of BTI-320 &amp; Sugardown. Source: 06 APR 2018 press release, 2014 10-K, 2017 10-K.</t>
        </r>
      </text>
    </comment>
    <comment ref="Z117" authorId="0" shapeId="0">
      <text>
        <r>
          <rPr>
            <sz val="10"/>
            <rFont val="Arial"/>
            <family val="2"/>
          </rPr>
          <t>Company Disclosed Competitive Profile:
Source: 2010 Annual Report, Page-10
We have developed SUGARDOWN™, a complex carbohydrate-based dietary supplement using proprietary processes and technology. We have unrestricted access to both sufficient raw materials at commodity pricing and processing facilities to produce sufficient supply of SUGARDOWN™ to support product distribution across multiple sales channels as a dietary supplement. Our SUGARDOWN™ dietary supplement consists of a stabilized complex carbohydrate composition. 
Page- 11
We have completed development of SUGARDOWN™ as a dietary supplement. We have not conducted clinical trials. We have filed a structure and function claim application with the United States Food and Drug Administration (FDA) with respect to SUGARDOWN™ which describes the proposed mechanism of action of SUGARDOWN™ in reducing post-meal elevation of glucose in the blood. The Company submitted twenty nine structural and functional claims with the FDA. We have filed a provisional patent with the United States Patent and Trademark Office with regard to SUGARDOWN™. General Product Liability Insurance for SUGARDOWN™ has been in effect since April 2010.
Page-12
SUGARDOWN™ is a user-ready chewable tablet that we believe moderates the absorption of glucose through the intestinal wall and into the bloodstream. This may provide benefit to pre-diabetics and diabetics in helping to reduce the blood sugar elevation associated with consumption of carbohydrates and to maintain moderate blood glucose level after meals and throughout the day. While other dietary supplements and FDA approved drugs focus on reducing blood glucose already present in the bloodstream, we believe that SUGARDOWN™ works in the gastrointestinal tract to potentially slow the introduction of glucose into the body.
Competitive Products:
Nutritional Supplements-
Products which may be useful to diabetics, and could be potential competitors with SUGARDOWN™, which can be purchased freely over-the-counter, include a variety of tablets, capsules and powders and include Cinnamon, Chromium, Vanadium, Banaba Leaf, Alpha Lipoic Acid, Fenugreek, and Gymnema Sylvestra.
Anti-diabetic drugs-
As we intend to present SUGARDOWN™ into clinical trials, and we believe that SUGARDOWN™ in its current format as a dietary supplement may allow diabetics to reduce dependency on anti-diabetic drugs, then we consider currently used drugs as potential competing products.
Page-13
We believe SUGARDOWN™ is a safe and effective dietary supplement for assisting pre-diabetics and diabetics in their daily management of blood glucose levels, fulfilling an unmet clinical need. We believe this supplement may provide means by which to slow the onset of type 2 diabetes and/or the onset of diabetes complications such as heart disease, stroke, kidney damage, retinopathy and Diabetic Foot, which can result from high levels of glucose in the blood for long durations.
We envision a sizable over-the-counter market in the US. In 2010, the Centre for Disease Control estimated that there were 25 million diagnosed diabetics and an estimated 79 million pre-diabetics in the US. The Company intends to enter SUGARDOWN™ into clinical trials as a blood sugar moderator for diabetics and pre-diabetics. Pre-clinical safety and efficacy studies under Good Manufacturing Practices have not yet been initiated by the Company. We intend to engage a medical advisory board consisting of leading physicians who have participated in relevant clinical studies and who are leaders in the field of diabetes, who will guide us through the trials process. We do not currently have agreements with any potential candidates for such board. We may seek to enter into licensing or co-marketing agreements for parts or all of the world in order to avail the Company of the marketing expertise of one or more seasoned marketing and/or pharmaceutical companies. We intend to assemble a team of marketing and sales professionals, and to engage third party sales and distribution organizations in order to leverage the expertise and market exposure of those companies. We are not currently under agreement with any such organization, nor have employment agreements in place.
Page-15
Our proprietary technologies embodied in IPOXYN™ and OXYFEX™ include claims under patent number 6,245,316 (Enhancement of Delivery of Radio imaging and Radio protective Agents) which expires in 2018, and a provisional patent relating to a Hybrid Haemoglobin Molecule and Methods of Use, Application No. 61/285,281, both of which were assigned to the Company by our CEO. Our CEO also has assigned the trademarks IPOXYN™ (U.S. Trademark Application No. 77754473) and Avanyx Therapeutics™ (U.S. Trademark Application No. 77806120) to the Company. Our CEO and our President have assigned the trademark SUGARDOWN™ (U.S. Trademark Application No. 77812848) to the Company.
It is not economically practicable to determine in advance whether our products, product components, manufacturing processes or the uses infringe the patent rights of others. It is likely that, from time to time, we will receive notices from others of claims or potential claims of intellectual property infringement or we may be called upon to defend a customer, vendee or licensee against such third-party claims. Responding to these kinds of claims, regardless of merit, could consume valuable time, result in costly litigation or cause delays, all of which could harm our business. Responding to these claims could also require us to enter into royalty or licensing agreements with third parties claiming infringement. Such royalty or licensing agreements, if available, may not be available on terms acceptable to us.</t>
        </r>
      </text>
    </comment>
    <comment ref="AA117" authorId="0" shapeId="0">
      <text>
        <r>
          <rPr>
            <sz val="10"/>
            <rFont val="Arial"/>
            <family val="2"/>
          </rPr>
          <t xml:space="preserve">Company Disclosed Competitive Profile:
Source: 2011 Annual Report, Pages 5-6:
We have developed SUGARDOWN, a non-systemic complex carbohydrate-based dietary supplement to moderate post-meal blood glucose using proprietary processes and technology. We have unrestricted access to both sufficient raw materials at commodity pricing and processing facilities to produce sufficient supply of SUGARDOWN to support product distribution across multiple sales channels as a dietary supplement. Our SUGARDOWN dietary supplement consists of a stabilized complex carbohydrate composition.
Status of Development of SUGARDOWN
We have completed development of SUGARDOWN as a dietary supplement. We have filed a structure and function claim application with the United States Food and Drug Administration (FDA) with respect to SUGARDOWN which describes the proposed mechanism of action of SUGARDOWN in reducing post-meal elevation of glucose in the blood. The Company submitted thirty structural and functional claims with the FDA. We have filed a provisional patent with the United States Patent and Trademark Office with regard to SUGARDOWN. We have received a trademark for SUGARDOWN. General Product Liability Insurance for SUGARDOWN has been in effect since April 2010. On December 29, 2011 the Company announced that it has secured its first purchase order for distribution of SUGARDOWN™ in Italy. On January 24, 2012 the Company announced the clinical trial results in healthy volunteers performed at the University of Sydney on SUGARDOWN.
Competitive Products: SUGARDOWN
Nutritional Supplements
Products in the non-prescription, dietary supplements category which may be useful to prediabetics and diabetics, and could be potential competitors with SUGARDOWN include a variety of tablets, capsules and powders and include Cinnamon, Chromium, Vanadium, Banaba Leaf, Alpha Lipoic Acid, Fenugreek, Glucomannan, and Gymnema Sylvestra.
Pages 8-9:
We believe SUGARDOWN is a safe and effective dietary supplement for assisting pre-diabetics and diabetics in their daily management of blood glucose levels, fulfilling an unmet clinical need. We believe this supplement may provide individuals with a non-systemic tool to reduce post-meal elevation of blood glucose. The product is ready for limited market release and is currently available on the company product website, www.sugardown.com.
We envision a sizable over-the-counter market in the US. In 2010, the Center for Disease Control estimated that there were 18.8 million diagnosed and 7.0 million undiagnosed diabetics and an estimated 79 million pre-diabetics in the US. The Company entered SUGARDOWN into a limited clinical trial, entitled “DETERMINATION OF THE POSTPRANDIAL GLUCOSE AND INSULIN RESPONSES OF WHITE RICE ALONE AND WHITE RICE CONSUMED WITH SUGARDOWN™ in 2011. We intend to leverage data from this study in the marketing of SUGARDOWN. We intend to engage a medical advisory board consisting of leading physicians who have participated in relevant clinical studies and who are leaders in the field of diabetes, who will guide us through an ongoing clinical trials program. We do not currently have agreements with any potential candidates for such board. We may seek to enter into licensing or co-marketing agreements for parts or all of the world in order to avail the Company of the marketing expertise of one or more seasoned marketing and/or pharmaceutical companies. We intend to assemble a team of marketing and sales professionals, and to engage third party sales and distribution organizations in order to leverage the expertise and market exposure of those companies. We are currently under agreement with Advance Pharmaceutical Co. Ltd. to develop markets in Hong Kong, China and Macau. We have engaged in direct marketing efforts to market SUGARDOWN in the United States but have not yet entered into any agreements with third party distributors for US sales.
Page 17:
To date we have had limited sales of our SUGARDOWN product and have no significant customers. We have entered into an agreement with Advance Pharmaceutical Co. Ltd., a Hong Kong-based pharmaceutical company, for distribution of SUGARDOWN® in the Hong Kong and mainland China markets. There can be no assurances that this agreement will lead to significant or, in fact any, sales of SUGARDOWN. We have received our first commercial purchase order from a distributor in Italy.
Our CEO also has assigned the trademarks IPOXYN™ (U.S. Trademark Application No. 77754473) and Avanyx Therapeutics™ (U.S. Trademark Application No. 77806120) to the Company. Our CEO and our President have assigned the trademark SUGARDOWN (U.S. Trademark Reg. No. 3,955,414, registered May 3, 2011) to the Company.
</t>
        </r>
      </text>
    </comment>
    <comment ref="AB117" authorId="0" shapeId="0">
      <text>
        <r>
          <rPr>
            <sz val="10"/>
            <rFont val="Arial"/>
            <family val="2"/>
          </rPr>
          <t>Company Comment:
Source: Boston Therapeutics FY 2012 Results (4 APR 2013):
Revenue for the year ended December 31, 2012 increased to $42,254 compared with $4,112 for the prior year, an increase of $38,142 primarily because SUGARDOWN was sold for a full year. Sales in 2012 included approximately $31,000 of sales to two customers for resale and approximately $11,200 of sales to individual customers through our website…</t>
        </r>
      </text>
    </comment>
    <comment ref="AC117" authorId="0" shapeId="0">
      <text>
        <r>
          <rPr>
            <sz val="10"/>
            <rFont val="Arial"/>
            <family val="2"/>
          </rPr>
          <t xml:space="preserve">Company Comment:
Source: Boston Therapeutics FY 2013 Results (17 MAR 2014):
Revenue for the fourth quarter ended December 31, 2013 was $80,438, compared with $18,504 in the prior year's fourth quarter. For the year ended December 31, 2013, revenue was $323,412, compared with $42,254 in 2012. Revenue for each period was generated from the sale of SUGARDOWN.
</t>
        </r>
      </text>
    </comment>
    <comment ref="AD117" authorId="0" shapeId="0">
      <text>
        <r>
          <rPr>
            <sz val="10"/>
            <rFont val="Arial"/>
            <family val="2"/>
          </rPr>
          <t xml:space="preserve">Company Comment:
Source: Boston Therapeutics FY 2014 Results (27 MAR 2015):
...Revenue for fiscal 2014 was $199,582 compared to revenue of $323,412 for fiscal 2013. The decrease for fiscal 2014 is primarily due to decreased shipments of SUGARDOWN to the Company's one significant customer, APC. In addition, through its collaboration with Benchworks, Boston Therapeutics plans to expand market awareness and sales of SUGARDOWN in North America in fiscal 2015.
Company Disclosed Competitive Profile: 
Source: Boston Therapeutics S-1 (15 AUG 2014), Page 2: 
In 2012, we conducted a clinical study at the University of Sydney in Australia that showed the post-meal incremental area under the curve (iAUC) for glucose and insulin were significantly lower following consumption of SUGARDOWN® prior to a high carbohydrate meal of rice in a dose-dependent manner.  This resulted in a reduction of up to 61 percent in post-meal elevation of blood glucose compared with the rice consumed alone.  On average, there was a 32 percent reduction in the post-meal iAUC for glucose and a 24 percent reduction in post-meal insulin response for the volunteers in the study. No severe adverse effects were reported or observed during the study. SUGARDOWN® was tested in healthy, but overweight, adults with a mean body mass index (BMI) value of 27.3 kg/m2.  This clinical study indicated that SUGARDOWN® can maintain healthy glucose levels even after meals, when sugar tends to spike.
In May 2014, we initiated a Phase II-b clinical study to assess the efficacy and safety of SUGARDOWN® in 24 patients with Type 2 diabetes taking Metformin.  The five-week, randomized, double-blind Phase II-b study is designed to assess the safety and efficacy of SUGARDOWN® in two different doses versus placebo on serum glucose levels after meals in 24 subjects with Type 2 diabetes treated with Metformin alone. The primary endpoint of the study is postprandial serum glucose area under the curve; secondary endpoints are peak postprandial serum glucose, time to peak postprandial serum glucose, and peak blood serum excursion at two hours from baseline.  We expect that this study will strengthen the existing body of evidence that SUGARDOWN® can play a useful role in supporting healthy blood sugar levels.
</t>
        </r>
      </text>
    </comment>
    <comment ref="AE117" authorId="0" shapeId="0">
      <text>
        <r>
          <rPr>
            <sz val="10"/>
            <rFont val="Arial"/>
            <family val="2"/>
          </rPr>
          <t xml:space="preserve">Company Comment:
Source: Boston Therapeutics 2015 10-K:
Revenue for fiscal 2015 was $98,941, a decrease of $100,641 as compared to revenue of $199,582 for fiscal 2014. The decrease was primarily the result of decreased shipments of SUGARDOWN to Advance Pharmaceutical.
</t>
        </r>
      </text>
    </comment>
    <comment ref="AE118" authorId="0" shapeId="0">
      <text>
        <r>
          <rPr>
            <sz val="10"/>
            <rFont val="Arial"/>
            <family val="2"/>
          </rPr>
          <t xml:space="preserve">EvaluatePharma® Comment: 
Forecast removed following disposal of Branded generics pharmaceuticals business of Abbott Laboratories in Europe, Japan, Canada, Australia &amp; New Zealand to Mylan in February 2015.
</t>
        </r>
      </text>
    </comment>
    <comment ref="H119" authorId="0" shapeId="0">
      <text>
        <r>
          <rPr>
            <sz val="10"/>
            <rFont val="Arial"/>
            <family val="2"/>
          </rPr>
          <t>Patent Comment:
Patent date refers to "Cyclopropyl-fused pyrrolidine-based inhibitors of dipeptidyl peptidase IV &amp; method" (US#6395767/RE44186) including 896 days patent extension. Patent protection refers to "Coated tablet formulation and method" (US#7951400) expiring on 30 NOV 2028. RoW expiry refers to EU composition of matter patent. China exclusivity expires 2021. NCE exclusivity expired on 31-JUL-2014. MAY14 Allergan confirmed ANDA filing against Onglyza; AstraZeneca filed suit against Allergan. Source: Allergan 27 MAY 2014 PR, 2013 10-K BMS, US PTO, FDA &amp; 2015 AR.</t>
        </r>
      </text>
    </comment>
    <comment ref="Z119" authorId="0" shapeId="0">
      <text>
        <r>
          <rPr>
            <sz val="10"/>
            <rFont val="Arial"/>
            <family val="2"/>
          </rPr>
          <t>Includes in $m:
1) +158 Onglyza/Kombiglyze sales
Less
2) +5 Kombiglyze sales
Company Disclosed Competitive Profile:
Source: Bristol-Myers Squibb 2010 10-K, Page 45:
•   In June 2010, the Company and AstraZeneca announced results from a 52-week Phase IIIb study in adults with type 2 diabetes who had inadequate glycemic control on metformin therapy plus diet and exercise. The study found that the addition of ONGLYZA 5 mg to existing metformin therapy achieved the primary objective of demonstrating non-inferiority compared to the addition of titrated glipizide (sulphonylurea) to existing metformin therapy in reducing glycosylated hemoglobin levels. The study also found that treatment with ONGLYZA 5 mg plus metformin resulted in a statistically significant lower proportion of subjects reporting hypoglycemic events and statistically significant weight loss compared to titrated glipizide plus metformin. ONGLYZA 5 mg plus metformin also resulted in a significantly smaller rise per week in HbA1c from week 24 to week 52 compared to titrated glipizide plus metformin.
•   In June 2010, the Company and AstraZeneca announced results from a 76-week Phase III study of ONGLYZA as initial combination therapy with metformin, which produced long-term glycemic improvements (as measured by HbA1c levels) in treatment-naïve adults with type 2 diabetes mellitus inadequately controlled on diet and exercise compared to treatment with an investigational 10 mg dose of ONGLYZA or metformin alone. The study also demonstrated that a higher number of patients were able to achieve the American Diabetes Association recommended glycosylated hemoglobin level target of less than 7% with ONGLYZA and metformin as initial combination therapy, compared to monotherapy of either treatment at week 76.
•   In March 2010, the Company and AstraZeneca announced the commencement of the "Saxagliptin Assessment of Vascular Outcomes Recorded in Patients with Diabetes Mellitus" trial (SAVOR-TIMI 53), a multicenter, randomized, double-blind, placebo-controlled Phase IV study, to evaluate treatment with ONGLYZA in adult type 2 diabetes patients with cardiovascular risk factors. The five year study will follow approximately 12,000 patients with type 2 diabetes, who have either a history of previous cardiovascular events or multiple risk factors for vascular disease, and includes patients with renal impairment.
Source: Otsuka Holdings Fiscal 2009 Annual Report (YE MAR 2010), Page 18:
The DPP-4 inhibitor saxagliptin, which is being developed as a therapeutic drug for diabetes, began Phase II/III trials in Japan.</t>
        </r>
      </text>
    </comment>
    <comment ref="AA119" authorId="0" shapeId="0">
      <text>
        <r>
          <rPr>
            <sz val="10"/>
            <rFont val="Arial"/>
            <family val="2"/>
          </rPr>
          <t>Includes in $m:
1) +473 Onglyza/Kombiglyze sales
Less
2) +68 Kombiglyze sales
Company Comment:
Source: Bristol-Myers Squibb 2011 10-K, Page 39-40:
ONGLYZA/KOMBIGLYZE (saxagliptin/saxagliptin and metformin) – a treatment for type 2 diabetes that is part of our strategic alliance with AstraZeneca
• In December 2011, the FDA approved ONGLYZA for use as a combination therapy with insulin (with or without metformin) to improve blood
sugar in adult patients with type 2 diabetes.
• In November 2011, the European Commission approved KOMBIGLYZE (known in the EU as KOMBOGLYZE) for the treatment of type 2
diabetes.
• In November 2011, the European Commission approved ONGLYZA for use as a combination therapy with insulin (with or without metformin)
to improve blood sugar (glycemic) control in adult patients with type 2 diabetes.
• In September 2011 at the 47th European Association for the Study of Diabetes annual meeting, the Company and AstraZeneca announced results
from an investigational Phase IIIb clinical study which reported that ONGLYZA 5 mg added to insulin (with or without metformin) maintained
glycemic control (glycosylated hemoglobin levels or HbA1c) in adult patients with type 2 diabetes compared to the addition of placebo at 24 to
52 weeks. 
In June 2011, the Company and AstraZeneca announced results from an investigational Phase IIIb clinical study which reported that ONGLYZA
5 mg added to insulin (with or without metformin) significantly reduced blood sugar levels (glycosylated hemoglobin levels or HbA1c) at 24
weeks compared to treatment with placebo added to insulin (with or without metformin).
• In May 2011, the Company and AstraZeneca announced that the State Food and Drug Administration approved ONGLYZA in China.
• In February 2011, the Company and AstraZeneca announced that the European Commission approved a label update for ONGLYZA in the
treatment of adults with type 2 diabetes who have moderate or severe renal impairment making ONGLYZA the first dipeptidyl peptidase-4
(DDP-4) inhibitor in Europe available for type 2 diabetes patients with moderate or severe renal impairment.
• In February 2011, the Company and AstraZeneca announced that the FDA approved the inclusion of data from two clinical studies in an update
to the ONGLYZA U.S. Prescribing Information for adults with type 2 diabetes. The U.S. label update provides further evidence regarding use in
renally impaired adults with type 2 diabetes as well as comparisons between glipizide and ONGLYZA in patients also taking metformin.
Source: AstraZeneca 2011 Annual Report, Page 60: 
AstraZeneca continues its strong worldwide1 collaboration with BMS to develop and commercialise two compounds discovered by BMS (Onglyza™ (saxagliptin) and dapagliflozin) for the treatment of Type 2 diabetes.
Onglyza™ has been submitted for regulatory review in more than 90 countries and approved in 68, including the US, Canada, Mexico, 30 European countries, India, Brazil and China. In March 2011, Onglyza™ became the first DPP-IV inhibitor available for use in Europe in Type 2 diabetes patients with moderate or severe renal impairment. This followed the European Commission’s approval of a label update for Onglyza™ in the treatment of adults with Type 2 diabetes who have moderate or severe renal impairment. The approved dosage for this patient group is a once-daily 2.5mg dose.
In November, AstraZeneca and BMS were granted approval from the European Commission for the marketing authorisation for Komboglyze™ (a fixed dose combination of Onglyza™ and metformin immediate release tablets) as a treatment for adults with Type 2 diabetes. The decision applies to the 27 member states of the EU. This followed FDA approval in November 2010 for Kombiglyze XR™, a fixed dose combination of Onglyza™ plus metformin hydrochloride extended-release tablets. Kombiglyze XR™ is the first and only once-a-day metformin extended release plus DPP-IV inhibitor combination tablet providing strong comprehensive glycaemic control across glycosylated haemoglobin levels (HbA1c), fasting plasma glucose and post-prandial glucose. Kombiglyze XR™ was launched in January 2011 in the US.</t>
        </r>
      </text>
    </comment>
    <comment ref="AB119" authorId="0" shapeId="0">
      <text>
        <r>
          <rPr>
            <sz val="10"/>
            <rFont val="Arial"/>
            <family val="2"/>
          </rPr>
          <t xml:space="preserve">Includes in $m:
1) +709 Onglyza/Kombiglyze sales
Less
2) +164 Kombiglyze sales
</t>
        </r>
      </text>
    </comment>
    <comment ref="AC119" authorId="0" shapeId="0">
      <text>
        <r>
          <rPr>
            <sz val="10"/>
            <rFont val="Arial"/>
            <family val="2"/>
          </rPr>
          <t>Includes in $m:
1) +877 Onglyza/Kombiglyze sales
Less
2) +239 Kombiglyze sales
Company Disclosed Competitive Profile:
Source: AstraZeneca 2013 Annual Report, Page 55:
With the completion of the SAVOR-TIMI 53 (saxagliptin assessment of vascular outcomes recorded in patients with Type 2 diabetes mellitus) trial in September 2013, Onglyza is now among the most extensively studied anti-diabetic medications. The trial, involving 16,500 adult patients with Type 2 diabetes mellitus, with a history of established CV disease or multiple risk factors, was also designed to fulfil a post-marketing requirement for the FDA.
Within its clinically relevant high CV risk population, SAVOR met the primary safety objective, demonstrating no increased risk for the primary composite endpoint of CV death, non-fatal MI or non-fatal ischaemic stroke, when added to a patient’s current standard of care (with or without other anti-diabetic therapies), as compared to placebo. Onglyza did not meet the primary efficacy endpoint of superiority to placebo for the same composite endpoint. Patients treated with Onglyza experienced improved glycaemic control and reduced development and progression of microalbuminuria over two years as assessed in exploratory analyses. The large size of SAVOR also allowed us to evaluate a broad range of other data of interest. Overall adverse events, serious adverse events and discontinuations were similar to placebo and the rates of pancreatitis and pancreatic cancer were low and balanced between Onglyza and placebo. The major secondary composite endpoint of CV death, non-fatal MI, non-fatal ischaemic stroke or hospitalisation for heart failure, unstable angina or coronary revascularisation was balanced across the two arms. One component of the composite secondary endpoint, hospitalisation for heart failure, occurred more in the Onglyza group compared to placebo. There was no increased rate of hypoglycemia among patients treated with Onglyza compared to placebo when added to metformin monotherapy and higher rates of hypoglycemia only in the Onglyza group compared to the placebo group among patients taking sulfonylureas, agents known to cause hypoglycemia, at baseline.</t>
        </r>
      </text>
    </comment>
    <comment ref="AD119" authorId="0" shapeId="0">
      <text>
        <r>
          <rPr>
            <sz val="10"/>
            <rFont val="Arial"/>
            <family val="2"/>
          </rPr>
          <t>EvaluatePharma® Comment: 
FEB14 Bristol-Myers Squibb divested WW rights through sale of diabetes business to AstraZeneca.
Company Disclosed Competitive Profile:
Source: AstraZeneca 2014 Annual Report, Page 38:
The CV outcome study SAVOR-TIMI 53 (Saxagliptin Assessment of Vascular Outcomes Recorded in Patients with Type 2 diabetes mellitus) was completed in September 2013, making Onglyza one of the most extensively studied anti-diabetic medications. The trial involved 16,500 adult patients with Type 2 diabetes mellitus with a history of established CV disease or multiple risk factors. The trial also fulfilled an FDA post-marketing requirement. In this study, Onglyza met the primary safety objective of non-inferiority but did not meet the primary efficacy objective of superiority. In July 2014, the EMA updated the EU label to include these study results. Other regulatory authorities are currently reviewing the data.</t>
        </r>
      </text>
    </comment>
    <comment ref="AE119" authorId="0" shapeId="0">
      <text>
        <r>
          <rPr>
            <sz val="10"/>
            <rFont val="Arial"/>
            <family val="2"/>
          </rPr>
          <t>EvaluatePharma® Comment: From AstraZeneca: WW royalties.</t>
        </r>
      </text>
    </comment>
    <comment ref="AF119" authorId="0" shapeId="0">
      <text>
        <r>
          <rPr>
            <sz val="10"/>
            <rFont val="Arial"/>
            <family val="2"/>
          </rPr>
          <t>EvaluatePharma® Comment: From AstraZeneca: WW royalties.</t>
        </r>
      </text>
    </comment>
    <comment ref="AG119" authorId="0" shapeId="0">
      <text>
        <r>
          <rPr>
            <sz val="10"/>
            <rFont val="Arial"/>
            <family val="2"/>
          </rPr>
          <t>EvaluatePharma® Comment: From AstraZeneca: WW royalties.</t>
        </r>
      </text>
    </comment>
    <comment ref="AH119" authorId="0" shapeId="0">
      <text>
        <r>
          <rPr>
            <sz val="10"/>
            <rFont val="Arial"/>
            <family val="2"/>
          </rPr>
          <t>EvaluatePharma® Comment: From AstraZeneca: WW royalties.</t>
        </r>
      </text>
    </comment>
    <comment ref="AI119" authorId="0" shapeId="0">
      <text>
        <r>
          <rPr>
            <sz val="10"/>
            <rFont val="Arial"/>
            <family val="2"/>
          </rPr>
          <t>EvaluatePharma® Comment: From AstraZeneca: WW royalties.</t>
        </r>
      </text>
    </comment>
    <comment ref="AJ119" authorId="0" shapeId="0">
      <text>
        <r>
          <rPr>
            <sz val="10"/>
            <rFont val="Arial"/>
            <family val="2"/>
          </rPr>
          <t>EvaluatePharma® Comment: From AstraZeneca: WW royalties.</t>
        </r>
      </text>
    </comment>
    <comment ref="AK119" authorId="0" shapeId="0">
      <text>
        <r>
          <rPr>
            <sz val="10"/>
            <rFont val="Arial"/>
            <family val="2"/>
          </rPr>
          <t>EvaluatePharma® Comment: From AstraZeneca: WW royalties.</t>
        </r>
      </text>
    </comment>
    <comment ref="AL119" authorId="0" shapeId="0">
      <text>
        <r>
          <rPr>
            <sz val="10"/>
            <rFont val="Arial"/>
            <family val="2"/>
          </rPr>
          <t>EvaluatePharma® Comment: From AstraZeneca: WW royalties.</t>
        </r>
      </text>
    </comment>
    <comment ref="AM119" authorId="0" shapeId="0">
      <text>
        <r>
          <rPr>
            <sz val="10"/>
            <rFont val="Arial"/>
            <family val="2"/>
          </rPr>
          <t>EvaluatePharma® Comment: From AstraZeneca: WW royalties.</t>
        </r>
      </text>
    </comment>
    <comment ref="AN119" authorId="0" shapeId="0">
      <text>
        <r>
          <rPr>
            <sz val="10"/>
            <rFont val="Arial"/>
            <family val="2"/>
          </rPr>
          <t>EvaluatePharma® Comment: From AstraZeneca: WW royalties.</t>
        </r>
      </text>
    </comment>
    <comment ref="H120" authorId="0" shapeId="0">
      <text>
        <r>
          <rPr>
            <sz val="10"/>
            <rFont val="Arial"/>
            <family val="2"/>
          </rPr>
          <t>Patent Comment:
Patent date refers to expiry of NDF exclusivity. Source: FDA &amp; 10K.</t>
        </r>
      </text>
    </comment>
    <comment ref="AC120" authorId="0" shapeId="0">
      <text>
        <r>
          <rPr>
            <sz val="10"/>
            <rFont val="Arial"/>
            <family val="2"/>
          </rPr>
          <t>EvaluatePharma® Comment:
Analysts no longer forecast sales.</t>
        </r>
      </text>
    </comment>
    <comment ref="AD120" authorId="0" shapeId="0">
      <text>
        <r>
          <rPr>
            <sz val="10"/>
            <rFont val="Arial"/>
            <family val="2"/>
          </rPr>
          <t>EvaluatePharma® Comment:
Analysts no longer forecast sales.</t>
        </r>
      </text>
    </comment>
    <comment ref="AE120" authorId="0" shapeId="0">
      <text>
        <r>
          <rPr>
            <sz val="10"/>
            <rFont val="Arial"/>
            <family val="2"/>
          </rPr>
          <t>EvaluatePharma® Comment:
Analysts no longer forecast sales.</t>
        </r>
      </text>
    </comment>
    <comment ref="AF120" authorId="0" shapeId="0">
      <text>
        <r>
          <rPr>
            <sz val="10"/>
            <rFont val="Arial"/>
            <family val="2"/>
          </rPr>
          <t>EvaluatePharma® Comment:
Analysts no longer forecast sales.</t>
        </r>
      </text>
    </comment>
    <comment ref="AG120" authorId="0" shapeId="0">
      <text>
        <r>
          <rPr>
            <sz val="10"/>
            <rFont val="Arial"/>
            <family val="2"/>
          </rPr>
          <t>EvaluatePharma® Comment:
Analysts no longer forecast sales.</t>
        </r>
      </text>
    </comment>
    <comment ref="AH120" authorId="0" shapeId="0">
      <text>
        <r>
          <rPr>
            <sz val="10"/>
            <rFont val="Arial"/>
            <family val="2"/>
          </rPr>
          <t>EvaluatePharma® Comment:
Analysts no longer forecast sales.</t>
        </r>
      </text>
    </comment>
    <comment ref="AI120" authorId="0" shapeId="0">
      <text>
        <r>
          <rPr>
            <sz val="10"/>
            <rFont val="Arial"/>
            <family val="2"/>
          </rPr>
          <t>EvaluatePharma® Comment:
Analysts no longer forecast sales.</t>
        </r>
      </text>
    </comment>
    <comment ref="AJ120" authorId="0" shapeId="0">
      <text>
        <r>
          <rPr>
            <sz val="10"/>
            <rFont val="Arial"/>
            <family val="2"/>
          </rPr>
          <t>EvaluatePharma® Comment:
Analysts no longer forecast sales.</t>
        </r>
      </text>
    </comment>
    <comment ref="AK120" authorId="0" shapeId="0">
      <text>
        <r>
          <rPr>
            <sz val="10"/>
            <rFont val="Arial"/>
            <family val="2"/>
          </rPr>
          <t>EvaluatePharma® Comment:
Analysts no longer forecast sales.</t>
        </r>
      </text>
    </comment>
    <comment ref="AL120" authorId="0" shapeId="0">
      <text>
        <r>
          <rPr>
            <sz val="10"/>
            <rFont val="Arial"/>
            <family val="2"/>
          </rPr>
          <t>EvaluatePharma® Comment:
Analysts no longer forecast sales.</t>
        </r>
      </text>
    </comment>
    <comment ref="AM120" authorId="0" shapeId="0">
      <text>
        <r>
          <rPr>
            <sz val="10"/>
            <rFont val="Arial"/>
            <family val="2"/>
          </rPr>
          <t>EvaluatePharma® Comment:
Analysts no longer forecast sales.</t>
        </r>
      </text>
    </comment>
    <comment ref="AN120" authorId="0" shapeId="0">
      <text>
        <r>
          <rPr>
            <sz val="10"/>
            <rFont val="Arial"/>
            <family val="2"/>
          </rPr>
          <t>EvaluatePharma® Comment:
Analysts no longer forecast sales.</t>
        </r>
      </text>
    </comment>
    <comment ref="H121" authorId="0" shapeId="0">
      <text>
        <r>
          <rPr>
            <sz val="10"/>
            <rFont val="Arial"/>
            <family val="2"/>
          </rPr>
          <t>Patent Comment:
Patent date &amp; number refers to "C-aryl glucoside SGLT2 inhibitors and method" (US#6515117 &amp; #6414126) exp. 3 OCT 2025 incl. 1825 days of expected patent extension. Patent protection refers to "Methods for treating extreme insulin resistance in patients resistant to previous treatment with other anti-diabetic drugs employing an SGLT2 inhibitor and compositions thereof" (US#8685934) expiring on 26 MAY 2030. Patent protection also refers to "Pharmaceutical formulations containing an SGLT2 inhibitor" (US#9198925) expiring on 4 OCT 2020. Source: 2015 AR, US PTO, FDA &amp; BMY 2012 10-K.</t>
        </r>
      </text>
    </comment>
    <comment ref="Z121" authorId="0" shapeId="0">
      <text>
        <r>
          <rPr>
            <sz val="10"/>
            <rFont val="Arial"/>
            <family val="2"/>
          </rPr>
          <t>Company Disclosed Competitive Profile:
Source: Bristol-Myers Squibb 2010 10-K, Page 42:
Dapagliflozin – an oral SGLT2 inhibitor in Phase III development for the treatment of diabetes that is part of our strategic alliance with AstraZeneca
•   In December 2010, the Company and AstraZeneca completed the submission of a New Drug Application with the FDA and a Marketing Authorization Application with the European Medicines Agency for dapagliflozin as a once-daily oral therapy for the treatment of adult patients with type 2 diabetes. The MAA was validated by the European Medicines Agency in January 2011.
•   In September 2010, the Company and AstraZeneca announced results from a randomized, double blind Phase III clinical study of dapagliflozin at the 46th European Association for the Study of Diabetes (EASD) Annual Meeting which demonstrated that the addition of dapagliflozin to glimepiride (a sulphonylurea) therapy produced significant reductions in glycosylated hemoglobin levels (HbA1c) in adult patients with type 2 diabetes compared to glimepiride alone. The study also demonstrated that dapagliflozin plus glimepiride achieved reductions in the secondary efficacy endpoints of change in total body weight, oral glucose tolerance test (OGTT) and fasting plasma glucose (FPG) levels from baseline at week 24 compared to placebo plus glimepiride. More people taking dapagliflozin and glimepiride were able to achieve a target HbA1c of less than 7% compared to patients taking glimepiride alone. Also, drug-related adverse affects were reported at a similar rate between treatment groups, but signs, symptoms and other reports suggestive of genital tract infections, but not urinary tract infections, were more frequently reported in dapagliflozin treated subjects.
•   In September 2010, the Company and AstraZeneca also announced at the EASD results from a randomized, double-blind Phase III clinical study in adults with type 2 diabetes inadequately controlled on metformin therapy alone. The study demonstrated dapagliflozin was non-inferior compared to glipizide in improving HbA1c when added to existing metformin therapy during a 52-week treatment period. The study also demonstrated that dapagliflozin plus metformin achieved significant reductions in key efficacy secondary endpoints: reduction in total body weight from baseline, compared with a weight gain on glipizide plus metformin therapy and a reduced number of patients reporting one or more hypoglycemic events. Also, frequencies of adverse events, serious adverse events and study discontinuations were comparable across treatment groups, but signs, symptoms and other reports suggestive of urinary tract or genital infections were more common in dapagliflozin treated subjects.
•   In June 2010, findings from a 24-week Phase III clinical study were published that demonstrated that dapagliflozin, administered as monotherapy, achieved statistically significant mean reductions at 5 mg and 10 mg doses once daily in the primary endpoint of glycosylated hemoglobin levels in treatment-naïve adult patients with newly diagnosed type 2 diabetes, compared to placebo.
•   In June 2010, results from a 24-week Phase III clinical study were presented that demonstrated that the addition of dapagliflozin achieved reductions in the primary endpoint, glycosylated hemoglobin level, in inadequately controlled type 2 diabetes patients who were treated with insulin (with or without oral anti-diabetes medications (OADS)), compared to placebo plus insulin (with or without OADS). The study also demonstrated that dapagliflozin achieved reductions in the secondary endpoints that evaluated the change in total body weight from baseline, change in baseline from in mean daily insulin dose and change from baseline in fasting plasma glucose.
Source: AstraZeneca 2010 Annual Report, Page 4:
On March 8, 2011 the Company and Bristol-Myers Squibb Company announced that the FDA has accepted for review an NDA for dapagliflozin, an investigational compound for the treatment of adults with type 2 diabetes mellitus. An MAA for dapagliflozin has also been validated by the European Medicines Agency (EMA). The NDA and MAA submissions for dapagliflozin were filed in December 2010. The PDUFA goal date for the FDA is October 28, 2011. 
The US and European submissions included data of up to two years in duration from a global development program involving approximately 6,000 individuals in 40 clinical studies. In accordance with FDA guidelines, the US application also includes data assessing the cardiovascular safety of dapagliflozin in adults with type 2 diabetes.
Page 133:
n 2010, we made major regulatory submissions for vandetanib (for thyroid cancer), Zinforo (an anti-bacterial medicine), dapagliflozin (for diabetes) and Axanum (a cardiovascular medicine).
Page 202:
Dapagliflozin, an investigational compound, is a potential first-inclass SGLT2 inhibitor under joint development with BMS as a oncedaily oral therapy for the treatment of adult patients with Type 2 diabetes. Our extensive global Phase III programme evaluated dapagliflozin as initial therapy and as an add-on to other widely used anti-diabetic treatments. Reported data from five pivotal Phase III studies now in the public domain suggest a product profile that is encouraging, consistent, and with differentiated patient benefits, including the potential to be the first oral agent to provide HbA1c reduction, along with secondary benefits of weight loss and a reduction in blood pressure. In the Phase III studies, genital infections and urinary tract infections were generally higher in the dapagliflozin group but mild or moderate in nature, responded to an initial course of standard treatment and rarely led to discontinuation.
In December, AstraZeneca and BMS filed an NDA and an MAA with the FDA and the EMA for dapagliflozin as a once-daily oral therapy for the treatment of adult patients with Type 2 diabetes.
Page 251:
In January 2007, AstraZeneca signed an exclusive co-development and co-promotion agreement with BMS for the development and commercialisation of saxagliptin, a dipeptidyl peptidase IV inhibitor (DPP-IV) for the treatment of Type 2 diabetes, and dapagliflozin, a selective sodium-glucose co-transporter 2 (SGLT2) inhibitor. The agreement is global (with the exception of Japan) for saxagliptin. Under each agreement the two companies jointly develop the clinical and marketing strategy and share development and commercialisation expenses on a global basis. To date, AstraZeneca has made upfront and milestone payments totalling $300 million for saxagliptin and $50 million for dapagliflozin and may make future milestone payments of $350 million on dapagliflozin contingent on achievement of regulatory milestones and launch in key markets.
Following launch, profits and losses globally are shared equally and an additional $300 million of sales-related payments for each product may be triggered based on worldwide sales success. The Group made milestone payments to BMS of $50 million in 2010, $150 million in 2009 and $50 million in 2008.</t>
        </r>
      </text>
    </comment>
    <comment ref="AA121" authorId="0" shapeId="0">
      <text>
        <r>
          <rPr>
            <sz val="10"/>
            <rFont val="Arial"/>
            <family val="2"/>
          </rPr>
          <t>Company Disclosed Competitive Profile:
Source: Bristol-Myers Squibb 2011 10-K, Page 9: 
Dapagliflozin is an oral SGLT2 inhibitor for the potential treatment of diabetes. It is currently in the registrational process in both the EU and the U.S. It was discovered internally and is part of our alliance with AstraZeneca. We own a patent covering dapagliflozin as composition of matter that expires in October 2020 in the U.S. In January 2012, we received a complete response letter regarding our NDA for dapagliflozin.
Page 39: 
In January 2012, the FDA issued a complete response letter regarding the NDA for dapagliflozin. The complete response letter requests additional clinical data to allow a better assessment of the benefit-risk profile for dapagliflozin. This includes clinical trial data from ongoing studies and may require information from new clinical trials. The companies will work closely with the FDA to determine the appropriate next steps for the dapagliflozin application, and are in ongoing discussions with health authorities in Europe and other countries as part of the application procedures. • In December 2011, the Company and AstraZeneca announced at the International Diabetes Federation 2011 World Diabetes Conference the results of a Phase III study of dapagliflozin that showed reductions on blood sugar levels (glycosylated hemoglobin levels or HbA1c) seen at 24 weeks with dapagliflozin and existing glimepiride (sulfonylurea) therapy, compared to placebo added to glimepiride were maintained at 48 weeks in adults with type 2 diabetes. Patients taking dapagliflozin added to glimepiride also maintained reductions in fasting plasma glucose levels, post-prandial glucose and total body weight. • In November 2011, the Company and AstraZeneca presented a meta-analysis of clinical data on cardiovascular safety in adult patients with type 2 diabetes that showed that dapagliflozin was not associated with an unacceptable increase in cardiovascular risk relative to all comparators pooled in the clinical programs. • In July 2011, the FDA's Endocrinologic and Metabolic Drugs Advisory Committee voted nine to six that the efficacy and safety data did not provide substantial evidence to support approval of the NDA for dapagliflozin as an adjunct to diet and exercise to improve glycemic control in adults with type 2 diabetes mellitus. • In June 2011 at the American Diabetes Association meeting, the Company and AstraZeneca presented the results from several Phase III clinical studies examining dapagliflozin added to metformin. • The MAA for dapagliflozin has been validated by the EMA. The MAA submission for dapagliflozin was filed in December 2010.
Source: AstraZeneca 2011 Annual Report, Page 61:
Dapagliflozin, an investigational compound, is a potential first-in-class SGLT2 inhibitor under joint development with BMS as a once-daily oral therapy for the treatment of adult patients with Type 2 diabetes. In March 2011, the FDA accepted for review the NDA filed by AstraZeneca and BMS for dapagliflozin as a once-daily oral therapy for the treatment of adult patients with Type 2 diabetes. In June, AstraZeneca and BMS announced the results of two Phase III trials that showed that dapagliflozin treatment was effective in lowering blood glucose and body weight as initial combination therapy with metformin in drug-naïve Type 2 diabetes patients with poor glycemic control. In addition, long-term (102 week) data from double-blind extensions of two Phase III studies in Type 2 diabetes patients showed that improvements in blood glucose lowering and weight loss were maintained over two years for dapagliflozin added to metformin. In July, AstraZeneca and BMS reported the outcome of the FDA Advisory Committee meeting on the NDA. On the question ‘Do the efficacy and safety data provide substantial evidence to support approval of dapagliflozin as an adjunct to diet and exercise to improve glycemic control in adults with Type 2 diabetes mellitus?’, the committee voted against recommending approval by nine ‘no’ votes to six ‘yes’. AstraZeneca and BMS subsequently submitted additional clinical data to support the FDA’s review of dapagliflozin. This submission represented a major amendment to the NDA and resulted in a three-month extension to the PDUFA action date to January 2012.
In January 2012, AstraZeneca and BMS received a Complete Response Letter from the FDA requesting additional clinical data to allow a better assessment of the benefit/risk profile for dapagliflozin. This includes clinical trial data from ongoing studies and may require information from new clinical trials. AstraZeneca and BMS will work closely with the FDA to determine the appropriate next steps for the dapagliflozin application and remain committed to its development. In November, AstraZeneca and BMS announced results from a pre-specified meta-analysis of CV safety data from 14 Phase IIb/III trials in adult patients with Type 2 diabetes. These showed that dapagliflozin was not associated with an unacceptable increase in CV risk relative to all comparators pooled in the clinical programme. The review of the MAA for dapagliflozin in the EU is in progress with a decision expected by the second quarter of 2012.</t>
        </r>
      </text>
    </comment>
    <comment ref="AB121" authorId="0" shapeId="0">
      <text>
        <r>
          <rPr>
            <sz val="10"/>
            <rFont val="Arial"/>
            <family val="2"/>
          </rPr>
          <t>Company Comment:
Source: Bristol-Myers Squibb 2012 10-K, Pages 39-40:
Forxiga – an oral sodium-glucose cotransporter 2 (SGLT2) inhibitor for the treatment of diabetes that is part of our alliance with AstraZeneca
•   In November 2012, the EC approved Forxiga for the treatment of type 2 diabetes in the EU.
•   In June 2012, at the 72nd American Diabetes Association Scientific Sessions, the Company and AstraZeneca announced results from a Phase III clinical study that showed  Forxiga  10 mg demonstrated significant reductions in blood sugar levels (glycosylated hemoglobin levels, or HbA1c) compared with placebo at 24 weeks when either agent was added to existing sitagliptin therapy (with or without metformin) in adult patients with type 2 diabetes. The results were maintained over a 24-week extension and similar results were observed when the data were stratified by background therapy. The study also demonstrated significant reductions in total body weight and fasting plasma glucose levels in patients taking Forxiga  added to sitigliptin (with or without metformin), with results maintained throughout the duration of the study.
•   In January 2012, the FDA issued a Complete Response Letter (CRL) regarding the NDA for dapagliflozin. The CRL requests additional clinical data to allow a better assessment of the benefit-risk profile for dapagliflozin. The companies will continue to work closely with the FDA to determine the appropriate next steps for the dapagliflozin application, and are in ongoing discussions with health authorities in other countries as part of the application procedures. The Company has met with the FDA and now has a path forward for potential approval for  Forxiga  in the U.S. The Company will provide additional data from ongoing studies to the FDA and expects to be able to resubmit the NDA for  Forxiga  in mid-2013. At this time, the Company expects that the FDA will have a six–month period in which to review the resubmission and will hold an Advisory Committee meeting.
Source: AstraZeneca 2012 Annual Report, Pages 54-55:
Forxiga is a first-in-class SGLT2 inhibitor developed with BMS as a once daily oral therapy for the treatment of adult patients with Type 2 diabetes. In November,  Forxiga was approved in the EU to improve glycaemic control in adult patients with Type 2 diabetes.  Forxiga  is intended to be used as an adjunct to diet and exercise in combination with other glucose-lowering medicinal products, including insulin, or as a monotherapy in metformin-intolerant patients. With the European approval, Forxiga  is now approved in 31 countries with six additional countries under regulatory review. Additional submissions are planned for 2013.
In January 2012, AstraZeneca and BMS received a Complete Response Letter from the FDA requesting additional clinical data to allow a better assessment of the benefit/ risk profile for Forxiga . AstraZeneca and BMS have since had discussions with the FDA, which have resulted in a path forward for NDA resubmission. Additional data from ongoing clinical studies will be submitted to further support the benefit/risk profile of Forxiga  with resubmission targeted for mid-2013.
In June, AstraZeneca and BMS announced results from a Phase III clinical study that showed that Forxiga  10mg demonstrated significant reductions in blood sugar levels (glycosylated haemoglobin levels, or HbA1c) compared with placebo at 24 weeks when either agent was added to existing sitagliptin therapy (with or without metformin) in adult patients with Type 2 diabetes. The results were maintained over a 24 week extension and similar results were observed when the data was analysed by subjects’ background therapy. The study also demonstrated significant reductions in total body weight and fasting plasma glucose levels in patients taking  Forxiga added to sitagliptin (with or without metformin), with results maintained throughout the duration of the study extension.</t>
        </r>
      </text>
    </comment>
    <comment ref="AC121" authorId="0" shapeId="0">
      <text>
        <r>
          <rPr>
            <sz val="10"/>
            <rFont val="Arial"/>
            <family val="2"/>
          </rPr>
          <t>Company Comment:
Source: Bristol-Myers Squibb 2013 10-K, Page 6:
Forxiga (dapagliflozin) is an oral sodium-glucose cotransporter 2 (SGLT2) for the treatment of type 2 diabetes mellitus. Forxiga is
marketed as Farxiga in the U.S. In this document unless specifically noted, we refer to both Forxiga and Farxiga as Forxiga.
Source: AstraZeneca 2013 Annual Report, Page 54:
Forxiga (dapagliflozin) is a first-in-class SGLT-2 inhibitor. It was approved in the EU in November 2012 and in the US (where it is called Farxiga) in January 2014. Forxiga/Farxiga is intended to be used as an adjunct to diet and exercise in combination with other glucose-lowering medicinal products, including insulin, or as a monotherapy. Forxiga/Farxiga is now approved in 40 countries with six others under regulatory review. Additional submissions are planned for 2014.
Company Disclosed Competitive Profile:
Source: Bristol-Myers Squibb 2013 10-K, Page 39:
In January 2014, the Company and AstraZeneca announced the FDA has approved Farxiga to improve glycemic control, along with diet and exercise, in adults with type 2 diabetes. In June 2013, the Company and AstraZeneca announced the results of a two-week Phase IIa pilot study evaluating Farxiga added to insulin in 70 adult patients with sub-optimally controlled type 1 diabetes, which showed that the mean of daily blood glucose derived from 7-point glucose measurements trended downward in all treatment groups through day seven and reductions in total daily insulin dosing at day seven were observed with Farxiga.
In March 2013, the Japanese Ministry of Health, Labor and Welfare also accepted for review the regulatory submission for Farxiga for the treatment of type 2 diabetes. In January 2013, China‘s State Food and Drug Administration accepted for review the regulatory submission for Farxiga for the treatment of type 2 diabetes.</t>
        </r>
      </text>
    </comment>
    <comment ref="AD121" authorId="0" shapeId="0">
      <text>
        <r>
          <rPr>
            <sz val="10"/>
            <rFont val="Arial"/>
            <family val="2"/>
          </rPr>
          <t>EvaluatePharma® Comment: 
FEB14 Bristol-Myers Squibb divested WW rights through sale of diabetes business to AstraZeneca.
Company Comment:
Source: AstraZeneca 2014 Annual Report, Pages 38-39:
Farxiga/Forxiga (dapagliflozin) is a first-in-class SGLT-2 inhibitor indicated as an adjunct to diet and exercise in combination with other glucose-lowering medicinal products, including insulin, or as a monotherapy for the treatment of Type 2 diabetes mellitus. In 2014, we secured approval for dapagliflozin in the US (where it is called Farxiga) and Japan (where it is called Forxiga). Starting with the EU in 2012 (where it is called Forxiga), it is now approved in over 50 countries. It is under regulatory review in 20 additional countries.
DECLARE, a large CV outcomes trial to assess the impact of Farxiga/Forxiga on CV risk/benefit, continued in 2014. This trial evaluates whether Farxiga/Forxiga (10mg), when added to a patient’s current anti-diabetes therapy, reduces CV events such as MI, ischaemic stroke and CV-related death, compared with placebo. The trial will enrol approximately 17,000 adult patients with Type 2 diabetes mellitus and is expected to be completed in 2019. Results from the Phase II study of Farxiga/ Forxiga as compared with placebo in patients with Type 1 diabetes were published in September 2014. These results demonstrated reductions in 24-hour average glucose levels and glycaemic variability, as well as a pharmacokinetic profile similar to that of patients with Type 2 diabetes mellitus. In November 2014, we commenced a Phase III trial for Farxiga/ Forxiga in patients with Type 1 diabetes.</t>
        </r>
      </text>
    </comment>
    <comment ref="AE121" authorId="0" shapeId="0">
      <text>
        <r>
          <rPr>
            <sz val="10"/>
            <rFont val="Arial"/>
            <family val="2"/>
          </rPr>
          <t>EvaluatePharma® Comment: From AstraZeneca: WW royalties.
Company Comment:
Source: AstraZeneca 2015 Annual Report &amp; 20-F, Page 33:
The Dapagliflozin Effect on CardiovascuLAR Events (DECLARE) study, a large CV outcomes trial to assess the impact of Farxiga/Forxiga on CV risk/benefit, when added to a patient’s current anti-diabetes therapy, continued in 2015.
The trial will enrol approximately 17,000 adult patients with Type 2 diabetes. DECLARE was fully enrolled in 2015 and is expected to be completed in 2019.</t>
        </r>
      </text>
    </comment>
    <comment ref="AF121" authorId="0" shapeId="0">
      <text>
        <r>
          <rPr>
            <sz val="10"/>
            <rFont val="Arial"/>
            <family val="2"/>
          </rPr>
          <t>EvaluatePharma® Comment: From AstraZeneca: WW royalties.</t>
        </r>
      </text>
    </comment>
    <comment ref="AG121" authorId="0" shapeId="0">
      <text>
        <r>
          <rPr>
            <sz val="10"/>
            <rFont val="Arial"/>
            <family val="2"/>
          </rPr>
          <t>EvaluatePharma® Comment: From AstraZeneca: WW royalties.</t>
        </r>
      </text>
    </comment>
    <comment ref="AH121" authorId="0" shapeId="0">
      <text>
        <r>
          <rPr>
            <sz val="10"/>
            <rFont val="Arial"/>
            <family val="2"/>
          </rPr>
          <t>EvaluatePharma® Comment: From AstraZeneca: WW royalties.</t>
        </r>
      </text>
    </comment>
    <comment ref="AI121" authorId="0" shapeId="0">
      <text>
        <r>
          <rPr>
            <sz val="10"/>
            <rFont val="Arial"/>
            <family val="2"/>
          </rPr>
          <t>EvaluatePharma® Comment: From AstraZeneca: WW royalties.</t>
        </r>
      </text>
    </comment>
    <comment ref="AJ121" authorId="0" shapeId="0">
      <text>
        <r>
          <rPr>
            <sz val="10"/>
            <rFont val="Arial"/>
            <family val="2"/>
          </rPr>
          <t>EvaluatePharma® Comment: From AstraZeneca: WW royalties.</t>
        </r>
      </text>
    </comment>
    <comment ref="AK121" authorId="0" shapeId="0">
      <text>
        <r>
          <rPr>
            <sz val="10"/>
            <rFont val="Arial"/>
            <family val="2"/>
          </rPr>
          <t>EvaluatePharma® Comment: From AstraZeneca: WW royalties.</t>
        </r>
      </text>
    </comment>
    <comment ref="AL121" authorId="0" shapeId="0">
      <text>
        <r>
          <rPr>
            <sz val="10"/>
            <rFont val="Arial"/>
            <family val="2"/>
          </rPr>
          <t>EvaluatePharma® Comment: From AstraZeneca: WW royalties.</t>
        </r>
      </text>
    </comment>
    <comment ref="AM121" authorId="0" shapeId="0">
      <text>
        <r>
          <rPr>
            <sz val="10"/>
            <rFont val="Arial"/>
            <family val="2"/>
          </rPr>
          <t>EvaluatePharma® Comment: From AstraZeneca: WW royalties.</t>
        </r>
      </text>
    </comment>
    <comment ref="AN121" authorId="0" shapeId="0">
      <text>
        <r>
          <rPr>
            <sz val="10"/>
            <rFont val="Arial"/>
            <family val="2"/>
          </rPr>
          <t>EvaluatePharma® Comment: From AstraZeneca: WW royalties.</t>
        </r>
      </text>
    </comment>
    <comment ref="H122" authorId="0" shapeId="0">
      <text>
        <r>
          <rPr>
            <sz val="10"/>
            <rFont val="Arial"/>
            <family val="2"/>
          </rPr>
          <t>Patent Comment:
Patent date &amp; number refers to "Cyclopropyl-fused pyrrolidine-based inhibitors of dipeptidyl peptidase IV &amp; method" (US#6395767/RE44186) including 896 days patent extension. Patent protection refers to "Coated tablet formulation and method" (US#8628799) expiring on 13 JUL 2025. RoW patent date refers to EU exclusivity expiry. China exclusivity expiring in 2021. DEC14 Filed lawsuit against Mylan for '186 patent infringement. NCE exclusivity expired on 31-JUL-2014. Source: 2015 20-F, US PTO, FDA &amp; BMY 2012 10-K.</t>
        </r>
      </text>
    </comment>
    <comment ref="Z122" authorId="0" shapeId="0">
      <text>
        <r>
          <rPr>
            <sz val="10"/>
            <rFont val="Arial"/>
            <family val="2"/>
          </rPr>
          <t>Company Disclosed Competitive Profile:
Source: Bristol-Myers Squibb 2010 10-K, Page 45:
•   In November 2010, the FDA approved KOMBIGLYZE XR (saxagliptin and metformin HCl extended-release) for the treatment of type 2 diabetes in adults. KOMBIGLYZE XR is the first and only once-a-day metformin extended-release (XR) plus dipeptidyl peptidase-4 inhibitor combination tablet offering strong glycemic control across glycosylated hemoglobin levels, fasting plasma glucose and post-prandial glucose.
•   In July 2010, the Marketing Authorization Application for KOMGIBLYZE (known in the U.S. as KOMBIGLYZE), a fixed dose combination of ONGLYZA and metformin tablets, as a treatment for adults with type 2 diabetes was validated by the European Medicines Agency.
Source: AstraZeneca 2010 Annual Report, Page 55:
In November, AstraZeneca and BMS received FDA approval for Kombiglyze™ XR, a fixed-dose combination of Onglyza™ plus metformin hydrochloride extended-release tablets. Kombiglyze™ XR is the first and only once-a-day metformin extended release plus DPP-IV inhibitor combination tablet providing strong comprehensive glycaemic control across glycosylated haemoglobin levels (HbA1c), fasting plasma glucose and post-prandial glucose. Full commercial launch is anticipated to take place in the first quarter of 2011.</t>
        </r>
      </text>
    </comment>
    <comment ref="AA122" authorId="0" shapeId="0">
      <text>
        <r>
          <rPr>
            <sz val="10"/>
            <rFont val="Arial"/>
            <family val="2"/>
          </rPr>
          <t>Company Comment:
Source: Bristol-Myers Squibb Q4 2011 Quarterly Package of Financial Information (26 JAN 2012):
Kombiglyze was launched in Q4 2010. Includes Kombiglyze sales of $5M in 2010 and $29M and $68M for the three and twelve months ended December 31, 2011 respectively.
Source: Bristol-Myers Squibb 2011 10-K, Page 39:
In November 2011, the European Commission approved KOMBIGLYZE (known in the EU as KOMBOGLYZE) for the treatment of type 2
diabetes.
Source: AstraZeneca 2011 Annual Report, Page 60:
In November, AstraZeneca and BMS were granted approval from the European Commission for the marketing authorisation for Komboglyze™ (a fixed dose combination of Onglyza™ and metformin immediate release tablets) as a treatment for adults with Type 2 diabetes. The decision applies to the 27 member states of the EU. This followed FDA approval in November 2010 for Kombiglyze XR™, a fixed dose combination of Onglyza™ plus metformin hydrochloride extended-release tablets. Kombiglyze XR™ is the first and only once-a-day metformin extended release plus DPP-IV inhibitor combination tablet providing strong comprehensive glycaemic control across glycosylated haemoglobin levels (HbA1c), fasting plasma glucose and post-prandial glucose. Kombiglyze XR™ was launched in January 2011 in the US.</t>
        </r>
      </text>
    </comment>
    <comment ref="AB122" authorId="0" shapeId="0">
      <text>
        <r>
          <rPr>
            <sz val="10"/>
            <rFont val="Arial"/>
            <family val="2"/>
          </rPr>
          <t>Company Comment:
Source: Bristol-Myers Squibb Q4 2012 Quarterly Package of Financial Information (24 JAN 2013):
Includes Kombiglyze sales of $48M and $164M for the three and twelve months ended December 31, 2012 and $29M and $68M for the three and twelve months ended December 31, 2011 respectively.</t>
        </r>
      </text>
    </comment>
    <comment ref="AC122" authorId="0" shapeId="0">
      <text>
        <r>
          <rPr>
            <sz val="10"/>
            <rFont val="Arial"/>
            <family val="2"/>
          </rPr>
          <t>Company Comment:
Source: Bristol-Myers Squibb Q4 2013 Quarterly Package of Financial Information (24 JAN 2014):
Includes Kombiglyze revenues of $61M and $239M for the three and twelve months ended December 31, 2013 and $48M and $164M for the three and twelve months ended December 31, 2012, respectively.
Source: AstraZeneca 2013 Annual Report, Page 219: 
Launches in Emerging Markets in 2013 included: Kombiglyze in Brazil and Peru.</t>
        </r>
      </text>
    </comment>
    <comment ref="AD122" authorId="0" shapeId="0">
      <text>
        <r>
          <rPr>
            <sz val="10"/>
            <rFont val="Arial"/>
            <family val="2"/>
          </rPr>
          <t>EvaluatePharma® Comment: 
FEB14 Bristol-Myers Squibb divested WW rights through sale of diabetes business to AstraZeneca.</t>
        </r>
      </text>
    </comment>
    <comment ref="H123" authorId="0" shapeId="0">
      <text>
        <r>
          <rPr>
            <sz val="10"/>
            <rFont val="Arial"/>
            <family val="2"/>
          </rPr>
          <t>Patent Comment:
Patent date refers to patent covering "Amylin agonist peptides and uses thereof" (#5686411), including 1586 days patent extension. NCE exclusivity expires 16 MAR 2010. Source: Amylin Pharmaceuticals 2010 10-K, 2011 Annual report &amp; FDA.</t>
        </r>
      </text>
    </comment>
    <comment ref="AD123" authorId="0" shapeId="0">
      <text>
        <r>
          <rPr>
            <sz val="10"/>
            <rFont val="Arial"/>
            <family val="2"/>
          </rPr>
          <t>EvaluatePharma® Comment: 
FEB14 Bristol-Myers Squibb divested WW rights through sale of diabetes business to AstraZeneca.</t>
        </r>
      </text>
    </comment>
    <comment ref="AE123" authorId="0" shapeId="0">
      <text>
        <r>
          <rPr>
            <sz val="10"/>
            <rFont val="Arial"/>
            <family val="2"/>
          </rPr>
          <t>EvaluatePharma® Comment: From AstraZeneca: WW royalties.</t>
        </r>
      </text>
    </comment>
    <comment ref="AF123" authorId="0" shapeId="0">
      <text>
        <r>
          <rPr>
            <sz val="10"/>
            <rFont val="Arial"/>
            <family val="2"/>
          </rPr>
          <t>EvaluatePharma® Comment: From AstraZeneca: WW royalties.</t>
        </r>
      </text>
    </comment>
    <comment ref="AG123" authorId="0" shapeId="0">
      <text>
        <r>
          <rPr>
            <sz val="10"/>
            <rFont val="Arial"/>
            <family val="2"/>
          </rPr>
          <t>EvaluatePharma® Comment: From AstraZeneca: WW royalties.</t>
        </r>
      </text>
    </comment>
    <comment ref="AH123" authorId="0" shapeId="0">
      <text>
        <r>
          <rPr>
            <sz val="10"/>
            <rFont val="Arial"/>
            <family val="2"/>
          </rPr>
          <t>EvaluatePharma® Comment: From AstraZeneca: WW royalties.</t>
        </r>
      </text>
    </comment>
    <comment ref="AI123" authorId="0" shapeId="0">
      <text>
        <r>
          <rPr>
            <sz val="10"/>
            <rFont val="Arial"/>
            <family val="2"/>
          </rPr>
          <t>EvaluatePharma® Comment: From AstraZeneca: WW royalties.</t>
        </r>
      </text>
    </comment>
    <comment ref="AJ123" authorId="0" shapeId="0">
      <text>
        <r>
          <rPr>
            <sz val="10"/>
            <rFont val="Arial"/>
            <family val="2"/>
          </rPr>
          <t>EvaluatePharma® Comment: From AstraZeneca: WW royalties.</t>
        </r>
      </text>
    </comment>
    <comment ref="AK123" authorId="0" shapeId="0">
      <text>
        <r>
          <rPr>
            <sz val="10"/>
            <rFont val="Arial"/>
            <family val="2"/>
          </rPr>
          <t>EvaluatePharma® Comment: From AstraZeneca: WW royalties.</t>
        </r>
      </text>
    </comment>
    <comment ref="AL123" authorId="0" shapeId="0">
      <text>
        <r>
          <rPr>
            <sz val="10"/>
            <rFont val="Arial"/>
            <family val="2"/>
          </rPr>
          <t>EvaluatePharma® Comment: From AstraZeneca: WW royalties.</t>
        </r>
      </text>
    </comment>
    <comment ref="AM123" authorId="0" shapeId="0">
      <text>
        <r>
          <rPr>
            <sz val="10"/>
            <rFont val="Arial"/>
            <family val="2"/>
          </rPr>
          <t>EvaluatePharma® Comment: From AstraZeneca: WW royalties.</t>
        </r>
      </text>
    </comment>
    <comment ref="AN123" authorId="0" shapeId="0">
      <text>
        <r>
          <rPr>
            <sz val="10"/>
            <rFont val="Arial"/>
            <family val="2"/>
          </rPr>
          <t>EvaluatePharma® Comment: From AstraZeneca: WW royalties.</t>
        </r>
      </text>
    </comment>
    <comment ref="H124" authorId="0" shapeId="0">
      <text>
        <r>
          <rPr>
            <sz val="10"/>
            <rFont val="Arial"/>
            <family val="2"/>
          </rPr>
          <t>Patent Comment:
Patent date refers to first generic launch by Teva. Patent date refers to US patent "Pharmaceutical compositions containing exendins" (US#7297761). Patent protection also refers to US patent "Pharmaceutical compositions containing exendins" (US#7521423) expiring 15 OCT 2017. Patent protection also refers to "Exendin-3 and exendin-4 polypeptides, and pharmaceutical compositions comprising same" (US#5424286) including 1287 days patent extension expiring 1 DEC 2016. Method of use patent expires in 2016 in the U.S. Data exclusivity expires in 2016 in Europe, 2018 in Japan and 2019 in Canada. Source: AZN 2017 AR, 2013 10-K, Eli Lilly 2010 &amp; Amylin 2010 10-K, Astzen 2014 Annual report, FDA, USPTO.</t>
        </r>
      </text>
    </comment>
    <comment ref="AB124" authorId="0" shapeId="0">
      <text>
        <r>
          <rPr>
            <sz val="10"/>
            <rFont val="Arial"/>
            <family val="2"/>
          </rPr>
          <t>Includes in $m:
1) +147 US Sales.
Exludes:
2) +2 ex-US Revenues.</t>
        </r>
      </text>
    </comment>
    <comment ref="AD124" authorId="0" shapeId="0">
      <text>
        <r>
          <rPr>
            <sz val="10"/>
            <rFont val="Arial"/>
            <family val="2"/>
          </rPr>
          <t>EvaluatePharma® Comment: 
FEB14 Bristol-Myers Squibb divested WW rights through sale of diabetes business to AstraZeneca.</t>
        </r>
      </text>
    </comment>
    <comment ref="AE124" authorId="0" shapeId="0">
      <text>
        <r>
          <rPr>
            <sz val="10"/>
            <rFont val="Arial"/>
            <family val="2"/>
          </rPr>
          <t>EvaluatePharma® Comment: From AstraZeneca: WW royalties.</t>
        </r>
      </text>
    </comment>
    <comment ref="AF124" authorId="0" shapeId="0">
      <text>
        <r>
          <rPr>
            <sz val="10"/>
            <rFont val="Arial"/>
            <family val="2"/>
          </rPr>
          <t>EvaluatePharma® Comment: From AstraZeneca: WW royalties.</t>
        </r>
      </text>
    </comment>
    <comment ref="AG124" authorId="0" shapeId="0">
      <text>
        <r>
          <rPr>
            <sz val="10"/>
            <rFont val="Arial"/>
            <family val="2"/>
          </rPr>
          <t>EvaluatePharma® Comment: From AstraZeneca: WW royalties.</t>
        </r>
      </text>
    </comment>
    <comment ref="AH124" authorId="0" shapeId="0">
      <text>
        <r>
          <rPr>
            <sz val="10"/>
            <rFont val="Arial"/>
            <family val="2"/>
          </rPr>
          <t>EvaluatePharma® Comment: From AstraZeneca: WW royalties.</t>
        </r>
      </text>
    </comment>
    <comment ref="AI124" authorId="0" shapeId="0">
      <text>
        <r>
          <rPr>
            <sz val="10"/>
            <rFont val="Arial"/>
            <family val="2"/>
          </rPr>
          <t>EvaluatePharma® Comment: From AstraZeneca: WW royalties.</t>
        </r>
      </text>
    </comment>
    <comment ref="AJ124" authorId="0" shapeId="0">
      <text>
        <r>
          <rPr>
            <sz val="10"/>
            <rFont val="Arial"/>
            <family val="2"/>
          </rPr>
          <t>EvaluatePharma® Comment: From AstraZeneca: WW royalties.</t>
        </r>
      </text>
    </comment>
    <comment ref="AK124" authorId="0" shapeId="0">
      <text>
        <r>
          <rPr>
            <sz val="10"/>
            <rFont val="Arial"/>
            <family val="2"/>
          </rPr>
          <t>EvaluatePharma® Comment: From AstraZeneca: WW royalties.</t>
        </r>
      </text>
    </comment>
    <comment ref="AL124" authorId="0" shapeId="0">
      <text>
        <r>
          <rPr>
            <sz val="10"/>
            <rFont val="Arial"/>
            <family val="2"/>
          </rPr>
          <t>EvaluatePharma® Comment: From AstraZeneca: WW royalties.</t>
        </r>
      </text>
    </comment>
    <comment ref="AM124" authorId="0" shapeId="0">
      <text>
        <r>
          <rPr>
            <sz val="10"/>
            <rFont val="Arial"/>
            <family val="2"/>
          </rPr>
          <t>EvaluatePharma® Comment: From AstraZeneca: WW royalties.</t>
        </r>
      </text>
    </comment>
    <comment ref="AN124" authorId="0" shapeId="0">
      <text>
        <r>
          <rPr>
            <sz val="10"/>
            <rFont val="Arial"/>
            <family val="2"/>
          </rPr>
          <t>EvaluatePharma® Comment: From AstraZeneca: WW royalties.</t>
        </r>
      </text>
    </comment>
    <comment ref="H125" authorId="0" shapeId="0">
      <text>
        <r>
          <rPr>
            <sz val="10"/>
            <rFont val="Arial"/>
            <family val="2"/>
          </rPr>
          <t>Patent Comment:
Patent date &amp; number refers to "C-aryl glucoside SGLT2 inhibitors and method" (US#6515117 &amp; #6414126) exp. 3 OCT 2025 incl. 1825 days of expected patent extension. Patent protection also refers to US patent "Polymer-based sustained release device" (US#7456254) expiring on 30 JUN 2025. Patent protection also refers to US patent "Polymer-based sustained release device" (US#7563871 &amp; US#9238076) expiring on 15 APR24 &amp; (US#7612176, #8431685 &amp; #8461105) expiring on 13 APR25. RoW expiry refers to European patent. Data exclusivity exp. in 2021 in Europe &amp; 2020 in Japan. Source: AZN 2017 AR, 2013 10-K BMS, Alkermes 2011 10-K, FDA, US PTO, AZN 2014 AR &amp; 12 JAN12 Presentation.</t>
        </r>
      </text>
    </comment>
    <comment ref="AB125" authorId="0" shapeId="0">
      <text>
        <r>
          <rPr>
            <sz val="10"/>
            <rFont val="Arial"/>
            <family val="2"/>
          </rPr>
          <t>Includes in $m:
1) +75 US Sales.
Exludes:
2) +3 ex-US Revenues.</t>
        </r>
      </text>
    </comment>
    <comment ref="AC125" authorId="0" shapeId="0">
      <text>
        <r>
          <rPr>
            <sz val="10"/>
            <rFont val="Arial"/>
            <family val="2"/>
          </rPr>
          <t>EvaluatePharma ®Comment: Alkermes year end changed from MAR to DEC.
Company Disclosed Competitive Profile:
Source: Alkermes 2013 10-K, Page 12:
AstraZeneca is developing line extensions for BYDUREON, including a dual-chamber pen device, and weekly and monthly suspension formulations using our proprietary technology for extended-release microspheres. In January 2014, AstraZeneca stated that they expect the BYDUREON dual-chamber pen to be approved in the U.S. in the second quarter of 2014 and in the EU in the fourth quarter of 2014, and that they plan to file for approval of the dual-chamber pen in Japan during the second quarter of 2014. In December 2013, AstraZeneca announced its expectation to file for approval of the BYDUREON once-weekly suspension in the U.S. and EU in 2015.
Company Disclosed Competitive Profile:
Source: AstraZeneca 2013 Annual Report, Page 55: 
We continue to develop the delivery systems for Bydureon, including a dual chamber pen that will reduce the number of steps required to mix its components. A supplemental new drug application (sNDA) was submitted to the FDA in the third quarter of 2013 and we are expecting a six-month review. We filed for approval of the dual chamber pen in the EU in the fourth quarter of 2013.
We are also developing a once-weekly suspension of Bydureon. Recruitment is complete for the exenatide weekly suspension Phase III programme and the studies are ongoing.
The EXSCEL (EXenatide Study of Cardiovascular Event Lowering) study is designed to determine if there are favourable CV effects of exenatide treatment using Bydureon. The EXSCEL study started in 2010 and is planned to run until 2017. The study has enrolled patients during 2013 and is designed for 9,500 patients.</t>
        </r>
      </text>
    </comment>
    <comment ref="AD125" authorId="0" shapeId="0">
      <text>
        <r>
          <rPr>
            <sz val="10"/>
            <rFont val="Arial"/>
            <family val="2"/>
          </rPr>
          <t>Company Disclosed Competitive Profile:
Source: Alkermes 2014 10-K, Page 8:
In September 2014, AstraZeneca announced that the once-weekly BYDUREON Pen 2 mg, which is a pre-filled, single-use pen injector that contains the same formulation and dose as the original BYDUREON single-dose tray, was available by prescription in pharmacies in the U.S. AstraZeneca stated that it received a positive opinion from the Committee for Medicinal Products for Human Use ("CHMP") on the BYDUREON dual-chamber pen and that it filed for approval of the dual-chamber pen in Japan in April 2014.
Page 12:
In the third quarter of 2014, AstraZeneca announced the completion of two phase 3 trials of exenatide once weekly suspension for autoinjection, DURATION-NEO-1 and DURATION-NEO-2. The DURATION-NEO-1 phase 3 study evaluated exenatide once weekly suspension for autoinjection compared to twice-daily exenatide in adult patients with type 2 diabetes that had inadequate glycemic control. The trial met its primary endpoint of non-inferiority. The DURATION-NEO-2 study was a randomized, long-term, open-label, multicenter study comparing the glycemic effects, safety and tolerability of exenatide once weekly suspension to sitagliptin and placebo in subjects with type 2 diabetes. AstraZeneca expects to file marketing applications for this product candidate in the U.S. and EU in 2015.
EvaluatePharma® Comment: 
FEB14 Bristol-Myers Squibb divested WW rights through sale of diabetes business to AstraZeneca.
Company Comment:
Source: AstraZeneca 2014 Annual Report, Page 39:
In 2014, we continued to develop delivery systems for Bydureon and secured approval for the Bydureon Pen in the US and EU. The Bydureon Pen is a pre-filled, single-use pen injector that eliminates the need to transfer the medication between a vial and syringe during the self-injection process. It was successfully launched in the US in September 2014 and is expected to launch in the EU in early 2015. We are also developing a once weekly suspension of Bydureon to be used in an autoinjector device. The Phase III programme for this asset continues to progress and the first data was presented in 2014.
The Exenatide Study of Cardiovascular Event Lowering (EXSCEL) study also continued during 2014. This study, which began in 2010 and is expected to end in 2017, evaluates whether there are favourable CV effects of exenatide treatment using Bydureon.</t>
        </r>
      </text>
    </comment>
    <comment ref="AE125" authorId="0" shapeId="0">
      <text>
        <r>
          <rPr>
            <sz val="10"/>
            <rFont val="Arial"/>
            <family val="2"/>
          </rPr>
          <t>EvaluatePharma® Comment: From AstraZeneca: WW royalties.
Company Comment:
Source: AstraZeneca 2015 20-F, Page 33:
The Phase III programme for a once-weekly suspension of Bydureon continues to progress.
The Exenatide Study of Cardiovascular Event Lowering (EXSCEL) study also continued during 2015. This study, which began in 2010 and is expected to end in 2017 is evaluating the impact of Bydureon, in addition to usual care on CV outcomes in patients with Type 2 diabetes.</t>
        </r>
      </text>
    </comment>
    <comment ref="AF125" authorId="0" shapeId="0">
      <text>
        <r>
          <rPr>
            <sz val="10"/>
            <rFont val="Arial"/>
            <family val="2"/>
          </rPr>
          <t>EvaluatePharma® Comment: From AstraZeneca: WW royalties.</t>
        </r>
      </text>
    </comment>
    <comment ref="AG125" authorId="0" shapeId="0">
      <text>
        <r>
          <rPr>
            <sz val="10"/>
            <rFont val="Arial"/>
            <family val="2"/>
          </rPr>
          <t>EvaluatePharma® Comment: From AstraZeneca: WW royalties.</t>
        </r>
      </text>
    </comment>
    <comment ref="AH125" authorId="0" shapeId="0">
      <text>
        <r>
          <rPr>
            <sz val="10"/>
            <rFont val="Arial"/>
            <family val="2"/>
          </rPr>
          <t>EvaluatePharma® Comment: From AstraZeneca: WW royalties.</t>
        </r>
      </text>
    </comment>
    <comment ref="AI125" authorId="0" shapeId="0">
      <text>
        <r>
          <rPr>
            <sz val="10"/>
            <rFont val="Arial"/>
            <family val="2"/>
          </rPr>
          <t>EvaluatePharma® Comment: From AstraZeneca: WW royalties.</t>
        </r>
      </text>
    </comment>
    <comment ref="AJ125" authorId="0" shapeId="0">
      <text>
        <r>
          <rPr>
            <sz val="10"/>
            <rFont val="Arial"/>
            <family val="2"/>
          </rPr>
          <t>EvaluatePharma® Comment: From AstraZeneca: WW royalties.</t>
        </r>
      </text>
    </comment>
    <comment ref="AK125" authorId="0" shapeId="0">
      <text>
        <r>
          <rPr>
            <sz val="10"/>
            <rFont val="Arial"/>
            <family val="2"/>
          </rPr>
          <t>EvaluatePharma® Comment: From AstraZeneca: WW royalties.</t>
        </r>
      </text>
    </comment>
    <comment ref="AL125" authorId="0" shapeId="0">
      <text>
        <r>
          <rPr>
            <sz val="10"/>
            <rFont val="Arial"/>
            <family val="2"/>
          </rPr>
          <t>EvaluatePharma® Comment: From AstraZeneca: WW royalties.</t>
        </r>
      </text>
    </comment>
    <comment ref="AM125" authorId="0" shapeId="0">
      <text>
        <r>
          <rPr>
            <sz val="10"/>
            <rFont val="Arial"/>
            <family val="2"/>
          </rPr>
          <t>EvaluatePharma® Comment: From AstraZeneca: WW royalties.</t>
        </r>
      </text>
    </comment>
    <comment ref="AN125" authorId="0" shapeId="0">
      <text>
        <r>
          <rPr>
            <sz val="10"/>
            <rFont val="Arial"/>
            <family val="2"/>
          </rPr>
          <t>EvaluatePharma® Comment: From AstraZeneca: WW royalties.</t>
        </r>
      </text>
    </comment>
    <comment ref="H126" authorId="0" shapeId="0">
      <text>
        <r>
          <rPr>
            <sz val="10"/>
            <rFont val="Arial"/>
            <family val="2"/>
          </rPr>
          <t>Patent Comment:
Patent date refers to "Exendin-3 and exendin-4 polypeptides, and pharmaceutical compositions comprising same" (US#5424286). RoW expiry refers to data exclusivity in 2016 in Europe, 2018 in Japan and 2019 in Canada. Patent protection refers to issued US patents (US#6858576) exp. 6-JAN-2017, (US#6872700 &amp; US#6902744) exp. 14-JAN-2020, (US#6956026) exp. 7-JAn-2018, (US#7297761 &amp; US#7521423) exp. 15-OCT-2017, (US#7741269) exp. 7-JAN-2018. Source: FDA, US PTO &amp; BMY 2012 10-K.</t>
        </r>
      </text>
    </comment>
    <comment ref="Z126" authorId="0" shapeId="0">
      <text>
        <r>
          <rPr>
            <sz val="10"/>
            <rFont val="Arial"/>
            <family val="2"/>
          </rPr>
          <t>EvaluatePharma® Comment:
SEP 2002 Eli Lilly &amp; Amylin Collaboration:
Amylin book USA sales &amp; Eli Lilly book WW ex. USA sales.
In the US, Eli Lilly receives 50% share of Byetta's gross margin &amp; revenue from its sales of Byetta pen delivery devices to Amylin.
See Amylin for USA sales.
Company Comment:
Source: Eli Lilly FY 2010 Results (27 JAN 2011):
For the full year of 2010, worldwide Byetta sales decreased 11 percent to $710.2 million. U.S. Byetta sales for 2010 decreased 16 percent to $559.3 million, while sales outside the U.S. increased 17 percent to $150.9 million. For the full-year of 2010, Lilly recognized revenue totaling $430.6 million, representing a 4 percent decrease compared with 2009.
Source: Amylin Pharmaceuticals 2010 10-K, Page 4-5:
BYETTA provides glucose control by augmenting the body's natural physiologic processes, allowing the body to respond to blood glucose changes as they occur. BYETTA directly affects the beta cells' responses to elevated glucose by enhancing insulin secretion; this effect dissipates as glucose levels approach the normal range. BYETTA also restores first-phase insulin response, an effect which is evident following the initial dose. BYETTA is administered twice a day by using a fixed dose injection, and requires no dose adjustments due to changes in meal size or composition, exercise or other variables. No additional glucose monitoring is required with BYETTA therapy.
        The most common adverse effect of BYETTA is mild to moderate nausea, which tends to dissipate with time. Mild to moderate hypoglycemia has also been observed, but this was primarily when used in conjunction with a sulfonylurea, agents that are known to cause hypoglycemia.
        In August 2008, the FDA updated a prior alert for BYETTA referencing pancreatitis. Prescriptions for BYETTA have declined since the first half of 2008. In October 2009, the FDA approved changes to the BYETTA label to incorporate updated safety information, including pancreatitis-related safety language and an expansion of existing language regarding use of BYETTA in patients with renal impairment. We continue to work to better understand the relationship between BYETTA and pancreatitis described in some spontaneously reported cases. In keeping with our focus on patient safety, we continue to pursue our drug safety program that includes thorough investigation of individual spontaneous case reports along with clinical and epidemiologic studies. Within the detection limits of an initial epidemiology study which we provided to the FDA, we have not observed an increased incidence of pancreatitis associated with BYETTA compared to other treatments for diabetes and thus believe a definite causal relationship between BYETTA and pancreatitis has not been proven.
We continue to support initiatives to facilitate the successful initiation of therapy by primary care physicians. This effort includes: increased patient educational material for health care providers to distribute in their offices; a network of approximately 400 diabetes educators to work with physicians and their patients within their local communities; direct support to patients through the BYETTA By Your Side Program, which provides a toll-free number that allows patients to contact trained medical professionals to better understand the benefits of BYETTA therapy and to get assistance starting and using the BYETTA pen; a pharmacy support component partnering with managed care plans designed specifically to assist with patient refills; and a BYETTA website. We believe this support is helpful to patients who may be on their first injectable therapy and to primary care providers who may be less accustomed to treating patients with an injectable product earlier in the disease cycle and who have fewer resources in their offices.
        We have a collaboration agreement with Lilly for the global development and commercialization of exenatide. Lilly co-promotes BYETTA in the United States with us and has primary responsibility for developing and commercializing BYETTA outside the United States, including any sustained-release formulations such as BYDUREON. In late 2010, Lilly obtained approval to market BYETTA in Japan, and by the end of 2010, BYETTA was launched in approximately 70 countries worldwide.
Page 12-13
Lilly Exenatide Collaboration
        We entered into a collaboration agreement with Lilly in 2002 for the global development and commercialization of exenatide, including the twice-daily version, BYETTA, and sustained-release formulations, such as BYDUREON. Under the terms of the agreement, Lilly made initial payments to us, and purchased approximately 1.6 million shares of our common stock. In addition, Lilly has made milestone payments to us upon the achievement of development milestones for BYETTA and BYDUREON and commercial milestones for BYETTA. Lilly is also obligated to make additional future commercial milestone payments to us of up to $70 million contingent upon the commercial launch of BYDUREON in the U.S., Europe and Japan. Under our co-promotion arrangement with Lilly, the parties use approximately equal efforts to co-promote BYETTA within the United States and have agreed to use approximately equal efforts to co-promote sustained-release formulations of exenatide within the United States. Lilly is responsible for commercialization efforts outside the United States. We generally share exenatide United States development and commercialization costs with Lilly equally and we pay Lilly 50% of the operating profits from the sale of products in the United States. Our collaboration agreement may be terminated by Lilly at any time on one years' notice.
        In late 2006, BYETTA was approved in the EU and in late 2010, BYETTA was approved in Japan. By the end of 2010, BYETTA was commercially launched in approximately 70 countries worldwide. Lilly will pay us tiered royalties based upon the annual gross margin for all exenatide product sales, including any sustained-release formulations, outside of the United States. We expect to receive royalty payments from Lilly for exenatide product sales outside the United States after a one-time cumulative gross margin threshold has been met. Lilly is responsible for 100% of the costs related to development of BYETTA and BYDUREON for sale outside of the United States. Lilly is also responsible for 100% of the costs related to commercialization of all exenatide products for sale outside the United States. We record all United States BYETTA product revenues and Lilly records all BYETTA product revenues from outside the United States.
        In October 2008, we entered into an Exenatide Once Weekly Supply Agreement with Lilly pursuant to which we will supply commercial quantities of BYDUREON for sale in the United States, if approved by the FDA. In addition, if Lilly receives approval to market the product in jurisdictions outside the Unites States, we will be required to manufacture the product intended for commercial sale by Lilly in those jurisdictions. We have also entered into a loan agreement with Lilly pursuant to which Lilly will make a $165 million unsecured line of credit available to us that we can draw upon from time to time, at our option, until June 30, 2011, with maturity no later than June 30, 2014.
        In April 2009, we and Lilly amended our collaboration agreement to clarify allocation and reimbursement procedures of certain shared expenses under the agreement. We also agreed to adopt a set of guidelines to govern the working relationship of an integrated medical, development and commercial team for exenatide comprised of Amylin and Lilly employees to be located in San Diego, referred to as Exenatide One.
        In May 2009, we and Lilly entered into a cost allocation agreement which amended the exenatide development and commercialization cost-sharing provisions contained in our collaboration agreement. Under the terms of the cost allocation agreement, Lilly will be responsible for 53% of shared exenatide global development and commercialization expenses that generate utility in the United States and outside the United States, including global manufacturing development expenses. We will be responsible for 47% of these expenses. Lilly will also assume 100% of all exenatide development expenses that generate utility predominately outside the United States. Under the previous cost-sharing arrangement, Amylin was responsible for 20% of these expenses. The royalty structure for exenatide revenues generated outside the United States was also modified to reflect Lilly's revised expense burden, with a reduction in Lilly's royalty payments to us. Under the cost allocation agreement, we and
Lilly will continue to share equally all exenatide development and commercialization expenses that generate utility predominately in the United States.
Company Dislcosed Competitive Profile:
Source: Amylin Pharmaceuticals 2010 10-K, Page 4-5:
        BYETTA is the first approved medicine in a class of compounds called glucagon-like peptide-1 (GLP-1) receptor agonists. It is approved as a first-line, stand-alone medication (monotherapy) along with diet and exercise to improve glycemic control in adults with type 2 diabetes. BYETTA is also approved as an adjunctive therapy to improve glycemic control in patients with type 2 diabetes who have not achieved adequate glycemic control by using metformin, a sulfonylurea and/or a thiazolidinediene (TZD), three common oral therapies for type 2 diabetes. We recently submitted a sNDA to the FDA for expanded use of BYETTA as an add-on to basal insulin and expect a response from the FDA in 2011. The type 2 diabetes treatment guidelines of the American Diabetes Association, or ADA, the European Association for the Study of Diabetes, or EASD, and the American Association of Clinical Endocrinologists, or AACE, include the GLP-1 receptor agonist class, which includes BYETTA, as a secondary treatment option for type 2 diabetes patients.
In December 2010, we submitted an sNDA to the FDA for the expanded use of BYETTA as an add-on therapy to basal insulin for adults with type 2 diabetes who are not achieving adequate glycemic control. We expect to receive a response from the FDA regarding our sNDA by the end of 2011. The sNDA is based on a double-blind, placebo-controlled clinical study evaluating BYETTA added to Lantus® (insulin glargine) which showed many otherwise hard-to-treat patients with type 2 diabetes achieved A1C control without weight gain or increasing their risk of hypoglycemia. A total of 261 patients receiving insulin glargine, with or without oral agents, were randomized to receive BYETTA or placebo in addition to aggressive insulin titration. After 30 weeks of treatment, A1C on average decreased by 1.7 percentage points in patients adding BYETTA, compared with a decrease of 1.0 percentage point in patients receiving placebo with their insulin alone. Both treatment groups showed lower fasting plasma glucose concentrations; however, after morning and evening meals, when BYETTA was administered, postprandial glucose control was significantly improved with BYETTA compared to placebo. On average, weight decreased by four pounds in patients adding BYETTA, compared with an increase of two pounds in patients treated with insulin alone. The greater improvement in A1C with BYETTA was not accompanied by an increase in hypoglycemia, compared to placebo. Nausea was the most common adverse event during the 30-week treatment period and decreased over time.</t>
        </r>
      </text>
    </comment>
    <comment ref="AA126" authorId="0" shapeId="0">
      <text>
        <r>
          <rPr>
            <sz val="10"/>
            <rFont val="Arial"/>
            <family val="2"/>
          </rPr>
          <t>EvaluatePharma® Comment:
SEP 2002 Eli Lilly &amp; Amylin Collaboration:
Amylin book USA sales &amp; Eli Lilly book WW ex. USA sales.
In the US, Eli Lilly receives 50% share of Byetta's gross margin &amp; revenue from its sales of Byetta pen delivery devices to Amylin.
See Amylin for USA sales.
Company Comment:
Source: Eli Lilly FY 2011 Results (31 JAN 2012):
Lilly recognized in revenue its 50 percent share of Byetta's gross margin in the U.S. until the end of November 2011. In December 2011, Lilly recognized in revenue the amortization of the upfront payment received from Amylin Pharmaceuticals, partially offset by the amortization of certain capital and milestones. Lilly will continue to recognize 100 percent of Byetta and Bydureon sales outside the U.S. until those markets transition to Amylin during 2012 and 2013. Lilly also recognizes its sales of Byetta pen delivery devices to Amylin...For the full year of 2011, Lilly recognized total exenatide revenue of $422.7 million, a decrease of 2 percent.
Source: Amylin Pharmaceuticals 2011 Annual report, Page 4:
We stabilized revenue for BYETTA in the face of intense competition in an expanding GLP-1 receptor agonist market. In one important component of our future growth strategy, in October 2011, we received approval from the U.S. Food and Drug Administration (FDA) for BYETTA as an add-on therapy to insulin glargine. As a result, BYETTA now has the broadest label of any GLP-1 receptor agonist, and has become an important therapeutic option for people with T2D who are not achieving adequate glycemic control on insulin glargine alone. BYETTA was launched in approximately 10 new markets during 2011, allowing a growing number of patients in approximately 80 countries to take advantage of the important benefits of this therapy.
Page 99:
In 2011 and early 2012, we executed on key initiatives for the company, including: • Regaining 100% of the global rights to develop and commercialize our exenatide franchise, including BYDUREON and BYETTA, from Eli Lilly and Company and entering into discussions with potential new partners with global capabilities to develop and commercialize exenatide outside the United States; • Obtaining approval in the United States of BYETTA for use with insulin glargine. BYETTA is currently the only shortacting glucagon-like peptide-1, or GLP-1, receptor agonist approved in the United States for use as an add-on therapy to insulin glargine in patients with type 2 diabetes;
Page 103: 
We have an agreement with Eli Lilly and Company, or Lilly, that provides for the transition of development and commercialization activities for exenatide outside the United States no later than December 31, 2013 or at such later date if (i) mutually agreed by us and Lilly in the event such transition has not occurred by December 31, 2013 or (ii) in certain circumstances as set forth in our transition agreement with Lilly. We are currently in discussions with various companies with the goal of transitioning these exenatide responsibilities to one or more partners prior to such date. By the end of 2011, BYETTA was approved in 87 countries and launched in approximately 80 countries worldwide.</t>
        </r>
      </text>
    </comment>
    <comment ref="AB126" authorId="0" shapeId="0">
      <text>
        <r>
          <rPr>
            <sz val="10"/>
            <rFont val="Arial"/>
            <family val="2"/>
          </rPr>
          <t>EvaluatePharma® Comment:
WW sales rights transitioned to Amylin on a rolling basis from 30 NOV 2011, as follows:
-- US: from 30 NOV 2011.
-- RoW: All markets by the end of 2013.
LLY to receive 15% royalty on global sales.
Source: Press Release (8 NOV 2011)</t>
        </r>
      </text>
    </comment>
    <comment ref="AC126" authorId="0" shapeId="0">
      <text>
        <r>
          <rPr>
            <sz val="10"/>
            <rFont val="Arial"/>
            <family val="2"/>
          </rPr>
          <t>EvaluatePharma® Comment:
WW sales rights transitioned to Amylin on a rolling basis from 30 NOV 2011, as follows:
-- US: from 30 NOV 2011.
-- RoW: All markets by the end of 2013.
LLY to receive 15% royalty on global sales.
Product disposed in APR 2013.
Source: Press Release (8 NOV 2011)</t>
        </r>
      </text>
    </comment>
    <comment ref="H127" authorId="0" shapeId="0">
      <text>
        <r>
          <rPr>
            <sz val="10"/>
            <rFont val="Arial"/>
            <family val="2"/>
          </rPr>
          <t>Patent Comment:
Patent date refers to European patent. Data exclusivity expires in 2021 in Europe and 2020 in Japan. Source: BMY 2012 10-K &amp; Alkermes 2011 10-K.</t>
        </r>
      </text>
    </comment>
    <comment ref="Z127" authorId="0" shapeId="0">
      <text>
        <r>
          <rPr>
            <sz val="10"/>
            <rFont val="Arial"/>
            <family val="2"/>
          </rPr>
          <t>Company Disclosed Competitive Profile:
Source: Eli Lilly 2010 10-K, Page 18:
Bydureon™—U.S.    In October 2010, the FDA issued a complete response letter regarding the New Drug Application (NDA) for Bydureon. In the complete response letter, the FDA requested a safety study to measure the potential for heart rhythm disturbances when exenatide is used at higher-than-average doses. Additionally, the FDA requested the results of the already completed DURATION-5 study to evaluate the efficacy, and the labeling of the safety and effectiveness, of the commercial formulation of Bydureon. We, along with our partners Amylin Pharmaceuticals, Inc. (Amylin) and Alkermes, Inc. (Alkermes), plan to submit our reply to the complete response letter in the second half of 2011. Amylin received written feedback from the FDA indicating approval of the study design for the required safety study to support the regulatory application. The study is expected to begin in February. Based on the requirements for additional data, this will likely be considered a Class 2 resubmission requiring a six-month review.
Bydureon—Europe.    We, along with our partners Amylin and Alkermes, submitted Bydureon for review by the European Medicines Agency in the first quarter of 2010.
Source: Amylin Pharmaceuticals 2010 10-K, Page 1-2:
        In 2010 and early 2011, we executed on key initiatives for the company including:
•
initiated the required thorough QT, or tQT, study to support the regulatory application for BYDUREON and expect to submit our response to the United States Food and Drug Administration's, or FDA, second BYDUREON complete response letter in the second half of 2011;
•
submitted a supplemental New Drug Application, or sNDA, to the FDA for the expanded use of BYETTA as an add-on therapy to basal insulin;
•
submitted the initial sections of a rolling submission for a Biologics License Application, or BLA, to the FDA for the use of metreleptin to treat diabetes and/or hypertriglyceridemia (high levels of triglycerides in the bloodstream) in patients with lipodystrophy;
•
announced results from DURATION-4, a head-to-head study that compared BYDUREON monotherapy to Januvia® (sitagliptin), Actos® (pioglitazone HCI) or metformin. Results demonstrated that BYDUREON efficacy and tolerability profile extended to monotherapy treatment;
•
initiated the DURATION-6 clinical study, a head-to-head comparison of BYDUREON to Victoza® (liraglutide), a glucagon-like peptide-1, or GLP-1, analog , with results expected in the first half of 2011;
•
initiated our EXSCEL (Exenatide Study of Cardiovascular Event Lowering) cardiovascular outcomes study for BYDUREON, with results expected in approximately 2016; and
announced, with our partner Takeda Pharmaceutical Company Limited, or Takeda, that we will advance the combination treatment of pramlintide/metreleptin for obesity toward phase 3 development.
        In 2011 we will continue our efforts to expand the indication for BYETTA and target new market segments for this product. We also plan to work toward increasing patient awareness and adherence of SYMLIN. In the near-term, we will continue to work with the FDA to gain approval for BYDUREON and will continue our efforts to build a superior profile for BYDUREON by completing the DURATION-6 clinical trial mentioned above. We also plan to continue making strategic investments in the exenatide franchise including the development of a BYDUREON pen delivery system and an exenatide suspension formulation that could enable monthly administration of exenatide.
Page 7-8
BYDUREON (exenatide extended-release for injectable suspension)
        BYDUREON is our late stage development program in diabetes. BYDUREON combines exenatide, the active ingredient in BYETTA, with proprietary technology developed by us and our partner, Alkermes, Inc., or Alkermes, to provide a sustained release delivery of exenatide. The combination of potency and the glucose-dependent mechanism of action inherent in exenatide makes it well suited to development of a once weekly formulation. We have an agreement with Alkermes to assist us in the development, manufacture and commercialization of BYDUREON and this program is included in our collaboration agreement with Lilly. We are aggressively working with Lilly and Alkermes to develop BYDUREON and to bring it to market as soon as possible.
        In May 2009, we submitted a New Drug Application, or NDA, for BYDUREON to the FDA and in March 2010 we received a complete response letter from the FDA regarding the NDA. The key components of the complete response letter related primarily to finalization of product labeling with an accompanying Risk Evaluation and Mitigation Strategy, or REMS, and clarification of proprietary manufacturing process. The complete response letter did not contain any requests for additional pre-clinical or clinical trials. We filed our response to the complete response letter in April 2010 and in May 2010 the FDA notified us that they had assigned a new Prescription Drug User Fee Act, or PDUFA, target action date of October 22, 2010.
        On October 18, 2010, we received a second complete response letter from the FDA for BYDUREON in which the FDA requested a tQT study designed to evaluate exposures of exenatide higher than typical therapeutic levels achieved with BYDUREON administration. A tQT study is intended to determine whether a drug has an adverse pharmacologic effect on cardiac repolarization, as assessed by QT/QTc prolongation. In January 2011, we received written feedback from the FDA indicating approval of the tQT study design and we initiated the study in February 2011. In addition, the FDA has requested the results of our DURATION-5 study, a head-to-head study comparing BYDUREON to BYETTA that was completed in the fourth quarter of 2009, to evaluate the efficacy, and the labeling of the safety and effectiveness of the commercial formulation of BYDUREON. Our goal is to complete the tQT study and submit a reply to the FDA's second complete response letter in the second half of 2011. Based on the requirements for additional data, we believe this will likely be considered a Class 2 resubmission requiring a six-month FDA review.
        In October 2007, we announced positive results from our DURATION-1 pivotal comparator study comparing treatment with BYDUREON to treatment with BYETTA over a 30-week period. BYDUREON showed a statistically significant improvement in A1C of approximately 1.9% from baseline, compared to an improvement of approximately 1.5% for BYETTA. In June 2008, we announced results from the extension phase of DURATION-1 showing durable efficacy of BYDUREON over 52-weeks. In this extension phase, patients either remained on BYDUREON or switched from BYETTA to BYDUREON for an additional 22 weeks. Patients taking BYDUREON over the course of one year sustained a similar improvement in glucose control of 2.0% lower A1C and lower fasting plasma glucose from baseline compared to those receiving treatment for 30 weeks who achieved 1.9% lower A1C from baseline.
        In March 2009 and July 2009, we announced positive results from our DURATION-2 and DURATION-3 studies, respectively, the second and third in a series of six such studies designed to test the superiority of BYDUREON compared to other diabetes therapies. In DURATION-2, BYDUREON demonstrated superior glucose control with weight loss and no increase in hypoglycemia compared to maximum doses of Januvia® or Actos®. In DURATION-3, BYDUREON demonstrated superior glucose control with weight loss and with less hypoglycemia compared to insulin glargine (Lantus®). In December 2009, we announced results from DURATION-5, a head-to-head study comparing BYDUREON to BYETTA. In DURATION-5, patients taking BYDUREON experienced a statistically superior reduction in A1C compared to BYETTA. In June 2010, we announced results from our DURATION-4 study, a head-to-head study that compared BYDUREON monotherapy to Januvia®, Actos® or metformin. Results from DURATION-4 demonstrated that BYDUREON efficacy and tolerability profile extended to monotherapy treatment. In early 2010, we initiated our DURATION-6 clinical study, a head-to-head comparison of BYDUREON to Victoza®. We expect to report the results of this study in the first half of 2011.
        At the end of 2010, we published data from a retrospective, real-world analysis of over 400,000 type 2 diabetes patient outcomes which showed that BYETTA was associated with a 14-20% reduction in the risk of cardiovascular events. Given the positive effects on cardiovascular outcomes observed with exenatide in this study, the beneficial effects observed in clinical trials of exenatide on markers of cardiovascular risk, and the current regulatory interest in cardiovascular outcomes, in 2010 we and Lilly initiated our EXSCEL cardiovascular outcomes trial with a superiority design that will evaluate the effects of BYDUREON on major cardiovascular events, compared to standard of care with traditional antidiabetes medications. This study will give us the opportunity to demonstrate the effect of BYDUREON on cardiovascular outcomes and other end points of interest to our stakeholders. We do not believe this study will be a requirement for BYDUREON approval. We expect results from this study to be available in 2016.
        We and Lilly are developing BYDUREON in a dual chamber cartridge pen configuration. We believe this design will enhance the convenience for patients, allowing them to mix and administer BYDUREON from a pre-filled pen device. We and Lilly are also evaluating the efficacy, pharmacokinetics, tolerability and safety of an exenatide suspension formulation that would eliminate the need to reconstitute the product prior to use. We are currently conducting a phase 2 study to evaluate the potential for the use of this exenatide suspension formulation for once monthly treatment in patients with type 2 diabetes and expect data from this study in the first half of 2011.</t>
        </r>
      </text>
    </comment>
    <comment ref="AA127" authorId="0" shapeId="0">
      <text>
        <r>
          <rPr>
            <sz val="10"/>
            <rFont val="Arial"/>
            <family val="2"/>
          </rPr>
          <t>Includes in $m:
1) +4.4 Byetta revenue outside US, booked by Eli Lilly.
EvaluatePharma® Comment:
SEP 2002 Eli Lilly &amp; Amylin Collaboration:
Amylin book USA sales &amp; Eli Lilly book WW ex. USA sales.
In the US, Elil Lilly receives 50% share of Byetta's gross margin &amp; revenue from its sales of Byetta pen delivery devices to Amylin.
Company Comment:
Source: Eli Lilly FY 2011 Results (31 JAN 2012):
Lilly recognized in revenue its 50 percent share of Byetta's gross margin in the U.S. until the end of November 2011. In December 2011, Lilly recognized in revenue the amortization of the upfront payment received from Amylin Pharmaceuticals, partially offset by the amortization of certain capital and milestones. Lilly will continue to recognize 100 percent of Byetta and Bydureon sales outside the U.S. until those markets transition to Amylin during 2012 and 2013. Lilly also recognizes its sales of Byetta pen delivery devices to Amylin...For the full year of 2011, Lilly recognized total exenatide revenue of $422.7 million, a decrease of 2 percent.
Source: Eli Lilly 2011 10-K, Page 2:
Bydureon ® , approved in Europe in 2011 and in the U.S. in January 2012 for the treatment of type 2 diabetes (see “Pharmaceutical Marketing Collaborations” below for information about the termination of our collaboration with Amylin Pharmaceuticals for Byetta and Bydureon) 
Page 18: 
Bydureon—In June, the European Commission granted marketing authorization for Bydureon, the first once-weekly treatment for type 2 diabetes in combination with certain oral therapies. European launches began in the third quarter of 2011, starting with the United Kingdom and Germany. In January 2012, the FDA approved Bydureon as an adjunct to diet and exercise to improve glycemic control in adults with type 2 diabetes. We and Amylin terminated the collaboration in November 2011; refer to Note 4 of the Financial Statements for additional information.
Source: Amylin Pharmaceuticals 2011 Annual report, Page 5:
We also plan to initiate the phase 3 program for the exenatide weekly suspension formulation in the middle of this year and the phase 3 program for the exenatide monthly suspension formulation in 2013.
Pages 99-100:
In 2011 and early 2012, we executed on key initiatives for the company, including: • Obtaining approval for BYDUREON in the United States in January 2012 and the European Union in June 2011. BYDUREON is currently approved by regulatory authorities in 33 countries and is being marketed in 12 countries worldwide in which we have also received pricing and reimbursement decisions; • Regaining 100% of the global rights to develop and commercialize our exenatide franchise, including BYDUREON and BYETTA, from Eli Lilly and Company and entering into discussions with potential new partners with global capabilities to develop and commercialize exenatide outside the United States;
In 2012, we will continue our BYDUREON launch efforts and will work toward securing a development and commercialization partner with global capabilities for our exenatide franchise. We also plan to advance our metreleptin program for the treatment of lipodystophy, a very rare metabolic condition, and to advance our once-weekly and once-monthly exenatide suspension programs. We will continue our efforts to develop and obtain approval for the BYDUREON pen with the goal of making the BYDUREON pen delivery system available to patients in late 2012 or early 2013. In the near term, we will also focus on maximizing the financial contributions from BYETTA and SYMLIN and continue to operate our business with financial discipline.
Page 103: 
We are developing a dual chamber cartridge pen configuration of BYDUREON. We believe this design will further simplify dosing for patients, allowing them to mix and administer BYDUREON from a pre-filled pen device. We currently plan to seek FDA approval for the BYDUREON pen during 2012 with a projected launch by the end of 2012 or the first quarter of 2013.</t>
        </r>
      </text>
    </comment>
    <comment ref="AB127" authorId="0" shapeId="0">
      <text>
        <r>
          <rPr>
            <sz val="10"/>
            <rFont val="Arial"/>
            <family val="2"/>
          </rPr>
          <t xml:space="preserve">Includes in $m:
1) +29.5 Bydureon revenue outside US, booked by Eli Lilly.
EvaluatePharma® Comment:
WW sales rights transitioned to Amylin on a rolling basis from 30 NOV 2011, as follows:
-- US: from 30 NOV 2011.
-- RoW: All markets by the end of 2013.
LLY to receive 15% royalty on global sales.
</t>
        </r>
      </text>
    </comment>
    <comment ref="AC127" authorId="0" shapeId="0">
      <text>
        <r>
          <rPr>
            <sz val="10"/>
            <rFont val="Arial"/>
            <family val="2"/>
          </rPr>
          <t>EvaluatePharma® Comment:
WW sales rights transitioned to Amylin on a rolling basis from 30 NOV 2011, as follows:
-- US: from 30 NOV 2011.
-- RoW: All markets by the end of 2013.
LLY to receive 15% royalty on global sales.
Product disposed in APR 2013.
Source: Press Release (8 NOV 2011)</t>
        </r>
      </text>
    </comment>
    <comment ref="H128" authorId="0" shapeId="0">
      <text>
        <r>
          <rPr>
            <sz val="10"/>
            <rFont val="Arial"/>
            <family val="2"/>
          </rPr>
          <t>Patent Comment:
Patent date refers to US patent "Phosphoric acid salt of a dipeptidyl peptidase-IV inhibitor" (US#7326708). Patent protection refers to US patent "Beta-amino heterocyclic dipeptidyl peptidase inhibitors for the treatment or prevention of diabetes" (US#6699871) expires 26 JUL 2022. Patent protection also refers to US patent "Beta-amino tetrahydroimidazo (1, 2-a) pyrazines and tetrahydrotrioazolo (4, 3-a) pyrazines as dipeptidyl peptidase inhibitors for the treatment or prevention of diabetes" (US#7125873) expires 26 JUL 2022. Patent protection also refers to US patent "Method of regulating glucose metabolism, and reagents related thereto" (US#6890898) expires 02 FEB 2019. Source: US PTO &amp; 2011 10-K.</t>
        </r>
      </text>
    </comment>
    <comment ref="Z128" authorId="0" shapeId="0">
      <text>
        <r>
          <rPr>
            <sz val="10"/>
            <rFont val="Arial"/>
            <family val="2"/>
          </rPr>
          <t>Company Disclosed Competitive Profile:
Source: Merck &amp; Co. 2010 10-K, Page 66:
MK-0431D is a combination of Januvia and Zocor for the treatment of diabetes and dyslipidemia which was accepted for standard review by the FDA in 2011.</t>
        </r>
      </text>
    </comment>
    <comment ref="AA128" authorId="0" shapeId="0">
      <text>
        <r>
          <rPr>
            <sz val="10"/>
            <rFont val="Arial"/>
            <family val="2"/>
          </rPr>
          <t>Company Comment:
Source: Merck &amp; Co. 2011 10-K, Page 2: 
The FDA also approved  Juvisync  (sitagliptin and simvastatin), a new treatment for type 2 diabetes that combines the active ingredient in the glucose-lowering medication  Januvia  with the cholesterol-lowering medication  Zocor  (simvastatin).
Page 6:
In October 2011, the FDA approved Juvisync, a new treatment for type 2 diabetes that combines the glucose-lowering medication sitagliptin with the cholesterol-lowering medication  Zocor .  Juvisync  is the first treatment option for health care providers to help patients who need the blood sugar-lowering benefits of a DPP-4 inhibitor and the cholesterol-lowering benefits of simvastatin, with the convenience of a single tablet once daily.</t>
        </r>
      </text>
    </comment>
    <comment ref="AD128" authorId="0" shapeId="0">
      <text>
        <r>
          <rPr>
            <sz val="10"/>
            <rFont val="Arial"/>
            <family val="2"/>
          </rPr>
          <t>EvaluatePharma® Comment:
 Broker is forecasting zero revenues.</t>
        </r>
      </text>
    </comment>
    <comment ref="AE128" authorId="0" shapeId="0">
      <text>
        <r>
          <rPr>
            <sz val="10"/>
            <rFont val="Arial"/>
            <family val="2"/>
          </rPr>
          <t>EvaluatePharma® Comment:
 Broker is forecasting zero revenues.</t>
        </r>
      </text>
    </comment>
    <comment ref="AF128" authorId="0" shapeId="0">
      <text>
        <r>
          <rPr>
            <sz val="10"/>
            <rFont val="Arial"/>
            <family val="2"/>
          </rPr>
          <t>EvaluatePharma® Comment:
 Broker is forecasting zero revenues.</t>
        </r>
      </text>
    </comment>
    <comment ref="AG128" authorId="0" shapeId="0">
      <text>
        <r>
          <rPr>
            <sz val="10"/>
            <rFont val="Arial"/>
            <family val="2"/>
          </rPr>
          <t>EvaluatePharma® Comment:
 Broker is forecasting zero revenues.</t>
        </r>
      </text>
    </comment>
    <comment ref="AH128" authorId="0" shapeId="0">
      <text>
        <r>
          <rPr>
            <sz val="10"/>
            <rFont val="Arial"/>
            <family val="2"/>
          </rPr>
          <t>EvaluatePharma® Comment:
 Broker is forecasting zero revenues.</t>
        </r>
      </text>
    </comment>
    <comment ref="AI128" authorId="0" shapeId="0">
      <text>
        <r>
          <rPr>
            <sz val="10"/>
            <rFont val="Arial"/>
            <family val="2"/>
          </rPr>
          <t>EvaluatePharma® Comment:
 Broker is forecasting zero revenues.</t>
        </r>
      </text>
    </comment>
    <comment ref="AJ128" authorId="0" shapeId="0">
      <text>
        <r>
          <rPr>
            <sz val="10"/>
            <rFont val="Arial"/>
            <family val="2"/>
          </rPr>
          <t>EvaluatePharma® Comment:
 Broker is forecasting zero revenues.</t>
        </r>
      </text>
    </comment>
    <comment ref="AK128" authorId="0" shapeId="0">
      <text>
        <r>
          <rPr>
            <sz val="10"/>
            <rFont val="Arial"/>
            <family val="2"/>
          </rPr>
          <t>EvaluatePharma® Comment:
 Broker is forecasting zero revenues.</t>
        </r>
      </text>
    </comment>
    <comment ref="AL128" authorId="0" shapeId="0">
      <text>
        <r>
          <rPr>
            <sz val="10"/>
            <rFont val="Arial"/>
            <family val="2"/>
          </rPr>
          <t>EvaluatePharma® Comment:
 Broker is forecasting zero revenues.</t>
        </r>
      </text>
    </comment>
    <comment ref="AM128" authorId="0" shapeId="0">
      <text>
        <r>
          <rPr>
            <sz val="10"/>
            <rFont val="Arial"/>
            <family val="2"/>
          </rPr>
          <t>EvaluatePharma® Comment:
 Broker is forecasting zero revenues.</t>
        </r>
      </text>
    </comment>
    <comment ref="AN128" authorId="0" shapeId="0">
      <text>
        <r>
          <rPr>
            <sz val="10"/>
            <rFont val="Arial"/>
            <family val="2"/>
          </rPr>
          <t>EvaluatePharma® Comment:
 Broker is forecasting zero revenues.</t>
        </r>
      </text>
    </comment>
    <comment ref="AC129" authorId="0" shapeId="0">
      <text>
        <r>
          <rPr>
            <sz val="10"/>
            <rFont val="Arial"/>
            <family val="2"/>
          </rPr>
          <t>Company Disclosed Competitive Profile:
Source: Kissei Pharmaceutical Fiscal 2012 Annual Report (YE MAR 2013), Page 2:
In R&amp;D, we submitted an application in December last year for an additional indication of combination therapy of our diabetes treatment mitiglinide (brand name in Japan: Glufast®) and either dipeptidyl peptidase- IV (DPP-4) inhibitors or biguanides.</t>
        </r>
      </text>
    </comment>
    <comment ref="AE129" authorId="0" shapeId="0">
      <text>
        <r>
          <rPr>
            <sz val="10"/>
            <rFont val="Arial"/>
            <family val="2"/>
          </rPr>
          <t>Company Disclosed Competitive Profile: 
Source: Kissei Pharmaceutical Fiscal 2014 Annual Report (YE MAR 2015), Page 2:
Additionally, we submitted an application for an additional dosage form of Glufast (oral disintegration tablet), a drug used to treat type 2 diabetes, in January 2015.</t>
        </r>
      </text>
    </comment>
    <comment ref="H130" authorId="0" shapeId="0">
      <text>
        <r>
          <rPr>
            <sz val="10"/>
            <rFont val="Arial"/>
            <family val="2"/>
          </rPr>
          <t>Patent Comment:
Patent date &amp; number refers to "Pharmaceutical formulation containing a biguanide and a thiazolidinedione derivative" (US#7785627). Patent protection refers to "Thiazolidinedione derivatives, useful as antidiabetic agents" (US#4687777) expired on 17-JAN-2011. Patent protection also refers to "Pharmaceutical composition" (US#5965584, #6166042, #6166043 &amp; #6172090) exp. on 19-Jun-2016. Patent protection also refers to "Controlled release metformin formulations" (US#8475841 &amp; US#7919116) exp on 20-MAR-2018. Patent protection also refers to "Controlled release oral tablet having a unitary core" (US#6495162 &amp; US#6099859) exp. on 20 MAR 2018. Source: USPTO &amp; FDA, 9 JAN 2012 Mylan press release.</t>
        </r>
      </text>
    </comment>
    <comment ref="AC130" authorId="0" shapeId="0">
      <text>
        <r>
          <rPr>
            <sz val="10"/>
            <rFont val="Arial"/>
            <family val="2"/>
          </rPr>
          <t>EvaluatePharma® Comment: 
Broker forecasting zero sales.</t>
        </r>
      </text>
    </comment>
    <comment ref="AD130" authorId="0" shapeId="0">
      <text>
        <r>
          <rPr>
            <sz val="10"/>
            <rFont val="Arial"/>
            <family val="2"/>
          </rPr>
          <t>EvaluatePharma® Comment: 
Broker forecasting zero sales.</t>
        </r>
      </text>
    </comment>
    <comment ref="AE130" authorId="0" shapeId="0">
      <text>
        <r>
          <rPr>
            <sz val="10"/>
            <rFont val="Arial"/>
            <family val="2"/>
          </rPr>
          <t>EvaluatePharma® Comment: 
Broker forecasting zero sales.</t>
        </r>
      </text>
    </comment>
    <comment ref="AF130" authorId="0" shapeId="0">
      <text>
        <r>
          <rPr>
            <sz val="10"/>
            <rFont val="Arial"/>
            <family val="2"/>
          </rPr>
          <t>EvaluatePharma® Comment: 
Broker forecasting zero sales.</t>
        </r>
      </text>
    </comment>
    <comment ref="AG130" authorId="0" shapeId="0">
      <text>
        <r>
          <rPr>
            <sz val="10"/>
            <rFont val="Arial"/>
            <family val="2"/>
          </rPr>
          <t>EvaluatePharma® Comment: 
Broker forecasting zero sales.</t>
        </r>
      </text>
    </comment>
    <comment ref="AH130" authorId="0" shapeId="0">
      <text>
        <r>
          <rPr>
            <sz val="10"/>
            <rFont val="Arial"/>
            <family val="2"/>
          </rPr>
          <t>EvaluatePharma® Comment: 
Broker forecasting zero sales.</t>
        </r>
      </text>
    </comment>
    <comment ref="AI130" authorId="0" shapeId="0">
      <text>
        <r>
          <rPr>
            <sz val="10"/>
            <rFont val="Arial"/>
            <family val="2"/>
          </rPr>
          <t>EvaluatePharma® Comment: 
Broker forecasting zero sales.</t>
        </r>
      </text>
    </comment>
    <comment ref="AJ130" authorId="0" shapeId="0">
      <text>
        <r>
          <rPr>
            <sz val="10"/>
            <rFont val="Arial"/>
            <family val="2"/>
          </rPr>
          <t>EvaluatePharma® Comment: 
Broker forecasting zero sales.</t>
        </r>
      </text>
    </comment>
    <comment ref="AK130" authorId="0" shapeId="0">
      <text>
        <r>
          <rPr>
            <sz val="10"/>
            <rFont val="Arial"/>
            <family val="2"/>
          </rPr>
          <t>EvaluatePharma® Comment: 
Broker forecasting zero sales.</t>
        </r>
      </text>
    </comment>
    <comment ref="AL130" authorId="0" shapeId="0">
      <text>
        <r>
          <rPr>
            <sz val="10"/>
            <rFont val="Arial"/>
            <family val="2"/>
          </rPr>
          <t>EvaluatePharma® Comment: 
Broker forecasting zero sales.</t>
        </r>
      </text>
    </comment>
    <comment ref="AM130" authorId="0" shapeId="0">
      <text>
        <r>
          <rPr>
            <sz val="10"/>
            <rFont val="Arial"/>
            <family val="2"/>
          </rPr>
          <t>EvaluatePharma® Comment: 
Broker forecasting zero sales.</t>
        </r>
      </text>
    </comment>
    <comment ref="AN130" authorId="0" shapeId="0">
      <text>
        <r>
          <rPr>
            <sz val="10"/>
            <rFont val="Arial"/>
            <family val="2"/>
          </rPr>
          <t>EvaluatePharma® Comment: 
Broker forecasting zero sales.</t>
        </r>
      </text>
    </comment>
    <comment ref="H131" authorId="0" shapeId="0">
      <text>
        <r>
          <rPr>
            <sz val="10"/>
            <rFont val="Arial"/>
            <family val="2"/>
          </rPr>
          <t>Patent Comment:
Patent date refers to authorised generic launch by Teva. Patent protection refers to "Thiazolidinedione derivatives, useful as antidiabetic agents" (US#4687777). Patent protection also refers to "Pharmaceutical composition" (US#5965584, #6166042, #6166043 &amp; #6172090) exp. on 19-Jun-2016. AUG12 Mylan launched the generic version with 180 day exclusivity. DEC10 Litigation settled with Teva, Aurobindo &amp; Wockhardt; granted license to Teva to launch authorized generic on or before 14 DEC 2012 &amp; Aurobindo &amp; Wockhardt to launch generic after 180 days of Mylan's generic entry. Source: Mylan 17 AUG 2012 press release, Teva 17 AUG 2012 press release, USPTO &amp; FDA, 21 DEC 2010, 28 APR 2010 &amp; 16 MAR 2010 Mylan press release.</t>
        </r>
      </text>
    </comment>
    <comment ref="AB131" authorId="0" shapeId="0">
      <text>
        <r>
          <rPr>
            <sz val="10"/>
            <rFont val="Arial"/>
            <family val="2"/>
          </rPr>
          <t>EvaluatePharma® Comment: 
Broker forecasting zero sales.</t>
        </r>
      </text>
    </comment>
    <comment ref="AC131" authorId="0" shapeId="0">
      <text>
        <r>
          <rPr>
            <sz val="10"/>
            <rFont val="Arial"/>
            <family val="2"/>
          </rPr>
          <t>EvaluatePharma® Comment: 
Broker forecasting zero sales.</t>
        </r>
      </text>
    </comment>
    <comment ref="AD131" authorId="0" shapeId="0">
      <text>
        <r>
          <rPr>
            <sz val="10"/>
            <rFont val="Arial"/>
            <family val="2"/>
          </rPr>
          <t>EvaluatePharma® Comment: 
Broker forecasting zero sales.</t>
        </r>
      </text>
    </comment>
    <comment ref="AE131" authorId="0" shapeId="0">
      <text>
        <r>
          <rPr>
            <sz val="10"/>
            <rFont val="Arial"/>
            <family val="2"/>
          </rPr>
          <t>EvaluatePharma® Comment: 
Broker forecasting zero sales.</t>
        </r>
      </text>
    </comment>
    <comment ref="AF131" authorId="0" shapeId="0">
      <text>
        <r>
          <rPr>
            <sz val="10"/>
            <rFont val="Arial"/>
            <family val="2"/>
          </rPr>
          <t>EvaluatePharma® Comment: 
Broker forecasting zero sales.</t>
        </r>
      </text>
    </comment>
    <comment ref="AG131" authorId="0" shapeId="0">
      <text>
        <r>
          <rPr>
            <sz val="10"/>
            <rFont val="Arial"/>
            <family val="2"/>
          </rPr>
          <t>EvaluatePharma® Comment: 
Broker forecasting zero sales.</t>
        </r>
      </text>
    </comment>
    <comment ref="AH131" authorId="0" shapeId="0">
      <text>
        <r>
          <rPr>
            <sz val="10"/>
            <rFont val="Arial"/>
            <family val="2"/>
          </rPr>
          <t>EvaluatePharma® Comment: 
Broker forecasting zero sales.</t>
        </r>
      </text>
    </comment>
    <comment ref="AI131" authorId="0" shapeId="0">
      <text>
        <r>
          <rPr>
            <sz val="10"/>
            <rFont val="Arial"/>
            <family val="2"/>
          </rPr>
          <t>EvaluatePharma® Comment: 
Broker forecasting zero sales.</t>
        </r>
      </text>
    </comment>
    <comment ref="AJ131" authorId="0" shapeId="0">
      <text>
        <r>
          <rPr>
            <sz val="10"/>
            <rFont val="Arial"/>
            <family val="2"/>
          </rPr>
          <t>EvaluatePharma® Comment: 
Broker forecasting zero sales.</t>
        </r>
      </text>
    </comment>
    <comment ref="AK131" authorId="0" shapeId="0">
      <text>
        <r>
          <rPr>
            <sz val="10"/>
            <rFont val="Arial"/>
            <family val="2"/>
          </rPr>
          <t>EvaluatePharma® Comment: 
Broker forecasting zero sales.</t>
        </r>
      </text>
    </comment>
    <comment ref="AL131" authorId="0" shapeId="0">
      <text>
        <r>
          <rPr>
            <sz val="10"/>
            <rFont val="Arial"/>
            <family val="2"/>
          </rPr>
          <t>EvaluatePharma® Comment: 
Broker forecasting zero sales.</t>
        </r>
      </text>
    </comment>
    <comment ref="AM131" authorId="0" shapeId="0">
      <text>
        <r>
          <rPr>
            <sz val="10"/>
            <rFont val="Arial"/>
            <family val="2"/>
          </rPr>
          <t>EvaluatePharma® Comment: 
Broker forecasting zero sales.</t>
        </r>
      </text>
    </comment>
    <comment ref="AN131" authorId="0" shapeId="0">
      <text>
        <r>
          <rPr>
            <sz val="10"/>
            <rFont val="Arial"/>
            <family val="2"/>
          </rPr>
          <t>EvaluatePharma® Comment: 
Broker forecasting zero sales.</t>
        </r>
      </text>
    </comment>
    <comment ref="H132" authorId="0" shapeId="0">
      <text>
        <r>
          <rPr>
            <sz val="10"/>
            <rFont val="Arial"/>
            <family val="2"/>
          </rPr>
          <t>Patent Comment:
Patent date &amp; number refers to "Pharmaceutical composition" (US#6329404) including 5yrs of patent extension. Patent protection refers to "Dipeptidyl peptidase inhibitors" (US#7807689, #8173663 &amp; #8288539) exp. 27 JUN 2028 &amp; 15 MAR 2025 resp. Patent protection also refers to Solid preparation comprising alogliptin &amp; pioglitazone (US#8637079) exp. 4 JUN 2029. NCE exclusivity expiring on 25-JAN-2018. Source: FDA &amp; US PTO.</t>
        </r>
      </text>
    </comment>
    <comment ref="AA132" authorId="0" shapeId="0">
      <text>
        <r>
          <rPr>
            <sz val="10"/>
            <rFont val="Arial"/>
            <family val="2"/>
          </rPr>
          <t>Data Source:
Takeda Fiscal 2011 Financial Results Data Book (APR 2011 - MAR 2012) (11 MAY 2012), Page 6-7</t>
        </r>
      </text>
    </comment>
    <comment ref="AB132" authorId="0" shapeId="0">
      <text>
        <r>
          <rPr>
            <sz val="10"/>
            <rFont val="Arial"/>
            <family val="2"/>
          </rPr>
          <t>Data Source:
Takeda Fiscal 2012 Financial Results Data Book (APR 2012 - MAR 2013) (09 MAY 2013), Page 6-7.</t>
        </r>
      </text>
    </comment>
    <comment ref="AC132" authorId="0" shapeId="0">
      <text>
        <r>
          <rPr>
            <sz val="10"/>
            <rFont val="Arial"/>
            <family val="2"/>
          </rPr>
          <t>Company Comment:
Source: Takeda Fiscal 2013 Annual Report (YE MAR 2014), Page 11:
Takeda focused on maximizing sales of new products launched in June 2013: NESINA, KAZANO (fixed-dose combination of NESINA and metformin), and OSENI (fixed-dose combination of NESINA and ACTOS).
EvalutePharma® Comment:
Oseni sales not disclosed by Takedain Fiscal 2013 Results (APR 2013 – MAR 2014) (08  MAY 2014).
Company Comment:
Source: Takeda Fiscal 2012 Annual Report (YE MAR 2013), Page 11:
In the U.S., we obtained approvals for NESINA, KAZANO (fixed-dose combination of NESINA and metformin), and OSENI (fixed-dose combination of NESINA and ACTOS) in January 2013, and launched all three products in June 2013.</t>
        </r>
      </text>
    </comment>
    <comment ref="AD132" authorId="0" shapeId="0">
      <text>
        <r>
          <rPr>
            <sz val="10"/>
            <rFont val="Arial"/>
            <family val="2"/>
          </rPr>
          <t>EvalutePharma® Comment:
Oseni sales not disclosed by Takeda in Fiscal 2014 Results (15 MAY 2015).</t>
        </r>
      </text>
    </comment>
    <comment ref="AF132" authorId="0" shapeId="0">
      <text>
        <r>
          <rPr>
            <sz val="10"/>
            <rFont val="Arial"/>
            <family val="2"/>
          </rPr>
          <t>EvaluatePharma® Comment:
Broker is forecasting zero sales.</t>
        </r>
      </text>
    </comment>
    <comment ref="AG132" authorId="0" shapeId="0">
      <text>
        <r>
          <rPr>
            <sz val="10"/>
            <rFont val="Arial"/>
            <family val="2"/>
          </rPr>
          <t>EvaluatePharma® Comment:
Broker is forecasting zero sales.</t>
        </r>
      </text>
    </comment>
    <comment ref="AH132" authorId="0" shapeId="0">
      <text>
        <r>
          <rPr>
            <sz val="10"/>
            <rFont val="Arial"/>
            <family val="2"/>
          </rPr>
          <t>EvaluatePharma® Comment:
Broker is forecasting zero sales.</t>
        </r>
      </text>
    </comment>
    <comment ref="AI132" authorId="0" shapeId="0">
      <text>
        <r>
          <rPr>
            <sz val="10"/>
            <rFont val="Arial"/>
            <family val="2"/>
          </rPr>
          <t>EvaluatePharma® Comment:
Broker is forecasting zero sales.</t>
        </r>
      </text>
    </comment>
    <comment ref="AJ132" authorId="0" shapeId="0">
      <text>
        <r>
          <rPr>
            <sz val="10"/>
            <rFont val="Arial"/>
            <family val="2"/>
          </rPr>
          <t>EvaluatePharma® Comment:
Broker is forecasting zero sales.</t>
        </r>
      </text>
    </comment>
    <comment ref="AK132" authorId="0" shapeId="0">
      <text>
        <r>
          <rPr>
            <sz val="10"/>
            <rFont val="Arial"/>
            <family val="2"/>
          </rPr>
          <t>EvaluatePharma® Comment:
Broker is forecasting zero sales.</t>
        </r>
      </text>
    </comment>
    <comment ref="AL132" authorId="0" shapeId="0">
      <text>
        <r>
          <rPr>
            <sz val="10"/>
            <rFont val="Arial"/>
            <family val="2"/>
          </rPr>
          <t>EvaluatePharma® Comment:
Broker is forecasting zero sales.</t>
        </r>
      </text>
    </comment>
    <comment ref="AM132" authorId="0" shapeId="0">
      <text>
        <r>
          <rPr>
            <sz val="10"/>
            <rFont val="Arial"/>
            <family val="2"/>
          </rPr>
          <t>EvaluatePharma® Comment:
Broker is forecasting zero sales.</t>
        </r>
      </text>
    </comment>
    <comment ref="AN132" authorId="0" shapeId="0">
      <text>
        <r>
          <rPr>
            <sz val="10"/>
            <rFont val="Arial"/>
            <family val="2"/>
          </rPr>
          <t>EvaluatePharma® Comment:
Broker is forecasting zero sales.</t>
        </r>
      </text>
    </comment>
    <comment ref="AG133" authorId="0" shapeId="0">
      <text>
        <r>
          <rPr>
            <sz val="10"/>
            <rFont val="Arial"/>
            <family val="2"/>
          </rPr>
          <t>EvaluatePharma® Comment:
MAR17 Discontinued 500mg, 850mg &amp; 1gm tablets in USA.</t>
        </r>
      </text>
    </comment>
    <comment ref="H134" authorId="0" shapeId="0">
      <text>
        <r>
          <rPr>
            <sz val="10"/>
            <rFont val="Arial"/>
            <family val="2"/>
          </rPr>
          <t>Patent Comment:
Patent date refers to patent covering "Amylin agonist peptides and uses thereof" (#5686411), including 1586 days patent extension. NCE exclusivity expires 16 MAR 2010. Source: Amylin Pharmaceuticals 2010 10-K, 2011 Annual report &amp; FDA.</t>
        </r>
      </text>
    </comment>
    <comment ref="Z134" authorId="0" shapeId="0">
      <text>
        <r>
          <rPr>
            <sz val="10"/>
            <rFont val="Arial"/>
            <family val="2"/>
          </rPr>
          <t xml:space="preserve">Company Comment:
Source: Amylin Pharmaceuticals FY 2010 Results (26 JAN 2011):
Total revenue for the year ended December 31, 2010 was $668.8 million. This includes net product sales of $651.1 million, consisting of ... and $91.8 million for SYMLIN. This compares to total revenue of $758.4 million for 2009, including net product sales of $754.0 million consisting of $667.6 million for BYETTA sales in the U.S. and ...
Source: Amylin Pharmaceuticals 2010 10-K, Page 6:
SYMLIN (pramlintide acetate) injection
        SYMLIN is the first and only approved medicine in a new class of compounds called amylinomimetics. We began selling SYMLIN in the United States in April 2005 as adjunctive therapy to mealtime insulin to treat diabetes. Other than insulin and insulin analogues, SYMLIN is the first FDA-approved medication addressing glucose control for patients with type 1 diabetes since the discovery of insulin over 80 years ago. We own 100% of the global rights to SYMLIN which had net product sales of $91.8 million in 2010, $86.4 million in 2009 and $86.8 million in 2008.
        SYMLIN is indicated for use in people treated with insulin alone or, in the case of patients with type 2 diabetes, treated with insulin with or without one or more oral medications to help improve blood glucose control. SYMLIN works with insulin to smooth out the peaks in blood glucose levels to give patients more stable blood glucose levels after meals and throughout the day. SYMLIN also lowers the A1C levels of most patients beyond what insulin alone can achieve. SYMLIN induces satiety, which leads to eating less and weight loss in most patients. In addition, because SYMLIN works with insulin to control blood sugar, patients often need less insulin to achieve desired blood sugar levels after meals.
        SYMLIN is used with insulin and has been associated with an increased risk of insulin-induced severe hypoglycemia. The risk can be reduced by appropriate patient selection, careful patient instruction and insulin dose adjustments. Other adverse effects commonly observed are primarily gastrointestinal, including nausea, which decrease over time in most patients.
        Our SYMLIN marketing is focused on a target physician population of approximately 21,000, with a goal of educating these physicians on SYMLIN, including its mechanisms of action, potential benefits, use considerations and appropriate patient selection for initiating SYMLIN therapy. These physicians write approximately 40% of all insulin prescriptions in the United States. In 2008, we launched the SymlinPen® 120 and the SymlinPen® 60 pen-injector devices for administering SYMLIN. These pre-filled, pen-injector devices feature fixed dosing to improve mealtime glucose control and can be stored at room temperature not to exceed 86 degrees F (30 degrees C) after first use. We have ceased manufacturing and distributing the Symlin vial. Our near-term goal for SYMLIN is to grow SYMLIN prescriptions by highlighting how the product addresses the key unmet needs of patients using mealtime insulin and increase awareness of SYMLIN's potential benefits to these patients.
Company Disclosed competitive Profile:
Source: Amylin Pharmaceuticals 2010 10-K, Page 9:
Pramlintide
        Pramlintide plays an important role in our current obesity development program. Pramlintide has been studied extensively in people with and without diabetes and is the active ingredient in SYMLIN. In February 2006, we reported results from a 16-week Phase 2 dose-ranging study with pramlintide in obese subjects. After completing 16 weeks of treatment with pramlintide in addition to lifestyle intervention, subjects on average experienced an 8.4 to 13.4 pound weight loss from baseline, compared to a 6.2 pound weight loss with placebo plus lifestyle intervention.
        Pramlintide was well tolerated and showed progressive weight loss at doses up to 360 mcg. No new safety signals were observed in this study, which included higher doses than those previously studied in obese subjects. There was clear evidence of a dose response for the twice-daily regimens. Consistent with previous observations, the most common adverse effect was mild nausea. Weight loss in subjects who did not experience nausea was similar to that seen in the overall study population. In October 2006, we reported results from a continuation of this study that demonstrated that patients completing 52 weeks of pramlintide therapy experienced a 7-8% mean body weight reduction, depending upon the dose they received, compared to a 1% reduction in patients receiving placebo.
</t>
        </r>
      </text>
    </comment>
    <comment ref="AA134" authorId="0" shapeId="0">
      <text>
        <r>
          <rPr>
            <sz val="10"/>
            <rFont val="Arial"/>
            <family val="2"/>
          </rPr>
          <t>Company Comment:
Source: Amylin Pharmaceuticals FY 2011 Results (06 FEB 2012):
Total revenues for the twelve months ended December 31, 2011 were $650.7 million. This includes net product sales of $621.6 million, including... $103.9 million for SYMLIN. This compares to net product sales of $651.1 million, consisting of... $91.8 million for SYMLIN for the same period in 2010.</t>
        </r>
      </text>
    </comment>
    <comment ref="AB134" authorId="0" shapeId="0">
      <text>
        <r>
          <rPr>
            <sz val="10"/>
            <rFont val="Arial"/>
            <family val="2"/>
          </rPr>
          <t>EvaluatePharma ® Comment:
9-Aug-2012: Acquired by Bristol Myres.</t>
        </r>
      </text>
    </comment>
    <comment ref="H135" authorId="0" shapeId="0">
      <text>
        <r>
          <rPr>
            <sz val="10"/>
            <rFont val="Arial"/>
            <family val="2"/>
          </rPr>
          <t>Patent Comment:
Patent date refers to US patent "Pharmaceutical compositions containing exendins" (US#7297761). Patent protection also refers to US patent "Pharmaceutical compositions containing exendins" (US#7521423) expiring 15 OCT 2017. Patent protection also refers to "Exendin-3 and exendin-4 polypeptides, and pharmaceutical compositions comprising same" (US#5424286) including 1287 days patent extension expiring 1 DEC 2016. Source: Eli Lilly 2010 &amp; Amylin 2010 10-K, 2011 Annual report, FDA, USPTO.</t>
        </r>
      </text>
    </comment>
    <comment ref="Z135" authorId="0" shapeId="0">
      <text>
        <r>
          <rPr>
            <sz val="10"/>
            <rFont val="Arial"/>
            <family val="2"/>
          </rPr>
          <t>EvaluatePharma® Comment:
SEP 2002 Eli Lilly &amp; Amylin Collaboration:
Amylin book USA sales &amp; Eli Lilly book WW ex. USA sales.
Outside the US, Amylin receives 20% share of Byetta's profit.
See Eli Lilly for WW ex. USA sales.
Company Comment:
Source: Amylin Pharmaceuticals FY 2010 Results (26 JAN 2011):
Total revenue for the year ended December 31, 2010 was $668.8 million. This includes net product sales of $651.1 million, consisting of $559.3 million for BYETTA sales in the U.S. and ... This compares to total revenue of $758.4 million for 2009, including net product sales of $754.0 million consisting of $667.6 million for BYETTA sales in the U.S. and ...
Source: Amylin Pharmaceuticals 2010 10-K, Page 4-5:
BYETTA provides glucose control by augmenting the body's natural physiologic processes, allowing the body to respond to blood glucose changes as they occur. BYETTA directly affects the beta cells' responses to elevated glucose by enhancing insulin secretion; this effect dissipates as glucose levels approach the normal range. BYETTA also restores first-phase insulin response, an effect which is evident following the initial dose. BYETTA is administered twice a day by using a fixed dose injection, and requires no dose adjustments due to changes in meal size or composition, exercise or other variables. No additional glucose monitoring is required with BYETTA therapy.
        The most common adverse effect of BYETTA is mild to moderate nausea, which tends to dissipate with time. Mild to moderate hypoglycemia has also been observed, but this was primarily when used in conjunction with a sulfonylurea, agents that are known to cause hypoglycemia.
        In August 2008, the FDA updated a prior alert for BYETTA referencing pancreatitis. Prescriptions for BYETTA have declined since the first half of 2008. In October 2009, the FDA approved changes to the BYETTA label to incorporate updated safety information, including pancreatitis-related safety language and an expansion of existing language regarding use of BYETTA in patients with renal impairment. We continue to work to better understand the relationship between BYETTA and pancreatitis described in some spontaneously reported cases. In keeping with our focus on patient safety, we continue to pursue our drug safety program that includes thorough investigation of individual spontaneous case reports along with clinical and epidemiologic studies. Within the detection limits of an initial epidemiology study which we provided to the FDA, we have not observed an increased incidence of pancreatitis associated with BYETTA compared to other treatments for diabetes and thus believe a definite causal relationship between BYETTA and pancreatitis has not been proven.
We continue to support initiatives to facilitate the successful initiation of therapy by primary care physicians. This effort includes: increased patient educational material for health care providers to distribute in their offices; a network of approximately 400 diabetes educators to work with physicians and their patients within their local communities; direct support to patients through the BYETTA By Your Side Program, which provides a toll-free number that allows patients to contact trained medical professionals to better understand the benefits of BYETTA therapy and to get assistance starting and using the BYETTA pen; a pharmacy support component partnering with managed care plans designed specifically to assist with patient refills; and a BYETTA website. We believe this support is helpful to patients who may be on their first injectable therapy and to primary care providers who may be less accustomed to treating patients with an injectable product earlier in the disease cycle and who have fewer resources in their offices.
        We have a collaboration agreement with Lilly for the global development and commercialization of exenatide. Lilly co-promotes BYETTA in the United States with us and has primary responsibility for developing and commercializing BYETTA outside the United States, including any sustained-release formulations such as BYDUREON. In late 2010, Lilly obtained approval to market BYETTA in Japan, and by the end of 2010, BYETTA was launched in approximately 70 countries worldwide.
Page 12-13
Lilly Exenatide Collaboration
        We entered into a collaboration agreement with Lilly in 2002 for the global development and commercialization of exenatide, including the twice-daily version, BYETTA, and sustained-release formulations, such as BYDUREON. Under the terms of the agreement, Lilly made initial payments to us, and purchased approximately 1.6 million shares of our common stock. In addition, Lilly has made milestone payments to us upon the achievement of development milestones for BYETTA and BYDUREON and commercial milestones for BYETTA. Lilly is also obligated to make additional future commercial milestone payments to us of up to $70 million contingent upon the commercial launch of BYDUREON in the U.S., Europe and Japan. Under our co-promotion arrangement with Lilly, the parties use approximately equal efforts to co-promote BYETTA within the United States and have agreed to use approximately equal efforts to co-promote sustained-release formulations of exenatide within the United States. Lilly is responsible for commercialization efforts outside the United States. We generally share exenatide United States development and commercialization costs with Lilly equally and we pay Lilly 50% of the operating profits from the sale of products in the United States. Our collaboration agreement may be terminated by Lilly at any time on one years' notice.
        In late 2006, BYETTA was approved in the EU and in late 2010, BYETTA was approved in Japan. By the end of 2010, BYETTA was commercially launched in approximately 70 countries worldwide. Lilly will pay us tiered royalties based upon the annual gross margin for all exenatide product sales, including any sustained-release formulations, outside of the United States. We expect to receive royalty payments from Lilly for exenatide product sales outside the United States after a one-time cumulative gross margin threshold has been met. Lilly is responsible for 100% of the costs related to development of BYETTA and BYDUREON for sale outside of the United States. Lilly is also responsible for 100% of the costs related to commercialization of all exenatide products for sale outside the United States. We record all United States BYETTA product revenues and Lilly records all BYETTA product revenues from outside the United States.
        In October 2008, we entered into an Exenatide Once Weekly Supply Agreement with Lilly pursuant to which we will supply commercial quantities of BYDUREON for sale in the United States, if approved by the FDA. In addition, if Lilly receives approval to market the product in jurisdictions outside the Unites States, we will be required to manufacture the product intended for commercial sale by Lilly in those jurisdictions. We have also entered into a loan agreement with Lilly pursuant to which Lilly will make a $165 million unsecured line of credit available to us that we can draw upon from time to time, at our option, until June 30, 2011, with maturity no later than June 30, 2014.
        In April 2009, we and Lilly amended our collaboration agreement to clarify allocation and reimbursement procedures of certain shared expenses under the agreement. We also agreed to adopt a set of guidelines to govern the working relationship of an integrated medical, development and commercial team for exenatide comprised of Amylin and Lilly employees to be located in San Diego, referred to as Exenatide One.
        In May 2009, we and Lilly entered into a cost allocation agreement which amended the exenatide development and commercialization cost-sharing provisions contained in our collaboration agreement. Under the terms of the cost allocation agreement, Lilly will be responsible for 53% of shared exenatide global development and commercialization expenses that generate utility in the United States and outside the United States, including global manufacturing development expenses. We will be responsible for 47% of these expenses. Lilly will also assume 100% of all exenatide development expenses that generate utility predominately outside the United States. Under the previous cost-sharing arrangement, Amylin was responsible for 20% of these expenses. The royalty structure for exenatide revenues generated outside the United States was also modified to reflect Lilly's revised expense burden, with a reduction in Lilly's royalty payments to us. Under the cost allocation agreement, we and
Lilly will continue to share equally all exenatide development and commercialization expenses that generate utility predominately in the United States.
Company Dislcosed Competitive Profile:
Source: Amylin Pharmaceuticals 2010 10-K, Page 4-5:
        BYETTA is the first approved medicine in a class of compounds called glucagon-like peptide-1 (GLP-1) receptor agonists. It is approved as a first-line, stand-alone medication (monotherapy) along with diet and exercise to improve glycemic control in adults with type 2 diabetes. BYETTA is also approved as an adjunctive therapy to improve glycemic control in patients with type 2 diabetes who have not achieved adequate glycemic control by using metformin, a sulfonylurea and/or a thiazolidinediene (TZD), three common oral therapies for type 2 diabetes. We recently submitted a sNDA to the FDA for expanded use of BYETTA as an add-on to basal insulin and expect a response from the FDA in 2011. The type 2 diabetes treatment guidelines of the American Diabetes Association, or ADA, the European Association for the Study of Diabetes, or EASD, and the American Association of Clinical Endocrinologists, or AACE, include the GLP-1 receptor agonist class, which includes BYETTA, as a secondary treatment option for type 2 diabetes patients.
In December 2010, we submitted an sNDA to the FDA for the expanded use of BYETTA as an add-on therapy to basal insulin for adults with type 2 diabetes who are not achieving adequate glycemic control. We expect to receive a response from the FDA regarding our sNDA by the end of 2011. The sNDA is based on a double-blind, placebo-controlled clinical study evaluating BYETTA added to Lantus® (insulin glargine) which showed many otherwise hard-to-treat patients with type 2 diabetes achieved A1C control without weight gain or increasing their risk of hypoglycemia. A total of 261 patients receiving insulin glargine, with or without oral agents, were randomized to receive BYETTA or placebo in addition to aggressive insulin titration. After 30 weeks of treatment, A1C on average decreased by 1.7 percentage points in patients adding BYETTA, compared with a decrease of 1.0 percentage point in patients receiving placebo with their insulin alone. Both treatment groups showed lower fasting plasma glucose concentrations; however, after morning and evening meals, when BYETTA was administered, postprandial glucose control was significantly improved with BYETTA compared to placebo. On average, weight decreased by four pounds in patients adding BYETTA, compared with an increase of two pounds in patients treated with insulin alone. The greater improvement in A1C with BYETTA was not accompanied by an increase in hypoglycemia, compared to placebo. Nausea was the most common adverse event during the 30-week treatment period and decreased over time.</t>
        </r>
      </text>
    </comment>
    <comment ref="AA135" authorId="0" shapeId="0">
      <text>
        <r>
          <rPr>
            <sz val="10"/>
            <rFont val="Arial"/>
            <family val="2"/>
          </rPr>
          <t>EvaluatePharma® Comment:
SEP 2002 Eli Lilly &amp; Amylin Collaboration:
Amylin book USA sales &amp; Eli Lilly book WW ex. USA sales.
Outside the US, Amylin receives 20% share of Byetta's profit.
See Eli Lilly for WW ex. USA sales.
Company Comment:
Source: Amylin Pharmaceuticals FY 2011 Results (06 FEB 2012):
Total revenues for the twelve months ended December 31, 2011 were $650.7 million. This includes net product sales of $621.6 million, including $517.7 million for BYETTA... This compares to net product sales of $651.1 million, consisting of $559.3 million for BYETTA...for the same period in 2010.
Source: Amylin Pharmaceuticals 2011 Annual report, Page 4:
We stabilized revenue for BYETTA in the face of intense competition in an expanding GLP-1 receptor agonist market. In one important component of our future growth strategy, in October 2011, we received approval from the U.S. Food and Drug Administration (FDA) for BYETTA as an add-on therapy to insulin glargine. As a result, BYETTA now has the broadest label of any GLP-1 receptor agonist, and has become an important therapeutic option for people with T2D who are not achieving adequate glycemic control on insulin glargine alone. BYETTA was launched in approximately 10 new markets during 2011, allowing a growing number of patients in approximately 80 countries to take advantage of the important benefits of this therapy.
Page 99:
In 2011 and early 2012, we executed on key initiatives for the company, including: • Regaining 100% of the global rights to develop and commercialize our exenatide franchise, including BYDUREON and BYETTA, from Eli Lilly and Company and entering into discussions with potential new partners with global capabilities to develop and commercialize exenatide outside the United States; • Obtaining approval in the United States of BYETTA for use with insulin glargine. BYETTA is currently the only shortacting glucagon-like peptide-1, or GLP-1, receptor agonist approved in the United States for use as an add-on therapy to insulin glargine in patients with type 2 diabetes;
Page 103: 
We have an agreement with Eli Lilly and Company, or Lilly, that provides for the transition of development and commercialization activities for exenatide outside the United States no later than December 31, 2013 or at such later date if (i) mutually agreed by us and Lilly in the event such transition has not occurred by December 31, 2013 or (ii) in certain circumstances as set forth in our transition agreement with Lilly. We are currently in discussions with various companies with the goal of transitioning these exenatide responsibilities to one or more partners prior to such date. By the end of 2011, BYETTA was approved in 87 countries and launched in approximately 80 countries worldwide.</t>
        </r>
      </text>
    </comment>
    <comment ref="AB135" authorId="0" shapeId="0">
      <text>
        <r>
          <rPr>
            <sz val="10"/>
            <rFont val="Arial"/>
            <family val="2"/>
          </rPr>
          <t>EvaluatePharma ® Comment:
9-Aug-2012: Acquired by Bristol Myres.</t>
        </r>
      </text>
    </comment>
    <comment ref="H136" authorId="0" shapeId="0">
      <text>
        <r>
          <rPr>
            <sz val="10"/>
            <rFont val="Arial"/>
            <family val="2"/>
          </rPr>
          <t>Patent Comment:
Patent date refers to US patent "Polymer-based sustained release device" (US#7456254). Patent protection refers to US patent "Polymer-based sustained release device" (US#7563871) expiring on 15-APR-2024 &amp; (US#7612176 &amp; US#8431685) expiring on 13-APR-2025. Patent protection also refers to "Residual solvent extraction method and microparticles produced thereby" (US#6824822) expiring on 9-OCT-2022 &amp; (US#7223440) expiring on 31-AUG-2021. RoW expiry refers to European patent. NCE exclusivity expiring on 27-JAN-2015. Source: Alkermes 2011 10-K, FDA, USPTO &amp; 12 JAN 2012 Presentation.</t>
        </r>
      </text>
    </comment>
    <comment ref="Z136" authorId="0" shapeId="0">
      <text>
        <r>
          <rPr>
            <sz val="10"/>
            <rFont val="Arial"/>
            <family val="2"/>
          </rPr>
          <t xml:space="preserve">EvaluatePharma Comment:
SEP 2002 Eli Lilly &amp; Amylin Collaboration:
Amylin book USA sales &amp; Eli Lilly book WW ex. USA sales.
Outside the US, Amylin receives 20% share of Byetta's profit.
See Eli Lilly for WW ex. USA sales.
Company Disclosed Competitive Profile:
Source: Eli Lilly 2010 10-K, Page 18:
Bydureon™—U.S.    In October 2010, the FDA issued a complete response letter regarding the New Drug Application (NDA) for Bydureon. In the complete response letter, the FDA requested a safety study to measure the potential for heart rhythm disturbances when exenatide is used at higher-than-average doses. Additionally, the FDA requested the results of the already completed DURATION-5 study to evaluate the efficacy, and the labeling of the safety and effectiveness, of the commercial formulation of Bydureon. We, along with our partners Amylin Pharmaceuticals, Inc. (Amylin) and Alkermes, Inc. (Alkermes), plan to submit our reply to the complete response letter in the second half of 2011. Amylin received written feedback from the FDA indicating approval of the study design for the required safety study to support the regulatory application. The study is expected to begin in February. Based on the requirements for additional data, this will likely be considered a Class 2 resubmission requiring a six-month review.
Bydureon—Europe.    We, along with our partners Amylin and Alkermes, submitted Bydureon for review by the European Medicines Agency in the first quarter of 2010.
Source: Amylin Pharmaceuticals 2010 10-K, Page 1-2:
        In 2010 and early 2011, we executed on key initiatives for the company including:
•
initiated the required thorough QT, or tQT, study to support the regulatory application for BYDUREON and expect to submit our response to the United States Food and Drug Administration's, or FDA, second BYDUREON complete response letter in the second half of 2011;
•
submitted a supplemental New Drug Application, or sNDA, to the FDA for the expanded use of BYETTA as an add-on therapy to basal insulin;
•
submitted the initial sections of a rolling submission for a Biologics License Application, or BLA, to the FDA for the use of metreleptin to treat diabetes and/or hypertriglyceridemia (high levels of triglycerides in the bloodstream) in patients with lipodystrophy;
•
announced results from DURATION-4, a head-to-head study that compared BYDUREON monotherapy to Januvia® (sitagliptin), Actos® (pioglitazone HCI) or metformin. Results demonstrated that BYDUREON efficacy and tolerability profile extended to monotherapy treatment;
•
initiated the DURATION-6 clinical study, a head-to-head comparison of BYDUREON to Victoza® (liraglutide), a glucagon-like peptide-1, or GLP-1, analog , with results expected in the first half of 2011;
•
initiated our EXSCEL (Exenatide Study of Cardiovascular Event Lowering) cardiovascular outcomes study for BYDUREON, with results expected in approximately 2016; and
announced, with our partner Takeda Pharmaceutical Company Limited, or Takeda, that we will advance the combination treatment of pramlintide/metreleptin for obesity toward phase 3 development.
        In 2011 we will continue our efforts to expand the indication for BYETTA and target new market segments for this product. We also plan to work toward increasing patient awareness and adherence of SYMLIN. In the near-term, we will continue to work with the FDA to gain approval for BYDUREON and will continue our efforts to build a superior profile for BYDUREON by completing the DURATION-6 clinical trial mentioned above. We also plan to continue making strategic investments in the exenatide franchise including the development of a BYDUREON pen delivery system and an exenatide suspension formulation that could enable monthly administration of exenatide.
Page 7-8
BYDUREON (exenatide extended-release for injectable suspension)
        BYDUREON is our late stage development program in diabetes. BYDUREON combines exenatide, the active ingredient in BYETTA, with proprietary technology developed by us and our partner, Alkermes, Inc., or Alkermes, to provide a sustained release delivery of exenatide. The combination of potency and the glucose-dependent mechanism of action inherent in exenatide makes it well suited to development of a once weekly formulation. We have an agreement with Alkermes to assist us in the development, manufacture and commercialization of BYDUREON and this program is included in our collaboration agreement with Lilly. We are aggressively working with Lilly and Alkermes to develop BYDUREON and to bring it to market as soon as possible.
        In May 2009, we submitted a New Drug Application, or NDA, for BYDUREON to the FDA and in March 2010 we received a complete response letter from the FDA regarding the NDA. The key components of the complete response letter related primarily to finalization of product labeling with an accompanying Risk Evaluation and Mitigation Strategy, or REMS, and clarification of proprietary manufacturing process. The complete response letter did not contain any requests for additional pre-clinical or clinical trials. We filed our response to the complete response letter in April 2010 and in May 2010 the FDA notified us that they had assigned a new Prescription Drug User Fee Act, or PDUFA, target action date of October 22, 2010.
        On October 18, 2010, we received a second complete response letter from the FDA for BYDUREON in which the FDA requested a tQT study designed to evaluate exposures of exenatide higher than typical therapeutic levels achieved with BYDUREON administration. A tQT study is intended to determine whether a drug has an adverse pharmacologic effect on cardiac repolarization, as assessed by QT/QTc prolongation. In January 2011, we received written feedback from the FDA indicating approval of the tQT study design and we initiated the study in February 2011. In addition, the FDA has requested the results of our DURATION-5 study, a head-to-head study comparing BYDUREON to BYETTA that was completed in the fourth quarter of 2009, to evaluate the efficacy, and the labeling of the safety and effectiveness of the commercial formulation of BYDUREON. Our goal is to complete the tQT study and submit a reply to the FDA's second complete response letter in the second half of 2011. Based on the requirements for additional data, we believe this will likely be considered a Class 2 resubmission requiring a six-month FDA review.
        In October 2007, we announced positive results from our DURATION-1 pivotal comparator study comparing treatment with BYDUREON to treatment with BYETTA over a 30-week period. BYDUREON showed a statistically significant improvement in A1C of approximately 1.9% from baseline, compared to an improvement of approximately 1.5% for BYETTA. In June 2008, we announced results from the extension phase of DURATION-1 showing durable efficacy of BYDUREON over 52-weeks. In this extension phase, patients either remained on BYDUREON or switched from BYETTA to BYDUREON for an additional 22 weeks. Patients taking BYDUREON over the course of one year sustained a similar improvement in glucose control of 2.0% lower A1C and lower fasting plasma glucose from baseline compared to those receiving treatment for 30 weeks who achieved 1.9% lower A1C from baseline.
        In March 2009 and July 2009, we announced positive results from our DURATION-2 and DURATION-3 studies, respectively, the second and third in a series of six such studies designed to test the superiority of BYDUREON compared to other diabetes therapies. In DURATION-2, BYDUREON demonstrated superior glucose control with weight loss and no increase in hypoglycemia compared to maximum doses of Januvia® or Actos®. In DURATION-3, BYDUREON demonstrated superior glucose control with weight loss and with less hypoglycemia compared to insulin glargine (Lantus®). In December 2009, we announced results from DURATION-5, a head-to-head study comparing BYDUREON to BYETTA. In DURATION-5, patients taking BYDUREON experienced a statistically superior reduction in A1C compared to BYETTA. In June 2010, we announced results from our DURATION-4 study, a head-to-head study that compared BYDUREON monotherapy to Januvia®, Actos® or metformin. Results from DURATION-4 demonstrated that BYDUREON efficacy and tolerability profile extended to monotherapy treatment. In early 2010, we initiated our DURATION-6 clinical study, a head-to-head comparison of BYDUREON to Victoza®. We expect to report the results of this study in the first half of 2011.
        At the end of 2010, we published data from a retrospective, real-world analysis of over 400,000 type 2 diabetes patient outcomes which showed that BYETTA was associated with a 14-20% reduction in the risk of cardiovascular events. Given the positive effects on cardiovascular outcomes observed with exenatide in this study, the beneficial effects observed in clinical trials of exenatide on markers of cardiovascular risk, and the current regulatory interest in cardiovascular outcomes, in 2010 we and Lilly initiated our EXSCEL cardiovascular outcomes trial with a superiority design that will evaluate the effects of BYDUREON on major cardiovascular events, compared to standard of care with traditional antidiabetes medications. This study will give us the opportunity to demonstrate the effect of BYDUREON on cardiovascular outcomes and other end points of interest to our stakeholders. We do not believe this study will be a requirement for BYDUREON approval. We expect results from this study to be available in 2016.
        We and Lilly are developing BYDUREON in a dual chamber cartridge pen configuration. We believe this design will enhance the convenience for patients, allowing them to mix and administer BYDUREON from a pre-filled pen device. We and Lilly are also evaluating the efficacy, pharmacokinetics, tolerability and safety of an exenatide suspension formulation that would eliminate the need to reconstitute the product prior to use. We are currently conducting a phase 2 study to evaluate the potential for the use of this exenatide suspension formulation for once monthly treatment in patients with type 2 diabetes and expect data from this study in the first half of 2011.
</t>
        </r>
      </text>
    </comment>
    <comment ref="AA136" authorId="0" shapeId="0">
      <text>
        <r>
          <rPr>
            <sz val="10"/>
            <rFont val="Arial"/>
            <family val="2"/>
          </rPr>
          <t>EvaluatePharma® Comment:
Profit share From Eli Lilly.
Company Disclosed Competitive Profile:
Source: Amylin Pharmaceuticals 2011 Annual report, Page 5:
We also plan to initiate the phase 3 program for the exenatide weekly suspension formulation in the middle of this year and the phase 3 program for the exenatide monthly suspension formulation in 2013.
Pages 99-100:
In 2011 and early 2012, we executed on key initiatives for the company, including: • Obtaining approval for BYDUREON in the United States in January 2012 and the European Union in June 2011. BYDUREON is currently approved by regulatory authorities in 33 countries and is being marketed in 12 countries worldwide in which we have also received pricing and reimbursement decisions; • Regaining 100% of the global rights to develop and commercialize our exenatide franchise, including BYDUREON and BYETTA, from Eli Lilly and Company and entering into discussions with potential new partners with global capabilities to develop and commercialize exenatide outside the United States;
In 2012, we will continue our BYDUREON launch efforts and will work toward securing a development and commercialization partner with global capabilities for our exenatide franchise. We also plan to advance our metreleptin program for the treatment of lipodystophy, a very rare metabolic condition, and to advance our once-weekly and once-monthly exenatide suspension programs. We will continue our efforts to develop and obtain approval for the BYDUREON pen with the goal of making the BYDUREON pen delivery system available to patients in late 2012 or early 2013. In the near term, we will also focus on maximizing the financial contributions from BYETTA and SYMLIN and continue to operate our business with financial discipline.
Page 103: 
We are developing a dual chamber cartridge pen configuration of BYDUREON. We believe this design will further simplify dosing for patients, allowing them to mix and administer BYDUREON from a pre-filled pen device. We currently plan to seek FDA approval for the BYDUREON pen during 2012 with a projected launch by the end of 2012 or the first quarter of 2013.</t>
        </r>
      </text>
    </comment>
    <comment ref="AB136" authorId="0" shapeId="0">
      <text>
        <r>
          <rPr>
            <sz val="10"/>
            <rFont val="Arial"/>
            <family val="2"/>
          </rPr>
          <t>EvaluatePharma ® Comment:
9-Aug-2012: Acquired by Bristol Myres.</t>
        </r>
      </text>
    </comment>
    <comment ref="AD137" authorId="0" shapeId="0">
      <text>
        <r>
          <rPr>
            <sz val="10"/>
            <rFont val="Arial"/>
            <family val="2"/>
          </rPr>
          <t>EvalautePharma® comment:
Co-Promotion deal to be terminated on 31Mar2014.Suzuken Group to solely promote product in Japan Apr14 onwards.</t>
        </r>
      </text>
    </comment>
    <comment ref="AF138" authorId="0" shapeId="0">
      <text>
        <r>
          <rPr>
            <sz val="10"/>
            <rFont val="Arial"/>
            <family val="2"/>
          </rPr>
          <t>Evaluate Pharma® Comment:
On 2 Aug 2016: Acquired by Teva Pharmaceuticals.</t>
        </r>
      </text>
    </comment>
    <comment ref="AF139" authorId="0" shapeId="0">
      <text>
        <r>
          <rPr>
            <sz val="10"/>
            <rFont val="Arial"/>
            <family val="2"/>
          </rPr>
          <t>Evaluate Pharma® Comment:
On 2 Aug 2016: Acquired by Teva Pharmaceuticals.</t>
        </r>
      </text>
    </comment>
    <comment ref="AF140" authorId="0" shapeId="0">
      <text>
        <r>
          <rPr>
            <sz val="10"/>
            <rFont val="Arial"/>
            <family val="2"/>
          </rPr>
          <t>Evaluate Pharma® Comment:
On 2 Aug 2016: Acquired by Teva Pharmaceuticals.</t>
        </r>
      </text>
    </comment>
    <comment ref="AF141" authorId="0" shapeId="0">
      <text>
        <r>
          <rPr>
            <sz val="10"/>
            <rFont val="Arial"/>
            <family val="2"/>
          </rPr>
          <t>Evaluate Pharma® Comment:
On 2 Aug 2016: Acquired by Teva Pharmaceuticals.</t>
        </r>
      </text>
    </comment>
    <comment ref="H142" authorId="0" shapeId="0">
      <text>
        <r>
          <rPr>
            <sz val="10"/>
            <rFont val="Arial"/>
            <family val="2"/>
          </rPr>
          <t>Patent Comment:
Patent date covers US compound patent (#5002953), incl. patent term restoration under Hatch-Waxman Act &amp; paed ext.; EU patent exp. 2013. NCE exp. MAY04. Formulation patent (#5741803) exp. 21-OCT-15 (exp. '14 EU), incl. paed ext. &amp; use in Type II diabetes (#6288095) exp. 11-AUG-17, incl. paed ext. JUL10 Settled product liability cases. Source: 15 JUL 2010 press release, FDA, press &amp; 2009 Annual Report.</t>
        </r>
      </text>
    </comment>
    <comment ref="Z142" authorId="0" shapeId="0">
      <text>
        <r>
          <rPr>
            <sz val="10"/>
            <rFont val="Arial"/>
            <family val="2"/>
          </rPr>
          <t>EvaluatePharma® Comment:
Sales represent total Avandia products. 
GSK disclose Avandia, Avandamet &amp; Avandaryl/Avaglim sales of +£440m in 2010.
Company Comment:
Source: GlaxoSmithKline YE 2010 Results (3 Feb 2011):
Avandia sales declined by 44% to £440 million. On 23rd September 2010 the European Medicines Agency suspended marketing authorisation for all Avandia containing products and the US Food and Drug Administration announced additional measures to ensure continued safe use of Avandia, including a Risk Evaluation and Mitigation Strategy (REMS) programme. As a result, GSK expects global sales of Avandia containing products to be minimal in the future.</t>
        </r>
      </text>
    </comment>
    <comment ref="AA142" authorId="0" shapeId="0">
      <text>
        <r>
          <rPr>
            <sz val="10"/>
            <rFont val="Arial"/>
            <family val="2"/>
          </rPr>
          <t>EvaluatePharma® Comment:
Sales represent total Avandia products. 
GSK disclose Avandia, Avandamet &amp; Avandaryl/Avaglim sales of +£123m in 2011.
Company Comment:
Source: GlaxoSmithKline FY 2011 Results (7 FEB 2012):
Reported Group turnover fell 3% to £27,387 million, with Pharmaceuticals and Vaccines down 4% (Pharmaceuticals down 1%, Vaccines down 19%) to £22,192 million and Consumer Healthcare sales up 5% to £5,195 million. Sales of pandemic related products, Avandia and Valtrex declined from £2,285 million in 2010 to £507 million in 2011. This had a significant adverse impact on reported Pharmaceuticals and Vaccines sales growth in all regions.
The decline in Metabolic sales primarily reflected the loss of sales of Avandia...</t>
        </r>
      </text>
    </comment>
    <comment ref="AB142" authorId="0" shapeId="0">
      <text>
        <r>
          <rPr>
            <sz val="10"/>
            <rFont val="Arial"/>
            <family val="2"/>
          </rPr>
          <t xml:space="preserve">EvaluatePharma® Comment:
Sales represent total Avandia products. 
GSK disclose Avandia, Avandamet &amp; Avandaryl/Avaglim sales of +£6m in 2012.
Company Comment:
Source: GlaxoSmithKline FY 2012 Results (6 FEB 2013):
The decline in Metabolic product sales continued to reflect the loss of sales of Avandia…
</t>
        </r>
      </text>
    </comment>
    <comment ref="H143" authorId="0" shapeId="0">
      <text>
        <r>
          <rPr>
            <sz val="10"/>
            <rFont val="Arial"/>
            <family val="2"/>
          </rPr>
          <t>Patent Comment:
Patent date covers US compound patent for rosiglitazone (#5002953), incl. patent term restoration under the Hatch-Waxman Act &amp; paed. ext.; European patent exp. 2013. Patent protection covers use for treatment of type 2 diabetes (#6288095), exp. 11-FEB-2017. Other usage patents exp. 2008-2016 (#5002953 exp. 30-AUG-08, #5741803 exp. 21-APR-15 &amp; #5965584 &amp; #6166042 exp. 19-JUN-16). NCE exclusivity expires 25-MAY-04. MAY14 Teva received ANDA approval for generic of Avandamet. Source: 2009 Annual Report, FDA &amp; analyst report.</t>
        </r>
      </text>
    </comment>
    <comment ref="Z143" authorId="0" shapeId="0">
      <text>
        <r>
          <rPr>
            <sz val="10"/>
            <rFont val="Arial"/>
            <family val="2"/>
          </rPr>
          <t xml:space="preserve">EvaluatePharma® Comment:
Sales represent total Avandia products. 
GSK disclose Avandia, Avandamet &amp; Avandaryl/Avaglim sales of +£440m in 2010.
Company Comment:
Source: GlaxoSmithKline YE 2010 Results (3 Feb 2011):
Avandia sales declined by 44% to £440 million. On 23rd September 2010 the European Medicines Agency suspended marketing authorisation for all Avandia containing products and the US Food and Drug Administration announced additional measures to ensure continued safe use of Avandia, including a Risk Evaluation and Mitigation Strategy (REMS) programme. As a result, GSK expects global sales of Avandia containing products to be minimal in the future.
</t>
        </r>
      </text>
    </comment>
    <comment ref="AA143" authorId="0" shapeId="0">
      <text>
        <r>
          <rPr>
            <sz val="10"/>
            <rFont val="Arial"/>
            <family val="2"/>
          </rPr>
          <t>EvaluatePharma® Comment:
Sales represent total Avandia products. 
GSK disclose Avandia, Avandamet &amp; Avandaryl/Avaglim sales of +£123m in FY 2011 Results (7 FEB 2012).</t>
        </r>
      </text>
    </comment>
    <comment ref="AB143" authorId="0" shapeId="0">
      <text>
        <r>
          <rPr>
            <sz val="10"/>
            <rFont val="Arial"/>
            <family val="2"/>
          </rPr>
          <t>EvaluatePharma® Comment:
Sales represent total Avandia products. 
GSK disclose Avandia, Avandamet &amp; Avandaryl/Avaglim sales of +£6m in FY 2012 Results (6 FEB 2013).</t>
        </r>
      </text>
    </comment>
    <comment ref="H144" authorId="0" shapeId="0">
      <text>
        <r>
          <rPr>
            <sz val="10"/>
            <rFont val="Arial"/>
            <family val="2"/>
          </rPr>
          <t>Patent Comment:
Patent date refers to combination of novel compounds (US#5002953), including 6-month paediatric exclusivity extension; European patent exp. 2013. Patent protection also covers substituted thiazolidinedione derivatives (#57418038*PED), including 6 month paediatric exclusivity, expiring 21-OCT-2015. MAY07 GSK file infringement suit against Teva's ANDA. Source: 2007 Annual Report, FDA &amp; US PTO.</t>
        </r>
      </text>
    </comment>
    <comment ref="Z144" authorId="0" shapeId="0">
      <text>
        <r>
          <rPr>
            <sz val="10"/>
            <rFont val="Arial"/>
            <family val="2"/>
          </rPr>
          <t xml:space="preserve">EvaluatePharma® Comment:
Sales represent total Avandia products. 
GSK disclose Avandia, Avandamet &amp; Avandaryl/Avaglim sales of +£440m in 2010.
Company Comment:
Source: GlaxoSmithKline YE 2010 Results (3 Feb 2011):
Avandia sales declined by 44% to £440 million. On 23rd September 2010 the European Medicines Agency suspended marketing authorisation for all Avandia containing products and the US Food and Drug Administration announced additional measures to ensure continued safe use of Avandia, including a Risk Evaluation and Mitigation Strategy (REMS) programme. As a result, GSK expects global sales of Avandia containing products to be minimal in the future.
</t>
        </r>
      </text>
    </comment>
    <comment ref="AA144" authorId="0" shapeId="0">
      <text>
        <r>
          <rPr>
            <sz val="10"/>
            <rFont val="Arial"/>
            <family val="2"/>
          </rPr>
          <t>EvaluatePharma® Comment:
Sales represent total Avandia products. 
GSK disclose Avandia, Avandamet &amp; Avandaryl/Avaglim sales of +£123m in FY 2011 Results (7 FEB 2012).</t>
        </r>
      </text>
    </comment>
    <comment ref="AB144" authorId="0" shapeId="0">
      <text>
        <r>
          <rPr>
            <sz val="10"/>
            <rFont val="Arial"/>
            <family val="2"/>
          </rPr>
          <t>EvaluatePharma® Comment:
Sales represent total Avandia products. 
GSK disclose Avandia, Avandamet &amp; Avandaryl/Avaglim sales of +£6m in FY 2012 Results (6 FEB 2013).</t>
        </r>
      </text>
    </comment>
    <comment ref="AE146" authorId="0" shapeId="0">
      <text>
        <r>
          <rPr>
            <sz val="10"/>
            <rFont val="Arial"/>
            <family val="2"/>
          </rPr>
          <t>EvaluatePharma® Comment:
SEP15 Product acquired by Endo International through company acquisition.</t>
        </r>
      </text>
    </comment>
    <comment ref="AE147" authorId="0" shapeId="0">
      <text>
        <r>
          <rPr>
            <sz val="10"/>
            <rFont val="Arial"/>
            <family val="2"/>
          </rPr>
          <t>EvaluatePharma® Comment:
SEP15 Product acquired by Endo International through company acquisition.</t>
        </r>
      </text>
    </comment>
    <comment ref="AC148" authorId="0" shapeId="0">
      <text>
        <r>
          <rPr>
            <sz val="10"/>
            <rFont val="Arial"/>
            <family val="2"/>
          </rPr>
          <t>EvaluatePharma® Comment:
Figure represents sales for the 15 months period ended March 2014.</t>
        </r>
      </text>
    </comment>
    <comment ref="AE148" authorId="0" shapeId="0">
      <text>
        <r>
          <rPr>
            <sz val="10"/>
            <rFont val="Arial"/>
            <family val="2"/>
          </rPr>
          <t>EvaluatePharma® Comment:
MAR15 Product acquired by Sun Pharmaceutical Industries through company acquisition.</t>
        </r>
      </text>
    </comment>
    <comment ref="H149" authorId="0" shapeId="0">
      <text>
        <r>
          <rPr>
            <sz val="10"/>
            <rFont val="Arial"/>
            <family val="2"/>
          </rPr>
          <t>Patent Comment:
Patent date refers to first generic launch by Lupin. Patent protection refers to "Controlled release dosage forms" (US#7780987 &amp; US#8323692). RoW expiry refers to Canadian patent which expires in 2023. Patent protection refers to "Optimal polymer mixtures for gastric retentive tablets (US#6723340) exp. on 25-OCT-2021. Patent protection also refers to "Tablet shapes to enhance gastric retention of swellable CR oral dosage forms" (US#6488962) exp. on 20 JUN 2020 &amp; "Extending duration of drug release within stomach during the fed mode" (US#6340475 &amp; US#6635280) exp. on 19 SEP 2016. Source: 10 JAN 2017 Presentation, PDL BioPharma 2014 10-K, 2014 &amp; 2011 10-K, Santarus 2011 10-K, US PTO, FDA, Press release.</t>
        </r>
      </text>
    </comment>
    <comment ref="Z149" authorId="0" shapeId="0">
      <text>
        <r>
          <rPr>
            <sz val="10"/>
            <rFont val="Arial"/>
            <family val="2"/>
          </rPr>
          <t xml:space="preserve">Company Comment:
Source: Depomed 2010 10-K, Page 9:
In June 2010, we conducted a voluntary class 2 recall of fifty-two lots of 500mg Glumetza product from wholesalers due to the presence of trace amounts of a chemical called 2,4,6-tribromoanisole (TBA) in bottles containing 500mg Glumetza tablets. We cooperated with the FDA and our contract manufacturer on the recall. In June 2010, we temporarily suspended product shipments of 500mg Glumetza product to our customers. We resumed shipments of the 500mg Glumetza to customers in January 2011. The 1000mg Glumetza product was not subject to the recall.
Source: Depomed FY 2010 Results (3 MAR 2011):
Total revenue for the year-ended December 31, 2010 was $80.8 million compared to $57.7 million for the year-ended December 31, 2009. The increase in revenue in 2010 was the result of increases in Glumetza product sales and revenues related to our collaborative arrangements with Abbott Products, Janssen and Covidien.
Glumetza product sales were $11.5 million and $45.5 million for the fourth quarter and year-ended December 31, 2010, as compared to $9.8 million and $34.6 million for the corresponding periods in 2009. 
</t>
        </r>
      </text>
    </comment>
    <comment ref="AB149" authorId="0" shapeId="0">
      <text>
        <r>
          <rPr>
            <sz val="10"/>
            <rFont val="Arial"/>
            <family val="2"/>
          </rPr>
          <t>EvaluatePharma® Comment:
Santarus to record revenue from Glumetza sales in US effective 1 SEP 2011 &amp; over next few months. Santarus to pay Depomed royalties on net sales of 26.5% in 2011, 29.5% in 2012, 32.0% in 2013 &amp; 2014, 34.5% in 2015 &amp; beyond.
Company Comment:
Source: Depomed FY 2012 Results (20 FEB 2013):
...The decrease in revenues for the year ended December 31, 2012 was primarily due to the recognition of a $48 million milestone payment from Abbott in 2011 related to FDA approval of Gralise and our restructured Glumetza agreement with Santarus.</t>
        </r>
      </text>
    </comment>
    <comment ref="AC149" authorId="0" shapeId="0">
      <text>
        <r>
          <rPr>
            <sz val="10"/>
            <rFont val="Arial"/>
            <family val="2"/>
          </rPr>
          <t>EvaluatePharma® Comment:
From Valeant Pharmaceuticals International: Canada 6% royalty. From LG Life Sciences: S. Korea royalty; USA (Santarus have USA co-promotion option).</t>
        </r>
      </text>
    </comment>
    <comment ref="AD149" authorId="0" shapeId="0">
      <text>
        <r>
          <rPr>
            <sz val="10"/>
            <rFont val="Arial"/>
            <family val="2"/>
          </rPr>
          <t>EvaluatePharma® Comment:
From Valeant Pharmaceuticals International: Canada 6% royalty. From LG Life Sciences: S. Korea royalty; USA (Santarus have USA co-promotion option).</t>
        </r>
      </text>
    </comment>
    <comment ref="AE149" authorId="0" shapeId="0">
      <text>
        <r>
          <rPr>
            <sz val="10"/>
            <rFont val="Arial"/>
            <family val="2"/>
          </rPr>
          <t>EvaluatePharma® Comment:
From Valeant Pharmaceuticals International: Canada 6% royalty. From LG Life Sciences: S. Korea royalty; USA (Santarus have USA co-promotion option).</t>
        </r>
      </text>
    </comment>
    <comment ref="AF149" authorId="0" shapeId="0">
      <text>
        <r>
          <rPr>
            <sz val="10"/>
            <rFont val="Arial"/>
            <family val="2"/>
          </rPr>
          <t>EvaluatePharma® Comment:
From Valeant Pharmaceuticals International: Canada 6% royalty. From LG Life Sciences: S. Korea royalty; USA (Santarus have USA co-promotion option).</t>
        </r>
      </text>
    </comment>
    <comment ref="AG149" authorId="0" shapeId="0">
      <text>
        <r>
          <rPr>
            <sz val="10"/>
            <rFont val="Arial"/>
            <family val="2"/>
          </rPr>
          <t>EvaluatePharma® Comment:
From Valeant Pharmaceuticals International: Canada 6% royalty. From LG Life Sciences: S. Korea royalty; USA (Santarus have USA co-promotion option).</t>
        </r>
      </text>
    </comment>
    <comment ref="AH149" authorId="0" shapeId="0">
      <text>
        <r>
          <rPr>
            <sz val="10"/>
            <rFont val="Arial"/>
            <family val="2"/>
          </rPr>
          <t>EvaluatePharma® Comment:
From Valeant Pharmaceuticals International: Canada 6% royalty. From LG Life Sciences: S. Korea royalty; USA (Santarus have USA co-promotion option).</t>
        </r>
      </text>
    </comment>
    <comment ref="AI149" authorId="0" shapeId="0">
      <text>
        <r>
          <rPr>
            <sz val="10"/>
            <rFont val="Arial"/>
            <family val="2"/>
          </rPr>
          <t>EvaluatePharma® Comment:
From Valeant Pharmaceuticals International: Canada 6% royalty. From LG Life Sciences: S. Korea royalty; USA (Santarus have USA co-promotion option).</t>
        </r>
      </text>
    </comment>
    <comment ref="AJ149" authorId="0" shapeId="0">
      <text>
        <r>
          <rPr>
            <sz val="10"/>
            <rFont val="Arial"/>
            <family val="2"/>
          </rPr>
          <t>EvaluatePharma® Comment:
From Valeant Pharmaceuticals International: Canada 6% royalty. From LG Life Sciences: S. Korea royalty; USA (Santarus have USA co-promotion option).</t>
        </r>
      </text>
    </comment>
    <comment ref="AK149" authorId="0" shapeId="0">
      <text>
        <r>
          <rPr>
            <sz val="10"/>
            <rFont val="Arial"/>
            <family val="2"/>
          </rPr>
          <t>EvaluatePharma® Comment:
From Valeant Pharmaceuticals International: Canada 6% royalty. From LG Life Sciences: S. Korea royalty; USA (Santarus have USA co-promotion option).</t>
        </r>
      </text>
    </comment>
    <comment ref="AL149" authorId="0" shapeId="0">
      <text>
        <r>
          <rPr>
            <sz val="10"/>
            <rFont val="Arial"/>
            <family val="2"/>
          </rPr>
          <t>EvaluatePharma® Comment:
From Valeant Pharmaceuticals International: Canada 6% royalty. From LG Life Sciences: S. Korea royalty; USA (Santarus have USA co-promotion option).</t>
        </r>
      </text>
    </comment>
    <comment ref="AM149" authorId="0" shapeId="0">
      <text>
        <r>
          <rPr>
            <sz val="10"/>
            <rFont val="Arial"/>
            <family val="2"/>
          </rPr>
          <t>EvaluatePharma® Comment:
From Valeant Pharmaceuticals International: Canada 6% royalty. From LG Life Sciences: S. Korea royalty; USA (Santarus have USA co-promotion option).</t>
        </r>
      </text>
    </comment>
    <comment ref="AN149" authorId="0" shapeId="0">
      <text>
        <r>
          <rPr>
            <sz val="10"/>
            <rFont val="Arial"/>
            <family val="2"/>
          </rPr>
          <t>EvaluatePharma® Comment:
From Valeant Pharmaceuticals International: Canada 6% royalty. From LG Life Sciences: S. Korea royalty; USA (Santarus have USA co-promotion option).</t>
        </r>
      </text>
    </comment>
    <comment ref="H150" authorId="0" shapeId="0">
      <text>
        <r>
          <rPr>
            <sz val="10"/>
            <rFont val="Arial"/>
            <family val="2"/>
          </rPr>
          <t>Patent Comment:
Patent date &amp; number refers to "Controlled release dosage forms" (US#7780987 &amp; US#8323692). Patent protection refers to "Optimal polymer mixtures for gastric retentive tablets (US#6723340) exp. on 25-OCT-2021. Patent protection also refers to "Tablet shapes to enhance gastric retention of swellable CR oral dosage forms" (US#6488962) exp. on 20 JUN 2020 &amp; "Extending duration of drug release within stomach during the fed mode" (US#6340475 &amp; US#6635280) exp. on 19 SEP 2016. Source: 2014 10-K, US PTO, FDA, Watson 19 APR 2012 press release, Depomed 21 JUN 2011 press release &amp; 2011 10-K, Santarus 2011 10-K.</t>
        </r>
      </text>
    </comment>
    <comment ref="AD150" authorId="0" shapeId="0">
      <text>
        <r>
          <rPr>
            <sz val="10"/>
            <rFont val="Arial"/>
            <family val="2"/>
          </rPr>
          <t>EvaluatePharma® Comment:
Sales reported under Diabetes products line &amp; includes Glumetza &amp; Cycloset sales.
Disclosed annual 2014 sales: $308.085m
Company Comment:
Source: Salix Pharmaceuticals 2014 10-K, Page 61:
Net product revenues for 2014 were $1,133.5 million, compared to $913.8 million for 2013. The net product revenue increase from 2013 to 2014 was primarily due to:
• unit sales of Glumetza, Uceris, Zegerid, Cycloset and Fenoglide due to the acquisition of Santarus in January 2014...
Page 62:
...The lower gross margin in 2014 compared to 2013 is due primarily to sales of Glumetza and Cycloset acquired in the Santarus transaction, which have lower gross margins than Xifaxan, and other changes in the product revenue mix in the respective periods...</t>
        </r>
      </text>
    </comment>
    <comment ref="AE150" authorId="0" shapeId="0">
      <text>
        <r>
          <rPr>
            <sz val="10"/>
            <rFont val="Arial"/>
            <family val="2"/>
          </rPr>
          <t>EvaluatePharma® Comment:
1 APR15:Acquired by Valeant Pharmaceuticals International.</t>
        </r>
      </text>
    </comment>
    <comment ref="H151" authorId="0" shapeId="0">
      <text>
        <r>
          <rPr>
            <sz val="10"/>
            <rFont val="Arial"/>
            <family val="2"/>
          </rPr>
          <t>Patent Comment:
Patent date &amp; number refers to US patent titled "method for modifying and resetting the bloodstream prolactin levels of a human subject" (#5716957). Patent protection refers to "Accelerated release composition containing bromocriptine" (#5679685) &amp; "Therapeutic process for the treatment of the pathologies of type II diabetes" (#5468755, 5756513 &amp; 5866584) exp. 21 NOV 2012. Patent protection also refers to Methods of identifying responders to dopamine agonist therapy (#7888310) exp. 30 JAN 2029. Patent protection also refers to "Bromocriptine formulations" (US#8431155) expiring on 30 -APR-2032. New product excl. expired on 5 MAY 2012. Source: 09 JUL 2014 &amp; 3 JUN 2013 Presentation, 2014 10-K, FDA, US  PTO.</t>
        </r>
      </text>
    </comment>
    <comment ref="AD151" authorId="0" shapeId="0">
      <text>
        <r>
          <rPr>
            <sz val="10"/>
            <rFont val="Arial"/>
            <family val="2"/>
          </rPr>
          <t>EvaluatePharma® Comment:
Sales reported under Diabetes products line &amp; includes Glumetza &amp; Cycloset sales.
Disclosed annual 2014 sales: $308.085m
Company Comment:
Source: Salix Pharmaceuticals 2014 10-K, Page 61:
Net product revenues for 2014 were $1,133.5 million, compared to $913.8 million for 2013. The net product revenue increase from 2013 to 2014 was primarily due to:
• unit sales of Glumetza, Uceris, Zegerid, Cycloset and Fenoglide due to the acquisition of Santarus in January 2014...
Page 62:
...The lower gross margin in 2014 compared to 2013 is due primarily to sales of Glumetza and Cycloset acquired in the Santarus transaction, which have lower gross margins than Xifaxan, and other changes in the product revenue mix in the respective periods...</t>
        </r>
      </text>
    </comment>
    <comment ref="AE151" authorId="0" shapeId="0">
      <text>
        <r>
          <rPr>
            <sz val="10"/>
            <rFont val="Arial"/>
            <family val="2"/>
          </rPr>
          <t>EvaluatePharma® Comment:
1 APR15:Acquired by Valeant Pharmaceuticals International.</t>
        </r>
      </text>
    </comment>
    <comment ref="Z152" authorId="0" shapeId="0">
      <text>
        <r>
          <rPr>
            <sz val="10"/>
            <rFont val="Arial"/>
            <family val="2"/>
          </rPr>
          <t>Company Comment:
Source: Sigma-Tau 2010 Financial Statements, Page 19:
Italy Market
Efficib: public and hospital sales Euro 1.4 million. Launched in March 2009, it had closed with a 10%share in the DPP-IV inhibitor + biguanide market, this year it closed with an 18%share.</t>
        </r>
      </text>
    </comment>
    <comment ref="AE152" authorId="0" shapeId="0">
      <text>
        <r>
          <rPr>
            <sz val="10"/>
            <rFont val="Arial"/>
            <family val="2"/>
          </rPr>
          <t>Evaluate Pharma® Comment:
18 May 2015: Acquired by Alfa Wassermann.</t>
        </r>
      </text>
    </comment>
    <comment ref="Z153" authorId="0" shapeId="0">
      <text>
        <r>
          <rPr>
            <sz val="10"/>
            <rFont val="Arial"/>
            <family val="2"/>
          </rPr>
          <t>Company Comment:
Source: Sigma-Tau 2010 Financial Statements, Page 19:
Italy Market
Tesavel: simple DPP-IV inhibitor class, considering also the public-hospital channel, Tesavel has achieved considerable results: with a market share of 14%, it grew by 62% with overall sales of Euro 1 million.</t>
        </r>
      </text>
    </comment>
    <comment ref="AE153" authorId="0" shapeId="0">
      <text>
        <r>
          <rPr>
            <sz val="10"/>
            <rFont val="Arial"/>
            <family val="2"/>
          </rPr>
          <t>Evaluate Pharma® Comment:
18 May 2015: Acquired by Alfa Wassermann.</t>
        </r>
      </text>
    </comment>
    <comment ref="H154" authorId="0" shapeId="0">
      <text>
        <r>
          <rPr>
            <sz val="10"/>
            <rFont val="Arial"/>
            <family val="2"/>
          </rPr>
          <t>Patent Comment:
Patent date &amp; number refers to "Controlled release dosage forms" (US#7780987 &amp; US#8323692). Patent protection refers to "Optimal polymer mixtures for gastric retentive tablets (US#6723340) exp. on 25-OCT-2021. Patent protection also refers to "Tablet shapes to enhance gastric retention of swellable CR oral dosage forms" (US#6488962) exp. on 20 JUN 2020 &amp; "Extending duration of drug release within stomach during the fed mode" (US#6340475 &amp; US#6635280) exp. on 19 SEP 2016. Source: US PTO, FDA, Watson 19 APR 2012 press release, Depomed 21 JUN 2011 press release &amp; 2011 10-K, Santarus 2011 10-K.</t>
        </r>
      </text>
    </comment>
    <comment ref="Z154" authorId="0" shapeId="0">
      <text>
        <r>
          <rPr>
            <sz val="10"/>
            <rFont val="Arial"/>
            <family val="2"/>
          </rPr>
          <t>Company Comment:
Source: Depomed 2010 10-K, Page 9:
In June 2010, we conducted a voluntary class 2 recall of fifty-two lots of 500mg Glumetza product from wholesalers due to the presence of trace amounts of a chemical called 2,4,6-tribromoanisole (TBA) in bottles containing 500mg Glumetza tablets. We cooperated with the FDA and our contract manufacturer on the recall. In June 2010, we temporarily suspended product shipments of 500mg Glumetza product to our customers. We resumed shipments of the 500mg Glumetza to customers in January 2011. The 1000mg Glumetza product was not subject to the recall.
Source: Santarus Q3 2010 Results (8 NOV 2010):
The company is updating its revenue guidance and now expects 2010 full year total revenues of $115 million to $118 million, which assumes no promotion revenue associated with GLUMETZA 500 mg in the fourth quarter of 2010. If Depomed establishes the resupply of GLUMETZA 500 mg in December 2010, Santarus estimates a positive impact on promotion revenue of approximately $2 million.
License fee expenses in the fourth quarter of 2010 may also include a sales milestone of approximately $3 million to
Depomed, which is payable if annual net product sales of GLUMETZA exceed $50 million for the period of January 1,
2010 through January 31, 2011.</t>
        </r>
      </text>
    </comment>
    <comment ref="AB154" authorId="0" shapeId="0">
      <text>
        <r>
          <rPr>
            <sz val="10"/>
            <rFont val="Arial"/>
            <family val="2"/>
          </rPr>
          <t>Company Comment:
Source: Santarus FY 2012 Results (04 MAR 2013):
New prescriptions grew 28% and total prescriptions increased 31% for the 12 months ended December 31, 2012 compared with the prior 12 months.
Source: Santarus 2012 10-K, Page 72:
The promotion agreement was replaced by a commercialization agreement with Depomed under which we began distributing and recording product sales for Glumetza in September 2011.</t>
        </r>
      </text>
    </comment>
    <comment ref="AD154" authorId="0" shapeId="0">
      <text>
        <r>
          <rPr>
            <sz val="10"/>
            <rFont val="Arial"/>
            <family val="2"/>
          </rPr>
          <t>EvaluatePharma ® Comment: 2 Jan 2014: Acquired by Salix Pharmaceuticals.</t>
        </r>
      </text>
    </comment>
    <comment ref="H155" authorId="0" shapeId="0">
      <text>
        <r>
          <rPr>
            <sz val="10"/>
            <rFont val="Arial"/>
            <family val="2"/>
          </rPr>
          <t>Patent Comment:
Patent date &amp; number refers to US patent titled "method for modifying and resetting the bloodstream prolactin levels of a human subject" (#5716957). Patent protection refers to "Accelerated release composition containing bromocriptine" (#5679685) &amp; "Therapeutic process for the treatment of the pathologies of type II diabetes" (#5468755, 5756513 &amp; 5866584) exp. 21 NOV 2012. Patent protection also refers to Methods of identifying responders to dopamine agonist therapy (#7888310) exp. 30 JAN 2029. Patent protection also refers to "Bromocriptine formulations" (US#8431155) expiring on 30 -APR-2032. New product excl. expired on 5 MAY 2012. Source: 09 JUL 2014 &amp; 3 JUN 2013 Presentation, 2014 10-K, FDA, US  PTO.</t>
        </r>
      </text>
    </comment>
    <comment ref="AB155" authorId="0" shapeId="0">
      <text>
        <r>
          <rPr>
            <sz val="10"/>
            <rFont val="Arial"/>
            <family val="2"/>
          </rPr>
          <t xml:space="preserve">Company Comment:
Source: Santarus FY 2012 Results (04 MAR 2013):
New prescriptions increased 49% and total prescriptions were up 85% for the 12 months ended December 31, 2012 compared with the prior 12 months.
</t>
        </r>
      </text>
    </comment>
    <comment ref="AD155" authorId="0" shapeId="0">
      <text>
        <r>
          <rPr>
            <sz val="10"/>
            <rFont val="Arial"/>
            <family val="2"/>
          </rPr>
          <t>EvaluatePharma ® Comment: 2 Jan 2014: Acquired by Salix Pharmaceuticals.</t>
        </r>
      </text>
    </comment>
    <comment ref="AB156" authorId="0" shapeId="0">
      <text>
        <r>
          <rPr>
            <sz val="10"/>
            <rFont val="Arial"/>
            <family val="2"/>
          </rPr>
          <t xml:space="preserve">EvaluatePharma® Comment:
Pharmstandard disclosed sales in RURm 
Disclosed FY 2012 sales (RURm)= 6.3
Conversion rate: 0.0322360665330571 
Converted value in $ (mln): 0.20308721915826
</t>
        </r>
      </text>
    </comment>
    <comment ref="AC156" authorId="0" shapeId="0">
      <text>
        <r>
          <rPr>
            <sz val="10"/>
            <rFont val="Arial"/>
            <family val="2"/>
          </rPr>
          <t>EvaluatePharma® Comment:
Glimepiride sales not disclosed by Pharmstandard in FY 2013 Results (18 FEB 2014).</t>
        </r>
      </text>
    </comment>
    <comment ref="AA157" authorId="0" shapeId="0">
      <text>
        <r>
          <rPr>
            <sz val="10"/>
            <rFont val="Arial"/>
            <family val="2"/>
          </rPr>
          <t>EvaluatePharma® Comment:
Pharmstandard disclosed sales in RURm 
Disclosed FY 2012 sales (RURm)= 28.6 
Conversion rate: 0.0322360665330571 
Converted value in $ (mln): 0.921951502845433</t>
        </r>
      </text>
    </comment>
    <comment ref="AB157" authorId="0" shapeId="0">
      <text>
        <r>
          <rPr>
            <sz val="10"/>
            <rFont val="Arial"/>
            <family val="2"/>
          </rPr>
          <t>EvaluatePharma® Comment:
Pharmstandard disclosed sales in RURm 
Disclosed FY 2012 sales (RURm)= 134.9 
Conversion rate: 0.0322360665330571 
Converted value in $ (mln): 4.3486453753094</t>
        </r>
      </text>
    </comment>
    <comment ref="AC157" authorId="0" shapeId="0">
      <text>
        <r>
          <rPr>
            <sz val="10"/>
            <rFont val="Arial"/>
            <family val="2"/>
          </rPr>
          <t>EvaluatePharma® Comment:
Gluconorm sales not disclosed by Pharmstandard in FY 2013 Results (18 FEB 2014).</t>
        </r>
      </text>
    </comment>
    <comment ref="Z158" authorId="0" shapeId="0">
      <text>
        <r>
          <rPr>
            <sz val="10"/>
            <rFont val="Arial"/>
            <family val="2"/>
          </rPr>
          <t xml:space="preserve">Data Source:
Dong-A Pharmaceutical Q4 2010 Performance Results (28 JAN 2011), Page no. 31.
</t>
        </r>
      </text>
    </comment>
    <comment ref="AA158" authorId="0" shapeId="0">
      <text>
        <r>
          <rPr>
            <sz val="10"/>
            <rFont val="Arial"/>
            <family val="2"/>
          </rPr>
          <t>EvaluatePharma® Comment:
FY 2011 Glimel sales restated by Dong-A Pharmaceuticals in Q2 2012 Results (27 JUL 2012)
Previously disclosed FY 2011 sales: +KRW 15400m
Data Source:
Dong-A Pharmaceutical FY 2011 Performance Results (10 FEB 2012), Page no. 31.</t>
        </r>
      </text>
    </comment>
    <comment ref="AB158" authorId="0" shapeId="0">
      <text>
        <r>
          <rPr>
            <sz val="10"/>
            <rFont val="Arial"/>
            <family val="2"/>
          </rPr>
          <t>Data Source:
Dong-A Pharmaceutical Q4 2012 Performance Results (21 JAN 2013), Page no. 24.</t>
        </r>
      </text>
    </comment>
    <comment ref="AC158" authorId="0" shapeId="0">
      <text>
        <r>
          <rPr>
            <sz val="10"/>
            <rFont val="Arial"/>
            <family val="2"/>
          </rPr>
          <t>EvaluatePharma® Comment: 1 MAR 2013: Disposed product to Dong-A ST as a part of spin-off.</t>
        </r>
      </text>
    </comment>
    <comment ref="Z159" authorId="0" shapeId="0">
      <text>
        <r>
          <rPr>
            <sz val="10"/>
            <rFont val="Arial"/>
            <family val="2"/>
          </rPr>
          <t>EvaluatePharma® Comment:
Glimepiride sales calculate as: total sales value of Glimepiride &amp; Rabeprazole - Rabeprazole sales.
Data Source:
Towa Pharmaceutical Fiscal 2012 (APR 2012-MAR 2013) (14 MAY 2013), Page no: 5.</t>
        </r>
      </text>
    </comment>
    <comment ref="AA159" authorId="0" shapeId="0">
      <text>
        <r>
          <rPr>
            <sz val="10"/>
            <rFont val="Arial"/>
            <family val="2"/>
          </rPr>
          <t>EvaluatePharma® Comment:
Glimepiride sales calculate as: total sales value of Glimepiride &amp; Rabeprazole - Rabeprazole sales.
Data Source:
Towa Pharmaceutical Fiscal 2012 (APR 2012-MAR 2013) (14 MAY 2013), Page no: 5.</t>
        </r>
      </text>
    </comment>
    <comment ref="AB159" authorId="0" shapeId="0">
      <text>
        <r>
          <rPr>
            <sz val="10"/>
            <rFont val="Arial"/>
            <family val="2"/>
          </rPr>
          <t>EvaluatePharma® Comment:
Glimepiride sales calculate as: total sales value of Glimepiride &amp; Rabeprazole - Rabeprazole sales.
Data Source:
Annual Sales: Towa Pharmaceutical Fiscal 2012 (APR 2012-MAR 2013) (14 MAY 2013), Page no: 5.</t>
        </r>
      </text>
    </comment>
    <comment ref="AC159" authorId="0" shapeId="0">
      <text>
        <r>
          <rPr>
            <sz val="10"/>
            <rFont val="Arial"/>
            <family val="2"/>
          </rPr>
          <t>EvaluatePharma® Comment:
Glimepiride sales calculate as: total sales value of Glimepiride &amp; Rabeprazole - Rabeprazole sales.
Data Source:
Annual Sales: Towa Pharmaceutical Fiscal 2013 (APR 2013-MAR 2014) (14 MAY 2014), Page no: 6-7.</t>
        </r>
      </text>
    </comment>
    <comment ref="H160" authorId="0" shapeId="0">
      <text>
        <r>
          <rPr>
            <sz val="10"/>
            <rFont val="Arial"/>
            <family val="2"/>
          </rPr>
          <t>Patent Comment:
Patent date &amp; number refers to US patent titled "Methods and compositions for delivering peptides" (US#7943178 &amp; US#8389470). Patent protection refers to "Trans-n-cinnamyl-n-methyl-(1-naphthylmethyl)amine" (US#7464706) exp on 02 MAR 2023 &amp; (US#7648960) exp on 29 JUN 2020. Patent protection also refers to " Omega-carboxyaryl substituted diphenyl ureas as raf kinase inhibitors" (US#8841330) expiring on 2020. Patent protection also refers to "Patent protection also refers to "Diketopiperazine microparticles with defined specific surface areas" (US#8551528, 8734845 &amp; 8778403) exp on 11 JUN 2030. Source: Mannkind 2014 10-K, 2014 20-F, US PTO &amp; FDA.</t>
        </r>
      </text>
    </comment>
    <comment ref="AD160" authorId="0" shapeId="0">
      <text>
        <r>
          <rPr>
            <sz val="10"/>
            <rFont val="Arial"/>
            <family val="2"/>
          </rPr>
          <t>Company Comment:
Source: MannKind 2014 10-K, Pages 1-2:
Our only approved product, AFREZZA, is a rapid-acting inhaled insulin that was approved by the U.S. Food and Drug Administration (the “FDA”) on June 27, 2014 to improve glycemic control in adult patients with diabetes. 
As part of the approval of AFREZZA, the FDA required us to conduct the following post-marketing studies: 
  •   A dose-ranging pharmacokinetic (PK)-pharmacodynamic (PD) glucose-clamp trial to characterize the dose-response of AFREZZA relative to subcutaneous insulin in patients with type 1 diabetes; 
  •   A PK-PD glucose-clamp trial to characterize within-subject variability; 
  •   An open-label PK and multiple-dose safety and tolerability dose-titration trial of AFREZZA in pediatric patients ages 4 to 17 years with type 1 diabetes, followed by a prospective, open-label, randomized, controlled trial comparing the efficacy and safety of prandial AFREZZA to prandial subcutaneous insulin aspart used in combination with subcutaneous basal insulin in pediatric patients 4 to 17 years old with type 1 or type 2 diabetes; and 
  •   A five-year, randomized, controlled trial in 8,000-10,000 patients with type 2 diabetes to assess the potential serious risk of pulmonary malignancy with AFREZZA use. 
Pursuant to the Sanofi License Agreement, we transferred the approved new drug application (“NDA”) for AFREZZA to Sanofi following the closing of the transaction. The obligation for conducting these required post-marketing studies now rests with Sanofi, as does the responsibility to conduct other clinical studies as may be required to obtain regulatory approval in other countries or for marketing purposes. 
On February 3, 2015, we and Sanofi announced that AFREZZA had become available by prescription in United States retail pharmacies.
Source: Sanofi 2014 20-F, Page 24:
Afrezza  is a rapid acting inhaled insulin indicated to improve glycemic control in adult patients with diabetes.
The product was launched in the United States at the beginning of February 2015. Afrezza  is in-licensed from
MannKind.</t>
        </r>
      </text>
    </comment>
    <comment ref="AE160" authorId="0" shapeId="0">
      <text>
        <r>
          <rPr>
            <sz val="10"/>
            <rFont val="Arial"/>
            <family val="2"/>
          </rPr>
          <t>Company Comment:
Source: Sanofi FY 2015 Results (09 FEB 2016):
Afrezza sales were €2 million and €7 million in the fourth quarter and 2015, respectively. On January 4, 2016, Sanofi informed MannKind Corporation, that it has exercised its option to terminate its agreement. This termination will become effective on April 4, 2016. This action is in line with the terms of the contract, and the decision to terminate is due to a number of factors, including the continued low level of prescriptions for Afrezza despite Sanofi’s substantial efforts. Sanofi intends to work with MannKind to support a smooth transition and will continue to make Afrezza available in the United States for a period of up to approximately 180 days after the date of Termination, as set forth in the License and Collaboration Agreement.
Source: Sanofi 2015 20-F, Page 25:
The product was launched in the U.S. at the beginning of February 2015.</t>
        </r>
      </text>
    </comment>
    <comment ref="AF160" authorId="0" shapeId="0">
      <text>
        <r>
          <rPr>
            <sz val="10"/>
            <rFont val="Arial"/>
            <family val="2"/>
          </rPr>
          <t>EvaluatePharma® Comment:
Afrezza sales not disclosed by Sanofi in FY 2016 Results (08 JAN 2017).</t>
        </r>
      </text>
    </comment>
    <comment ref="A162" authorId="0" shapeId="0">
      <text>
        <r>
          <rPr>
            <sz val="10"/>
            <rFont val="Arial"/>
            <family val="2"/>
          </rPr>
          <t>Group Total: Equals the sum of values in report based on report grouping.
Note: Where  Top 5,10,100 etc filters have been applied, the aggregate value relates to the total of the original unfiltered group - not the displayed filtered data. Where n/a appears, a value has been hidden but is included in Group Total.
Examples:
e.g. Top 100 drugs reports. These are not grouped but are filtered to show only the top 100 products by sales in a particular year.  The Group Total displayed is equal to the sum of all data within Evaluate Pharma - not just the top 100 products i.e. total market size.
e.g. Global Majors - Top 10 products.  Report is grouped by Company and filtered to show only the top 10 products by sales in a particular year.  Group Totals are displayed for each company and are equal to the sum of all available data for that company - not just the top 10 products.</t>
        </r>
      </text>
    </comment>
    <comment ref="B168" authorId="0" shapeId="0">
      <text>
        <r>
          <rPr>
            <sz val="10"/>
            <rFont val="Arial"/>
            <family val="2"/>
          </rPr>
          <t>Shaded Cells
A shaded cell signifies potentially incomplete data. E.g. A shaded cell in "Change (+/-)" means there is no corresponding value, i.e. there is data for 2001, but no data for 2000.  This could signify a product launch, first time disclosure of sales, a product acquisition or missing data.
A shaded cell containing n/a signifies valid data followed by blank or zero values. E.g. A shaded cell containing n/a in "Change (+/-)" means a value is present for 2000, but blank for 2001. This could signify a product disposal / withdrawal, discontinuation of disclosure or missing data.</t>
        </r>
      </text>
    </comment>
  </commentList>
</comments>
</file>

<file path=xl/comments15.xml><?xml version="1.0" encoding="utf-8"?>
<comments xmlns="http://schemas.openxmlformats.org/spreadsheetml/2006/main">
  <authors>
    <author/>
  </authors>
  <commentList>
    <comment ref="B6" authorId="0" shapeId="0">
      <text>
        <r>
          <rPr>
            <sz val="10"/>
            <rFont val="Arial"/>
            <family val="2"/>
          </rPr>
          <t>Ranked on:
Annual Sales (Indication) - WW
2024</t>
        </r>
      </text>
    </comment>
    <comment ref="Q6" authorId="0" shapeId="0">
      <text>
        <r>
          <rPr>
            <sz val="10"/>
            <rFont val="Arial"/>
            <family val="2"/>
          </rPr>
          <t>Compound Annual Growth Rate (CAGR) (2017 to 2024)</t>
        </r>
      </text>
    </comment>
    <comment ref="H8" authorId="0" shapeId="0">
      <text>
        <r>
          <rPr>
            <sz val="10"/>
            <rFont val="Arial"/>
            <family val="2"/>
          </rPr>
          <t>Patent Comment:
Patent date &amp; number refers to "Dial-down mechanism for wind-up pen" (US#RE46,363). Patent protection refers to US patents "derivatives of GLP-1 analogs" (US#6268343) including 1826 days of patent extension; "Propylene glycol-containing peptide formulations which are optimal for production and for use in injection devices" (US#8,114,833) exp. on 13 AUG 2025; RoW expiry refers to EU patent "Propylene glycol-containing peptide formulations which are optimal for production and for use in injection devices" (EP#1687019) exp on 18 NOV 2024.. Source: USPTO, FDA, 3 DEC 2013 presentation, 2017 AR &amp; 2015 20-F.</t>
        </r>
      </text>
    </comment>
    <comment ref="S8" authorId="0" shapeId="0">
      <text>
        <r>
          <rPr>
            <sz val="10"/>
            <rFont val="Arial"/>
            <family val="2"/>
          </rPr>
          <t xml:space="preserve">Company Comment:
Source: Novo Nordisk FY 2017 Results (01 FEB 2018):
Sales of Saxenda, liraglutide 3 mg for weight management, increased by 62% in Danish kroner and by 64% in local currencies to DKK 2,562 million. Sales growth was driven by both North America Operations and International Operations, where Region Latin America, especially Brazil, Region AAMEO and Region Europe contributed to growth. Saxenda was launched in May 2015 in the USA and has obtained broad commercial formulary market access, but generally with prior authorisation requirements. Saxenda has now been launched in 25 countries.
Sales in the fourth quarter of 2017 decreased by 5% in Danish kroner and increased by 1% in local currencies compared with the same period in 2016. Sales growth measured in local currencies was driven by Victoza, new-generation insulin, Saxenda and haemophilia products, partly offset by modern insulin, growth disorders, Vagifem and human insulin. From a geographic perspective, sales growth in local currencies was driven by International Operations growing by 4%, partly offset by a decline in sales of 1% in North America Operations. The declining sales in North America Operations reflect lower modern insulin and growth disorder sales and lower Vagifem sales following the launch of a generic version, all in the USA. Furthermore, sales in North America Operations were negatively impacted by approximately 3 percentage points due to rebate adjustments related to prior quarters in 2017 in the modern insulin segment, especially NovoLog, as well as for Tresiba, partly offset by a positive contribution from Victoza.
</t>
        </r>
      </text>
    </comment>
    <comment ref="H9" authorId="0" shapeId="0">
      <text>
        <r>
          <rPr>
            <sz val="10"/>
            <rFont val="Arial"/>
            <family val="2"/>
          </rPr>
          <t>Patent Comment:
Patent date &amp; number refers to US patent "Compositions for affecting weight loss" (US#7375111). RoW expiry refers to European patent "Compositions for affecting weight loss" (EP#1617832). Patent protection refers to "Methods of providing weight loss therapy in patients with major depression" (US#9248123) expiring on 13 JAN 2032. Patent protection also refers to US patent "Compositions for affecting weight loss" (#7462626) exp on 20 JUL 2024. Patent protection also refers to US patent "Sustained release formulation of naltrexone" (#8916195) expiring on 02 FEB 2030. OCT17 US court ruled in favour of Orexigen for three patents for contrave with exclusivity through 2030. Source: US PTO, FDA &amp; 2014 10-K, 13 NOV 2017 Press Release.</t>
        </r>
      </text>
    </comment>
    <comment ref="S11" authorId="0" shapeId="0">
      <text>
        <r>
          <rPr>
            <sz val="10"/>
            <rFont val="Arial"/>
            <family val="2"/>
          </rPr>
          <t>Company Comment:
Source: VIVUS FY 2017 Results (13 MAR 2018):
...VIVUS recognized approximately $0.3 million less Qsymia revenue under the "sell-in" methodology than would have been recognized under the "sell-through" methodology. The "sell-in" methodology could continue to result in higher volatility of Qsymia sales, as wholesalers adjust inventory levels compared to those historically reported.</t>
        </r>
      </text>
    </comment>
    <comment ref="H12" authorId="0" shapeId="0">
      <text>
        <r>
          <rPr>
            <sz val="10"/>
            <rFont val="Arial"/>
            <family val="2"/>
          </rPr>
          <t>Patent Comment:
Patent protection refers to pending  patent applications for 'Method of use for the inhibition of PGD2 for hair loss'. Source: MAR 2015 Presentation.</t>
        </r>
      </text>
    </comment>
    <comment ref="H13" authorId="0" shapeId="0">
      <text>
        <r>
          <rPr>
            <sz val="10"/>
            <rFont val="Arial"/>
            <family val="2"/>
          </rPr>
          <t>Patent Comment:
Patent date &amp; number refers to "5-HT2C Receptor Modulators" (US#6953787) including 1174 days expected patent extension. Patent protection also refers to "5HT.sub.2c receptor modulators" (US#7514422 &amp; #7977329) including 1051 &amp; 352 days of expected patent extension expiring on 24-FEB-26 &amp; 27 MAR-24 respectively. Patent protection also refers to "Method of Weight Management" (US#9169213) expiring in 2032. Patent protection also refers to US patent (US# 8999970) covering a method for selecting appropriate patients based on renal function exp. in 2033. Source: 27 OCT 2015, 07 APR 2015 &amp; 17 JUN 2010 PR, 2014 10-K, US PTO &amp; FDA.</t>
        </r>
      </text>
    </comment>
    <comment ref="S13" authorId="0" shapeId="0">
      <text>
        <r>
          <rPr>
            <sz val="10"/>
            <rFont val="Arial"/>
            <family val="2"/>
          </rPr>
          <t>Data Source:
Eisai Fiscal 2017 Reference Data (APR 2017 - MAR 2018) (15 MAY 2018), Pages 3-9.
Includes in ¥bn:
1) +3.6 in US.
Company Comment:
Source: Eisai Fiscal 2017 Consolidated Financial Report (APR 2017-MAR 2018) (15 MAY 2018):
Regarding revenue from neurology products, Banzel (antiepileptic agent) and Fycompa both showed strong growth, recording ¥16,557 million (up 19.6% year on year) and ¥6,907 million (up 31.5% year on year), respectively. BELVIQ earned ¥3,558 million (down 4.2% year on year). Among oncology products, revenue from Lenvima greatly increased to ¥21,928 million (up 45.2% year on year). Revenues for Aloxi (antiemetic agent) and Halaven were ¥39,573 million (down 17.7% year on year) and ¥15,725 million (down 2.3% year on year), respectively.</t>
        </r>
      </text>
    </comment>
    <comment ref="H16" authorId="0" shapeId="0">
      <text>
        <r>
          <rPr>
            <sz val="10"/>
            <rFont val="Arial"/>
            <family val="2"/>
          </rPr>
          <t>Patent Comment:
Patent date refers to synthesis &amp; process patent with 6 month paediatric extension (#4746680). Use in treatment of obesity patent (#5436272) expires JAN 2013. UNCE exclusivity expired NOV 2002. Source: FDA &amp; Broker's report.</t>
        </r>
      </text>
    </comment>
    <comment ref="H21" authorId="0" shapeId="0">
      <text>
        <r>
          <rPr>
            <sz val="10"/>
            <rFont val="Arial"/>
            <family val="2"/>
          </rPr>
          <t>Patent Comment:
Patent date &amp; number refers to Acylated GLP-1 compounds (US#8129343, #8536122) exp. 29 JAN 2029 &amp; 20 MAR 2026. RoW expiry refers to EU patent "Acylated glp-1 compounds" (EP#1863839). Patent protection also refers to Needle mounting system and a method for mounting a needle assembly (US#7762994, #8579869) exp. 23 MAY 2024 &amp; 30 JUN 2023; Propylene glycol-containing peptide formulations which are optimal for production and for use in injection devices (US#8114833) exp. 13 AUG 2025; Automatic injection device with reset feature (US#6899699, #8672898, #9486588) exp. 2 JAN 2022. Patent protection refers to patents granted in Germany, Japan &amp; China expiring in 2031, 2031 &amp; 2026 respectively. Source: 2017 20-F, 2015 20-F, US PTO &amp; 2017 AR, 2018 PR.</t>
        </r>
      </text>
    </comment>
    <comment ref="S21" authorId="0" shapeId="0">
      <text>
        <r>
          <rPr>
            <sz val="10"/>
            <rFont val="Arial"/>
            <family val="2"/>
          </rPr>
          <t>Company Comment:
Source: Novo Nordisk 2017 20-F, Page 6-7:
In December 2017, Novo Nordisk obtained approval from the FDA and received a positive opinion from the European Committee for Medicinal Products for Human Use (CHMP) for the once-weekly GLP-1 product, Ozempic, for the treatment of adults with Type 2 diabetes. Ozempic will be launched in the United States in 2018.</t>
        </r>
      </text>
    </comment>
    <comment ref="H22" authorId="0" shapeId="0">
      <text>
        <r>
          <rPr>
            <sz val="10"/>
            <rFont val="Arial"/>
            <family val="2"/>
          </rPr>
          <t>Patent Comment:
Patent date refers to issued US patent. Patent protection refers to two issued US patents and 21 issued non-US patents, including Australia, Canada, China, Europe, Hong Kong, Israel, Japan, Korea, New Zealand, Russia and Singapore will expire in 2026 and US patent will expire in 2027. Source: Form S-1 (5 SEP 2017)</t>
        </r>
      </text>
    </comment>
    <comment ref="A27" authorId="0" shapeId="0">
      <text>
        <r>
          <rPr>
            <sz val="10"/>
            <rFont val="Arial"/>
            <family val="2"/>
          </rPr>
          <t>Group Total: Equals the sum of values in report based on report grouping.
Note: Where  Top 5,10,100 etc filters have been applied, the aggregate value relates to the total of the original unfiltered group - not the displayed filtered data. Where n/a appears, a value has been hidden but is included in Group Total.
Examples:
e.g. Top 100 drugs reports. These are not grouped but are filtered to show only the top 100 products by sales in a particular year.  The Group Total displayed is equal to the sum of all data within Evaluate Pharma - not just the top 100 products i.e. total market size.
e.g. Global Majors - Top 10 products.  Report is grouped by Company and filtered to show only the top 10 products by sales in a particular year.  Group Totals are displayed for each company and are equal to the sum of all available data for that company - not just the top 10 products.</t>
        </r>
      </text>
    </comment>
    <comment ref="B33" authorId="0" shapeId="0">
      <text>
        <r>
          <rPr>
            <sz val="10"/>
            <rFont val="Arial"/>
            <family val="2"/>
          </rPr>
          <t>Shaded Cells
A shaded cell signifies potentially incomplete data. E.g. A shaded cell in "Change (+/-)" means there is no corresponding value, i.e. there is data for 2001, but no data for 2000.  This could signify a product launch, first time disclosure of sales, a product acquisition or missing data.
A shaded cell containing n/a signifies valid data followed by blank or zero values. E.g. A shaded cell containing n/a in "Change (+/-)" means a value is present for 2000, but blank for 2001. This could signify a product disposal / withdrawal, discontinuation of disclosure or missing data.</t>
        </r>
      </text>
    </comment>
  </commentList>
</comments>
</file>

<file path=xl/comments16.xml><?xml version="1.0" encoding="utf-8"?>
<comments xmlns="http://schemas.openxmlformats.org/spreadsheetml/2006/main">
  <authors>
    <author>Knowcraft Common</author>
  </authors>
  <commentList>
    <comment ref="D125" authorId="0"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7.xml><?xml version="1.0" encoding="utf-8"?>
<comments xmlns="http://schemas.openxmlformats.org/spreadsheetml/2006/main">
  <authors>
    <author>Windows User</author>
  </authors>
  <commentList>
    <comment ref="I9" authorId="0" shapeId="0">
      <text>
        <r>
          <rPr>
            <b/>
            <sz val="9"/>
            <color indexed="81"/>
            <rFont val="Tahoma"/>
            <family val="2"/>
          </rPr>
          <t>Windows User:</t>
        </r>
        <r>
          <rPr>
            <sz val="9"/>
            <color indexed="81"/>
            <rFont val="Tahoma"/>
            <family val="2"/>
          </rPr>
          <t xml:space="preserve">
0</t>
        </r>
      </text>
    </comment>
  </commentList>
</comments>
</file>

<file path=xl/comments18.xml><?xml version="1.0" encoding="utf-8"?>
<comments xmlns="http://schemas.openxmlformats.org/spreadsheetml/2006/main">
  <authors>
    <author>Knowcraft Common</author>
  </authors>
  <commentList>
    <comment ref="D137" authorId="0"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9.xml><?xml version="1.0" encoding="utf-8"?>
<comments xmlns="http://schemas.openxmlformats.org/spreadsheetml/2006/main">
  <authors>
    <author>Knowcraft Common</author>
  </authors>
  <commentList>
    <comment ref="D137" authorId="0"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20.xml><?xml version="1.0" encoding="utf-8"?>
<comments xmlns="http://schemas.openxmlformats.org/spreadsheetml/2006/main">
  <authors>
    <author>Knowcraft Common</author>
  </authors>
  <commentList>
    <comment ref="D137" authorId="0"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sharedStrings.xml><?xml version="1.0" encoding="utf-8"?>
<sst xmlns="http://schemas.openxmlformats.org/spreadsheetml/2006/main" count="15746" uniqueCount="4388">
  <si>
    <t>(in thousands of USD)</t>
  </si>
  <si>
    <t>Discount for Lack of Voting Rights</t>
  </si>
  <si>
    <t>Studies</t>
  </si>
  <si>
    <t>Pub. Date</t>
  </si>
  <si>
    <t>Time Period</t>
  </si>
  <si>
    <t>Companies</t>
  </si>
  <si>
    <t>Indicated Discount*</t>
  </si>
  <si>
    <t>Masulis, Wang, Xie</t>
  </si>
  <si>
    <t>1995-2003</t>
  </si>
  <si>
    <t>Houlihan, Lokey, Howard &amp; Zukin</t>
  </si>
  <si>
    <t>Cox &amp; Roden</t>
  </si>
  <si>
    <t>1984-1999</t>
  </si>
  <si>
    <t>Ettelson Study</t>
  </si>
  <si>
    <t>n/a</t>
  </si>
  <si>
    <t>1993-1998</t>
  </si>
  <si>
    <t>Smith/Amoako-Adu Study</t>
  </si>
  <si>
    <t>1988-1992</t>
  </si>
  <si>
    <t>Zingales</t>
  </si>
  <si>
    <t>1984-1990</t>
  </si>
  <si>
    <t>O'Shea &amp; Siwicki</t>
  </si>
  <si>
    <t>1988-1990</t>
  </si>
  <si>
    <t>SEC Study</t>
  </si>
  <si>
    <t>2.0%-8.0%</t>
  </si>
  <si>
    <t>Lease, McConnell &amp; Mickkelson</t>
  </si>
  <si>
    <t>1940-1978</t>
  </si>
  <si>
    <t>Mean (Excl. SEC Study)</t>
  </si>
  <si>
    <t>Median (Excl. SEC Study)</t>
  </si>
  <si>
    <t>Mean (Excl. SEC Study + Cox &amp; Roden)</t>
  </si>
  <si>
    <t>Median (Excl. SEC Study + Cox &amp; Roden)</t>
  </si>
  <si>
    <t>Court Cases</t>
  </si>
  <si>
    <t>Discount Allowed*</t>
  </si>
  <si>
    <t>Estate of Simplot v. Commissioner</t>
  </si>
  <si>
    <t>Barnes v. Commissioner</t>
  </si>
  <si>
    <t>Kosman v. Commissioner</t>
  </si>
  <si>
    <t>Estate of Newhouse v. Commissioner</t>
  </si>
  <si>
    <t>Estate of Joyce C. Hall v. Commissioner</t>
  </si>
  <si>
    <t>Estate of Clara S. Roeder Winkler v. Commissioner</t>
  </si>
  <si>
    <t>The Northern Trust Company v. Commissioner</t>
  </si>
  <si>
    <t>Ahmanson Foundation v. United States</t>
  </si>
  <si>
    <t>Wallace v. United States</t>
  </si>
  <si>
    <t>Estate of Alvin Thalheimer v. Commissioner (1977)</t>
  </si>
  <si>
    <t>Estate of Alvin Thalheimer v. Commissioner (1974)</t>
  </si>
  <si>
    <t>Jacod S. Kamborian v. Commissioner</t>
  </si>
  <si>
    <t>Mean</t>
  </si>
  <si>
    <t>Median</t>
  </si>
  <si>
    <t>Source: Stout Risius Ross: Price Differentials Between Voting and Nonvoting Stock</t>
  </si>
  <si>
    <t xml:space="preserve">*To the extent the outcome of the study was an indicated premium, the premium was converted to </t>
  </si>
  <si>
    <t>an implied discount (premium / (1+premium)).</t>
  </si>
  <si>
    <t>Price Differentials Between Voting &amp; Nonvoting Stock</t>
  </si>
  <si>
    <t>Study</t>
  </si>
  <si>
    <t>Discount</t>
  </si>
  <si>
    <t>Pre-1990</t>
  </si>
  <si>
    <t>Post-1990</t>
  </si>
  <si>
    <t>SEC overall average</t>
  </si>
  <si>
    <t>FMV Opinions, Inc.</t>
  </si>
  <si>
    <t>Gelman</t>
  </si>
  <si>
    <t>Management Planning, Inc.</t>
  </si>
  <si>
    <t>Trout</t>
  </si>
  <si>
    <t>Bajaj, et al.</t>
  </si>
  <si>
    <t>Moroney</t>
  </si>
  <si>
    <t>Johnson</t>
  </si>
  <si>
    <t>Maher</t>
  </si>
  <si>
    <t>Columbia Financial Advisors</t>
  </si>
  <si>
    <t>Standard Research Consultants</t>
  </si>
  <si>
    <t>Silber</t>
  </si>
  <si>
    <t>Willamette Management Associates</t>
  </si>
  <si>
    <t>Pre-1990 mean discount</t>
  </si>
  <si>
    <t>Post-1990 mean discount</t>
  </si>
  <si>
    <t>Summary Of Restricted Stock Studies</t>
  </si>
  <si>
    <t>Beta</t>
  </si>
  <si>
    <t>Reference</t>
  </si>
  <si>
    <t>Duration (Years)</t>
  </si>
  <si>
    <t>Risk-Free Rate</t>
  </si>
  <si>
    <t>Dividend Yield</t>
  </si>
  <si>
    <t>Volatility</t>
  </si>
  <si>
    <t>(sigma^2)*T</t>
  </si>
  <si>
    <t>v</t>
  </si>
  <si>
    <t>A</t>
  </si>
  <si>
    <t>B</t>
  </si>
  <si>
    <t>Calculated DLOM</t>
  </si>
  <si>
    <t>Protective Put (European)</t>
  </si>
  <si>
    <t>Starting Price</t>
  </si>
  <si>
    <t>Strike Price</t>
  </si>
  <si>
    <t>Years to Maturity</t>
  </si>
  <si>
    <t>D1</t>
  </si>
  <si>
    <t>D2</t>
  </si>
  <si>
    <t>Footnotes:</t>
  </si>
  <si>
    <t>Val Date</t>
  </si>
  <si>
    <t>(in millions of USD)</t>
  </si>
  <si>
    <t>Conversion</t>
  </si>
  <si>
    <t>H</t>
  </si>
  <si>
    <t>Capitalization</t>
  </si>
  <si>
    <t>Asset Volatility Key Terms</t>
  </si>
  <si>
    <t>Asset Volatility Calculations</t>
  </si>
  <si>
    <t>Market Cap</t>
  </si>
  <si>
    <t>Debt</t>
  </si>
  <si>
    <t>Pref.</t>
  </si>
  <si>
    <t>Min. Int.</t>
  </si>
  <si>
    <t>Total Debt, Pref., MI</t>
  </si>
  <si>
    <t>MVIC</t>
  </si>
  <si>
    <t>Cash &amp; Equiv.</t>
  </si>
  <si>
    <t>Ent. Value</t>
  </si>
  <si>
    <t>Term</t>
  </si>
  <si>
    <t>Equity Vol.</t>
  </si>
  <si>
    <t>Variance</t>
  </si>
  <si>
    <t>N(D1)</t>
  </si>
  <si>
    <t>N(D2)</t>
  </si>
  <si>
    <t>Call Value</t>
  </si>
  <si>
    <t>Ticker</t>
  </si>
  <si>
    <t>EV</t>
  </si>
  <si>
    <t>Check</t>
  </si>
  <si>
    <t>High</t>
  </si>
  <si>
    <t>Low</t>
  </si>
  <si>
    <t xml:space="preserve">Mean </t>
  </si>
  <si>
    <t>1st Quartile</t>
  </si>
  <si>
    <t>3rd Quartile</t>
  </si>
  <si>
    <t>Source: Capital IQ</t>
  </si>
  <si>
    <t>Equity Volatility</t>
  </si>
  <si>
    <t>Years Lookback</t>
  </si>
  <si>
    <t>CIQ Formula</t>
  </si>
  <si>
    <t>IQ_PRICE_VOL_HIST_3MTH</t>
  </si>
  <si>
    <t>IQ_PRICE_VOL_HIST_6MTH</t>
  </si>
  <si>
    <t>IQ_PRICE_VOL_HIST_YR</t>
  </si>
  <si>
    <t>IQ_PRICE_VOL_HIST_2YR</t>
  </si>
  <si>
    <t>IQ_PRICE_VOL_HIST_5YR</t>
  </si>
  <si>
    <t>Term (Years)</t>
  </si>
  <si>
    <t>Description</t>
  </si>
  <si>
    <t>Cap IQ</t>
  </si>
  <si>
    <t>Min</t>
  </si>
  <si>
    <t>Max</t>
  </si>
  <si>
    <t>IQ36183813</t>
  </si>
  <si>
    <t>IQ36183816</t>
  </si>
  <si>
    <t>IQ36183819</t>
  </si>
  <si>
    <t>IQ36183822</t>
  </si>
  <si>
    <t>IQ36183825</t>
  </si>
  <si>
    <t>IQ36183828</t>
  </si>
  <si>
    <t>IQ36183831</t>
  </si>
  <si>
    <t>IQ36183834</t>
  </si>
  <si>
    <t>IQ36183837</t>
  </si>
  <si>
    <t>IQ36183840</t>
  </si>
  <si>
    <t>IQ36183843</t>
  </si>
  <si>
    <t>Term Same As Risk-Free Rate Duration</t>
  </si>
  <si>
    <t>Interpolated Risk-Free Rate</t>
  </si>
  <si>
    <t>(in thousands of USD, except price per share)</t>
  </si>
  <si>
    <t>Valuation Summary</t>
  </si>
  <si>
    <t>Enterprise Value</t>
  </si>
  <si>
    <t>Less: Total Debt</t>
  </si>
  <si>
    <t>Equity Value</t>
  </si>
  <si>
    <t>Allocation of Value</t>
  </si>
  <si>
    <t>Common Stock</t>
  </si>
  <si>
    <t>Approach</t>
  </si>
  <si>
    <t>PWERM</t>
  </si>
  <si>
    <t>Primary</t>
  </si>
  <si>
    <t xml:space="preserve">Concluded Price Per Share (Non-Marketable, Minority) </t>
  </si>
  <si>
    <t>Allocation Methodology</t>
  </si>
  <si>
    <t>Historical Income Statement</t>
  </si>
  <si>
    <t>Historical Balance Sheet</t>
  </si>
  <si>
    <t>12 Months Ending December 31,</t>
  </si>
  <si>
    <t>Projected</t>
  </si>
  <si>
    <t>Revenue</t>
  </si>
  <si>
    <t>Total</t>
  </si>
  <si>
    <t>Operating Expenses</t>
  </si>
  <si>
    <t>General &amp; Administrative</t>
  </si>
  <si>
    <t>Research &amp; Development</t>
  </si>
  <si>
    <t>Depreciation &amp; Amortization</t>
  </si>
  <si>
    <t>EBITDA</t>
  </si>
  <si>
    <t>EBIT</t>
  </si>
  <si>
    <t>Discount Factor</t>
  </si>
  <si>
    <t>Present Value</t>
  </si>
  <si>
    <t>Time in Period</t>
  </si>
  <si>
    <t>1 Year</t>
  </si>
  <si>
    <t>Operating Income</t>
  </si>
  <si>
    <t>Interest Income/Expense, Net</t>
  </si>
  <si>
    <t>Other Income/Expense, Net</t>
  </si>
  <si>
    <t>Pre-Tax Income (Loss)</t>
  </si>
  <si>
    <t>Net Income (Loss)</t>
  </si>
  <si>
    <t>Other Items:</t>
  </si>
  <si>
    <t>Capital Expenditures</t>
  </si>
  <si>
    <t>(1) General and administrative expenses includes depreciation expense.</t>
  </si>
  <si>
    <t>(1) Reflects financial information as of [DATE}, which Management indicated was the latest available as of the Valuation Date.</t>
  </si>
  <si>
    <t>As of</t>
  </si>
  <si>
    <t>Assets</t>
  </si>
  <si>
    <t>Current Assets</t>
  </si>
  <si>
    <t>Cash &amp; Equivalents</t>
  </si>
  <si>
    <t>Prepaid Expenses</t>
  </si>
  <si>
    <t>Other Current Assets</t>
  </si>
  <si>
    <t>Net Fixed Assets</t>
  </si>
  <si>
    <t>Other Assets</t>
  </si>
  <si>
    <t>Total Current Assets</t>
  </si>
  <si>
    <t>Total Assets</t>
  </si>
  <si>
    <t>Liabilities &amp; Shareholders' Equity</t>
  </si>
  <si>
    <t>Current Liabilities</t>
  </si>
  <si>
    <t>Accounts Payable</t>
  </si>
  <si>
    <t>Accrued Expenses</t>
  </si>
  <si>
    <t>Other Current Liabilities</t>
  </si>
  <si>
    <t>Total Current Liabilities</t>
  </si>
  <si>
    <t>Total Liabilities</t>
  </si>
  <si>
    <t>Common</t>
  </si>
  <si>
    <t xml:space="preserve">Preferred </t>
  </si>
  <si>
    <t>Retained Earnings</t>
  </si>
  <si>
    <t>Shareholders' Equity</t>
  </si>
  <si>
    <t>Total Liabilities &amp; Shareholders' Equity</t>
  </si>
  <si>
    <t>Total Shareholders' Equity</t>
  </si>
  <si>
    <t>CHECK</t>
  </si>
  <si>
    <t>Summary</t>
  </si>
  <si>
    <t>Excess Cash</t>
  </si>
  <si>
    <t>Less: Required Cash</t>
  </si>
  <si>
    <t>Total Cash &amp; Cash Equivalents</t>
  </si>
  <si>
    <t>Total Debt</t>
  </si>
  <si>
    <t>(2)</t>
  </si>
  <si>
    <t>(1)</t>
  </si>
  <si>
    <t>50% to 70%</t>
  </si>
  <si>
    <t>50% to 100%</t>
  </si>
  <si>
    <t>40% to 60%</t>
  </si>
  <si>
    <t>35% to 50%</t>
  </si>
  <si>
    <t>30% to 50%</t>
  </si>
  <si>
    <t>30% to 40%</t>
  </si>
  <si>
    <t>25% to 35%</t>
  </si>
  <si>
    <t>20% to 35%</t>
  </si>
  <si>
    <t>20% to 30%</t>
  </si>
  <si>
    <t xml:space="preserve">Stage of Development </t>
  </si>
  <si>
    <t>Start Up (5)</t>
  </si>
  <si>
    <t>Early Development (6)</t>
  </si>
  <si>
    <t>Expansion (7)</t>
  </si>
  <si>
    <t>Bridge/IPO (8)</t>
  </si>
  <si>
    <t>Equity</t>
  </si>
  <si>
    <t>Cost of Capital</t>
  </si>
  <si>
    <t>Weighting</t>
  </si>
  <si>
    <t>Weighted Cost</t>
  </si>
  <si>
    <t>Cost of Debt</t>
  </si>
  <si>
    <t>Capital Structure Components</t>
  </si>
  <si>
    <t>Tax Rate</t>
  </si>
  <si>
    <t>Post-Tax Cost Of Debt</t>
  </si>
  <si>
    <t>Cost of Equity</t>
  </si>
  <si>
    <t>Unlevered Beta</t>
  </si>
  <si>
    <t>Market Risk Premium</t>
  </si>
  <si>
    <t>&lt;B&gt;</t>
  </si>
  <si>
    <t>&lt;A&gt;*&lt;B&gt;</t>
  </si>
  <si>
    <t>Equity Risk Premium</t>
  </si>
  <si>
    <t>Size Premium</t>
  </si>
  <si>
    <t>Unsystematic Risk Premium</t>
  </si>
  <si>
    <t>Calculated Cost of Equity</t>
  </si>
  <si>
    <t>Calculated</t>
  </si>
  <si>
    <t>Applied</t>
  </si>
  <si>
    <t>Moody's BAA Rate</t>
  </si>
  <si>
    <t>LINK UP</t>
  </si>
  <si>
    <t>(3)</t>
  </si>
  <si>
    <t>(4)</t>
  </si>
  <si>
    <t>(5)</t>
  </si>
  <si>
    <t>Index</t>
  </si>
  <si>
    <t>Frequency</t>
  </si>
  <si>
    <t>M</t>
  </si>
  <si>
    <t>W</t>
  </si>
  <si>
    <t>^SPX</t>
  </si>
  <si>
    <t>^FTSE</t>
  </si>
  <si>
    <t>^XTO</t>
  </si>
  <si>
    <t>Beta Lookback (Years)</t>
  </si>
  <si>
    <t>Levered Beta</t>
  </si>
  <si>
    <t>Start Date</t>
  </si>
  <si>
    <t>D/MVIC</t>
  </si>
  <si>
    <t>E/MVIC</t>
  </si>
  <si>
    <t>Beta Calculation</t>
  </si>
  <si>
    <t>Shares</t>
  </si>
  <si>
    <t>Price</t>
  </si>
  <si>
    <t>Value</t>
  </si>
  <si>
    <t>Rate</t>
  </si>
  <si>
    <t>Capital Structure Component</t>
  </si>
  <si>
    <t>Preferred (Debt-Like)</t>
  </si>
  <si>
    <t>Preferred (Equity-Like)</t>
  </si>
  <si>
    <t>Calculated WACC</t>
  </si>
  <si>
    <t>Expected VC Portfolio Return (Total Preferred)</t>
  </si>
  <si>
    <t>Applied WACC - Enterprise Level (Portfolio Basis)</t>
  </si>
  <si>
    <t>Weighted Average Cost of Capital - CAPM-Based</t>
  </si>
  <si>
    <t>(6)</t>
  </si>
  <si>
    <t>(7)</t>
  </si>
  <si>
    <t>(8)</t>
  </si>
  <si>
    <t>LTM-1</t>
  </si>
  <si>
    <t>LTM</t>
  </si>
  <si>
    <t>Calendar Year</t>
  </si>
  <si>
    <t>Multiples</t>
  </si>
  <si>
    <t>Implied Equity Value</t>
  </si>
  <si>
    <t>Less: Future Financing</t>
  </si>
  <si>
    <t>Gross</t>
  </si>
  <si>
    <t>Net Income</t>
  </si>
  <si>
    <t>Margins</t>
  </si>
  <si>
    <t>IQ_GROSS_MARGIN</t>
  </si>
  <si>
    <t>IQ_EBITDA_MARGIN</t>
  </si>
  <si>
    <t>IQ_EBIT_MARGIN</t>
  </si>
  <si>
    <t>IQ_NI_MARGIN</t>
  </si>
  <si>
    <t>CapIQ Formulas</t>
  </si>
  <si>
    <t>LTM-2</t>
  </si>
  <si>
    <t>Capex as % of Revenue</t>
  </si>
  <si>
    <t>Close Date</t>
  </si>
  <si>
    <t>Target</t>
  </si>
  <si>
    <t>% Sought</t>
  </si>
  <si>
    <t>CIQ ID</t>
  </si>
  <si>
    <t>Stake</t>
  </si>
  <si>
    <t>LTM Multiple</t>
  </si>
  <si>
    <t>LTM Performance</t>
  </si>
  <si>
    <t>NTM Performance</t>
  </si>
  <si>
    <t>NTM Multiple</t>
  </si>
  <si>
    <t>1 Week</t>
  </si>
  <si>
    <t>1 Month</t>
  </si>
  <si>
    <t>Premium</t>
  </si>
  <si>
    <t xml:space="preserve">Options Outstanding </t>
  </si>
  <si>
    <t>Option Pool Remaining</t>
  </si>
  <si>
    <t>Grand Total</t>
  </si>
  <si>
    <t>Conversion Ratio</t>
  </si>
  <si>
    <t>Common Stock Equivalents (CSEs)</t>
  </si>
  <si>
    <t>Redemption</t>
  </si>
  <si>
    <t xml:space="preserve">Dividend Rate </t>
  </si>
  <si>
    <t>Participating Preferred</t>
  </si>
  <si>
    <t>Anti-Dilution</t>
  </si>
  <si>
    <t>No</t>
  </si>
  <si>
    <t>Wtd. Avg.</t>
  </si>
  <si>
    <t>Date Raised</t>
  </si>
  <si>
    <t>Participation Cap Multiple</t>
  </si>
  <si>
    <t>DLOM</t>
  </si>
  <si>
    <t>Allocable Value</t>
  </si>
  <si>
    <t>Time to Liquidity (Years)</t>
  </si>
  <si>
    <t>Option Pricing Model Assumptions</t>
  </si>
  <si>
    <t>Breakpoint Calculations</t>
  </si>
  <si>
    <t>Liquidation Preference Seniority</t>
  </si>
  <si>
    <t>Series B Receives Liquidation Preference</t>
  </si>
  <si>
    <t>Series A Receives Liquidation Preference</t>
  </si>
  <si>
    <t>Liq. Pref</t>
  </si>
  <si>
    <t>Liquidation Preference</t>
  </si>
  <si>
    <t>Shares Outstanding</t>
  </si>
  <si>
    <t>Strike/Stock Price</t>
  </si>
  <si>
    <t>Less: Exercise Proceeds</t>
  </si>
  <si>
    <t>Calculated Breakpoint</t>
  </si>
  <si>
    <t>Allocation</t>
  </si>
  <si>
    <t>Tranche Calculation</t>
  </si>
  <si>
    <t>Range (Low)</t>
  </si>
  <si>
    <t>Range (High)</t>
  </si>
  <si>
    <t>Black Scholes Call (Low)</t>
  </si>
  <si>
    <t>Black Scholes Call (High)</t>
  </si>
  <si>
    <t>Tranche Value</t>
  </si>
  <si>
    <t>D1 Low</t>
  </si>
  <si>
    <t>D1 High</t>
  </si>
  <si>
    <t>D2 Low</t>
  </si>
  <si>
    <t>D2 High</t>
  </si>
  <si>
    <t>Tranche Allocation</t>
  </si>
  <si>
    <t>Value Conclusion</t>
  </si>
  <si>
    <t>Value/Share</t>
  </si>
  <si>
    <t>Conclusion</t>
  </si>
  <si>
    <t>Valuation Date</t>
  </si>
  <si>
    <t>Implied Exit Date</t>
  </si>
  <si>
    <t>Time to Exit (Years)</t>
  </si>
  <si>
    <t>Exit Value</t>
  </si>
  <si>
    <t>Exit Date</t>
  </si>
  <si>
    <t>Exit Metric</t>
  </si>
  <si>
    <t>Exit Metric Value</t>
  </si>
  <si>
    <t>Exit Multiple</t>
  </si>
  <si>
    <t>Amount Raised</t>
  </si>
  <si>
    <t>Expected Date of Raise</t>
  </si>
  <si>
    <t>Required Rate of Return</t>
  </si>
  <si>
    <t>Waterfall</t>
  </si>
  <si>
    <t>Value Allocable to Existing Investors</t>
  </si>
  <si>
    <t>Liquidation Preferences</t>
  </si>
  <si>
    <t>Remainder</t>
  </si>
  <si>
    <t>Shares (As Converted)</t>
  </si>
  <si>
    <t>Present Value Determination - Common</t>
  </si>
  <si>
    <t>Future Value Allocable</t>
  </si>
  <si>
    <t>Future Price Per Share</t>
  </si>
  <si>
    <t>Present Value Per Share</t>
  </si>
  <si>
    <t>Adjusted Present Value Per Share</t>
  </si>
  <si>
    <t>Present Value Determination - Preferred</t>
  </si>
  <si>
    <t>Remaining Allocable Value</t>
  </si>
  <si>
    <t>Exercise Proceeds</t>
  </si>
  <si>
    <t>Total Debt-Like Component</t>
  </si>
  <si>
    <t>Future Allocable Value</t>
  </si>
  <si>
    <t>Probability Weighted</t>
  </si>
  <si>
    <t>Total Equity-Like Component</t>
  </si>
  <si>
    <t>Debt-Like Component</t>
  </si>
  <si>
    <t>Equity-Like Component</t>
  </si>
  <si>
    <t>$/Share</t>
  </si>
  <si>
    <t>Latest Round of Preferred</t>
  </si>
  <si>
    <t>Original Issue Price</t>
  </si>
  <si>
    <t>Template Date</t>
  </si>
  <si>
    <t>Template Inputs</t>
  </si>
  <si>
    <t>Industry - Primary</t>
  </si>
  <si>
    <t>Industry - Niche</t>
  </si>
  <si>
    <t>Project ID</t>
  </si>
  <si>
    <t>Client name</t>
  </si>
  <si>
    <t>Valuation date</t>
  </si>
  <si>
    <t>Engagement lead</t>
  </si>
  <si>
    <t>Engagement analyst</t>
  </si>
  <si>
    <t>Effective tax rate</t>
  </si>
  <si>
    <t>Sr. No.</t>
  </si>
  <si>
    <t>CIQ Ticker</t>
  </si>
  <si>
    <t>Summary Valuation Results</t>
  </si>
  <si>
    <t xml:space="preserve">for </t>
  </si>
  <si>
    <t>Privileged and Confidential</t>
  </si>
  <si>
    <t xml:space="preserve">Forecasting | Modeling | Valuation | Market Assessment
</t>
  </si>
  <si>
    <t>Date Prepared:</t>
  </si>
  <si>
    <t>Scope of valuation</t>
  </si>
  <si>
    <t>Company Name</t>
  </si>
  <si>
    <t>Filing</t>
  </si>
  <si>
    <t>Currency</t>
  </si>
  <si>
    <t>F</t>
  </si>
  <si>
    <t>USD</t>
  </si>
  <si>
    <t>Revenue Analysis</t>
  </si>
  <si>
    <t>EBITDA Analysis</t>
  </si>
  <si>
    <t>Discount Rates</t>
  </si>
  <si>
    <t>Capitalization Summary</t>
  </si>
  <si>
    <t>Asian Put</t>
  </si>
  <si>
    <t>Appendices</t>
  </si>
  <si>
    <t>v2T</t>
  </si>
  <si>
    <t>vT</t>
  </si>
  <si>
    <t>Finnerty</t>
  </si>
  <si>
    <t>Concluded DLOM</t>
  </si>
  <si>
    <t>Type of Client</t>
  </si>
  <si>
    <t>Values</t>
  </si>
  <si>
    <t>Total Trans. Value</t>
  </si>
  <si>
    <t>Price/Book Value</t>
  </si>
  <si>
    <t>Price/Net Income</t>
  </si>
  <si>
    <t>Target Segment</t>
  </si>
  <si>
    <t>Summary of Restricted Stock Studies</t>
  </si>
  <si>
    <t>OPM Term (Years)</t>
  </si>
  <si>
    <t>Angel</t>
  </si>
  <si>
    <t>Common A</t>
  </si>
  <si>
    <t>Common B</t>
  </si>
  <si>
    <t>Common Warrants</t>
  </si>
  <si>
    <t xml:space="preserve">Common Options </t>
  </si>
  <si>
    <t>Series 1</t>
  </si>
  <si>
    <t>Series 2</t>
  </si>
  <si>
    <t>Series 3</t>
  </si>
  <si>
    <t>Series 4</t>
  </si>
  <si>
    <t>Series A</t>
  </si>
  <si>
    <t>Series A-1</t>
  </si>
  <si>
    <t>Series A-2</t>
  </si>
  <si>
    <t>Series A-3</t>
  </si>
  <si>
    <t>Series A-4</t>
  </si>
  <si>
    <t>Series A-5</t>
  </si>
  <si>
    <t>Series B</t>
  </si>
  <si>
    <t>Series B-1</t>
  </si>
  <si>
    <t>Series B-2</t>
  </si>
  <si>
    <t>Series B-3</t>
  </si>
  <si>
    <t>Series C</t>
  </si>
  <si>
    <t>Series C-1</t>
  </si>
  <si>
    <t>Series C-2</t>
  </si>
  <si>
    <t>Series C-3</t>
  </si>
  <si>
    <t>Series D</t>
  </si>
  <si>
    <t>Series E</t>
  </si>
  <si>
    <t>Series F</t>
  </si>
  <si>
    <t>Series FF</t>
  </si>
  <si>
    <t>Series G</t>
  </si>
  <si>
    <t>Series D-1</t>
  </si>
  <si>
    <t>Series D-2</t>
  </si>
  <si>
    <t>Series F-1</t>
  </si>
  <si>
    <t>Share Class</t>
  </si>
  <si>
    <t>Estimated</t>
  </si>
  <si>
    <t>Series D-3</t>
  </si>
  <si>
    <t>Series E-1</t>
  </si>
  <si>
    <t>Series E-2</t>
  </si>
  <si>
    <t>Series E-3</t>
  </si>
  <si>
    <t>Series F-2</t>
  </si>
  <si>
    <t>Series F-3</t>
  </si>
  <si>
    <t>Input #1</t>
  </si>
  <si>
    <t>Input #2</t>
  </si>
  <si>
    <t>Input #3</t>
  </si>
  <si>
    <t>Input #4</t>
  </si>
  <si>
    <t>Select Type</t>
  </si>
  <si>
    <t>Expected Options Grant</t>
  </si>
  <si>
    <t>Yes</t>
  </si>
  <si>
    <t>Dividend Inclusion</t>
  </si>
  <si>
    <t>Dividend Declaration</t>
  </si>
  <si>
    <t>Cumulative</t>
  </si>
  <si>
    <t>Non-Cumulative</t>
  </si>
  <si>
    <t>Not Declared</t>
  </si>
  <si>
    <t>Simple</t>
  </si>
  <si>
    <t>Compounding</t>
  </si>
  <si>
    <t>Total Investment</t>
  </si>
  <si>
    <t>Total Liquidation Preference</t>
  </si>
  <si>
    <t>Liquidation Preference Per Share</t>
  </si>
  <si>
    <t>Shares Outstanding / Converted to Common Stock</t>
  </si>
  <si>
    <t>Last Financial Year Ending</t>
  </si>
  <si>
    <t>(2) Reflects financial information as of [DATE}, which Management indicated was the latest available as of the Valuation Date.</t>
  </si>
  <si>
    <t>Descending Order Only</t>
  </si>
  <si>
    <t>Price / Earnings Analysis</t>
  </si>
  <si>
    <t>Pending points:</t>
  </si>
  <si>
    <t>Probability of exit</t>
  </si>
  <si>
    <t>POTs</t>
  </si>
  <si>
    <t>Capped participation</t>
  </si>
  <si>
    <t>Formatting</t>
  </si>
  <si>
    <t>Guideline</t>
  </si>
  <si>
    <t>Per share price</t>
  </si>
  <si>
    <t>Currency format
Two decimal precision
If it is $0.00, then change to three decimal precision</t>
  </si>
  <si>
    <t>Discount rate</t>
  </si>
  <si>
    <t>Discount factor</t>
  </si>
  <si>
    <t>Any number or dollar value</t>
  </si>
  <si>
    <t>Blue color font</t>
  </si>
  <si>
    <t>Hardcoded value/number (not applicable for text)</t>
  </si>
  <si>
    <t>Other points</t>
  </si>
  <si>
    <t>Do not use any name managers</t>
  </si>
  <si>
    <t>GCM</t>
  </si>
  <si>
    <t>Add multiple summary sheet</t>
  </si>
  <si>
    <t>Add discounting factor</t>
  </si>
  <si>
    <t>OPM</t>
  </si>
  <si>
    <t>Common breakpoint functionality</t>
  </si>
  <si>
    <t>GTM</t>
  </si>
  <si>
    <t>Per share value for each class</t>
  </si>
  <si>
    <t>Hybrid</t>
  </si>
  <si>
    <t>NEW to add</t>
  </si>
  <si>
    <t>Test volatility</t>
  </si>
  <si>
    <t>&lt;&lt;--- Don’t Change</t>
  </si>
  <si>
    <t>Management's Estimate for Exit</t>
  </si>
  <si>
    <t>M&amp;A Probability Split</t>
  </si>
  <si>
    <t>Phase Ib</t>
  </si>
  <si>
    <t>Phase II</t>
  </si>
  <si>
    <t>Scenarios</t>
  </si>
  <si>
    <t>Summary of Probability at Each Development Phase</t>
  </si>
  <si>
    <t>Exit Scenario</t>
  </si>
  <si>
    <t>Phase</t>
  </si>
  <si>
    <t>Date</t>
  </si>
  <si>
    <t>Probability</t>
  </si>
  <si>
    <t>Phase I</t>
  </si>
  <si>
    <t>Phase III</t>
  </si>
  <si>
    <t>NDA/BLA Phase</t>
  </si>
  <si>
    <t>Total P1-Market</t>
  </si>
  <si>
    <t>P1-Market</t>
  </si>
  <si>
    <t>Tufts' 10 Lead Indications</t>
  </si>
  <si>
    <t>BMT All Indications</t>
  </si>
  <si>
    <t>Total PI-Market</t>
  </si>
  <si>
    <t>Done</t>
  </si>
  <si>
    <t>Total Value Allocable By Class</t>
  </si>
  <si>
    <t>Price / Net Book Value Analysis</t>
  </si>
  <si>
    <t>Earnings</t>
  </si>
  <si>
    <t>Total Equity</t>
  </si>
  <si>
    <t>added more functionality such that n/a appears after last breakpoint. Need to test on live project</t>
  </si>
  <si>
    <t>Mergerstat data</t>
  </si>
  <si>
    <t>Please confirm if this needs to be added</t>
  </si>
  <si>
    <t>Outline</t>
  </si>
  <si>
    <t>Exhibit Number</t>
  </si>
  <si>
    <t>PWERM Analysis</t>
  </si>
  <si>
    <t>PWERM - Exit Probabilities</t>
  </si>
  <si>
    <t>PWERM - Probability of Technical Success</t>
  </si>
  <si>
    <t>Option Pricing Method - Breakpoints &amp; Allocation</t>
  </si>
  <si>
    <t>Notes &amp; Assumptions</t>
  </si>
  <si>
    <t>Section</t>
  </si>
  <si>
    <t>Importance</t>
  </si>
  <si>
    <t>Questions</t>
  </si>
  <si>
    <t>Response</t>
  </si>
  <si>
    <t>Notes/Assumptions</t>
  </si>
  <si>
    <t>Questions/Clarifications/Open Items</t>
  </si>
  <si>
    <t>Source</t>
  </si>
  <si>
    <t>Status</t>
  </si>
  <si>
    <t>Difference</t>
  </si>
  <si>
    <t>Difference %</t>
  </si>
  <si>
    <t>File Name</t>
  </si>
  <si>
    <t>CompanyABC VD 12.31.14 Draft Exhibits_v1</t>
  </si>
  <si>
    <t>Part I</t>
  </si>
  <si>
    <t>Part II</t>
  </si>
  <si>
    <t>OPM Details</t>
  </si>
  <si>
    <t>Asset Volatility</t>
  </si>
  <si>
    <t>Equity Volatility Selection Type</t>
  </si>
  <si>
    <t>PWERM Values</t>
  </si>
  <si>
    <t>PWERM Weighting</t>
  </si>
  <si>
    <t>OPM Backsolve</t>
  </si>
  <si>
    <t>PWERM Implied Equity</t>
  </si>
  <si>
    <t>Cash and Equivalents</t>
  </si>
  <si>
    <t>Total Invested Capital</t>
  </si>
  <si>
    <t>Ensure to update this --&gt;&gt;</t>
  </si>
  <si>
    <t>Confirming</t>
  </si>
  <si>
    <t>Workpapers</t>
  </si>
  <si>
    <t>Automated TOC with Workpapers</t>
  </si>
  <si>
    <t>Automated PDF with or w/o Workpapers</t>
  </si>
  <si>
    <t>Mehul</t>
  </si>
  <si>
    <t>Graphs from VRC report page 13</t>
  </si>
  <si>
    <t>Sensitivity in OPM</t>
  </si>
  <si>
    <t>Cap Table - Pie of Pie Chart</t>
  </si>
  <si>
    <t>not created graph for R&amp;D Exp</t>
  </si>
  <si>
    <t xml:space="preserve">Created Pie of Pie chart (added some dummy data using RANDBETWEEN formula) </t>
  </si>
  <si>
    <t>Graph - Price (High/Low) in Equity Vol tab</t>
  </si>
  <si>
    <t>Built for the art and science of the deal</t>
  </si>
  <si>
    <t>Series Seed</t>
  </si>
  <si>
    <t>Company ABC, Inc.</t>
  </si>
  <si>
    <t>Exit Type</t>
  </si>
  <si>
    <t>DO NOT DELETE</t>
  </si>
  <si>
    <t>Non-Structured</t>
  </si>
  <si>
    <t>Estimated Financing</t>
  </si>
  <si>
    <t>Event Date</t>
  </si>
  <si>
    <t>Amount</t>
  </si>
  <si>
    <t>Return</t>
  </si>
  <si>
    <t>One decimal precision
If it is 0.0%, then change to two decimal precision</t>
  </si>
  <si>
    <t>One decimal precision
If it is 0.00, then change to three decimal precision</t>
  </si>
  <si>
    <t>One decimal precision, if it is 0.0, then change to two decimal precision. Don’t put $ sign</t>
  </si>
  <si>
    <t>Label Format #1</t>
  </si>
  <si>
    <t>Label Format #2</t>
  </si>
  <si>
    <t>Label Format #3</t>
  </si>
  <si>
    <t>(in thousands of USD and shares, except price per share)</t>
  </si>
  <si>
    <t>(in millions of USD, except price per share)</t>
  </si>
  <si>
    <t>Label Format #4</t>
  </si>
  <si>
    <t>Label Format #5</t>
  </si>
  <si>
    <t>Value based on balance sheet information provided by Management as of the Valuation Date.</t>
  </si>
  <si>
    <t>Rate based on our observations of the cost of debt for similar stage enterprises.</t>
  </si>
  <si>
    <t xml:space="preserve">Value calculated as the probability-weighted present value of liquidation preferences (or equivalent value to the extent preferred converts/participates) under the PWERM analysis.  </t>
  </si>
  <si>
    <t>The expected rate of return is based on SVB debt rates for venture debt, as well as our observations of subordinated (or mezzanine) debt rates.</t>
  </si>
  <si>
    <t>Value calculated as the probability-weighted present value of returns above and beyond liquidation preferences (or equivalent value to the extent preferred converts/participates).</t>
  </si>
  <si>
    <t>Price of Equity generally reconciles with the concluded price of the Subject Interest.</t>
  </si>
  <si>
    <t>Rate reflects consideration of an implied return to common stock (based on the probability of successful exits under the PWERM) higher than the implied return to preferred investors due to the higher risk profile of common stock relative to preferred stock.</t>
  </si>
  <si>
    <t>&lt;- input final value of common stock</t>
  </si>
  <si>
    <t>Exhibit Labeling</t>
  </si>
  <si>
    <t>Add: Cash</t>
  </si>
  <si>
    <t xml:space="preserve">Weighted Average Cost of Capital - PWERM-Based </t>
  </si>
  <si>
    <t xml:space="preserve">Rate of Return By Stage of Development </t>
  </si>
  <si>
    <t xml:space="preserve">Capitalization Table </t>
  </si>
  <si>
    <t xml:space="preserve">Economic Rights Summary </t>
  </si>
  <si>
    <t>Comparative Sheet</t>
  </si>
  <si>
    <t>Strike price</t>
  </si>
  <si>
    <t>Capex</t>
  </si>
  <si>
    <t>(1) Based on discussions with Management and reflects cash required for operations.</t>
  </si>
  <si>
    <t>Net Working Capital</t>
  </si>
  <si>
    <t>Percentage change in Market</t>
  </si>
  <si>
    <t>Stock Price</t>
  </si>
  <si>
    <t>Stock price</t>
  </si>
  <si>
    <t>Prior valuation date</t>
  </si>
  <si>
    <t>Descending EV order for comps</t>
  </si>
  <si>
    <r>
      <t xml:space="preserve">Overall Success Rates </t>
    </r>
    <r>
      <rPr>
        <i/>
        <sz val="10"/>
        <color theme="1"/>
        <rFont val="Times New Roman"/>
        <family val="1"/>
      </rPr>
      <t>(1)</t>
    </r>
  </si>
  <si>
    <t>Update</t>
  </si>
  <si>
    <t>For the Period Ending December 31,</t>
  </si>
  <si>
    <t>As of December 31,</t>
  </si>
  <si>
    <t>Historical Balance Sheet - Common Size</t>
  </si>
  <si>
    <r>
      <t xml:space="preserve">Plummer </t>
    </r>
    <r>
      <rPr>
        <sz val="10"/>
        <color rgb="FFFFFFFF"/>
        <rFont val="Times New Roman"/>
        <family val="1"/>
      </rPr>
      <t>(2)</t>
    </r>
  </si>
  <si>
    <r>
      <t>Scherlis &amp; Sahlman</t>
    </r>
    <r>
      <rPr>
        <sz val="10"/>
        <color rgb="FFFFFFFF"/>
        <rFont val="Times New Roman"/>
        <family val="1"/>
      </rPr>
      <t xml:space="preserve"> (3)</t>
    </r>
  </si>
  <si>
    <r>
      <t>Sahlman &amp; Others</t>
    </r>
    <r>
      <rPr>
        <sz val="10"/>
        <color rgb="FFFFFFFF"/>
        <rFont val="Times New Roman"/>
        <family val="1"/>
      </rPr>
      <t xml:space="preserve"> (4)</t>
    </r>
  </si>
  <si>
    <t>Probability-Weighted Expected Return Method</t>
  </si>
  <si>
    <t>Financial Performance (Actual &amp; Estimates)</t>
  </si>
  <si>
    <t>Actual</t>
  </si>
  <si>
    <t>Financial Performance (Actual)</t>
  </si>
  <si>
    <t>Overall</t>
  </si>
  <si>
    <t>Market Trends since Previous Valuation</t>
  </si>
  <si>
    <t>Guideline Public Companies</t>
  </si>
  <si>
    <t>Previous Valuation</t>
  </si>
  <si>
    <t>Current Valuation</t>
  </si>
  <si>
    <t>Guideline Public Companies' Revenue Multiples</t>
  </si>
  <si>
    <t>Guideline Public Companies' EBITDA Multiples</t>
  </si>
  <si>
    <t>Guideline Public Companies' Price Multiples</t>
  </si>
  <si>
    <t>Guideline Public Companies' Margins &amp; Cash Flow Metrics</t>
  </si>
  <si>
    <t>Guideline Public Companies' Descriptions</t>
  </si>
  <si>
    <t>Guideline Transactions' Multiples Analysis</t>
  </si>
  <si>
    <t>Guideline Transactions' Target Descriptions</t>
  </si>
  <si>
    <t>Target Companies</t>
  </si>
  <si>
    <r>
      <t>Shareholders</t>
    </r>
    <r>
      <rPr>
        <sz val="10"/>
        <color rgb="FFFFFFFF"/>
        <rFont val="Times New Roman"/>
        <family val="1"/>
      </rPr>
      <t xml:space="preserve"> (1)</t>
    </r>
  </si>
  <si>
    <r>
      <t xml:space="preserve">Asset Vol. </t>
    </r>
    <r>
      <rPr>
        <sz val="10"/>
        <rFont val="Times New Roman"/>
        <family val="1"/>
      </rPr>
      <t>(1)</t>
    </r>
  </si>
  <si>
    <t>VD</t>
  </si>
  <si>
    <t>LAST FYE-1</t>
  </si>
  <si>
    <t>LAST FYE</t>
  </si>
  <si>
    <t>CY+1</t>
  </si>
  <si>
    <t>CY+2</t>
  </si>
  <si>
    <t>CY+3</t>
  </si>
  <si>
    <t>Previous Valuation VD</t>
  </si>
  <si>
    <t>CIQ_ID</t>
  </si>
  <si>
    <t>NAME</t>
  </si>
  <si>
    <t>EXCHANGE</t>
  </si>
  <si>
    <t>FY_END</t>
  </si>
  <si>
    <t>FIRST_PRICE_DATE</t>
  </si>
  <si>
    <t>EBITDA_LTM</t>
  </si>
  <si>
    <t>BETA_5YR</t>
  </si>
  <si>
    <t>BETA_2YR</t>
  </si>
  <si>
    <t>BETA_1YR</t>
  </si>
  <si>
    <t>EFF_TAX</t>
  </si>
  <si>
    <t>CAGR_REV_2YR</t>
  </si>
  <si>
    <t>CAGR_REV_3YR</t>
  </si>
  <si>
    <t>CAGR_REV_5YR</t>
  </si>
  <si>
    <t>CAGR_EBITDA_2YR</t>
  </si>
  <si>
    <t>CAGR_EBITDA_3YR</t>
  </si>
  <si>
    <t>CAGR_EBITDA_5YR</t>
  </si>
  <si>
    <t>Dep &amp; Amort % Rev</t>
  </si>
  <si>
    <t>Term (years)</t>
  </si>
  <si>
    <t>Risk Free Rate</t>
  </si>
  <si>
    <t>BAA Rate</t>
  </si>
  <si>
    <t>IQ2668642</t>
  </si>
  <si>
    <t>Prime Rate</t>
  </si>
  <si>
    <t>%USPMRT</t>
  </si>
  <si>
    <t>CY2016</t>
  </si>
  <si>
    <t>CY2017</t>
  </si>
  <si>
    <t>CY2018</t>
  </si>
  <si>
    <t>Comparable Public Companies (Primary)</t>
  </si>
  <si>
    <t>Year 1</t>
  </si>
  <si>
    <t>Year 2</t>
  </si>
  <si>
    <t>Year 3</t>
  </si>
  <si>
    <t>Year 4</t>
  </si>
  <si>
    <t>Year 5</t>
  </si>
  <si>
    <t>NasdaqGM</t>
  </si>
  <si>
    <t>NM</t>
  </si>
  <si>
    <t>NasdaqGS</t>
  </si>
  <si>
    <t>(Invalid Identifier)</t>
  </si>
  <si>
    <t>Comparable Public Companies (Secondary)</t>
  </si>
  <si>
    <t>(Invalid Transaction Id)</t>
  </si>
  <si>
    <t>United States Treasury Constant Maturity - 1 Month</t>
  </si>
  <si>
    <t>United States Treasury Constant Maturity - 3 Month</t>
  </si>
  <si>
    <t>United States Treasury Constant Maturity - 6 Month</t>
  </si>
  <si>
    <t>United States Treasury Constant Maturity - 1 Year</t>
  </si>
  <si>
    <t>United States Treasury Constant Maturity - 2 Year</t>
  </si>
  <si>
    <t>United States Treasury Constant Maturity - 3 Year</t>
  </si>
  <si>
    <t>United States Treasury Constant Maturity - 5 Year</t>
  </si>
  <si>
    <t>United States Treasury Constant Maturity - 7 Year</t>
  </si>
  <si>
    <t>United States Treasury Constant Maturity - 10 Year</t>
  </si>
  <si>
    <t>United States Treasury Constant Maturity - 20 Year</t>
  </si>
  <si>
    <t>United States Treasury Constant Maturity - 30 Year</t>
  </si>
  <si>
    <t>Rev_LTM-2</t>
  </si>
  <si>
    <t>Rev_LTM-1</t>
  </si>
  <si>
    <t>Rev_LTM</t>
  </si>
  <si>
    <t>EBITDA_LTM-2</t>
  </si>
  <si>
    <t>EBITDA_LTM-1</t>
  </si>
  <si>
    <t>EBITDA_2014</t>
  </si>
  <si>
    <t>EBITDA_2015</t>
  </si>
  <si>
    <t>EBITDA_2016</t>
  </si>
  <si>
    <t>EBITDA_2017</t>
  </si>
  <si>
    <t>EBITDA_2018</t>
  </si>
  <si>
    <t>Exhibit F.2</t>
  </si>
  <si>
    <t>Majority</t>
  </si>
  <si>
    <t>Gross Margin</t>
  </si>
  <si>
    <t>NWC</t>
  </si>
  <si>
    <t>AMEX</t>
  </si>
  <si>
    <t>NasdaqCM</t>
  </si>
  <si>
    <t>Biotechnology</t>
  </si>
  <si>
    <t>Start date</t>
  </si>
  <si>
    <t>bluebird bio, Inc.</t>
  </si>
  <si>
    <t>Voyager Therapeutics, Inc.</t>
  </si>
  <si>
    <t>Cash</t>
  </si>
  <si>
    <t>1-Largest</t>
  </si>
  <si>
    <t>premium</t>
  </si>
  <si>
    <t>Mid-cap, 3-5</t>
  </si>
  <si>
    <t>Low-cap, 6-8</t>
  </si>
  <si>
    <t>Micro-cap, 9-10</t>
  </si>
  <si>
    <t>Breakdown of Deciles 1-10</t>
  </si>
  <si>
    <t>10-Smallest</t>
  </si>
  <si>
    <t>Breakdown of the 10th Decile</t>
  </si>
  <si>
    <t>10a</t>
  </si>
  <si>
    <t>10b-Smallest</t>
  </si>
  <si>
    <t>Long-horizon expected equity risk premium (supply-side) : historical equity risk premium
minus price-to-earnings ratio calculated using three-year average earnings</t>
  </si>
  <si>
    <t>Teaching Note 9-288-006 (Boston: Harvard Business School Publishing, 1989).</t>
  </si>
  <si>
    <t>School Publishing, 1998).</t>
  </si>
  <si>
    <t>to be used substantially for product development, prototype testing, and test marketing.</t>
  </si>
  <si>
    <t>and for which further technical risk is deemed minimal, although commercial risk may be significant.</t>
  </si>
  <si>
    <t>testing, as well as bridge financing in anticipation of a later IPO.</t>
  </si>
  <si>
    <t>Version</t>
  </si>
  <si>
    <t>LFR</t>
  </si>
  <si>
    <t>CY+4</t>
  </si>
  <si>
    <t>CY2019</t>
  </si>
  <si>
    <t>Latest filing date</t>
  </si>
  <si>
    <t>REV_CY2016</t>
  </si>
  <si>
    <t>REV_CY2017</t>
  </si>
  <si>
    <t>REV_CY2018</t>
  </si>
  <si>
    <t>REV_CY2019</t>
  </si>
  <si>
    <t xml:space="preserve"> NWC as % of Revenue</t>
  </si>
  <si>
    <t>Stockprice_EQ_PVD</t>
  </si>
  <si>
    <t>Marketcap_EQ_PVD</t>
  </si>
  <si>
    <t>Debt_EQ_PVD</t>
  </si>
  <si>
    <t>PFD_EQ_PVD</t>
  </si>
  <si>
    <t>MIN_INT_PVD</t>
  </si>
  <si>
    <t>Cash_EQ_PVD</t>
  </si>
  <si>
    <t>Probability of IPO Upon Exit</t>
  </si>
  <si>
    <t>DLOM (1)</t>
  </si>
  <si>
    <t>Acquirer</t>
  </si>
  <si>
    <t xml:space="preserve"> Year - 2016</t>
  </si>
  <si>
    <t>EBITDA Margin</t>
  </si>
  <si>
    <t>EBIT Margin</t>
  </si>
  <si>
    <t>Net Income Margin</t>
  </si>
  <si>
    <t>Business Description</t>
  </si>
  <si>
    <t>Beta Look back year</t>
  </si>
  <si>
    <t>Moody's Bond Yield Avg - BAA Rated Corporates</t>
  </si>
  <si>
    <t>CIQ numbers</t>
  </si>
  <si>
    <t>Unlinked numbers</t>
  </si>
  <si>
    <t>CIQ Check</t>
  </si>
  <si>
    <t>M&amp;A</t>
  </si>
  <si>
    <t>Options (Treasury Method)</t>
  </si>
  <si>
    <t>Value to Options</t>
  </si>
  <si>
    <t>Prob. Wtd. Present Value</t>
  </si>
  <si>
    <t>Applied Probability Weightings</t>
  </si>
  <si>
    <t>Treasury Method - Options</t>
  </si>
  <si>
    <t>Line Items</t>
  </si>
  <si>
    <t>Count</t>
  </si>
  <si>
    <t>RNA Capital Advisors</t>
  </si>
  <si>
    <t>RNA developed a WACC taking into consideration the Company's capital structure.  RNA considered the associated rates (or costs of capital) for the purpose of determining valuation indications of the various securities comprising the Company's capital structure as part of a PWERM analysis.</t>
  </si>
  <si>
    <r>
      <t xml:space="preserve">Probability of Technical Success - Lead Indications </t>
    </r>
    <r>
      <rPr>
        <i/>
        <sz val="10"/>
        <color theme="1"/>
        <rFont val="Times New Roman"/>
        <family val="1"/>
      </rPr>
      <t>(1)</t>
    </r>
  </si>
  <si>
    <t>BMT Lead Indications</t>
  </si>
  <si>
    <t>Lead Optimization</t>
  </si>
  <si>
    <t>Preclinical</t>
  </si>
  <si>
    <t>Source: Biotechnology Industry Organization - February 15, 2011.</t>
  </si>
  <si>
    <t>Source: "Clinical Development Success Rates 2006-2015", Biotechnology Innovation Organization, Biomedtracker and Amplion, Page 9.</t>
  </si>
  <si>
    <t>Source: "Biotechnology Valuation-An Introductory Guide" Karl D. Keegan, Page 67.</t>
  </si>
  <si>
    <t>NasdaqGS:ONCE</t>
  </si>
  <si>
    <t>IQ249341857</t>
  </si>
  <si>
    <t>Spark Therapeutics, Inc.</t>
  </si>
  <si>
    <t>Spark Therapeutics, Inc. focuses on the development of gene therapy products for patients suffering from debilitating genetic diseases. The company develops SPK-RPE65, which is in Phase III clinical trial for the treatment of genetic blinding conditions called inherited retinal diseases caused by non sex-linked, autosomal recessive, or mutations in the RPE65 gene; and SPK-CHM that is in Phase I/II clinical trial for the treatment of choroideremia. It is also developing SPK-FIX program for hemophilia B; SPK-FVIII program to treat hemophilia A; SPK-TPP1 program for the treatment of a form of Batten disease; RhoNova for the treatment of rhodopsin-linked autosomal dominant retinitis pigmentosa; and SPK-LHON for treating Leber hereditary optic neuropathy, as well as preclinical programs in development for the treatment of Huntington's disease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</si>
  <si>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NasdaqGM:CRSP</t>
  </si>
  <si>
    <t>IQ262549448</t>
  </si>
  <si>
    <t>CRISPR Therapeutics AG</t>
  </si>
  <si>
    <t>CRISPR Therapeutics AG focuses on the development of transformative gene-based medicines for serious diseases using its proprietary CRISPR/Cas9 gene-editing platform. The CRISPR/Cas9 technology allows for changes to genomic DNA. The company has strategic collaborations with Bayer AG and Vertex Pharmaceuticals to develop CRISPR-based therapeutics in other diseases. It operates in Switzerland, the United States, and the United Kingdom. CRISPR Therapeutics AG is headquartered in Basel, Switzerland.</t>
  </si>
  <si>
    <t>NasdaqGM:WVE</t>
  </si>
  <si>
    <t>IQ256557334</t>
  </si>
  <si>
    <t>WAVE Life Sciences Ltd.</t>
  </si>
  <si>
    <t>WAVE Life Sciences Ltd., a preclinical biopharmaceutical company, designs, develops, and commercializes nucleic acid therapeutic candidates. The company is developing nucleic acid therapeutics that target genetic defects to either reduce the expression of disease-promoting proteins or transform the production of dysfunctional mutant proteins into the production of functional proteins. Its advanced therapeutic programs are in Huntington’s disease, Duchenne muscular dystrophy (DMD), and inflammatory bowel disease (IBD). In Huntington’s disease, it has programs targeting HTT SNP-1 and HTT SNP-2; in DMD, targeting Exon 51; and in IBD, targeting SMAD7. The company also has product candidates in its programs targeting HTT SNP-1 and Exon 51. In addition, it has late-stage discovery programs in epidermolysis bullosa simplex, targeting KRT14 SNP-1 and KRT14 SNP-2, as well as in DMD, focuses on an additional DMD target, AcRIIb. The company has a research, license, and option agreement with Pfizer Inc. for the discovery, development, and commercialization of stereopure oligonucleotide therapeutics. WAVE Life Sciences Ltd. was founded in 2012 and is based in Cambridge, Massachusetts.</t>
  </si>
  <si>
    <t>NasdaqGS:RGNX</t>
  </si>
  <si>
    <t>IQ130641748</t>
  </si>
  <si>
    <t>Regenxbio Inc.</t>
  </si>
  <si>
    <t>REGENXBIO Inc., a biotechnology company, focuses on the development, commercialization, and licensing of recombinant adeno-associated virus (AAV) gene therapy. The company’s development programs include RGX-501, a product candidate for the treatment of homozygous familial hypercholesterolemia, which uses the AAV8 vector to deliver the human low-density lipoprotein receptor gene to liver cells; and RGX-111, a product candidate for the treatment of Mucopolysaccharidosis Type I, which uses the AAV9 vector to deliver the human a-l-iduronidase gene to the central nervous system (CNS). Its programs also include RGX-121, a product candidate for the treatment of Mucopolysaccharidosis Type II that uses the AAV9 vector to deliver the human iduronate-2-sulfatase gene to the CNS; RGX-314, a product candidate for the treatment of wet age-related macular degeneration; and RGX-321, a product candidate for the treatment of X-linked retinitis pigmentosa. The company was formerly known as REGENX Biosciences, LLC and changed its name to REGENXBIO Inc. in September 2014. REGENXBIO Inc. was founded in 2008 and is headquartered in Rockville, Maryland.</t>
  </si>
  <si>
    <t>NasdaqGS:EDIT</t>
  </si>
  <si>
    <t>IQ252050056</t>
  </si>
  <si>
    <t>Editas Medicine, Inc.</t>
  </si>
  <si>
    <t>Editas Medicine, Inc. operates as a genome editing company. It focuses on treating patients with genetically defined diseases by correcting their disease causing genes. It is developing a proprietary genome editing platform based on CRISPR/Cas9 technology to target genetically defined diseases with an initial focus on debilitating illnesses where there are no approved treatments. Editas Medicine, Inc. has a collaboration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headquartered in Cambridge, Massachusetts.</t>
  </si>
  <si>
    <t>NasdaqGS:NK</t>
  </si>
  <si>
    <t>IQ262241549</t>
  </si>
  <si>
    <t>NantKwest, Inc.</t>
  </si>
  <si>
    <t>NantKwest, Inc., a biotechnology company, engages in developing immunotherapeutic agents for various clinical conditions in the United States. The company’s product candidates include activated natural killer candidates for the treatment of virally-induced cancers, such as human papilloma virus induced cervical, and head and neck cancers; ebola; and serious viral, fungal, and bacterial infections, as well as that is in Phase II clinical trials for the treatment of polyoma virus induced merkel cell carcinoma. It is also developing high-affinity natural killer product candidates primarily for the treatment of solid tumors, breast cancer, multiple myeloma, lymphoma, and colorectal cancer; and target activated natural killer product candidates for the treatment of breast cancer, non-hodgkin lymphoma, and myelodysplastic syndrome. The company has a co-development agreement with Altor BioScience Corporation to collaborate on the development of therapeutic applications combining Altor’s proprietary IL-15 superagonist (ALT-803) and its single-chain T cell receptor/IL-2 fusion protein products with the company’s proprietary NK cell therapy platforms for oncology indications. The company was formerly known as Conkwest, Inc. and changed its name to NantKwest, Inc. in July 2015. NantKwest, Inc. was founded in 2002 and is headquartered in San Diego, California.</t>
  </si>
  <si>
    <t>NasdaqGM:NTLA</t>
  </si>
  <si>
    <t>IQ277799796</t>
  </si>
  <si>
    <t>Intellia Therapeutics Inc.</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</si>
  <si>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and ex vivo applications of the technology in chimeric antigen receptor T cell and hematopoietic stem cell product candidates. It has a strategic collaboration and license agreement with Novartis focused on the development of new ex vivo CRISPR/Cas9-based therapies. Intellia Therapeutics Inc. was formerly known as AZRN, Inc. and changed its name to Intellia Therapeutics Inc. in July 2014. The company was founded in 2014 and is headquartered in Cambridge, Massachusetts.</t>
  </si>
  <si>
    <t>NasdaqGM:BOLD</t>
  </si>
  <si>
    <t>IQ243223852</t>
  </si>
  <si>
    <t>Audentes Therapeutics, Inc.</t>
  </si>
  <si>
    <t>Audentes Therapeutics, Inc., a biotechnology company, focuses on developing and commercializing gene therapy products for patients suffering from diseases caused by single gene defects in the United States. The company is developing four products, including AT132 for the treatment of X-linked myotubular myopathy; AT342 for the treatment of crigler-najjar syndrome type 1; AT307 for the treatment of the CASQ2 subtype of catecholaminergic polymorphic ventricular tachycardia; and AT982 for the treatment of pompe disease. Audentes Therapeutics, Inc. has a collaboration with the University of Pennsylvania to develop AT342, an AAV gene therapy for Crigler-Najjar Syndrome, an inherited, metabolic liver disease. The company was founded in 2012 and is based in San Francisco, California.</t>
  </si>
  <si>
    <t>NasdaqGS:SYRS</t>
  </si>
  <si>
    <t>IQ236291486</t>
  </si>
  <si>
    <t>Syros Pharmaceuticals, Inc.</t>
  </si>
  <si>
    <t>Syros Pharmaceuticals, Inc., a biopharmaceutical company, focuses on developing treatments for cancer and immune-mediated diseases, and building a pipeline of gene control medicines. It intends to begin a Phase II clinical trial for its lead product candidate, SY-1425 (tamibarotene); and to initiate a Phase I/II clinical trial for its SY-1365 candidate, initially for the treatment of acute leukemia. Syros Pharmaceuticals, Inc. The company was formerly known as LS22, Inc. Syros Pharmaceuticals, Inc. was founded in 2011 and is based in Cambridge, Massachusetts.</t>
  </si>
  <si>
    <t>NasdaqGM:IMDZ</t>
  </si>
  <si>
    <t>NasdaqCM:PZRX</t>
  </si>
  <si>
    <t>IQ41693120</t>
  </si>
  <si>
    <t>PhaseRx, Inc.</t>
  </si>
  <si>
    <t>PhaseRx, Inc., a biopharmaceutical company, engages in developing a portfolio of mRNA products to correct life-threatening inherited liver diseases in children. Its initial product development focus is on urea cycle disorders, a group of rare genetic diseases that generally present before the age of 12 and are characterized by the body's inability to remove ammonia from the blood. The company's i-ERT approach is enabled by its proprietary Hybrid mRNA Technology platform and is applicable to various inherited liver diseases. Its product pipeline includes PRX-OTC for Ornithine Transarbamylase deficiency; PRX-ASL for Argininosuccinate Lyase deficiency; and PRX-ASS1 for Argininosuccinatesynthetase 1 deficiency. The company was incorporated in 2006 and is headquartered in Seattle, Washington.</t>
  </si>
  <si>
    <t>OTCPK</t>
  </si>
  <si>
    <t xml:space="preserve">Based on information published in the AICPA Practice Aid under Appendix B. </t>
  </si>
  <si>
    <t>James L. Plummer, QED Report on Venture Capital Financial Analysis (Palo Alto: QED Research, Inc., 1987).</t>
  </si>
  <si>
    <t xml:space="preserve">Daniel R. Scherlis and William A. Sahlman, “A Method for Valuing High-Risk, Long Term, Investments: The Venture Capital Method,” Harvard Business School </t>
  </si>
  <si>
    <t xml:space="preserve">William A. Sahlman, Howard H. Stevenson, Amar V. Bhide, et al., “Financing Entrepreneurial Ventures,” Business Fundamental Series (Boston: Harvard Business </t>
  </si>
  <si>
    <t xml:space="preserve">As described in the publications referenced herein, Start Up-stage investments typically are made in enterprises that are less than a year old. The venture funding is </t>
  </si>
  <si>
    <t xml:space="preserve">As described in the publications referenced herein, Early Development-stage investments are made in enterprises that have developed prototypes that appear viable </t>
  </si>
  <si>
    <t>As described in the publications referenced herein, enterprises in the Expansion stage usually have shipped some product to consumers (including beta versions).</t>
  </si>
  <si>
    <t xml:space="preserve">As described in the publications referenced herein, Bridge/IPO-stage financing covers such activities as pilot plant construction, production design, and production </t>
  </si>
  <si>
    <t>Outliers above</t>
  </si>
  <si>
    <t>Outliers below</t>
  </si>
  <si>
    <r>
      <t xml:space="preserve">The derivation of asset volatilities was estimated based on the methodologies outlined in Crosbie's paper entitled </t>
    </r>
    <r>
      <rPr>
        <i/>
        <sz val="10"/>
        <color theme="1"/>
        <rFont val="Times New Roman"/>
        <family val="1"/>
      </rPr>
      <t>Modeling Default Risk</t>
    </r>
    <r>
      <rPr>
        <sz val="10"/>
        <color theme="1"/>
        <rFont val="Times New Roman"/>
        <family val="1"/>
      </rPr>
      <t>.</t>
    </r>
  </si>
  <si>
    <t>Debt reflects senior debt based on the balance sheet as of the Valuation Date.</t>
  </si>
  <si>
    <t>Debt reflects senior debt based on the balance sheet as of the Valuation Date plus the value of liquidation preferences under the OPM for preferred stock.</t>
  </si>
  <si>
    <t>Difference (in Months)</t>
  </si>
  <si>
    <t>Based on information provided by Management.</t>
  </si>
  <si>
    <t>Completed Date</t>
  </si>
  <si>
    <t>Deal Type</t>
  </si>
  <si>
    <t>Licensee</t>
  </si>
  <si>
    <t>Licensor</t>
  </si>
  <si>
    <t>Deal Value</t>
  </si>
  <si>
    <t>Upfront Payment</t>
  </si>
  <si>
    <t>Upfront as a % of Deal Value</t>
  </si>
  <si>
    <t>TRACON Pharmaceuticals, Inc.</t>
  </si>
  <si>
    <t>Johnson &amp; Johnson</t>
  </si>
  <si>
    <t>Pfizer Inc.</t>
  </si>
  <si>
    <t>AbbVie Inc.</t>
  </si>
  <si>
    <t>Celgene Corporation</t>
  </si>
  <si>
    <t>Eli Lilly and Company</t>
  </si>
  <si>
    <t>Astellas Pharma Inc.</t>
  </si>
  <si>
    <t>Discovery</t>
  </si>
  <si>
    <t>Novo Nordisk A/S</t>
  </si>
  <si>
    <t>Eisai Co., Ltd.</t>
  </si>
  <si>
    <t>Corvus Pharmaceuticals, Inc.</t>
  </si>
  <si>
    <t>Syndax Pharmaceuticals, Inc.</t>
  </si>
  <si>
    <t>Marketed</t>
  </si>
  <si>
    <t>Harbin Gloria Pharmaceuticals Co., Ltd</t>
  </si>
  <si>
    <t>Sucampo Pharmaceuticals, Inc.</t>
  </si>
  <si>
    <t>NDA</t>
  </si>
  <si>
    <t>Blueprint Medicines Corporation</t>
  </si>
  <si>
    <t>IPO - METRICS (BIOPHARMA)</t>
  </si>
  <si>
    <t>IPO</t>
  </si>
  <si>
    <t>Offering Price at IPO</t>
  </si>
  <si>
    <t>Price Range</t>
  </si>
  <si>
    <t>Trading Price after 1 month of listing</t>
  </si>
  <si>
    <t>Shares Offered</t>
  </si>
  <si>
    <t>Shares After IPO</t>
  </si>
  <si>
    <t>Pre-IPO 
Equity Value</t>
  </si>
  <si>
    <t>Company ID</t>
  </si>
  <si>
    <t>Post IPO Value</t>
  </si>
  <si>
    <t>Public Companies</t>
  </si>
  <si>
    <t>Company Ticker</t>
  </si>
  <si>
    <t>ID</t>
  </si>
  <si>
    <t>Ra Pharmaceuticals, Inc.</t>
  </si>
  <si>
    <t>NasdaqGM:RARX</t>
  </si>
  <si>
    <t>IQTR403436222</t>
  </si>
  <si>
    <t>IQ58798789</t>
  </si>
  <si>
    <t>Ra Pharmaceuticals, Inc., a clinical-stage biopharmaceutical company, engages in the discovery and development of novel therapeutics for the treatment of diseases caused by excessive or uncontrolled activation of the complement system. Its peptide chemistry platform delivers enables the production of synthetic macrocyclic peptides that combine the diversity and specificity of antibodies with the pharmacological properties of small molecules. The company’s lead product candidate is RA101495, an injection into the tissue under the skin for the treatment of paroxysmal nocturnal hemoglobinuria (PNH). It also develops Factor D inhibition for age-related macular degeneration and geographic atrophy; Oral C5 inhibitor for refractory generalized myasthenia gravis, lupus nephritis, and central nervous system (CNS) diseases; C1s inhibition for autoimmune/CNS diseases. The company has multi-target collaboration and license agreement with Merck &amp; Co., Inc. Ra Pharmaceuticals, Inc. was founded in 2008 and is based in Cambridge, Massachusetts.</t>
  </si>
  <si>
    <t>IQTR383418153</t>
  </si>
  <si>
    <t>AzurRx BioPharma, Inc.</t>
  </si>
  <si>
    <t>NasdaqCM:AZRX</t>
  </si>
  <si>
    <t>IQTR374467498</t>
  </si>
  <si>
    <t>IQ261738327</t>
  </si>
  <si>
    <t>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t>
  </si>
  <si>
    <t>Novan, Inc.</t>
  </si>
  <si>
    <t>NasdaqGM:NOVN</t>
  </si>
  <si>
    <t>IQTR381637523</t>
  </si>
  <si>
    <t>IQ115977469</t>
  </si>
  <si>
    <t>Novan, Inc., a clinical-stage drug development company, focuses on the development and commercialization of nitric oxide-based therapies in dermatology. Its lead product candidate is SB204, a cosmetically elegant topical gel that targets multiple mechanisms of action for the treatment of acne vulgaris. The company’s product candidates also include SB206, SB208, and SB414, which are targeted toward the treatment of either a specific microorganism or inflammatory components of disease pathology. Novan, Inc. was founded in 2006 and is headquartered in Durham, North Carolina.</t>
  </si>
  <si>
    <t>Protagonist Therapeutics, Inc.</t>
  </si>
  <si>
    <t>NasdaqGM:PTGX</t>
  </si>
  <si>
    <t>IQTR373820913</t>
  </si>
  <si>
    <t>IQ129263324</t>
  </si>
  <si>
    <t>Protagonist Therapeutics, Inc., a clinical-stage biopharmaceutical company, focuses on discovering and developing peptide-based new chemical entities to address significant unmet medical needs. Its product candidates include PTG-100, which has first-in-class potential as an oral, a4b7 integrin-specific antagonist peptide for the treatment of inflammatory bowel disease (IBD); PTG-200, a gastrointestinal-restricted peptide product candidate for the treatment of IBD; and PTG-300, an injectable hepcidin mimetic peptide for the treatment of iron overload disorders, such as transfusion-dependent b-Thalassemia, hereditary hemochromatosis, and sickle cell disease. The company was founded in 2006 and is headquartered in Milpitas, California.</t>
  </si>
  <si>
    <t>Gemphire Therapeutics Inc.</t>
  </si>
  <si>
    <t>NasdaqGM:GEMP</t>
  </si>
  <si>
    <t>IQTR331335499</t>
  </si>
  <si>
    <t>IQ290658496</t>
  </si>
  <si>
    <t>Gemphire Therapeutics Inc., a clinical-stage biopharmaceutical company, focuses on developing and commercializing therapies for the treatment of dyslipidemia cardiovascular disease. Its product candidate is gemcabene (CI-1027), an oral therapy for patients who are unable to achieve normal levels of LDL-C or triglycerides with currently approved therapies. The company was founded in 2008 and is headquartered in Northville, Michigan.</t>
  </si>
  <si>
    <t>Kadmon Holdings, LLC</t>
  </si>
  <si>
    <t>NYSE:KDMN</t>
  </si>
  <si>
    <t>IQTR377971681</t>
  </si>
  <si>
    <t>IQ114935891</t>
  </si>
  <si>
    <t>Kadmon Holdings, LLC, a biopharmaceutical company, discovers, develops, and commercializes small molecules and biologics to address unmet medical needs. The company markets and distributes a portfolio of branded generic ribavirin products for chronic hepatitis C virus infection; co-promotes a product for chronic weight management; distributes products for chorea, cytomegalovirus retinitis, and for the prevention of CMV disease. It is also developing product candidates in autoimmune and fibrotic diseases, oncology, and genetic diseases. The company is headquartered in New York, New York.</t>
  </si>
  <si>
    <t>IQTR321225694</t>
  </si>
  <si>
    <t>IQTR345618574</t>
  </si>
  <si>
    <t>Selecta Biosciences, Inc.</t>
  </si>
  <si>
    <t>NasdaqGM:SELB</t>
  </si>
  <si>
    <t>IQTR342393493</t>
  </si>
  <si>
    <t>IQ53339386</t>
  </si>
  <si>
    <t>Selecta Biosciences, Inc., a clinical-stage biotechnology company, develops targeted therapies that use immunomodulators encapsulated in nanoparticles to induce antigen-specific immune responses to prevent and treat disease. The company focus is on developing and commercializing differentiated therapies that are designed to modulate the immune system to effectively and safely treat rare diseases by mitigating the formation of anti-drug antibodies in response to life-sustaining biologic drugs. Its lead product candidate is SEL-212 for the treatment of refractory and chronic tophaceous gout. The company serves customers in the United States and internationally. Selecta Biosciences, Inc. was founded in 2007 and is headquartered in Watertown, Massachusetts.</t>
  </si>
  <si>
    <t>Moleculin Biotech, Inc.</t>
  </si>
  <si>
    <t>NasdaqCM:MBRX</t>
  </si>
  <si>
    <t>IQTR324310661</t>
  </si>
  <si>
    <t>IQ320105606</t>
  </si>
  <si>
    <t>Moleculin Biotech, Inc., a preclinical and clinical-stage pharmaceutical company, focuses on the development of anti-cancer drug candidates. Its lead drug candidate is liposomal Annamycin, an anthracycline intended for the treatment of relapsed or refractory acute myeloid leukemia. The company also develops other drugs, including WP1066 Portfolio, a portfolio of small molecules targeting the modulation of transcription factors involved in cancer; and WP1122 Portfolio, a suite of molecules targeting the metabolic processes involved in cancer and glioblastoma. Moleculin Biotech, Inc. was founded in 2015 and is headquartered in Houston, Texas.</t>
  </si>
  <si>
    <t>Reata Pharmaceuticals, Inc.</t>
  </si>
  <si>
    <t>NasdaqGM:RETA</t>
  </si>
  <si>
    <t>IQTR321226326</t>
  </si>
  <si>
    <t>IQ6966894</t>
  </si>
  <si>
    <t>Reata Pharmaceuticals, Inc., a clinical stage biopharmaceutical company, focuses on identifying, developing, and commercializing product candidates that modulate the activity of key regulatory proteins involved in the biology of mitochondrial function, oxidative stress, and inflammation to address the unmet medical needs of patients with various serious or life-threatening diseases. The company focuses on drugs with novel mechanisms of action that modulate regulatory proteins called transcription factors. Its lead product candidates include bardoxolone methyl and RTA 408, which are members of a class of small molecules called antioxidant inflammation modulators. It is involved in LARIAT, a Phase II study of bardoxolone methyl for the treatment of pulmonary arterial hypertension and pulmonary hypertension due to interstitial lung disease. RTA 408 is in Phase II clinical development for the treatment of multiple diseases, including Friedreich’s ataxia and mitochondrial myopathies. Reata Pharmaceuticals, Inc. was formerly known as Reata Discovery, Inc. and changed its name to Reata Pharmaceuticals, Inc. in May 2005. The company was founded in 2002 and is headquartered in Irving, Texas.</t>
  </si>
  <si>
    <t>Merus B.V.</t>
  </si>
  <si>
    <t>NasdaqGM:MRUS</t>
  </si>
  <si>
    <t>IQTR314642761</t>
  </si>
  <si>
    <t>IQ24929296</t>
  </si>
  <si>
    <t>Merus B.V., a clinical-stage immuno-oncology company, engages in developing bispecific antibody therapeutics. Its lead bispecific antibody candidate is MCLA-128, which is in Phase I/II clinical trials in Europe for the treatment of various solid tumors, including breast, colorectal, and ovarian cancers. The company also develops MCLA-117, a bispecific antibody candidate that is expected to commence a Phase I/II clinical trial for the treatment of patients with acute myeloid leukemia, as well as for the treatment of myelodysplastic syndrome in pre-clinical studies. Its pre-clinical bispecific antibody candidates include MCLA-134, MCLA-114, and MCLA-145, as well as other early research projects. The company has a strategic collaboration with Gustave Roussy to develop innovative bispecific antibodies for therapeutic immuno-oncology applications. Merus B.V. was founded in 2003 and is headquartered in Utrecht, the Netherlands.</t>
  </si>
  <si>
    <t>IQTR340252019</t>
  </si>
  <si>
    <t>Oncobiologics, Inc.</t>
  </si>
  <si>
    <t>NasdaqGM:ONS</t>
  </si>
  <si>
    <t>IQTR322256741</t>
  </si>
  <si>
    <t>IQ145859589</t>
  </si>
  <si>
    <t>Oncobiologics, Inc., a clinical-stage biopharmaceutical company, focuses on identifying, developing, manufacturing, and commercializing complex biosimilar therapeutics in the disease areas of immunology and oncology. It engages in developing ONS-3010, an adalimumab (Humira) biosimilar, which is in Phase 1 clinical trial. Humira is a subcutaneous injectable monoclonal antibody (mAb) that binds to tumor necrosis factor-alpha. The company also develops ONS-1045, a bevacizumab (Avastin) biosimilar that has completed a Phase 1 clinical trial. Avastin is a mAb administered by infusion that interferes with tumor growth by binding to vascular endothelial growth factor. In addition, it develops ONS-1050, a trastuzumab (Herceptin) biosimilar. Herceptin is a mAb administered by infusion that binds to human epidermal growth factor receptor 2. Further, the company develops ONS-4010, a biosimilar to denosumab (Prolia/Xgeva), has cell lines developed with clone selection completed. Oncobiologics, Inc. has collaboration and license agreements with Selexis SA; IPCA Laboratories Limited; Laboratories Liomont, S.A. de C.V.; and Zhejiang Huahai Pharmaceutical Co., Ltd. The company was founded in 2010 and is headquartered in Cranbury, New Jersey.</t>
  </si>
  <si>
    <t>IQTR330695573</t>
  </si>
  <si>
    <t>Spring Bank Pharmaceuticals, Inc.</t>
  </si>
  <si>
    <t>NasdaqCM:SBPH</t>
  </si>
  <si>
    <t>IQTR321347619</t>
  </si>
  <si>
    <t>IQ108747575</t>
  </si>
  <si>
    <t>Aeglea Biotherapeutics, Inc.</t>
  </si>
  <si>
    <t>NasdaqGM:AGLE</t>
  </si>
  <si>
    <t>IQTR304173186</t>
  </si>
  <si>
    <t>IQ253892234</t>
  </si>
  <si>
    <t>Aeglea Biotherapeutics, Inc., a biopharmaceutical company, engages in developing engineered human enzymes for the treatment of inborn errors of metabolism and cancer. It develops AERase/AEB1102, an amino acid for the degradation of arginine in the circulation, as well as for the treatment of hyperargininemia and cancer; and AECase/AEB3103, an engineered and PEGylated human cysteine/cystine degrading enzyme that increases oxidative stress through glutathione depletion for treatment of hematologic and solid malignancies. The company also engages in developing AEMase/AEB2109, an engineered human enzyme that degrades methionine for the treatment of solid tumors; and AEB4104, an engineered human enzyme that degrades homocysteine in the circulation for the treatment of inborn error of metabolism homocystinuria. It has a strategic partnership with KBI Biopharma. Aeglea Biotherapeutics, Inc. was formerly known as Aeglea BioTherapeutics Holdings, LLC. The company was founded in 2013 and is based in Austin, Texas.</t>
  </si>
  <si>
    <t>NasdaqGM:CRVS</t>
  </si>
  <si>
    <t>Phase I/Ib</t>
  </si>
  <si>
    <t>IQTR321229945</t>
  </si>
  <si>
    <t>IQ279359732</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</si>
  <si>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plan to initiate a Phase 1/1b clinical trial for adenosine, an immune checkpoint. The company also develops a product candidate, an anti-CD73 monoclonal antibody that inhibits the production of adenosine. Corvus Pharmaceuticals, Inc. was founded in 2014 and is based in Burlingame, California.</t>
  </si>
  <si>
    <t>NasdaqGS:SNDX</t>
  </si>
  <si>
    <t>IQTR321228672</t>
  </si>
  <si>
    <t>IQ27240138</t>
  </si>
  <si>
    <t>Syndax Pharmaceuticals, Inc., a late-stage biopharmaceutical company, focuses on the development and commercialization of therapeutics in oncology. The company’s lead product candidate is entinostat, an epigenetic therapy for treatment-resistant cancers, such as breast cancer and lung cancer, as well as other indications comprising solid tumors and hematological malignancies. Its Entinostat is an oral histone deacetylase inhibitor that targets cancer cell growth and resistance pathways that limit the effectiveness and durability of cancer therapies. The company has a collaborative research and development agreement with the National Cancer Institute; and Genentech. Syndax Pharmaceuticals, Inc. was founded in 2005 and is headquartered in Waltham, Massachusetts.</t>
  </si>
  <si>
    <t>AveXis, Inc.</t>
  </si>
  <si>
    <t>NasdaqGS:AVXS</t>
  </si>
  <si>
    <t>IQTR322268720</t>
  </si>
  <si>
    <t>IQ259659904</t>
  </si>
  <si>
    <t>AveXis, Inc., a clinical-stage gene therapy company, engages in developing and commercializing novel treatments for patients suffering from rare and life-threatening neurological genetic diseases. Its initial product candidate is AVXS-101, a gene therapy product candidate that is in a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t>
  </si>
  <si>
    <t>Proteostasis Therapeutics, Inc.</t>
  </si>
  <si>
    <t>NasdaqGM:PTI</t>
  </si>
  <si>
    <t>IQTR320299118</t>
  </si>
  <si>
    <t>IQ46008307</t>
  </si>
  <si>
    <t>Proteostasis Therapeutics, Inc., a biopharmaceutical company, develops therapeutics to treat protein conformational diseases. Its lead product candidate is PTI-428, an orally bioavailable cystic fibrosis transmembrane conductance regulator modulator belonging to the amplifier class. The company is also developing PTI-NC-733, a novel combination therapy; and PTI-130 for the treatment of chronic obstructive pulmonary disease. It has strategic alliance with Biogen New Ventures Inc. to enhance the clearance of misfolded aggregation-prone proteins in neurodegenerative diseases, such as in Alzheimer’s and Parkinson’s disease; and Astellas Pharma Inc. to research, develop, and commercialize therapies targeting unfolded protein response. The company was formerly known as Proteoguard, Inc. and changed its name to Proteostasis Therapeutics, Inc. in September 2007. Proteostasis Therapeutics, Inc. was founded in 2006 and is based in Cambridge, Massachusetts.</t>
  </si>
  <si>
    <t>IQTR321228585</t>
  </si>
  <si>
    <t>Axsome Therapeutics, Inc.</t>
  </si>
  <si>
    <t>IQTR313935119</t>
  </si>
  <si>
    <t>IQ241907563</t>
  </si>
  <si>
    <t>Axsome Therapeutics, Inc., a clinical stage biopharmaceutical company, develops therapies for the management and treatment of central nervous system disorders. Its product candidates include AXS-02, which is in Phase III trial for the treatment of complex regional pain syndrome, knee osteoarthritis, and chronic low back pain; and AXS-05 that is in Phase III trial for the treatment of resistant depression and agitation in patients with Alzheimer's disease. The company is also developing AXS-06 for the treatment of chronic pain disorders. Axsome Therapeutics, Inc. was founded in 2012 and is based in New York, New York.</t>
  </si>
  <si>
    <t>NasdaqGS:VYGR</t>
  </si>
  <si>
    <t>IQTR313272598</t>
  </si>
  <si>
    <t>IQ256887902</t>
  </si>
  <si>
    <t>IQTR313273040</t>
  </si>
  <si>
    <t>MyoKardia, Inc.</t>
  </si>
  <si>
    <t>NasdaqGS:MYOK</t>
  </si>
  <si>
    <t>IQTR312333034</t>
  </si>
  <si>
    <t>IQ217502341</t>
  </si>
  <si>
    <t>MyoKardia, Inc., a clinical stage biopharmaceutical company, engages in discovering, developing, and commercializing therapies for the treatment of serious and neglected rare cardiovascular diseases. Its lead product candidate is MYK-461, a small molecule that is in three Phase I clinical trials designed to reduce excessive cardiac muscle contractility leading to hypertrophic cardiomyopathy (HCM). The company also develops DCM-1, a drug compound that treats heritable dilated cardiomyopathy (DCM) by restoring normal contractility in the diseased DCM heart. In addition, it develops HCM-2, a product candidate to reduce cardiac muscle contractility to normal levels in HCM patients; and LUS-1, a product candidate, which is intended to counteract a muscle disruption that results in impaired relaxation of the heart. The company has a strategic collaboration with Sanofi S.A. MyoKardia, Inc. was founded in 2012 and is headquartered in South San Francisco, California.</t>
  </si>
  <si>
    <t>Dimension Therapeutics, Inc.</t>
  </si>
  <si>
    <t>NasdaqGS:DMTX</t>
  </si>
  <si>
    <t>Phase I/II</t>
  </si>
  <si>
    <t>IQTR311391393</t>
  </si>
  <si>
    <t>IQ249256428</t>
  </si>
  <si>
    <t>Dimension Therapeutics, Inc., a gene therapy platform company, focuses on discovering and developing therapeutic products for people living with rare diseases associated with the liver and caused by genetic mutations. The company's pipeline of programs includes DTX101, a lead gene therapy product candidate designed to deliver Factor IX, gene expression in patients with hemophilia B; DTX201, a gene therapy program for the treatment of hemophilia A; DTX301, a gene therapy product candidate for the treatment of patients with ornithine transcarbamylase deficiency; and DTX401, a gene therapy program for the treatment of patients with glycogen storage disease type Ia, a disease that arises from a defect in glucose-6-phosphatase. Dimension Therapeutics, Inc. was founded in 2013 and is based Cambridge, Massachusetts.</t>
  </si>
  <si>
    <t>Cerecor Inc.</t>
  </si>
  <si>
    <t>NasdaqCM:CERC</t>
  </si>
  <si>
    <t>IQTR303906594</t>
  </si>
  <si>
    <t>IQ145313032</t>
  </si>
  <si>
    <t>Cerecor Inc., a clinical-stage biopharmaceutical company, develops drugs to treat patients with neurological and psychiatric disorders. It develops CERC-301 that is in Phase II development stage for the adjunctive treatment of patients with major depressive disorder (MDD); CERC-501, which is in Phase II development stage for the adjunctive treatment of MDD, as well as to treat substance use disorders; and CERC-406 that is in preclinical stage to treat residual cognitive impairment symptoms in patients with MDD. The company was formerly known as Ceregen Corporation and changed its name to Cerecor Inc. in March 2011. Cerecor Inc. was founded in 2011 and is headquartered in Baltimore, Maryland.</t>
  </si>
  <si>
    <t>CytomX Therapeutics, Inc.</t>
  </si>
  <si>
    <t>NasdaqGS:CTMX</t>
  </si>
  <si>
    <t>IQTR310274522</t>
  </si>
  <si>
    <t>IQ60504284</t>
  </si>
  <si>
    <t>CytomX Therapeutics, Inc. operates as an oncology-focused biopharmaceutical company in the United States. The company develops novel class of antibody therapeutics based on its Probody technology platform that address clinically-validated cancer targets in immuno-oncology, such as PD-L1, as well as novel targets, comprising CD-166. In addition, it has strategic collaborations with Bristol-Myers Squibb Company, Pfizer Inc., ImmunoGen, Inc., and The University of Texas M. D. Anderson Cancer Center to develop selected Probody therapeutics. The company was founded in 2008 and is headquartered in South San Francisco, California.</t>
  </si>
  <si>
    <t>Aclaris Therapeutics, Inc.</t>
  </si>
  <si>
    <t>NasdaqGS:ACRS</t>
  </si>
  <si>
    <t>IQTR309467401</t>
  </si>
  <si>
    <t>IQ216879819</t>
  </si>
  <si>
    <t>Aclaris Therapeutics, Inc., a clinical-stage specialty pharmaceutical company, focuses on identifying, developing, and commercializing topical drugs to address various needs in dermatology. Its lead drug candidate is A-101, a hydrogen peroxide topical solution that has completed three Phase II clinical trials for the treatment of seborrheic keratosis (SK), a common non-malignant skin tumor. The company is also developing A-101 as a prescription treatment for common warts; and A-102, a proprietary topical gel dosage form of hydrogen peroxide for the treatment of SK and common warts. Aclaris Therapeutics, Inc. was founded in 2012 and is headquartered in Malvern, Pennsylvania.</t>
  </si>
  <si>
    <t>Mirna Therapeutics, Inc.</t>
  </si>
  <si>
    <t>NasdaqGM:MIRN</t>
  </si>
  <si>
    <t>IQTR309896167</t>
  </si>
  <si>
    <t>IQ44204418</t>
  </si>
  <si>
    <t>Edge Therapeutics, Inc.</t>
  </si>
  <si>
    <t>NasdaqGS:EDGE</t>
  </si>
  <si>
    <t>IQTR309361963</t>
  </si>
  <si>
    <t>IQ65059725</t>
  </si>
  <si>
    <t>Edge Therapeutics, Inc., a clinical-stage biotechnology company, discovers, develops, and commercializes hospital-based therapies for acute life-threatening neurological conditions. Its lead product includes EG-1962, a polymer-based microparticle used for the treatment of aneurysmal subarachnoid hemorrhage. The company also develops EG-1964 for the management of chronic subdural hematoma as a prophylactic treatment to prevent recurrent bleeding. The company was founded in 2009 and is headquartered in Berkeley Heights, New Jersey.</t>
  </si>
  <si>
    <t>IQTR309463048</t>
  </si>
  <si>
    <t>Global Blood Therapeutics, Inc.</t>
  </si>
  <si>
    <t>NasdaqGS:GBT</t>
  </si>
  <si>
    <t>IQTR306277984</t>
  </si>
  <si>
    <t>IQ208736100</t>
  </si>
  <si>
    <t>Global Blood Therapeutics, Inc., a biopharmaceutical company, engages in the discovery, development, and commercialization of novel therapeutics to treat grievous blood-based disorders. Its product candidate is GBT440, a hemoglobin modifier that binds to hemoglobin molecules, which is in double-blind Phase I/II clinical trial indicated for the treatment of sickle cell disease. The company also focuses on developing an oral prophylactic therapy for hypoxemic pulmonary disorders and hereditary angioedema. The company was founded in 2011 and is headquartered in South San Francisco, California.</t>
  </si>
  <si>
    <t>Aimmune Therapeutics, Inc.</t>
  </si>
  <si>
    <t>NasdaqGS:AIMT</t>
  </si>
  <si>
    <t>IQTR306081128</t>
  </si>
  <si>
    <t>IQ241653204</t>
  </si>
  <si>
    <t>Aimmune Therapeutics, Inc., a clinical-stage biopharmaceutical company, engages in the development of desensitization treatments for peanut and other food allergies. Its Characterized Oral Desensitization Immunotherapy includes AR101, a product in Phase 3 registration trial for the treatment of peanut allergy in children and adults. The company was formerly known as Allergen Research Corporation and changed its name to Aimmune Therapeutics, Inc. in May 2015. The company was founded in 2011 and is headquartered in Brisbane, California.</t>
  </si>
  <si>
    <t>Zynerba Pharmaceuticals, Inc.</t>
  </si>
  <si>
    <t>NasdaqGM:ZYNE</t>
  </si>
  <si>
    <t>IQTR305532739</t>
  </si>
  <si>
    <t>IQ35650772</t>
  </si>
  <si>
    <t>Zynerba Pharmaceuticals, Inc., a specialty pharmaceutical company, focuses on developing and commercializing proprietary synthetic cannabinoid therapeutics formulated for transdermal delivery. Its products candidates include ZYN002, which is in Phase I clinical trial for the treatment of refractory epilepsy, Fragile X syndrome, and osteoarthritis; and ZYN001 that is in preclinical stage for the treatment of fibromyalgia and peripheral neuropathic pain. The company was formerly known as AllTranz, Inc. and changed its name to Zynerba Pharmaceuticals, Inc. in August 2014. The company was founded in 2007 and is headquartered in Devon, Pennsylvania.</t>
  </si>
  <si>
    <t>IQTR304568199</t>
  </si>
  <si>
    <t>Neos Therapeutics, Inc.</t>
  </si>
  <si>
    <t>NasdaqGM:NEOS</t>
  </si>
  <si>
    <t>IQTR304502176</t>
  </si>
  <si>
    <t>IQ6774144</t>
  </si>
  <si>
    <t>Neos Therapeutics, Inc., a pharmaceutical company, engages in the development, manufacture, and commercialization of products for the treatment of attention deficit hyperactivity disorder (ADHD) using its drug delivery technologies. Its product candidates are extended-release (XR) medications in orally disintegrating tablets or liquid suspension dosage forms. The company manufactures and markets generic Tussionex, a hydrocodone polistirex and chlorpheniramine polistirex XR liquid suspension product indicated for the relief of cough and upper respiratory symptoms associated with allergies or colds in adults and children of six years of age and older. Its product candidates include Adzenys XR-ODT amphetamine for the treatment of ADHD; Cotempla XR-ODT methylphenidate for the treatment of ADHD; and NT-0201 amphetamine XR liquid suspension for the treatment of ADHD. The company is headquartered in Grand Prairie, Texas.</t>
  </si>
  <si>
    <t>Chiasma, Inc.</t>
  </si>
  <si>
    <t>NasdaqGS:CHMA</t>
  </si>
  <si>
    <t>IQTR304056961</t>
  </si>
  <si>
    <t>IQ136932688</t>
  </si>
  <si>
    <t>Chiasma, Inc., a late-stage biopharmaceutical company, focuses on developing and commercializing oral forms of therapies for patients suffering from orphan diseases. Its product candidate is octreotide capsules or MYCAPSSA, which has completed Phase III clinical trial for the treatment of acromegaly, a condition that results in the body’s production of excess growth hormone. Chiasma, Inc. was founded in 2001 and is headquartered in Newton, Massachusetts.</t>
  </si>
  <si>
    <t>Seres Therapeutics, Inc.</t>
  </si>
  <si>
    <t>NasdaqGS:MCRB</t>
  </si>
  <si>
    <t>IQTR302344120</t>
  </si>
  <si>
    <t>IQ222388947</t>
  </si>
  <si>
    <t>Seres Therapeutics, Inc., a microbiome therapeutics platform company, focuses on the development of biological drugs designed to restore health by repairing the function of a dysbiotic microbiome. Its lead product candidate is SER-109, a bacterial spore ecology, which has completed open label Phase Ib/2 clinical study for the prevention of further recurrences of Clostridium difficile infection (CDI). The company also develops SER-287 that is in phase Ib clinical study to treat inflammatory bowel disease, including ulcerative colitis. Its product candidates in pre-clinical development comprise SER-262, an Ecobiotic microbiome therapeutic designed to be used following antibiotic treatment of primary CDI; and SER-155 for the prevention of transplant-related mortality. Seres Therapeutics, Inc. has a strategic collaboration with Nestle Health Science and Memorial Sloan Kettering Cancer Center; and a collaboration agreement with the University of Pennsylvania. The company was formerly known as Seres Health, Inc. and changed its name to Seres Therapeutics, Inc. in May 2015. Seres Therapeutics, Inc. was founded in 2010 and is headquartered in Cambridge, Massachusetts.</t>
  </si>
  <si>
    <t>Catabasis Pharmaceuticals, Inc.</t>
  </si>
  <si>
    <t>NasdaqGM:CATB</t>
  </si>
  <si>
    <t>IQTR301144514</t>
  </si>
  <si>
    <t>IQ100802824</t>
  </si>
  <si>
    <t>Ritter Pharmaceuticals, Inc.</t>
  </si>
  <si>
    <t>NasdaqCM:RTTR</t>
  </si>
  <si>
    <t>Phase IIb</t>
  </si>
  <si>
    <t>IQTR304897666</t>
  </si>
  <si>
    <t>IQ62102047</t>
  </si>
  <si>
    <t>Ritter Pharmaceuticals, Inc. develops novel therapeutic products that modulate the human gut microbiome to treat gastrointestinal diseases. Its lead product candidate is RP-G28, a novel microbiome modulator, which is under development for the reduction of symptoms associated with lactose intolerance. The company’s RP-G28 is designed to stimulate the growth of lactose-metabolizing bacteria in the colon, thereby adapting the gut microbiome to assist in digesting the lactose that reaches the large intestine. Its RP-G28 has been studied in a Phase 2a clinical trial. The company was formerly known as Ritter Natural Sciences, LLC and changed its name to Ritter Pharmaceuticals, Inc. in September 2008. Ritter Pharmaceuticals, Inc. was founded in 2004 and is headquartered in Los Angeles, California.</t>
  </si>
  <si>
    <t>Nivalis Therapeutics, Inc.</t>
  </si>
  <si>
    <t>NasdaqGM:NVLS</t>
  </si>
  <si>
    <t>IQTR301140352</t>
  </si>
  <si>
    <t>IQ49900317</t>
  </si>
  <si>
    <t>Nivalis Therapeutics, Inc., a clinical stage pharmaceutical company, focuses on the discovery, development, and commercialization of product candidates for patients with cystic fibrosis (CF). CF is a life-shortening genetic disease. Its lead product candidate is N91115, a small molecule that is in Phase II clinical trial, which addresses a defect in cystic fibrosis transmembrane conductance regulator (CFTR), resulting from mutations in the CFTR gene. The company was formerly known as N30 Pharmaceuticals, Inc. and changed its name to Nivalis Therapeutics, Inc. in February 2015. Nivalis Therapeutics, Inc. was founded in 2007 and is headquartered in Boulder, Colorado.</t>
  </si>
  <si>
    <t>NasdaqGS:LIFE</t>
  </si>
  <si>
    <t>Phase Ib/II</t>
  </si>
  <si>
    <t>IQTR290493275</t>
  </si>
  <si>
    <t>IQ33940575</t>
  </si>
  <si>
    <t>aTyr Pharma, Inc., a biotherapeutics company, engages in the discovery and clinical development of Physiocrine-based therapeutics for patients suffering from severe and rare diseases. The company develops Resolaris, which is in Phase Ib/II clinical trials for treating adult patients with facioscapulohumeral muscular dystrophy (FSHD), a rare genetic myopathy with an immune component; patients with early onset FSHD; and adult patients with limb-girdle muscular dystrophy 2B or FSHD. In addition, the company is developing iMod.Fc, a preclinical immuno-modulatory domain program. The company was founded in 2005 and is headquartered in San Diego, California.</t>
  </si>
  <si>
    <t>Collegium Pharmaceutical, Inc.</t>
  </si>
  <si>
    <t>NasdaqGS:COLL</t>
  </si>
  <si>
    <t>IQTR290256723</t>
  </si>
  <si>
    <t>IQ7490189</t>
  </si>
  <si>
    <t>Collegium Pharmaceutical, Inc., a specialty pharmaceutical company, develops and commercializes abuse-deterrent products that incorporate its DETERx platform technology for the treatment of chronic pain and other diseases. Its lead product candidate is Xtampza, an oral formulation of oxycodone. The company is also developing COL-195, a hydrocodone for the treatment of chronic pain; COL-172, an oxymorphone for the treatment of chronic pain; COL-196, a morphine formulation to treat pain; and COL-171, a proprietary preclinical DETERx methylphenidate formulation for the treatment of attention deficit hyperactivity disorder. The company was formerly known as Collegium Pharmaceuticals, Inc. and changed its name to Collegium Pharmaceutical, Inc. in October 2003. Collegium Pharmaceutical, Inc. was incorporated in 2002 and is headquartered in Canton, Massachusetts.</t>
  </si>
  <si>
    <t>CoLucid Pharmaceuticals, Inc.</t>
  </si>
  <si>
    <t>NasdaqGM:CLCD</t>
  </si>
  <si>
    <t>IQTR289898966</t>
  </si>
  <si>
    <t>IQ25521313</t>
  </si>
  <si>
    <t>CoLucid Pharmaceuticals, Inc., a biopharmaceutical company, develops small molecules for the acute treatment of migraine. Its lead product candidate is Lasmiditan, an oral tablet that is in Phase III clinical program for the acute treatment of migraine headaches in adults. The company is also developing IV lasmiditan, which is in Phase II clinical trial for the acute treatment of headache pain associated with migraine in adults in emergency room and other urgent care settings. CoLucid Pharmaceuticals, Inc. was founded in 2005 and is headquartered in Cambridge, Massachusetts.</t>
  </si>
  <si>
    <t>Verseon Corporation</t>
  </si>
  <si>
    <t>AIM:VSN</t>
  </si>
  <si>
    <t>IQTR293131470</t>
  </si>
  <si>
    <t>IQ134732546</t>
  </si>
  <si>
    <t>Verseon Corporation, a pharmaceutical company, designs and develops novel therapeutics for various diseases in the United States. It conducts drug discovery programs in the areas of anticoagulation, diabetic macular edema, and oncology. The company is involved in developing oral antico-agulants for various cardiovascular indications with novel pharmacology; potent kallikrein inhibitors for the treatment of diabetic macular edema delivered through topical eye drops; and novel angiogenesis inhibitors for the treatment of solid organ tumors. Verseon Corporation was founded in 2002 and is headquartered in Fremont, California.</t>
  </si>
  <si>
    <t>NasdaqGS:BPMC</t>
  </si>
  <si>
    <t>IQTR289171754</t>
  </si>
  <si>
    <t>IQ129802746</t>
  </si>
  <si>
    <t>Viking Therapeutics, Inc.</t>
  </si>
  <si>
    <t>NasdaqCM:VKTX</t>
  </si>
  <si>
    <t>IQTR267166243</t>
  </si>
  <si>
    <t>IQ246791410</t>
  </si>
  <si>
    <t>Viking Therapeutics, Inc., a clinical-stage biopharmaceutical company, focuses on the development of therapies for metabolic and endocrine disorders. Its lead clinical program includes VK0612, an orally available drug candidate for the treatment of type 2 diabetes. The company is also developing VK5211, an orally available drug candidate, which is in a Phase II clinical trial for acute rehabilitation following non-elective hip fracture surgery. In addition, it is developing VK0214, a novel liver-selective thyroid hormone receptor beta agonist for lipid disorders, such as dyslipidemia and nonalcoholic steatohepatitis, as well as VK2809, an orally available, tissue, and receptor-subtype selective agonist of the thyroid beta receptor that is entering Phase II development for the treatment of patients with hypercholesterolemia and fatty liver disease. Viking Therapeutics, Inc. was founded in 2012 and is headquartered in San Diego, California.</t>
  </si>
  <si>
    <t>KemPharm, Inc.</t>
  </si>
  <si>
    <t>NasdaqGM:KMPH</t>
  </si>
  <si>
    <t>IQTR288193402</t>
  </si>
  <si>
    <t>IQ65059726</t>
  </si>
  <si>
    <t>KemPharm, Inc., a clinical-stage specialty pharmaceutical company, discovers and develops new proprietary prodrugs in the United States. Its advanced product candidate is KP201/APAP, which consists of KP201 prodrug of hydrocodone formulated in combination with acetaminophen (APAP). The company is also developing KP201/APAP as an immediate release (IR) product candidate for the treatment of acute pain, as well as engages in designing KP201/APAP with abuse-deterrent properties to address the epidemic of opioid abuse. The company is also involved in developing KP201/IR (APAP-free), an IR formulation of KP201 without APAP for the short-term management of acute pain; KP511/ER, a prodrug of hydromorphone for the management of pain; KP415, a prodrug of methylphenidate for the treatment of attention deficit hyperactivity disorders; KP606/IR, an IR abuse-deterrent opioid product for the management of moderate to severe pain; and KP746, a prodrug of oxymorphone for the management of moderate to severe pain. KemPharm, Inc. was founded in 2006 and is headquartered in Coralville, Iowa.</t>
  </si>
  <si>
    <t>Cidara Therapeutics, Inc.</t>
  </si>
  <si>
    <t>NasdaqGM:CDTX</t>
  </si>
  <si>
    <t>IQTR288432499</t>
  </si>
  <si>
    <t>IQ266264552</t>
  </si>
  <si>
    <t>Cidara Therapeutics, Inc., a biopharmaceutical company, focuses on the discovery, development, and commercialization of novel anti-infectives for the treatment of various diseases. Its lead product candidate is CD101 IV, a novel molecule in the echinocandin class of antifungals for the treatment and prevention of systemic Candida infections. The company also develops CD101 topical, a topical formulation of CD101 for the treatment of recurrent vulvovaginal candidiasis, a prevalent mucosal infection. In addition, it develops a proprietary immunotherapy technology platform, Cloudbreak, which is used to create compounds designed to direct a patient’s immune cells to attack and eliminate pathogens that cause infectious disease, as well as engages in evaluating Cloudbreak candidates for the treatment of invasive fungal infections, including aspergillosis, an infection caused by the fungal pathogen. The company was formerly known as K2 Therapeutics, Inc. and changed its name to Cidara Therapeutics, Inc. in June 2014. Cidara Therapeutics, Inc. was founded in 2012 and is based in San Diego, California.</t>
  </si>
  <si>
    <t>Aduro BioTech, Inc.</t>
  </si>
  <si>
    <t>NasdaqGS:ADRO</t>
  </si>
  <si>
    <t>IQTR288194671</t>
  </si>
  <si>
    <t>IQ2983625</t>
  </si>
  <si>
    <t>XBiotech, Inc.</t>
  </si>
  <si>
    <t>NasdaqGS:XBIT</t>
  </si>
  <si>
    <t>IQTR283478395</t>
  </si>
  <si>
    <t>IQ216818432</t>
  </si>
  <si>
    <t>XBiotech, Inc., a clinical-stage biopharmaceutical company, engages in discovering and developing True Human monoclonal antibodies for treating various diseases. Its lead product is MABp1, which is also known as Xilonix, a novel anti-cancer agent, which has completed Phase III clinical trial in Europe for the treatment of advanced colorectal cancer. MABp1 targets and neutralizes interleukin-1 alpha. XBiotech, Inc. was founded in 2005 and is headquartered in Austin, Texas.</t>
  </si>
  <si>
    <t>Inotek Pharmaceuticals Corporation</t>
  </si>
  <si>
    <t>NasdaqGM:ITEK</t>
  </si>
  <si>
    <t>IQTR276120901</t>
  </si>
  <si>
    <t>IQ9637643</t>
  </si>
  <si>
    <t>Inotek Pharmaceuticals Corporation, a clinical-stage biopharmaceutical company, focuses on the discovery, development, and commercialization of therapies for glaucoma and other diseases of the eye in the United States. The company’s lead product candidate includes Trabodenoson, a monotherapy that is in Phase III clinical trials for lowering IOP by restoring the eye’s natural pressure control mechanism. It is also developing Trabodenoson plus Latanoprost, a fixed-dose combination prostaglandin analogue, which has completed the Phase II clinical trials for IOP-lowering in patients who have previously had inadequate response to latanoprost, as well as Trabodenoson monotherapy that is in pre-clinical studies for the treatment of optic neuropathy and degenerative retinal diseases. The company was founded in 1999 and is headquartered in Lexington, Massachusetts.</t>
  </si>
  <si>
    <t>Bellerophon Therapeutics, Inc.</t>
  </si>
  <si>
    <t>NasdaqGM:BLPH</t>
  </si>
  <si>
    <t>IQTR281906643</t>
  </si>
  <si>
    <t>IQ257337347</t>
  </si>
  <si>
    <t>Bellerophon Therapeutics, Inc., a clinical-stage therapeutics company, focuses on the development of products at the intersection of drugs and devices that address unmet medical needs in the treatment of cardiopulmonary diseases. Its product candidates include INOpulse, a pulsatile nitric oxide delivery device, which has completed Phase II clinical trials for the treatment of pulmonary arterial hypertension, as well as in Phase II clinical trials to treat pulmonary hypertension associated with chronic obstructive pulmonary diseases; and bioabsorbable cardiac matrix, a medical device for the prevention of congestive heart failure. Bellerophon Therapeutics, Inc. was founded in 2009 and is headquartered in Warren, New Jersey.</t>
  </si>
  <si>
    <t>Eyegate Pharmaceuticals, Inc.</t>
  </si>
  <si>
    <t>NasdaqCM:EYEG</t>
  </si>
  <si>
    <t>IQTR269361921</t>
  </si>
  <si>
    <t>IQ27817978</t>
  </si>
  <si>
    <t>Eyegate Pharmaceuticals, Inc., a clinical-stage specialty pharmaceutical company, focuses on developing and commercializing therapeutics and drug delivery systems for treating eye diseases. The company is developing EGP-437 that has completed Phase III clinical trials in anterior uveitis for the treatment of various inflammatory conditions of the eye, including uveitis, a debilitating form of intraocular inflammation of the anterior portion of the uvea. It is also developing Eyegate II drug delivery system. Eyegate Pharmaceuticals, Inc. is based in Waltham, Massachusetts.</t>
  </si>
  <si>
    <t>IQTR280838614</t>
  </si>
  <si>
    <t>NasdaqGM:TCON</t>
  </si>
  <si>
    <t>IQTR280759863</t>
  </si>
  <si>
    <t>IQ33915710</t>
  </si>
  <si>
    <t>TRACON Pharmaceuticals, Inc., a clinical stage biopharmaceutical company, focuses on the development and commercialization of novel targeted therapeutics for cancer, wet age-related macular degeneration, and fibrotic diseases. Its lead product candidate is TRC105, which is in Phase II clinical trials for oncology indications, including soft tissue sarcoma, renal cell carcinoma, glioblastoma, and hepatocellular carcinoma. The company’s other product candidates comprise TRC205, an endoglin antibody that is in preclinical stage for the treatment of fibrotic diseases; and TRC102, a small molecule, which is in clinical development for the treatment of lung cancer and glioblastoma. TRACON Pharmaceuticals, Inc. has collaboration agreements with National Cancer Institute and Santen. The company was formerly known as Lexington Pharmaceuticals, Inc. and changed its name to TRACON Pharmaceuticals, Inc. in March 2005. TRACON Pharmaceuticals, Inc. was founded in 2004 and is headquartered in San Diego, California.</t>
  </si>
  <si>
    <t>Flex Pharma, Inc.</t>
  </si>
  <si>
    <t>NasdaqGM:FLKS</t>
  </si>
  <si>
    <t>IQTR280758231</t>
  </si>
  <si>
    <t>IQ261970466</t>
  </si>
  <si>
    <t>Zosano Pharma Corporation</t>
  </si>
  <si>
    <t>NasdaqCM:ZSAN</t>
  </si>
  <si>
    <t>IQTR266728076</t>
  </si>
  <si>
    <t>IQ29535235</t>
  </si>
  <si>
    <t>Zosano Pharma Corporation, a clinical stage specialty pharmaceutical company, develops a proprietary transdermal microneedle patch system to deliver drug formulations through the skin for the treatment of various indications. The company’s product candidate is ZP-Triptan, a proprietary formulation of zolmitriptan used for the treatment of migraine, which has completed a Phase I clinical trial. Its product candidates also include ZP-PTH, a proprietary formulation of teriparatide that is used for the treatment of severe osteoporosis; and ZP-Glucagon, a proprietary formulation of glucagon that is intended for the emergency rescue of patients suffering from life-threatening, severe hypoglycemia. The company was founded in 2006 and is headquartered in Fremont, California.</t>
  </si>
  <si>
    <t>Bellicum Pharmaceuticals, Inc.</t>
  </si>
  <si>
    <t>NasdaqGM:BLCM</t>
  </si>
  <si>
    <t>IQTR277811569</t>
  </si>
  <si>
    <t>IQ29554867</t>
  </si>
  <si>
    <t>Bellicum Pharmaceuticals, Inc., a clinical stage biopharmaceutical company, focuses on discovering and developing novel cellular immunotherapies for the treatment of hematological cancers, solid tumors, and orphan inherited blood disorders in the United States and internationally. Its clinical product candidate is BPX-501, an adjunct T-cell therapy in multiple Phase I/II clinical trials, administered after allogeneic hematopoietic stem cell transplantation. The company’s preclinical product candidates include BPX-601, a chimeric antigen receptor (CAR-T) product candidate for treating solid tumors expressing the prostate stem cell antigen; BPX-701, a TCR product candidate for the treatment of solid tumors expressing the preferentially-expressed antigen in melanoma; and BPX-401, a CAR-T product candidate for the treatment of hematological cancers that express the CD19 antigen. The company has a research collaboration agreement with Holland's Leiden University Medical Center to discover and validate natural high-affinity T cell receptor product candidates targeting various cancers. Bellicum Pharmaceuticals, Inc. was founded in 2004 and is headquartered in Houston, Texas.</t>
  </si>
  <si>
    <t>Juno Therapeutics Inc.</t>
  </si>
  <si>
    <t>NasdaqGS:JUNO</t>
  </si>
  <si>
    <t>IQTR277411036</t>
  </si>
  <si>
    <t>IQ252447310</t>
  </si>
  <si>
    <t>Juno Therapeutics, Inc., a biopharmaceutical company, engages in developing cell-based cancer immunotherapies. The company develops cell-based cancer immunotherapies based on its chimeric antigen receptor and T cell receptor technologies to genetically engineer T cells to recognize and kill cancer cells. Its clinical stage CD19 product candidates include JCAR015 that is in Phase II clinical trials for adult patients with relapsed/refractory B cell acute lymphoblastic leukemia (r/r ALL); JCAR017, which is in Phase I/II trials for pediatric patients with r/r ALL; and JCAR014 that is in Phase I/II trials to treat various B cell malignancies in patients relapsed or refractory to standard therapies. The company’s additional product candidates comprise CD22, a cell surface protein expressed on B lymphocytes; CD171, a cell-surface adhesion molecule to treat neuroblastoma; MUC-16, a protein for treating ovarian cancers; IL-12, a cytokine to overcome the inhibitory effects; ROR-1, a protein for the treatment of non-small cell lung, triple negative breast, pancreatic, and prostate cancers; and WT-1, an intracellular protein that is in Phase I/II clinical trials to treat adult myeloid leukemia and non-small cell lung, breast, pancreatic, ovarian, and colorectal cancers. Juno Therapeutics, Inc. has collaboration agreements with Celgene Corporation, Editas Medicine, Inc., Fate Therapeutics, Inc., MedImmune Limited, and Memorial Sloan Kettering Cancer Center. The company was formerly known as FC Therapeutics, Inc. and changed its name to Juno Therapeutics, Inc. in October 2013. Juno Therapeutics, Inc. was founded in 2013 and is headquartered in Seattle, Washington.</t>
  </si>
  <si>
    <t>Phase IIa</t>
  </si>
  <si>
    <t>NasdaqGM:LOXO</t>
  </si>
  <si>
    <t>NasdaqGM:MRNS</t>
  </si>
  <si>
    <t>NasdaqGM:ORPN</t>
  </si>
  <si>
    <t>NasdaqCM:CFRX</t>
  </si>
  <si>
    <t>NasdaqGM:OCUL</t>
  </si>
  <si>
    <t>AMEX:PFNX</t>
  </si>
  <si>
    <t>NasdaqGM:XENT</t>
  </si>
  <si>
    <t>NasdaqGM:SAGE</t>
  </si>
  <si>
    <t>NasdaqGM:ROKA</t>
  </si>
  <si>
    <t>NasdaqGM:CDNA</t>
  </si>
  <si>
    <t>NasdaqCM:GBIM</t>
  </si>
  <si>
    <t>NasdaqGM:NERV</t>
  </si>
  <si>
    <t>NasdaqGS:AMPH</t>
  </si>
  <si>
    <t>Kite Pharma, Inc.</t>
  </si>
  <si>
    <t>NasdaqGS:KITE</t>
  </si>
  <si>
    <t>IQTR264099256</t>
  </si>
  <si>
    <t>IQ128240703</t>
  </si>
  <si>
    <t>Kite Pharma, Inc., a clinical-stage biopharmaceutical company, focuses on the development and commercialization of novel cancer immunotherapy products. The company is developing a pipeline of engineered autologous cell therapy-based product candidates for the treatment of solid and hematological malignancies. Its lead product candidate is KTE-C19, a chimeric antigen receptors (CAR)-based therapy that is in Phase 2 clinical trials for the treatment of patients with refractory diffuse large B cell lymphoma, including primary mediastinal B cell lymphoma and transformed follicular lymphoma. The company is also conducting a Phase 2 clinical trial of KTE-C19 on patients with relapsed/refractory mantle cell lymphoma; a Phase 1-2 clinical trial of KTE-C19 on adult patients with relapsed/refractory acute lymphoblastic leukemia; and a Phase 1-2 clinical trial of KTE-C19 in pediatric patients with relapsed/refractory. In addition, it engages in developing T cell receptors-based therapies, which targets self-antigens, viral antigens, and neo-antigens. The company has a research collaboration and license agreement with Amgen Inc. to develop and commercialize various CAR-based product candidates; collaboration agreements with the Surgery Branch of the National Cancer Institute and bluebird bio, Inc.; cooperative research and development agreements with the U.S. Department of Health and Human Services; a license agreement with Cabaret Biotech Ltd.; a license and research agreement with Alpine Immune Sciences, Inc.; and a clinical trial collaboration agreement with Genentech to evaluate the safety and efficacy of KTE-C19, in combination with atezolizumab in patients with non-Hodgkin lymphoma. Kite Pharma, Inc. was founded in 2009 and is headquartered in Santa Monica, California.</t>
  </si>
  <si>
    <t>NasdaqGS:ZFGN</t>
  </si>
  <si>
    <t>NasdaqGM:AAVL</t>
  </si>
  <si>
    <t>NYSE:CTLT</t>
  </si>
  <si>
    <t>OIP</t>
  </si>
  <si>
    <t>Implied Value</t>
  </si>
  <si>
    <t>Backsolve --&gt;</t>
  </si>
  <si>
    <t>Label Format #6</t>
  </si>
  <si>
    <t>(in USD or Shares)</t>
  </si>
  <si>
    <t>Per Share Value Summary</t>
  </si>
  <si>
    <t>Concluded Common Stock Price</t>
  </si>
  <si>
    <t>Methodology Summary</t>
  </si>
  <si>
    <t>Primary Methodology</t>
  </si>
  <si>
    <t>Event Timings</t>
  </si>
  <si>
    <t xml:space="preserve">Preferred (Debt-Like Component) </t>
  </si>
  <si>
    <t xml:space="preserve">Preferred (Equity-Like Component) </t>
  </si>
  <si>
    <t xml:space="preserve">Equity (Common + Granted Options/Warrants) </t>
  </si>
  <si>
    <t>Cost of Capital (Enterprise Level - Portfolio)</t>
  </si>
  <si>
    <t>Total Shares Outstanding</t>
  </si>
  <si>
    <t>Common as a % of Latest Preferred Round</t>
  </si>
  <si>
    <t>OPM Term to Exit (Years)</t>
  </si>
  <si>
    <t>OPM Term to Exit (Date)</t>
  </si>
  <si>
    <t>Less: Debt as of Exit Date</t>
  </si>
  <si>
    <t>Pre-Tax Cost of Debt</t>
  </si>
  <si>
    <t>#</t>
  </si>
  <si>
    <t>Exit Scenario wise exit %</t>
  </si>
  <si>
    <t>Do Not Delete</t>
  </si>
  <si>
    <t>IND</t>
  </si>
  <si>
    <t>Template Model</t>
  </si>
  <si>
    <t>Date of Update</t>
  </si>
  <si>
    <t>Updated by</t>
  </si>
  <si>
    <t>Sheet</t>
  </si>
  <si>
    <t>Cell</t>
  </si>
  <si>
    <t>Comments (if any)</t>
  </si>
  <si>
    <t>Last Modified</t>
  </si>
  <si>
    <t>Priya</t>
  </si>
  <si>
    <t>OPM 2</t>
  </si>
  <si>
    <t>C24</t>
  </si>
  <si>
    <t>Removed duplicate reference for footnote 1</t>
  </si>
  <si>
    <t>WACC CAPM</t>
  </si>
  <si>
    <t>B42</t>
  </si>
  <si>
    <t>Added note to update unsystematic risk premium whenever WACC CAPM is used</t>
  </si>
  <si>
    <t>PWERM, Comparitive Sheet</t>
  </si>
  <si>
    <t>Various</t>
  </si>
  <si>
    <t>Fixed the basis as 3 for all YEARFRAC formulas through a global search.</t>
  </si>
  <si>
    <t>Q6</t>
  </si>
  <si>
    <t>Added “ROUND” formula</t>
  </si>
  <si>
    <t>Capital IQ DATA</t>
  </si>
  <si>
    <t>T13, T14</t>
  </si>
  <si>
    <t>Fixed the link to cell B4</t>
  </si>
  <si>
    <t>B49, B50</t>
  </si>
  <si>
    <t>Added footnote</t>
  </si>
  <si>
    <t>Company ABC IRC 409a VD MM.DD.YY Draft Exhibits YYYY.MM.DD_v4</t>
  </si>
  <si>
    <t>Asset Volatility - Comps</t>
  </si>
  <si>
    <t>Asset Volatility - Company (For OPM)</t>
  </si>
  <si>
    <t>Asset Volatility - Company (For DLOM)</t>
  </si>
  <si>
    <t>Common Stock Equity</t>
  </si>
  <si>
    <t>Harshit</t>
  </si>
  <si>
    <t>Volatility check Val Summ</t>
  </si>
  <si>
    <t>WACC - PWERM</t>
  </si>
  <si>
    <t>Removed Macro</t>
  </si>
  <si>
    <t>Volatility check in out of print area</t>
  </si>
  <si>
    <t>Corrected calculation of Options (Treasury Method) and Common Stock Equity</t>
  </si>
  <si>
    <t>D15</t>
  </si>
  <si>
    <t>Updated formatting</t>
  </si>
  <si>
    <t>Row X</t>
  </si>
  <si>
    <t>Label Format #7</t>
  </si>
  <si>
    <t>(in millions of USD, except stock price)</t>
  </si>
  <si>
    <t>Harsh</t>
  </si>
  <si>
    <t>Market Trends</t>
  </si>
  <si>
    <t>Z4</t>
  </si>
  <si>
    <t>Changed label to (in millions of USD, except stock price)</t>
  </si>
  <si>
    <t>Row 238 onwards</t>
  </si>
  <si>
    <t>Treasury Method calculation</t>
  </si>
  <si>
    <t>H19, J19</t>
  </si>
  <si>
    <t>Fixed the formula for WACC to include Options/Warrants (Treasury Method)</t>
  </si>
  <si>
    <t>smallest (in millions)</t>
  </si>
  <si>
    <t>largest (in millions)</t>
  </si>
  <si>
    <t xml:space="preserve"> Year - 2017</t>
  </si>
  <si>
    <t>WACC - CAPM</t>
  </si>
  <si>
    <t>D&amp;P 2017</t>
  </si>
  <si>
    <t>A46:H67, B40, B41</t>
  </si>
  <si>
    <t>Important Points to Note</t>
  </si>
  <si>
    <t>1) Linking of Debt</t>
  </si>
  <si>
    <t>a) PWERM: PV of Debt Like component for differn. DLOM</t>
  </si>
  <si>
    <t>b) OPM: Debt as in Val. Summ.</t>
  </si>
  <si>
    <t>c) DLOM_OPM: Val sum + Tranche Value of LP</t>
  </si>
  <si>
    <t>d) Hybrid OPM: Debt as in Val Summ.</t>
  </si>
  <si>
    <t>e) Hybrid OPM_DLOM: PV of Debt Like component from PWERM</t>
  </si>
  <si>
    <t>2) Linking for EV</t>
  </si>
  <si>
    <t>a) PWERM: Equity Value in PWERM - Excess Cash + Debt</t>
  </si>
  <si>
    <t>b) OPM: Equity Value in OPM -Excess Cash + Debt</t>
  </si>
  <si>
    <t>c) DLOM_OPM: Equity Value in OPM -Excess Cash + Debt</t>
  </si>
  <si>
    <t>d) Hybrid OPM: Weighted Average Equity Value in Hybrid OPM -Excess Cash + Debt</t>
  </si>
  <si>
    <t>d) Hybrid OPM_DLOM: Weighted Average Equity Value in Hybrid OPM -Excess Cash + Debt</t>
  </si>
  <si>
    <t>Probability of Dissolution (captured in OPM)</t>
  </si>
  <si>
    <t>First BKP</t>
  </si>
  <si>
    <t>Probability (With Both Candidates Successful in Previous Stage)</t>
  </si>
  <si>
    <t>Probability (With Only 1 Candidate Successful in Previous Stage)</t>
  </si>
  <si>
    <t>Cumulative Probability to Continue</t>
  </si>
  <si>
    <t>Both Candidates Fail</t>
  </si>
  <si>
    <r>
      <t xml:space="preserve">Success Probability of Lead Candidate </t>
    </r>
    <r>
      <rPr>
        <sz val="10"/>
        <color rgb="FFFFFFFF"/>
        <rFont val="Times New Roman"/>
        <family val="1"/>
      </rPr>
      <t>(1)</t>
    </r>
  </si>
  <si>
    <t>Both Candidates are Successful</t>
  </si>
  <si>
    <t>Only Lead Candidate is Successful</t>
  </si>
  <si>
    <t>Only Second Indication is Successful</t>
  </si>
  <si>
    <t>Lead - Phase I / Second - IND</t>
  </si>
  <si>
    <t>Lead - Phase II / Second - Phase I</t>
  </si>
  <si>
    <t>Year 6</t>
  </si>
  <si>
    <t>Year 7</t>
  </si>
  <si>
    <t>Year 8</t>
  </si>
  <si>
    <t>Outline - Workpapers</t>
  </si>
  <si>
    <t>Workpaper Number</t>
  </si>
  <si>
    <t>Workpaper Labeling</t>
  </si>
  <si>
    <t>Latest Preferred Round</t>
  </si>
  <si>
    <t xml:space="preserve">Common </t>
  </si>
  <si>
    <t>Value From OPM</t>
  </si>
  <si>
    <t>Post-IPO 
Equity Value</t>
  </si>
  <si>
    <t>Comparable Equity Value After 30 Days</t>
  </si>
  <si>
    <t>% Change in Equity Value</t>
  </si>
  <si>
    <t>BD</t>
  </si>
  <si>
    <t>Discovery / IND / Preclinical</t>
  </si>
  <si>
    <t>IND Filed</t>
  </si>
  <si>
    <t>IND Filing</t>
  </si>
  <si>
    <t>Blueprint Medicines Corporation, a biopharmaceutical company, develops drugs of small molecule kinase inhibitors that target genomic drivers in various cancers and rare genetic diseases. Its lead drug candidates include BLU-285, which targets KIT Exon 17 mutants and PDGFRa D842V, abnormally active receptor tyrosine kinase mutants for patients with systemic mastocytosis, a myeloproliferative disorder of the mast cells, and defined subsets of patients with gastrointestinal stromal tumor; and BLU-554, an orally available, potent, selective, and irreversible inhibitor of the kinase FGFR4. It is also developing BLU-667, a drug candidate that targets RET, a receptor tyrosine kinase that can become abnormally activated by mutations or translocations; and RET resistant mutants that would arise from treatment with first generation therapies, as well as candidates as inhibitors of neurotrophic tyrosine receptor kinase (NTRK) and predicted NTRK resistant mutants. In addition, the company is developing programs that target oncology and rare genetic diseases. The company has agreement with Alexion Pharma Holding to research, develop, and commercialize drug candidates for an undisclosed activated kinase target, which is the cause of a rare genetic disease. The company was formerly known as Hoyle Pharmaceuticals, Inc. and changed its name to Blueprint Medicines Corporation in June 2011. Blueprint Medicines Corporation was founded in 2008 and is headquartered in Cambridge, Massachusetts.</t>
  </si>
  <si>
    <t>Flex Pharma, Inc., a biotechnology company, develops and commercializes products for the treatment of nocturnal leg cramps, muscle cramps, spasms, and spasticity associated with neuromuscular conditions; and exercise-associated muscle cramps. The company develops its products based on the mechanism of muscle cramp inhibition. Flex Pharma, Inc. was founded in 2014 and is headquartered in Boston, Massachusetts.</t>
  </si>
  <si>
    <t>Phase I / I/Ib / I/IIa / Ib / Ib/II</t>
  </si>
  <si>
    <t>Jounce Therapeutics, Inc.</t>
  </si>
  <si>
    <t>NasdaqGS:JNCE</t>
  </si>
  <si>
    <t>IQTR414739851</t>
  </si>
  <si>
    <t>AnaptysBio, Inc.</t>
  </si>
  <si>
    <t>NasdaqGS:ANAB</t>
  </si>
  <si>
    <t xml:space="preserve"> IQTR311061881</t>
  </si>
  <si>
    <t>IQTR311061881</t>
  </si>
  <si>
    <t>Phase I/IIa</t>
  </si>
  <si>
    <t>Voyager Therapeutics, Inc., a clinical-stage gene therapy company, focuses on the development of treatments for patients suffering from severe diseases of the central nervous system. The company’s lead clinical candidate is the VY-AADC01, which is in Phase Ib clinical trial for the treatment of advanced Parkinson's disease. Its preclinical programs comprise VY-SOD101 for a monogenic form of amyotrophic lateral sclerosis; VY-FXN01 for Friedreich's ataxia; VY-HTT01 for Huntington’s disease; and VY-SMN101 for spinal muscular atrophy. The company has strategic collaboration agreements with Genzyme Corporation and the University of Massachusetts; and a research collaboration agreement with CHDI Foundation, Inc. to advance its VY-HTT01 program, an adeno-associated virus-mediated gene-silencing therapy for Huntington’s disease. Voyager Therapeutics, Inc. was founded in 2013 and is headquartered in Cambridge, Massachusetts.</t>
  </si>
  <si>
    <t>Mirna Therapeutics, Inc., a clinical-stage biopharmaceutical company, develops a pipeline of microRNA-based oncology therapeutics. The company is developing mimics of naturally occurring microRNAs (miR) that are designed to restore tumor suppressor activity and aid appropriate anti-tumor immune response. Its lead product candidate is MRX34, a mimic of naturally occurring microRNA-34 encapsulated in a liposomal nanoparticle formulation which is in Phase 1 clinical trial for the treatment of cancer. The company’s preclinical product candidates include miR-215 for the treatment of esophageal, kidney, and multiple myeloma cancers; miR-101 for the treatment of bladder, gastric, lung, and ovarian cancers; miR-16 for the treatment of chronic lymphocytic leukemia and lymphoma cancers; and let-7 for the treatment of prostate, pancreatic, and melanoma cancers. It has strategic partnerships and license agreements with Asuragen, Inc.; Marina Biotech, Inc.; the Yale University; the University of Zurich; Rosetta Genomics Ltd.; the Cancer Prevention and Research Institute of Texas; and Polymun Scientific Immunbiologische Forschung GmbH. The company was founded in 2007 and is headquartered in Austin, Texas. Mirna Therapeutics, Inc. operates as a subsidiary of Asuragen, Inc.</t>
  </si>
  <si>
    <t>Catabasis Pharmaceuticals, Inc., a clinical-stage biopharmaceutical company, focuses on the discovery, development, and commercialization of therapeutics to treat inflammatory and metabolic diseases. Its product pipeline includes CAT-1004, an oral small molecule that has completed Phase 1 clinical trials for the treatment of duchenne muscular dystrophy (DMD); CAT-2054, which is in Phase I clinical trial for the treatment of hypercholesterolemia in patients for whom existing treatments are insufficient; and CAT-2003 that has completed Phase IIa trials for the treatment of patients with elevated triglycerides or hypertriglyceridemia. It is also developing CAT-4001 that is in preclinical stage for the treatment for severe, rare neurodegenerative diseases, such as Friedreich's ataxia and amyotrophic lateral sclerosis. The company has collaboration agreements with dystrophy association for the development of CAT-1004, a treatment for DMD; and Sarepta Therapeutics, Inc. to explore a combination drug treatment approach for DMD. Catabasis Pharmaceuticals, Inc. was founded in 2008 and is based in Cambridge, Massachusetts.</t>
  </si>
  <si>
    <t>aTyr Pharma, Inc.</t>
  </si>
  <si>
    <t>Adaptimmune Therapeutics plc</t>
  </si>
  <si>
    <t>NasdaqGS:ADAP</t>
  </si>
  <si>
    <t>IQTR290492678</t>
  </si>
  <si>
    <t>IQ113495056</t>
  </si>
  <si>
    <t>Adaptimmune Therapeutics plc, a clinical-stage biopharmaceutical company, focuses on the provision of cancer immunotherapy products based on its T-cell receptor platform. Its platform enables to identify cancer targets; find and genetically engineer T-cell receptors (TCR); and produce TCR therapeutic candidates for administration to patients. The company’s lead program includes NY-ESO cancer antigen, which is in Phase 1/2 clinical trials for the treatment of patients with solid tumors, as well as hematological cancer types, including synovial sarcoma and multiple myeloma. Adaptimmune Therapeutics plc is also developing MAGE A-10 TCR that is in Phase 1/2 clinical trials for the treatment of non-small cell lung cancer and other solid tumors; and Alpha Fetoprotein TCR therapeutic candidate that has completed preclinical testing for targeting a peptide associated with hepatocellular carcinoma. It has a strategic collaboration and licensing agreement with GlaxoSmithKline for the development and commercialization of the NY-ESO TCR program; and strategic alliance with MD Anderson Cancer Center for the development of adoptive T-cell therapies for various cancers. The company also has a clinical trial collaboration agreement with Merck &amp; Co., Inc. for the assessment of NY-ESO specific peptide enhanced affinity receptor T-cell therapy in combination with anti-programmed death-1 inhibitor in patients with multiple myeloma. Adaptimmune Therapeutics plc was founded in 2014 and is headquartered in Abingdon, the United Kingdom.</t>
  </si>
  <si>
    <t>Phase II / IIa / IIb / II/III</t>
  </si>
  <si>
    <t>Tocagen Inc.</t>
  </si>
  <si>
    <t>NasdaqGS:TOCA</t>
  </si>
  <si>
    <t>Phase II/III</t>
  </si>
  <si>
    <t>IQTR423020775</t>
  </si>
  <si>
    <t>IQ47097690</t>
  </si>
  <si>
    <t>Tocagen Inc., a clinical-stage company, focuses on developing gene therapy candidates to activate a patient’s immune system against their cancer in the United States. The company is developing Toca 511 &amp; Toca FC that is in Phase II/III clinical trial for patients with recurrent high grade glioma (HGG); and Phase Ib clinical trial for the intravenous treatment of metastatic colorectal, pancreatic, breast, lung, melanoma, and renal cancers, as well as in preclinical stage for newly diagnosed HGG. It is also developing other retroviral replicating vectors to deliver genes to cancer cells against validated immunotherapy targets, such as the checkpoint protein PD-L1. The company was founded in 2007 and is headquartered in San Diego, California.</t>
  </si>
  <si>
    <t>ObsEva SA</t>
  </si>
  <si>
    <t>NasdaqGS:OBSV</t>
  </si>
  <si>
    <t>IQTR414750474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</si>
  <si>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Plan-les-Ouates, Switzerland.</t>
  </si>
  <si>
    <t>ObsEva_SA_-_Form_F-1A(Jan-23-2017)</t>
  </si>
  <si>
    <t>pg. 10</t>
  </si>
  <si>
    <t>Pg. 1</t>
  </si>
  <si>
    <t>IQ245335894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</si>
  <si>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Geneva, Switzerland.</t>
  </si>
  <si>
    <t>Spring Bank Pharmaceuticals, Inc., a clinical-stage biopharmaceutical company, engages in the discovery and development of a class of therapeutics using its proprietary small molecule nucleic acid hybrid (SMNH) chemistry platform. Its SMNH compounds are small segments of nucleic acids that are design to target and modulate the activity of specific proteins implicated in various disease states. The company’s lead product candidate is SB 9200, which completed a Phase 1 clinical trial for the treatment of chronic hepatitis B virus and respiratory syncytial virus. It also develops preclinical product candidates, such as SB 9400, SB 9941 and SB 9946 for RNA viral diseases. The company has a collaborative agreement with Arrowhead Pharmaceuticals Inc. to perform studies on Arrowhead’s ARC-520 and Spring Bank’s SB 9200 for the treatment of chronic Hepatitis B (HBV); and has clinical trial collaboration with Gilead Sciences for a HBV Phase II clinical study with Spring Bank's SB 9200 in combination with VireadÂ (tenofovir disoproxil fumarate) for HBV patients. The company was formerly known as Spring Bank Technologies, Inc. and changed its name to Spring Bank Pharmaceuticals, Inc. in May 2008. Spring Bank Pharmaceuticals, Inc. was founded in 2002 and is headquartered in Milford, Massachusetts.</t>
  </si>
  <si>
    <t>Aduro BioTech, Inc., a clinical-stage immunotherapy company, focuses on the discovery, development, and commercialization that transform the treatment of challenging diseases. Its lead product candidate is CRS-207, an immuno-oncology therapy, which is in a Phase IIb clinical trial for the treatment of metastatic pancreatic cancer, unresectable malignant pleural mesothelioma, and ovarian cancer. The company also offers STING Pathway Activator product candidates that are synthetic small molecule immune modulators, which target and activate Stimulator of Interferon Genes receptor under collaboration with Novartis Pharmaceuticals Corporation; and develops monoclonal antibodies with the potential to yield immunotherapy. Aduro BioTech, Inc. also has a collaboration agreement with Janssen Biotech, Inc. to develop drugs for the treatment of prostate and lung cancers. The company was formerly known as Oncologic, Inc. and changed its name to Aduro BioTech, Inc. in June 2008. Aduro BioTech, Inc. was founded in 2000 and is headquartered in Berkeley, California.</t>
  </si>
  <si>
    <t>NasdaqGS:BLUE</t>
  </si>
  <si>
    <t>IQTR240095442</t>
  </si>
  <si>
    <t>IQ28921</t>
  </si>
  <si>
    <t>bluebird bio, Inc., a clinical-stage biotechnology company, focuses on developing transformative gene therapies for severe genetic and rare diseases. Its product candidates include Lenti-D, which is in phase II/III clinical studies for the treatment of cerebral adrenoleukodystrophy, a rare, hereditary neurological disorder; and LentiGlobin that is in phase I/II clinical studies for the treatment of beta-thalassemia major and severe sickle cell disease (SCD) in France, as well as a phase I study in the United States for the treatment of severe SCD. The company’s lead chimeric antigen receptor T cell-based product candidate is bb2121, which is in phase I clinical trials for the treatment of relapsed and refractory multiple myeloma. bluebird bio, Inc. has a strategic collaboration with Celgene Corporation to discover, develop, and commercialize disease-altering gene therapies in oncology; and Kite Pharma, Inc. to develop and commercialize second generation T cell receptor product candidates against the human papillomavirus type 16 E6 oncoprotein. The company was formerly known as Genetix Pharmaceuticals, Inc., and changed its name to bluebird bio, Inc. in September 2010. bluebird bio, Inc. was founded in 1992 and is headquartered in Cambridge, Massachusetts.</t>
  </si>
  <si>
    <t>BeyondSpring Inc.</t>
  </si>
  <si>
    <t>NasdaqCM:BYSI</t>
  </si>
  <si>
    <t>IQTR409737963</t>
  </si>
  <si>
    <t>IQ409784135</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</si>
  <si>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and a Phase 3 clinical trial as an anticancer agent in combination with docetaxel in advanced NSCLC. BeyondSpring Inc. was founded in 2010 and is headquartered in New York, New York.</t>
  </si>
  <si>
    <t>Source: http://www.nasdaq.com/markets/ipos/company/beyondspring-inc-1008377-82102</t>
  </si>
  <si>
    <t>Clearside BioMedical, Inc.</t>
  </si>
  <si>
    <t>NasdaqGM:CLSD</t>
  </si>
  <si>
    <t xml:space="preserve"> IQTR321712938</t>
  </si>
  <si>
    <t>Clearside BioMedical, Inc., a biopharmaceutical company, develops drug therapies to treat chronic blinding diseases of the eye. Its products include CLS-1001 for the treatment of macular edema associated with non-infectious uveitis; CLS-1003 for the treatment of macular edema associated with retinal vein occlusion; and CLS-1002 program for the treatment of wet age-related macular degeneration. The company was founded in 2011 and is headquartered in Alpharetta, Georgia.</t>
  </si>
  <si>
    <t>NDA Filed</t>
  </si>
  <si>
    <t>Overall Metrics</t>
  </si>
  <si>
    <t>Offer Date</t>
  </si>
  <si>
    <t>IQTR276752870</t>
  </si>
  <si>
    <t>IQ2520553</t>
  </si>
  <si>
    <t>First Pricing Date</t>
  </si>
  <si>
    <t>Hybrid OPM</t>
  </si>
  <si>
    <t>Hybrid DLOM</t>
  </si>
  <si>
    <t>N(d1)</t>
  </si>
  <si>
    <t>Reasons (if any)</t>
  </si>
  <si>
    <t>List of Checks</t>
  </si>
  <si>
    <t>Check for difference in remaining allocable value and total value allocable by class</t>
  </si>
  <si>
    <t>Value Check</t>
  </si>
  <si>
    <t>Hist BS</t>
  </si>
  <si>
    <t>DO NOT DELETE -&gt;&gt;</t>
  </si>
  <si>
    <t>Update this if not taking median</t>
  </si>
  <si>
    <t>All CIQ Checks</t>
  </si>
  <si>
    <t>Time to Exit</t>
  </si>
  <si>
    <t>Additional Time to Cash Flow</t>
  </si>
  <si>
    <t>Duration</t>
  </si>
  <si>
    <t>Check for difference in tranche value in OPM1 and value assigned in OPM2</t>
  </si>
  <si>
    <t>Non-Marketable Price Per Share</t>
  </si>
  <si>
    <t>Risk Free Rates</t>
  </si>
  <si>
    <t>Added more RFR calculations for PWERM scenarios and Hybrid OPM/DLOM</t>
  </si>
  <si>
    <t>Class Volatility</t>
  </si>
  <si>
    <t>Added Class Volatility Sheet</t>
  </si>
  <si>
    <t>CapIQ Sheets</t>
  </si>
  <si>
    <t>Updated CapIQ sheets (linked/unlinked) to reflect 8 year equity volatility</t>
  </si>
  <si>
    <t>Updated sheet to reflect 8 year equity volatility</t>
  </si>
  <si>
    <t>Added Hybrid DLOM sheet for all Preferred Series and Common Stock</t>
  </si>
  <si>
    <t>Added Hybrid OPM Sheet and Hybrid OPM 1 and Hybrid OPM 2</t>
  </si>
  <si>
    <t>Added DLOMs for PWERM scenarios</t>
  </si>
  <si>
    <t>Rows 147 - 149</t>
  </si>
  <si>
    <t xml:space="preserve">Added row for DLOM </t>
  </si>
  <si>
    <t>Asset Volatilities</t>
  </si>
  <si>
    <t>Added different Asset Volatility sheets for PWERM scenarios, OPM and DLOM</t>
  </si>
  <si>
    <t>Updated Look up formula in column Q to consider equity volatility for 8 years</t>
  </si>
  <si>
    <t>OPM 1</t>
  </si>
  <si>
    <t>Check for difference between allocable value and total value after tranche allocation</t>
  </si>
  <si>
    <t>Value of Hybrid OPM</t>
  </si>
  <si>
    <t>Shares Pre-IPO</t>
  </si>
  <si>
    <t>Gross Proceeds</t>
  </si>
  <si>
    <t>Development Phase</t>
  </si>
  <si>
    <t>NasdaqGM:AXSM</t>
  </si>
  <si>
    <t>LTM Revenue</t>
  </si>
  <si>
    <t>LTM EBITDA</t>
  </si>
  <si>
    <t>EV/LTM Revenue</t>
  </si>
  <si>
    <t>EV/LTM EBITDA</t>
  </si>
  <si>
    <t>Jounce Therapeutics, Inc., a clinical stage immunotherapy company, focuses on developing therapies that enable the immune system to attack tumors. Its lead product candidate, JTX-2011, is a clinical stage monoclonal antibody that binds to and activates ICOS, a protein on the surface of certain T cells commonly found in various solid tumors. The company is also developing JTX-4014, an anti-PD-1 antibody. Jounce Therapeutics, Inc. has a master research and collaboration agreement with Celgene Corporation focused on developing and commercializing biologic immunotherapies. The company was incorporated in 2012 and is based in Cambridge, Massachusetts.</t>
  </si>
  <si>
    <t>AnaptysBio, Inc., a clinical stage biotechnology company, engages in developing antibody product candidates focused on unmet medical needs in inflammation. The company’s proprietary anti-inflammatory pipeline includes ANB020, an anti-interleukin-33 antibody for the treatment of moderate-to-severe adult atopic dermatitis, severe adult peanut allergy, and severe adult eosinophilic asthma; ANB019, an anti-interleukin-36R antibody for the treatment of rare inflammatory diseases, including generalized pustular psoriasis and palmo-plantar pustular psoriasis; and a portfolio of checkpoint receptor agonist antibodies for the treatment of certain autoimmune diseases. It also has an immuno-oncology partnership with TESARO, Inc. and TESARO Development, Inc. to develop and commercialize an anti-PD-1 antagonist antibody (TSR-042) and an anti-TIM-3 antagonist antibody (TSR-022), which are under clinical development; and an inflammation partnership with Celgene Corporation to develop an anti-PD-1 checkpoint agonist antibody (CC-90006) that is in clinical stage. The company was formerly known as Anaptys Biosciences, Inc. and changed its name to AnaptysBio, Inc. in July 2006. AnaptysBio, Inc. was founded in 2005 and is based in San Diego, California.</t>
  </si>
  <si>
    <t>Ovid Therapeutics Inc.</t>
  </si>
  <si>
    <t>NasdaqGS:OVID</t>
  </si>
  <si>
    <t>IQTR427443869</t>
  </si>
  <si>
    <t>IQ288870432</t>
  </si>
  <si>
    <t>Ovid Therapeutics Inc., a biopharmaceutical company, develops impactful medicines for patients and families with neurological disorders in the United States. The company is developing OV101, a drug candidate that is in Phase II clinical trial for adults with angelman syndrome; and Phase I clinical trial for adolescents with angelman syndrome or fragile X syndrome, as well as in preclinical development stage for pediatrics with angelman syndrome. It is also developing OV935, a drug candidate that is in Phase I trial for rare epileptic encephalopathies; preclinical-stage compounds for rare epilepsy disorders; and OV102, an intravenous formulation for indications in the hospital setting. The company has collaboration agreement with Takeda Pharmaceutical Company Limited. Ovid Therapeutics Inc. was founded in 2014 and is based in New York, New York.</t>
  </si>
  <si>
    <t>Biohaven Pharmaceutical Holding Company Ltd.</t>
  </si>
  <si>
    <t>NYSE:BHVN</t>
  </si>
  <si>
    <t>IQTR427064468</t>
  </si>
  <si>
    <t>Biohaven Pharmaceutical Holding Company Ltd., a clinical-stage biopharmaceutical company, develops product candidates to treat neurological diseases, including rare disorders. Its advanced product candidate includes rimegepant, which is intended to initiate two Phase III clinical trials for the acute treatment of migraine; and trigriluzole, which is in a Phase II/III clinical trial used for the treatment of ataxias with an initial focus on spinocerebellar ataxia. The company also develops BHV-3500 for the prevention of chronic and episodic migraine; BHV-0223 for the treatment of amyotrophic lateral sclerosis, a neurodegenerative disease that affects nerve cells in the brain and spinal cord; and BHV-5000 for the treatment of symptoms associated with Rett syndrome, such as breathing irregularities. Biohaven Pharmaceutical Holding Company Ltd. was founded in 2013 and is based in New Haven, Connecticut. Biohaven Pharmaceutical Holding Company Ltd. is a subsidiary of Portage Biotech Inc.</t>
  </si>
  <si>
    <t>IQ253781980</t>
  </si>
  <si>
    <t>Upfront Value</t>
  </si>
  <si>
    <t>Contingent Payments</t>
  </si>
  <si>
    <t>Updated metrics calcs for Phase II</t>
  </si>
  <si>
    <t>Transactions</t>
  </si>
  <si>
    <t>Updated Exhibits to include upfront and contingent payments and CapIQ sheet as well</t>
  </si>
  <si>
    <t>Checklist</t>
  </si>
  <si>
    <t>Added check for common value conclusion</t>
  </si>
  <si>
    <t>Deciphera Pharmaceuticals, Inc.</t>
  </si>
  <si>
    <t>NasdaqGS:DCPH</t>
  </si>
  <si>
    <t>IQTR536237706</t>
  </si>
  <si>
    <t>IQ8221694</t>
  </si>
  <si>
    <t>Deciphera Pharmaceuticals, Inc., a clinical-stage biopharmaceutical company, develops drugs to enhance the lives of cancer patients by addressing key mechanisms of drug resistance that limit the rate and durability of response of various cancer therapies. The company develops DCC-2618, a pan-KIT and pan-PDGFRa inhibitor for the treatment of gastrointestinal stromal tumors, advanced systemic mastocytosis, gliomas, and other solid tumors. It is also developing immunokinase inhibitors comprising DCC-3014 for treatment of solid tumors and hematologic malignancies; and Rebastinib to treat breast cancer, as well as to investigate in combination with chemotherapy and checkpoint inhibitors. The company was founded in 2003 and is headquartered in Waltham, Massachusetts.</t>
  </si>
  <si>
    <t>Krystal Biotech, Inc.</t>
  </si>
  <si>
    <t>NasdaqCM:KRYS</t>
  </si>
  <si>
    <t>IQTR534966200</t>
  </si>
  <si>
    <t>IQ534062888</t>
  </si>
  <si>
    <t>Krystal Biotech, Inc., a gene therapy company, develops and commercializes pharmaceutical products for patients suffering from dermatological diseases. The company’s lead product candidate includes KB103, which is in preclinical studies to treat dystrophic epidermolysis bullosa, a genetic disease. It also develops KB104 that is in preclinical studies to treat Netherton syndrome, a severe form of ichthyosis, which is a family of genetic skin disorders. The company was formerly known as Krystal Biotech, LLC and changed its name to Krystal Biotech, Inc. in March 2017. Krystal Biotech, Inc. was founded in 2015 and is based in Pittsburgh, Pennsylvania.</t>
  </si>
  <si>
    <t>Mersana Therapeutics, Inc.</t>
  </si>
  <si>
    <t>NasdaqGS:MRSN</t>
  </si>
  <si>
    <t>IQTR432836998</t>
  </si>
  <si>
    <t>IQ1623526</t>
  </si>
  <si>
    <t>Mersana Therapeutics, Inc. is a biotechnology company that discovers, engineers, and develops antibody drug conjugates to cure various cancers. The company develops immune conjugate therapies to create drugs that enhance patients’ lives. It offers XMT-1522, a drug therapy for tumor models that express relatively low amounts of the HER2 protein; and human anti-HER2 antibody used in XMT-1522. Mersana Therapeutics, Inc. has strategic alliances with Takeda Pharmaceutical Company Limited; Merck Serono; and Asana BioSciences. The company was formerly known as Nanopharma Corp. and changed its name to Mersana Therapeutics, Inc. in November 2005. Mersana Therapeutics, Inc. was founded in 2001 and is based in Cambridge, Massachusetts.</t>
  </si>
  <si>
    <t>G1 Therapeutics, Inc.</t>
  </si>
  <si>
    <t>NasdaqGS:GTHX</t>
  </si>
  <si>
    <t>IQTR427746064</t>
  </si>
  <si>
    <t>IQ141112421</t>
  </si>
  <si>
    <t>G1 Therapeutics, Inc., a clinical-stage biopharmaceutical company, focuses on the discovery and development of novel therapeutics for the treatment of cancer in the United States. It is developing trilaciclib, an intravenous cyclin-dependent kinases (CDK) 4/6 inhibitor that is in Phase Ib/IIa clinical trials for patients with small cell lung cancer, as well as Phase II clinical trial for patients with triple-negative breast cancer; G1T38, an oral CDK4/6 inhibitor that is Phase I/II clinical trial for the treatment of breast cancer; and G1T48, an oral selective estrogen receptor degrader that is in preclinical development stage. The company was founded in 2008 and is headquartered in Research Triangle Park, North Carolina.</t>
  </si>
  <si>
    <t>Arsanis, Inc.</t>
  </si>
  <si>
    <t>NasdaqGM:ASNS</t>
  </si>
  <si>
    <t>IQTR541132486</t>
  </si>
  <si>
    <t>IQ113807139</t>
  </si>
  <si>
    <t>Arsanis, Inc., a clinical-stage biopharmaceutical company, focuses on applying monoclonal antibody (mAb) immunotherapies to address serious infectious diseases. Its lead product candidate is ASN100, a first-in-class mAb therapeutic in Phase II clinical development for the prevention of staphylococcus aureus pneumonia. The company’s preclinical pipeline comprises mAbs targeting multiple serious bacterial and viral pathogens, including respiratory syncytial virus. Arsanis, Inc. was founded in 2010 and is headquartered in Waltham, Massachusetts.</t>
  </si>
  <si>
    <t xml:space="preserve"> -   </t>
  </si>
  <si>
    <t>InflaRx N.V.</t>
  </si>
  <si>
    <t>NasdaqGS:IFRX</t>
  </si>
  <si>
    <t>IQTR540630710</t>
  </si>
  <si>
    <t>IQ42434000</t>
  </si>
  <si>
    <t>InflaRx GmbH, a clinical-stage biopharmaceutical company, focuses on discovering and developing inhibitors using C5a technology in the United States. Its C5a is an inflammatory mediator involved in the enhancement of a variety of autoimmune and other inflammatory diseases. The company is involved developing IFX-1, a novel intravenously delivered first-in-class anti-C5a monoclonal antibody for the treatment of hidradenitis suppurativa, a rare and chronic debilitating systemic inflammatory skin disease; ANCA-associated vasculitis, a rare and life-threatening autoimmune disease; and other chronic/autoimmune diseases, as well as IFX-2 for the treatment of chronic inflammation and autoimmune diseases. It has co-development agreement with Beijing Defengrei Biotechnology Co. Ltd. The company was founded in 2007 and is headquartered in Jena, Germany.</t>
  </si>
  <si>
    <t>Apellis Pharmaceuticals, Inc.</t>
  </si>
  <si>
    <t>NasdaqGS:APLS</t>
  </si>
  <si>
    <t>IQTR540638771</t>
  </si>
  <si>
    <t>IQ106524288</t>
  </si>
  <si>
    <t>Apellis Pharmaceuticals, Inc., a clinical-stage biopharmaceutical company, focuses on the discovery and development of therapeutic compounds for autoimmune and inflammatory diseases. Its lead product candidates include APL-2 and APL-1, to treat paroxysmal nocturnal hemoglobinuria, geographic atrophy, intermediate age-related macular degeneration, and chronic obstructive pulmonary disease. The company develops APL-2 for subcutaneous injection, which is an injection into the tissue under the skin, and for intravitreal injection that is an injection into the eye, as well as APL-1 for inhaled administration. Apellis Pharmaceuticals, Inc. was founded in 2009 and is based in Crestwood, Kentucky.</t>
  </si>
  <si>
    <t>Sienna Biopharmaceuticals, Inc.</t>
  </si>
  <si>
    <t>NasdaqGS:SNNA</t>
  </si>
  <si>
    <t>IQTR529222527</t>
  </si>
  <si>
    <t>Sienna Biopharmaceuticals, Inc., a clinical-stage biopharmaceutical company, discovers, develops, and commercializes topical products for medical dermatology and aesthetics markets in North America. The company’s lead product candidates include SNA-120, a TrkA inhibitor, which is in Phase 2b clinical development for the treatment of pruritus, itch, and neurogenic inflammation associated with psoriasis; and SNA-125, a dual JAK3/TrkA inhibitor that is in pre-clinical study for the treatment of atopic dermatitis, psoriasis, and pruritus. It also develops SNA-001, a photoparticle therapy, which is in pivotal clinical trials for the treatment of acne vulgaris and the reduction of unwanted light-pigmented hair. The company was formerly known as Sienna Labs, Inc. and changed its name to Sienna Biopharmaceuticals, Inc. in February 2016. Sienna Biopharmaceuticals, Inc. was founded in 2010 and is headquartered in Westlake Village, California.</t>
  </si>
  <si>
    <t>Aileron Therapeutics, Inc.</t>
  </si>
  <si>
    <t>NasdaqGM:ALRN</t>
  </si>
  <si>
    <t>IQTR432976538</t>
  </si>
  <si>
    <t>Aileron Therapeutics, Inc., a clinical-stage biopharmaceutical company, engages in developing and commercializing a novel class of therapeutics in the United States. The company’s lead product includes ALRN-6924, a stapled peptide that in Phase I clinical trial for the treatment of advanced solid tumors or lymphomas; Phase IIa clinical trial for the treatment of peripheral T-cell lymphoma; Phase I clinical trial for the treatment of acute myeloid leukemia (AML) and advanced myelodysplastic syndrome (MDS); and Phase II b trial for the treatment of AML/MDS in combination with cytosine arabinoside. It is also developing next generation wild type p53 reactivator that is in preclinical stage for the treatment of solid and liquid tumors. The company was formerly known as Renegade Therapeutics, Inc. and changed its name to Aileron Therapeutics, Inc. in February 2007. Aileron Therapeutics, Inc. was founded in 2001 and is based in Cambridge, Massachusetts.</t>
  </si>
  <si>
    <t>Avenue Therapeutics, Inc.</t>
  </si>
  <si>
    <t>NasdaqCM:ATXI</t>
  </si>
  <si>
    <t>IQTR429154251</t>
  </si>
  <si>
    <t>IQ310815442</t>
  </si>
  <si>
    <t>Avenue Therapeutics, Inc., a specialty pharmaceutical company, acquires, licenses, develops, and commercializes an intravenous formulation of tramadol HCI principally for use in the acute/intensive care hospital setting. Its product candidate is IV Tramadol for the treatment of post-operative pain. The company was founded in 2015 and is based in New York, New York. Avenue Therapeutics, Inc. is a subsidiary of Fortress Biotech, Inc.</t>
  </si>
  <si>
    <t>Rhythm Pharmaceuticals, Inc.</t>
  </si>
  <si>
    <t>NasdaqGM:RYTM</t>
  </si>
  <si>
    <t>IQTR537128527</t>
  </si>
  <si>
    <t>IQ309184792</t>
  </si>
  <si>
    <t>Rhythm Pharmaceuticals, Inc., a biopharmaceutical company, develops and commercializes peptide therapeutics for the treatment of rare genetic disorders of obesity in the United States. Its lead product candidate is Setmelanotide, a melanocortin-4 receptor agonist that is in Phase III clinical trials for treating POMC deficiency obesity and leptin receptor deficiency obesity; and Phase II clinical trials for treating Bardet-Biedl syndrome, Alström syndrome, POMC heterozygous deficiency obesity, and POMC epigenetic disorders. The company was formerly known as Rhythm Metabolic, Inc. and changed its name to Rhythm Pharmaceuticals, Inc. in October 2015. Rhythm Pharmaceuticals, Inc. was founded in 2008 and is based in Boston, Massachusetts. Rhythm Pharmaceuticals, Inc. is a subsidiary of Motus Therapeutics, Inc.</t>
  </si>
  <si>
    <t>Kala Pharmaceuticals, Inc.</t>
  </si>
  <si>
    <t>NasdaqGS:KALA</t>
  </si>
  <si>
    <t>IQTR435392692</t>
  </si>
  <si>
    <t>Kala Pharmaceuticals, Inc., a biopharmaceutical company, focuses on the development and commercialization of therapies using its proprietary nanoparticle-based Mucus Penetrating Particles technology. The company’s product candidates include KPI-121 1.0%, which has completed Phase 3 clinical trials for the treatment of inflammation and pain following ocular surgery; and KPI-121 0.25% that is in Phase 3 clinical trials for the temporary relief of the signs and symptoms of dry eye disease. It also develops KPI-285, a receptor kinase inhibitor, which is in preclinical studies for the treatment of various retinal diseases. The company was formerly known as Hanes Newco, Inc. and changed its name to Kala Pharmaceuticals, Inc. in December 2009. Kala Pharmaceuticals, Inc. was founded in 2009 and is headquartered in Waltham, Massachusetts.</t>
  </si>
  <si>
    <t>Dova Pharmaceuticals, Inc.</t>
  </si>
  <si>
    <t>NasdaqGM:DOVA</t>
  </si>
  <si>
    <t>IQTR432976288</t>
  </si>
  <si>
    <t>IQ402827501</t>
  </si>
  <si>
    <t>Dova Pharmaceuticals, Inc., a pharmaceutical company, focuses on acquiring, developing, and commercializing drug candidates for thrombocytopenia diseases. Its drug candidate includes avatrombopag, an orally administered thrombopoietin receptor agonist that has completed Phase III clinical trials for the treatment of thrombocytopenia in patients with chronic liver diseases. The company was founded in 2016 and is based in Durham, North Carolina.</t>
  </si>
  <si>
    <t>Athenex, Inc.</t>
  </si>
  <si>
    <t>NasdaqGS:ATNX</t>
  </si>
  <si>
    <t>IQTR430744691</t>
  </si>
  <si>
    <t>IQ23828956</t>
  </si>
  <si>
    <t>Athenex, Inc., a biopharmaceutical company, engages in the discovery, development, and commercialization of therapies for the treatment of cancer. Its Orascovery product candidates include Oraxol, an oral dosage form, which is in a Phase III trial in metastatic breast cancer for the treatment of advanced gastric cancer; Oratecan, an anticancer agent that is in a Phase 1 study for the treatment of colorectal, lung, ovarian, cervical, pancreatic, upper gastrointestinal, and brain cancer; Oradoxel, an anticancer agent, which is in a Phase 1 clinical study in the treatment of breast, prostate, gastric, head and neck, and lung cancer; and Oratopo, an anticancer for the treatment of cervical, ovarian ,and lung cancer. The company also develops KX-01, a compound, which is in Phase 3 study for the treatment of for actinic keratosis; and KX-02 for the treatment of gliomas. The company was formerly known as Kinex Pharmaceuticals LLC and changed its name to Athenex, Inc. in August 2015. Athenex, Inc. was founded in 2003 and is based in Buffalo, New York.</t>
  </si>
  <si>
    <t>Updated IPO Biopharma sheet and metrics' formula</t>
  </si>
  <si>
    <t>IPO Biopharma</t>
  </si>
  <si>
    <t>Switch for Quartiles</t>
  </si>
  <si>
    <t>Denali Therapeutics Inc.</t>
  </si>
  <si>
    <t>NasdaqGS:DNLI</t>
  </si>
  <si>
    <t>IQTR543594545</t>
  </si>
  <si>
    <t>IQ301283598</t>
  </si>
  <si>
    <t>Denali Therapeutics Inc., a biopharmaceutical company, engages in discovering and developing therapeutics for neurodegenerative diseases in the United States. The company’s lead LRRK2 product candidates includes the DNL201, a small molecule inhibitor that is in Phase I clinical trials, as well as DNL151, a small molecule inhibitor, which is in preclinical development stage for the treatment of Parkinson’s disease. It is also developing therapeutics for the treatment of Parkinson’s, dementia with Lewy bodies, and multiple system atrophy; amyotrophic lateral sclerosis; and mucopolysaccharidosis type II patients. The company was formerly known as SPR Pharma Inc. and changed its name to Denali Therapeutics Inc. in March 2015. Denali Therapeutics Inc. was incorporated in 2013 and is headquartered in South San Francisco, California.</t>
  </si>
  <si>
    <t>Odonate Therapeutics, Inc.</t>
  </si>
  <si>
    <t>NasdaqGS:ODT</t>
  </si>
  <si>
    <t>IQTR543593762</t>
  </si>
  <si>
    <t>IQ541399578</t>
  </si>
  <si>
    <t>Odonate Therapeutics, Inc., a pharmaceutical company, develops therapeutics to enhance the lives of patients with cancer in the United States. It is developing Tesetaxel, a novel chemotherapy agent that has completed Phase II clinical trials for patients with advanced or metastatic breast cancer. The company was founded in 2013 and is based in San Diego, California.</t>
  </si>
  <si>
    <t>Spero Therapeutics, Inc.</t>
  </si>
  <si>
    <t>NasdaqGS:SPRO</t>
  </si>
  <si>
    <t>IQTR539897682</t>
  </si>
  <si>
    <t>IQ240573619</t>
  </si>
  <si>
    <t>Spero Therapeutics, Inc., a clinical-stage biopharmaceutical company, focuses on identifying, developing, and commercializing novel treatments for multi-drug resistant (MDR) bacterial infections in the United States. It is developing SPR994, an oral carbapenem-class antibiotic for use in adults to treat MDR gram-negative infections; SPR741 that has completed Phase I clinical trial to treat MDR gram-negative infections in the hospital setting; SPR206, an agent that is in preclinical development stage to disrupt the outer membrane of gram-negative bacteria; and SPR720, an oral antibiotic that is in preclinical development stage for the treatment of pulmonary non-tuberculous mycobacterial infections. The company was founded in 2013 and is headquartered in Cambridge, Massachusetts.</t>
  </si>
  <si>
    <t>Nightstar Therapeutics Plc</t>
  </si>
  <si>
    <t>NasdaqGS:NITE</t>
  </si>
  <si>
    <t>IQTR536125357</t>
  </si>
  <si>
    <t>IQ270062348</t>
  </si>
  <si>
    <t>Nightstar Therapeutics Limited, a clinical-stage gene therapy company, focuses on developing and commercializing novel one-time treatments for patients suffering from rare inherited retinal diseases. The company’s lead product candidate includes NSR-REP1 that has completed Phase 1/2 clinical trial for the treatment of patients with choroideremia. It is also developing NSR-RPGR that is in Phase 1/2 clinical trial for the treatment of patients with X-linked retinitis pigmentosa, an inherited X-linked recessive retinal disease; and NSR-BEST1, which is in preclinical development for the treatment of Best vitelliform macular dystrophy. The company has a collaboration agreement with University of Oxford for the assistance in conducting clinical trials with its retinal gene therapy candidates; and Preceyes B.V. for the development of a high-precision drug delivery technology in the eye. The company was founded in 2013 and is headquartered in London, the United Kingdom.</t>
  </si>
  <si>
    <t>Zymeworks Inc.</t>
  </si>
  <si>
    <t>TSX:ZYME</t>
  </si>
  <si>
    <t>IQTR426421320</t>
  </si>
  <si>
    <t>IQ43279463</t>
  </si>
  <si>
    <t>Zymeworks Inc., a clinical-stage biopharmaceutical company, engages in the discovery, development, and commercialization of bio-therapeutics for the treatment of cancer in Canada. The company’s lead product candidate include ZW25, a novel bispecific antibody that is in Phase I clinical trial for the treatment of breast, gastric, and ovarian cancers. It is also developing ZW33, a bispecific anti-human epidermal growth factor receptor 2 antibody-drug conjugate that is in preclinical development stage for the treatment of breast and ovarian cancers. The company has strategic partnerships with Merck Sharp &amp; Dohme Research Ltd., Eli Lilly and Company, Celgene Corporation and Celgene Alpine Investment Co. LLC, GlaxoSmithKline Intellectual Property Development Limited, and Daiichi Sankyo Co., Ltd. Zymeworks Inc. was founded in 2003 and is headquartered in Vancouver, Canada.</t>
  </si>
  <si>
    <t>Allena Pharmaceuticals, Inc.</t>
  </si>
  <si>
    <t>NasdaqGS:ALNA</t>
  </si>
  <si>
    <t>IQTR539897184</t>
  </si>
  <si>
    <t>IQ143094845</t>
  </si>
  <si>
    <t>Allena Pharmaceuticals, Inc., a late-stage clinical biopharmaceutical company, engages in developing and commercializing oral enzyme therapeutics to treat patients with rare and severe metabolic, and kidney disorders in the United States. The company’s lead product candidate includes ALLN-177, an oral enzyme therapeutic for the treatment of enteric hyperoxaluria, a metabolic disorder commonly associated with kidney stones in adults. It is also involved in developing ALLN-346 for patients with hyperuricemia and moderate to severe chronic kidney diseases. The company was incorporated in 2011 and is headquartered in Newton, Massachusetts.</t>
  </si>
  <si>
    <t>Clementia Pharmaceuticals Inc.</t>
  </si>
  <si>
    <t>NasdaqGS:CMTA</t>
  </si>
  <si>
    <t>IQTR528893150</t>
  </si>
  <si>
    <t>IQ253931396</t>
  </si>
  <si>
    <t>Clementia Pharmaceuticals Inc., a clinical stage biopharmaceutical company, develops disease-modifying treatments for patients suffering from debilitating bone and other diseases. Its lead product candidate is palovarotene, an oral small molecule that binds and activates retinoic acid receptor gamma, and prevents abnormal new bone formation, as well as scar tissue formation in various tissues in animal models. The company is developing palovarotene for the treatment of fibrodysplasia ossificans progressiva and multiple osteochondroma, as well as has one Phase III and Phase II/III trials for two separate indications. Clementia Pharmaceuticals Inc. was founded in 2010 and is based in Montreal, Canada.</t>
  </si>
  <si>
    <t>IQ21766697</t>
  </si>
  <si>
    <t>Urogen Pharma Ltd.</t>
  </si>
  <si>
    <t>NasdaqGM:URGN</t>
  </si>
  <si>
    <t>IQTR427059627</t>
  </si>
  <si>
    <t>IQ240702165</t>
  </si>
  <si>
    <t>UroGen Pharma Ltd., a clinical stage biopharmaceutical company, focuses on developing therapies for urological pathologies. Its lead product candidates, MitoGel and VesiGel are formulations of the chemotherapy drug Mitomycin C, a generic drug which is currently used off-label for urothelial cancer treatment only in a water-based formulation as an adjuvant, or supplemental post-surgery, therapy. The company is developing its product candidates as chemoablation agents, which are designed to remove tumors by non-surgical means, to treat several forms of non-muscle invasive urothelial cancer, including low-grade upper tract urothelial carcinoma, and low-grade bladder cancer. UroGen Pharma Ltd. was incorporated in 2004 and is headquartered in Ra’anana, Israel.</t>
  </si>
  <si>
    <t>Acceleron Pharma Inc.</t>
  </si>
  <si>
    <t>NasdaqGM:XLRN</t>
  </si>
  <si>
    <t>IQTR244238745</t>
  </si>
  <si>
    <t>IQ9004482</t>
  </si>
  <si>
    <t>Acceleron Pharma Inc., a clinical stage biopharmaceutical company, focuses on the discovery, development, and commercialization of therapeutics for serious and rare diseases. Its therapeutic candidates include luspatercept to treat anemia and associated complications in patients with myelodysplastic syndromes and beta-thalassemia; and sotatercept for chronic kidney diseases. The company’s therapeutic candidates also include dalantercept, a tyrosine kinase inhibitor, which is in phase II clinical trials for renal cell carcinoma; and ACE-083 that is in phase II clinical trials for facioscapulohumeral dystrophy. It has collaboration, license, and option agreement with Celgene Corporation. The company was formerly known as Phoenix Pharma, Inc. Acceleron Pharma Inc. was founded in 2003 and is headquartered in Cambridge, Massachusetts.</t>
  </si>
  <si>
    <t>Phase III, NDA Filed and Marketed</t>
  </si>
  <si>
    <t>scPharmaceuticals Inc.</t>
  </si>
  <si>
    <t>NasdaqGS:SCPH</t>
  </si>
  <si>
    <t>IQTR541328196</t>
  </si>
  <si>
    <t>IQ247375245</t>
  </si>
  <si>
    <t>scPharmaceuticals Inc., biopharmaceutical company, engages in the development and commercialization of transformative pharmaceutical products. The company’s under development products are for heart failure and infectious diseases that include Furoscix that is for treatment of worsening or decompensated heart failure outside of the inpatient setting. scPharmaceuticals Inc. formerly known as scPharmaceuticals LLC. and changed its name to scPharmaceuticals Inc. in March 2014. The company was founded 2013 and is based in Burlington, Massachusetts.</t>
  </si>
  <si>
    <t>NuCana plc</t>
  </si>
  <si>
    <t>NasdaqGS:NCNA</t>
  </si>
  <si>
    <t>IQTR536245896</t>
  </si>
  <si>
    <t>IQ50918463</t>
  </si>
  <si>
    <t>NuCana plc, a biopharmaceutical company, engages in the development of products for the treatment of cancer. The company is developing Acelarin that is in Phase I clinical trials for the treatment of advanced metastatic solid tumors; that is in Phase Ib clinical trials for the treatment of recurrent ovarian cancer; in Phase II clinical trials for the treatment of patients with platinum-resistant ovarian cancer; and in Phase Ib clinical trials for the treatment of patients with biliary cancer. The company is also developing NUC-3373, which is in Phase I clinical trials for the treatment of patients with advanced solid tumors, as well as for the treatment of colorectal and breast cancer; and NUC-7738, a nucleoside analog that is in preclinical studies for the treatment of solid tumors and hematology. It has a research, collaboration, and license agreement with Cardiff University and University College Cardiff Consultants Ltd; and an assignment, license, and collaboration agreement with Cardiff ProTides Ltd. The company was formerly known as NuCana BioMed Limited and changed its name to NuCana plc in August 2017. The company was incorporated in 1997 and is headquartered in Edinburgh, the United Kingdom.</t>
  </si>
  <si>
    <t>Zai Lab Limited</t>
  </si>
  <si>
    <t>NasdaqGM:ZLAB</t>
  </si>
  <si>
    <t>IQTR534418027</t>
  </si>
  <si>
    <t>IQ271123063</t>
  </si>
  <si>
    <t>Zai Lab Limited, a biopharmaceutical company, engages in discovering or licensing, developing, and commercializing proprietary therapeutics for oncology, and autoimmune and infectious disease therapies in China. Its drug candidates include ZL-2306, a poly ADP ribose polymerase 1/2 inhibitor for the treatment of ovarian, breast, and lung cancers; ZL-2401, an antibiotic for the treatment of acute bacterial skin/skin structure infections, community-acquired bacterial pneumonias, and urinary tract infections; ZL-2301 that is Phase II clinical trial for the treatment of hepatocellular carcinoma; ZL-3101, a novel steroid-sparing topical product that is in Phase II clinical trial for the treatment of eczema and psoriasis; ZL-2302 for the treatment of non-small cell lung cancer; and ZL-1101, an anti-OX40 antagonistic antibody for the treatment of graft-versus-host disease or systemic lupus erythematosus. The company was founded in 2013 and is headquartered in Shanghai, China.</t>
  </si>
  <si>
    <t>Akcea Therapeutics, Inc.</t>
  </si>
  <si>
    <t>NasdaqGS:AKCA</t>
  </si>
  <si>
    <t>IQTR424659349</t>
  </si>
  <si>
    <t>IQ306140818</t>
  </si>
  <si>
    <t>Akcea Therapeutics Inc., a late-stage biopharmaceutical company, focuses on developing and commercializing drugs to treat patients with cardiometabolic diseases caused by lipid disorders in the United States and internationally. It develops Volanesorsen, which has completed Phase 3 clinical study for the treatment of familial chylomicronemia syndrome; and that is in Phase 3 clinical study for the treatment of familial partial lipodystrophy. The company also develops AKCEA-APO(a)-LRx, which has completed Phase 2b clinical study for treating patients suffering with hyperlipoproteinemia; AKCEA-ANGPTL3-LRx that has completed Phase 1/2 clinical study for the treatment of multiple lipid disorders; and AKCEA-APOCIII-LRx, which is in Phase 1/2 study for the treatment of cardiovascular disease driven by high triglycerides. It has strategic collaboration with Novartis Pharma AG. The company was incorporated in 2014 and is headquartered in Cambridge, Massachusetts. Akcea Therapeutics Inc. is a subsidiary of Ionis Pharmaceuticals, Inc.</t>
  </si>
  <si>
    <t>Added header in cell X7 of all asset volatility sheets</t>
  </si>
  <si>
    <t>Added checks for enterprise value in all asset volatility sheets</t>
  </si>
  <si>
    <t>&lt;- Check</t>
  </si>
  <si>
    <t xml:space="preserve">Comparable Indication/Technology </t>
  </si>
  <si>
    <t>Phase of the Comparable Product</t>
  </si>
  <si>
    <t>Comp.1 and Trans. 1</t>
  </si>
  <si>
    <t>Added columns for comparable technology and Phases</t>
  </si>
  <si>
    <t>Added Class Volatility checks</t>
  </si>
  <si>
    <t>Added check for Hybrid OPM backsolve</t>
  </si>
  <si>
    <t>WACC</t>
  </si>
  <si>
    <t>Updated D&amp;P studies for 2018</t>
  </si>
  <si>
    <t xml:space="preserve"> Year - 2018</t>
  </si>
  <si>
    <t>Based on the Duff &amp; Phelps 2018 Valuation Handbook.</t>
  </si>
  <si>
    <t>Manan</t>
  </si>
  <si>
    <t>Total Shares Outstanding / Converted to Common Stock</t>
  </si>
  <si>
    <t>Breakpoint Value</t>
  </si>
  <si>
    <t>Total Allocation</t>
  </si>
  <si>
    <t>Total Tranche Value</t>
  </si>
  <si>
    <t>Label changes to cells E7, B34, B81, B85, B138, B168</t>
  </si>
  <si>
    <t>Added upper border to the breakpoint value calculations</t>
  </si>
  <si>
    <t>OPM 1 Hybrid</t>
  </si>
  <si>
    <t>Row 85</t>
  </si>
  <si>
    <t>Added Upper border to the Total Liabilities &amp; Shareholder's Equity calculation</t>
  </si>
  <si>
    <t>Row 56</t>
  </si>
  <si>
    <t>Added outliers in the formulas for Stock Price, Market Cap and Enterprise Value</t>
  </si>
  <si>
    <t>X11 to Z37</t>
  </si>
  <si>
    <t>WACC PWERM</t>
  </si>
  <si>
    <t>Updated format of cells F15 and F17</t>
  </si>
  <si>
    <t>Updated format for calculations in Row 11 and Row 15</t>
  </si>
  <si>
    <t>Removed Extra space (row) below Footnote.</t>
  </si>
  <si>
    <t>Cap Table</t>
  </si>
  <si>
    <t>The Total for Common Options/Warrants and Preferred Warrants were made bold.</t>
  </si>
  <si>
    <t>Font color updated for Values and Shares columns.</t>
  </si>
  <si>
    <t>OPM 2 (Hybrid)</t>
  </si>
  <si>
    <t>Kritika</t>
  </si>
  <si>
    <t>Val Summ</t>
  </si>
  <si>
    <t>Added Hybrid Method conclusions in off-print, added latest pref value conclusions from all three methods in off-print</t>
  </si>
  <si>
    <t>Removed additional term and updated PV factor calculations</t>
  </si>
  <si>
    <t>Exit Prob</t>
  </si>
  <si>
    <t>Cell B58 bold</t>
  </si>
  <si>
    <t>Based on discussions with Management</t>
  </si>
  <si>
    <t>Backsolved based on latest round of financing</t>
  </si>
  <si>
    <t>Updated format of cells E7:E13</t>
  </si>
  <si>
    <t>Updated RFR reference</t>
  </si>
  <si>
    <t>Tranche Ownership Percentage</t>
  </si>
  <si>
    <t>Total Tranche Ownership Percentage</t>
  </si>
  <si>
    <t>Incremental Value (Difference between Breakpoints)</t>
  </si>
  <si>
    <t>Incremental Value Allocation</t>
  </si>
  <si>
    <t>Price per Share at Each Breakpoint</t>
  </si>
  <si>
    <t>Off-print area; per share checks added, allocation % moved inside print area and labels updated based on Jeff's comments</t>
  </si>
  <si>
    <t>Hist IS</t>
  </si>
  <si>
    <t>Border removed from cells B9:C9</t>
  </si>
  <si>
    <t>Updated border format in line with common size</t>
  </si>
  <si>
    <t xml:space="preserve">General </t>
  </si>
  <si>
    <t>Couple of FN references across sheets</t>
  </si>
  <si>
    <t>Added additional term reference</t>
  </si>
  <si>
    <t>For certain Guideline Public Companies that were not public beyond the selected period, no historical volatility is available for the selected term. As such, we considered the latest available historical volatility for the purposes of this analysis. These companies are highlighted in gray.</t>
  </si>
  <si>
    <t>For certain Guideline Public Companies, equity volatility was not meaningful since they were listed less than a year before the Valuation Date (highlighted in blue and marked as "NM"). We have not considered these Guideline Public Companies for the purposes of calculating volatilities.</t>
  </si>
  <si>
    <t>Hybrid OPM 1</t>
  </si>
  <si>
    <t>Same edits as above</t>
  </si>
  <si>
    <t>IPO Biopharma_Old</t>
  </si>
  <si>
    <t>Deleted this tab</t>
  </si>
  <si>
    <t>Added footnotes #3 and #4</t>
  </si>
  <si>
    <t>Rows 53-66</t>
  </si>
  <si>
    <t>Added Longstaff DLOM formula</t>
  </si>
  <si>
    <t>Updated alignment for the headers</t>
  </si>
  <si>
    <t>Kallyope, Inc.</t>
  </si>
  <si>
    <t>IRC 409A and ASC 718 Common Stock Independent Appraisal</t>
  </si>
  <si>
    <t>Recurring</t>
  </si>
  <si>
    <t xml:space="preserve">Projected Income Statement </t>
  </si>
  <si>
    <t>Financial Statements</t>
  </si>
  <si>
    <t>Guideline Comparables Analysis</t>
  </si>
  <si>
    <t>Guideline Transaction Analysis</t>
  </si>
  <si>
    <t>Discount for Lack of Marketability - PWERM</t>
  </si>
  <si>
    <t>For the Period Ending,</t>
  </si>
  <si>
    <r>
      <rPr>
        <sz val="10"/>
        <rFont val="Times New Roman"/>
        <family val="1"/>
      </rPr>
      <t>OPERATING EXPENSES:</t>
    </r>
  </si>
  <si>
    <r>
      <rPr>
        <sz val="10"/>
        <rFont val="Times New Roman"/>
        <family val="1"/>
      </rPr>
      <t>Research and development</t>
    </r>
  </si>
  <si>
    <r>
      <rPr>
        <sz val="10"/>
        <rFont val="Times New Roman"/>
        <family val="1"/>
      </rPr>
      <t>General and administrative</t>
    </r>
  </si>
  <si>
    <r>
      <rPr>
        <sz val="10"/>
        <rFont val="Times New Roman"/>
        <family val="1"/>
      </rPr>
      <t>Total operating expenses</t>
    </r>
  </si>
  <si>
    <r>
      <rPr>
        <sz val="10"/>
        <rFont val="Times New Roman"/>
        <family val="1"/>
      </rPr>
      <t>OTHER INCOME AND EXPENSE:</t>
    </r>
  </si>
  <si>
    <r>
      <rPr>
        <sz val="10"/>
        <rFont val="Times New Roman"/>
        <family val="1"/>
      </rPr>
      <t>Interest income</t>
    </r>
  </si>
  <si>
    <r>
      <rPr>
        <sz val="10"/>
        <rFont val="Times New Roman"/>
        <family val="1"/>
      </rPr>
      <t>Change in fair value of tranche liability</t>
    </r>
  </si>
  <si>
    <t>Source: file-"Kallyope 2016 Audited Financial Statements" , Page no. 5/19</t>
  </si>
  <si>
    <t xml:space="preserve"> 14,161,889 </t>
  </si>
  <si>
    <t>Source: file-"Kallyope Audited Financial Statements 2017" , Page no. 7/20</t>
  </si>
  <si>
    <t>Source: file-"Kallyope Financial Report May 2018 28Jun2018" , slide no. 5/12</t>
  </si>
  <si>
    <t>Source: file-"Kallyope Financial Report May 2018 28Jun2018" , slide no. 10/12</t>
  </si>
  <si>
    <t>Other  Liabilities</t>
  </si>
  <si>
    <t>Source : file- "Kallyope 2016 Audited Financial Statements", page no. 4/19</t>
  </si>
  <si>
    <t>Source : file- "Kallyope Audited Financial Statements 2017", page no. 4/20</t>
  </si>
  <si>
    <t>Selling, General &amp; Administrative</t>
  </si>
  <si>
    <t>Net Loss</t>
  </si>
  <si>
    <t>Cash Burn Analysis</t>
  </si>
  <si>
    <t>Beginning Cash</t>
  </si>
  <si>
    <t>Less: Cash Utilized (1)</t>
  </si>
  <si>
    <t>Add: Cash Raised</t>
  </si>
  <si>
    <t>Ending Cash</t>
  </si>
  <si>
    <t>6 Months Ending December 31,</t>
  </si>
  <si>
    <t>Jan</t>
  </si>
  <si>
    <t>Feb</t>
  </si>
  <si>
    <t>Mar</t>
  </si>
  <si>
    <t>Apr</t>
  </si>
  <si>
    <t>May</t>
  </si>
  <si>
    <t>Jun</t>
  </si>
  <si>
    <t>Jul</t>
  </si>
  <si>
    <t>Aug</t>
  </si>
  <si>
    <t>Sep</t>
  </si>
  <si>
    <t>Oct</t>
  </si>
  <si>
    <t>Nov</t>
  </si>
  <si>
    <t>Dec</t>
  </si>
  <si>
    <t>Income Statement</t>
  </si>
  <si>
    <t>Operating Expense</t>
  </si>
  <si>
    <t>R&amp;D</t>
  </si>
  <si>
    <t>G&amp;A</t>
  </si>
  <si>
    <t>Total Opex</t>
  </si>
  <si>
    <t>Operating Loss</t>
  </si>
  <si>
    <t>Net Interest Income</t>
  </si>
  <si>
    <t>Other Income (Expense)</t>
  </si>
  <si>
    <t>Balance Sheet</t>
  </si>
  <si>
    <t>Net PP&amp;E</t>
  </si>
  <si>
    <t>Restricted Cash &amp; Other Assets</t>
  </si>
  <si>
    <t>Liabilities</t>
  </si>
  <si>
    <t>Deferred Rent</t>
  </si>
  <si>
    <t xml:space="preserve">Other Liabilities </t>
  </si>
  <si>
    <t>Tranche Liability</t>
  </si>
  <si>
    <t>Stockholders' Equity</t>
  </si>
  <si>
    <t>Common Stock &amp; APIC</t>
  </si>
  <si>
    <t>Preferred Stock</t>
  </si>
  <si>
    <t>Accumulated Deficit</t>
  </si>
  <si>
    <t>Total Stockholders' Equity</t>
  </si>
  <si>
    <t>Total Liabilities &amp; Equity</t>
  </si>
  <si>
    <t/>
  </si>
  <si>
    <t>Cash Flow Statement</t>
  </si>
  <si>
    <t>Operating Activities</t>
  </si>
  <si>
    <t>Add Back:</t>
  </si>
  <si>
    <t>Change in Net Working Capital</t>
  </si>
  <si>
    <t>Change in Deferred Rent</t>
  </si>
  <si>
    <t>Cash Used in Operating Activities</t>
  </si>
  <si>
    <t>Investing Activities</t>
  </si>
  <si>
    <t>Purchases of PP&amp;E</t>
  </si>
  <si>
    <t>Cash Used in Investing Activities</t>
  </si>
  <si>
    <t>Financing Activities</t>
  </si>
  <si>
    <t>Issuance of Preferred Stock</t>
  </si>
  <si>
    <t>Issuance of Common Stock</t>
  </si>
  <si>
    <t>Restricted Cash</t>
  </si>
  <si>
    <t>Cash from Financing Activities</t>
  </si>
  <si>
    <t>Change in Cash</t>
  </si>
  <si>
    <t>Phase - Lead Candidate</t>
  </si>
  <si>
    <t>Phase - Second Candidate</t>
  </si>
  <si>
    <r>
      <t xml:space="preserve">Success Probability of Second Candidate </t>
    </r>
    <r>
      <rPr>
        <sz val="10"/>
        <color rgb="FFFFFFFF"/>
        <rFont val="Times New Roman"/>
        <family val="1"/>
      </rPr>
      <t>(1)</t>
    </r>
  </si>
  <si>
    <t>Lead - IND / Second - Preclinical</t>
  </si>
  <si>
    <t>Phase Wise wise exit %</t>
  </si>
  <si>
    <t>Probability of Technical Success (1)</t>
  </si>
  <si>
    <t>Date of Completion for Lead</t>
  </si>
  <si>
    <t>Low Sale</t>
  </si>
  <si>
    <t>Structured</t>
  </si>
  <si>
    <t>Series B Tranche I</t>
  </si>
  <si>
    <t>Series B Tranche II</t>
  </si>
  <si>
    <t>Series B Tranche III</t>
  </si>
  <si>
    <t>Consolidated</t>
  </si>
  <si>
    <t>Common Options</t>
  </si>
  <si>
    <t>Post Money</t>
  </si>
  <si>
    <t>Pre-Money</t>
  </si>
  <si>
    <t>PWERM with Series B Seniority</t>
  </si>
  <si>
    <t>Series A and Series B Receive Liquidation Preference</t>
  </si>
  <si>
    <t>Common Stock Starts Receiving Value</t>
  </si>
  <si>
    <t>Series A Converts</t>
  </si>
  <si>
    <t>Series B Converts</t>
  </si>
  <si>
    <t>Series B Tranche I and Tranche II and Tranche III Warrants Convert</t>
  </si>
  <si>
    <r>
      <t xml:space="preserve">Features </t>
    </r>
    <r>
      <rPr>
        <sz val="10"/>
        <color theme="1"/>
        <rFont val="Times New Roman"/>
        <family val="1"/>
      </rPr>
      <t>(3)</t>
    </r>
  </si>
  <si>
    <t>Based on preliminary Series B term sheet of 6 Board Directors, three shall be elected by the holders of Series A Preferred ("Series A Preferred Directors"), one shall be elected by the Common Stock holders ("Common Directors") and one shall be non-employee independent directors and who shall be elected by the holders of a majority of the Common Stock and Preferred Stock of the Company, voting together as a single class.</t>
  </si>
  <si>
    <t>Dividend per share</t>
  </si>
  <si>
    <t>The Company had issued Tranche I and Tranche II of Series A preferred stock on September 30, 2015 and September 30, 2016 respectively, whereas Tranche III was raised on September 19, 2017.</t>
  </si>
  <si>
    <t>Capitalization Table Summary</t>
  </si>
  <si>
    <t>Fully Diluted</t>
  </si>
  <si>
    <t>%</t>
  </si>
  <si>
    <t>Summary by Investor</t>
  </si>
  <si>
    <t>Preferred stock:</t>
  </si>
  <si>
    <t>Lux Capital</t>
  </si>
  <si>
    <t>Polaris</t>
  </si>
  <si>
    <t>The Column Group</t>
  </si>
  <si>
    <t>Euclidean Capital</t>
  </si>
  <si>
    <t>Alexandria Ventures</t>
  </si>
  <si>
    <t>Illumina Ventures</t>
  </si>
  <si>
    <t>Illumina, Inc.</t>
  </si>
  <si>
    <t>Two Sigma Ventures</t>
  </si>
  <si>
    <t>Others</t>
  </si>
  <si>
    <t>Founders</t>
  </si>
  <si>
    <t xml:space="preserve"> </t>
  </si>
  <si>
    <t>SAB</t>
  </si>
  <si>
    <t>Consultants</t>
  </si>
  <si>
    <t>Common stock:</t>
  </si>
  <si>
    <t>Employees</t>
  </si>
  <si>
    <t>Licensees</t>
  </si>
  <si>
    <t xml:space="preserve">     Total Institutions</t>
  </si>
  <si>
    <t>Options available for issue</t>
  </si>
  <si>
    <t>Board Members</t>
  </si>
  <si>
    <t>Common stock options:</t>
  </si>
  <si>
    <t xml:space="preserve">  Shares outstanding</t>
  </si>
  <si>
    <t>Stock options outstanding</t>
  </si>
  <si>
    <t>Fully diluted shares outstanding</t>
  </si>
  <si>
    <t xml:space="preserve">  </t>
  </si>
  <si>
    <t>Stockholder</t>
  </si>
  <si>
    <t>Total Common Shares</t>
  </si>
  <si>
    <t>Series A - Tranche 1</t>
  </si>
  <si>
    <t>Series A - Tranche 2</t>
  </si>
  <si>
    <t>Series A - Tranche 3</t>
  </si>
  <si>
    <t>Total Series A</t>
  </si>
  <si>
    <t>Series B - Tranche 1</t>
  </si>
  <si>
    <t>Series B - Tranche 2</t>
  </si>
  <si>
    <t>Series B - Tranche 3</t>
  </si>
  <si>
    <t>Total Series B</t>
  </si>
  <si>
    <t>% Total Series A Preferred</t>
  </si>
  <si>
    <t>Total Shares (Initial Closing)</t>
  </si>
  <si>
    <t>% Total Shares (Initial Closing)</t>
  </si>
  <si>
    <t>Option and Restricted Stock Plan</t>
  </si>
  <si>
    <t>Not Yet Issued</t>
  </si>
  <si>
    <t xml:space="preserve">Fully Diluted Shares </t>
  </si>
  <si>
    <t>Total Shares (Second Closing)</t>
  </si>
  <si>
    <t>% Total Shares (Second Closing)</t>
  </si>
  <si>
    <t>% Total Series C Preferred</t>
  </si>
  <si>
    <t>Fully Diluted Shares (Initial Closing)</t>
  </si>
  <si>
    <t>% Fully Diluted Shares (Initial Closing)</t>
  </si>
  <si>
    <t>Charles Zuker (Founder)</t>
  </si>
  <si>
    <t>Tom Maniatis (Founder)</t>
  </si>
  <si>
    <t>Richard Axel (Founder)</t>
  </si>
  <si>
    <t>Adam Goulburn</t>
  </si>
  <si>
    <t>Institutions</t>
  </si>
  <si>
    <t>Lux Ventures IV, L.P.</t>
  </si>
  <si>
    <t>Lux Co-Invest Opportunities, L.P.</t>
  </si>
  <si>
    <t>The Column Group II, L.P.</t>
  </si>
  <si>
    <t>Ponoi Capital, L.P.</t>
  </si>
  <si>
    <t>Polaris Partners VII, L.P.</t>
  </si>
  <si>
    <t xml:space="preserve">Polaris Partners Entrepreneurs' Fund </t>
  </si>
  <si>
    <t>Alexandria Venture Investments, LLC</t>
  </si>
  <si>
    <t>Banner LLC</t>
  </si>
  <si>
    <t>Symmetry Group Ltd.</t>
  </si>
  <si>
    <t>Two Sigma Ventures II, LLC</t>
  </si>
  <si>
    <t>Anthony Evnin</t>
  </si>
  <si>
    <t>Bill Rieflin</t>
  </si>
  <si>
    <t>CEO</t>
  </si>
  <si>
    <t>Nancy Thornberry</t>
  </si>
  <si>
    <t>Other Management</t>
  </si>
  <si>
    <t>Other Employees</t>
  </si>
  <si>
    <t>Robert Barretto</t>
  </si>
  <si>
    <t>Ian Peikon</t>
  </si>
  <si>
    <t>Justin McManus</t>
  </si>
  <si>
    <t>Weisheng Chen</t>
  </si>
  <si>
    <t>Jamie Fried</t>
  </si>
  <si>
    <t>Dan Stettler</t>
  </si>
  <si>
    <t>Ben van de Graaf</t>
  </si>
  <si>
    <t>Elisa Caffrey</t>
  </si>
  <si>
    <t>Mio Akasako</t>
  </si>
  <si>
    <t>Jennifer Dobson</t>
  </si>
  <si>
    <t>Xiang-quig Li</t>
  </si>
  <si>
    <t>Hazel Clark</t>
  </si>
  <si>
    <t>Charlotte Ruby</t>
  </si>
  <si>
    <t>Ed Schwartz</t>
  </si>
  <si>
    <t>Rob Anstey</t>
  </si>
  <si>
    <t>Maja Engelstoft</t>
  </si>
  <si>
    <t>Sebastian Poliack</t>
  </si>
  <si>
    <t>Lisa Krug</t>
  </si>
  <si>
    <t>Jason Qin</t>
  </si>
  <si>
    <t>Ann Weber</t>
  </si>
  <si>
    <t>Paul Richards</t>
  </si>
  <si>
    <t>Iyassu Sebhat</t>
  </si>
  <si>
    <t>Shuqin Zheng</t>
  </si>
  <si>
    <t>Maria LeBouyer</t>
  </si>
  <si>
    <t>Joe Herman</t>
  </si>
  <si>
    <t>Trevor Powchik</t>
  </si>
  <si>
    <t>Brandon Weinman-Follick</t>
  </si>
  <si>
    <t>Diana Ravens</t>
  </si>
  <si>
    <t>Chris Moyes</t>
  </si>
  <si>
    <t>Zac Farino</t>
  </si>
  <si>
    <t>Shirly Pinto</t>
  </si>
  <si>
    <t>Giuseppe Terracina</t>
  </si>
  <si>
    <t>Eyal Vardy</t>
  </si>
  <si>
    <t>John Whang</t>
  </si>
  <si>
    <t>Peter Mercado-Reyes</t>
  </si>
  <si>
    <t>Dan Kosinski</t>
  </si>
  <si>
    <t>Rebecca Fang</t>
  </si>
  <si>
    <t>Adrian Heilbut</t>
  </si>
  <si>
    <t>Rachel O'Sullivan</t>
  </si>
  <si>
    <t>Sara Lehman</t>
  </si>
  <si>
    <t>Alex Hurlburt</t>
  </si>
  <si>
    <t>Max Lombardo</t>
  </si>
  <si>
    <t>Simon Mathieu</t>
  </si>
  <si>
    <t>Chan Aye Thu</t>
  </si>
  <si>
    <t>Hans Clevers</t>
  </si>
  <si>
    <t>Joe Goldstein</t>
  </si>
  <si>
    <t>Mike Brown</t>
  </si>
  <si>
    <t>Richard Scheller</t>
  </si>
  <si>
    <t>Jeff Friedman</t>
  </si>
  <si>
    <t>David Anderson</t>
  </si>
  <si>
    <t>Thue Schwartz</t>
  </si>
  <si>
    <t>Eric Parker</t>
  </si>
  <si>
    <t>Steve Liberles</t>
  </si>
  <si>
    <t>David Kelley</t>
  </si>
  <si>
    <t>Rahul Satija</t>
  </si>
  <si>
    <t>Columbia University</t>
  </si>
  <si>
    <t>Saul Zuker</t>
  </si>
  <si>
    <t xml:space="preserve">Alex Rives </t>
  </si>
  <si>
    <t>Michael O'Donnell</t>
  </si>
  <si>
    <t>Robert Juson Barretto</t>
  </si>
  <si>
    <t>Ryan Thomas Lessard</t>
  </si>
  <si>
    <t>Jin Zhang</t>
  </si>
  <si>
    <t>Michael Rutlin</t>
  </si>
  <si>
    <t>Meenakshi Rao</t>
  </si>
  <si>
    <t>Hao Jin</t>
  </si>
  <si>
    <t>Sara Ruth Gillis-Smith</t>
  </si>
  <si>
    <t>Laura Anne Rickman</t>
  </si>
  <si>
    <t>Murielle Zuker</t>
  </si>
  <si>
    <t>Felipe Sam Zuker</t>
  </si>
  <si>
    <t>Tania Gutierrez Panchana</t>
  </si>
  <si>
    <t>Estrella Zuker</t>
  </si>
  <si>
    <t>Dora Zuker</t>
  </si>
  <si>
    <t>Ethan Maniatis</t>
  </si>
  <si>
    <t>Silas Maniatis</t>
  </si>
  <si>
    <t>Kyra Jean Maniatis Trust</t>
  </si>
  <si>
    <t>Maniatis Grandchildren Trust</t>
  </si>
  <si>
    <t>Options available for grant</t>
  </si>
  <si>
    <t>\</t>
  </si>
  <si>
    <t>Authorized</t>
  </si>
  <si>
    <t>Series A Preferred Stock</t>
  </si>
  <si>
    <t>Name of Stockholder</t>
  </si>
  <si>
    <t>Issuance</t>
  </si>
  <si>
    <t>Price Paid</t>
  </si>
  <si>
    <t>Outstanding</t>
  </si>
  <si>
    <t>As It Appears on Certificate</t>
  </si>
  <si>
    <t>Per Share</t>
  </si>
  <si>
    <t>$$$ Invested</t>
  </si>
  <si>
    <t>&gt; $1 Million</t>
  </si>
  <si>
    <t>Polaris Partners Entrepreneurs' Fund VII, L.P.</t>
  </si>
  <si>
    <t>tranche 3 net proceeds</t>
  </si>
  <si>
    <t>&lt; $1 Million</t>
  </si>
  <si>
    <t>Aggregate</t>
  </si>
  <si>
    <t>Issuance costs</t>
  </si>
  <si>
    <t>Bifurcated Tranche Liability - 2nd Tranche</t>
  </si>
  <si>
    <t>Bifurcated Tranche Liability - 3rd Tranche</t>
  </si>
  <si>
    <t>Settlement of 3rd Tranche Liability at 19Sep2017</t>
  </si>
  <si>
    <t>Per GL</t>
  </si>
  <si>
    <t>Diff</t>
  </si>
  <si>
    <t>Series B Preferred Stock</t>
  </si>
  <si>
    <t>Illumina Innovation Fund I, L.P.</t>
  </si>
  <si>
    <t>Issuance Costs</t>
  </si>
  <si>
    <t>WSGR</t>
  </si>
  <si>
    <t>1881188 - D. Pirko</t>
  </si>
  <si>
    <t>Net Proceeds</t>
  </si>
  <si>
    <t>Number of</t>
  </si>
  <si>
    <t>Vesting</t>
  </si>
  <si>
    <t>2017 Exercises</t>
  </si>
  <si>
    <t>Name Used for Purposes</t>
  </si>
  <si>
    <t>Certif.</t>
  </si>
  <si>
    <t>Shares on</t>
  </si>
  <si>
    <t>Start</t>
  </si>
  <si>
    <t>Proceeds</t>
  </si>
  <si>
    <t xml:space="preserve">Vesting </t>
  </si>
  <si>
    <t xml:space="preserve">Unvested </t>
  </si>
  <si>
    <t># of months vested</t>
  </si>
  <si>
    <t>Vested at exercise</t>
  </si>
  <si>
    <t>of Capitalization Worksheet</t>
  </si>
  <si>
    <t>Number</t>
  </si>
  <si>
    <t>Certificate</t>
  </si>
  <si>
    <t>Par</t>
  </si>
  <si>
    <t>APIC</t>
  </si>
  <si>
    <t>Schedule</t>
  </si>
  <si>
    <t>Vested</t>
  </si>
  <si>
    <t>$ Par Value</t>
  </si>
  <si>
    <t>$ APIC</t>
  </si>
  <si>
    <t>at exercise date</t>
  </si>
  <si>
    <t>met</t>
  </si>
  <si>
    <t>Charles Zuker (vested amount after family transfer)</t>
  </si>
  <si>
    <t>Vested at 10/31/16</t>
  </si>
  <si>
    <t>Charles Zuker (remaining after family transfer)</t>
  </si>
  <si>
    <t>Note that monthly vesting is for 4M total shares granted</t>
  </si>
  <si>
    <t>Tom Maniatis (remaining vested amount at time of family transfer)</t>
  </si>
  <si>
    <t>Vested at 12/29/17</t>
  </si>
  <si>
    <t>Tom Maniatis (still vesting after family transfer)</t>
  </si>
  <si>
    <t>Richard Axel</t>
  </si>
  <si>
    <t>Adam Goulburn (Lux)</t>
  </si>
  <si>
    <t>Alex Rives</t>
  </si>
  <si>
    <t>Other</t>
  </si>
  <si>
    <t>Michael O'Donnell, corporate counsel</t>
  </si>
  <si>
    <t>Robert Juson Barretto, Charles Lab staff award</t>
  </si>
  <si>
    <t>Ryan Thomas Lessard, Charles Lab staff award</t>
  </si>
  <si>
    <t>Jin Zhang, Charles Lab staff award</t>
  </si>
  <si>
    <t>Michael Rutlin, Charles Lab staff award</t>
  </si>
  <si>
    <t>Meenakshi Rao, Charles Lab staff award</t>
  </si>
  <si>
    <t>Hao Jin, Charles Lab staff award</t>
  </si>
  <si>
    <t>Sara Ruth Gillis-Smith, Charles Lab staff award</t>
  </si>
  <si>
    <t>Laura Anne Rickman, Charles Lab staff award</t>
  </si>
  <si>
    <t>Murielle Zuker, Charles family member (transfer)</t>
  </si>
  <si>
    <t>Vested at transfer</t>
  </si>
  <si>
    <t>Already vested at time of transfer</t>
  </si>
  <si>
    <t>Felipe Sam Zuker, Charles family member (transfer)</t>
  </si>
  <si>
    <t>Tania Gutierrez Panchana, Charles family member (transfer)</t>
  </si>
  <si>
    <t>Saul Zuker, Charles family member (transfer)</t>
  </si>
  <si>
    <t>Estrella Zuker, Charles family member (transfer)</t>
  </si>
  <si>
    <t>Dora Zuker, Charles family member (transfer)</t>
  </si>
  <si>
    <t>Ethan Maniatis, Tom family member (transfer)</t>
  </si>
  <si>
    <t>Silas Maniatis, Tom family member (transfer)</t>
  </si>
  <si>
    <t>Kyra Jean Maniatis Trust, Tom family member (transfer)</t>
  </si>
  <si>
    <t>Maniatis Grandchildren Trust, Tom family member (transfer)</t>
  </si>
  <si>
    <t>From Option Exercise</t>
  </si>
  <si>
    <t>Joe Goldstein, SAB</t>
  </si>
  <si>
    <t>Nancy Thornberry, CEO</t>
  </si>
  <si>
    <t>Ann Weber, (previous consultant)</t>
  </si>
  <si>
    <t>Ian Peikon, employee</t>
  </si>
  <si>
    <t>Elisa Caffrey, employee</t>
  </si>
  <si>
    <t>Dan Stettler, employee</t>
  </si>
  <si>
    <t>Ben Van de Graaf, employee</t>
  </si>
  <si>
    <t>Jennifer Dobson, employee</t>
  </si>
  <si>
    <t>Employee terminated 6/30/17</t>
  </si>
  <si>
    <t>Ed Schwartz, employee</t>
  </si>
  <si>
    <t>Maja Engelstoft, employee</t>
  </si>
  <si>
    <t>Justin McManus, employee</t>
  </si>
  <si>
    <t>Jamie Fried, employee</t>
  </si>
  <si>
    <t>Mio Akasako, employee</t>
  </si>
  <si>
    <t>Robert Anstey, employee</t>
  </si>
  <si>
    <t>Lisa Krug, employee</t>
  </si>
  <si>
    <t>Charlotte Ruby, employee</t>
  </si>
  <si>
    <t>Sebastian Poliack, employee</t>
  </si>
  <si>
    <t>Robert Barretto, employee</t>
  </si>
  <si>
    <t>Weisheng Chen, employee</t>
  </si>
  <si>
    <t>Employee terminate 10/20/17</t>
  </si>
  <si>
    <t>Xiang Qing Li, employee</t>
  </si>
  <si>
    <t>Shuqin Zheng, employee</t>
  </si>
  <si>
    <t>Trevor Powchik, employee</t>
  </si>
  <si>
    <t>Jason Qin, employee</t>
  </si>
  <si>
    <t>Employee terminated 1/5/18</t>
  </si>
  <si>
    <t>Zac Farino, employee</t>
  </si>
  <si>
    <t>Jennifer Dobson, employee (term 30Jun2017)</t>
  </si>
  <si>
    <t>Ann Weber, employee</t>
  </si>
  <si>
    <t>Steve Liberles, consultant</t>
  </si>
  <si>
    <t>Giuseppe Terracina, employee</t>
  </si>
  <si>
    <t>Diana Ravens, employee</t>
  </si>
  <si>
    <t>Rachel O'Sullivan, employee</t>
  </si>
  <si>
    <t>Weisheng Chen, employee (term 20Oct2017)</t>
  </si>
  <si>
    <t>Employee terminated 10/20/17</t>
  </si>
  <si>
    <t>Joe Herman, employee</t>
  </si>
  <si>
    <t>Maria LaBouyer, employee</t>
  </si>
  <si>
    <t>Shirly Pinto, employee</t>
  </si>
  <si>
    <t>Iyassu Sebhat, employee</t>
  </si>
  <si>
    <t>John Whang, employee</t>
  </si>
  <si>
    <t>Paul Richards, employee</t>
  </si>
  <si>
    <t>Eric Parker, consultant</t>
  </si>
  <si>
    <t>Joe Herman, employee (term 26Mar2018)</t>
  </si>
  <si>
    <t>Employee terminated 3/26/18</t>
  </si>
  <si>
    <t>Stock Compensation</t>
  </si>
  <si>
    <t>2015 expense</t>
  </si>
  <si>
    <t>2016 expense</t>
  </si>
  <si>
    <t>2017 expense</t>
  </si>
  <si>
    <t>Total Unvested Shares</t>
  </si>
  <si>
    <t>Vesting Schedule:</t>
  </si>
  <si>
    <t>(1) 25% of the shares of Common Stock vest on first anniversay, 1/48th or 2.0833% of the shares vesting each month thereafter</t>
  </si>
  <si>
    <t>(2) 1/24th or 4.1667% of the shares of Common Stock vest each month</t>
  </si>
  <si>
    <t>(3) 4/48 of the option vests on 4 month anniversary of Vesting Commencement Date, 1/44 of remaining vests over the next 44 months</t>
  </si>
  <si>
    <t>(4) 25% of the options veston the 6 month anniversary of the Vesting Commencement Date, the remainder vest ratably over the next 36 months</t>
  </si>
  <si>
    <t>2017 Proceeds</t>
  </si>
  <si>
    <t>ISO/NSO</t>
  </si>
  <si>
    <t>Options</t>
  </si>
  <si>
    <t>Name of Optionholder</t>
  </si>
  <si>
    <t>Number of Shares</t>
  </si>
  <si>
    <t>% of Fully Diluted</t>
  </si>
  <si>
    <t>Exercise Price</t>
  </si>
  <si>
    <t>Type of Option</t>
  </si>
  <si>
    <t>Grant Date</t>
  </si>
  <si>
    <t xml:space="preserve">Vesting commencement Date          </t>
  </si>
  <si>
    <t>Vesting Schedule</t>
  </si>
  <si>
    <t>Options Exercised</t>
  </si>
  <si>
    <t>Exercise Date</t>
  </si>
  <si>
    <t>Options Cancelled</t>
  </si>
  <si>
    <t>Shares Repurchased</t>
  </si>
  <si>
    <t>Repurchase and Cancel Date</t>
  </si>
  <si>
    <t>Outstanding Options</t>
  </si>
  <si>
    <t>Vesting months elapsed</t>
  </si>
  <si>
    <t>Options Vested</t>
  </si>
  <si>
    <t>Options Unvested</t>
  </si>
  <si>
    <t>EMPLOYEES:</t>
  </si>
  <si>
    <t>ISO</t>
  </si>
  <si>
    <t>NON EMPLOYEES:</t>
  </si>
  <si>
    <t>NSO</t>
  </si>
  <si>
    <t>Agmts state ISO with automatic alternate treatment language so no need to modify per Jim Ryan, Morrison &amp; Foerster 12Apr2016</t>
  </si>
  <si>
    <t>Cons</t>
  </si>
  <si>
    <t>BOARD MEMBERS:</t>
  </si>
  <si>
    <t>Josh Wolfe</t>
  </si>
  <si>
    <t>Tim Kutzkey</t>
  </si>
  <si>
    <t>Tom Maniatis</t>
  </si>
  <si>
    <t>Terry McQuire</t>
  </si>
  <si>
    <t>Name</t>
  </si>
  <si>
    <t>CM Exercise</t>
  </si>
  <si>
    <t>YTD Exercise</t>
  </si>
  <si>
    <t>Total Option Pool</t>
  </si>
  <si>
    <t>Issued</t>
  </si>
  <si>
    <t>Cancelled</t>
  </si>
  <si>
    <t>Available</t>
  </si>
  <si>
    <t>Options grants</t>
  </si>
  <si>
    <t>Repurchased</t>
  </si>
  <si>
    <t>Exercised</t>
  </si>
  <si>
    <t>Options Outstanding</t>
  </si>
  <si>
    <t>Total Options</t>
  </si>
  <si>
    <t xml:space="preserve">(1) 25% of the options vest on anniversary of Vesting Commencement Date,  the remainder vest ratably over the next 36 months. </t>
  </si>
  <si>
    <t>(2) 4/48 of the option vests on 4 month anniversary of Vesting Commencement Date, 1/44 of remaining vests over the next 44 months</t>
  </si>
  <si>
    <t>(3) 25% of the options veston the 6 month anniversary of the Vesting Commencement Date, the remainder vest ratably over the next 36 months</t>
  </si>
  <si>
    <t>(4) 6/48 of the options vests on 6 month anniversary of Vesting Commencement Date, 1/42 of remaining vests over the next 42 months</t>
  </si>
  <si>
    <t>(5) 1/48 of the options vest starting each month after the Vesting Commencement Date (i.e. no cliff)</t>
  </si>
  <si>
    <t>Equity Rollforward</t>
  </si>
  <si>
    <t>Common Shares</t>
  </si>
  <si>
    <t># of Shares</t>
  </si>
  <si>
    <t>Par Value</t>
  </si>
  <si>
    <t>Total Proceeds</t>
  </si>
  <si>
    <t>Closing Costs</t>
  </si>
  <si>
    <t>Total Stockholders' Deficit</t>
  </si>
  <si>
    <t>Inception November 7, 2014</t>
  </si>
  <si>
    <t xml:space="preserve">Issuance of common stock </t>
  </si>
  <si>
    <t>Conversion of Convertible Notes into Series A</t>
  </si>
  <si>
    <t>Proceeds from the sale of series A</t>
  </si>
  <si>
    <t>Bifurcated Tranche 2 and 3 liabilities</t>
  </si>
  <si>
    <t>Less: shares unvested at 12/31/2015</t>
  </si>
  <si>
    <t>Net loss</t>
  </si>
  <si>
    <t>Balance @ 12/31/2015 (aka 1/1/2016)</t>
  </si>
  <si>
    <t>Issuance of common stock in exchange for license</t>
  </si>
  <si>
    <t>Shares issued from the exercise of stock options</t>
  </si>
  <si>
    <t>Vesting of restricted common stock</t>
  </si>
  <si>
    <t xml:space="preserve">Balance @ 12/31/2016 </t>
  </si>
  <si>
    <t>Unvested shares repurchased</t>
  </si>
  <si>
    <t>Settlement of 3rd Tranche liabilities</t>
  </si>
  <si>
    <t>Balance @ 12/31/2017</t>
  </si>
  <si>
    <t>Proceeds from the sale of series B</t>
  </si>
  <si>
    <t>Balance @ 2/28/18</t>
  </si>
  <si>
    <t>Unvested RS</t>
  </si>
  <si>
    <t>GL Balance @ 2/28/18</t>
  </si>
  <si>
    <t>GL Reconciliation:</t>
  </si>
  <si>
    <t>GL 31Dec2015</t>
  </si>
  <si>
    <t>GL 31Dec2016</t>
  </si>
  <si>
    <t>GL 31Dec2017</t>
  </si>
  <si>
    <t>GL 31Mar2018</t>
  </si>
  <si>
    <t>Rollforward - Vesting of restricted common stock</t>
  </si>
  <si>
    <t>Unvested RS @ 12/31/2017</t>
  </si>
  <si>
    <t>+ RS Purchased in 2018</t>
  </si>
  <si>
    <t>- Unvested RS as of Curr Period</t>
  </si>
  <si>
    <t>RS Vested in Current Year</t>
  </si>
  <si>
    <t>Kallyope</t>
  </si>
  <si>
    <t>Shares Issued to Columbia</t>
  </si>
  <si>
    <t>Common shares outanding at 30Sep2015</t>
  </si>
  <si>
    <t>FMV of Common Stock at April 26, 2016</t>
  </si>
  <si>
    <t>FMV of total shares issued to Columbia</t>
  </si>
  <si>
    <t>Conversion BKP</t>
  </si>
  <si>
    <t>Line Item</t>
  </si>
  <si>
    <t>IPO Phase I</t>
  </si>
  <si>
    <t>IPO Phase II</t>
  </si>
  <si>
    <t>M&amp;A - IND</t>
  </si>
  <si>
    <t>M&amp;A Phase I</t>
  </si>
  <si>
    <t>M&amp;A Phase II</t>
  </si>
  <si>
    <t>Applied DLOM</t>
  </si>
  <si>
    <t>Previous Version Applied DLOM</t>
  </si>
  <si>
    <t>Future Financing (1)</t>
  </si>
  <si>
    <t>We assumed that Future Financing will be raised with pari passu liquidation preferences since Series B was raised in a similar fashion. Accordingly, in the Low Sale scenarios, the Exit Value applicable to the Future Financing will be equal to the Exit Multiple of the amount raised.</t>
  </si>
  <si>
    <t>Less: DLOM (2)</t>
  </si>
  <si>
    <t>Non-Diversification 
Risk Factor</t>
  </si>
  <si>
    <t>Particulars</t>
  </si>
  <si>
    <t>Amount Payable at End of Term</t>
  </si>
  <si>
    <t>Holding Term (years)</t>
  </si>
  <si>
    <t>(i)</t>
  </si>
  <si>
    <t>(ii)</t>
  </si>
  <si>
    <t>% Difference - (ii) / (i)</t>
  </si>
  <si>
    <t>Selected Rate</t>
  </si>
  <si>
    <t>Based on probability weighted term to exit in PWERM scenarios.</t>
  </si>
  <si>
    <t>Required rate of return reflects consideration of an implied return to common stockholders (based on the probability of successful exits), about 2.0x to 4.0x cost of capital differential from preferred investors due to the higher risk profile of common stock relative to preferred stock.</t>
  </si>
  <si>
    <t>Rate reflects a back solve in order to achieve approximately 15%-25% venture capital portfolio returns (across the total preferred investment). Such expected VC Portfolio Returns are generally consistent with observations of historical venture capital returns.</t>
  </si>
  <si>
    <t>Implied Preferred - Series A</t>
  </si>
  <si>
    <t>Less: Series B Tranche II</t>
  </si>
  <si>
    <t>Less: Series B Tranche III</t>
  </si>
  <si>
    <t>Discount Factor (4)</t>
  </si>
  <si>
    <t>Probability Weightings (5)</t>
  </si>
  <si>
    <t>CY2020</t>
  </si>
  <si>
    <t>CY2021</t>
  </si>
  <si>
    <t>REV_CY2020</t>
  </si>
  <si>
    <t>REV_CY2021</t>
  </si>
  <si>
    <t>EBITDA_2019</t>
  </si>
  <si>
    <t>EBITDA_2020</t>
  </si>
  <si>
    <t>NasdaqGS:ACAD</t>
  </si>
  <si>
    <t>IQ683713</t>
  </si>
  <si>
    <t>ACADIA Pharmaceuticals Inc.</t>
  </si>
  <si>
    <t>ACADIA Pharmaceuticals Inc., a biopharmaceutical company, focuses on the development and commercialization of small molecule drugs that address unmet medical needs in central nervous system disorders. The company offers NUPLAZID (pimavanserin) for the treatment of hallucinations and delusions associated with Parkinson’s disease psychosis. It is also developing pimavanserin as a treatment for dementia-related psychosis and as an adjunctive treatment for schizophrenia that are in phase III clinical trials; and pimavanserin as an adjunctive treatment for major depressive disorder. ACADIA Pharmaceuticals Inc. was founded in 1993 and is headquartered in San Diego, California.</t>
  </si>
  <si>
    <t>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t>
  </si>
  <si>
    <t>NasdaqCM:ASMB</t>
  </si>
  <si>
    <t>IQ99715344</t>
  </si>
  <si>
    <t>Assembly Biosciences, Inc.</t>
  </si>
  <si>
    <t>Assembly Biosciences, Inc. operates as a clinical stage biotechnology company. It develops oral therapeutic candidates for the treatment of hepatitis B virus (HBV) infection and novel class of oral synthetic live biotherapeutic candidates to treat disorders associated with the microbiome in the United States. It is involved in the development of core protein allosteric modulators that modulate the HBV core protein at various points in the viral lifecycle. The company also develops microbiome program, a platform that includes the identification and selection process to strain isolation and growth under current good manufacturing practice conditions; and a patent pending delivery system, GEMICEL, which allows for targeted oral delivery of live biologic and conventional therapies to the lower gastrointestinal tract. In addition, it engages in the development of product candidates for various disease indications, such as ulcerative colitis, Crohn’s disease, irritable bowel syndrome, non-alcoholic steatohepatitis, immuno-oncology, and clostridium difficile infections by using its microbiome platform. It has a collaboration agreement with Allergan Pharmaceuticals International Limited for the development and commercialization of selected microbiome gastrointestinal programs. The company was formerly known as Ventrus Biosciences, Inc. and changed its name to Assembly Biosciences, Inc. in June 2014. Assembly Biosciences, Inc. was founded in 2005 and is headquartered in Carmel, Indiana.</t>
  </si>
  <si>
    <t>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Voyager Therapeutics, Inc. was founded in 2013 and is headquartered in Cambridge, Massachusetts.</t>
  </si>
  <si>
    <t>IQ29016215</t>
  </si>
  <si>
    <t>Zafgen, Inc.</t>
  </si>
  <si>
    <t>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t>
  </si>
  <si>
    <t>Seres Therapeutics, Inc., a microbiome therapeutics platform company, engages in developing biological drugs designed to restore health by repairing the function of a dysbiotic microbiome. Its lead product candidate is SER-109, a bacterial spore ecology, which is in Phase III clinical study to treat multiply recurrent Clostridium difficile infection (CDI). The company is also developing SER-287 that is in Phase Ib clinical study in patients with mild-to-moderate ulcerative colitis; and SER-262, a multi-strain Ecobiotic microbiome therapeutic candidate, which is in Phase Ib study in patients with primary CDI. In addition, its product candidates in pre-clinical development comprise SER-301, an Ecobiotic microbiome therapeutic candidate for the treatment of inflammatory bowel disease; SER-401 for use with checkpoint inhibitors in patients with solid tumors; and SER-155, an Ecobiotic microbiome therapeutic candidate for the prevention of transplant-related mortality. Seres Therapeutics, Inc. has a strategic collaboration with Nestle Health Science and Memorial Sloan Kettering Cancer Center. The company was formerly known as Seres Health, Inc. and changed its name to Seres Therapeutics, Inc. in May 2015. Seres Therapeutics, Inc. was founded in 2010 and is headquartered in Cambridge, Massachusetts.</t>
  </si>
  <si>
    <t>TSXV:COB.U</t>
  </si>
  <si>
    <t>IQ134282175</t>
  </si>
  <si>
    <t>CohBar, Inc.</t>
  </si>
  <si>
    <t>TSXV</t>
  </si>
  <si>
    <t>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t>
  </si>
  <si>
    <t>Orexigen Therapeutics, Inc.</t>
  </si>
  <si>
    <t>NasdaqGS:VVUS</t>
  </si>
  <si>
    <t>IQ36398</t>
  </si>
  <si>
    <t>VIVUS, Inc.</t>
  </si>
  <si>
    <t>VIVUS, Inc., a biopharmaceutical company, develops and commercializes novel therapeutic products to address unmet medical needs in human health in the United States and the European Union. The company offers Qsymia for the treatment of obesity as an adjunct to a reduced-calorie diet and increased physical activity for chronic weight management in adult patients with an initial body mass index of 30 or greater, or obese patients, or 27 or greater, or overweight patients in the presence of at least one weight-related comorbidity, such as hypertension, type 2 diabetes mellitus or high cholesterol; and STENDRA, an oral phosphodiesterase type 5 inhibitor for the treatment of erectile dysfunction. It is also involved in developing Qsymia, which has been completed Phase II studies for the treatment of various diseases, including obstructive sleep apnea and diabetes, nonalcoholic steatohepatitis and fatty liver disease, hyperlipidemia, and hypertension, as well as Tacrolimus that has been completed Phase IIa studies for the treatment of pulmonary arterial hypertension. The company has development, license and clinical trial, and commercial supply agreement with Mitsubishi Tanabe Pharma Corporation for the development and commercialization of avanafil, a PDE5 inhibitor compound for the oral and local treatment of male and female sexual dysfunction. It also has license and commercialization agreements with Berlin Chemie AG to commercialize and promote STENDRA. VIVUS, Inc. was founded in 1991 and is headquartered in Campbell, California.</t>
  </si>
  <si>
    <t>NasdaqCM:AVXL</t>
  </si>
  <si>
    <t>IQ13580387</t>
  </si>
  <si>
    <t>Anavex Life Sciences Corp.</t>
  </si>
  <si>
    <t>Anavex Life Sciences Corp., a clinical stage biopharmaceutical company, engages in the development of drug candidates for the treatment of Alzheimer’s disease, other central nervous system diseases, pain, and various cancers. The company’s lead drug candidates include ANAVEX 2-73, which has completed Phase IIa clinical trials for the treatment of Alzheimer’s disease; and in preclinical clinical trials to treat Parkinson’s disease, epilepsy, Rett syndrome, Angelman syndrome, multiple sclerosis, and Fragile X syndrome. Its preclinical drug candidates include ANAVEX 3-71 to treat Alzheimer’s disease; ANAVEX 1-41, a sigma-1 agonist; ANAVEX 1037 for the treatment of prostate cancer; and ANAVEX 1066, a mixed sigma-1/sigma-2 ligand for the treatment of neuropathic and visceral pain. The company was founded in 2006 and is based in New York, New York.</t>
  </si>
  <si>
    <t>AIM:OPTI</t>
  </si>
  <si>
    <t>IQ129358643</t>
  </si>
  <si>
    <t>OptiBiotix Health plc</t>
  </si>
  <si>
    <t>AIM</t>
  </si>
  <si>
    <t>Optibiotix Health Plc, a life sciences company, engages in the research and development of microbiome modulators primarily in the United Kingdom. The company is developing microbial strains, compounds, and formulations, which modulates the human microbiome and impacts lipid and cholesterol management, energy harvest, and appetite suppression activities. Its products include Slimbiome, a natural ingredient, which supports scientifically substantiated weight loss claims; CholBiome, a food supplement that combines natural ingredients and maintains healthy cholesterol levels from within; CardioBiome, a non-pharmaceutical approach for the maintenance of cardiovascular and heart health; and Sweetbiotix, a sweet calorie free natural healthy sugar. Optibiotix Health Plc was founded in 2012 and is based in York, the United Kingdom.</t>
  </si>
  <si>
    <t>NasdaqCM:SLNO</t>
  </si>
  <si>
    <t>Soleno Therapeutics, Inc.</t>
  </si>
  <si>
    <t>Soleno Therapeutics, Inc. focuses on the development and commercialization of novel therapeutics for the treatment of rare diseases. Its lead candidate, diazoxide choline controlled-release (DCCR), a tablet for the treatment of Prader-Willi Syndrome (PWS), is entering into late-stage clinical development. The company was formerly known as Capnia, Inc. and changed its name to Soleno Therapeutics, Inc. in May 2017. Soleno Therapeutics, Inc. was founded in 1999 and is based in Redwood City, California.</t>
  </si>
  <si>
    <t>AMEX:SYN</t>
  </si>
  <si>
    <t>IQ24424557</t>
  </si>
  <si>
    <t>Synthetic Biologics, Inc.</t>
  </si>
  <si>
    <t>Synthetic Biologics, Inc., a late-stage clinical company, develops therapeutics designed to preserve the microbiome to protect and restore the health of patients. Its lead product candidates are in Phase III development, such as SYN-004 that is designed to protect the gut microbiome from the effects of commonly used intravenous (IV) beta-lactam antibiotics for the prevention of C. difficile infection, overgrowth of pathogenic organisms, and the emergence of antimicrobial resistance; and SYN-010 which is intended to reduce the impact of methane-producing organisms in the gut microbiome to treat an underlying cause of irritable bowel syndrome with constipation. The company’s preclinical products include an oral formulation of the enzyme intestinal alkaline phosphatase to treat local GI disorders and systemic diseases; monoclonal antibody therapies for the prevention and treatment of pertussis; and novel discovery stage biotherapeutics for the treatment of phenylketonuria. Synthetic Biologics, Inc. has collaborations with Intrexon Corporation, The University of Texas at Austin, and Cedars-Sinai Medical Center. The company was formerly known as Adeona Pharmaceuticals, Inc. and changed its name to Synthetic Biologics, Inc. in February 2012. Synthetic Biologics, Inc. was founded in 2001 and is headquartered in Rockville, Maryland.</t>
  </si>
  <si>
    <t>OTCPK:NEXS</t>
  </si>
  <si>
    <t>IQ340704541</t>
  </si>
  <si>
    <t>Nexus BioPharma, Inc.</t>
  </si>
  <si>
    <t>Nexus BioPharma, Inc., a life science company, focuses on the development and commercialization of a pharmaceutical preparation to treat obesity and the symptoms of type 2 diabetes. The company is headquartered in Houston, Texas.</t>
  </si>
  <si>
    <t>BiomX Ltd</t>
  </si>
  <si>
    <t>Rondinx Ltd</t>
  </si>
  <si>
    <t>Finch Therapeutics Group</t>
  </si>
  <si>
    <t>Crestovo LLC</t>
  </si>
  <si>
    <t>Pharmaceuticals</t>
  </si>
  <si>
    <t>Yungjin Pharm. Co., Ltd.</t>
  </si>
  <si>
    <t>KT&amp;G Life Sciences Corp.</t>
  </si>
  <si>
    <t>Allergan plc</t>
  </si>
  <si>
    <t>Vitae Pharmaceuticals, Inc.</t>
  </si>
  <si>
    <t>Vifor Pharma Ltd.</t>
  </si>
  <si>
    <t>Relypsa, Inc.</t>
  </si>
  <si>
    <t>OPKO Health, Inc.</t>
  </si>
  <si>
    <t>Transition Therapeutics Inc.</t>
  </si>
  <si>
    <t>Bamboo Therapeutics, Inc.</t>
  </si>
  <si>
    <t>Evelo Biosciences, Inc.</t>
  </si>
  <si>
    <t>Epiva Biosciences, Inc.</t>
  </si>
  <si>
    <t>Nexus BioPharma Corporation (nka:Nexus BioPharma, Inc.)</t>
  </si>
  <si>
    <t>Nexus BioPharma, Inc. Prior to Reverse merger with Nexus BioPharma Corporation</t>
  </si>
  <si>
    <t>Acorda Therapeutics, Inc.</t>
  </si>
  <si>
    <t>Biotie Therapies Corp.</t>
  </si>
  <si>
    <t>4D pharma plc</t>
  </si>
  <si>
    <t>Tucana Health Limited</t>
  </si>
  <si>
    <t>Vertical / Trigen Holdings LLC</t>
  </si>
  <si>
    <t>Osmotica Pharmaceutical Corp.</t>
  </si>
  <si>
    <t>Calibrium LLC and MB2 LLC</t>
  </si>
  <si>
    <t>Otsuka America, Inc.</t>
  </si>
  <si>
    <t>Avanir Pharmaceuticals, Inc.</t>
  </si>
  <si>
    <t>Civitas Therapeutics, Inc.</t>
  </si>
  <si>
    <t>Perrigo Company (nka:Perrigo Company plc)</t>
  </si>
  <si>
    <t>Elan Corporation Limited</t>
  </si>
  <si>
    <t>Upsher-Smith Laboratories, LLC</t>
  </si>
  <si>
    <t>Proximagen Group plc (nka:Proximagen Group Limited)</t>
  </si>
  <si>
    <t>IQTR547338814</t>
  </si>
  <si>
    <t xml:space="preserve">As of December 19, 2017, Rondinx Ltd was acquired by BiomX Ltd. Rondinx Ltd operates as a biotechnology company that develops a platform to discover microbiome-related targets, drugs, and companion diagnostics. The company was founded in 2015 and is based in Tel Aviv, Israel._x000D_
</t>
  </si>
  <si>
    <t xml:space="preserve">BiomX Ltd. acquired Rondinx Ltd from 8VC and others on December 19, 2017. In a related transaction, 8VC, made an undisclosed equity investment in BiomX. _x000D_
</t>
  </si>
  <si>
    <t>IQTR541283700</t>
  </si>
  <si>
    <t>As of October 23, 2017, Crestovo LLC was acquired by Finch Therapeutics Group. Crestovo LLC a clinical-stage biopharmaceutical company engages in developing of Full-Spectrum Microbiota(FSM) that harnesses the human gut microbiome. The company was founded in 2014 and is based in Cambridge, Massachusetts.</t>
  </si>
  <si>
    <t xml:space="preserve">Finch Therapeutics, Inc acquired Crestovo on October 23, 2017. As per the terms of agreement, Finch and Crestovo will form new entity i.e., Finch Therapeutics Group headquartered in Somerville and Mark Smith, President and Chief Executive Officer of Finch will be appointed as Chief Executive Officer and Joseph Lobacki, Chief Operating Officer and interim Chief Executive Officee of Crestovo will be appointed as Crestovo. Lauren Parikhal of BMC Communications acted as PR Advisor for the transaction._x000D_
</t>
  </si>
  <si>
    <t>IQTR330324285</t>
  </si>
  <si>
    <t>KT&amp;G Life Sciences Corp. develops therapeutic solutions focusing on hard-to-cure disease areas of degenerative, metabolic, cardiovascular, and cancer diseases. Its medicines act directly on metabolism, anti-aging, innate immunity, immune defense system, and normalizing the body function. The company’s pipeline includes various drug candidate substances, including KT&amp;G101 for the atopic dermatitis indication; MB12066 for non-alcoholic fatty liver disease, metabolic disease, and macular degeneration indications; KL7016 for the dry eye syndrome indication; MB11055 for obesity; MB11040 for anti-cancer and menopause disorders; MB11319 for prostatitis; and dietary supplements for arthritis/moisturization and calcium/ferrous supplement indications. KT&amp;G Life Sciences Corp. was formerly known as MD BioAlpha Co., Ltd. and changed its name to KT&amp;G Life Sciences Corp. in December 2011. The company was founded in 2002 and is based in Suwon, South Korea. As of January 13, 2017, KT&amp;G Life Sciences Corp. operates as a subsidiary of Yungjin Pharm. Co., Ltd..</t>
  </si>
  <si>
    <t xml:space="preserve">Yungjin Pharm. Co., Ltd. (KOSE:A003520) agreed to acquire KT&amp;G Life Sciences for KRW 25.3 billion on April 7, 2016. Yungjin Pharm. Co., will issue 1 share for every 0.61 shares of KT&amp;G Life Sciences. Yungjin Pharm will issue 6.02 million shares for the acquisition. KT&amp;G Life Sciences had total assets of KRW 19.24 billion, revenue of KRW 1.24 billion and net loss of KRW 6.97 billion for the year ended December 31, 2015. KT&amp;G Life Sciences will be dissolved after the merger. Yungjin Pharm. Co. will sign a contract to acquire KT&amp;G Life Sciences on April 11, 2016. As per amendment signed on August 11, 2016, Yungjin Pharm. Co. will issue 1 share for every 0.5 shares of KT&amp;G Life Sciences. Yungjin Pharm agreed to acquire KT&amp;G Life Sciences for KRW 87.4 billion. General meeting of shareholders is expected to be held on September 30, 2016. The transaction is expected to close on July 1, 2016. The confirmed date of shareholders of the merger company was scheduled to be on August 25, 2016. The transaction is now expected to complete on November 1, 2016. Ernst &amp; Young Han Young acted as an external valuer in the transaction. _x000D_
_x000D_
As of December 13, 2016, the transaction was approved by the board of Yungjin Pharm. Co., Ltd. The transaction is now expected to be completed on January 13, 2017._x000D_
</t>
  </si>
  <si>
    <t>IQTR384028496</t>
  </si>
  <si>
    <t>Vitae Pharmaceuticals, Inc., a biotechnology company, focuses on discovering and developing novel and small molecule drugs for diseases with unmet medical needs in the United States. Its products include VTP-43742 in Phase I clinical trial for the treatment of autoimmune disorders, including psoriasis, psoriatic arthritis, ankylosing spondylitis, inflammatory bowel disease, and multiple sclerosis; VTP-38543 in Phase IIa for the treatment of atopic dermatitis; and BI 1147560 for the treatment and prevention of Alzheimer's disease. The company’s products also include VTP-34072 that is in Phase II clinical trial for the treatment of type 2 diabetes; and VTP-38443 for the treatment of acute coronary syndrome. Vitae Pharmaceuticals, Inc. was founded in 2001 and is headquartered in Fort Washington, Pennsylvania. As of October 24, 2016, Vitae Pharmaceuticals, Inc. operates as a subsidiary of Allergan plc.</t>
  </si>
  <si>
    <t xml:space="preserve">Allergan plc (NYSE:AGN) entered into a definitive agreement and plan of merger to acquire Vitae Pharmaceuticals, Inc. (NasdaqGM:VTAE) for approximately $610 million on September 13, 2016. Allergan will commence a cash tender offer to purchase 28.8 million shares of Vitae common stock for $21 per share. Option holders will also be offered same offer per share. Allergan has sufficient funds to consummate the offer. Upon closing, Vitae Pharmaceuticals will operate as a wholly owned subsidiary of Allergan. Allergan will acquire any shares of Vitae that are not tendered into the offer through a second-step merger. The Offer will expire at on the 20th business day following the commencement date of the Offer. Vitae Pharmaceuticals will pay $19.2 million as termination fee if, offer closing date has not occurred on or before February 13, 2017. The companies announced that the waiting period under the Hart-Scott Rodino Antitrust Improvements Act of 1976 on October 17, 2016._x000D_
_x000D_
The transaction is unanimously approved by Board of Directors of Allergan and Vitae Pharmaceuticals. The transaction is subject to U.S. antitrust clearance and the tender of a majority of the outstanding shares of Vitae and customary closing conditions. The acquisition is expected to close by the end of 2016. J.P. Morgan Securities LLC acted as financial advisor for Vitae Pharmaceuticals. Jay Hachigian, Andrew Luh and Gregg Griner of Gunderson Dettmer Stough Villeneuve Franklin &amp; Hachigian, LLP acted as legal advisor for Vitae Pharmaceuticals. Andrew L. Bab, Jennifer Roeske, Jeffrey P. Cunard, Gary M. Friedman, Jonathan F. Lewis, Matthew M. Delja, Samuel M. Duncan, Jennifer A. Gong, Michelle M. Hillenbrand, Sue Meng and Nicholas C.H. Roper of Debevoise &amp; Plimpton LLP acted as legal advisors for Allergan._x000D_
</t>
  </si>
  <si>
    <t>IQTR376799232</t>
  </si>
  <si>
    <t>Relypsa, Inc., a biopharmaceutical company, focuses on the discovery, development, and commercialization of polymeric medicines for patients with conditions that are overlooked and undertreated and can be addressed in the gastrointestinal tract primarily in the United States. The company offers Veltassa (patiromer), a non-absorbed potassium binding polymer for the treatment of hyperkalemia. It has license agreement with Vifor Fresenius Medical Care Renal Pharma Ltd. for developing and commercializing Veltassa outside the United States and Japan. The company was founded in 2007 and is headquartered in Redwood City, California. As of August 31, 2016, Relypsa, Inc. operates as a subsidiary of Vifor Pharma Ltd.</t>
  </si>
  <si>
    <t xml:space="preserve">Vifor Pharma Ltd. entered into a definitive agreement to acquire Relypsa, Inc. (NasdaqGS:RLYP) for $1.5 billion on July 20, 2016. Under the terms, the consideration includes $32 per share for each common stock, RSU and restricted share, each outstanding Relypsa Option will be canceled and terminated in exchange for the right to an amount in cash equal to $32 per share, holders of certain outstanding common stock purchase warrants issued by Relypsa shall be entitled to receive an amount in cash equal to $32 per warrant. The transaction contains termination rights for both Relypsa and Vifor Pharma including the right to terminate in the event that the acceptance time has not occurred on or before December 15, 2016. Relypsa has agreed to pay Vifor Pharma a termination fee of $49 million in cash upon termination of the agreement under certain specified circumstances, including in connection with a termination of the agreement by Relypsa to accept a competing transaction proposal. Galenica has secured committed bridge loan financing from Credit Suisse which, in addition to the Galenica existing cash and cash equivalents, is available to finance the transaction. The transaction will also be partially financed through the proceeds of IPO. Relypsa is expected to be delisted from the NASDAQ and integrated into Vifor Pharma. As of August 4, 2016, tender offer was initiated._x000D_
_x000D_
The transaction is subject to conditions including the number of shares validly tendered and not withdrawn in accordance with the terms of the offer represents at least a majority of all then outstanding shares, the expiration or termination of any applicable waiting period under the Hart-Scott-Rodino Antitrust Improvements Act of 1976, as amended and regulatory approvals. The obligations of Vifor Pharma to complete the offer and the merger are not subject to any financing condition._x000D_
_x000D_
The Boards of Directors of both Relypsa and Galenica have approved the terms of the merger agreement, and the Board of Directors of Relypsa has resolved to recommend that shareholders accept the offer, once it is commenced. The transaction is expected to close during the third quarter of 2016.  Jason Truman and Olof Engelbrekts of Credit Suisse acted as financial advisor to Vifor Pharma for the transaction. Centerview Partners LLC and Merrill Lynch, Pierce, Fenner &amp; Smith Incorporated acted as financial advisers to Relypsa. Andrew M Levine, Jeff Symons and Ben Stulberg of Jones Day acted as the legal adviser to Vifor Pharma. Mark V. Roeder and Joshua M. Dubofsky of Latham &amp; Watkins LLP acted as legal adviser to Relypsa. Oliver Kronenberg acted as legal advisor for Galenica. Philip Richter, Scott Luftglass and Shant Manoukian from Fried, Frank, Harris, Shriver &amp; Jacobson LLP acted as legal advisors to Merrill Lynch. _x000D_
</t>
  </si>
  <si>
    <t>IQTR370072353</t>
  </si>
  <si>
    <t>Transition Therapeutics Inc., a biopharmaceutical company, researches and develops therapeutic agents for disease indications primarily in Canada. The company's lead central nervous system drug candidate is ELND005, which has completed a Phase II/III clinical trial for the treatment of agitation/aggression associated with Alzheimer's disease; and has completed Phase IIa clinical trial for the treatment of Down syndrome. Its lead metabolic drug candidate is TT401, which is in Phase II clinical study for the treatment of type 2 diabetes and accompanying obesity. The company is also developing TT701, a selective androgen receptor modulator for the treatment of androgen deficiencies. Transition Therapeutics Inc. has a licensing and collaboration agreement with Eli Lilly to develop and commercialize TT401; and to develop compounds in preclinical models to provide glycemic control and other beneficial effects, including weight loss. The company was formerly known as Transition Therapeutics and Diagnostics Inc. and changed its name to Transition Therapeutics Inc. in December 2000. Transition Therapeutics Inc. was founded in 1987 and is headquartered in Toronto, Canada. As of August 31, 2016, Transition Therapeutics Inc. operates as a subsidiary of Opko Health, Inc.</t>
  </si>
  <si>
    <t xml:space="preserve">Opko Health, Inc. (NasdaqGS:OPK) signed a definitive agreement to acquire Transition Therapeutics Inc. (TSX:TTH) (TTHI) from Oracle Investment Management, Inc., Schuler Family Trust, Schuler Family Foundation, Endowment Arm and others for $59.8 million on June 29, 2016. Under the terms of the agreement, TTHI security holders will receive approximately 6.43 million shares of common stock of Opko Health. If the agreement is terminated under certain circumstances specified in the arrangement agreement, TTHI will be required to pay the Opko Health a termination fee of $3 million; however, if the agreement is terminated by (a) either party due to TTHI’s stockholders not approving the agreement at a special meeting, TTHI will be required to pay the Opko Health a termination fee of $1.8 million and (b) by Opko Health due to TTHI’s breaches of its representations and warranties under the agreement, TTHI will be required to pay the Opko Health $0.5 million in lieu of the termination fee. Additionally, if the Opko Health terminates the agreement due to TTHI’s breaches of its representations and warranties, and within 12 months after such termination, the Opko Health would otherwise be entitled to the termination fee, then TTHI will pay the Opko Health an additional $2.5 million._x000D_
_x000D_
As on August 4, 2016, pursuant to the arrangement, Transition shareholders (other than dissenting shareholders or OPKO or any affiliate of OPKO that holds transition shares) will receive, for each Transition share held, the number of OPKO Shares as determined by the exchange ratio set forth in the plan of arrangement. The deal is subject to approval of from shareholders of Transition Therapeutics, approval from Ontario Superior Court of Justice, the approval by the NASDAQ Stock Market with respect to the listing of the shares of common stock of Opko Health to be issued in the arrangement, regulatory approval, third party approval and other customary conditions. The agreement is approved by the Boards of Directors of Opko Health and unanimously approved by Board of TTHI. The transaction has been approved by the shareholders of Transition Therapeutics on August 25, 2016. The transaction is expected to close during the second half of 2016. _x000D_
_x000D_
Terry Rooney and Marion Janic of Rooney &amp; Associates and Anne Marie Fields and Bruce Voss of LHA acted as public relations advisors in the deal. KPMG LLP acted as financial advisor to TTHI. Michael J. Bennett of McCarthy Tétrault LLP acted as legal advisor for TTHI. Bob Grossman, Robert L. Grossman, Joshua M. Samek, Josh Samek, Robert Charrow, Seth Entin, Stephen Pepper, Evan Kantor and Indira Sordo of Greenberg, Traurig, PA and Blake, Cassels &amp; Graydon acted as legal advisors for Opko Health. Computershare Investor Services Inc acted as transfer agent for Transition Therapeutics._x000D_
</t>
  </si>
  <si>
    <t>IQTR378587822</t>
  </si>
  <si>
    <t>Bamboo Therapeutics, Inc. develops therapies for rare and devastating central nervous system and neuromuscular diseases. It provides multiple research grade and clinical grade lots for pharmaceutical and biotechnology companies, as well as universities and foundations; and represents a community of researchers, clinicians, regulatory scientists, and business professionals committed to providing hope to patients suffering from devastating disease. The company was founded in 2014 and is based in Chapel Hill, North Carolina. As of August 1, 2016, Bamboo Therapeutics, Inc. operates as a subsidiary of Pfizer Inc.</t>
  </si>
  <si>
    <t xml:space="preserve">Pfizer Inc. (NYSE:PFE) acquired remaining 78% stake in Bamboo Therapeutics, Inc. for $650 million on August 1, 2016. Under the terms of the transaction, Pfizer will pay upfront $150 million and $495 million contingent upon the progression of key assets through development, regulatory approval, and commercialization. Kaye Scholer LLP acted legal advisor to Pfizer and Ice Miller LLP acted as legal advisor to Bamboo Therapeutics. Piper Jaffray Companies acted as financial advisor for Bamboo Therapeutics._x000D_
</t>
  </si>
  <si>
    <t>IQTR374331586</t>
  </si>
  <si>
    <t>As of July 12, 2016, Epiva Biosciences, Inc. was acquired by Evelo Biosciences. Epiva Biosciences, Inc. develops immunobiotic therapeutics, a class of primed bacterial interventions designed to restore normo-biosis, the microbiome signature normally found in healthy people. It focuses on treating conditions characterized by inflammation and aberrant immune responses by modulating the systemic microbiome, the host immune-bacteria interface. The company was founded in 2015 and is based in Cambridge, Massachusetts.</t>
  </si>
  <si>
    <t>IQTR340704865</t>
  </si>
  <si>
    <t>As of June 9, 2016, Nexus BioPharma, Inc. was acquired by Nexus BioPharma Corporation, in a reverse merger transaction. Nexus BioPharma, Inc., a life science company, develops and commercializes drugs for transformative obesity and diabetes treatments. The company was formerly known as Plata Resources, Inc. and changed its name to Nexus BioPharma, Inc. in May 2016. Nexus BioPharma, Inc. was incorporated in 2007 and is based in Montclair, New Jersey.</t>
  </si>
  <si>
    <t>IQTR322467625</t>
  </si>
  <si>
    <t>Biotie Therapies Corp., a biopharmaceutical company, primarily focuses on developing and selling therapeutics for central nervous system disorders in Finland and the United States. The company offers Selincro (nalmefene), a dual-acting opioid system modulator that reduces alcohol consumption in alcohol dependent individuals; and Tozadenant (SYN115), an oral, potent and selective adenosine A2a receptor antagonist, which is in Phase III clinical study for the treatment of Parkinson’s disease. It also provides SYN120, an oral, potent, dual antagonist of the 5-HT6 and 5-HT2A receptors that has been completed single and multiple ascending dose Phase I clinical studies and a Phase I positron emission tomography imaging study to determine therapeutic dose for subsequent Phase II studies; and BTT1023, a human monoclonal antibody that binds to vascular adhesion protein 1, which is in Phase II clinical trial received orphan drug designation for the treatment of primary sclerosing cholangitis. Biotie Therapies Corp. is headquartered in Turku, Finland. As of April 18, 2016, Biotie Therapies Corp. operates as a subsidiary of Acorda Therapeutics, Inc.</t>
  </si>
  <si>
    <t>IQTR325233461</t>
  </si>
  <si>
    <t>Tucana Health Limited investigates the use of microbiome signatures to aid the diagnosis and treatment of diseases. The company was incorporated in 2016 and is based in Dublin, Ireland. As of February 10, 2016, Tucana Health Limited operates as a subsidiary of 4D pharma plc.</t>
  </si>
  <si>
    <t>IQTR318542210</t>
  </si>
  <si>
    <t>Osmotica Pharmaceutical Corp., a specialty pharmaceutical company, develops branded and generic pharmaceutical products. The company provides a portfolio of products in various stages of development focused on the treatment of movement disorders, such as MS and Parkinson's disease. Its products pipeline includes various central nervous system and neurology-based therapeutic drugs, such as nifedipine, oxybutynin, venlafaxine, and desvenlafaxine extended release tablets. Osmotica Pharmaceutical Corp. was formerly known as Osmotica USA Corp. The company was founded in 1986 and is based in Marietta, Georgia. It has principal operations in the United States, Argentina, and Hungary; and manufacturing facilities in the United States and Spain. As of February 4, 2016, Osmotica Pharmaceutical Corp. operates as a subsidiary of Vertical / Trigen Holdings LLC.</t>
  </si>
  <si>
    <t>IQTR310229188</t>
  </si>
  <si>
    <t>As of October 30, 2015, Calibrium LLC and MB2 LLC was acquired by Novo Nordisk A/S. Calibrium LLC and MB2 LLC represents the combined operations of Calibrium LLC and MB2 LLC in their sale to Novo Nordisk A/S. Calibrium LLC is a biopharmaceutical company engaging in discovery and early development of novel peptides for the treatment of diabetes and related metabolic diseases. MB2 LLC is a clinical-stage biopharmaceutical company advancing a pipeline of mixed agonist drugs for the treatment of diabetes and obesity. Calibrium LLC is based in Indianapolis, Indiana. MB2 LLC is based in Carmel, Indiana.</t>
  </si>
  <si>
    <t>IQTR278883716</t>
  </si>
  <si>
    <t>Avanir Pharmaceuticals, Inc., together with its subsidiaries, engages in acquiring, developing, and commercializing novel therapeutic products for the treatment of central nervous system disorders primarily in the United States. It primarily offers NUEDEXTA, a dual N-methyl-D-aspartate receptor antagonist and sigma-1 agonist for the treatment of pseudobulbar affect; and Docosanol 10% cream, an over-the-counter product for the treatment of cold sores. The company is also involved in Phase II clinical trial of AVP-923 for the treatment of central neuropathic pain in patients with multiple sclerosis, agitation in patients with Alzheimer’s disease, and levodopa-induced-dyskinesia in Parkinson’s disease. In addition, it is developing AVP-786, a Phase II clinical trial product for the treatment of major depressive disorder; and AVP-825, an investigational drug-device combination product consisting of low-dose sumatriptan powder for the acute treatment of migraine. The company has a license agreement with Concert Pharmaceuticals, Inc. to develop and commercialize deuterium-modified dextromethorphan for the potential treatment of neurologic and psychiatric disorders, as well as rights to other deuterium-modified dextromethorphan compounds; and a license agreement with OptiNose AS for the development and commercialization of a novel breath powered intranasal delivery system to treat acute migraine. Avanir Pharmaceuticals, Inc. was founded in 1988 and is headquartered in Aliso Viejo, California.</t>
  </si>
  <si>
    <t>IQTR272776338</t>
  </si>
  <si>
    <t>Civitas Therapeutics, Inc., a biopharmaceutical company, develops and commercializes transformative therapeutics using its ARCUS technology. Its technology enables the delivery of a precise dose to the lung to potentially enable rapid and predictable L-dopa absorption through a reusable, pocket-size, and breath-actuated inhaler. The company offers CVT-301, a inhaled L-dopa therapy for OFF episodes that provides rapid delivery of L-dopa to the brain to be used in conjunction with a Parkinson’s disease patient’s individually optimized oral L-dopa regimen. Civitas Therapeutics, Inc. was formerly known as Corregidor Therapeutics, Inc. and changed its name to Civitas Therapeutics, Inc. in April 2011. The company was founded in 2009 and is based in Chelsea, Massachusetts. As of October 22, 2014, Civitas Therapeutics, Inc. operates as a subsidiary of Acorda Therapeutics, Inc.</t>
  </si>
  <si>
    <t>IQTR243744306</t>
  </si>
  <si>
    <t>As of December 18, 2013, Elan Corporation Limited was acquired by Perrigo Company Public Limited Company. Elan Corporation Limited is a biotechnology company in the United States, Ireland, and internationally. The company develops ELND005, an orally bioavailable small molecule in Phase II clinical trial being investigated for multiple neuropsychiatric indications on the basis of its proposed dual mechanism of action, which includes b-amyloid anti-aggregation and regulation of brain myo-inositol levels. It also develops ELND005 as an adjunctive maintenance treatment in patients with Bipolar I Disorder to delay the time to occurrence of mood episodes; and for the treatment of agitation/aggression in patients with moderate to severe Alzheimer’s disease. Elan Corporation Limited was founded in 1969 and is headquartered in Dublin, Ireland.</t>
  </si>
  <si>
    <t>IQTR208640553</t>
  </si>
  <si>
    <t>Proximagen Group Limited, a biotechnology company, focuses on the development and commercialization of novel therapeutics for central nervous system and inflammation diseases. The company develops drug candidate programs comprising 4 programs in clinical development and approximately 10 earlier stage assets being progressed for various therapeutic areas, including epilepsy, parkinson’s diseases, alzheimer’s diseases, inflammation, oncology, and neuropathic pain. It has partnership with GlaxoSmithKline, Upsher-Smith, Lundbeck, and the US National Institutes of Health. It has a drug discovery and development collaboration with Saniona AB (publ). The company was founded in 2003 and is headquartered in London, the United Kingdom. Proximagen Group Limited operates as a subsidiary of ACOVA Inc.</t>
  </si>
  <si>
    <t>Interpolation - PWERM</t>
  </si>
  <si>
    <t>IPO - Phase I</t>
  </si>
  <si>
    <t>IPO - Phase II</t>
  </si>
  <si>
    <t>M&amp;A - Phase I</t>
  </si>
  <si>
    <t>M&amp;A - Phase II</t>
  </si>
  <si>
    <t>Weighted-Average Term</t>
  </si>
  <si>
    <t>Term to Exit</t>
  </si>
  <si>
    <t>Prob</t>
  </si>
  <si>
    <t>WAT</t>
  </si>
  <si>
    <t>M&amp;A - IND (High)</t>
  </si>
  <si>
    <t>M&amp;A - IND (Low)</t>
  </si>
  <si>
    <t>M&amp;A - Phase I (High)</t>
  </si>
  <si>
    <t>M&amp;A - Phase I (Low)</t>
  </si>
  <si>
    <t>M&amp;A - Phase II (High)</t>
  </si>
  <si>
    <t>M&amp;A - Phase II (Low)</t>
  </si>
  <si>
    <t>Low Sale - IND</t>
  </si>
  <si>
    <t>Low Sale - Phase I</t>
  </si>
  <si>
    <t>Low Sale - Phase II</t>
  </si>
  <si>
    <t>Interpolation - IPO Phase I</t>
  </si>
  <si>
    <t>Interpolation - IPO Phase II</t>
  </si>
  <si>
    <t>Interpolation - M&amp;A - IND</t>
  </si>
  <si>
    <t>Interpolation - M&amp;A Phase I</t>
  </si>
  <si>
    <t>Interpolation - M&amp;A Phase II</t>
  </si>
  <si>
    <t>Asset Volatility - IPO Phase I</t>
  </si>
  <si>
    <t>Asset Volatility - IPO Phase II</t>
  </si>
  <si>
    <t>Asset Volatility - M&amp;A - IND</t>
  </si>
  <si>
    <t>Asset Volatility - M&amp;A Phase I</t>
  </si>
  <si>
    <t>Asset Volatility - M&amp;A Phase II</t>
  </si>
  <si>
    <t>Risk-Free Rates - PWERM</t>
  </si>
  <si>
    <t>Updated up to 12.27.17</t>
  </si>
  <si>
    <t>Initial Public Offerings Data - Biopharma</t>
  </si>
  <si>
    <t>IQTR262309726</t>
  </si>
  <si>
    <t>Zafgen, Inc., a biopharmaceutical company, focuses on the development of therapeutics for patients suffering from metabolic diseases comprising type 2 diabetes and obesity. The company’s lead product candidate is ZGN-1061, a fumagillin-class MetAP2 inhibitor administered by subcutaneous injection, which is in Phase 1 clinical trial and profiled for its utility in the treatment of metabolic diseases. Zafgen, Inc. was founded in 2005 and is based in Boston, Massachusetts.</t>
  </si>
  <si>
    <t>Soleno Therapeutics, Inc. focuses on the development and commercialization of novel therapeutics for the treatment of rare diseases. The company’s lead candidate, diazoxide choline controlled-release (DCCR), a once-daily oral tablet for the treatment of Prader-Willi Syndrome (PWS), is entering into Phase II/III clinical development. It also markets medical devices, including the CoSense End-Tidal Carbon Monoxide (ETCO) monitor, which measures ETCO and is used by hospitals to detect hemolysis in newborns; and NeoPip T-piece resuscitator and related consumables, which deliver consistent pre-set inspiratory pressure and positive end-expiratory pressures, as well as temperature probes, scales, surgical tables, and patient surfaces. In addition, the company offers Serenz, a handheld device that delivers non-inhaled carbon dioxide topically to the nasal mucosa. The company was formerly known as Capnia, Inc. and changed its name to Soleno Therapeutics, Inc. May 2017. Soleno Therapeutics, Inc. was founded in 1999 and is headquartered in Redwood City, California.</t>
  </si>
  <si>
    <t>Initial Public Offerings Data - Comparables</t>
  </si>
  <si>
    <t>IPO - METRICS (COMPARABLES)</t>
  </si>
  <si>
    <t>Comparable Licensing Deals</t>
  </si>
  <si>
    <t>Stage</t>
  </si>
  <si>
    <t>Milestone Payment</t>
  </si>
  <si>
    <t>Deal Comment</t>
  </si>
  <si>
    <t>Rationale</t>
  </si>
  <si>
    <t>Pre-Clinical and Research Project</t>
  </si>
  <si>
    <t>Licensing</t>
  </si>
  <si>
    <t>Lyndra, Inc.</t>
  </si>
  <si>
    <t>Research Project</t>
  </si>
  <si>
    <t>SEP17 Licensed WW rights of innovative sustained-release technology to Allergan to develop ultra-long-acting oral products for the treatment of Alzheimer’s disease in exchange of $15mupfront payment + $90m development &amp; regulatory milestones.</t>
  </si>
  <si>
    <t>Alzheimer's disease (research)</t>
  </si>
  <si>
    <t>https://www.businesswire.com/news/home/20170907005769/en/Lyndra-Allergan-Sign-Partnership-Develop-Ultra-Long-Acting-Oral</t>
  </si>
  <si>
    <t>AstraZeneca plc</t>
  </si>
  <si>
    <t>Berg Health</t>
  </si>
  <si>
    <t>AUG17 Research collaboration with AstraZeneca to identify and evaluate novel targets and therapeutics to treat neurological disorders such as Parkinson's disease.  AstraZeneca to initially provide BERG with its curated library of central nervous system (CNS) optimized fragments &amp; BERG to employ AstraZeneca's fragment library to assist in discovering drug candidates for therapeutic development by utilising its Interrogative Biology Technology. Deal terms not disclosed.</t>
  </si>
  <si>
    <t>Parkinson's disease (research)</t>
  </si>
  <si>
    <t>https://www.reuters.com/article/us-astrazeneca-ai-berg/astrazeneca-taps-ai-for-drug-discovery-in-deal-with-berg-idUSKCN1B81G1</t>
  </si>
  <si>
    <t>MISSION Therapeutics</t>
  </si>
  <si>
    <t>University of Oxford</t>
  </si>
  <si>
    <t>APR17 Research collaboration with University of Oxford to progress novel USP30 inhibitors to develop potential therapies for Parkinson’s disease. Received research grant from the Michael J. Fox Foundation for Parkinson’s Research (MJFF) to support testing of Mission Therapeutics’ potent and selective USP30-targeted inhibitors in translationally relevant stem cell-derived Parkinson’s disease models developed at the University of Oxford.</t>
  </si>
  <si>
    <t>Parkinson's disease (preclinical)</t>
  </si>
  <si>
    <t>https://missiontherapeutics.com/mission-therapeutics-and-university-of-oxford-awarded-research-grant-from-the-michael-j-fox-foundation/</t>
  </si>
  <si>
    <t>FGH Biotech, Inc</t>
  </si>
  <si>
    <t>Kyoto University</t>
  </si>
  <si>
    <t>MAR17 Licensed patents and technology rights for the development and commercialization of Vitamin D and its derivatives. Financial details were not disclosed.</t>
  </si>
  <si>
    <t>Obesity (research)</t>
  </si>
  <si>
    <t>https://www.prnewswire.com/news-releases/fgh-biotech-inc-announces-licensing-deal-with-kyoto-university-and-tokyo-university-of-agriculture-and-technology-enabling-access-to-ground-breaking-vitamin-d-based-technologies-to-address-metabolic-disorders-and-cancer-300418615.html</t>
  </si>
  <si>
    <t>Evotec AG</t>
  </si>
  <si>
    <t>OCT17 Celgene to pay $5m milestone payment to Evotec for successful completion of a screening campaign. DEC16 In-licensed WW option rights from Evotec in exchange of $45m upfront payment; Evotec may be eligible to receive up to $ 250m milestones &amp; low double-digit royalties; the initial term of the collaboration is five years.</t>
  </si>
  <si>
    <t>Parkinson (Research)</t>
  </si>
  <si>
    <t>https://www.evotec.com/article/en/Press-releases/Evotec-and-Celgene-enter-into-drug-discovery-collaboration-for-neurodegenerative-diseases/2908</t>
  </si>
  <si>
    <t>Joint Venture</t>
  </si>
  <si>
    <t>University of Cambridge</t>
  </si>
  <si>
    <t>PhoreMost Limited</t>
  </si>
  <si>
    <t>OCT16 Research collaboration with the laboratory of Professor David Rubinsztein at the University of Cambridge to study and translate essential cellular mechanisms of neurodegenerative disorders into novel therapeutic strategies for diseases such as Parkinson’s and Alzheimer’s.</t>
  </si>
  <si>
    <t>Parkinson’s and Alzheimer’s (research)</t>
  </si>
  <si>
    <t>https://www.phoremost.com/news/phoremost-ltd-university-of-cambridge-collaborate</t>
  </si>
  <si>
    <t>Cantabio Pharmaceuticals, Inc.</t>
  </si>
  <si>
    <t>Pre-Clinical</t>
  </si>
  <si>
    <t>SEP16 Cantabio Pharmaceuticals licensed rights for tau protein targeting therapeutics programme for treatment of Alzheimer’s disease.</t>
  </si>
  <si>
    <t>Alzheimer's disease (preclinical)</t>
  </si>
  <si>
    <t>https://www.cnbc.com/2016/09/07/globe-newswire-cantabio-pharmaceuticals-licenses-tau-protein-targeting-therapeutic-program-from-university-of-cambridge-for-the-potential.html</t>
  </si>
  <si>
    <t>Licensing Technology</t>
  </si>
  <si>
    <t>Genten Therapeutics Inc.</t>
  </si>
  <si>
    <t>Intrexon Corp</t>
  </si>
  <si>
    <t>SEP16 Exclusive Channel Collaboration (ECC) with Genten Therapeutics to develop therapies for celiac disease utilising Intrexon's ActoBiotics technology.</t>
  </si>
  <si>
    <t>Celiac disease</t>
  </si>
  <si>
    <t>Alzyn, LLC</t>
  </si>
  <si>
    <t>Transdermal Delivery Solutions Corporation</t>
  </si>
  <si>
    <t>SEP16 Licensed HypoSpray-delivered proprietary solution technology to Alzyn targeted at halting the progression of Alzheimer's disease.</t>
  </si>
  <si>
    <t>https://www.businesswire.com/news/home/20160919006586/en/Transdermal-Delivery-Solutions-ALZYN-Announce-License-HypoSpray%C2%AE</t>
  </si>
  <si>
    <t>Blaze Bioscience, Inc.</t>
  </si>
  <si>
    <t>Denali Therapeutics Inc</t>
  </si>
  <si>
    <t>AUG16 Research collaboration &amp; option agreement with Denali Therapeutics for research &amp; discovery of novel blood-brain-barrier crossing therapeutics at the Fred Hutchinson Cancer Research Center.</t>
  </si>
  <si>
    <t>https://www.genengnews.com/gen-news-highlights/denali-f-star-launch-up-to-1b-bispecific-antibody-cns-collaboration/81253129</t>
  </si>
  <si>
    <t>Roche Genentech</t>
  </si>
  <si>
    <t>AUG16 In-licensed WW rights from Roche for development &amp; commercialisation for the treatment of Parkinson's disease.</t>
  </si>
  <si>
    <t>Parkinson’s disease (research)</t>
  </si>
  <si>
    <t>https://www.fiercebiotech.com/biotech/denali-grabs-130m-more-as-it-heads-into-clinic-reveals-deals</t>
  </si>
  <si>
    <t>Washington University School of Medicine</t>
  </si>
  <si>
    <t>AUG16 In-licensed WW rights from Washington University School of Medicine for the development &amp; commercialization of antibodies targeting ApoE, a neurodegeneration-causing protein &amp; genetic risk factor for Alzheimer's disease.</t>
  </si>
  <si>
    <t>https://www.prnewswire.com/news-releases/denali-therapeutics-announces-first-clinical-trial-application-key-collaborations-and-130m-series-b-300317984.html</t>
  </si>
  <si>
    <t>Osaka University</t>
  </si>
  <si>
    <t>AUG16 Eli Lilly &amp; Osaka University signed a research collaboration for an approach to prevent &amp; treat obesity. Financial terms undisclosed.</t>
  </si>
  <si>
    <t>Obesity (research project)</t>
  </si>
  <si>
    <t>http://resou.osaka-u.ac.jp/en/research/2016/20160901_2</t>
  </si>
  <si>
    <t>Axovant Sciences Ltd</t>
  </si>
  <si>
    <t>Qaam Pharmaceuticals LLC</t>
  </si>
  <si>
    <t>AUG16 Out-licensed exclusive technology rights to Axovant Sciences for development &amp; commercialization of products that combine cholinesterase inhibitors with peripheral muscarinic receptor antagonists. Deal terms not disclosed.</t>
  </si>
  <si>
    <t>Alzheimer's disease (Phase I)</t>
  </si>
  <si>
    <t>http://investors.axovant.com/news-releases/news-release-details/axovant-sciences-announces-expansion-dementia-pipeline-and</t>
  </si>
  <si>
    <t>Ionis Pharmaceuticals Inc</t>
  </si>
  <si>
    <t>JUL16 In-licensed WW rights from Ionis Pharmaceuticals for the development &amp; commercialisation of IONIS-JBI1-2.5Rx. Johnson paid $10m upfront payment to Ionis. As a part of three program agreement, Johnson to pay nearly $800m in development, regulatory and sales milestone payments and license fees for these programs &amp; tiered royalties that on average are double-digits on sales from any product that is successfully commercialised.</t>
  </si>
  <si>
    <t>GI Tract</t>
  </si>
  <si>
    <t>http://www.fiercebiotech.com/biotech/ionis-out-licenses-antisense-gi-drug-to-janssen-as-pharma-posts-strong-q2</t>
  </si>
  <si>
    <t>Cenicriviroc + Evogliptin</t>
  </si>
  <si>
    <t>Tobira Therapeutics/Dong-A ST</t>
  </si>
  <si>
    <t>NOV16 Product acquired by Allergan through company acquisition. APR16 Research collaboration with Dong-A ST to initiate development program for the combination of the two agents having the potential to be combined in a fixed dose combination tablet.</t>
  </si>
  <si>
    <t>NASH</t>
  </si>
  <si>
    <t>Cantabio Pharmaceuticals Inc</t>
  </si>
  <si>
    <t>NovAliX SAS</t>
  </si>
  <si>
    <t>APR16 Out-licensed proprietary microarray based surface plasmon resonance (SPR-WORM) screen technology to Cantabio for the development of small molecule chaperones that stabilize the Ab peptide for Alzheimer’s disease; undisclosed financial terms.</t>
  </si>
  <si>
    <t>http://www.novalix-pharma.com/news-and-events/readnews/successful-collaboration-between-cantabio-and-novalix</t>
  </si>
  <si>
    <t>Keio University</t>
  </si>
  <si>
    <t>Juntendo University</t>
  </si>
  <si>
    <t>FEB16 Research collaboration with Juntendo for discovery &amp; development of T-cell derived iPS stem cells targeting Parkinson's Disease.</t>
  </si>
  <si>
    <t>Parkinson (preclinical)</t>
  </si>
  <si>
    <t>https://www.keio.ac.jp/en/press_releases/2016/cb96u900000050uk-att/20160315.pdf</t>
  </si>
  <si>
    <t>Microlin Bio, Inc</t>
  </si>
  <si>
    <t>Université Laval</t>
  </si>
  <si>
    <t>FEB16 Collaborated with Université Laval to jointly develop microRNA-based treatments for Alzheimer’s Disease (AD). The program to be led by Université Laval. Microlin to hold the exclusive WW license for the development &amp; commercialisation of novel molecules &amp; methods against certain microRNAs found to play a role in AD.</t>
  </si>
  <si>
    <t>https://www.ulaval.ca/en/about-us/media-center/press-releases/details/article/microlin-bio-signs-exclusive-license-and-research-agreement-with-universite-laval-to-develop-microrna-based-treatments-for-alzheimers-disease.html</t>
  </si>
  <si>
    <t>Synlogic Inc</t>
  </si>
  <si>
    <t>FEB16 Collaborated with Synlogic to focus on developing novel medicines for the treatment of inflammatory bowel disease (IBD) using Synlogic’s proprietary approach for a new class of synthetic biotic medicines that power the microbiome. Synlogic to discover, characterise &amp; optimise synthetic biotics -based drug candidates through an R&amp;D program covering a limited number of effectors modulating the IBD pathophysiology, with special emphasis on Crohn’s disease &amp; ulcerative colitis. AbbVie &amp; Synlogic to evaluate synthetic biotic candidates that modulate certain effectors involved in the IBD pathway &amp; advance them through preclinical development, with AbbVie being responsible for regulatory filings, clinical development &amp; worldwide marketing of any resulting products. Financial terms were not disclosed.</t>
  </si>
  <si>
    <t>Kayvon's Email</t>
  </si>
  <si>
    <t>Takeda Pharmaceutical Company Ltd.</t>
  </si>
  <si>
    <t>enGene Inc.</t>
  </si>
  <si>
    <t>JAN16 Option agreement with enGene. enGene to develop upto two undisclosed targets selected by Takeda through pre-clinical proof of concept &amp; IND enabling studies. Upon exercise of its option Takeda to have an option to exclusively license the global rights for the product candidates &amp; to be responsible for all clinical development &amp; commercialisation of those products. enGene to receive an upfront payment &amp; reimbursement of all R&amp;D costs incurred during the development of the selected targets. In addition, enGene is eligible to earn milestone payments for the product candidates based on accomplishment of specific research, clinical, regulatory and commercial milestones. enGene to receive tiered royalties on future net sales of the collaboration products. Further details of the agreement were not disclosed.</t>
  </si>
  <si>
    <t xml:space="preserve">GIT </t>
  </si>
  <si>
    <t>NsGene, Inc.</t>
  </si>
  <si>
    <t>JAN16 In-licensed WW rights from NsGene. NsGene to receive funding from Takeda for technology development that enables NsGene to complete critical scientific milestones needed for clinical trials &amp; further constructive partnering.  Further details of the agreement were not disclosed.</t>
  </si>
  <si>
    <t>https://www.takeda.com/newsroom/newsreleases/2016/takeda-and-nsgene-partner-to-perform-research-in-cell-encapsulation-therapies-for-parkinsons-disease/</t>
  </si>
  <si>
    <t>Inception Sciences, Inc.</t>
  </si>
  <si>
    <t>DEC15 In-licensed exclusive WW rights from Inception Sciences to develop therapeutics for ulcerative colitis and Crohn’s disease. Celgene to pay $40m in cash payments during the course of the collaboration, which enables Inception to advance small molecule therapeutics from preclinical discovery to late preclinical development. The collaboration allows Inception IBD to significantly expand current drug discovery efforts, while Celgene to have a right to acquire the company upon conclusion of the collaboration.</t>
  </si>
  <si>
    <t>Ulcerative Colitis, Crohn's Diseases</t>
  </si>
  <si>
    <t>http://www.businesswire.com/news/home/20151210005539/en/Inception-Celgene-Enter-Strategic-Collaboration-Advance-Therapeutics</t>
  </si>
  <si>
    <t>Cour Pharmaceuticals Development</t>
  </si>
  <si>
    <t>DEC15 In-licensed WW option rights of TIMP-GLIA program from Cour Pharmaceuticals Development. Takeda to pay upfront payment + success based milestone payments + royalties on sales of any successful commercialized products. Takeda to exercise option after completion of the PIIa &amp; have option to collaborate on up to three additional TIMP compounds each with development, regulatory &amp; sales milestones + royalties on sales. Further details not disclosed.</t>
  </si>
  <si>
    <t>Celiac Disease</t>
  </si>
  <si>
    <t>Tasly Pharmaceutical</t>
  </si>
  <si>
    <t>Genexine, Inc.</t>
  </si>
  <si>
    <t>OCT15 In-licensed WW rights from Genexine. Tasgen (a subsidiary of Tasly Pharmaceutical) to pay milestones at different stages of development + royalties of product sales.</t>
  </si>
  <si>
    <t>Deal included 5 therapies of which GX-G8 is indicated to treat Short bowel disease</t>
  </si>
  <si>
    <t>http://www.fiercepharma.com/node/324346</t>
  </si>
  <si>
    <t>OCT15 Option agreement with enGene to jointly develop EG-12 through to clinical proof of mechanism in patients with IBD. Upon exercise of its option, Janssen to take over further clinical development &amp; commercialization of EG-12 for all indications worldwide. enGene to receive an upfront payment + equity investment through Johnson &amp; Johnson Innovation &amp; R&amp;D funding + various pre-clinical, clinical, regulatory &amp; commercialization success-based milestone payments up to a total of $337.34m (C $441m) + tiered royalties on potential net sales of products. The collaboration also allows Janssen to explore the therapeutic potential of enGene's platform to deliver one additional undisclosed target.</t>
  </si>
  <si>
    <t>IBD</t>
  </si>
  <si>
    <t>Sumitomo Dainippon Pharma</t>
  </si>
  <si>
    <t>JUL15 Research collaboration with Kyoto University &amp; Hitachi to develop a clinical treatment of patients with Parkinson’s disease by the use of human iPS cells.</t>
  </si>
  <si>
    <t>https://www.cira.kyoto-u.ac.jp/e/pressrelease/news/150724-153648.html</t>
  </si>
  <si>
    <t>Ferring Pharmaceuticals</t>
  </si>
  <si>
    <t>Intralytix Inc.</t>
  </si>
  <si>
    <t>JUL15 Collaborated with Ferring Pharmaceuticals to work together to develop a proprietary and well defined set of bacteriophages specifically designed to treat inflammatory bowel disease (IBD) using Intralytix's patented bacteriophage technology. Intralytix to assist Ferring in formulating and manufacturing the bacteriophage therapy for use in clinical trials.</t>
  </si>
  <si>
    <t>Anokion</t>
  </si>
  <si>
    <t>JUN15 Research collaboration with Astellas for the development of products in celiac disease &amp; Type 1 diabetes; Anokion to utilize its antigen-specific immune tolerance technology; Astellas licensed WW development rights to Kanyos Bio, created under Astellas-Anokion collaboration. Kanyos Bio to be responsible for development in two indications; Astellas has an option to add autoimmune indication &amp; to acquire Kanyos after reaching certain milestones. Astellas to provide non-dilutive research funding to Kanyos; Astellas to pay 760m (includes R&amp;D funding, option exercise &amp; milestone payments)</t>
  </si>
  <si>
    <t>https://www.astellas.com/en/corporate/news/detail/astellas-and-anokion-to-collab.html</t>
  </si>
  <si>
    <t>JUN15 Gloria to pay $0.5m as the second tranche of the licensing agreement. MAY15 In-licensed China rights from Sucampo Pharmaceuticals for exchange of $1.5m upfront payment ($1m within 30 days of signing the agreement &amp; $0.5m within 30 days of IND approval in China) + regulatory &amp; sales milestones. Sucampo to be the exclusive supplier of Amitiza to Gloria at an agreed-upon supply price. The term of agreement is 13 years with renewal terms.</t>
  </si>
  <si>
    <t>Constipation and IBS</t>
  </si>
  <si>
    <t>Institut Pasteur</t>
  </si>
  <si>
    <t>JUL15 Collaborated with Intralytix to work together to develop a proprietary and well defined set of bacteriophages specifically designed to treat inflammatory bowel disease (IBD) using Intralytix's patented bacteriophage technology. Intralytix to assist Ferring in formulating and manufacturing the bacteriophage therapy for use in clinical trials. APR15 In-licensed WW rights from Pasteur; Ferring to pay upfront + milestones + royalties.</t>
  </si>
  <si>
    <t>Naia Pharmaceuticals</t>
  </si>
  <si>
    <t>Amunix</t>
  </si>
  <si>
    <t>JAN15 In-licensed WW rights from Amunix. Amunix to receive milestones (development &amp; sales) totalling up to $70m + tiered royalties. Under the terms of the agreement, Naia will be responsible for all preclinical and clinical activities of the product resulting from the collaboration.</t>
  </si>
  <si>
    <t>Deal included two products, and each will have $70.0 M milestone payment. Of these two products, one is targeted to treat Short bowel syndrome.</t>
  </si>
  <si>
    <t>http://www.amunix.com/news-and-publications/press-releases/jan-5-2015/</t>
  </si>
  <si>
    <t>Ionis Pharmaceuticals</t>
  </si>
  <si>
    <t>JUL16 In-licensed WW rights from Ionis for the development &amp; commercialisation of IONIS-JBI1-2.5Rx, first drug which is part of the collaboration. Johnson paid $10m upfront payment to Ionis. JAN15 Option agreement with Isis Pharmaceuticals for development &amp; commercialisation of antisense drugs to treat autoimmune disorders of the gastrointestinal tract. Agreement covers three programs; Isis to receive $35m upfront (including a payment to initiate human lead optimization on the first collaboration target) + $800m milestone payments &amp; licensee fee + double-digit royalties.</t>
  </si>
  <si>
    <t>GIT</t>
  </si>
  <si>
    <t>Pfizer, Inc.</t>
  </si>
  <si>
    <t>Biorestorative Therapies, Inc.</t>
  </si>
  <si>
    <t>MAY14 Two-year collaborative research agreement with PFE  to study human brown adipose tissue and cell lines. BRT &amp; Pfizer to jointly conduct a study titled “Development and Validation of a Human Brown Adipose Cell Model”. BRT has accumulated a large collection of human brown adipose tissue samples, preadipocyte cell lines and immortalized cell lines for use in potentially developing a cell therapy product. The results of the research may be used by both companies.</t>
  </si>
  <si>
    <t>Obesity</t>
  </si>
  <si>
    <t>http://www.biorestorative.com/content/biorestorative-therapies-signs-research-agreement-pfizer-inc</t>
  </si>
  <si>
    <t>Inovio Pharmaceuticals Inc</t>
  </si>
  <si>
    <t>Fudan University</t>
  </si>
  <si>
    <t>MAY14 In-licensed WW ex China rights for pre-clinical DNA therapies addressing Alzheimer's disease &amp; multiple sclerosis from Fudan University. Inovio will make clinical and regulatory milestone payments to the University.</t>
  </si>
  <si>
    <t>https://www.fiercebiotech.com/research/inovio-pharmaceuticals-acquires-early-stage-dna-therapies-to-treat-alzheimer-s-and</t>
  </si>
  <si>
    <t>IBD Research Program</t>
  </si>
  <si>
    <t>Massachusetts General Hospital</t>
  </si>
  <si>
    <t>Research project</t>
  </si>
  <si>
    <t>JAN14 Research collaboration with Massachusetts General Hospital to co-discover new therapeutic targets &amp; develop novel therapies for inflammatory bowel disease (IBD). Financial terms undisclosed.</t>
  </si>
  <si>
    <t>Rheinische Friedrich-Wilhelms-Universität Bonn/UCB</t>
  </si>
  <si>
    <t>InteRNA Technologies</t>
  </si>
  <si>
    <t>JAN14 Research collaboration with Rheinische Friedrich-Wilhelms-Universität Bonn &amp; UCB for development of microRNA (miRNA)-based therapeutics for neurodegenerative diseases. InteRNA to provide multi-parametric, high-throughput functional screening assays to identify and validate the biological role of individual miRNAs and therapeutic targets for neurodegenerative disease.</t>
  </si>
  <si>
    <t>Neurodegenerative Diseases</t>
  </si>
  <si>
    <t>Vedanta Biosciences</t>
  </si>
  <si>
    <t>JAN15 In-licensed WW rights from Vedanta Biosciences for inflammatory bowel disease indication. Johnson to pay upfront + development and commercialisation milestone payments for IBD indication totalling $241m. Vedanta may continue to explore other disease indications &amp; Vedanta may elect to develop and commercialise within one or more additional indications with terms similar to the IBD indication. JUN13 Research collaboration with Vedanta Biosciences in the field of microbiome.</t>
  </si>
  <si>
    <t>PT Kalbe Farma</t>
  </si>
  <si>
    <t>Stemedica Cell Technologies</t>
  </si>
  <si>
    <t>JUN13 Stemedica Cell Technologies undergo distribution agreement with Life Technologies for WW sales of ischemic tolerant allogeneic adult mesenchymal stem cells (itMSCs) &amp; neural stem cells (itNSCs) under brand name Gibco to research, academic institutions. APR13 In-licensed Stemedica’s ischemic tolerant adult allogeneic mesenchymal &amp; neural stem cells for use in clinical trials in Indonesia, Philippines &amp; Thailand. Kalbe possesses the first rights of refusal for additional countries including  Singapore, Malaysia, Vietnam, Brunei, Cambodia, Laos &amp; Myanmar. Kalbe to be responsible for organizing and funding the clinical trials in Southeast Asia. Financial details undisclosed.</t>
  </si>
  <si>
    <t>https://www.femtomedicine.com/stemedica-enters-into-stem-cell-licensing-agreement-with-kalbe-farma-3/</t>
  </si>
  <si>
    <t>Shin Nippon Biomedical Laboratories</t>
  </si>
  <si>
    <t>FEB13 Three year research collaboration of Centre for iPS Cell Research and Application, Kyoto University (CiRA) with Shin Nippon Biomedical Laboratories; SNBL to establish safety assessment methods for regenerative treatment of Parkinson’s disease with iPS cells.</t>
  </si>
  <si>
    <t>https://snbl.com/snbl_japan/conclusion-of-joint-research-agreement-with-the-center-for-ips-cell-research-and-application-kyoto-university-cira/</t>
  </si>
  <si>
    <t>Otsuka Holdings Co Ltd</t>
  </si>
  <si>
    <t>Living Cell Technologies</t>
  </si>
  <si>
    <t>MAY17 Living Cell Technologies entered into research collaboration with the Centre for Brain Research (CBR) at the University of Auckland to examine the effects of NTCELL on cell cultures derived from human brains with alzheimer’s disease and huntington’s disease. DEC13 Payment of second cash milestone of A$2m to Living Cell Technologies to be made until patient recruitment into PI/II is recommenced. MAY13 LCT expected to receive the second milestone payment of A$2 million during late Q3/Q4'13, 2 months after implant of the first patient. DEC12 In-licensed WW rights for neurological indications from Living Cell Technologies for $3.141m upfront + $2.094m milestone payment. Further, milestone payment of $2.094m when the first patient in the Phase I Parkinson’s trial has been safely implanted. Living Cell Technologies granted Otsuka an exclusive option to jointly develop &amp; commercialise NTCell in Parkinson’s &amp; other neurological diseases, including hearing loss, through a 50:50 JV Diatranz Otsuka Limited (DOL). If Otsuka exercises its option it will subscribe for $20.94m of additional equity into DOL to fund the ongoing development of NTCell in Parkinson’s disease through to market approval &amp; to further develop NTCell in other neurological diseases. Living Cell Technologies retains licence to develop NTCell for non-neurological diseases.</t>
  </si>
  <si>
    <t>Parkinson (Phase II)</t>
  </si>
  <si>
    <t>https://www.biospace.com/article/releases/living-cell-technologies-ltd-and-otsuka-pharmaceutical-co-ltd-to-co-develop-ntcell-and-0174-for-parkinson-s-disease-/</t>
  </si>
  <si>
    <t>Biogen Inc</t>
  </si>
  <si>
    <t>OCT17 Ionis received $10m milestone payment from Biogen for initiation of PI/IIa study. DEC12 Licensed WW option rights from Ionis Pharmaceuticals for $30m upfront + milestone payments associated with clinical development prior to licensing. Biogen has option to license from Ionis up through completion of PII trial. Biogen to pay up to another $200m in license fee &amp; regulatory milestone payments + double-digit royalties on sales.</t>
  </si>
  <si>
    <t>Alzheimer's disease (Phase II)</t>
  </si>
  <si>
    <t>https://www.prnewswire.com/news-releases/biogen-idec-and-isis-pharmaceuticals-announce-collaboration-for-antisense-programs-to-treat-neurological-disorders-182804301.html</t>
  </si>
  <si>
    <t>Verva Pharmaceuticals Limited</t>
  </si>
  <si>
    <t>JUL15 Deal terminated with Isis as Verva Pharmaceuticals filed for voluntary liquidation. Disposed WW intellectual property (IP) rights around its novel drug target and chemical library to Reverx. JAN11 Selected FGFR4 molecule from FGRR4 program. AUG09 Licensed WW rights of IP intellectual property targeting FGFRs with antisense technology for the treatment of metabolic disorders, including obesity to Isis Pharmaceuticals. Verva to receive undisclosed upfront payment, milestone payments &amp; royalties from Isis in future.</t>
  </si>
  <si>
    <t>http://www.evaluategroup.com/Universal/View.aspx?type=Story&amp;id=235942</t>
  </si>
  <si>
    <t>Phase I, II and III</t>
  </si>
  <si>
    <t>Merck KGaA</t>
  </si>
  <si>
    <t>NOV17 Licensed L. America rights from Orexigen Therapeutics. Merck KGaA to be responsible for all commercialisation &amp; regulatory activities &amp; to own marketing authorisation in the region. Orexigen to receive an upfront payment and other potential regulatory and sales milestones, which have not been disclosed. In addition, Orexigen to be responsible for product supply.</t>
  </si>
  <si>
    <t>Obesity (Phase III)</t>
  </si>
  <si>
    <t>https://www.prnewswire.com/news-releases/orexigen-therapeutics-announces-commercialization-and-distributorship-agreement-with-merck-kgaa-darmstadt-germany-for-contrave-in-latin-america-300554337.html</t>
  </si>
  <si>
    <t>Alvogen Group</t>
  </si>
  <si>
    <t>VIVUS Inc</t>
  </si>
  <si>
    <t>SEP17 Licensed Korea rights from VIVUS. Alvogen to be responsible for obtaining &amp; maintaining regulatory approvals and for all sales &amp; marketing activities in Korea. VIVUS to receive an upfront payment in addition to future milestone payments, dependent upon receiving marketing authorisation, initiating the commercial launch and achieving sales goals within the covered territory. VIVUS to receive royalties on Alvogen's net sales of Qsymia.</t>
  </si>
  <si>
    <t>https://www.reuters.com/article/brief-vivus-and-alvogen-announce-marketi/brief-vivus-and-alvogen-announce-marketing-agreement-for-qsymia-in-the-republic-of-korea-idUSFWN1LM0G0</t>
  </si>
  <si>
    <t>Meiji Seika Pharma Co., Ltd.</t>
  </si>
  <si>
    <t>MAR17 In-licensed Japan, S. Korea, Taiwan, Brunei, Cambodia, Laos, Malaysia &amp; the Philippines rights from Meiji holdings for treatment of Parkinson’s disease in Japan &amp; Asia. Eisai to obtain exclusive rights to safinamide to market in Japan &amp; to develop &amp; market in Asia . Meiji to continue the clinical trials that it is currently conducting and submit a manufacturing &amp; marketing authorisation application for the drug in Japan. Meanwhile, Eisai to conduct clinical trials for seeking regulatory approval &amp; make the applications in Asia. Meiji to manufacture &amp; supply the product of safinamide to Eisai for Japan &amp; Asia. Furthermore, Meiji to receive an upfront payment from Eisai, as well as developmental milestone and sales royalty payments.</t>
  </si>
  <si>
    <t>Parkinson's disease (Phase III)</t>
  </si>
  <si>
    <t>http://www.eisai.com/news/news201716.html</t>
  </si>
  <si>
    <t>SCOHIA PHARMA, Inc.</t>
  </si>
  <si>
    <t>Takeda Pharmaceutical Company Ltd. </t>
  </si>
  <si>
    <t>MAR17 In-licensed WW rights for eight of renal, metabolic and cardiovascular research and development projects from Takeda. Deal terms not disclosed.</t>
  </si>
  <si>
    <t>Obesity (Phase I), total 8 pdts</t>
  </si>
  <si>
    <t>https://www.takeda.com/newsroom/newsreleases/2017/incj-takeda-and-medipal-holdings-partner-to-launch-a-biotech-venture/</t>
  </si>
  <si>
    <t>Neurocrine Biosciences, Inc.</t>
  </si>
  <si>
    <t>BIAL</t>
  </si>
  <si>
    <t>FEB17 In-Licensed exclusive USA &amp; Canada development &amp; commercialisation rights of Ongentys (opicapone) from BIAL. Neurocrine to pay upfront payment of $30m + additional milestone payments of approximately $115m for achievement of certain development, regulatory and commercial milestones &amp; to fund all development activities necessary for FDA approval. Also Neurocrine to pay BIAL a percentage of net sales in exchange for the manufacture and supply of opicapone drug product.</t>
  </si>
  <si>
    <t>Parkinson's disease (Phase I)</t>
  </si>
  <si>
    <t>https://www.prnewswire.com/news-releases/neurocrine-and-bial-announce-exclusive-north-american-licensing-agreement-for-opicapone-300405152.html</t>
  </si>
  <si>
    <t>Seqirus</t>
  </si>
  <si>
    <t>Zambon</t>
  </si>
  <si>
    <t>JAN17 In-licensed Australia and New Zealand rights from Zambon to commercialise Xadago, licensed from Newron. Zambon to be responsible for product supply &amp; CSL (Seqirus) to undertake registration &amp; commercialisation of the product. Financial terms not disclosed.</t>
  </si>
  <si>
    <t>http://www.zambongroup.com/en/media-relations/news/seqirus-and-zambon-enter-into-a-partnership-for-parkinson-s-disease-product-in-australia-and-new-zealand/</t>
  </si>
  <si>
    <t>http://www.seqirus.com.au/docs/604/401/ZambonMR_100117_PDF.pdf</t>
  </si>
  <si>
    <t>Biologix Group Limited</t>
  </si>
  <si>
    <t>JUL17 Orexigen expanded commercialisation &amp; distribution agreement with Orexigen to include Egypt. DEC16 In-licensed Saudi Arabia, the United Arab Emirates, Kuwait, Oman, Qatar, Bahrain, Lebanon, Jordan, Iraq &amp; Iran rights from Orexigen Therapeutics for commercialisation &amp; distribution.</t>
  </si>
  <si>
    <t>Obesity (filed)</t>
  </si>
  <si>
    <t>https://www.prnewswire.com/news-releases/orexigen-therapeutics-announces-commercialization-and-distributorship-agreement-with-biologix-fzco-for-contrave-naltrexone-hcl--bupropion-hcl-prolonged-release-for-ten-countries-in-the-middle-east-300380772.html</t>
  </si>
  <si>
    <t>Seelos Therapeutics, Inc.</t>
  </si>
  <si>
    <t>Ligand Pharmaceuticals</t>
  </si>
  <si>
    <t>SEP16 In-licensed WW development rights from Ligand Pharmaceuticals; Seelos to pay equity or cash payments of $1.3 m upon completing minimum of $7.5 m financing &amp; an additional $3.5 m if Seelos becomes a public company &amp; up to $145 m of additional cash milestones. Ligand is entitled to net sales royalties ranging from 4% to 10%.
DEC09 Ligand Pharmaceuticals acquired the product through acquisition of Neurogen. OCT09 PFE acquired Wyeth. NOV06 NRGN in-licensed WW rights from WYE: NRGN have paid initial license fee of $3m &amp; will also pay milestones &amp; royalties.</t>
  </si>
  <si>
    <t>Parkinson’s disease (Phase II), 1.3 + 3.5+ 145</t>
  </si>
  <si>
    <t>https://investor.ligand.com/press-releases/detail/303/ligand-licenses-four-programs-to-seelos-therapeutics</t>
  </si>
  <si>
    <t>Product Acquisition</t>
  </si>
  <si>
    <t>Saniona AB</t>
  </si>
  <si>
    <t>NeuroSearch A/S</t>
  </si>
  <si>
    <t>JUL17 Saniona acquired Neurosearch's remaining interest in the preclinical and clinical assets, which Saniona acquired from NeuroSearch during the period 2012-2016. Saniona to pay NeuroSearch a onetime cash payment of DKK 5.5m ($0.853374709076804m). MAY16 Acquired WW rights including patents &amp; data for ordopidine. NeuroSearch will receive up to 20% of any future payments to Saniona in relation to the potential out-licensing of the two compounds.</t>
  </si>
  <si>
    <t>https://globenewswire.com/news-release/2016/05/31/844618/0/en/Saniona-AB-Saniona-acquires-remaining-portfolio-from-NeuroSearch.html</t>
  </si>
  <si>
    <t>Heptares Therapeutics Ltd.</t>
  </si>
  <si>
    <t>APR16 In-licensed exclusive WW rights from Heptares (Sosei Subsidiary) for development of subtype-selective muscarinic receptor agonists for the treatment of major neurological disorders. Allergan to provide an upfront payment of $125m, milestone payments of up to $665m on successful Phase 1, 2 and 3 clinical development &amp; up to $2.5 billion associated with achieving certain annual sales thresholds during the several years following launch to Heptares &amp; also eligible to provide double-digit tiered royalties on net sales of all products resulting from the partnership. Allergan is also committing up to $50 million to a research and development program to be conducted jointly by Allergan and Heptares aimed at advancing multiple candidates through Phase 2 clinical studies. Allergan will be responsible for the development of licensed compounds upon initiation of Phase 2b studies and for subsequent manufacturing and commercialization of the products.</t>
  </si>
  <si>
    <t>Alzheimer's disease (Phase I), 2 products</t>
  </si>
  <si>
    <t>https://www.allergan.com/news/news/thomson-reuters/allergan-and-heptares-announce-global-r-d-and-comm</t>
  </si>
  <si>
    <t>Cynapsus Therapeutics Inc.</t>
  </si>
  <si>
    <t>MonoSol Rx LLC</t>
  </si>
  <si>
    <t>OCT16 Sumitomo Dainippon Pharma acquired Cynapsus Therapeutics. APR16 Licensed WW rights of existing patents, patent applications, future patents &amp; patent applications covering all oral films containing apomorphine for the treatment of OFF episodes in PD patients to Cynapsus. Aquestive Therapeutics to receive upfront  payment + milestone payment + single-digit royalties on net sales.</t>
  </si>
  <si>
    <t>https://aquestive.com/cynapsus-therapeutics-and-monosol-rx-announce-global-ip-licensing-agreement/</t>
  </si>
  <si>
    <t>IMGX-003</t>
  </si>
  <si>
    <t>Alvine Pharmaceuticals</t>
  </si>
  <si>
    <t>Suspended - Phase II</t>
  </si>
  <si>
    <t>MAR16 Product acquired by Immunogenics through business unit acquisition of Alvine.</t>
  </si>
  <si>
    <t>Abbvie entered in collaboration agreement to develop celiac disease treatment on 05/14/13, which has right with Abbvie to acquire celiac disease product Upfront: $50.0M, milestone: $275.0M. http://www.genengnews.com/gen-news-highlights/abbvie-alvine-make-70m-celiac-disease-drug-deal/81248361</t>
  </si>
  <si>
    <t>Innovate Biopharmaceuticals Inc.</t>
  </si>
  <si>
    <t>Alba Therapeutics Corp.</t>
  </si>
  <si>
    <t>FEB16 Licensed all assets relating to larazotide acetate from Alba Therapeutics for an undisclosed up-front + milestone payments.</t>
  </si>
  <si>
    <t>Celian Disease</t>
  </si>
  <si>
    <t>Nestlé</t>
  </si>
  <si>
    <t>Seres Therapeutics</t>
  </si>
  <si>
    <t>JAN16 In-licensed WW ex USA &amp; Canada rights of SER-109 &amp; SER-262 for CDI, and SER-287 &amp; SER-301 for IBD from Seres Therapeutics. Nestlé Health Science to pay $120m upfront payment + $660m development &amp; approval milestone payments + single to double-digit royalties. The total deal value of the up-front payment, milestones &amp; royalties to be paid by Nestlé Health Science is $1.9bn, assuming all products receive regulatory approval &amp; significant revenue targets are met. Seres Therapeutics to be responsible for all development costs associated with PI &amp; PII for all four candidates + for PIII for SER-109. Nestlé to participate with 33% in the development costs associated with PIII for three candidates (SER-262; SER-287, SER-301). Seres to receive $30m milestone payments in 2016 associated with the planned initiation of PIb for SER-262 &amp; PIII for SER-109 in CDI. NOV13 Raised $10.5m through series A financing from Flagship Ventures, Enso Ventures &amp; other investors.</t>
  </si>
  <si>
    <t>The deal included 4 products of which. 100.0% of the deal value was assigned to lead product SER-109 (CDI and IBD), other indication was Ulcerative Colitis targeted by other products</t>
  </si>
  <si>
    <t>Amiselimod</t>
  </si>
  <si>
    <t>Mitsubishi Tanabe Pharma</t>
  </si>
  <si>
    <t>OCT16 Biogen discontinued development. SEP15 In-licensed WW ex Japan &amp; Asia rights from Mitsubishi Tanabe Pharma for development in multiple autoimmune indications. Biogen to have option to co-promote non-MS indications in US. Biogen to pay $60m upfront payment + $484m milestone payment + royalties on net sales. Biogen to cover development costs outside of Asian territories. MTP to have right to participate in Biogen’s global clinical trials. The transaction closed on 30 OCT 2015.</t>
  </si>
  <si>
    <t>IBD, Crohn's Disease, Ulcerative Colitis</t>
  </si>
  <si>
    <t>MP-101</t>
  </si>
  <si>
    <t>Marathon Pharmaceuticals</t>
  </si>
  <si>
    <t>FEB15 Acquired portfolio of branded hospital products from Marathon Pharmaceuticals. Valeant to assume all responsibility for product availability &amp; pricing.</t>
  </si>
  <si>
    <t>Short Bowel Syndrome</t>
  </si>
  <si>
    <t>Px-102</t>
  </si>
  <si>
    <t>PheneX Pharmaceuticals</t>
  </si>
  <si>
    <t>JAN15 Acquired Farnesoid X Receptor (FXR) program comprising small molecule FXR agonists for the treatment of liver diseases including NASH from PheneX Pharmaceuticals for upfront + additional payments based upon development milestones totalling up to $470m.</t>
  </si>
  <si>
    <t>Allergan, plc</t>
  </si>
  <si>
    <t>Rhythm Holding Company, LLC</t>
  </si>
  <si>
    <t>MAR15 Product acquired through acquisition of Allergan (pre Actavis). OCT14 Actavis entered into an exclusive option agreement to acquire Rhythm Health, a wholly owned subsidiary of Rhythm for an upfront payment of $40m &amp; undisclosed amount following completion of PIIb study of relamorelin. Actavis &amp; Rhythm Pharmaceuticals to establish a joint development committee to oversee development of relamorelin, with Rhythm managing all aspects of development program during option period. SEP13 Received a research grant of $135m from Michael J. Fox Foundation for the development of PII for refractory constipation in Parkinson's disease. MAR10 In-licensed exclusive WW rights from Ipsen for R&amp;D &amp; commercialization of its melanocortin &amp; ghrelin programs. Rhythm to pay progressive payment of $80m on achievement of devp. &amp; commercial milestones &amp; royalties on sales. Ipsen also to acquire 17% equity in Rhythm.</t>
  </si>
  <si>
    <t>Diabetic gastroparesis</t>
  </si>
  <si>
    <t>MedGenesis Therapeutix</t>
  </si>
  <si>
    <t>SEP14 Option agreement with Pfizer granting an exclusive WW option to license its glial cell line-derived neurotrophic factor (GDNF) protein and convection enhanced delivery (CED) technology to be used in research for potential treatments for Parkinson's disease. MedGenesis to receive an upfront option fee &amp; upon exercise of the option by Pfizer to be eligible for further milestone &amp; royalty payments.</t>
  </si>
  <si>
    <t>Parkinson</t>
  </si>
  <si>
    <t>https://www.pfizer.com/sites/default/files/partnering/recent_partnership/MedGenesis_FINAL.pdf</t>
  </si>
  <si>
    <t>NovaQuest Capital Management</t>
  </si>
  <si>
    <t>Shionogi &amp; Company, Limited</t>
  </si>
  <si>
    <t>JUN14 NovaQuest Capital Management to pay $85m to Shionogi as development funding of S-297995 and other drugs. NovaQuest Capital Management to receive milestone payments.</t>
  </si>
  <si>
    <t>Constipation</t>
  </si>
  <si>
    <t>Nogra Pharma Limited</t>
  </si>
  <si>
    <t>APR14 In-licensed WW rights from Nogra (previously Giuliani). Celgene to pay an upfront payment of $710m + $815m development milestones for multiple indications + sales milestones of $1,050m if annual net sales reach $4,000m + tiered royalties.</t>
  </si>
  <si>
    <t>Crohn's Disease</t>
  </si>
  <si>
    <t>http://www.fiercebiotech.com/financials/celgene-shells-out-710m-for-a-phiii-crohn-s-drug-billions-on-line</t>
  </si>
  <si>
    <t>Almirall, S.A.</t>
  </si>
  <si>
    <t>InDex Pharmaceuticals Holding</t>
  </si>
  <si>
    <t>APR14 Licensed Europe rights from InDex Pharmaceuticals Holding. InDex to receive an upfront payment + milestone payments + double digit royalties with a total deal value that could exceed $136.644m (€100m).</t>
  </si>
  <si>
    <t>Ulcerative Colitis</t>
  </si>
  <si>
    <t>http://www.bioworld.com/content/index-almirall-138m-european-deal-kappaproct-0</t>
  </si>
  <si>
    <t>Source: EvaluatePharma.</t>
  </si>
  <si>
    <t>The deal grants Almirall rights in Europe only.</t>
  </si>
  <si>
    <t>Probability of Technical Success - Secondary Indications NME (1)</t>
  </si>
  <si>
    <t>Overall Success Rates - Neurology (1)</t>
  </si>
  <si>
    <t>Lead Indication</t>
  </si>
  <si>
    <t>Secondary Indication</t>
  </si>
  <si>
    <t>Probability of Technical Success - Small Molecule NME (2)</t>
  </si>
  <si>
    <r>
      <t xml:space="preserve">Lead Optimization and Preclinical Success Rates </t>
    </r>
    <r>
      <rPr>
        <i/>
        <sz val="10"/>
        <color theme="1"/>
        <rFont val="Times New Roman"/>
        <family val="1"/>
      </rPr>
      <t>(3)</t>
    </r>
  </si>
  <si>
    <t>Discovery Success Rate (4)</t>
  </si>
  <si>
    <t>Metabolic and Endocrine Disorders</t>
  </si>
  <si>
    <t>Probability of Technical Success - Metabolic (3)</t>
  </si>
  <si>
    <t>Probability of Technical Success - Metabolic (6)</t>
  </si>
  <si>
    <t>Probability of Technical Success - Endocrine (6)</t>
  </si>
  <si>
    <t>Probability of Technical Success - Endocrine (8)</t>
  </si>
  <si>
    <t>Total P1-PIII</t>
  </si>
  <si>
    <t>Gastrointestinal Tract</t>
  </si>
  <si>
    <t>Probability of Technical Success - Gastrointestinal Tract (3)</t>
  </si>
  <si>
    <t>Probability of Technical Success - Alimentary (5)</t>
  </si>
  <si>
    <t>Probability of Technical Success - Gastroenterology (excluding inflammatory bowel disease) (6)</t>
  </si>
  <si>
    <t>Overall Success Rate - Gastroenterology/Metabolism (7)</t>
  </si>
  <si>
    <t>Average Probabilities</t>
  </si>
  <si>
    <t>Applied Probabilities - Lead Candidate</t>
  </si>
  <si>
    <t>Applied Probabilities - Second Candidate</t>
  </si>
  <si>
    <t>Source: "Clinical development success rates for investigational drugs" Hay et al., January 2014, Table 4.</t>
  </si>
  <si>
    <t>Source: "Valuation in Life Sciences", Bogdan and Villiger, Page 24.</t>
  </si>
  <si>
    <t>Source: "Failure rates in drug discovery and development", William Bain, Table 3, Page 6.</t>
  </si>
  <si>
    <t>Source: "Cancer Drug Approval Timelines", Epiphany Partners, Inc., based on a study by Deloitte Recap LLC, 2010, Page 4.</t>
  </si>
  <si>
    <t>Source: "Clinical development success rates for investigational drugs" Hay et al., January 2014, Table 5.</t>
  </si>
  <si>
    <t>DLOM &amp; Non-Diversifcation (1=Yes, 0=No)</t>
  </si>
  <si>
    <t>Phase I Clinical Trial</t>
  </si>
  <si>
    <t>Phase II Clinical Trial</t>
  </si>
  <si>
    <t xml:space="preserve">Comparable Indication/ Technology </t>
  </si>
  <si>
    <t>Debt reflects senior debt based on the balance sheet as of the Valuation Date plus the value of liquidation preferences under the PWERM for preferred stock.</t>
  </si>
  <si>
    <r>
      <t xml:space="preserve">Volatility </t>
    </r>
    <r>
      <rPr>
        <sz val="10"/>
        <color theme="1"/>
        <rFont val="Times New Roman"/>
        <family val="1"/>
      </rPr>
      <t>(1), (2), (3)</t>
    </r>
  </si>
  <si>
    <t>Valuation Summary - Workpapers</t>
  </si>
  <si>
    <t>Option Pricing Method (Series B Implied Value)</t>
  </si>
  <si>
    <t>Discount for Lack of Marketability - OPM (Series B OIP)</t>
  </si>
  <si>
    <t xml:space="preserve">Discount for Lack of Marketability - OPM </t>
  </si>
  <si>
    <t>Option Pricing Method - Breakpoints &amp; Allocation (Series B OIP)</t>
  </si>
  <si>
    <t>Option Pricing Method - Implied Value Per Share (Series B OIP)</t>
  </si>
  <si>
    <t>Asset Volatility - OPM (Series B OIP)</t>
  </si>
  <si>
    <t>Asset Volatility - OPM DLOM (Series B OIP)</t>
  </si>
  <si>
    <t>Option Pricing Method - Breakpoints &amp; Allocation (Implied Series B Value)</t>
  </si>
  <si>
    <t>Option Pricing Method - Implied Value Per Share (Implied Series B Value)</t>
  </si>
  <si>
    <t>Asset Volatility - OPM (Implied Series B Value)</t>
  </si>
  <si>
    <t>Asset Volatility - OPM DLOM (Implied Series B Value)</t>
  </si>
  <si>
    <t>Risk-Free Rates - OPM</t>
  </si>
  <si>
    <t>Based on weighted-average exit terms in the PWERM</t>
  </si>
  <si>
    <t>Interpolation - OPM</t>
  </si>
  <si>
    <t>Interpolation - DLOM</t>
  </si>
  <si>
    <t>DLOM - Preferred</t>
  </si>
  <si>
    <t>Additional Term to Cash Flow (in Years)</t>
  </si>
  <si>
    <t xml:space="preserve">Additional Term for Preferred </t>
  </si>
  <si>
    <t xml:space="preserve">Additional Term for Common </t>
  </si>
  <si>
    <t>Additional Term for Equity Value</t>
  </si>
  <si>
    <t>Apply Additional Term for Discounting</t>
  </si>
  <si>
    <t>Total Term - Common</t>
  </si>
  <si>
    <t>Additional Term - Preferred</t>
  </si>
  <si>
    <t>Total Term - Preferred</t>
  </si>
  <si>
    <t>Additional Term</t>
  </si>
  <si>
    <t>DLOM - Common</t>
  </si>
  <si>
    <t>Asset Vol OPM BS</t>
  </si>
  <si>
    <t>Backsolving OPM</t>
  </si>
  <si>
    <t>Asset Vol Check</t>
  </si>
  <si>
    <t>Asset Vol IPO Phase I</t>
  </si>
  <si>
    <t>Asset Vol IPO Phase II</t>
  </si>
  <si>
    <t>Asset Vol M&amp;A IND</t>
  </si>
  <si>
    <t>Asset Vol M&amp;A Phase I</t>
  </si>
  <si>
    <t>Asset Vol M&amp;A Phase II</t>
  </si>
  <si>
    <t>Asset Vol OPM</t>
  </si>
  <si>
    <t>Asset Vol OPM DLOM</t>
  </si>
  <si>
    <t>Homology Medicines, Inc.</t>
  </si>
  <si>
    <t>NasdaqGS:FIXX</t>
  </si>
  <si>
    <t>IQTR554696496</t>
  </si>
  <si>
    <t>IQ321461593</t>
  </si>
  <si>
    <t>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t>
  </si>
  <si>
    <t>Cue Biopharma, Inc.</t>
  </si>
  <si>
    <t>NasdaqCM:CUE</t>
  </si>
  <si>
    <t>IQTR538222664</t>
  </si>
  <si>
    <t>IQ417883814</t>
  </si>
  <si>
    <t>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a collaboration agreement with Merck &amp; Co. for the research and development of its proprietary biologics that target autoimmune disease indications. The company was formerly known as Imagen Biopharma, Inc. and changed its name to Cue Biopharma, Inc. in October 2016. Cue Biopharma, Inc. was incorporated in 2014 and is based in Cambridge, Massachusetts.</t>
  </si>
  <si>
    <t>Neon Therapeutics, Inc.</t>
  </si>
  <si>
    <t>IQTR569105830</t>
  </si>
  <si>
    <t>Neon Therapeutics, Inc., a clinical-stage immuno-oncology company, engages in developing neoantigen-targeted therapies for cancers in the United States. It is developing NEO-PV-01, a neoantigen vaccine that is in Phase Ib clinical trial in combination with nivolumab for the treatment of metastatic melanoma, non-small cell lung cancer, and bladder cancer; NEO-PTC-01, a neoantigen T cell therapy for the treatment of solid tumors; and NEO-SV-01, a neoantigen vaccine for the treatment of estrogen-receptor-positive breast cancer. The company was founded in 2013 and is headquartered in Cambridge, Massachusetts.</t>
  </si>
  <si>
    <t>Autolus Therapeutics Plc</t>
  </si>
  <si>
    <t>NasdaqGS:AUTL</t>
  </si>
  <si>
    <t>IQTR562895955</t>
  </si>
  <si>
    <t>IQ562879769</t>
  </si>
  <si>
    <t>Autolus Therapeutics Plc, a clinical-stage biopharmaceutical company, is developing next-generation programmed T cell therapies. It has a pipeline of product candidates in development for the treatment of haematological malignancies and solid tumours. The company was incorporated in 2018 and is headquartered in London, the United Kingdom.</t>
  </si>
  <si>
    <t>Kezar Life Sciences, Inc.</t>
  </si>
  <si>
    <t>NasdaqGS:KZR</t>
  </si>
  <si>
    <t>IQTR567430748</t>
  </si>
  <si>
    <t>IQ304157325</t>
  </si>
  <si>
    <t>Kezar Life Sciences, Inc., a clinical-stage biotechnology company, engages in the discovery and development of small molecule therapeutics to treat unmet needs in autoimmunity and cancer in the United States. Its lead product candidate, KZR-616, a selective immunoproteasome inhibitor that is in Phase 1b/2 clinical trials in lupus and lupus nephritis The company was incorporated in 2015 and is headquartered in South San Francisco, California.</t>
  </si>
  <si>
    <t>MeiraGTx Holdings plc</t>
  </si>
  <si>
    <t>NasdaqGS:MGTX</t>
  </si>
  <si>
    <t>IQTR564767083</t>
  </si>
  <si>
    <t>IQ404780252</t>
  </si>
  <si>
    <t>MeiraGTx Holdings plc focuses on operating as a holding company for MeiraGTx Limited that operates as a clinical stage gene therapy company. The company develops various novel gene therapy treatments for a range of inherited and acquired disorders. Its products include AAV-CNGB3 that is in Phase I/II clinical trials for the treatment of achromatopsia in adult and pediatric patients; AAV-CNGA3 that is in pre-clinical trials for the treatment of achromatopsia in adult and pediatric patients; AAV-RPE65, which is in Phase I/II clinical trials for the treatment of RPE65-deficiency in adult and pediatric patients; AAV-RPGR, which is in Phase I/II clinical trials to treat x-linked retinitis pigmentosa in adult and pediatric patients; AAV-AQP1, which is in Phase I/II clinical trials for the treatment of grade 2 or 3 xerostomia; and AAV-UPF1 that is in pre-clinical studies to treat amyotrophic lateral sclerosis. Its products also comprise AAV-AIPL1 to treat leber congenital amaurosis 4. The company also has clinical and preclinical programs for various other indications, such as neovascular age related macular degeneration, geographic atrophy age related macular degeneration, and Alzheimer’s disease, as well as for gene regulation. MeiraGTx Holdings plc was founded in 2015 and is based in New York, New York.</t>
  </si>
  <si>
    <t>Scholar Rock Holding Corporation</t>
  </si>
  <si>
    <t>NasdaqGS:SRRK</t>
  </si>
  <si>
    <t>IQTR560753952</t>
  </si>
  <si>
    <t>IQ548810128</t>
  </si>
  <si>
    <t>Scholar Rock Holding Corporation, a biopharmaceutical company, focuses on the discovery and development of various medicines for the treatment of serious diseases in which signaling by protein growth factors plays a fundamental role. The company is developing its lead antibody product candidate, SRK-015, a first-in-class inhibitor of the activation of myostatin that is in clinical development stage for the treatment of spinal muscular atrophy. It is also developing various product candidates for a range of serious diseases, including other neuromuscular disorders, cancer, fibrosis, and anemia. The company was founded in 2012 and is based in Cambridge, Massachusetts.</t>
  </si>
  <si>
    <t>NasdaqGS:EVLO</t>
  </si>
  <si>
    <t>IQTR559179993</t>
  </si>
  <si>
    <t>IQ331329033</t>
  </si>
  <si>
    <t>Evelo Biosciences, Inc., a biotechnology company, focuses on the development of monocolonal microbials for the treatment of inflammatory diseases and cancer. It is involved in developing EDP1066 and EDP1815 for patients with psoriasis and atopic dermatitis, rheumatoid arthritis, and ulcerative colitis/crohn’s colitis; and EDP1503 for the treatment of colorectal cancer, renal cell carcinoma, and melanoma, as well as patients who have relapsed on prior PD-1/L1 inhibitor treatment across multiple tumor types. The company was founded in 2014 and is headquartered in Cambridge, Massachusetts.</t>
  </si>
  <si>
    <t>Unity Biotechnology, Inc.</t>
  </si>
  <si>
    <t>NasdaqGS:UBX</t>
  </si>
  <si>
    <t>IQTR558272470</t>
  </si>
  <si>
    <t>IQ324565060</t>
  </si>
  <si>
    <t>Unity Biotechnology, Inc., a preclinical biotechnology company, engages in the research and development of therapeutics to extend human health span. The company’s lead drug candidates include UBX0101 for musculoskeletal disease with an initial focus on osteoarthritis; and UBX1967 for ophthalmologic diseases. It is also developing programs in pulmonary disorders. The company was formerly known as Forge, Inc. and changed its name to Unity Biotechnology, Inc. in January 2015. Unity Biotechnology, Inc. was founded in 2009 and is headquartered in Brisbane, California.</t>
  </si>
  <si>
    <t>Surface Oncology, Inc.</t>
  </si>
  <si>
    <t>NasdaqGM:SURF</t>
  </si>
  <si>
    <t>IQTR557089595</t>
  </si>
  <si>
    <t>IQ281487796</t>
  </si>
  <si>
    <t>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t>
  </si>
  <si>
    <t>Unum Therapeutics Inc.</t>
  </si>
  <si>
    <t>NasdaqGS:UMRX</t>
  </si>
  <si>
    <t>IQTR554696707</t>
  </si>
  <si>
    <t>IQ274894404</t>
  </si>
  <si>
    <t>Unum Therapeutics Inc., a clinical stage biopharmaceutical company, develops and commercializes immunotherapy products designed to harness the power of a patient’s immune system to cure cancer. Its lead product candidate is the ACTR087 used in combination with rituximab, which is in Phase I clinical trials to treat adult patients with relapsed or refractory non-Hodgkin lymphoma. The company’s product portfolio also includes ACTR707 used in combination with rituximab that is in Phase I clinical trials to treat adult patients with r/r B cell non-Hodgkin lymphoma; ACTR087 used in combination with SEA-BCMA, which is in Phase I clinical trials for treating patients with r/r multiple myeloma; and ACTR707 used in combination with trastuzumab, which is in late preclinical development phase for treating HER2+ solid tumor cancers. It has strategic collaboration with Seattle Genetics, Inc. to identify, research, develop, and commercialize antibody-coupled T cell receptor therapies. The company was founded in 2014 and is headquartered in Cambridge, Massachusetts.</t>
  </si>
  <si>
    <t>Arcus Biosciences, Inc.</t>
  </si>
  <si>
    <t>NYSE:RCUS</t>
  </si>
  <si>
    <t>IQTR553167792</t>
  </si>
  <si>
    <t>IQ325435188</t>
  </si>
  <si>
    <t>Arcus Biosciences, Inc., a clinical-stage biopharmaceutical company, engages in developing and commercializing cancer immunotherapies in the United States. It is developing various products for treating solid tumors, including AB928, an adenosine receptor antagonist that is in Phase I clinical trial; AB680, a CD73 inhibitor; AB122, an anti-PD-1 antibody that is Phase I clinical trial; and AB154, an anti-TIGIT antibody. The company was founded in 2015 and is headquartered in Hayward, California.</t>
  </si>
  <si>
    <t>BioXcel Therapeutics, Inc.</t>
  </si>
  <si>
    <t>NasdaqCM:BTAI</t>
  </si>
  <si>
    <t>IQTR552679153</t>
  </si>
  <si>
    <t>IQ543567629</t>
  </si>
  <si>
    <t>BioXcel Therapeutics, Inc., a clinical stage biopharmaceutical company, focuses on novel artificial intelligence-based drug development in the fields of neuroscience and immuno-oncology in the United States. The company is involved in developing BXCL501, a sublingual thin film formulation of dexmedetomidine designed for acute treatment of agitation resulting from neurological and psychiatric disorders; and BXCL701, an immuno-oncology agent designed for the treatment of prostate and pancreatic cancers. It is also developing BXCL502, a novel approach to the treatment of symptoms resulting from neurological disorders; and BXCL702, an immuno-oncology agent for hematological malignancies. The company was founded in 2017 and is headquartered in Branford, Connecticut. BioXcel Therapeutics, Inc. is a subsidiary of BioXcel Corporation.</t>
  </si>
  <si>
    <t>Solid Biosciences Inc.</t>
  </si>
  <si>
    <t>NasdaqGS:SLDB</t>
  </si>
  <si>
    <t>IQTR548047650</t>
  </si>
  <si>
    <t>IQ315986912</t>
  </si>
  <si>
    <t>Solid Biosciences Inc. engages in identifying and developing therapies for duchenne muscular dystrophy in the United States. Its lead product candidate includes SGT-001, a gene therapy that is in Phase I/II clinical trials to restore functional dystrophin protein expression in patients’ muscles. The company’s product candidates also comprise SB-001, a monoclonal antibody to reduce fibrosis and inflammation. In addition, it is developing soft wearable assistive devices that have functional and therapeutic benefits to DMD patients. The company was founded in 2013 and is headquartered in Cambridge, Massachusetts.</t>
  </si>
  <si>
    <t>AVROBIO, Inc.</t>
  </si>
  <si>
    <t>NasdaqGS:AVRO</t>
  </si>
  <si>
    <t>IQTR567724127</t>
  </si>
  <si>
    <t>IQ326042490</t>
  </si>
  <si>
    <t>AVROBIO, Inc., a clinical stage gene therapy company, focuses on developing potentially curative ex vivo lentiviral-based gene therapies to treat rare diseases following a single dose. It lead product candidate in AVR-RD-01, which is in Phase 1 clinical trial for the treatment of Fabry disease. The company is also developing AVR-RD-02 for the treatment of Gaucher disease; AVR-RD-03 for the treatment of Pompe disease; and AVR-RD-04 for the treatment of cystinosis. AVROBIO, Inc. was founded in 2015 and is headquartered in Cambridge, Massachusetts.</t>
  </si>
  <si>
    <t>Magenta Therapeutics, Inc.</t>
  </si>
  <si>
    <t>NasdaqGM:MGTA</t>
  </si>
  <si>
    <t>IQTR567417136</t>
  </si>
  <si>
    <t>IQ409918376</t>
  </si>
  <si>
    <t>Magenta Therapeutics, Inc., a clinical-stage biopharmaceutical company, engages in developing medicines to bring the curative power of bone marrow transplant to patients. It is developing C100, C200, and C300 targeted antibody-drug conjugates for transplant conditioning; MGTA-145, a stem cell mobilization product candidate to control stem cell mobilization; MGTA-456, an allogeneic stem cell therapy to control stem cell growth; E478, a small molecule aryl hydrocarbon receptor antagonist for the expansion of gene-modified stem cells; and G100, an ADC program to prevent acute graft and host diseases. The company was formerly known as HSCTCo Therapeutics, Inc. and changed its name to Magenta Therapeutics, Inc. in February 2016. Magenta Therapeutics, Inc. was incorporated in 2015 and is based in Cambridge, Massachusetts.</t>
  </si>
  <si>
    <t>Aptinyx Inc.</t>
  </si>
  <si>
    <t>NasdaqGS:APTX</t>
  </si>
  <si>
    <t>IQTR567144607</t>
  </si>
  <si>
    <t>IQ336341295</t>
  </si>
  <si>
    <t>Aptinyx Inc., a clinical-stage biopharmaceutical company, focuses on the discovery, development, and commercialization of novel, proprietary, and synthetic small molecules for the treatment of brain and nervous system disorders. It is developing NYX-2925 that is in Phase II clinical trial for the treatment of painful diabetic peripheral neuropathy, as well as in Phase II exploratory clinical trial for fibromyalgia; and NYX-783, an NMDAr receptor that is in Phase I clinical trial for the treatment of post-traumatic stress disorder. The company has a collaboration agreement with Allergan plc. Aptinyx Inc. was founded in 2015 and is headquartered in Evanston, Illinois.</t>
  </si>
  <si>
    <t>Eidos Therapeutics, Inc.</t>
  </si>
  <si>
    <t>NasdaqGS:EIDX</t>
  </si>
  <si>
    <t>IQTR567724324</t>
  </si>
  <si>
    <t>IQ539024074</t>
  </si>
  <si>
    <t>Eidos Therapeutics, Inc., a clinical stage biopharmaceutical company, focuses on developing drugs to treat diseases caused by transthyretin (TTR) amyloidosis (ATTR). It is developing AG10, an orally-administered small molecule designed to stabilize tetrameric TTR, thereby halting at its outset the series of molecular events that give rise to ATTR. The company was incorporated in 2013 and is headquartered in San Francisco, California. Eidos Therapeutics, Inc. is a subsidiary of BridgeBio Pharma LLC.</t>
  </si>
  <si>
    <t>Kiniksa Pharmaceuticals, Ltd.</t>
  </si>
  <si>
    <t>NasdaqGS:KNSA</t>
  </si>
  <si>
    <t>IQTR560752737</t>
  </si>
  <si>
    <t>IQ558211765</t>
  </si>
  <si>
    <t>Kiniksa Pharmaceuticals, Ltd., a clinical-stage biopharmaceutical company, focuses on the discovering, acquiring, developing, and commercializing therapeutic medicines for patients suffering from debilitating diseases with significant unmet medical need worldwide. Its clinical-stage product candidates include Rilonacept, which is in Phase II clinical trials for the treatment of recurrent pericarditis, a debilitating inflammatory cardiovascular disease; Mavrilimumab, a monoclonal antibody for the treatment of giant cell arteritis; and KPL-716, a monoclonal antibody, which is in Phase 1a/1b clinical trial for the treatment of prurigo nodularis and atopic dermatitis. Kiniksa Pharmaceuticals, Ltd. was founded in 2015 and is based in Hamilton, Bermuda.</t>
  </si>
  <si>
    <t>Genprex, Inc.</t>
  </si>
  <si>
    <t>NasdaqCM:GNPX</t>
  </si>
  <si>
    <t>IQTR531599159</t>
  </si>
  <si>
    <t>IQ225557674</t>
  </si>
  <si>
    <t>Genprex, Inc., a clinical stage gene therapy company, develops drugs to treat cancer. Its lead product candidate is Oncoprex, an active anti-cancer agent that is in Phase II clinical trials for the treatment of non-small cell lung cancer (NSCLC). It also conducts preclinical research for developing Oncoprex to be administered with immunotherapies in NSCLC; and research into other tumor suppressor genes associated with chromosome. Genprex, Inc. was founded in 2009 and is based in Austin, Texas.</t>
  </si>
  <si>
    <t>Sol-Gel Technologies Ltd.</t>
  </si>
  <si>
    <t>NasdaqGM:SLGL</t>
  </si>
  <si>
    <t>IQTR535864295</t>
  </si>
  <si>
    <t>IQ621569</t>
  </si>
  <si>
    <t>Sol-Gel Technologies Ltd., a clinical-stage specialty pharmaceutical company, focuses on developing and commercializing topical dermatological drug products based on its proprietary microencapsulation delivery system in Israel. The company’s lead product candidates include TWIN and SIRS-T, which has completed Phase II clinical trials for the treatment of acne vulgaris; and VERED that has completed Phase II clinical trials for the treatment of papulopustular rosacea. It is also involved in the development of generic dermatological drug products. Sol-Gel Technologies Ltd. has collaboration with Perrigo; and Douglas Pharmaceuticals for the development and commercialization of a generic product candidate. The company was founded in 1997 and is headquartered in Ness Ziona, Israel.</t>
  </si>
  <si>
    <t>resTORbio, Inc.</t>
  </si>
  <si>
    <t>NasdaqGS:TORC</t>
  </si>
  <si>
    <t>IQTR548091684</t>
  </si>
  <si>
    <t>IQ427650761</t>
  </si>
  <si>
    <t>resTORbio, Inc., a clinical-stage biopharmaceutical company, focuses on the development and commercialization of novel therapeutics for the treatment of aging-related diseases. Its lead program is targeting the selective inhibition of TORC1, an evolutionary conserved pathway that contributes to the decline in function of multiple organ systems, including the immune, cardiac, and neurologic systems. The company’s lead drug candidate RTB101 is a selective, orally administered, TORC1 inhibitor, which is being tested in a Phase 2b clinical trial as a first in-class immunotherapy for reducing the incidence of respiratory tract infections in the elderly by enhancing the function of the immune system. It also intends to develop RTB101 for additional aging-related indications, such as heart failure or neurodegenerative diseases. The company was founded in 2016 and is based in Boston, Massachusetts.</t>
  </si>
  <si>
    <t>Menlo Therapeutics Inc.</t>
  </si>
  <si>
    <t>NasdaqGS:MNLO</t>
  </si>
  <si>
    <t>IQTR547921857</t>
  </si>
  <si>
    <t>IQ225807943</t>
  </si>
  <si>
    <t>Menlo Therapeutics Inc., a late-stage biopharmaceutical company, focuses on the development and commercialization of serlopitant for the treatment of pruritus associated with dermatologic conditions in the United States. The company has completed Phase II clinical trials in pruritus associated with prurigo nodularis. It is also developing products that are in Phase II clinical trials to treat pruritus associated with psoriasis, atopic dermatitis, and refractory chronic cough. The company was formerly known as Tigercat Pharma, Inc. and changed its name to Menlo Therapeutics Inc. in May 2016. Menlo Therapeutics Inc. was founded in 2011 and is headquartered in Redwood City, California.</t>
  </si>
  <si>
    <t>Eyenovia, Inc.</t>
  </si>
  <si>
    <t>NasdaqCM:EYEN</t>
  </si>
  <si>
    <t>IQTR547072256</t>
  </si>
  <si>
    <t>IQ291491698</t>
  </si>
  <si>
    <t>Eyenovia, Inc., a clinical stage biopharmaceutical company, engages in developing a pipeline of ophthalmology products in the United States. It is developing MicroProst, which is in Phase III clinical trials for the treatment of chronic angle closure glaucoma; MicroStat, which is in Phase III clinical trials for the treatment of mydriasis; MicroTears for the treatment of dry eye; and MicroPine for the treatment of myopia. The company was formerly known as PGP Holdings V, Inc. and changed its name to Eyenovia, Inc. in May 2014. Eyenovia, Inc. was founded in 2014 and is based in New York, New York.</t>
  </si>
  <si>
    <t>Xeris Pharmaceuticals, Inc.</t>
  </si>
  <si>
    <t>NasdaqGS:XERS</t>
  </si>
  <si>
    <t>IQTR567429675</t>
  </si>
  <si>
    <t>IQ105901792</t>
  </si>
  <si>
    <t>Xeris Pharmaceuticals, Inc., a specialty pharmaceutical company, develops and commercializes ready-to-use injectable and infusible drug formulations. Its proprietary XeriSol and XeriJect formulation technologies allow for the subcutaneous and intramuscular delivery of highly-concentrated, ready-to-use formulations of peptides, proteins, antibodies, and small molecules using commercially available syringes, auto-injectors, multi-dose pens, and infusion pumps. The company’s lead product candidate is glucagon rescue pen, which has completed Phase III clinical trials for the treatment of severe hypoglycemia, a potentially life-threatening condition in people with diabetes. Its product candidates also comprise self-administered glucagon that is in Phase IIa clinical trials for the treatment of post-bariatric hypoglycemia; continuous glucagon, which is in Phase II clinical trials for the treatment of congenital hyperinsulinism; continuous glucagon that is in Phase IIa clinical trials for the treatment of hypoglycemia-associated autonomic failure; self-administered glucagon, which is in Phase IIa clinical trials for the treatment of exercise-induced hypoglycemia; and ready-to-use glucagon that is in Phase II clinical trials for use in a bi-hormonal artificial pancreas closed-loop systems. The company’s preclinical programs include ready-to-use diazepam, a ready-to-use diazepam formulation for the treatment of ARS in patients with epilepsy; and pram-insulin, a ready-to-use fixed dose combination of insulin and pramlintide. It serves patients, caregivers, and health practitioners. The company was founded in 2005 and is based in Chicago, Illinois.</t>
  </si>
  <si>
    <t>Verrica Pharmaceuticals Inc.</t>
  </si>
  <si>
    <t>NasdaqGM:VRCA</t>
  </si>
  <si>
    <t>IQTR566799008</t>
  </si>
  <si>
    <t>IQ319720251</t>
  </si>
  <si>
    <t>Verrica Pharmaceuticals Inc. develops and commercializes dermatological treatments in the United States. The company is advancing its lead product VP-102, a proprietary topical therapy, in various common skin indications, including Molluscum contagiosum and Verruca Vulgaris. It is also developing 2 Phase 3 trials in molluscum contagiosum under NCT03377803 and NCT03377790. The company is headquartered in West Chester, Pennsylvania.</t>
  </si>
  <si>
    <t>Iterum Therapeutics plc</t>
  </si>
  <si>
    <t>NasdaqGM:ITRM</t>
  </si>
  <si>
    <t>IQTR561403199</t>
  </si>
  <si>
    <t>IQ318354064</t>
  </si>
  <si>
    <t>Iterum Therapeutics plc, a clinical-stage pharmaceutical company, engages in developing anti-infectives for multi-drug resistant pathogens in Ireland and the United States. The company is developing sulopenem, a penem anti-infective compound with oral and IV formulations that is in Phase III clinical trials for the treatment of adults in uncomplicated urinary tract infections, complicated urinary tract infections, and complicated intra-abdominal infections. Iterum Therapeutics plc was founded in 2015 and is headquartered in Dublin, Ireland.</t>
  </si>
  <si>
    <t>Acacia Pharma Group Plc</t>
  </si>
  <si>
    <t>ENXTBR:ACPH</t>
  </si>
  <si>
    <t>NDA filed</t>
  </si>
  <si>
    <t>IQTR553740237</t>
  </si>
  <si>
    <t>IQ65044643</t>
  </si>
  <si>
    <t>Acacia Pharma Group Limited, a pharmaceutical company, focuses on the development and commercialization of hospital products for surgical and cancer patients in the United States and internationally. The company’s lead product includes BAREMSIS, an intravenous formulation of amisulpride that has completed Phase III clinical trials for the treatment and prophylaxis of post-operative nausea and vomiting. Its products also comprise APD403 that has completed Phase II clinical trials for the chemotherapy-induced nausea and vomiting treatment. The company was founded in 2007 and is based in Cambridge, the United Kingdom.</t>
  </si>
  <si>
    <t>ARMO BioSciences, Inc.</t>
  </si>
  <si>
    <t>NasdaqGS:ARMO</t>
  </si>
  <si>
    <t>IQTR548062212</t>
  </si>
  <si>
    <t>IQ225199094</t>
  </si>
  <si>
    <t>ARMO BioSciences, Inc., an immuno-oncology company, develops a pipeline of novel product candidates that activate the immune system of cancer patients to recognize and eradicate tumors in the United States. Its lead product candidate is AM0010, a long acting form of human interleukin-10 that is in Phase III randomized pivotal clinical trial for the treatment of pancreatic ductal adenocarcinoma. The company is also developing AM0010 that has completed Phase I/Ib clinical trial for the treatment of non-small cell lung cancer, renal cell carcinoma, colorectal cancer, and melanoma and breast cancer. In addition, it is developing AM0001, a monoclonal antibody against programmed cell death protein-1 checkpoint inhibitor; AM0015, a recombinant human interleukin-15; AM0012, a recombinant human Interleukin-12; and AM0003, a monoclonal antibody against leukocyte activating gene-3 protein program. The company was formerly known as Targenics, Inc. and changed its name to ARMO BioSciences, Inc. in December 2012. ARMO BioSciences, Inc. was incorporated in 2010 and is headquartered in Redwood City, California.</t>
  </si>
  <si>
    <t>NasdaqGS:NTGN</t>
  </si>
  <si>
    <t>Translate Bio, Inc.</t>
  </si>
  <si>
    <t>NasdaqGS:TBIO</t>
  </si>
  <si>
    <t>PhaseI/II</t>
  </si>
  <si>
    <t>IQTR569377088</t>
  </si>
  <si>
    <t xml:space="preserve"> IQ143808159 </t>
  </si>
  <si>
    <t>Translate Bio, Inc., a messenger RNA therapeutics company, engages in developing medicines to treat diseases caused by protein or gene dysfunction. It is developing MRT5005 that is in Phase I/II clinical trial for the treatment of cystic fibrosis; and MRT5201 for the treatment of ornithine transcarbamylase deficiency. It has strategic alliances with Sanofi Pasteur. The company was formerly known as RaNA Therapeutics, Inc. and changed its name to Translate Bio, Inc. in June 2017. Translate Bio, Inc. was founded in 2011 and is headquartered in Lexington, Massachusetts.</t>
  </si>
  <si>
    <t>Forty Seven, Inc.</t>
  </si>
  <si>
    <t>NasdaqGS:FTSV</t>
  </si>
  <si>
    <t>IQTR569390027</t>
  </si>
  <si>
    <t xml:space="preserve"> IQ326556338 </t>
  </si>
  <si>
    <t>Forty Seven Inc., a clinical-stage immuno-oncology company, focuses on developing therapies to activate macrophages for the treatment of cancer. It is developing 5F9, a humanized IgG4 subclass monoclonal antibody against CD47 that is in Phase 1b/2 clinical trials used for the treatment of cancer; and FSI-189, an antibody that binds to SIRPa for the treatment of solid tumors. The company was formerly known as CD47 Sciences, Inc. Forty Seven Inc. was incorporated in 2014 and is headquartered in Menlo Park, California.</t>
  </si>
  <si>
    <t xml:space="preserve"> IQ312617897 </t>
  </si>
  <si>
    <t>Tricida, Inc.</t>
  </si>
  <si>
    <t>NasdaqGS:TCDA</t>
  </si>
  <si>
    <t>IQTR569705317</t>
  </si>
  <si>
    <t>Entera Bio Ltd.</t>
  </si>
  <si>
    <t>NasdaqCM:ENTX</t>
  </si>
  <si>
    <t>IQTR531321920</t>
  </si>
  <si>
    <t>IQ106997294</t>
  </si>
  <si>
    <t>Entera Bio Ltd., a clinical-stage biopharmaceutical company, focuses on the development and commercialization of orally delivered large molecule therapeutics for unmet medical needs. The company’s lead product includes the EB612, an oral parathyroid hormone product candidate that has completed a Phase IIa clinical trial for hypoparathyroidism. It is also developing EB613 that has completed Phase I clinical trials for the treatment of osteoporosis and non-union bone fractures; and other platform modules. The company was founded in 2010 and is headquartered in Jerusalem, Israel.</t>
  </si>
  <si>
    <t>IQ254955910</t>
  </si>
  <si>
    <t>Tricida, Inc., a late-stage pharmaceutical company, focuses on developing therapeutics to address renal, metabolic, and cardiovascular disease. Its lead product candidate, TRC101, a non-absorbed orally-administered polymer drug that is in Phase III clinical trials used to treat metabolic acidosis in patients with chronic kidney disease. The company was founded in 2013 and is headquartered in South San Francisco, California.</t>
  </si>
  <si>
    <t>Parkinson's Disease</t>
  </si>
  <si>
    <t>Genetic Obesity Disorders</t>
  </si>
  <si>
    <t>CNS</t>
  </si>
  <si>
    <t>Microbiome Platform</t>
  </si>
  <si>
    <t>Tozadenant, Parkinson's Disease</t>
  </si>
  <si>
    <t>Various, CNS and Neurology</t>
  </si>
  <si>
    <t>Metabolic and Neurological Diseases</t>
  </si>
  <si>
    <t>CNS and Obesity</t>
  </si>
  <si>
    <t>AstraZeneca</t>
  </si>
  <si>
    <t>APR18 In-licensed WW rights from Ionis Pharmaceuticals for further development &amp; commercialisation in exchange of $30m licensing fee &amp; tiered royalties.</t>
  </si>
  <si>
    <t>http://ir.ionispharma.com/news-releases/news-release-details/ionis-and-astrazeneca-advance-new-drug-nash</t>
  </si>
  <si>
    <t>Kallyope IRC 409a VD 01.05.18 Draft Exhibits 2018.01.19</t>
  </si>
  <si>
    <t>M&amp;A IND</t>
  </si>
  <si>
    <t>Ritter Pharmaceuticals, Inc. develops and sells novel therapeutic products that modulate the human gut microbiome to treat gastrointestinal diseases. Its lead product candidate is RP-G28, a novel microbiome modulator, which has completed Phase 2b clinical trial for the reduction of symptoms associated with lactose intolerance. The company’s product, RP-G28 is designed to stimulate the growth of lactose-metabolizing bacteria in the colon, thereby adapting the gut microbiome to assist in digesting the lactose that reaches the large intestine. The company was formerly known as Ritter Natural Sciences, LLC and changed its name to Ritter Pharmaceuticals, Inc. in September 2008. Ritter Pharmaceuticals, Inc. was founded in 2004 and is headquartered in Los Angeles, California.</t>
  </si>
  <si>
    <t xml:space="preserve"> Prader-Willi Syndrome</t>
  </si>
  <si>
    <t>Rhythm Pharmaceuticals, Inc. is currently evaluating Setmelanotide in Phase 3 development for POMC deficiency obesity and for LepR deficiency obesity. In addition,  Phase 2 proof-of-concept clinical trials for POMC heterozygous deficiency obesity have been initiated. Source: http://www.rhythmtx.com/pipeline/product-pipeline/.</t>
  </si>
  <si>
    <t>Vitae's VTP-43742 is an wholly owned RORγt inhibitor, in Phase II clinical trial for a range of autoimmune disorders, potentially including psoriasis, psoriatic arthritis, rheumatoid arthritis, multiple sclerosis and irritable bowel disease (IBD).
Source: https://www.allergan.com/news/news/thomson-reuters/allergan-successfully-completes-vitae-tender-offer; 
http://ir.vitaepharma.com/phoenix.zhtml?c=219654&amp;p=irol-newsArticle&amp;ID=2086185.</t>
  </si>
  <si>
    <t>Bamboo’s portfolio includes potential best-in-class rAAV-based gene therapies, in Phase I clinical trial for Giant Axonal Neuropathy and preclinical programs for Friedreich’s Ataxia and Canavan disease in CNS.
Source: https://www.pfizer.com/news/press-release/press-release-detail/pfizer_aims_to_become_industry_leader_in_gene_therapy_with_aquisition_of_bamboo_therapeutics_inc.</t>
  </si>
  <si>
    <t>Osmotica’s portfolio includes venlafaxine, and desvenlafaxine extended release tablets for the treatment of major depressive disorder and donepezil tablets for the treatment of Alzheimer's Disease.
Source: http://www.osmotica.com/products.aspx.</t>
  </si>
  <si>
    <t>The acquisition of Elan Corporation, plc by Perrigo Company plc includes a diversified platform combined with the royalty stream from Tysabri, a biologic blockbuster for
the treatment of Multiple Sclerosis with highly compelling efficacy.
Source: http://perrigo.investorroom.com/2013-12-18-Perrigo-Company-plc-Completes-Acquisition-of-Elan-Corporation-plc.</t>
  </si>
  <si>
    <t>Peak Sales (1)</t>
  </si>
  <si>
    <t>Indicates growth in sales after peak sales are achieved.</t>
  </si>
  <si>
    <t>Cumulative Success Probability</t>
  </si>
  <si>
    <t>Commercial</t>
  </si>
  <si>
    <t>NA</t>
  </si>
  <si>
    <t>Loss of Exclusivity</t>
  </si>
  <si>
    <t>Penetration Curves</t>
  </si>
  <si>
    <t>Years to Peak</t>
  </si>
  <si>
    <t>Years to</t>
  </si>
  <si>
    <t>Std.</t>
  </si>
  <si>
    <t>Years on market</t>
  </si>
  <si>
    <t>Peak</t>
  </si>
  <si>
    <t>Dev.</t>
  </si>
  <si>
    <t>Active ramp-up</t>
  </si>
  <si>
    <t>Source: file-"Kallyope Financial Report June 2018" , Slide no. 5/12</t>
  </si>
  <si>
    <t>Other Income</t>
  </si>
  <si>
    <t>June 2018</t>
  </si>
  <si>
    <t>Source: file-"Kallyope 2016 Audited Financial Statements &amp; Kallyope Financial Report June 2018 " , Page no. 7/19</t>
  </si>
  <si>
    <t>Source : file- "Kallyope Financial Report June 2018", slide no. 9/12</t>
  </si>
  <si>
    <t>Account Receivables</t>
  </si>
  <si>
    <t>Valuation Summary - rNPV Analysis</t>
  </si>
  <si>
    <t>Present Value of Cash Flows (Rounded)</t>
  </si>
  <si>
    <t>General Assumptions</t>
  </si>
  <si>
    <t>Discount Rate</t>
  </si>
  <si>
    <t>Duration (in years)</t>
  </si>
  <si>
    <t>Revenue Assumptions</t>
  </si>
  <si>
    <t>Peak Sales</t>
  </si>
  <si>
    <t>Growth Rate (After Peak)</t>
  </si>
  <si>
    <t>Penetration Curve</t>
  </si>
  <si>
    <t>S Curve</t>
  </si>
  <si>
    <t>Exclusivity (in Years)</t>
  </si>
  <si>
    <t>Annual Sales</t>
  </si>
  <si>
    <t>Sales Range</t>
  </si>
  <si>
    <t>Royalty Rates</t>
  </si>
  <si>
    <t>Minimum Sales</t>
  </si>
  <si>
    <t>Maximum Sales</t>
  </si>
  <si>
    <t>"Start Year" indicates the beginning year of each Phase.</t>
  </si>
  <si>
    <t>Years</t>
  </si>
  <si>
    <t>Year of Commercialization/Loss of Exclusivity</t>
  </si>
  <si>
    <t>Penetration Curve (2)</t>
  </si>
  <si>
    <t>Cumulative Probability of Success</t>
  </si>
  <si>
    <t>Probability Adjusted Cash Flow</t>
  </si>
  <si>
    <t>Discount Period (3)</t>
  </si>
  <si>
    <t>Discount Factor (1)</t>
  </si>
  <si>
    <t>Present Value of Cash Flows</t>
  </si>
  <si>
    <t>Applied mid-period discounting.</t>
  </si>
  <si>
    <t>Initiation of Phase I</t>
  </si>
  <si>
    <t>Initiation of Phase II</t>
  </si>
  <si>
    <t>Initiation of Phase III</t>
  </si>
  <si>
    <t>Lead Selection</t>
  </si>
  <si>
    <t>Development Lead Selection</t>
  </si>
  <si>
    <t>Development Milestone</t>
  </si>
  <si>
    <t>Novo Nordisk Collaboration Agreement</t>
  </si>
  <si>
    <t>rNPV - Probability of Technical Success</t>
  </si>
  <si>
    <t>Research Lead Selection</t>
  </si>
  <si>
    <t>Completion of AP/NTS Background Transcriptomics</t>
  </si>
  <si>
    <t>Signing of Joint Research Plan for Part B</t>
  </si>
  <si>
    <t>Discounted Value</t>
  </si>
  <si>
    <t>Duration from VD</t>
  </si>
  <si>
    <t>Ligand Option Exercise</t>
  </si>
  <si>
    <t>Average of Median and 1st Quartile</t>
  </si>
  <si>
    <t>Dissolution - Discovery</t>
  </si>
  <si>
    <t>Dissolution - Lead Optimization</t>
  </si>
  <si>
    <t>Most Recent Round</t>
  </si>
  <si>
    <t>Round Date</t>
  </si>
  <si>
    <t>Most Recent Round Price</t>
  </si>
  <si>
    <t>Most Recent Raise</t>
  </si>
  <si>
    <t>Last Options Granted Strike Price</t>
  </si>
  <si>
    <t>Series A Tranche II</t>
  </si>
  <si>
    <t>Invested Capital</t>
  </si>
  <si>
    <t>Early Stage</t>
  </si>
  <si>
    <t>On January 18, 2017, Synthetic Biologics, Inc. confirmed the plan to conduct a Phase IIb/III adaptive design study for their first pivotal trial intended to evaluate the efficacy and safety of SYN-010. Source: https://ir.syntheticbiologics.com/quarterly-reports/content/0001144204-18-026171/0001144204-18-026171.pdf.</t>
  </si>
  <si>
    <t>Workpaper #2</t>
  </si>
  <si>
    <t>Implied equity value such that Series B implied value equals its issue price</t>
  </si>
  <si>
    <t>Additional Term - Common</t>
  </si>
  <si>
    <t>Workpaper #5</t>
  </si>
  <si>
    <t>Workpaper #12</t>
  </si>
  <si>
    <t>Options at $0.11 Strike Price Exercise</t>
  </si>
  <si>
    <t>Options at $0.13 Strike Price Exercise</t>
  </si>
  <si>
    <t>Options Expected to be Granted Exercise at $0.40 Strike Price</t>
  </si>
  <si>
    <t>Series B Tranche I and Tranche II &amp; Tranche III Warrants Convert</t>
  </si>
  <si>
    <t>Series B Tranche II Warrants</t>
  </si>
  <si>
    <t>Series B Tranche III Warrants</t>
  </si>
  <si>
    <t>Options at $0.11 Strike Price</t>
  </si>
  <si>
    <t>Options at $0.13 Strike Price</t>
  </si>
  <si>
    <t>Additional Value</t>
  </si>
  <si>
    <t xml:space="preserve">% Allocation </t>
  </si>
  <si>
    <t>Workpaper #3</t>
  </si>
  <si>
    <t>Series B Tranche I Invested Capital</t>
  </si>
  <si>
    <t xml:space="preserve">Total Value to Series B </t>
  </si>
  <si>
    <t>&lt;--Goal Seek to Zero</t>
  </si>
  <si>
    <t>Implied Equity Value (Value to Series A equals the current Invested Capital)</t>
  </si>
  <si>
    <t>Equity Value, Net of Series A Tranche Warrants</t>
  </si>
  <si>
    <t>TO UPDATE BASED ON REQUIREMENT</t>
  </si>
  <si>
    <t>Sensitivity Table - Volatility &amp; Term (Common)</t>
  </si>
  <si>
    <t>Sensitivity Table - Volatility &amp; Term (Latest Preferred)</t>
  </si>
  <si>
    <t>Total Present Value</t>
  </si>
  <si>
    <t>Research Milestone Payments</t>
  </si>
  <si>
    <t xml:space="preserve">Phase </t>
  </si>
  <si>
    <t>Standing at Time,as of Valuation Date</t>
  </si>
  <si>
    <t>Net Sales Obesity</t>
  </si>
  <si>
    <t>Net Sales #Indication2</t>
  </si>
  <si>
    <t>Total Sales</t>
  </si>
  <si>
    <t>Indication #2</t>
  </si>
  <si>
    <t>Expected Date</t>
  </si>
  <si>
    <t>Indication #1</t>
  </si>
  <si>
    <t>Consider Indication #2 (Yes=1, No=0)</t>
  </si>
  <si>
    <t>Milestone</t>
  </si>
  <si>
    <t>Quarter #</t>
  </si>
  <si>
    <t>Product 1</t>
  </si>
  <si>
    <t>Product 2</t>
  </si>
  <si>
    <t>Product 3</t>
  </si>
  <si>
    <t>Total NOVO Agreement</t>
  </si>
  <si>
    <t>Fixed Research Payments</t>
  </si>
  <si>
    <t>Milestone Calculation</t>
  </si>
  <si>
    <t>Implied Latest Preferred Round - Series B</t>
  </si>
  <si>
    <t>Implied equity value does not include the value of Series B Tranche II and Series B Tranche III, which are yet to be raised.</t>
  </si>
  <si>
    <t>Future Raises</t>
  </si>
  <si>
    <t>Dates</t>
  </si>
  <si>
    <t>Amounts</t>
  </si>
  <si>
    <t>Considered in 2018 based on proximity to year end</t>
  </si>
  <si>
    <t>Considered in 2019 based on proximity to year end</t>
  </si>
  <si>
    <t>6 Months</t>
  </si>
  <si>
    <t>Gut Microbiome targeted IBS-C</t>
  </si>
  <si>
    <t>Microbiome Modulator - Metabolic Disorders</t>
  </si>
  <si>
    <t>As of Valuation Date, the enterprise value for Ritter Pharmaceuticals, Inc. was negative due to a large cash balance.</t>
  </si>
  <si>
    <t>GI</t>
  </si>
  <si>
    <t>Research Milestones</t>
  </si>
  <si>
    <t>Include NOVO Agreement Value (1=Yes, 0=No)</t>
  </si>
  <si>
    <t>Research Expenses (c) = (a) * (b)</t>
  </si>
  <si>
    <t>rNPV Analysis - Obesity</t>
  </si>
  <si>
    <t>% of Implied Series B Value</t>
  </si>
  <si>
    <t>Based on the Research Collaboration and Option Agreement between the Company and Novo Nordisk A/S dated June 18, 2018.</t>
  </si>
  <si>
    <t>Discount Rate Support</t>
  </si>
  <si>
    <t>rNPV Discount Rates by Region (Summary) (1)</t>
  </si>
  <si>
    <t>Stage of the Company</t>
  </si>
  <si>
    <t>Regions</t>
  </si>
  <si>
    <t>Europe</t>
  </si>
  <si>
    <t>RoW</t>
  </si>
  <si>
    <t>US</t>
  </si>
  <si>
    <t>Late- Stage</t>
  </si>
  <si>
    <t>Mid-Stage</t>
  </si>
  <si>
    <t>Early-Stage</t>
  </si>
  <si>
    <t>80.0% Intervals of rNPV Discount Rates (2)</t>
  </si>
  <si>
    <t>12.0% - 28.0%</t>
  </si>
  <si>
    <t>10.0% - 22.0%</t>
  </si>
  <si>
    <t>9.0% - 20.0%</t>
  </si>
  <si>
    <t>Discount Rates (3)</t>
  </si>
  <si>
    <t>Between 30% and 40% for smaller biotech companies that do not have any product on the market.</t>
  </si>
  <si>
    <t>Avance Biostrat Discount Survey - Page 5, Figure 9.</t>
  </si>
  <si>
    <t>Avance Biostrat Discount Survey - Page 5, Table 3.</t>
  </si>
  <si>
    <t>"Valuation in Life Sciences", Bogdan and Villiger (page 66).</t>
  </si>
  <si>
    <t>Non-Diversification Risk / Additional Adjustment Factor Calculations</t>
  </si>
  <si>
    <t>Less: Non-Diversification Risk / Additional Adjustment Factor (3)</t>
  </si>
  <si>
    <r>
      <t xml:space="preserve">Implied Equity Value (Existing Capital Structure) </t>
    </r>
    <r>
      <rPr>
        <sz val="10"/>
        <rFont val="Times New Roman"/>
        <family val="1"/>
      </rPr>
      <t>(6)</t>
    </r>
  </si>
  <si>
    <t>Future Allocable Value Excluding Tranche II and Tranche III</t>
  </si>
  <si>
    <t xml:space="preserve">Prader-Willi Syndrome </t>
  </si>
  <si>
    <t xml:space="preserve">The Company issued Series B Tranche I in January 2018 with Tranche II and Tranche III expected to be raised one year and two years after the closing date of the Tranche I, respectively. We included Tranche II and Tranche III in our PWERM analysis. </t>
  </si>
  <si>
    <t>Assumes that all remaining options are expected to be granted prior to exits contemplated under the PWERM.</t>
  </si>
  <si>
    <t>CPSE:NOVO B</t>
  </si>
  <si>
    <t xml:space="preserve">Total </t>
  </si>
  <si>
    <t>Country Risk Premium</t>
  </si>
  <si>
    <t>Year</t>
  </si>
  <si>
    <t>CAGR</t>
  </si>
  <si>
    <t>GlobalData Research (1)</t>
  </si>
  <si>
    <t>Drug Considered (1= Yes; 0= No)</t>
  </si>
  <si>
    <t>Pipeline</t>
  </si>
  <si>
    <t>% of Total</t>
  </si>
  <si>
    <t>EvaluatePharma Research (1)</t>
  </si>
  <si>
    <t>As of the Valuation Date, these products were in Phase III clinical development.</t>
  </si>
  <si>
    <t>Selected Peak Sales</t>
  </si>
  <si>
    <t>Timeline and Development Cost Research</t>
  </si>
  <si>
    <r>
      <t xml:space="preserve">Total Per-Study Costs by Phase and Therapeutic Area (in $ Millions) </t>
    </r>
    <r>
      <rPr>
        <sz val="10"/>
        <color theme="1"/>
        <rFont val="Times New Roman"/>
        <family val="1"/>
      </rPr>
      <t>(1)</t>
    </r>
  </si>
  <si>
    <r>
      <t xml:space="preserve">Clinical Trial Cost, Success Rate and Approval Times for Orphan Drugs </t>
    </r>
    <r>
      <rPr>
        <sz val="10"/>
        <color theme="1"/>
        <rFont val="Times New Roman"/>
        <family val="1"/>
      </rPr>
      <t>(2)</t>
    </r>
  </si>
  <si>
    <r>
      <t xml:space="preserve">Duration of Drug Development </t>
    </r>
    <r>
      <rPr>
        <sz val="10"/>
        <color theme="1"/>
        <rFont val="Times New Roman"/>
        <family val="1"/>
      </rPr>
      <t>(3)</t>
    </r>
  </si>
  <si>
    <r>
      <t xml:space="preserve">Uptake Curves </t>
    </r>
    <r>
      <rPr>
        <sz val="10"/>
        <color theme="1"/>
        <rFont val="Times New Roman"/>
        <family val="1"/>
      </rPr>
      <t>(4)</t>
    </r>
  </si>
  <si>
    <r>
      <t xml:space="preserve">Distribution of times to peak sales </t>
    </r>
    <r>
      <rPr>
        <sz val="10"/>
        <color theme="1"/>
        <rFont val="Times New Roman"/>
        <family val="1"/>
      </rPr>
      <t>(4)</t>
    </r>
  </si>
  <si>
    <t>Source: "Examination of Clinical Trial Costs and Barriers for Drug Development", by Aylin Sertkaya et al, dated July 25, 2014, Page 30.</t>
  </si>
  <si>
    <t>Source: "Financing drug discovery for orphan diseases", Drug Discovery Today, May 2014, Table 1, Page 4.</t>
  </si>
  <si>
    <t>Source: Valuation in Life Sciences by Bogdan and Villiger.</t>
  </si>
  <si>
    <t>Source: "Drug launch curves in the modern era", by Seth Robey and Frank S. David, dated December 2, 2016.</t>
  </si>
  <si>
    <t>FDA Drug Timelines &amp; Probabilities</t>
  </si>
  <si>
    <t>Patients (1)</t>
  </si>
  <si>
    <t>Length of study</t>
  </si>
  <si>
    <t>Cumulative Success Rate (Drugs moving to the next Phase)</t>
  </si>
  <si>
    <t>Purpose</t>
  </si>
  <si>
    <t>I</t>
  </si>
  <si>
    <t>20-100</t>
  </si>
  <si>
    <t>Several months</t>
  </si>
  <si>
    <t>Safety and dosage (2)</t>
  </si>
  <si>
    <t>II</t>
  </si>
  <si>
    <t>Up to several hundreds</t>
  </si>
  <si>
    <t>Up to 2 years</t>
  </si>
  <si>
    <t>Efficacy and side effects (3)</t>
  </si>
  <si>
    <t>III</t>
  </si>
  <si>
    <t>300-3000</t>
  </si>
  <si>
    <t>1-4 Years</t>
  </si>
  <si>
    <t>25.0%-30.0%</t>
  </si>
  <si>
    <t>Efficacy and monitoring of adverse reactions (4)</t>
  </si>
  <si>
    <t>IV</t>
  </si>
  <si>
    <t>Several thousands</t>
  </si>
  <si>
    <t>N/A</t>
  </si>
  <si>
    <t>Safety and efficacy (5)</t>
  </si>
  <si>
    <t>Clinical Trials</t>
  </si>
  <si>
    <r>
      <t xml:space="preserve">(A) </t>
    </r>
    <r>
      <rPr>
        <b/>
        <u/>
        <sz val="10"/>
        <color theme="1"/>
        <rFont val="Times New Roman"/>
        <family val="1"/>
      </rPr>
      <t>IND Process</t>
    </r>
    <r>
      <rPr>
        <sz val="10"/>
        <color theme="1"/>
        <rFont val="Times New Roman"/>
        <family val="1"/>
      </rPr>
      <t xml:space="preserve">: </t>
    </r>
  </si>
  <si>
    <t>IND application includes: 
1) Animal study data and toxicity data 
2) Manufacturing information 
3) Clinical protocols 
4) Data from any prior human research 
5) Information about the investigator.</t>
  </si>
  <si>
    <r>
      <rPr>
        <sz val="10"/>
        <rFont val="Times New Roman"/>
        <family val="1"/>
      </rPr>
      <t xml:space="preserve">(B) </t>
    </r>
    <r>
      <rPr>
        <b/>
        <u/>
        <sz val="10"/>
        <rFont val="Times New Roman"/>
        <family val="1"/>
      </rPr>
      <t>Asking for FDA Assistance:</t>
    </r>
  </si>
  <si>
    <t>1) Pre-IND application, to review FDA guidance documents and get answers to questions that may help enhance their research; 
2) After Phase 2, to obtain guidance on the design of large Phase 3 studies; and 
3) Any time during the process, to obtain an assessment of the IND application.</t>
  </si>
  <si>
    <r>
      <rPr>
        <sz val="10"/>
        <rFont val="Times New Roman"/>
        <family val="1"/>
      </rPr>
      <t xml:space="preserve">(C) </t>
    </r>
    <r>
      <rPr>
        <b/>
        <u/>
        <sz val="10"/>
        <rFont val="Times New Roman"/>
        <family val="1"/>
      </rPr>
      <t>FDA IND Review Team:</t>
    </r>
  </si>
  <si>
    <t>Project Manager:</t>
  </si>
  <si>
    <t>Coordinates the team's activities throughout the review process.</t>
  </si>
  <si>
    <t>Medical Officer:</t>
  </si>
  <si>
    <t>Reviews all clinical study information and data.</t>
  </si>
  <si>
    <t>Statistician:</t>
  </si>
  <si>
    <t>Interprets clinical trial designs and data.</t>
  </si>
  <si>
    <t>Pharmacologist:</t>
  </si>
  <si>
    <t>Reviews preclinical studies.</t>
  </si>
  <si>
    <t>Pharmakineticist:</t>
  </si>
  <si>
    <t>Focuses on the drug’s absorption, distribution, metabolism, and excretion processes.</t>
  </si>
  <si>
    <t xml:space="preserve">Chemist: </t>
  </si>
  <si>
    <t xml:space="preserve">Evaluates a drug’s chemical compounds. </t>
  </si>
  <si>
    <t>Microbiologist:</t>
  </si>
  <si>
    <t>Reviews the data submitted.</t>
  </si>
  <si>
    <r>
      <rPr>
        <sz val="10"/>
        <rFont val="Times New Roman"/>
        <family val="1"/>
      </rPr>
      <t xml:space="preserve">(D) </t>
    </r>
    <r>
      <rPr>
        <b/>
        <u/>
        <sz val="10"/>
        <rFont val="Times New Roman"/>
        <family val="1"/>
      </rPr>
      <t>Approval:</t>
    </r>
  </si>
  <si>
    <t>The FDA review team has 30 days to review the original IND submission; and may either approve to begin clinical trials or place a clinical hold.</t>
  </si>
  <si>
    <t>FDA can place a clinical hold for specific reasons, including: 
1. Participants are exposed to unreasonable or significant risk; 
2. Investigators are not qualified; 
3. Materials for the volunteer participants are misleading; and 
4. Does not include enough information about the trial's risks.</t>
  </si>
  <si>
    <t>Source: http://www.fda.gov/ForPatients/Approvals/Drugs/ucm405622.htm.</t>
  </si>
  <si>
    <t>Volunteer must have that disease or condition.</t>
  </si>
  <si>
    <t>Phase I trials are conducted to determine how the drug works in the body, the side effects associated with increased dosage, and how to administer the drug to limit risks and maximize possible benefits.</t>
  </si>
  <si>
    <t>Phase II trials are conducted to provide researchers with additional safety data.</t>
  </si>
  <si>
    <t>Phase III trials are conducted to determine long term or rare side effects, as the studies are larger and longer in duration.</t>
  </si>
  <si>
    <t>Phase IV trials are conducted to once the drug or device has been approved by FDA during the post-market safety monitoring.</t>
  </si>
  <si>
    <t>Patent Exclusivity</t>
  </si>
  <si>
    <t>Patent Exclusivity for New Biologics - US FDA (1)</t>
  </si>
  <si>
    <r>
      <t xml:space="preserve">Under the Patent Protection and Affordable Care Act's ("PPACA"), and Biologics Price Competition and Innovation Act ("BPCIA"), new biologics are eligible for </t>
    </r>
    <r>
      <rPr>
        <b/>
        <sz val="10"/>
        <color theme="1"/>
        <rFont val="Times New Roman"/>
        <family val="1"/>
      </rPr>
      <t>12 years</t>
    </r>
    <r>
      <rPr>
        <sz val="10"/>
        <color theme="1"/>
        <rFont val="Times New Roman"/>
        <family val="1"/>
      </rPr>
      <t xml:space="preserve"> of market exclusivity during which time the US FDA cannot approve any biosimilars.</t>
    </r>
  </si>
  <si>
    <t>Patent Exclusivity for New Biologics - EMA (2)</t>
  </si>
  <si>
    <r>
      <t xml:space="preserve">For marketing authorization applications made from November 2005 onwards, the period of </t>
    </r>
    <r>
      <rPr>
        <b/>
        <sz val="10"/>
        <color theme="1"/>
        <rFont val="Times New Roman"/>
        <family val="1"/>
      </rPr>
      <t>data exclusivity</t>
    </r>
    <r>
      <rPr>
        <sz val="10"/>
        <color theme="1"/>
        <rFont val="Times New Roman"/>
        <family val="1"/>
      </rPr>
      <t xml:space="preserve"> in Europe has been harmonized as </t>
    </r>
    <r>
      <rPr>
        <b/>
        <sz val="10"/>
        <color theme="1"/>
        <rFont val="Times New Roman"/>
        <family val="1"/>
      </rPr>
      <t>8 years</t>
    </r>
    <r>
      <rPr>
        <sz val="10"/>
        <color theme="1"/>
        <rFont val="Times New Roman"/>
        <family val="1"/>
      </rPr>
      <t xml:space="preserve"> from the </t>
    </r>
    <r>
      <rPr>
        <b/>
        <sz val="10"/>
        <color theme="1"/>
        <rFont val="Times New Roman"/>
        <family val="1"/>
      </rPr>
      <t>date of first authorization</t>
    </r>
    <r>
      <rPr>
        <sz val="10"/>
        <color theme="1"/>
        <rFont val="Times New Roman"/>
        <family val="1"/>
      </rPr>
      <t xml:space="preserve"> in Europe. There is an additional period of </t>
    </r>
    <r>
      <rPr>
        <b/>
        <sz val="10"/>
        <color theme="1"/>
        <rFont val="Times New Roman"/>
        <family val="1"/>
      </rPr>
      <t>2 years</t>
    </r>
    <r>
      <rPr>
        <sz val="10"/>
        <color theme="1"/>
        <rFont val="Times New Roman"/>
        <family val="1"/>
      </rPr>
      <t xml:space="preserve"> of "</t>
    </r>
    <r>
      <rPr>
        <b/>
        <sz val="10"/>
        <color theme="1"/>
        <rFont val="Times New Roman"/>
        <family val="1"/>
      </rPr>
      <t>market exclusivity</t>
    </r>
    <r>
      <rPr>
        <sz val="10"/>
        <color theme="1"/>
        <rFont val="Times New Roman"/>
        <family val="1"/>
      </rPr>
      <t>". During this period, a generic company may not market an equivalent generic version of the originator's pharmaceutical product (although their application for authorization may be processed during this period, such that they are in a position to market their product on the expiry of this additional 2 year period).</t>
    </r>
  </si>
  <si>
    <t>Source: "BIO Opposes House Bill to Reduce Biologics Exclusivity From 12 to 7 Years" dated June, 2016; http://raps.org/Regulatory-Focus/News/2016/06/23/25198/BIO-Opposes-House-Bill-to-Reduce-Biologics-Exclusivity-From-12-to-7-Years/.</t>
  </si>
  <si>
    <t>Source: "Data exclusivity for medicinal products in Europe"; https://united-kingdom.taylorwessing.com/synapse/regulatory_dataexclusivity.html.</t>
  </si>
  <si>
    <t>Source:</t>
  </si>
  <si>
    <t>Evaluate Ltd</t>
  </si>
  <si>
    <t>Report:</t>
  </si>
  <si>
    <t>Available WW Sales by Indication - Summary</t>
  </si>
  <si>
    <t>Report Date</t>
  </si>
  <si>
    <t>All Financial Data in US $ (mln)</t>
  </si>
  <si>
    <t>Annual Sales (Indication) - WW - Sales</t>
  </si>
  <si>
    <t>Annual Sales WW - Sales</t>
  </si>
  <si>
    <t>Rank</t>
  </si>
  <si>
    <t>Product</t>
  </si>
  <si>
    <t>Company</t>
  </si>
  <si>
    <t>Generic Name</t>
  </si>
  <si>
    <t>Mechanism of Action</t>
  </si>
  <si>
    <t>First Launch (WW)</t>
  </si>
  <si>
    <t>Patent Expiry</t>
  </si>
  <si>
    <t>2017</t>
  </si>
  <si>
    <t>2018</t>
  </si>
  <si>
    <t>2019</t>
  </si>
  <si>
    <t>2020</t>
  </si>
  <si>
    <t>2021</t>
  </si>
  <si>
    <t>2022</t>
  </si>
  <si>
    <t>2023</t>
  </si>
  <si>
    <t>2024</t>
  </si>
  <si>
    <t>WW Indication Launch</t>
  </si>
  <si>
    <t>WW Indication Status (Current)</t>
  </si>
  <si>
    <t>Metabolic disorders</t>
  </si>
  <si>
    <t xml:space="preserve">  Obesity</t>
  </si>
  <si>
    <t>1</t>
  </si>
  <si>
    <t>Saxenda</t>
  </si>
  <si>
    <t>Novo Nordisk</t>
  </si>
  <si>
    <t>liraglutide [rDNA origin]</t>
  </si>
  <si>
    <t>Glucagon-like peptide 1 (GLP-1) receptor agonist</t>
  </si>
  <si>
    <t>2</t>
  </si>
  <si>
    <t>Setmelanotide</t>
  </si>
  <si>
    <t>Rhythm Pharmaceuticals</t>
  </si>
  <si>
    <t>setmelanotide</t>
  </si>
  <si>
    <t>Melanocortin-4 (MC4) receptor agonist</t>
  </si>
  <si>
    <t>-</t>
  </si>
  <si>
    <t>3</t>
  </si>
  <si>
    <t>Contrave</t>
  </si>
  <si>
    <t>Orexigen Therapeutics</t>
  </si>
  <si>
    <t>bupropion hydrochloride; naltrexone hydrochloride</t>
  </si>
  <si>
    <t>Dopamine reuptake inhibitor; Norepinephrine reuptake inhibitor; Opioid receptor antagonist</t>
  </si>
  <si>
    <t>4</t>
  </si>
  <si>
    <t>Alli</t>
  </si>
  <si>
    <t>GlaxoSmithKline</t>
  </si>
  <si>
    <t>orlistat</t>
  </si>
  <si>
    <t>Lipase inhibitor</t>
  </si>
  <si>
    <t>5</t>
  </si>
  <si>
    <t>Ozempic</t>
  </si>
  <si>
    <t>semaglutide</t>
  </si>
  <si>
    <t>6</t>
  </si>
  <si>
    <t>Qsymia</t>
  </si>
  <si>
    <t>VIVUS</t>
  </si>
  <si>
    <t>phentermine hydrochloride; topiramate</t>
  </si>
  <si>
    <t>Adrenoceptor agonist</t>
  </si>
  <si>
    <t>7</t>
  </si>
  <si>
    <t>Kybella</t>
  </si>
  <si>
    <t>Allergan</t>
  </si>
  <si>
    <t>deoxycholic acid</t>
  </si>
  <si>
    <t>Adipocyte receptor inhibitor</t>
  </si>
  <si>
    <t>8</t>
  </si>
  <si>
    <t>Belviq</t>
  </si>
  <si>
    <t>Eisai</t>
  </si>
  <si>
    <t>lorcaserin hydrochloride</t>
  </si>
  <si>
    <t>5-HT2C (serotonin) receptor agonist</t>
  </si>
  <si>
    <t>9</t>
  </si>
  <si>
    <t>XLS-Medical</t>
  </si>
  <si>
    <t>Perrigo Company</t>
  </si>
  <si>
    <t>litramine</t>
  </si>
  <si>
    <t>Unclassified</t>
  </si>
  <si>
    <t>10</t>
  </si>
  <si>
    <t>Sibutramine Hydrochloride</t>
  </si>
  <si>
    <t>Pharmstandard</t>
  </si>
  <si>
    <t>sibutramine hydrochloride</t>
  </si>
  <si>
    <t>5-HT (serotonin) &amp; norepinephrine reuptake inhibitor (SNRI); 5-HT (serotonin) reuptake inhibitor</t>
  </si>
  <si>
    <t>11</t>
  </si>
  <si>
    <t>Meridia</t>
  </si>
  <si>
    <t>AbbVie</t>
  </si>
  <si>
    <t>12</t>
  </si>
  <si>
    <t>Cametor</t>
  </si>
  <si>
    <t>Takeda</t>
  </si>
  <si>
    <t>cetilistat</t>
  </si>
  <si>
    <t>13</t>
  </si>
  <si>
    <t>Laboratorios Farmacéuticos ROVI</t>
  </si>
  <si>
    <t>14</t>
  </si>
  <si>
    <t>Tenuate</t>
  </si>
  <si>
    <t>diethylpropion hydrochloride</t>
  </si>
  <si>
    <t>Navamedic</t>
  </si>
  <si>
    <t xml:space="preserve">    Other</t>
  </si>
  <si>
    <t xml:space="preserve">    Total</t>
  </si>
  <si>
    <t>Report Filters</t>
  </si>
  <si>
    <t>Indication</t>
  </si>
  <si>
    <t>Miscellaneous</t>
  </si>
  <si>
    <t>Annual Sales (Indication) - WW</t>
  </si>
  <si>
    <t>Exclude blank rows</t>
  </si>
  <si>
    <t>Note: Shaded Cells</t>
  </si>
  <si>
    <r>
      <t xml:space="preserve">
Obesity
</t>
    </r>
    <r>
      <rPr>
        <sz val="18"/>
        <color theme="4"/>
        <rFont val="Arial"/>
        <family val="2"/>
      </rPr>
      <t>Global</t>
    </r>
  </si>
  <si>
    <t>Market forecast (2012-2022)</t>
  </si>
  <si>
    <t>CAGR (2012-2022)</t>
  </si>
  <si>
    <t>Sources</t>
  </si>
  <si>
    <t>TOTAL SALES</t>
  </si>
  <si>
    <t>Prevalent Population</t>
  </si>
  <si>
    <t>Drug Treated Population</t>
  </si>
  <si>
    <t>Regional Sales</t>
  </si>
  <si>
    <t>All Markets</t>
  </si>
  <si>
    <t>5 EU</t>
  </si>
  <si>
    <t>Japan</t>
  </si>
  <si>
    <t>Canada</t>
  </si>
  <si>
    <t>Brazil</t>
  </si>
  <si>
    <t>Country Sales</t>
  </si>
  <si>
    <t>United States</t>
  </si>
  <si>
    <t>France</t>
  </si>
  <si>
    <t>Germany</t>
  </si>
  <si>
    <t>Italy</t>
  </si>
  <si>
    <t>Spain</t>
  </si>
  <si>
    <t>United Kingdom</t>
  </si>
  <si>
    <t>Drug Sales</t>
  </si>
  <si>
    <t>Lipase inhibitors</t>
  </si>
  <si>
    <t>Xenical</t>
  </si>
  <si>
    <t>Cetilistat</t>
  </si>
  <si>
    <t>GLP-1 analogs</t>
  </si>
  <si>
    <t>Victoza</t>
  </si>
  <si>
    <t>Phentermine</t>
  </si>
  <si>
    <t>Velneperit</t>
  </si>
  <si>
    <t>Sibutramine</t>
  </si>
  <si>
    <t>Mazindol</t>
  </si>
  <si>
    <t>Phentermine + topiramate</t>
  </si>
  <si>
    <t>Contrave (bupropion + naltrexone)</t>
  </si>
  <si>
    <t xml:space="preserve">Empatic (bupropion + zonisamide) </t>
  </si>
  <si>
    <t>Total Obesity Drug Sales</t>
  </si>
  <si>
    <t>Summary of Obesity Drug Worldwide Forecasts</t>
  </si>
  <si>
    <r>
      <t xml:space="preserve">
</t>
    </r>
    <r>
      <rPr>
        <b/>
        <sz val="18"/>
        <color rgb="FF0F3F76"/>
        <rFont val="Arial"/>
        <family val="2"/>
      </rPr>
      <t xml:space="preserve">Type 2 Diabetes
</t>
    </r>
    <r>
      <rPr>
        <sz val="18"/>
        <color rgb="FF0F3F76"/>
        <rFont val="Arial"/>
        <family val="2"/>
      </rPr>
      <t>Global</t>
    </r>
  </si>
  <si>
    <t>Round</t>
  </si>
  <si>
    <t>7 Major Markets</t>
  </si>
  <si>
    <t>China</t>
  </si>
  <si>
    <t>India</t>
  </si>
  <si>
    <t>Metformin total</t>
  </si>
  <si>
    <t>Sulfonylureas and non-sulfonylureas total</t>
  </si>
  <si>
    <t>AGIs</t>
  </si>
  <si>
    <t>Thiazolidinediones total</t>
  </si>
  <si>
    <t>Actos; ACTOplusmet/Competact</t>
  </si>
  <si>
    <t xml:space="preserve">   pioglitazone generics</t>
  </si>
  <si>
    <t>GLP-1 receptor agonists total</t>
  </si>
  <si>
    <t>Byetta</t>
  </si>
  <si>
    <t xml:space="preserve">   exenatide generics</t>
  </si>
  <si>
    <t>Bydureon</t>
  </si>
  <si>
    <t>Lyxumia</t>
  </si>
  <si>
    <t>Albiglutide</t>
  </si>
  <si>
    <t>Dulaglutide</t>
  </si>
  <si>
    <t>Semaglutide</t>
  </si>
  <si>
    <t>DPP-4 inhibitors total</t>
  </si>
  <si>
    <t>Januvia; Janumet</t>
  </si>
  <si>
    <t>Onglyza; Kombiglyze XR</t>
  </si>
  <si>
    <t>Tradjenta; Jentaduteo</t>
  </si>
  <si>
    <t>Galvus; Eucreas</t>
  </si>
  <si>
    <t>Nesina; Oseni; Kazano</t>
  </si>
  <si>
    <t>Trelagliptin</t>
  </si>
  <si>
    <t>MK-3102</t>
  </si>
  <si>
    <t>SGLT-2 inhibitors total</t>
  </si>
  <si>
    <t>Forxiga</t>
  </si>
  <si>
    <t>Invokana</t>
  </si>
  <si>
    <t>Empagliflozin</t>
  </si>
  <si>
    <t>Tofogliflozin</t>
  </si>
  <si>
    <t>Ipragliflozin</t>
  </si>
  <si>
    <t>Novel MOA total</t>
  </si>
  <si>
    <t>LY2409021 (glucagon receptor antagonist)</t>
  </si>
  <si>
    <t>Insulins</t>
  </si>
  <si>
    <t>Soluble (neutral) insulins</t>
  </si>
  <si>
    <t>NPH insulins</t>
  </si>
  <si>
    <t>Biphasic (premixed) insulins</t>
  </si>
  <si>
    <t>Humalog</t>
  </si>
  <si>
    <t xml:space="preserve">  Humalog biosimilars</t>
  </si>
  <si>
    <t>Lantus</t>
  </si>
  <si>
    <t xml:space="preserve">  Lantus biosimilars</t>
  </si>
  <si>
    <t>Levemir</t>
  </si>
  <si>
    <t xml:space="preserve">  Levemir biosimilars</t>
  </si>
  <si>
    <t>Novolog/NovoRapid</t>
  </si>
  <si>
    <t xml:space="preserve">  Novolog biosimilars</t>
  </si>
  <si>
    <t>Apidra</t>
  </si>
  <si>
    <t>Tresiba</t>
  </si>
  <si>
    <t xml:space="preserve">   IDegLira</t>
  </si>
  <si>
    <t>LY2605541 (insulin peglispro)</t>
  </si>
  <si>
    <t>Total population in 10 markets 20y+</t>
  </si>
  <si>
    <t>T2D diagnosed prevalent population</t>
  </si>
  <si>
    <t>Drug-treated Population</t>
  </si>
  <si>
    <t>2010</t>
  </si>
  <si>
    <t>2011</t>
  </si>
  <si>
    <t>2012</t>
  </si>
  <si>
    <t>2013</t>
  </si>
  <si>
    <t>2014</t>
  </si>
  <si>
    <t>2015</t>
  </si>
  <si>
    <t>2016</t>
  </si>
  <si>
    <t>Diabetes treatment</t>
  </si>
  <si>
    <t xml:space="preserve">  Diabetes, type II (maturity onset)</t>
  </si>
  <si>
    <t>Trulicity</t>
  </si>
  <si>
    <t>Eli Lilly</t>
  </si>
  <si>
    <t>dulaglutide</t>
  </si>
  <si>
    <t>Jardiance</t>
  </si>
  <si>
    <t>Boehringer Ingelheim</t>
  </si>
  <si>
    <t>empagliflozin</t>
  </si>
  <si>
    <t>Sodium-glucose cotransporter 2 (SGLT2) inhibitor</t>
  </si>
  <si>
    <t>insulin degludec</t>
  </si>
  <si>
    <t>Insulin receptor (InsR) agonist</t>
  </si>
  <si>
    <t>Farxiga</t>
  </si>
  <si>
    <t>dapagliflozin propanediol</t>
  </si>
  <si>
    <t>Semaglutide Oral</t>
  </si>
  <si>
    <t>NovoRapid</t>
  </si>
  <si>
    <t>insulin aspart</t>
  </si>
  <si>
    <t>Glyxambi</t>
  </si>
  <si>
    <t>empagliflozin; linagliptin</t>
  </si>
  <si>
    <t>Dipeptidyl peptidase 4 (DPP4) inhibitor; Sodium-glucose cotransporter 2 (SGLT2) inhibitor</t>
  </si>
  <si>
    <t>Sanofi</t>
  </si>
  <si>
    <t>insulin glargine</t>
  </si>
  <si>
    <t>Tradjenta</t>
  </si>
  <si>
    <t>linagliptin</t>
  </si>
  <si>
    <t>Dipeptidyl peptidase 4 (DPP4) inhibitor</t>
  </si>
  <si>
    <t>insulin lispro</t>
  </si>
  <si>
    <t>Toujeo</t>
  </si>
  <si>
    <t>NovoMix 30</t>
  </si>
  <si>
    <t>insulin aspart; insulin aspart protamine</t>
  </si>
  <si>
    <t>15</t>
  </si>
  <si>
    <t>Xultophy</t>
  </si>
  <si>
    <t>insulin degludec; liraglutide</t>
  </si>
  <si>
    <t>Glucagon-like peptide 1 (GLP-1) receptor agonist; Insulin receptor (InsR) agonist</t>
  </si>
  <si>
    <t>16</t>
  </si>
  <si>
    <t>Basaglar</t>
  </si>
  <si>
    <t>17</t>
  </si>
  <si>
    <t>Humulin R</t>
  </si>
  <si>
    <t>insulin (human)</t>
  </si>
  <si>
    <t>18</t>
  </si>
  <si>
    <t>Human insulin &amp; devices</t>
  </si>
  <si>
    <t>19</t>
  </si>
  <si>
    <t>insulin detemir</t>
  </si>
  <si>
    <t>20</t>
  </si>
  <si>
    <t>Glucophage</t>
  </si>
  <si>
    <t>metformin hydrochloride</t>
  </si>
  <si>
    <t>5'-AMP-activated protein kinase inducer subunit beta-1 inducer</t>
  </si>
  <si>
    <t>21</t>
  </si>
  <si>
    <t>canagliflozin</t>
  </si>
  <si>
    <t>22</t>
  </si>
  <si>
    <t>Precose</t>
  </si>
  <si>
    <t>Bayer</t>
  </si>
  <si>
    <t>acarbose</t>
  </si>
  <si>
    <t>Alpha-glucosidase inhibitor</t>
  </si>
  <si>
    <t>23</t>
  </si>
  <si>
    <t>Januvia</t>
  </si>
  <si>
    <t>Merck &amp; Co</t>
  </si>
  <si>
    <t>sitagliptin phosphate</t>
  </si>
  <si>
    <t>24</t>
  </si>
  <si>
    <t>Soliqua 100/33</t>
  </si>
  <si>
    <t>insulin glargine; lixisenatide</t>
  </si>
  <si>
    <t>25</t>
  </si>
  <si>
    <t>Janumet</t>
  </si>
  <si>
    <t>metformin hydrochloride; sitagliptin phosphate</t>
  </si>
  <si>
    <t>Dipeptidyl peptidase 4 (DPP4) inhibitor; 5'-AMP-activated protein kinase inducer subunit beta-1 inducer</t>
  </si>
  <si>
    <t>26</t>
  </si>
  <si>
    <t>Fiasp</t>
  </si>
  <si>
    <t>27</t>
  </si>
  <si>
    <t>exenatide synthetic</t>
  </si>
  <si>
    <t>28</t>
  </si>
  <si>
    <t>Steglujan</t>
  </si>
  <si>
    <t>ertugliflozin; sitagliptin phosphate</t>
  </si>
  <si>
    <t>29</t>
  </si>
  <si>
    <t>Steglatro</t>
  </si>
  <si>
    <t>ertugliflozin</t>
  </si>
  <si>
    <t>30</t>
  </si>
  <si>
    <t>Nesina</t>
  </si>
  <si>
    <t>alogliptin benzoate</t>
  </si>
  <si>
    <t>31</t>
  </si>
  <si>
    <t>Galvus</t>
  </si>
  <si>
    <t>Novartis</t>
  </si>
  <si>
    <t>vildagliptin</t>
  </si>
  <si>
    <t>32</t>
  </si>
  <si>
    <t>Diamicron</t>
  </si>
  <si>
    <t>Les Laboratoires Servier</t>
  </si>
  <si>
    <t>gliclazide</t>
  </si>
  <si>
    <t>ATP-sensitive inward rectifier potassium channel 1 blocker</t>
  </si>
  <si>
    <t>33</t>
  </si>
  <si>
    <t>Insulin Analogues</t>
  </si>
  <si>
    <t>insulin</t>
  </si>
  <si>
    <t>34</t>
  </si>
  <si>
    <t>Ryzodeg</t>
  </si>
  <si>
    <t>insulin aspart; insulin degludec</t>
  </si>
  <si>
    <t>35</t>
  </si>
  <si>
    <t>Amaryl</t>
  </si>
  <si>
    <t>glimepiride</t>
  </si>
  <si>
    <t>36</t>
  </si>
  <si>
    <t>Onglyza</t>
  </si>
  <si>
    <t>saxagliptin hydrochloride</t>
  </si>
  <si>
    <t>37</t>
  </si>
  <si>
    <t>insulin glulisine</t>
  </si>
  <si>
    <t>38</t>
  </si>
  <si>
    <t>Zafatek</t>
  </si>
  <si>
    <t>trelagliptin succinate</t>
  </si>
  <si>
    <t>39</t>
  </si>
  <si>
    <t>Qtern</t>
  </si>
  <si>
    <t>dapagliflozin; saxagliptin</t>
  </si>
  <si>
    <t>40</t>
  </si>
  <si>
    <t>Canalia</t>
  </si>
  <si>
    <t>Daiichi Sankyo</t>
  </si>
  <si>
    <t>canagliflozin; teneligliptin hydrobromide</t>
  </si>
  <si>
    <t>41</t>
  </si>
  <si>
    <t>Suglat</t>
  </si>
  <si>
    <t>Astellas Pharma</t>
  </si>
  <si>
    <t>ipragliflozin L-proline</t>
  </si>
  <si>
    <t>42</t>
  </si>
  <si>
    <t>Zynquista</t>
  </si>
  <si>
    <t>sotagliflozin</t>
  </si>
  <si>
    <t>Sodium-glucose cotransporter 1 (SGLT1) inhibitor; Sodium-glucose cotransporter 2 (SGLT2) inhibitor</t>
  </si>
  <si>
    <t>43</t>
  </si>
  <si>
    <t>Ono Pharmaceutical</t>
  </si>
  <si>
    <t>44</t>
  </si>
  <si>
    <t>45</t>
  </si>
  <si>
    <t>ORMD 0801</t>
  </si>
  <si>
    <t>Oramed Pharmaceuticals</t>
  </si>
  <si>
    <t>46</t>
  </si>
  <si>
    <t>Lusefi</t>
  </si>
  <si>
    <t>Taisho Pharmaceutical Holdings</t>
  </si>
  <si>
    <t>luseogliflozin</t>
  </si>
  <si>
    <t>47</t>
  </si>
  <si>
    <t>Adlyxin</t>
  </si>
  <si>
    <t>lixisenatide</t>
  </si>
  <si>
    <t>48</t>
  </si>
  <si>
    <t>Tenelia</t>
  </si>
  <si>
    <t>teneligliptin hydrobromide</t>
  </si>
  <si>
    <t>49</t>
  </si>
  <si>
    <t>Handok</t>
  </si>
  <si>
    <t>50</t>
  </si>
  <si>
    <t>51</t>
  </si>
  <si>
    <t>3SBio</t>
  </si>
  <si>
    <t>52</t>
  </si>
  <si>
    <t>Prandin</t>
  </si>
  <si>
    <t>repaglinide</t>
  </si>
  <si>
    <t>ATP-binding cassette sub-family C member 8 inhibitor</t>
  </si>
  <si>
    <t>53</t>
  </si>
  <si>
    <t>Kyowa Hakko Kirin</t>
  </si>
  <si>
    <t>54</t>
  </si>
  <si>
    <t>Starlix</t>
  </si>
  <si>
    <t>nateglinide</t>
  </si>
  <si>
    <t>55</t>
  </si>
  <si>
    <t>Glumetza</t>
  </si>
  <si>
    <t>Bausch Health Companies</t>
  </si>
  <si>
    <t>56</t>
  </si>
  <si>
    <t>Insuman</t>
  </si>
  <si>
    <t>57</t>
  </si>
  <si>
    <t>58</t>
  </si>
  <si>
    <t>Symlin</t>
  </si>
  <si>
    <t>pramlintide acetate</t>
  </si>
  <si>
    <t>Amylin receptor agonist</t>
  </si>
  <si>
    <t>59</t>
  </si>
  <si>
    <t>Glucotrol XL</t>
  </si>
  <si>
    <t>Pfizer</t>
  </si>
  <si>
    <t>glipizide</t>
  </si>
  <si>
    <t>60</t>
  </si>
  <si>
    <t>Glubase</t>
  </si>
  <si>
    <t>Kissei Pharmaceutical</t>
  </si>
  <si>
    <t>mitiglinide calcium; voglibose</t>
  </si>
  <si>
    <t>ATP-binding cassette sub-family C member 8 inhibitor; Alpha-glucosidase inhibitor</t>
  </si>
  <si>
    <t>61</t>
  </si>
  <si>
    <t>Almirall</t>
  </si>
  <si>
    <t>62</t>
  </si>
  <si>
    <t>63</t>
  </si>
  <si>
    <t>Metformin Hydrochloride</t>
  </si>
  <si>
    <t>Mylan</t>
  </si>
  <si>
    <t>64</t>
  </si>
  <si>
    <t>Imeglimin</t>
  </si>
  <si>
    <t>imeglimin</t>
  </si>
  <si>
    <t>Mitochondrial oxidative phosphorylation (OXPHOS) inhibitor</t>
  </si>
  <si>
    <t>65</t>
  </si>
  <si>
    <t>Glyset</t>
  </si>
  <si>
    <t>Suzuken Group</t>
  </si>
  <si>
    <t>miglitol</t>
  </si>
  <si>
    <t>66</t>
  </si>
  <si>
    <t>Zemiglo</t>
  </si>
  <si>
    <t>LG Chem</t>
  </si>
  <si>
    <t>gemigliptin</t>
  </si>
  <si>
    <t>67</t>
  </si>
  <si>
    <t>Exenatide Synthetic</t>
  </si>
  <si>
    <t>Amneal Pharmaceuticals</t>
  </si>
  <si>
    <t>Filed</t>
  </si>
  <si>
    <t>68</t>
  </si>
  <si>
    <t>IONIS-PTP1BRx</t>
  </si>
  <si>
    <t>Undisclosed Partner Sales</t>
  </si>
  <si>
    <t>Protein tyrosine phosphatase (PTP) 1B inhibitor</t>
  </si>
  <si>
    <t>=68</t>
  </si>
  <si>
    <t>IONIS-GCGRRx</t>
  </si>
  <si>
    <t>Glucagon receptor (GCGR) antisense</t>
  </si>
  <si>
    <t>70</t>
  </si>
  <si>
    <t>Glimepiride</t>
  </si>
  <si>
    <t>Eris Lifesciences</t>
  </si>
  <si>
    <t>71</t>
  </si>
  <si>
    <t>Bristol-Myers Squibb</t>
  </si>
  <si>
    <t>72</t>
  </si>
  <si>
    <t>Actos</t>
  </si>
  <si>
    <t>pioglitazone hydrochloride</t>
  </si>
  <si>
    <t>Peroxisome proliferator-activated receptor gamma (PPAR-gamma) agonist</t>
  </si>
  <si>
    <t>73</t>
  </si>
  <si>
    <t>ORMD-0901</t>
  </si>
  <si>
    <t>exenatide</t>
  </si>
  <si>
    <t>74</t>
  </si>
  <si>
    <t>Pioglitazone Hydrochloride</t>
  </si>
  <si>
    <t>75</t>
  </si>
  <si>
    <t>76</t>
  </si>
  <si>
    <t>Teva Pharmaceutical Industries</t>
  </si>
  <si>
    <t>77</t>
  </si>
  <si>
    <t>Daewoong Pharmaceutical</t>
  </si>
  <si>
    <t>78</t>
  </si>
  <si>
    <t>79</t>
  </si>
  <si>
    <t>SHR3824</t>
  </si>
  <si>
    <t>Jiangsu Hengrui Medicine</t>
  </si>
  <si>
    <t>henagliflozin</t>
  </si>
  <si>
    <t>80</t>
  </si>
  <si>
    <t>Taibai</t>
  </si>
  <si>
    <t>Sino Biopharmaceutical</t>
  </si>
  <si>
    <t>81</t>
  </si>
  <si>
    <t>Glufast</t>
  </si>
  <si>
    <t>mitiglinide calcium</t>
  </si>
  <si>
    <t>82</t>
  </si>
  <si>
    <t>Lupin</t>
  </si>
  <si>
    <t>83</t>
  </si>
  <si>
    <t>Voglibose</t>
  </si>
  <si>
    <t>Towa Pharmaceutical</t>
  </si>
  <si>
    <t>voglibose</t>
  </si>
  <si>
    <t>84</t>
  </si>
  <si>
    <t>85</t>
  </si>
  <si>
    <t>86</t>
  </si>
  <si>
    <t>87</t>
  </si>
  <si>
    <t>Hanmi Pharmaceutical</t>
  </si>
  <si>
    <t>88</t>
  </si>
  <si>
    <t>89</t>
  </si>
  <si>
    <t>Ultra-Rapid Insulin</t>
  </si>
  <si>
    <t>90</t>
  </si>
  <si>
    <t>91</t>
  </si>
  <si>
    <t>Metformin Hydrochloride; Pioglitazone Hydrochloride</t>
  </si>
  <si>
    <t>metformin hydrochloride; pioglitazone hydrochloride</t>
  </si>
  <si>
    <t>Peroxisome proliferator-activated receptor gamma (PPAR-gamma) agonist; 5'-AMP-activated protein kinase inducer subunit beta-1 inducer</t>
  </si>
  <si>
    <t>92</t>
  </si>
  <si>
    <t>93</t>
  </si>
  <si>
    <t>Tanzeum</t>
  </si>
  <si>
    <t>albiglutide</t>
  </si>
  <si>
    <t>94</t>
  </si>
  <si>
    <t>Teneligliptin</t>
  </si>
  <si>
    <t>teneligliptin</t>
  </si>
  <si>
    <t>95</t>
  </si>
  <si>
    <t>Nippon Chemiphar</t>
  </si>
  <si>
    <t>96</t>
  </si>
  <si>
    <t>Gliclazide</t>
  </si>
  <si>
    <t>Dr. Reddy's Laboratories</t>
  </si>
  <si>
    <t>97</t>
  </si>
  <si>
    <t>98</t>
  </si>
  <si>
    <t>Mochida Pharmaceutical</t>
  </si>
  <si>
    <t>99</t>
  </si>
  <si>
    <t>Dong-A ST</t>
  </si>
  <si>
    <t>100</t>
  </si>
  <si>
    <t>Riomet</t>
  </si>
  <si>
    <t>Sun Pharmaceutical Industries</t>
  </si>
  <si>
    <t>101</t>
  </si>
  <si>
    <t>Saxagliptin Hydrochloride</t>
  </si>
  <si>
    <t>=101</t>
  </si>
  <si>
    <t>103</t>
  </si>
  <si>
    <t>104</t>
  </si>
  <si>
    <t>105</t>
  </si>
  <si>
    <t>Glimepiride; Pioglitazone Hydrochloride</t>
  </si>
  <si>
    <t>glimepiride; pioglitazone hydrochloride</t>
  </si>
  <si>
    <t>ATP-sensitive inward rectifier potassium channel 1 blocker; Peroxisome proliferator-activated receptor gamma (PPAR-gamma) agonist</t>
  </si>
  <si>
    <t>106</t>
  </si>
  <si>
    <t>Melbin</t>
  </si>
  <si>
    <t>107</t>
  </si>
  <si>
    <t>Glipizide</t>
  </si>
  <si>
    <t>108</t>
  </si>
  <si>
    <t>109</t>
  </si>
  <si>
    <t>110</t>
  </si>
  <si>
    <t>Sugardown</t>
  </si>
  <si>
    <t>Boston Therapeutics</t>
  </si>
  <si>
    <t>mannan</t>
  </si>
  <si>
    <t>Carbohydrate hydrolysing enzyme (CHE) inhibitor</t>
  </si>
  <si>
    <t>Abbott Laboratories</t>
  </si>
  <si>
    <t>Glucophage XR</t>
  </si>
  <si>
    <t>Kombiglyze XR</t>
  </si>
  <si>
    <t>metformin hydrochloride; saxagliptin</t>
  </si>
  <si>
    <t>Disposed - Marketed</t>
  </si>
  <si>
    <t>Juvisync</t>
  </si>
  <si>
    <t>simvastatin; sitagliptin phosphate</t>
  </si>
  <si>
    <t>Dipeptidyl peptidase 4 (DPP4) inhibitor; HMG-CoA reductase inhibitor</t>
  </si>
  <si>
    <t>ACTOplus met XR</t>
  </si>
  <si>
    <t>ACTOplus met</t>
  </si>
  <si>
    <t>Oseni</t>
  </si>
  <si>
    <t>alogliptin benzoate; pioglitazone hydrochloride</t>
  </si>
  <si>
    <t>Dipeptidyl peptidase 4 (DPP4) inhibitor; Peroxisome proliferator-activated receptor gamma (PPAR-gamma) agonist</t>
  </si>
  <si>
    <t>Amylin Pharmaceuticals</t>
  </si>
  <si>
    <t>Transferred (M&amp;A) - Marketed</t>
  </si>
  <si>
    <t>Avandia</t>
  </si>
  <si>
    <t>rosiglitazone maleate</t>
  </si>
  <si>
    <t>Avandamet</t>
  </si>
  <si>
    <t>metformin hydrochloride; rosiglitazone maleate</t>
  </si>
  <si>
    <t>Avandaryl</t>
  </si>
  <si>
    <t>glimepiride; rosiglitazone maleate</t>
  </si>
  <si>
    <t>Metformin Hydrochloride; Sitagliptin Phosphate</t>
  </si>
  <si>
    <t>Egis Pharmaceuticals</t>
  </si>
  <si>
    <t>Glyburide; Metformin Hydrochloride</t>
  </si>
  <si>
    <t>Par Pharmaceutical Companies</t>
  </si>
  <si>
    <t>glyburide; metformin hydrochloride</t>
  </si>
  <si>
    <t>ATP-sensitive inward rectifier potassium channel 1 blocker; 5'-AMP-activated protein kinase inducer subunit beta-1 inducer</t>
  </si>
  <si>
    <t>Nateglinide</t>
  </si>
  <si>
    <t>Ranbaxy Laboratories</t>
  </si>
  <si>
    <t>Depomed</t>
  </si>
  <si>
    <t>Salix Pharmaceuticals</t>
  </si>
  <si>
    <t>Cycloset</t>
  </si>
  <si>
    <t>bromocriptine mesylate</t>
  </si>
  <si>
    <t>Dopamine receptor agonist</t>
  </si>
  <si>
    <t>Sigma-Tau Group</t>
  </si>
  <si>
    <t>Santarus</t>
  </si>
  <si>
    <t>Glimepiride; Metformin Hydrochloride</t>
  </si>
  <si>
    <t>glimepiride; metformin hydrochloride</t>
  </si>
  <si>
    <t>Dong-A Socio Holdings</t>
  </si>
  <si>
    <t>Afrezza</t>
  </si>
  <si>
    <t>Diabetes</t>
  </si>
  <si>
    <t>Diabetes, type II (maturity onset)</t>
  </si>
  <si>
    <t>Metformin</t>
  </si>
  <si>
    <t>Sulfonylureas and non-sulfonylureas</t>
  </si>
  <si>
    <t>Thiazolidinediones</t>
  </si>
  <si>
    <t>GLP-1 receptor agonists</t>
  </si>
  <si>
    <t>DPP-4 inhibitors</t>
  </si>
  <si>
    <t xml:space="preserve">SGLT-2 inhibitors </t>
  </si>
  <si>
    <t>Novel MOA</t>
  </si>
  <si>
    <t>Summary of Diabetes Drug Worldwide Forecasts</t>
  </si>
  <si>
    <t>Total Diabetes Drug Sales</t>
  </si>
  <si>
    <t> Microbiome Engineering </t>
  </si>
  <si>
    <t>Microbiome Drug Discovery</t>
  </si>
  <si>
    <t>Neurological Disorder</t>
  </si>
  <si>
    <r>
      <t xml:space="preserve">
NASH
</t>
    </r>
    <r>
      <rPr>
        <sz val="18"/>
        <color rgb="FF0F3F76"/>
        <rFont val="Arial"/>
        <family val="2"/>
      </rPr>
      <t xml:space="preserve">Global
</t>
    </r>
  </si>
  <si>
    <t>Market Forecast (2012-2017)</t>
  </si>
  <si>
    <t>CAGR %</t>
  </si>
  <si>
    <t>6 Major Markets</t>
  </si>
  <si>
    <t>5EU</t>
  </si>
  <si>
    <t>UK</t>
  </si>
  <si>
    <t>Vitamin E</t>
  </si>
  <si>
    <t>Pioglitazone</t>
  </si>
  <si>
    <t>GFT505</t>
  </si>
  <si>
    <t>OCA</t>
  </si>
  <si>
    <t>Total Population - 6 Major Markets</t>
  </si>
  <si>
    <t>Diagnosed Prevalence</t>
  </si>
  <si>
    <t>Hepatic disorders</t>
  </si>
  <si>
    <t xml:space="preserve">  Nonalcoholic steatohepatitis (NASH)</t>
  </si>
  <si>
    <t>Ocaliva</t>
  </si>
  <si>
    <t>Intercept Pharmaceuticals</t>
  </si>
  <si>
    <t>obeticholic acid</t>
  </si>
  <si>
    <t>Bile acid receptor agonist</t>
  </si>
  <si>
    <t>Elafibranor</t>
  </si>
  <si>
    <t>GENFIT</t>
  </si>
  <si>
    <t>elafibranor</t>
  </si>
  <si>
    <t>Peroxisome proliferator-activated receptor alpha (PPAR-alpha) agonist; Peroxisome proliferator-activated receptor delta (PPAR-delta) agonist</t>
  </si>
  <si>
    <t>MGL-3196</t>
  </si>
  <si>
    <t>Madrigal Pharmaceuticals</t>
  </si>
  <si>
    <t>Thyroid hormone receptor agonist</t>
  </si>
  <si>
    <t>GR-MD-02</t>
  </si>
  <si>
    <t>Galectin Therapeutics</t>
  </si>
  <si>
    <t>Galectin-3 inhibitor</t>
  </si>
  <si>
    <t>MN-001</t>
  </si>
  <si>
    <t>tipelukast</t>
  </si>
  <si>
    <t>Leukotriene (LT) receptor antagonist; 5-lipoxygenase (5-LO) inhibitor; Phosphodiesterase 3 (PDE3) inhibitor; Phosphodiesterase 4 (PDE4) inhibitor</t>
  </si>
  <si>
    <t>IMM-124E</t>
  </si>
  <si>
    <t>colostrum (bovine)</t>
  </si>
  <si>
    <t>Lipopolysaccharide antibody</t>
  </si>
  <si>
    <t>SHP626</t>
  </si>
  <si>
    <t>Shire</t>
  </si>
  <si>
    <t>volixibat potassium</t>
  </si>
  <si>
    <t>Apical sodium dependent bile acid transporter (ASBT) inhibitor</t>
  </si>
  <si>
    <t>Aramchol</t>
  </si>
  <si>
    <t>Galmed Pharmaceuticals</t>
  </si>
  <si>
    <t>arachidyl amido cholanoic acid</t>
  </si>
  <si>
    <t>Seladelpar</t>
  </si>
  <si>
    <t>CymaBay Therapeutics</t>
  </si>
  <si>
    <t>seladelpar</t>
  </si>
  <si>
    <t>Peroxisome proliferator-activated receptor delta (PPAR-delta) agonist</t>
  </si>
  <si>
    <t>EDP-305</t>
  </si>
  <si>
    <t>Enanta Pharmaceuticals</t>
  </si>
  <si>
    <t>GKT831</t>
  </si>
  <si>
    <t>Genkyotex</t>
  </si>
  <si>
    <t>NADPH oxidase 1 (NOX1) inhibitor; NADPH oxidase 4 (NOX4) inhibitor</t>
  </si>
  <si>
    <t>Pre-clinical</t>
  </si>
  <si>
    <t>Gemcabene</t>
  </si>
  <si>
    <t>gemcabene calcium</t>
  </si>
  <si>
    <t>Acetyl CoA carboxylase (ACC) inhibitor</t>
  </si>
  <si>
    <t>Hepatic &amp; biliary</t>
  </si>
  <si>
    <t>Nonalcoholic steatohepatitis (NASH)</t>
  </si>
  <si>
    <t>Combination Therapy</t>
  </si>
  <si>
    <t xml:space="preserve">Anorexigants (Amphetamine-Like Analogs) </t>
  </si>
  <si>
    <t>Souce: GlobalData, Obesity - Global drug forecast and market analysis to 2022, dated October 2013.</t>
  </si>
  <si>
    <t>EvaluatePharma Research (2)</t>
  </si>
  <si>
    <t>Souce: EvaluatePharma, accessed on July 17, 2018.</t>
  </si>
  <si>
    <t>Human Insulin &amp; Devices</t>
  </si>
  <si>
    <t>Decreasing sales trend</t>
  </si>
  <si>
    <t>Long acting insulin</t>
  </si>
  <si>
    <t>Long acting basal insulin analogue</t>
  </si>
  <si>
    <t xml:space="preserve">Oral medication - dipeptidyl peptidase-4 inhibitor </t>
  </si>
  <si>
    <t>Fast acting insulin analog</t>
  </si>
  <si>
    <t>Rapid acting insulin</t>
  </si>
  <si>
    <t>GLP-1 receptor</t>
  </si>
  <si>
    <t>Insulin Human Recombinant</t>
  </si>
  <si>
    <t>Insulin</t>
  </si>
  <si>
    <t>gliflozin class drug</t>
  </si>
  <si>
    <t>Souce: GlobalData, Type 2 Diabetes - Global drug forecast and market analysis to 2022, dated January 2014.</t>
  </si>
  <si>
    <t>Souce: EvaluatePharma, accessed on August 10, 2018.</t>
  </si>
  <si>
    <t>RNA excluded insulin and insulin analogs considering the mature stage and declining sales trend. The drugs which were not considered for the purpose of this analysis are highlighted in blue.</t>
  </si>
  <si>
    <t>Summary of NASH Drug Worldwide Forecasts</t>
  </si>
  <si>
    <t>As of the Valuation Date, these products were in Phase II clinical development.</t>
  </si>
  <si>
    <t>As of the Valuation Date, these products were in preclinical development.</t>
  </si>
  <si>
    <t>Hardcoded</t>
  </si>
  <si>
    <t>Souce: GlobalData, NASH - Global drug forecast and market analysis to 2017, dated September 2013.</t>
  </si>
  <si>
    <t>Souce: EvaluatePharma, accessed on August 13, 2018.</t>
  </si>
  <si>
    <t>Capital structure weighting for NOVO Nordisk A/S, as well as company-specific considerations.</t>
  </si>
  <si>
    <t>Quarterly Research Payments</t>
  </si>
  <si>
    <t>Last Quarterly Payment (1)</t>
  </si>
  <si>
    <t>Adjusted Pre-Tax Cost of Debt</t>
  </si>
  <si>
    <t>Applied Probabilities - Obesity</t>
  </si>
  <si>
    <t>Regulatory Approval FDA/EMA/JP</t>
  </si>
  <si>
    <t>Applied Probabilities - Diabetes</t>
  </si>
  <si>
    <t>Average Probabilities -Metabolic and Endocrine</t>
  </si>
  <si>
    <t>Average Probabilities - Gastrointestinal</t>
  </si>
  <si>
    <t>Country</t>
  </si>
  <si>
    <t>Africa</t>
  </si>
  <si>
    <t>Moody's rating</t>
  </si>
  <si>
    <t>Rating-based Default Spread</t>
  </si>
  <si>
    <t>Abu Dhabi</t>
  </si>
  <si>
    <t>Middle East</t>
  </si>
  <si>
    <t>Aa2</t>
  </si>
  <si>
    <t>Albania</t>
  </si>
  <si>
    <t>Eastern Europe &amp; Russia</t>
  </si>
  <si>
    <t>B1</t>
  </si>
  <si>
    <t>Andorra (Principality of)</t>
  </si>
  <si>
    <t>Western Europe</t>
  </si>
  <si>
    <t>Baa2</t>
  </si>
  <si>
    <t>Angola</t>
  </si>
  <si>
    <t>B2</t>
  </si>
  <si>
    <t>Argentina</t>
  </si>
  <si>
    <t>Central and South America</t>
  </si>
  <si>
    <t>Armenia</t>
  </si>
  <si>
    <t>Aruba</t>
  </si>
  <si>
    <t>Caribbean</t>
  </si>
  <si>
    <t>Baa1</t>
  </si>
  <si>
    <t>Australia</t>
  </si>
  <si>
    <t>Australia &amp; New Zealand</t>
  </si>
  <si>
    <t>Aaa</t>
  </si>
  <si>
    <t>Austria</t>
  </si>
  <si>
    <t>Aa1</t>
  </si>
  <si>
    <t>Azerbaijan</t>
  </si>
  <si>
    <t>Ba2</t>
  </si>
  <si>
    <t>Bahamas</t>
  </si>
  <si>
    <t>Baa3</t>
  </si>
  <si>
    <t>Bahrain</t>
  </si>
  <si>
    <t>Bangladesh</t>
  </si>
  <si>
    <t>Asia</t>
  </si>
  <si>
    <t>Ba3</t>
  </si>
  <si>
    <t>Barbados</t>
  </si>
  <si>
    <t>Caa3</t>
  </si>
  <si>
    <t>Belarus</t>
  </si>
  <si>
    <t>Caa1</t>
  </si>
  <si>
    <t>Belgium</t>
  </si>
  <si>
    <t>Aa3</t>
  </si>
  <si>
    <t>Belize</t>
  </si>
  <si>
    <t>B3</t>
  </si>
  <si>
    <t>Bermuda</t>
  </si>
  <si>
    <t>A2</t>
  </si>
  <si>
    <t>Bolivia</t>
  </si>
  <si>
    <t>Bosnia and Herzegovina</t>
  </si>
  <si>
    <t>Botswana</t>
  </si>
  <si>
    <t>Bulgaria</t>
  </si>
  <si>
    <t>Burkina Faso</t>
  </si>
  <si>
    <t>Cambodia</t>
  </si>
  <si>
    <t>Cameroon</t>
  </si>
  <si>
    <t>North America</t>
  </si>
  <si>
    <t>Cayman Islands</t>
  </si>
  <si>
    <t>Cape Verde</t>
  </si>
  <si>
    <t>Chile</t>
  </si>
  <si>
    <t>A1</t>
  </si>
  <si>
    <t>Colombia</t>
  </si>
  <si>
    <t>Congo (Democratic Republic of)</t>
  </si>
  <si>
    <t>Congo (Republic of)</t>
  </si>
  <si>
    <t>Caa2</t>
  </si>
  <si>
    <t>Cook Islands</t>
  </si>
  <si>
    <t>Costa Rica</t>
  </si>
  <si>
    <t>Côte d'Ivoire</t>
  </si>
  <si>
    <t>Croatia</t>
  </si>
  <si>
    <t>Cuba</t>
  </si>
  <si>
    <t>Curacao</t>
  </si>
  <si>
    <t>A3</t>
  </si>
  <si>
    <t>Cyprus</t>
  </si>
  <si>
    <t>Czech Republic</t>
  </si>
  <si>
    <t>Denmark</t>
  </si>
  <si>
    <t>Dominican Republic</t>
  </si>
  <si>
    <t>Ecuador</t>
  </si>
  <si>
    <t>Egypt</t>
  </si>
  <si>
    <t>El Salvador</t>
  </si>
  <si>
    <t>Estonia</t>
  </si>
  <si>
    <t>Ethiopia</t>
  </si>
  <si>
    <t>Fiji</t>
  </si>
  <si>
    <t>Finland</t>
  </si>
  <si>
    <t>Gabon</t>
  </si>
  <si>
    <t>Georgia</t>
  </si>
  <si>
    <t>Ghana</t>
  </si>
  <si>
    <t>Greece</t>
  </si>
  <si>
    <t>Guatemala</t>
  </si>
  <si>
    <t>Ba1</t>
  </si>
  <si>
    <t>Guernsey (States of)</t>
  </si>
  <si>
    <t>Honduras</t>
  </si>
  <si>
    <t>Hong Kong</t>
  </si>
  <si>
    <t>Hungary</t>
  </si>
  <si>
    <t>Iceland</t>
  </si>
  <si>
    <t>Indonesia</t>
  </si>
  <si>
    <t>Iraq</t>
  </si>
  <si>
    <t>Ireland</t>
  </si>
  <si>
    <t>Isle of Man</t>
  </si>
  <si>
    <t>Israel</t>
  </si>
  <si>
    <t>Jamaica</t>
  </si>
  <si>
    <t>Jersey (States of)</t>
  </si>
  <si>
    <t>Jordan</t>
  </si>
  <si>
    <t>Kazakhstan</t>
  </si>
  <si>
    <t>Kenya</t>
  </si>
  <si>
    <t>Korea</t>
  </si>
  <si>
    <t>Kuwait</t>
  </si>
  <si>
    <t>Kyrgyzstan</t>
  </si>
  <si>
    <t>Latvia</t>
  </si>
  <si>
    <t>Lebanon</t>
  </si>
  <si>
    <t>Liechtenstein</t>
  </si>
  <si>
    <t>Lithuania</t>
  </si>
  <si>
    <t>Luxembourg</t>
  </si>
  <si>
    <t>Macao</t>
  </si>
  <si>
    <t>Macedonia</t>
  </si>
  <si>
    <t>Malaysia</t>
  </si>
  <si>
    <t>Malta</t>
  </si>
  <si>
    <t>Mauritius</t>
  </si>
  <si>
    <t>Mexico</t>
  </si>
  <si>
    <t>Moldova</t>
  </si>
  <si>
    <t>Mongolia</t>
  </si>
  <si>
    <t>Montenegro</t>
  </si>
  <si>
    <t>Montserrat</t>
  </si>
  <si>
    <t>Morocco</t>
  </si>
  <si>
    <t>Mozambique</t>
  </si>
  <si>
    <t>Namibia</t>
  </si>
  <si>
    <t>Netherlands</t>
  </si>
  <si>
    <t>New Zealand</t>
  </si>
  <si>
    <t>Nicaragua</t>
  </si>
  <si>
    <t>Nigeria</t>
  </si>
  <si>
    <t>Norway</t>
  </si>
  <si>
    <t>Oman</t>
  </si>
  <si>
    <t>Pakistan</t>
  </si>
  <si>
    <t>Panama</t>
  </si>
  <si>
    <t>Papua New Guinea</t>
  </si>
  <si>
    <t>Paraguay</t>
  </si>
  <si>
    <t>Peru</t>
  </si>
  <si>
    <t>Philippines</t>
  </si>
  <si>
    <t>Poland</t>
  </si>
  <si>
    <t>Portugal</t>
  </si>
  <si>
    <t>Qatar</t>
  </si>
  <si>
    <t>Ras Al Khaimah (Emirate of)</t>
  </si>
  <si>
    <t>Romania</t>
  </si>
  <si>
    <t>Russia</t>
  </si>
  <si>
    <t>Rwanda</t>
  </si>
  <si>
    <t>Saudi Arabia</t>
  </si>
  <si>
    <t>Senegal</t>
  </si>
  <si>
    <t>Serbia</t>
  </si>
  <si>
    <t>Sharjah</t>
  </si>
  <si>
    <t>Singapore</t>
  </si>
  <si>
    <t>Slovakia</t>
  </si>
  <si>
    <t>Slovenia</t>
  </si>
  <si>
    <t>South Africa</t>
  </si>
  <si>
    <t>Sri Lanka</t>
  </si>
  <si>
    <t>St. Maarten</t>
  </si>
  <si>
    <t>St. Vincent &amp; the Grenadines</t>
  </si>
  <si>
    <t>Suriname</t>
  </si>
  <si>
    <t>Swaziland</t>
  </si>
  <si>
    <t>Sweden</t>
  </si>
  <si>
    <t>Switzerland</t>
  </si>
  <si>
    <t>Taiwan</t>
  </si>
  <si>
    <t>Tajikistan</t>
  </si>
  <si>
    <t>Thailand</t>
  </si>
  <si>
    <t>Trinidad and Tobago</t>
  </si>
  <si>
    <t>Tunisia</t>
  </si>
  <si>
    <t>Turkey</t>
  </si>
  <si>
    <t>Turks and Caicos Islands</t>
  </si>
  <si>
    <t>Uganda</t>
  </si>
  <si>
    <t>Ukraine</t>
  </si>
  <si>
    <t>United Arab Emirates</t>
  </si>
  <si>
    <t>Uruguay</t>
  </si>
  <si>
    <t>Venezuela</t>
  </si>
  <si>
    <t>Vietnam</t>
  </si>
  <si>
    <t>Zambia</t>
  </si>
  <si>
    <t>Algeria</t>
  </si>
  <si>
    <t>Brunei</t>
  </si>
  <si>
    <t>Gambia</t>
  </si>
  <si>
    <t>Guinea</t>
  </si>
  <si>
    <t>Guinea-Bissau</t>
  </si>
  <si>
    <t>Guyana</t>
  </si>
  <si>
    <t>Haiti</t>
  </si>
  <si>
    <t>Iran</t>
  </si>
  <si>
    <t>Korea, D.P.R.</t>
  </si>
  <si>
    <t>Liberia</t>
  </si>
  <si>
    <t>Libya</t>
  </si>
  <si>
    <t>Madagascar</t>
  </si>
  <si>
    <t>Malawi</t>
  </si>
  <si>
    <t>Mali</t>
  </si>
  <si>
    <t>Myanmar</t>
  </si>
  <si>
    <t>Niger</t>
  </si>
  <si>
    <t>Sierra Leone</t>
  </si>
  <si>
    <t>Somalia</t>
  </si>
  <si>
    <t>Sudan</t>
  </si>
  <si>
    <t>Syria</t>
  </si>
  <si>
    <t>Tanzania</t>
  </si>
  <si>
    <t>Togo</t>
  </si>
  <si>
    <t>Yemen, Republic</t>
  </si>
  <si>
    <t>Zimbabwe</t>
  </si>
  <si>
    <t>Based on 5 year look back unlevered beta of NOVO Nordisk A/S.</t>
  </si>
  <si>
    <t>Based on the Duff &amp; Phelps 2018 Valuation Handbook - 1st decile companies.</t>
  </si>
  <si>
    <t>Based on the risk related to early stage efforts for NOVO Nordisk A/S.</t>
  </si>
  <si>
    <t>rNPV Assumptions - Obesity</t>
  </si>
  <si>
    <t>rNPV Assumptions - Diabetes</t>
  </si>
  <si>
    <t>Indication #4</t>
  </si>
  <si>
    <t>Indication #5</t>
  </si>
  <si>
    <t>rNPV Assumptions - NASH</t>
  </si>
  <si>
    <t>rNPV Analysis - NASH</t>
  </si>
  <si>
    <t>Indication #6</t>
  </si>
  <si>
    <t>Additional risk factor for country risk premium for Netherlands, per Damodaran Studies.</t>
  </si>
  <si>
    <t>Issuer</t>
  </si>
  <si>
    <t>Security Type</t>
  </si>
  <si>
    <t>Ultimate Parent</t>
  </si>
  <si>
    <t>Seniority</t>
  </si>
  <si>
    <t>Capital IQ Trading ID</t>
  </si>
  <si>
    <t>Maturity Date</t>
  </si>
  <si>
    <t>Coupon</t>
  </si>
  <si>
    <t>Current YTW</t>
  </si>
  <si>
    <t>Offering YTM</t>
  </si>
  <si>
    <t>Price as of the Valuation Date ($)</t>
  </si>
  <si>
    <t>Offering Price ($)</t>
  </si>
  <si>
    <t>Offering Amt. ($ millions)</t>
  </si>
  <si>
    <t>Amt. Outstdg. ($mm)</t>
  </si>
  <si>
    <t>S&amp;P Rating</t>
  </si>
  <si>
    <t>S&amp;P Rating Date</t>
  </si>
  <si>
    <t>S&amp;P Action</t>
  </si>
  <si>
    <t>S&amp;P CreditWatch/Outlook</t>
  </si>
  <si>
    <t>Issued Currency</t>
  </si>
  <si>
    <t>Private Placement</t>
  </si>
  <si>
    <t>Coupon Type</t>
  </si>
  <si>
    <t>Interest Frequency</t>
  </si>
  <si>
    <t>Coupon Day Count Basis</t>
  </si>
  <si>
    <t>Ownership</t>
  </si>
  <si>
    <t>Dated Date</t>
  </si>
  <si>
    <t>First Coupon Date</t>
  </si>
  <si>
    <t>Last Coupon Date</t>
  </si>
  <si>
    <t>Next Call Date</t>
  </si>
  <si>
    <t>Call Price</t>
  </si>
  <si>
    <t>YTW as of the Valuation Date</t>
  </si>
  <si>
    <t>Credit Risk Premium</t>
  </si>
  <si>
    <t>Corporate Debentures</t>
  </si>
  <si>
    <t>AbbVie Inc. (NYSE:ABBV)</t>
  </si>
  <si>
    <t>Senior Unsecured</t>
  </si>
  <si>
    <t>IQT336601586</t>
  </si>
  <si>
    <t>A-</t>
  </si>
  <si>
    <t>New Rating</t>
  </si>
  <si>
    <t>False</t>
  </si>
  <si>
    <t>Fixed</t>
  </si>
  <si>
    <t>Semi-Annual</t>
  </si>
  <si>
    <t>30/360</t>
  </si>
  <si>
    <t>Book Entry</t>
  </si>
  <si>
    <t>IQT336601585</t>
  </si>
  <si>
    <t>IQT336267834</t>
  </si>
  <si>
    <t>IQT296353404</t>
  </si>
  <si>
    <t>Downgrade</t>
  </si>
  <si>
    <t>IQT296353403</t>
  </si>
  <si>
    <t>IQT296198261</t>
  </si>
  <si>
    <t>Amgen Inc.</t>
  </si>
  <si>
    <t>Amgen Inc. (NasdaqGS:AMGN)</t>
  </si>
  <si>
    <t>IQT542373546</t>
  </si>
  <si>
    <t>IQT337864609</t>
  </si>
  <si>
    <t>IQT337864607</t>
  </si>
  <si>
    <t>IQT379679000</t>
  </si>
  <si>
    <t>IQT366944213</t>
  </si>
  <si>
    <t>True</t>
  </si>
  <si>
    <t>IQT337864608</t>
  </si>
  <si>
    <t>IQT337864606</t>
  </si>
  <si>
    <t>IQT364995701</t>
  </si>
  <si>
    <t>IQT292805127</t>
  </si>
  <si>
    <t>IQT292805128</t>
  </si>
  <si>
    <t>Biogen Inc.</t>
  </si>
  <si>
    <t>Biogen Inc. (NasdaqGS:BIIB)</t>
  </si>
  <si>
    <t>IQT311222466</t>
  </si>
  <si>
    <t>IQT311222468</t>
  </si>
  <si>
    <t>Celgene Corporation (NasdaqGS:CELG)</t>
  </si>
  <si>
    <t>IQT552312642</t>
  </si>
  <si>
    <t>BBB+</t>
  </si>
  <si>
    <t>IQT552312643</t>
  </si>
  <si>
    <t>IQT542263273</t>
  </si>
  <si>
    <t>IQT542374665</t>
  </si>
  <si>
    <t>IQT308391930</t>
  </si>
  <si>
    <t>IQT308391932</t>
  </si>
  <si>
    <t>Eli Lilly and Company (NYSE:LLY)</t>
  </si>
  <si>
    <t>IQT429728649</t>
  </si>
  <si>
    <t>AA-</t>
  </si>
  <si>
    <t>IQT429728648</t>
  </si>
  <si>
    <t>IQT286059483</t>
  </si>
  <si>
    <t>IQT285957455</t>
  </si>
  <si>
    <t>Gilead Sciences, Inc.</t>
  </si>
  <si>
    <t>Gilead Sciences, Inc. (NasdaqGS:GILD)</t>
  </si>
  <si>
    <t>IQT384292156</t>
  </si>
  <si>
    <t>IQT384261314</t>
  </si>
  <si>
    <t>IQT384292155</t>
  </si>
  <si>
    <t>IQT311127351</t>
  </si>
  <si>
    <t>Upgrade</t>
  </si>
  <si>
    <t>IQT311127353</t>
  </si>
  <si>
    <t>IQT311127354</t>
  </si>
  <si>
    <t>Johnson &amp; Johnson (NYSE:JNJ)</t>
  </si>
  <si>
    <t>IQT543200710</t>
  </si>
  <si>
    <t>AAA</t>
  </si>
  <si>
    <t>IQT543200711</t>
  </si>
  <si>
    <t>IQT543200712</t>
  </si>
  <si>
    <t>IQT421942934</t>
  </si>
  <si>
    <t>IQT421942935</t>
  </si>
  <si>
    <t>IQT421942936</t>
  </si>
  <si>
    <t>IQT326709324</t>
  </si>
  <si>
    <t>IQT326709325</t>
  </si>
  <si>
    <t>IQT326709328</t>
  </si>
  <si>
    <t>Merck &amp; Co., Inc.</t>
  </si>
  <si>
    <t>Merck &amp; Co., Inc. (NYSE:MRK)</t>
  </si>
  <si>
    <t>IQT283817071</t>
  </si>
  <si>
    <t>AA</t>
  </si>
  <si>
    <t>IQT283817072</t>
  </si>
  <si>
    <t>Pfizer Inc. (NYSE:PFE)</t>
  </si>
  <si>
    <t>IQT432306984</t>
  </si>
  <si>
    <t>IQT409567610</t>
  </si>
  <si>
    <t>CIQ(F108, "IQ_YTW", $AK$6)/100</t>
  </si>
  <si>
    <t>IQT409567612</t>
  </si>
  <si>
    <t>CIQ(F109, "IQ_YTW", $AK$6)/100</t>
  </si>
  <si>
    <t>IQT409567613</t>
  </si>
  <si>
    <t>CIQ(F110, "IQ_YTW", $AK$6)/100</t>
  </si>
  <si>
    <t>IQT344609914</t>
  </si>
  <si>
    <t>IQT312148681</t>
  </si>
  <si>
    <t>Affirmed</t>
  </si>
  <si>
    <t>We have considered debentures with a duration of 10 years or more for the purpose of this analysis. Furthermore, we have only included offerings with positive credit risk premium.</t>
  </si>
  <si>
    <t>Source: CapitalIQ</t>
  </si>
  <si>
    <t>IQT430459914</t>
  </si>
  <si>
    <t>Variable</t>
  </si>
  <si>
    <t>Quarterly</t>
  </si>
  <si>
    <t>ACT/360</t>
  </si>
  <si>
    <t>IQT430459915</t>
  </si>
  <si>
    <t>IQT430123279</t>
  </si>
  <si>
    <t>IQT430459912</t>
  </si>
  <si>
    <t>IQT430459911</t>
  </si>
  <si>
    <t>IQT542263275</t>
  </si>
  <si>
    <t>IQT542263274</t>
  </si>
  <si>
    <t>IQT532949835</t>
  </si>
  <si>
    <t>IQT430307591</t>
  </si>
  <si>
    <t>IQT336489922</t>
  </si>
  <si>
    <t>CHF</t>
  </si>
  <si>
    <t>Annual</t>
  </si>
  <si>
    <t>Global Security</t>
  </si>
  <si>
    <t>IQT338228100</t>
  </si>
  <si>
    <t>Zero</t>
  </si>
  <si>
    <t>IQT336491112</t>
  </si>
  <si>
    <t>IQT422380003</t>
  </si>
  <si>
    <t>IQT327014575</t>
  </si>
  <si>
    <t>IQT327305343</t>
  </si>
  <si>
    <t>IQT327014576</t>
  </si>
  <si>
    <t>IQT326709323</t>
  </si>
  <si>
    <t>IQT541682442</t>
  </si>
  <si>
    <t>GBP</t>
  </si>
  <si>
    <t>ACT/365</t>
  </si>
  <si>
    <t>IQT547410612</t>
  </si>
  <si>
    <t>Combination</t>
  </si>
  <si>
    <t>IQT422214228</t>
  </si>
  <si>
    <t>EUR</t>
  </si>
  <si>
    <t>ACT/ACT</t>
  </si>
  <si>
    <t>IQT410871698</t>
  </si>
  <si>
    <t>IQT409953825</t>
  </si>
  <si>
    <t>rNPV Analysis - Diabetes</t>
  </si>
  <si>
    <t>YTW - Large Pharmaceuticals Companies</t>
  </si>
  <si>
    <t>Based on consideration of the yield-to-worst for large pharmaceutical companies as of the Valuation Date.</t>
  </si>
  <si>
    <r>
      <t xml:space="preserve">Amount </t>
    </r>
    <r>
      <rPr>
        <sz val="10"/>
        <color theme="1"/>
        <rFont val="Times New Roman"/>
        <family val="1"/>
      </rPr>
      <t>(3)</t>
    </r>
  </si>
  <si>
    <r>
      <t xml:space="preserve">Sales Milestone Payments </t>
    </r>
    <r>
      <rPr>
        <sz val="10"/>
        <color theme="0"/>
        <rFont val="Times New Roman"/>
        <family val="1"/>
      </rPr>
      <t>(3)</t>
    </r>
  </si>
  <si>
    <r>
      <t xml:space="preserve">Royalty Payments </t>
    </r>
    <r>
      <rPr>
        <sz val="10"/>
        <color theme="0"/>
        <rFont val="Times New Roman"/>
        <family val="1"/>
      </rPr>
      <t>(3)</t>
    </r>
  </si>
  <si>
    <t>Sales Milestone Payment (1)</t>
  </si>
  <si>
    <t>Royalty Payments (1)</t>
  </si>
  <si>
    <t>Applied Probabilities - NASH (9)</t>
  </si>
  <si>
    <t>(9)</t>
  </si>
  <si>
    <t>Average</t>
  </si>
  <si>
    <t>#REFRESH</t>
  </si>
  <si>
    <t>Whitebox Advisors, LLC; Whitebox Asymmetric Partners LP; Pernix Ireland Pain Limited; Whitebox Caja Blanca Fund, LP; 1992 Co-Invest Fund; 1992 Tactical Fund; 1992 Multi-Strategy Fund</t>
  </si>
  <si>
    <t>Substantially all of the assets of Orexigen Therapeutics, Inc.</t>
  </si>
  <si>
    <t>IQTR560250266</t>
  </si>
  <si>
    <t>Substantially all of the assets of Orexigen Therapeutics, Inc. comprises pharmaceutical product manufacturing business. The asset is located in the United States.</t>
  </si>
  <si>
    <t xml:space="preserve">Whitebox Asymmetric Partners LP, managed by Whitebox Advisors, LLC, Whitebox Caja Blanca Fund, LP, Pernix Ireland Pain Limited, 1992 Co-Invest Fund, 1992 Tactical Fund and 1992 Multi-Strategy Fund entered into an asset purchase agreement to acquire substantially all of the assets of Orexigen Therapeutics, Inc. (OTCPK:OREX.Q) for $75 million on April 23, 2018. Under the terms of the agreement, Orexigen will sell the world-wide rights to Contrave, a prescription-only, FDA-approved weight-loss medication, and certain other assets to the buyers. Pernix Therapeutics Holdings, Inc. (Pernix), parent of Pernix Ireland Pain Limited, would contribute 10% of the capital required to fund the purchase price, or $7.5 million, funded through a draw under its existing delayed draw term loan facility of $45 million. In addition, the term sheet agreement between Pernix and the investor group contemplates the issuance of two purchase options to Pernix to acquire up to 49.9% and 100% of the special purpose vehicle, formed to acquire Orexigen assets, at specified time periods and purchase prices. In case of termination, Orexigen will pay a termination fee of $3.5 million to Pernix Therapeutics._x000D_
_x000D_
The transaction is subject to higher and better offers and bankruptcy court approval. On June 22, 2018, Orexigen Therapeutics, Inc. notified the bankruptcy court that it did not receive any qualifying bids and it has selected the buyer as the designated purchaser. It had cancelled the auction and will seek the approval of sale to buyer and sale hearing is scheduled on June 28, 2018. As on June 28, 2018, Judge Kevin Gross of the U.S. Bankruptcy Court signed an order authorizing the sale of substantially all assets of Orexigen. The transaction is expected to close no later than July 13, 2018._x000D_
_x000D_
Christopher R. Donoho, III, Christopher R. Bryant and John D. Beck of Hogan Lovells US LLP and Robert J. Dehney, Andrew R.Remming, Jose F. Bibiloni of Morris, Nichols, Arsht &amp; Tunnell LLP acted as legal advisors to Orexigen. Brian Silver of Perella Weinberg Partners and Ernst &amp; Young LLP acted as financial advisors to Orexigen. Michael Davis and Cheryl Chan of Davis Polk &amp; Wardwell LLP and Robert J. Stark and Steven B. Levine of Brown Rudnick LLP acted as legal advisor to Whitebox Advisors, LLC, Whitebox Caja Blanca Fund, LP, Pernix Ireland Pain Limited, 1992 Co-Invest Fund, 1992 Tactical Fund and 1992 Multi-Strategy Fund._x000D_
</t>
  </si>
  <si>
    <t xml:space="preserve">Evelo Biosciences acquired Epiva Biosciences, Inc. from Flagship Ventures and other sellers on July 12, 2016. _x000D_
Noubar Afeyan, Ceo of Flagship Ventures will serve as chairman of Evelo Biosciences. Anil Jina, Senior Vice President and Head of Global Medical Affairs of Shire will serve as Chief Medical Officer at Evelo Biosciences. Jackie Papkoff, Vice President of Immunology will serve as Senior Vice President at Evelo. Mark Pruzanski, M.D., co-founder, CEO and President of Intercept Pharmaceuticals, Inc. and David Perry, CEO and President of Indigo Agriculture will join Chairman Noubar Afeyan, Ph.D., CEO Simba Gill, Ph.D., and co-founder David Berry, MD., Ph.D., on Evelo's Board of Directors. Derek Adams will continue to serve as Senior Vice President at Evelo._x000D_
</t>
  </si>
  <si>
    <t xml:space="preserve">Nexus BioPharma Corporation entered into an agreement of merger and plan of reorganization to acquire Nexus BioPharma, Inc. in a reverse merger transaction on May 17, 2016. Under the terms of the agreement, Nexus Biopharma will issue 5.271 shares and convertible promissory notes for each share in Nexus BioPharma. The convertible promissory notes will be converted to 35 million shares of Nexus Biopharma. The agreement may be terminated by the mutual consent of Nexus Biopharma, Inc. and Nexus BioPharma Corp, failure to perform in any respect of any of its agreements, material breach of any representations, warranties or covenants. Dexter Caliso will resign as Chief Executive Officer and President and Presentacion Coranes will resign as Chief Financial Officer, Chief Accounting Officer, Secretary, and Treasurer of Nexus BioPharma. Warren Lau will be Chief Executive Officer, Chief Financial Officer, President and Secretary. The transaction is subject to the delivery of the required audited and unaudited consolidated financial statements to the Nexus Biopharma, Inc, regulatory approvals, executed resignations of all officers and directors of Nexus Biopharma, Inc. delivery of necessary document on closing by each party, approval of 80% shareholders of Nexus BioPharma Corporation. The transaction was approved by the Board of Directors of Nexus Biopharma and Nexus BioPharma Corporation. The transaction is expected to close prior to September 30, 2016.
</t>
  </si>
  <si>
    <t xml:space="preserve">Acorda Therapeutics, Inc. (NasdaqGS:ACOR) entered into an agreement to acquire Biotie Therapies Corp. (HLSE:BTH1V) from its current shareholders through tender offer for approximately €330 million in cash on January 19, 2016. As part of consideration, Acorda offered €0.2946 in cash for each Outstanding Share, €23.5680 per ADS, €0.2946 minus the applicable subscription price in cash for each 2011 and 2014 option right, 2011 and 2014 share right in cash for Biotie Therapies shares listed in Helsinki and Nasdaq. The transaction also includes two other assets, viz. BTT1023 and royalties from sales of Selincro. As part of the transaction, Acorda plans to maintain the South San Francisco location of Biotie and retain Biotie staff at that site. Acorda has agreed to issue $75 million (€69.22 million) of common stock in a private placement transaction, parts of the proceeds will be used to fund the transaction. The closing of the private placement is expected to occur in January 2016. Acorda also received a commitment from JPMorgan Chase, N.A. for an asset-based loan facility for up to $60 million (€55.38 million). Biotie Therapies Corp. would be obligated to pay a termination fee of $4.5 million (€4.13 million) as compensation for Acorda's reasonable transaction costs if the combination agreement is terminated. If Acorda acquires all equity interests then Biotie Therapies will no longer remain public._x000D_
_x000D_
The transaction is unanimously approved by the Acorda’s as well as Biotie's board of directors and is subject to minimum tender of 90%, expiration or termination of any applicable waiting period under the Hart-Scott-Rodino Act and other customary closing conditions. The Board of Directors of Biotie has decided, by unanimous decision, to recommend that the holders of the ADSs, the Shares and the Equity Instruments accept the Offer and tender their Equity Interests pursuant to the Offer. The tender offer is expected to be completed in the first or second quarter of 2016, and the transaction is expected to be completed in the third quarter of 2016. As a part of transaction, if Acorda acquired more than 90% of the issued and outstanding Shares and voting rights in Biotie Therapies, then it will delist Biotie from Nasdaq Helsinki and Nasdaq US. Acorda will announce the preliminary result of the tender offer on or about the first (1st) finnish banking day following the expiry of the offer period. Biotie Therapies Corp. received information that the waiting period has expired. The tender offer is expected to commence in mid to late February 2016. As of March 3, 2016, Acorda Therapeutics the offer period is expected to commence by mid-March 2016. The offer is subject to approval by Finnish Financial Supervisory Authority and the US Securities and Exchange Commission. If at completion of any subsequent offer period or the initial offer period Acorda does not own 100% of the equity interests, by entering into subsequent compulsory redemption proceedings to redeem the remaining shares (including Shares represented by ADSs) in accordance with the Finnish Companies Act or, in the case of the outstanding Equity Instruments, pursuant to the terms and conditions of such Equity Instruments, or by using any other legally available alternative to reach 100% ownership of the Equity Interests. As on March 3, 2016, the draft tender offer has been filed for approval with the Finnish Financial Supervisory Authority and currently, the offer period is expected to commence by mid-March 2016. As of March 10, 2016, Finnish Financial Supervisory Authority approved the transaction. The tender offer will commence on March 16, 2016 till April 8, 2016. Pohjola Capital acts as the arranger of the offer. As of April 8, 2016, 92.37% stake has been tendered in the offer. In order to allow holders of equity interests who had not tendered their equity interests by April 8,2016 to accept the tender offer, the offeror has decided to commence a subsequent offer period in accordance with the terms and conditions of the tender offer. The final results of the subsequent tender offer will be announced on April 13, 2016._x000D_
_x000D_
Lazard Ltd. (NYSE:LAZ), MTS Health Partners, L.P. and J.P. Morgan Securities LLC acted as financial advisors, Daniel Wolf, Joshua Zachariah, Will Boothby, Silviu Pitis of Kirkland &amp; Ellis LLP, Paula Linna and Antti Ihamuotila of Roschier, Attorneys Ltd., Covington &amp; Burling LLP and Adriane Antler of Jones Day acted as legal advisors to Acorda Therapeutics, Inc. Guggenheim Securities, LLC acted as financial advisor to Biotie Therapies Corp while Michael Davis, Lee Hochbaum, Christopher M. Bezeg, Pritesh P. Shah, Kevin A. Bensley, Michael Mollerus, John T. Wright, Jessie M. Ferguson, Michael N. Sohn and Sophia Hudson of Davis Polk &amp; Wardwell LLP and Mikko Heinonen and Klaus Ilmonen of Hannes Snellman Attorneys Ltd. acted as legal advisors to Biotie Therapies Corp. Currency conversion is made through www.oanda.com on January 19, 2016. The transaction is expected to complete by June 19, 2016. Lazard and MTS will each receive a transaction fee of $1.48 million (EUR1.35 million) in connection with the consummation of the Tender Offer and Guggenheim Securities or its financial advisory services will receive approximately $6.0 million (EUR5.5 million) from Biotie._x000D_
</t>
  </si>
  <si>
    <t>4D pharma plc (AIM:DDDD) acquired Tucana Health Limited for £10.6 million on February 10, 2016. 4D pharma said it will issue up to a total of 1.4 million shares in the company to satisfy the acquisition, with 0.41 million shares to be issued immediately at a price of £755.0 pence per share. The remaining shares will only be issued once Tucana hits certain milestones. The work will be continue to be led by Fergus Shanahan and Paul O'Toole, the founders of Tucana Health. Dan Bate and Dominic Wilson of Zeus Capital Limited acted as financial advisors and brokers to 4D pharma.</t>
  </si>
  <si>
    <t xml:space="preserve">Vertical / Trigen Holdings LLC entered into a definitive agreement to acquire Osmotica Holdings Corp Limited on December 4, 2015. Post transaction the new company will be retain the name of Osmotica and will be jointly owned by the current owners of Vertical / Trigen Holdings LLC and Osmotica Pharmaceutical Corp. Brian Markison, currently Executive Chairman of Vertical / Trigen and Healthcare Industry Executive of Avista, will become Chief Executive Officer of new company. Praveen Tyle, Chief Executive Officer of Osmotica Holdings Corp Limited will become Chief Science Officer &amp; President of Science &amp; Technology of new company. Rodolfo Molina and Dung Nguyen of Jefferies LLC acted as financial advisor and Catherine Dargan, Peter Zern, Kyle Rabe, Isaac Wood, Rachel Beller, Daniel Nazar, Catherine Milne, Rob Heller, Seth Safra, Jason Levy, Mike Labson, James Dean, Miranda Cole, Clara Shin, Marienna Murch, Amy Toro and Zak Megeed of Covington &amp; Burling LLP acted as legal advisor for Osmotica Pharmaceutical Corp. David Blittner, Bob Rivollier, Andrea Ryken, Andrea Bidegaray, Aamir Rahman, Elizabeth Weiswasser, Claire Comfort, Andrew Yoon, Tom Hashagen, Gina Lawrence, Jared Rusman, Mark Dundon, Tristan Evans-Wilent of Weil, Gotshal &amp; Manges LLP acted as legal advisor for Vertical / Trigen Holdings LLC._x000D_
</t>
  </si>
  <si>
    <t>Novo Nordisk A/S (CPSE:NOVO B) entered into a definitive agreement to acquire Calibrium LLC and MB2 LLC on August 27, 2015. The closing of the transaction is subject to US regulatory approval and is expected to occur during the third quarter of 2015.</t>
  </si>
  <si>
    <t xml:space="preserve">Otsuka America, Inc. entered into a definitive agreement to acquire Avanir Pharmaceuticals, Inc. (NasdaqGS:AVNR) from SSgA Funds Management, Inc., Baker Bros. Advisors, LLC, Fidelity Management &amp; Research Company, T. Rowe Price Associates, Inc. and others for $3.3 billion in cash on December 1, 2014. Otsuka will acquire Avanir for $17 per share in cash. Otsuka Pharmaceutical will also acquire 9.6 million options and 2.1 million restricted stock units of Avanir. Otsuka will launch a tender offer within ten business days to purchase all outstanding shares of Avanir. Upon close of the transaction, Avanir will continue to operate under its current structure as an independent subsidiary of Otsuka America, Inc. Avanir Pharmaceuticals, Inc. will pay a termination fee of $90 million or 2.5% of total transaction value in case the transaction gets terminated as a result of the failure to satisfy the minimum condition._x000D_
_x000D_
The transaction has been unanimously approved by the Boards of Directors of Otsuka Pharmaceutical and Avanir Pharmaceuticals. The closing of the tender offer will be subject to the tender of a majority of Avanir's shares outstanding and certain other customary closing conditions, including expiration or termination of the waiting period under the Hart-Scott-Rodino Antitrust Improvements Act. The transaction is expected to close in the first quarter of 2015. Otsuka has received a commitment letter, dated as of December 9, 2014 from The Bank Of Tokyo-Mitsubishi UFJ, Ltd. for an unsecured term loan facility in the aggregate principal amount of $3.54 billion. The transaction will be financed from cash on hand and debt facility. Commencement of the tender offer was announced on December 12, 2014. The offer will close on January 12, 2015. As on December 30, 2014, waiting periods under HSR act has expired._x000D_
_x000D_
Centerview Partners LLC acted as a financial advisor and Charles K. Ruck, R. Scott Shean, Michael Young, Jeffrey Holgate, Andrew Fox, Alyssa Chi and Ashley Flor, Jim Barrall, Michelle Carpenter, Jack Stratton, Joshua Holian, Rebecca Brandt, Betty Pang, Eitan Bernstein, David Kuiper, Christopher Norton, Samuel Weiner, Andrea Ramezan-Jackson and David M. Wheeler of Latham &amp; Watkins LLP acted as legal advisors to Avanir Pharmaceuticals, Inc. Hiroshi Sarumida, Mitsuhiro Kamiya, Kenton King, Douglas R. Nemec, James A. Keyte, Jennifer L. Bragg, John P. Furfaro, Jose A. Esteves, Joseph M. Yaffe, Meryl K. Chae and Sally A. Thurston of Skadden, Arps, Slate, Meagher &amp; Flom, LLP acted as legal advisors to Otsuka America, Inc. The Goldman Sachs Group, Inc. (NYSE:GS) acted as a financial advisor to Otsuka America, Inc. American Stock Transfer &amp; Trust Company, LLC acted as a transfer agent to Avanir Pharmaceuticals. Innisfree M&amp;A Inc. acted as an information agent and American Stock Transfer &amp; Trust Company, LLC acted as a depository to Otsuka America, Inc._x000D_
</t>
  </si>
  <si>
    <t>Acorda Therapeutics, Inc. (NasdaqGS:ACOR) entered into a definitive agreement to acquire Civitas Therapeutics, Inc. (NasdaqGM:CVTS) from Alkermes, Inc. and others for approximately $530 million on September 24, 2014. In connection with the closing of this transaction, Alkermes, Inc. expects to receive $30 million for the sale of certain commercial-scale pulmonary manufacturing equipment used by Civitas and approximately $29 million, subject to release of all amounts held in escrow, for its approximate 6% equity interest in Civitas. Under the terms of the agreement, Acorda will obtain worldwide rights to CVT-301. The acquisition also includes rights to Civitas’ proprietary ARCUSTM pulmonary delivery technology and manufacturing facility with commercial-scale capabilities based in Chelsea, MA. Of the total consideration, $35 million will be used to pay costs related to a Civitas change-in-control.
Acorda intends to finance the deal with cash on hand. Civitas will operate as a wholly-owned subsidiary of Acorda. If terminated, Civitas has to pay to Acorda a termination fee of $10.5 million and Acorda to pay to Civitas a termination fee of $26.25 million. The Board of Directors of both Acorda and Civitas approved the deal and it is subject to approval of shareholders of Civitas, regulatory approval, government approval, approval of Hart-Scott-Rodino Antitrust Improvements Act and certain customary conditions and it is expected to close in the fourth quarter of 2014. On October 16, 2014, FTC approved the transaction.
MTS Health Partners, L.P. and Lazard Ltd. acted as financial advisors and James C. Woolery, Christopher T. Cox and Ira J. Schacter of Cadwalader, Wickersham &amp; Taft LLP acted as legal advisors to Acorda Therapeutics. JPMorgan Chase &amp; Co. and Bank of America Merrill Lynch acted as financial advisors and Marc A. Rubenstein and Steven A. Wilcox of Ropes &amp; Gray LLP acted as legal advisors to Civitas Therapeutics. David Fox, William Sorabella of Kirkland &amp; Ellis LLP acted as legal advisors to MTS Health Partners, L.P. and Lazard Ltd.</t>
  </si>
  <si>
    <t>Perrigo Company (NYSE:PRGO) entered into a definitive agreement to acquire Elan Corporation, plc (NYSE:ELN) for $8.4 billion in cash and stock on July 28, 2013. Under the terms of the agreement, Elan shareholders will receive $6.25 in cash and 0.07636 shares of new Perrigo for each Elan share. Perrigo shareholders are expected to own approximately 71% of the combined company while Elan shareholders are expected to own approximately 29% shares of New Perrigo which will be registered with the U.S. Securities and Exchange Commission and are expected to trade on the New York Stock Exchange and the Tel Aviv Stock Exchange. Perrigo and Elan will be combined under a new company which is expected to be called Perrigo Company plc or a variant thereof, will be led by Perrigo's current leadership team. Upon closing, Elan will become a wholly owned subsidiary of New Perrigo. In the event the transaction fails to complete, Perrigo Company shall pay to Elan $168.88 million as break-up fee.
Perrigo secured an aggregate amount of $4.35 billion in fully underwritten bridge financing commitments from Barclays and HSBC Bank USA, N.A in addition to Perrigo cash on hand available to finance the cash portion of the transaction, pay fees and expenses related to the transaction and refinance Perrigo's existing indebtedness including its current term loan, private placement notes and existing public bonds. Perrigo plans to refinance and repay the bridge borrowings through new debt issuances and the use of Elan cash on hand. Perrigo has put in place a $1 billion term loan facility that will be used to take out a portion of a 364-day $2.65 billion debt bridge agreement. Perrigo also has a $1.7 billion cash bridge credit agreement. The term loan facility includes a $700 million five-year term loan and a $300 million two-year term loan. The management of Perrigo will lead the combined business. On November 5, 2013, Perrigo commenced an offering of Senior Notes due 2016, Senior Notes due 2018, Senior Notes due 2023 and Senior Notes due 2043, in an aggregate principal amount of $2.3 billion. The net proceeds from the offering, together with proceeds from its credit facilities and certain cash will be used to fund the cash purchase price. The existing employment rights of all management and employees of the Elan will not be impacted by the proposed acquisition.
The transaction has been unanimously approved by the respective Boards of Directors of Perrigo and Elan. The deal is subject to the approval of a majority of Elan shareholders, representing 75% or more in value of the Elan shares, approval from Irish High court, Perrigo shareholders, receipt of all required regulatory clearances under applicable antitrust, competition or foreign investment laws, authorization for listing of the new Perrigo shares comprising the share consideration by the NYSE and the TASE and registration statement of S- 4. The acquisition is conditional on the scheme becoming effective and unconditional by not later than April 29, 2014. The Board of Elan considers the terms of the acquisition to be fair and reasonable and unanimously recommends Elan Shareholders to vote in favor of the acquisition. 
New Perrigo will apply for cancellation of the quotation of Perrigo Shares on the NYSE and Elan will apply for cancellation of the quotation of Elan Shares on the ISE and Elan ADS on the NYSE. The last day of dealing in Perrigo Shares on the NYSE, Elan Shares on the ISE and Elan ADS on the NYSE will be the last business day before the effective date. The transaction is expected to close by the end of calendar year 2013 and is expected to enhance revenue and be immediately accretive to Perrigo's adjusted earnings per share in 2014. As of August 28, 2013, Perrigo Company filed with the U.S. Securities and Exchange Commission a registration statement on Form S-4 in connection with the transaction. Elan Corporation, plc shareholders meeting is scheduled for November 18, 2013. Perrigo Company has scheduled a shareholder meeting for November 18, 2013, in connection with the transaction. The FTC terminated the waiting period under the HSR Act as of September 12, 2013. As of October 9, 2013, Perrigo filed a registration statement on Form S-4, which was declared effective. As of November 18, 2013, shareholders of Elan and Perrigo approved the transaction.
On December 13, 2013, Irish High Court approved the transaction. All regulatory approvals required to complete the transaction are now obtained. The ordinary shares of New Perrigo are expected to commence trading under the ticker symbol PRGO on the New York Stock Exchange on December 19, 2013, and on the Tel Aviv Stock Exchange on December 22, 2013. The closing remains subject to the satisfaction of other customary closing conditions and is expected to occur on December 18, 2013.
Chris Hite, Bill White and Dave Magstadt of Citigroup Global Markets, Inc., Eugenée Mulhern of Davy Corporate Finance Limited, Colm Donlon of Morgan Stanley &amp; Co. International plc and Michael Tory of Ondra LLP acted as financial advisors and Jonathan Birt of Sutton Belmont, Susan Stuart of FTI Consulting and Jamie Tully of Sard Verbinnen &amp; Co acted as public relations advisors to Elan Corporation. Punit Mehta and Derek Shakespeare of Barclays PLC (LSE:BARC) acted as financial advisors and Mark McCall and David Roady of FTI Consulting acted as public relations advisors to Perrigo. Cian McCourt and Alan Casey of A &amp; L Goodbody and Cadwalader, Wickersham &amp; Taft LLP acted as legal advisor to Elan. Matthew Hurd, Krishna Veeraraghavan, Zachary Jacobs, William Magnuson, Bernd Delahaye, Jennifer Lee, Andrew Mason, Davis Wang, Ron Creamer, Guy Inbar, John Wildt, Matt Friestedt, Henrik Patel, Regina Readling, Joshua Lerner, John Baumgardner and Adam Paris of Sullivan &amp; Cromwell LLP acted as the legal advisors to Perrigo Company. Lorcan Tiernan of Dillon Eustace as legal advisor to Perrigo Company. Maripat Alpuche, Michael Holick and Ravi Purushotham of Simpson Thacher &amp; Bartlett LLP acted as advisor to Barclays PLC. Gibson, Dunn &amp; Crutcher LLP acted as legal advisor to Citigroup. David Schwartzbaum and Joe Gangitano of Greenberg Traurig acted as legal advisors to Morgan Stanley &amp; Co. International. Innisfree M&amp;A Incorporated acted as the depository and information agent for Elan. Computershare acted as the registrar for Elan. Miller Canfield P.L.C. acted as the legal advisor for Perrigo. Georgeson, Inc. acted as the information agent for Perrigo.</t>
  </si>
  <si>
    <t>Upsher-Smith Laboratories, Inc. made an offer to acquire remaining 84.13% stake in Proximagen Group plc (AIM:PRX) from IP Group Plc (LSE:IPO), King's College London, Lansdowne Partners Limited Partnership, H. Lundbeck A/S (CPSE:LUN), INVESCO Asset Management Limited, Kenneth Mulvany, Peter Allen, Ann Jacqueline Hunter, James Hunter, Michael Ashton, Mark Evenstad and others for approximately £270 million on June 13, 2012. Under the terms of the agreement, Upsher-Smith Laboratories has offered £3.2 in cash for every share of Proximagen and up to a further £1.92 in either cash or loan notes by way of a contingent value right (CVR) at the election of the Proximagen shareholder. The CVRs will provide CVR holders a right to receive loan or cash payments over a period of up to 5 years as a proportion of CVR net revenues. The scheme will also be applicable to the option holders of Proximagen. Upsher-Smith Laboratories intends to delist Proximagen subsequent to the transaction.
Upsher-Smith has received irrevocable undertakings for voting in favor of the scheme from shareholders owning 0.9 million Proximagen shares representing 1.43% stake in Proximagen. In addition, Upsher-Smith has also received irrevocable undertakings from INVESCO Asset Management Limited, IP Group Plc, King's College London, Lansdowne Partners Limited Partnership and H. Lundbeck A/S which in total own 44.55 million Proximagen Shares representing approximately 70.58% stake of Proximagen's issued share capital. The cash consideration payable will be funded from cash on the balance sheet of the Upsher-Smith and new debt facilities arranged by J.P. Morgan Securities LLC, U.S. Bank National Association and Wells Fargo Securities, LLC in the form of a $300 million (£193.32) secured credit agreement. Upsher-Smith intends to retain operations of Proximagen in Cambridge and London.
The transaction is subject entering into confidentiality agreement, approval from Proximagen shareholders by a majority number, all appropriate waiting and other time periods under any applicable legislation or regulations of any relevant jurisdiction having expired or lapsed, sanction of the scheme by the Court and the confirmation of the capital reduction by the Court. The Board of Proximagen unanimously recommends that Proximagen shareholders to vote in favor of the acquisition. The Board of Proximagen considers the terms of the acquisition to be fair, reasonable and in the best interests of Proximagen shareholders as a whole. Upsher-Smith and Proximagen have entered into the confidentiality agreement where they have agreed to keep confidential information about the other party and not to disclose to third parties unless required by law or regulation. These confidentiality obligations will remain in force until completion of the acquisition, or for a period of five years from the date that negotiations in respect of the acquisition cease or are terminated. The Court Meeting and Proximagen General Meeting are expected to take place on or around July 20, 2012. The acquisition is expected to become effective on or around August 14, 2012 or business day following the court hearing to confirm the capital reduction and consideration being issued to Proximagen shareholders no later than 14 days after the effective date. If the approval Proximagen shareholders at the court meeting and Proximagen general meeting are not obtained before the long stop date of December 31, 2012, the acquisition will lapse. On July 20, 2012, the deal was approved from the court and the shareholders of Proximagen.
On August 7, 2012, it was announced that Proximagen has made an application to the London Stock Exchange for the cancellation of the Proximagen shares from trading, subject to the Scheme becoming fully effective. Accordingly, it is expected that trading in the Proximagen shares on AIM will be suspended on August 9, 2012 and that, if the scheme is sanctioned by the court and the other conditions to the scheme are satisfied or waived, the admission of the Proximagen shares to trading on AIM will be cancelled on August 14, 2012. As on August 9, 2012, High Court of Justice in England approved the transaction. As of August 13, 2012, High Court of Justice in England and Wales made an order confirming the reduction of capital in connection with the transaction being implemented. In order for the transaction to become fully effective, the Court order confirming the reduction of capital must be delivered to the Registrar of Companies along with the associated statement of capital. This is intended to take place on 14 August 2012.
David Wilson, Stephen Waterman and Karri Vuori of WG Partners acted as financial advisor to Board of Proximagen and Proximagen. James Mitford and Christopher Dickinson of JPMorgan Cazenove Limited acted as financial advisors to Upsher-Smith. Elizabeth Likly and Bruce Likly of Kovak-Likly Communications acted as public relations advisors to Upsher-Smith. Bobbie Hilliam and Julian Morse of Cenkos Securities plc acted as financial advisor and broker to Proximagen. Mary-Jane Elliott, Sarah Macleod and Hollie Vile of M: Communications acted as public relations advisors to Proximagen. Charles Stanley &amp; Co Limited acted as financial advisor to Proximagen. Michael E. Hatchard, Partner, David J. Goldschmidt, Scott C. Hopkins, Clive Wells, James A. McDonald and Tim Sanders of Skadden, Arps, Slate, Meagher &amp; Flom, L.L.P. acted as legal advisor to Upsher-Smith Laboratories. Pinsent Masons acted as legal advisors to Proximagen. Giles Beale, James Wilson, Andrew Clark, Kate Green and Helena Clarke of Reed Smith LLP acted as legal advisors to Proximagen. The conversions were made for funding amount through www.oanda.com on June 13, 2012.</t>
  </si>
  <si>
    <t xml:space="preserve"> The acquisition deal of Orexigen was announced on April, 2018. However, as of the Valuation Date the deal was not closed. </t>
  </si>
  <si>
    <t>AwABTANVU0QBSAEAAAABRg4GAAAhQ0lRLklRVFIzODQwMjg0OTYuSVFfVFJfQlVZRVJOQU1FAQAAAFDP4xYDAAAADEFsbGVyZ2FuIHBsYwA20XGXeQPWCF0kz5x5A9YIOUNJUS5OQVNEQVFHUzpaRkdOLklRX1RPVEFMX0RFQlQuMjAwMC4xLzUvMjAxOC5MRlIuRi5VU0QuSAEAAACXwLoBAgAAAAUxLjI2OAEIAAAABQAAAAExAQAAAAoxODY1NDY4MTI3AwAAAAMxNjACAAAABDQxNzMEAAAAATAHAAAACDEvNS8yMDE4CAAAAAk5LzMwLzIwMTcJAAAAATDwI+GbeQPWCIEay5x5A9YIKUNJUS5JUVRSMzc2Nzk5MjMyLklRX1RSX0lNUExJRURfRVFfTklfTFRNAQAAAACAdRYDAAAAAk5NALHkcZd5A9YIV17PnHkD1ggtQ0lRLk5BU0RBUUNNOlNMTk8uSVFfRElWSURFTkRfWUlFTEQuNi8zMC8yMDE4AQAAAOl1JgADAAAAAAAtfB+aeQPWCBw4x5x5A9YIJ0NJUS5OQVNEQVFHTTpSWVRNLklRX0JFVEFfNVlSLjYvMzAvMjAxOAEAAAAYyW0SAwAAAAAA7Erhm3kD1ghuPM2ceQPWCDdDSVEuQU1FWDpTWU4uSVFfR1JPU1NfTUFSR0lOLjIwMDAuNi8zMC8yMDE4LkxGUi5GLlVTRC5IAQAAAG2wdAEDAAAAAAC3BCCaeQPWCCGcxpx5A9YIOkNJUS5UU1hWOkNPQi5VLklRX1JFVkVOVUVfRVNULkNZMjAyMC42LzMwLzIwMTguQ09OLkYuVVNELkgBAAAAv/sACAMAAAAAALuPH5p5A9YIBh3KnHkD1ghDQ0lRLihJTlZBTElEIElE</t>
  </si>
  <si>
    <t>RU5USUZJRVIpLklRX0VBUk5JTkdfQ08uQ1kyMDE3LjYvMzAvMjAxOC5MRlIuRi5VU0QuSAUAAAAAAAAACAAAABQoSW52YWxpZCBJZGVudGlmaWVyKTFmIJp5A9YItGbEnHkD1ggfQ0lRLklRMjY2ODY0Mi5JUV9MQVNUU0FMRVBSSUNFLgEAAABiuCgAAgAAAAQ0LjMxAPHV4Jt5A9YI8dXgm3kD1ggwQ0lRLklRVFIzNzg1ODc4MjIuSVFfVFJfVEFSR0VUX0VCSVREQV9FU1QuLlVTRC5IAQAAAK7KkBYCAAAAAACx5HGXeQPWCFasz5x5A9YIGUNJUS4wLklRX1RSX01BSl9NSU5fU1RBS0UFAAAAAAAAAAgAAAAYKEludmFsaWQgVHJhbnNhY3Rpb24gSWQptZZxl3kD1gjPbNGceQPWCDBDSVEuQU1FWDpTWU4uSVFfQ0FQRVguMjAwMC42LzMwLzIwMTguTEZSLkYuVVNELkgBAAAAbbB0AQIAAAAGLTAuMjAxAQgAAAAFAAAAATEBAAAACjE4ODc0MDg3MjYDAAAAAzE2MAIAAAAEMjAyMQQAAAABMAcAAAAJNi8zMC8yMDE4CAAAAAkzLzMxLzIwMTgJAAAAATC3BCCaeQPWCKOIxpx5A9YIKUNJUS5OQVNEQVFDTTpBU01CLklRX0JVU0lORVNTX0RFU0NSSVBUSU9OAQAAABCJ8QUDAAAA4AtBc3NlbWJseSBCaW9zY2llbmNlcywgSW5jLiBvcGVyYXRlcyBhcyBhIGNsaW5pY2FsIHN0YWdlIGJpb3RlY2hub2xvZ3kgY29tcGFueS4gSXQgZGV2ZWxvcHMgb3JhbCB0aGVyYXBldXRpYyBjYW5kaWRhdGVzIGZvciB0aGUgdHJlYXRt</t>
  </si>
  <si>
    <t>ZW50IG9mIGhlcGF0aXRpcyBCIHZpcnVzIChIQlYpIGluZmVjdGlvbiBhbmQgbm92ZWwgY2xhc3Mgb2Ygb3JhbCBzeW50aGV0aWMgbGl2ZSBiaW90aGVyYXBldXRpYyBjYW5kaWRhdGVzIHRvIHRyZWF0IGRpc29yZGVycyBhc3NvY2lhdGVkIHdpdGggdGhlIG1pY3JvYmlvbWUgaW4gdGhlIFVuaXRlZCBTdGF0ZXMuIEl0IGlzIGludm9sdmVkIGluIHRoZSBkZXZlbG9wbWVudCBvZiBjb3JlIHByb3RlaW4gYWxsb3N0ZXJpYyBtb2R1bGF0b3JzIHRoYXQgbW9kdWxhdGUgdGhlIEhCViBjb3JlIHByb3RlaW4gYXQgdmFyaW91cyBwb2ludHMgaW4gdGhlIHZpcmFsIGxpZmVjeWNsZS4gVGhlIGNvbXBhbnkgYWxzbyBkZXZlbG9wcyBtaWNyb2Jpb21lIHByb2dyYW0sIGEgcGxhdGZvcm0gdGhhdCBpbmNsdWRlcyB0aGUgaWRlbnRpZmljYXRpb24gYW5kIHNlbGVjdGlvbiBwcm9jZXNzIHRvIHN0cmFpbiBpc29sYXRpb24gYW5kIGdyb3d0aCB1bmRlciBjdXJyZW50IGdvb2QgbWFudWZhY3R1cmluZyBwcmFjdGljZSBjb25kaXRpb25zOyBhbmQgYSBwYXRlbnQgcGVuZGluZyBkZWxpdmVyeSBzeXN0ZW0sIEdFTUlDRUwsIHdoaWNoIGFsbG93cyBmb3IgdGFyZ2V0ZWQgb3JhbCBkZWxpdmVyeSBvZiBsaXZlIGJpb2xvZ2ljIGFuZCBjb252ZW50aW9uYWwgdGhlcmFwaWVzIHRvIHRoZSBsb3dlciBnYXN0cm9pbnRlc3Rp</t>
  </si>
  <si>
    <t>bmFsIHRyYWN0LiBJbiBhZGRpdGlvbiwgaXQgZW5nYWdlcyBpbiB0aGUgZGV2ZWxvcG1lbnQgb2YgcHJvZHVjdCBjYW5kaWRhdGVzIGZvciB2YXJpb3VzIGRpc2Vhc2UgaW5kaWNhdGlvbnMsIHN1Y2ggYXMgdWxjZXJhdGl2ZSBjb2xpdGlzLCBDcm9obuKAmXMgZGlzZWFzZSwgaXJyaXRhYmxlIGJvd2VsIHN5bmRyb21lLCBub24tYWxjb2hvbGljIHN0ZWF0b2hlcGF0aXRpcywgaW1tdW5vLW9uY29sb2d5LCBhbmQgY2xvc3RyaWRpdW0gZGlmZmljaWxlIGluZmVjdGlvbnMgYnkgdXNpbmcgaXRzIG1pY3JvYmlvbWUgcGxhdGZvcm0uIEl0IGhhcyBhIGNvbGxhYm9yYXRpb24gYWdyZWVtZW50IHdpdGggQWxsZXJnYW4gUGhhcm1hY2V1dGljYWxzIEludGVybmF0aW9uYWwgTGltaXRlZCBmb3IgdGhlIGRldmVsb3BtZW50IGFuZCBjb21tZXJjaWFsaXphdGlvbiBvZiBzZWxlY3RlZCBtaWNyb2Jpb21lIGdhc3Ryb2ludGVzdGluYWwgcHJvZ3JhbXMuIFRoZSBjb21wYW55IHdhcyBmb3JtZXJseSBrbm93biBhcyBWZW50cnVzIEJpb3NjaWVuY2VzLCBJbmMuIGFuZCBjaGFuZ2VkIGl0cyBuYW1lIHRvIEFzc2VtYmx5IEJpb3NjaWVuY2VzLCBJbmMuIGluIEp1bmUgMjAxNC4gQXNzZW1ibHkgQmlvc2NpZW5jZXMsIEluYy4gd2FzIGZvdW5kZWQgaW4gMjAwNSBhbmQgaXMgaGVhZHF1YXJ0ZXJlZCBpbiBDYXJtZWws</t>
  </si>
  <si>
    <t>IEluZGlhbmEuAPHV4Jt5A9YI8YzMnHkD1ggqQ0lRLklRVFIzODQwMjg0OTYuSVFfVFJfVEFSR0VUX0VCSVQuLlVTRC5IAQAAAFDP4xYCAAAACi00NS41NzA0NjkBBgAAAAUAAAACMzcBAAAACjE4MDE5MzA0NzUCAAAABTIxNjc1AwAAAAMxNjAEAAAAATAHAAAACDEvMS8xOTAwNtFxl3kD1ghdJM+ceQPWCCRDSVEuT1RDUEs6TkVYUy5JUV9CRVRBXzFZUi42LzMwLzIwMTgBAAAAHb1OFAIAAAAQMy44NzEwMzcxMTE3Mzk3MQCveSCaeQPWCCfZxZx5A9YIOkNJUS5BSU06T1BUSS5JUV9ORVRfV09SS0lOR19DQVAuMjAwMC42LzMwLzIwMTguTEZSLkYuVVNELkgBAAAAM9u1BwIAAAAHMC4wODA0NgEIAAAABQAAAAExAQAAAAoxODkxMDIyMDc2AwAAAAMxNjACAAAABDEzMTEEAAAAATAHAAAACTYvMzAvMjAxOAgAAAAKMTEvMzAvMjAxNwkAAAABMDXxH5p5A9YInvvHnHkD1ghGQ0lRLk5BU0RBUUNNOlJUVFIuSVFfVE9UQUxfUkVWXzVZUl9BTk5fQ0FHUi4yMDAwLjYvMzAvMjAxOC5MRlIuRi5VU0QuSAEAAAAfmrMDAwAAAAAAsysgmnkD1giyAsWceQPWCD1DSVEuTkFTREFRR006UllUTS5JUV9SRVZFTlVFX0VTVC5DWTIwMTguNi8zMC8yMDE4LkNPTi5GLlVTRC5IAQAAABjJbRICAAAAATABDgAAAAUAAAACMTEBAAAAATACAAAACjEwMDM4OTkzNDEDAAAABjEwMDE4MAQAAAABMgYAAAABMAcAAAADMTYwCAAAAAEw</t>
  </si>
  <si>
    <t>CQAAAAExCgAAAAEwCwAAAAsxMDk0MDA2ODQ5MgwAAAABNw0AAAAINy8xLzIwMTgQAAAACTYvMzAvMjAxOG434Zt5A9YI63bNnHkD1gglQ0lRLk5BU0RBUUdTOk1DUkIuSVFfRklSU1RQUklDSU5HREFURQEAAADTYkENBQAAAAk2LzI2LzIwMTUA8dXgm3kD1gh/88qceQPWCD9DSVEuTkFTREFRQ006QVZYTC5JUV9ORVRfV09SS0lOR19DQVAuMjAwMC42LzMwLzIwMTguTEZSLkYuVVNELkgBAAAAYzjPAAIAAAAJLTMuMjYxMDY2AQgAAAAFAAAAATEBAAAACjE4ODg1MDQyNzkDAAAAAzE2MAIAAAAEMTMxMQQAAAABMAcAAAAJNi8zMC8yMDE4CAAAAAkzLzMxLzIwMTgJAAAAATC33R+aeQPWCBeryJx5A9YIOUNJUS5OQVNEQVFHUzpBQ0FELklRX1RPVEFMX1JFVi4yMDAwLjYvMzAvMjAxOC5MRlIuRi5VU0QuSAEAAADBbgoAAgAAAAcxNTguNDgzAQgAAAAFAAAAATEBAAAACjE4ODY2Mjc1MzYDAAAAAzE2MAIAAAACMjgEAAAAATAHAAAACTYvMzAvMjAxOAgAAAAJMy8zMS8yMDE4CQAAAAEw8dXgm3kD1ghnOs6ceQPWCDpDSVEuTkFTREFRR1M6TUNSQi5JUV9FQVJOSU5HX0NPLjE5OTYuNi8zMC8yMDE4LkxGUi5GLlVTRC5IAQAAANNiQQ0CAAAABy05Ny4zNDkBCAAAAAUAAAABMQEAAAAKMTg4ODEwNTQyOAMAAAADMTYwAgAAAAE3BAAAAAEwBwAAAAk2LzMwLzIwMTgIAAAACTMvMzEvMjAxNwkAAAABMPAj4Zt5A9YI</t>
  </si>
  <si>
    <t>h37KnHkD1ggnQ0lRLk5BU0RBUUdNOlJZVE0uSVFfUEVSSU9EREFURV9JUy4xMDAwAQAAABjJbRIFAAAACjEyLzMxLzIwMTcAdengm3kD1gjrnc2ceQPWCCFDSVEuTkFTREFRR1M6TUNSQi5JUV9DT01QQU5ZX05BTUUBAAAA02JBDQMAAAAYU2VyZXMgVGhlcmFwZXV0aWNzLCBJbmMuAPHV4Jt5A9YIAAfLnHkD1gg1Q0lRLk5BU0RBUUNNOkFWWEwuSVFfQ0FQRVguMjAwMC42LzMwLzIwMTguTEZSLkYuVVNELkgBAAAAYzjPAAMAAAAAALfdH5p5A9YIqpfInHkD1gg1Q0lRLk5BU0RBUUNNOlJUVFIuSVFfREFfQ0YuMjAwMC42LzMwLzIwMTguTEZSLkYuVVNELkgBAAAAH5qzAwIAAAAIMC4wMDU3NzYBCAAAAAUAAAABMQEAAAAKMTg4OTEwNDA5OAMAAAADMTYwAgAAAAQyMTYwBAAAAAEwBwAAAAk2LzMwLzIwMTgIAAAACTMvMzEvMjAxOAkAAAABMLMrIJp5A9YIrXfFnHkD1ggzQ0lRLkFNRVg6U1lOLklRX0VCSVREQS5DWTIwMTYuNi8zMC8yMDE4LkxGUi5GLlVTRC5IAQAAAG2wdAECAAAABy0zOS4wOTUBCAAAAAUAAAABMQEAAAAKMTg3NTQ2OTUxMAMAAAADMTYwAgAAAAQ0MDUxBAAAAAEwBwAAAAk2LzMwLzIwMTgIAAAACjEyLzMxLzIwMTYJAAAAATC3BCCaeQPWCCHDxpx5A9YIIkNJUS5JUVRSNTQxMjgzNzAwLklRX1RSX1RBUkdFVE5BTUUBAAAAdFVDIAMAAAAMQ3Jlc3Rvdm8gTExDADbRcZd5A9YIYtbOnHkD</t>
  </si>
  <si>
    <t>1gguQ0lRLklRVFI1NDEyODM3MDAuSVFfVFJfVEFSR0VUX1NUT0NLUFJFTUlVTV8xTQEAAAB0VUMgAgAAAAAANtFxl3kD1gjq6c6ceQPWCC5DSVEuSVFUUjIwODY0MDU1My5JUV9UUl9UQVJHRVRfU1RPQ0tQUkVNSVVNXzFNAQAAACmabwwCAAAABzE0LjkwNDIBBgAAAAUAAAACNTQBAAAABjEwMTA1NQIAAAAJMjA4NjQwNTUzAwAAAAkyMDg2NDQ2NzgEAAAAAzE2MAYAAAAFRmFsc2VoC3KXeQPWCNNF0Zx5A9YIFUNJUS4uSVFfVFJfVEFSR0VUTkFNRQUAAAABAAAACAAAABQoSW52YWxpZCBJZGVudGlmaWVyKWzC4Jt5A9YIbMLgm3kD1gg7Q0lRLk5BU0RBUUdTOlZWVVMuSVFfVE9UQUxfUkVWLkNZMjAxNy42LzMwLzIwMTguTEZSLkYuVVNELkgBAAAALo4AAAIAAAAGNjUuMzczAQgAAAAFAAAAATEBAAAACjE4Nzg4NTg4NTMDAAAAAzE2MAIAAAACMjgEAAAAATAHAAAACTYvMzAvMjAxOAgAAAAKMTIvMzEvMjAxNwkAAAABMDbKH5p5A9YIiZTJnHkD1gg0Q0lRLk9UQ1BLOk5FWFMuSVFfUEVSSU9EREFURV9JUy4yMDAwLjYvMzAvMjAxOC5MRlIuRgEAAAAdvU4UBQAAAAk1LzMxLzIwMTcAMhggmnkD1gikOsaceQPWCCtDSVEuSVFUUjI0Mzc0NDMwNi5JUV9UUl9UT1RBTF9HUk9TU19UVi4uVVNEAQAAADI+hw4CAAAACzg0NDQuMDgzNDQxAQYAAAAFAAAAAjU0AQAAAAYxMDIwODgCAAAACTI0Mzc0NDMwNgMAAAAJ</t>
  </si>
  <si>
    <t>MjQzNzQ0NDEwBAAAAAMxNjAGAAAABUZhbHNlaAtyl3kD1gjT99CceQPWCDlDSVEuQU1FWDpTWU4uSVFfQ0FTSF9TVF9JTlZFU1QuMjAwMC42LzMwLzIwMTguTEZSLkYuVVNELkgBAAAAbbB0AQIAAAAGMTEuMDM3AQgAAAAFAAAAATEBAAAACjE4ODc0MDg3MjYDAAAAAzE2MAIAAAAEMTAwMgQAAAABMAcAAAAJNi8zMC8yMDE4CAAAAAkzLzMxLzIwMTgJAAAAATC3BCCaeQPWCCDqxpx5A9YIN0NJUS5BSU06T1BUSS5JUV9FQklUREFfRVNULkNZMjAxOS42LzMwLzIwMTguQ09OLkYuVVNELkgBAAAAM9u1BwMAAAAAALuPH5p5A9YIHA/InHkD1gg3Q0lRLk5BU0RBUUdTOlZZR1IuSVFfUEVSSU9EREFURV9JUy4yMDAwLjYvMzAvMjAxOC5MRlIuRgEAAABezE8PBQAAAAkzLzMxLzIwMTgA7fzgm3kD1gj2PsyceQPWCCJDSVEuQUlNOk9QVEkuSVFfQkVUQV8xWVIuNi8zMC8yMDE4AQAAADPbtQcCAAAAEDEuMTI5NjkxNTEyOTMzMjYAr3kgmnkD1ggd6MeceQPWCDlDSVEuTkFTREFRR1M6VlZVUy5JUV9OSV9NQVJHSU4uMjAwMC42LzMwLzIwMTguTEZSLkYuVVNELkgBAAAALo4AAAIAAAAILTc5Ljc5OTQBCAAAAAUAAAABMQEAAAAKMTg4NzQ0NDMyOAMAAAADMTYwAgAAAAQ0MDk0BAAAAAEwBwAAAAk2LzMwLzIwMTgIAAAACTMvMzEvMjAxOAkAAAABMDbKH5p5A9YIElrJnHkD1ggpQ0lRLklRVFIzMTg1NDIyMTAuSVFf</t>
  </si>
  <si>
    <t>QlVTSU5FU1NfREVTQ1JJUFRJT04BAAAAgIt6AQMAAADcBk9zbW90aWNhIFBoYXJtYWNldXRpY2FsIENvcnAuLCBhIHNwZWNpYWx0eSBwaGFybWFjZXV0aWNhbCBjb21wYW55LCBkZXZlbG9wcyBicmFuZGVkIGFuZCBnZW5lcmljIHBoYXJtYWNldXRpY2FsIHByb2R1Y3RzLiBUaGUgY29tcGFueSBwcm92aWRlcyBhIHBvcnRmb2xpbyBvZiBwcm9kdWN0cyBpbiB2YXJpb3VzIHN0YWdlcyBvZiBkZXZlbG9wbWVudCBmb2N1c2VkIG9uIHRoZSB0cmVhdG1lbnQgb2YgbW92ZW1lbnQgZGlzb3JkZXJzLCBzdWNoIGFzIE1TIGFuZCBQYXJraW5zb24ncyBkaXNlYXNlLiBJdHMgcHJvZHVjdHMgcGlwZWxpbmUgaW5jbHVkZXMgdmFyaW91cyBjZW50cmFsIG5lcnZvdXMgc3lzdGVtIGFuZCBuZXVyb2xvZ3ktYmFzZWQgdGhlcmFwZXV0aWMgZHJ1Z3MsIHN1Y2ggYXMgbmlmZWRpcGluZSwgb3h5YnV0eW5pbiwgdmVubGFmYXhpbmUsIGFuZCBkZXN2ZW5sYWZheGluZSBleHRlbmRlZCByZWxlYXNlIHRhYmxldHMuIE9zbW90aWNhIFBoYXJtYWNldXRpY2FsIENvcnAuIHdhcyBmb3JtZXJseSBrbm93biBhcyBPc21vdGljYSBVU0EgQ29ycC4gVGhlIGNvbXBhbnkgd2FzIGZvdW5kZWQgaW4gMTk4NiBhbmQgaXMgYmFzZWQgaW4gTWFyaWV0dGEsIEdlb3JnaWEuIEl0IGhhcyBwcmluY2lwYWwgb3BlcmF0aW9ucyBpbiB0aGUg</t>
  </si>
  <si>
    <t>VW5pdGVkIFN0YXRlcywgQXJnZW50aW5hLCBhbmQgSHVuZ2FyeTsgYW5kIG1hbnVmYWN0dXJpbmcgZmFjaWxpdGllcyBpbiB0aGUgVW5pdGVkIFN0YXRlcyBhbmQgU3BhaW4uIEFzIG9mIEZlYnJ1YXJ5IDQsIDIwMTYsIE9zbW90aWNhIFBoYXJtYWNldXRpY2FsIENvcnAuIG9wZXJhdGVzIGFzIGEgc3Vic2lkaWFyeSBvZiBWZXJ0aWNhbCAvIFRyaWdlbiBIb2xkaW5ncyBMTEMuALG9cZd5A9YI2ILQnHkD1ggWQ0lRLi5JUV9UUl9DTE9TRURfREFURQUAAAAAAAAACAAAABQoSW52YWxpZCBJZGVudGlmaWVyKbWWcZd5A9YIbA3Ml3kD1gg+Q0lRLk5BU0RBUUdTOlZWVVMuSVFfQ0FTSF9TVF9JTlZFU1QuMjAwMC42LzMwLzIwMTguTEZSLkYuVVNELkgBAAAALo4AAAIAAAAHMjA5LjEyNQEIAAAABQAAAAExAQAAAAoxODg3NDQ0MzI4AwAAAAMxNjACAAAABDEwMDIEAAAAATAHAAAACTYvMzAvMjAxOAgAAAAJMy8zMS8yMDE4CQAAAAEwNsofmnkD1giJlMmceQPWCCdDSVEuTkFTREFRR1M6VllHUi5JUV9CRVRBXzVZUi42LzMwLzIwMTgBAAAAXsxPDwIAAAAQMy4wNDg2NDY5OTcxNjcxNwDsSuGbeQPWCHndy5x5A9YINUNJUS5BTUVYOlNZTi5JUV9FQVJOSU5HX0NPLjE5OTIuNi8zMC8yMDE4LkxGUi5GLlVTRC5IAQAAAG2wdAECAAAABy00My41MDUBCAAAAAUAAAABMQEAAAAKMTg0MDA5NTI0MwMAAAADMTYwAgAA</t>
  </si>
  <si>
    <t>AAE3BAAAAAEwBwAAAAk2LzMwLzIwMTgIAAAACTMvMzEvMjAxNgkAAAABMLcEIJp5A9YIInXGnHkD1gg4Q0lRLkFNRVg6U1lOLklRX0NBU0hfU1RfSU5WRVNULjIwMDAuMS81LzIwMTguTEZSLkYuVVNELkgBAAAAbbB0AQIAAAAFMjEuMDUBCAAAAAUAAAABMQEAAAAKMTg2MzYyNTcyOQMAAAADMTYwAgAAAAQxMDAyBAAAAAEwBwAAAAgxLzUvMjAxOAgAAAAJOS8zMC8yMDE3CQAAAAEwtwQgmnkD1ggmTsaceQPWCDlDSVEuTkFTREFRR1M6VllHUi5JUV9UT1RBTF9SRVYuMTk5Ni42LzMwLzIwMTguTEZSLkYuVVNELkgBAAAAXsxPDwIAAAAGMTAuODU0AQgAAAAFAAAAATEBAAAACjE4ODg0ODA1ODEDAAAAAzE2MAIAAAACMjgEAAAAATAHAAAACTYvMzAvMjAxOAgAAAAJMy8zMS8yMDE3CQAAAAEwchDhm3kD1gj2PsyceQPWCDdDSVEuKElOVkFMSUQgSURFTlRJRklFUikuSVFfTEFTVFNBTEVQUklDRS42LzMwLzIwMTguVVNEBQAAAAAAAAAIAAAAFChJbnZhbGlkIElkZW50aWZpZXIpLXwfmnkD1ggw78SceQPWCE1DSVEuKElOVkFMSUQgSURFTlRJRklFUikuSVFfVE9UQUxfUkVWXzJZUl9BTk5fQ0FHUi4yMDAwLjYvMzAvMjAxOC5MRlIuRi5VU0QuSAUAAAAAAAAACAAAABQoSW52YWxpZCBJZGVudGlmaWVyKTFmIJp5A9YINlPEnHkD1ggsQ0lRLklRVFIzNzg1ODc4MjIuSVFfVFJfVE9UQUxfR1JPU1NfVFYuVVNE</t>
  </si>
  <si>
    <t>LkgFAAAAAAAAAAgAAAAaKEludmFsaWQgQ3VycmVuY3kgUmVxdWVzdCk0g3GXeQPWCNSYz5x5A9YIMENJUS5JUVRSMzE4NTQyMjEwLklRX1RSX1RBUkdFVF9FQklUREFfRVNULi5VU0QuSAEAAACCkfwSAgAAAAAAMvhxl3kD1ghXb9CceQPWCDxDSVEuTkFTREFRR1M6WkZHTi5JUV9FQVJOSU5HX0NPLkNZMjAxNy42LzMwLzIwMTguTEZSLkYuVVNELkgBAAAAl8C6AQIAAAAHLTUyLjAyOAEIAAAABQAAAAExAQAAAAoxODc4Nzg5NDE0AwAAAAMxNjACAAAAATcEAAAAATAHAAAACTYvMzAvMjAxOAgAAAAKMTIvMzEvMjAxNwkAAAABMPAj4Zt5A9YIAC7LnHkD1ggiQ0lRLklRVFIzMjI0Njc2MjUuSVFfVFJfVEFSR0VUTkFNRQEAAAApdzgTAwAAABZCaW90aWUgVGhlcmFwaWVzIENvcnAuADL4cZd5A9YI3Q3QnHkD1gg1Q0lRLk5BU0RBUUdTOlZZR1IuSVFfREFfQ0YuMjAwMC42LzMwLzIwMTguTEZSLkYuVVNELkgBAAAAXsxPDwIAAAAFMS43MzQBCAAAAAUAAAABMQEAAAAKMTg4ODQ4MDU5MwMAAAADMTYwAgAAAAQyMTYwBAAAAAEwBwAAAAk2LzMwLzIwMTgIAAAACTMvMzEvMjAxOAkAAAABMHIQ4Zt5A9YIdCvMnHkD1gg6Q0lRLk5BU0RBUUdTOk1DUkIuSVFfRUFSTklOR19DTy4xOTkyLjYvMzAvMjAxOC5MRlIuRi5VU0QuSAEAAADTYkENAgAAAActNjYuNTEzAQgAAAAFAAAAATEBAAAACjE4NDA1MTc5MzQDAAAA</t>
  </si>
  <si>
    <t>AzE2MAIAAAABNwQAAAABMAcAAAAJNi8zMC8yMDE4CAAAAAkzLzMxLzIwMTYJAAAAATDwI+GbeQPWCAGSypx5A9YIPkNJUS5OQVNEQVFDTTpSVFRSLklRX0NBU0hfU1RfSU5WRVNULjIwMDAuNi8zMC8yMDE4LkxGUi5GLlVTRC5IAQAAAB+aswMCAAAACTE4LjkxNzA0MwEIAAAABQAAAAExAQAAAAoxODg5MTA0MDk4AwAAAAMxNjACAAAABDEwMDIEAAAAATAHAAAACTYvMzAvMjAxOAgAAAAJMy8zMS8yMDE4CQAAAAEwMhggmnkD1gitd8WceQPWCDVDSVEuQUlNOk9QVEkuSVFfRUFSTklOR19DTy4xOTkyLjYvMzAvMjAxOC5MRlIuRi5VU0QuSAEAAAAz27UHAgAAAAktMS45Mjc2NDIBCAAAAAUAAAABMQEAAAAKMTgzOTgwNDMzMwMAAAADMTYwAgAAAAE3BAAAAAEwBwAAAAk2LzMwLzIwMTgIAAAACjExLzMwLzIwMTUJAAAAATA18R+aeQPWCKXUx5x5A9YIPENJUS5OQVNEQVFDTTpBVlhMLklRX0dST1NTX01BUkdJTi4yMDAwLjYvMzAvMjAxOC5MRlIuRi5VU0QuSAEAAABjOM8AAwAAAAAAt90fmnkD1giZvsiceQPWCDlDSVEuVFNYVjpDT0IuVS5JUV9FQklUREFfRVNULkNZMjAxOC42LzMwLzIwMTguQ09OLkYuVVNELkgBAAAAv/sACAMAAAAAALuPH5p5A9YIBh3KnHkD1gg5Q0lRLk5BU0RBUUdTOk1DUkIuSVFfVE9UQUxfREVCVC4yMDAwLjEvNS8yMDE4LkxGUi5GLlVTRC5IAQAAANNiQQ0CAAAAATABCAAAAAUA</t>
  </si>
  <si>
    <t>AAABMQEAAAAKMTg2NDc2ODA0NwMAAAADMTYwAgAAAAQ0MTczBAAAAAEwBwAAAAgxLzUvMjAxOAgAAAAJOS8zMC8yMDE3CQAAAAEwbjfhm3kD1ggFa8qceQPWCCBDSVEuSVEzNjE4MzgxOS5JUV9MQVNUU0FMRVBSSUNFLgEAAAALHygCAgAAAAQyLjIzAPHV4Jt5A9YI8dXgm3kD1gg5Q0lRLk9UQ1BLOk5FWFMuSVFfRUJJVERBX0VTVC5DWTIwMTguNi8zMC8yMDE4LkNPTi5GLlVTRC5IAQAAAB29ThQDAAAAAAA2ox+aeQPWCCcAxpx5A9YIOkNJUS5OQVNEQVFHTTpSWVRNLklRX0VBUk5JTkdfQ08uMTk5Mi42LzMwLzIwMTguTEZSLkYuVVNELkgBAAAAGMltEgIAAAAHLTE1LjU1MwEIAAAABQAAAAExAQAAAAoxODU5MjYwNTc1AwAAAAMxNjACAAAAATcEAAAAATAHAAAACTYvMzAvMjAxOAgAAAAJMy8zMS8yMDE2CQAAAAEwdengm3kD1gjsKM2ceQPWCDpDSVEuTkFTREFRR1M6VllHUi5JUV9FQVJOSU5HX0NPLjE5OTYuNi8zMC8yMDE4LkxGUi5GLlVTRC5IAQAAAF7MTw8CAAAABy00OS42NTMBCAAAAAUAAAABMQEAAAAKMTg4ODQ4MDU4MQMAAAADMTYwAgAAAAE3BAAAAAEwBwAAAAk2LzMwLzIwMTgIAAAACTMvMzEvMjAxNwkAAAABMHIQ4Zt5A9YIed3LnHkD1gg2Q0lRLk5BU0RBUUdTOlZZR1IuSVFfRUJJVERBLjIwMDAuNi8zMC8yMDE4LkxGUi5GLlVTRC5IAQAAAF7MTw8CAAAABS03My43AQgAAAAFAAAAATEB</t>
  </si>
  <si>
    <t>AAAACjE4ODg0ODA1OTMDAAAAAzE2MAIAAAAENDA1MQQAAAABMAcAAAAJNi8zMC8yMDE4CAAAAAkzLzMxLzIwMTgJAAAAATByEOGbeQPWCPYXzJx5A9YINUNJUS5OQVNEQVFHUzpWVlVTLklRX0NBUEVYLjIwMDAuNi8zMC8yMDE4LkxGUi5GLlVTRC5IAQAAAC6OAAACAAAABi0wLjAzNAEIAAAABQAAAAExAQAAAAoxODg3NDQ0MzI4AwAAAAMxNjACAAAABDIwMjEEAAAAATAHAAAACTYvMzAvMjAxOAgAAAAJMy8zMS8yMDE4CQAAAAEwNsofmnkD1giuM8mceQPWCDRDSVEuQUlNOk9QVEkuSVFfVE9UQUxfUkVWLjIwMDAuNi8zMC8yMDE4LkxGUi5GLlVTRC5IAQAAADPbtQcCAAAACDAuMjU4MDg4AQgAAAAFAAAAATEBAAAACjE4OTEwMjIwNzYDAAAAAzE2MAIAAAACMjgEAAAAATAHAAAACTYvMzAvMjAxOAgAAAAKMTEvMzAvMjAxNwkAAAABMLfdH5p5A9YIGTbInHkD1gg8Q0lRLk5BU0RBUUdTOlZWVVMuSVFfVE9UQUxfRVFVSVRZLjE5OTYuNi8zMC8yMDE4LkxGUi5GLlVTRC5IAQAAAC6OAAACAAAABjE3Ljk4MQEIAAAABQAAAAExAQAAAAoxODg3NDQ0MzI0AwAAAAMxNjACAAAABDEyNzUEAAAAATAHAAAACTYvMzAvMjAxOAgAAAAJMy8zMS8yMDE3CQAAAAEwNsofmnkD1giuM8mceQPWCCtDSVEuSVFUUjM3Njc5OTIzMi5JUV9UUl9UT1RBTF9HUk9TU19UVi4uVVNEAQAAAACAdRYCAAAACzE2OTAuMDEzMDgxAQYA</t>
  </si>
  <si>
    <t>AAAFAAAAAjU0AQAAAAYxMDIwODgCAAAACTM3Njc5OTIzMgMAAAAJMzc2ODAzMzM1BAAAAAMxNjAGAAAABUZhbHNlseRxl3kD1gjZSs+ceQPWCDpDSVEuTkFTREFRR1M6QUNBRC5JUV9FQVJOSU5HX0NPLjE5OTIuNi8zMC8yMDE4LkxGUi5GLlVTRC5IAQAAAMFuCgACAAAABy0xNzMuODMBCAAAAAUAAAABMQEAAAAKMTg0MTU4NzUxOQMAAAADMTYwAgAAAAE3BAAAAAEwBwAAAAk2LzMwLzIwMTgIAAAACTMvMzEvMjAxNgkAAAABMHXp4Jt5A9YI58TNnHkD1gg6Q0lRLk5BU0RBUUdTOk1DUkIuSVFfRUFSTklOR19DTy4yMDAwLjYvMzAvMjAxOC5MRlIuRi5VU0QuSAEAAADTYkENAgAAAActOTEuODI1AQgAAAAFAAAAATEBAAAACjE4ODgxMDU0NTEDAAAAAzE2MAIAAAABNwQAAAABMAcAAAAJNi8zMC8yMDE4CAAAAAkzLzMxLzIwMTgJAAAAATDwI+GbeQPWCAGSypx5A9YIGENJUS4uSVFfRklSU1RQUklDSU5HREFURQUAAAABAAAACAAAABQoSW52YWxpZCBJZGVudGlmaWVyKWzC4Jt5A9YIbMLgm3kD1gg+Q0lRLk5BU0RBUUdTOkFDQUQuSVFfVE9UQUxfRVFVSVRZLkNZMjAxNi42LzMwLzIwMTguTEZSLkYuVVNELkgBAAAAwW4KAAIAAAAHNTE4LjQxMQEIAAAABQAAAAExAQAAAAoxODc2MTI1NTM0AwAAAAMxNjACAAAABDEyNzUEAAAAATAHAAAACTYvMzAvMjAxOAgAAAAKMTIvMzEvMjAxNgkAAAABMHXp4Jt5A9YI</t>
  </si>
  <si>
    <t>58TNnHkD1gg9Q0lRLk5BU0RBUUNNOkFTTUIuSVFfQ0FTSF9TVF9JTlZFU1QuMjAwMC4xLzUvMjAxOC5MRlIuRi5VU0QuSAEAAAAQifEFAgAAAAk2Ni4zMDAwNTMBCAAAAAUAAAABMQEAAAAKMTg2MzYwOTg2OQMAAAADMTYwAgAAAAQxMDAyBAAAAAEwBwAAAAgxLzUvMjAxOAgAAAAJOS8zMC8yMDE3CQAAAAEw7fzgm3kD1gj1ZcyceQPWCEBDSVEuT1RDUEs6TkVYUy5JUV9FQklUREFfNVlSX0FOTl9DQUdSLjIwMDAuNi8zMC8yMDE4LkxGUi5GLlVTRC5IAQAAAB29ThQDAAAAAAAyGCCaeQPWCCuLxZx5A9YIPENJUS5OQVNEQVFHUzpaRkdOLklRX0VBUk5JTkdfQ08uQ1kyMDE2LjYvMzAvMjAxOC5MRlIuRi5VU0QuSAEAAACXwLoBAgAAAActNTcuODc4AQgAAAAFAAAAATEBAAAACjE4Nzg3ODkzNzADAAAAAzE2MAIAAAABNwQAAAABMAcAAAAJNi8zMC8yMDE4CAAAAAoxMi8zMS8yMDE2CQAAAAEw8CPhm3kD1ggALsuceQPWCDFDSVEuSVFUUjM4NDAyODQ5Ni5JUV9UUl9UQVJHRVRfUkVWRU5VRV9FU1QuLlVTRC5IAQAAAFDP4xYCAAAABjAuMTM0NQCx5HGXeQPWCF0kz5x5A9YIQ0NJUS5OQVNEQVFHTTpSWVRNLklRX0VCSVREQV8yWVJfQU5OX0NBR1IuMjAwMC42LzMwLzIwMTguTEZSLkYuVVNELkgBAAAAGMltEgMAAAAAAO384Jt5A9YI8AHNnHkD1ggaQ0lRLk9UQ1BLOk5FWFMuSVFfRVhDSEFOR0UBAAAAHb1O</t>
  </si>
  <si>
    <t>FAMAAAAFT1RDUEsALXwfmnkD1gikOsaceQPWCCdDSVEuTkFTREFRR1M6QUNBRC5JUV9CRVRBXzFZUi42LzMwLzIwMTgBAAAAwW4KAAIAAAAQMS44MTA1MDkzODU5MDcwOADsSuGbeQPWCGXYzZx5A9YIKUNJUS5OQVNEQVFHUzpBQ0FELklRX0JVU0lORVNTX0RFU0NSSVBUSU9OAQAAAMFuCgADAAAAqQVBQ0FESUEgUGhhcm1hY2V1dGljYWxzIEluYy4sIGEgYmlvcGhhcm1hY2V1dGljYWwgY29tcGFueSwgZm9jdXNlcyBvbiB0aGUgZGV2ZWxvcG1lbnQgYW5kIGNvbW1lcmNpYWxpemF0aW9uIG9mIHNtYWxsIG1vbGVjdWxlIGRydWdzIHRoYXQgYWRkcmVzcyB1bm1ldCBtZWRpY2FsIG5lZWRzIGluIGNlbnRyYWwgbmVydm91cyBzeXN0ZW0gZGlzb3JkZXJzLiBUaGUgY29tcGFueSBvZmZlcnMgTlVQTEFaSUQgKHBpbWF2YW5zZXJpbikgZm9yIHRoZSB0cmVhdG1lbnQgb2YgaGFsbHVjaW5hdGlvbnMgYW5kIGRlbHVzaW9ucyBhc3NvY2lhdGVkIHdpdGggUGFya2luc29u4oCZcyBkaXNlYXNlIHBzeWNob3Npcy4gSXQgaXMgYWxzbyBkZXZlbG9waW5nIHBpbWF2YW5zZXJpbiBhcyBhIHRyZWF0bWVudCBmb3IgZGVtZW50aWEtcmVsYXRlZCBwc3ljaG9zaXMgYW5kIGFzIGFuIGFkanVuY3RpdmUgdHJlYXRtZW50IGZvciBzY2hpem9waHJlbmlhIHRoYXQgYXJlIGluIHBoYXNlIElJSSBjbGluaWNhbCB0cmlhbHM7</t>
  </si>
  <si>
    <t>IGFuZCBwaW1hdmFuc2VyaW4gYXMgYW4gYWRqdW5jdGl2ZSB0cmVhdG1lbnQgZm9yIG1ham9yIGRlcHJlc3NpdmUgZGlzb3JkZXIuIEFDQURJQSBQaGFybWFjZXV0aWNhbHMgSW5jLiB3YXMgZm91bmRlZCBpbiAxOTkzIGFuZCBpcyBoZWFkcXVhcnRlcmVkIGluIFNhbiBEaWVnbywgQ2FsaWZvcm5pYS4A8dXgm3kD1ghl2M2ceQPWCDxDSVEuTkFTREFRR006UllUTS5JUV9FQVJOSU5HX0NPLkNZMjAxNi42LzMwLzIwMTguTEZSLkYuVVNELkgBAAAAGMltEgIAAAAHLTI1Ljg3MgEIAAAABQAAAAExAQAAAAoxODkzOTA1OTUzAwAAAAMxNjACAAAAATcEAAAAATAHAAAACTYvMzAvMjAxOAgAAAAKMTIvMzEvMjAxNgkAAAABMHXp4Jt5A9YI7CjNnHkD1gghQ0lRLklRMzA5MTg0NzkyLklRX0NPTVBBTllfVElDS0VSAQAAABjJbRIDAAAADU5hc2RhcUdNOlJZVE0Asb1xl3kD1ggkq9OXeQPWCCVDSVEuSVFUUjMyMjQ2NzYyNS5JUV9UUl9NQUpfTUlOX1NUQUtFAQAAACl3OBMDAAAACE1ham9yaXR5ADL4cZd5A9YI3Q3QnHkD1gg1Q0lRLk5BU0RBUUdNOlJZVE0uSVFfREFfQ0YuMjAwMC42LzMwLzIwMTguTEZSLkYuVVNELkgBAAAAGMltEgIAAAAEMC4yMwEIAAAABQAAAAExAQAAAAoxODg4OTExNDcwAwAAAAMxNjACAAAABDIxNjAEAAAAATAHAAAACTYvMzAvMjAxOAgAAAAJMy8zMS8yMDE4CQAAAAEw7fzgm3kD1ghp</t>
  </si>
  <si>
    <t>is2ceQPWCEZDSVEuTkFTREFRR1M6QUNBRC5JUV9UT1RBTF9SRVZfM1lSX0FOTl9DQUdSLjIwMDAuNi8zMC8yMDE4LkxGUi5GLlVTRC5IAQAAAMFuCgACAAAACTEwOTAuMTk1NAEIAAAABQAAAAExAQAAAAoxODg2NjI3NTM2AwAAAAMxNjACAAAABDQyMjAEAAAAATAHAAAACTYvMzAvMjAxOAgAAAAJMy8zMS8yMDE4CQAAAAEwdengm3kD1ghpsc2ceQPWCD9DSVEuTkFTREFRR1M6QUNBRC5JUV9ORVRfV09SS0lOR19DQVAuMTk5Ni42LzMwLzIwMTguTEZSLkYuVVNELkgBAAAAwW4KAAIAAAAHLTI0Ljk5MwEIAAAABQAAAAExAQAAAAoxODg2NjI3NTYzAwAAAAMxNjACAAAABDEzMTEEAAAAATAHAAAACTYvMzAvMjAxOAgAAAAJMy8zMS8yMDE3CQAAAAEw8dXgm3kD1gjn682ceQPWCDtDSVEuVFNYVjpDT0IuVS5JUV9UT1RBTF9FUVVJVFkuQ1kyMDE2LjYvMzAvMjAxOC5MRlIuRi5VU0QuSAEAAAC/+wAIAgAAAAg4LjY5Nzk3NAEIAAAABQAAAAExAQAAAAoxODgxMTcyNTY1AwAAAAMxNjACAAAABDEyNzUEAAAAATAHAAAACTYvMzAvMjAxOAgAAAAKMTIvMzEvMjAxNgkAAAABMLi2H5p5A9YICs/JnHkD1gg3Q0lRLkFNRVg6U1lOLklRX0VCSVREQV9FU1QuQ1kyMDIwLjYvMzAvMjAxOC5DT04uRi5VU0QuSAEAAABtsHQBAwAAAAAANqMfmnkD1gghnMaceQPWCEVDSVEuKElOVkFMSUQgSURFTlRJRklFUikuSVFfQ0FT</t>
  </si>
  <si>
    <t>SF9TVF9JTlZFU1QuMjAwMC42LzMwLzIwMTguTEZSLkYuVVNELkgFAAAAAAAAAAgAAAAUKEludmFsaWQgSWRlbnRpZmllcikxZiCaeQPWCLLbxJx5A9YIPkNJUS5OQVNEQVFHUzpBQ0FELklRX0NBU0hfU1RfSU5WRVNULjIwMDAuNi8zMC8yMDE4LkxGUi5GLlVTRC5IAQAAAMFuCgACAAAABzI5OC4wNjMBCAAAAAUAAAABMQEAAAAKMTg4NjYyNzUzNgMAAAADMTYwAgAAAAQxMDAyBAAAAAEwBwAAAAk2LzMwLzIwMTgIAAAACTMvMzEvMjAxOAkAAAABMPHV4Jt5A9YIZzrOnHkD1ghEQ0lRLihJTlZBTElEIElERU5USUZJRVIpLklRX1JFVkVOVUVfRVNULkNZMjAyMC42LzMwLzIwMTguQ09OLkYuVVNELkgFAAAAAAAAAAgAAAAUKEludmFsaWQgSWRlbnRpZmllcim4th+aeQPWCDHIxJx5A9YIKUNJUS5JUVRSMzE4NTQyMjEwLklRX1RSX0lNUExJRURfRVFfTklfTFRNAQAAAIKR/BICAAAAAAAy+HGXeQPWCFdv0Jx5A9YIKENJUS5BSU06T1BUSS5JUV9NQVJLRVRDQVAuMS81LzIwMTguVVNELkgBAAAAM9u1BwIAAAAJNzIuMDg5MjY5AQYAAAAFAAAAATEBAAAACjE4NTcwMTMzMjEDAAAAAzE2MAIAAAAGMTAwMDU0BAAAAAEwBwAAAAgxLzUvMjAxOC18H5p5A9YIHcHHnHkD1gg/Q0lRLk5BU0RBUUdTOlZZR1IuSVFfTkVUX1dPUktJTkdfQ0FQLjIwMDAuNi8zMC8yMDE4LkxGUi5GLlVTRC5IAQAAAF7MTw8CAAAABy0y</t>
  </si>
  <si>
    <t>OC41MDcBCAAAAAUAAAABMQEAAAAKMTg4ODQ4MDU5MwMAAAADMTYwAgAAAAQxMzExBAAAAAEwBwAAAAk2LzMwLzIwMTgIAAAACTMvMzEvMjAxOAkAAAABMHIQ4Zt5A9YI9/DLnHkD1gglQ0lRLklRVFIyNzI3NzYzMzguSVFfVFJfSU1QTElFRF9FUV9CVgEAAACSPEIQAwAAAAJOTQBoC3KXeQPWCFXk0Jx5A9YIJUNJUS5JUVRSMzg0MDI4NDk2LklRX1RSX01BSl9NSU5fU1RBS0UBAAAAUM/jFgMAAAAITWFqb3JpdHkANtFxl3kD1gjmEM+ceQPWCDBDSVEuSVFUUjU0MTI4MzcwMC5JUV9UUl9UQVJHRVRfRUJJVERBX0VTVC4uVVNELkgBAAAAdFVDIAIAAAAAADbRcZd5A9YI6unOnHkD1gguQ0lRLklRVFIyNzI3NzYzMzguSVFfVFJfVEFSR0VUX1NUT0NLUFJFTUlVTV8xTQEAAACSPEIQAgAAAAAAaAtyl3kD1ghV5NCceQPWCChDSVEuQUlNOk9QVEkuSVFfRElWSURFTkRfWUlFTEQuNi8zMC8yMDE4AQAAADPbtQcDAAAAAAAtfB+aeQPWCB3ox5x5A9YISkNJUS4oSU5WQUxJRCBJREVOVElGSUVSKS5JUV9FQklUREFfNVlSX0FOTl9DQUdSLjIwMDAuNi8zMC8yMDE4LkxGUi5GLlVTRC5IBQAAAAAAAAAIAAAAFChJbnZhbGlkIElkZW50aWZpZXIpMWYgmnkD1gi0P8SceQPWCDlDSVEuTkFTREFRQ006QVNNQi5JUV9UT1RBTF9SRVYuMjAwMC42LzMwLzIwMTguTEZSLkYuVVNELkgBAAAAEInxBQIAAAAJMTEuODk5NDQx</t>
  </si>
  <si>
    <t>AQgAAAAFAAAAATEBAAAACjE4ODcyMzUwNzgDAAAAAzE2MAIAAAACMjgEAAAAATAHAAAACTYvMzAvMjAxOAgAAAAJMy8zMS8yMDE4CQAAAAEw7fzgm3kD1gjx2syceQPWCCRDSVEuQUlNOk9QVEkuSVFfQlVTSU5FU1NfREVTQ1JJUFRJT04BAAAAM9u1BwMAAADCBk9wdGliaW90aXggSGVhbHRoIFBsYywgYSBsaWZlIHNjaWVuY2VzIGNvbXBhbnksIGVuZ2FnZXMgaW4gdGhlIHJlc2VhcmNoIGFuZCBkZXZlbG9wbWVudCBvZiBtaWNyb2Jpb21lIG1vZHVsYXRvcnMgcHJpbWFyaWx5IGluIHRoZSBVbml0ZWQgS2luZ2RvbS4gVGhlIGNvbXBhbnkgaXMgZGV2ZWxvcGluZyBtaWNyb2JpYWwgc3RyYWlucywgY29tcG91bmRzLCBhbmQgZm9ybXVsYXRpb25zLCB3aGljaCBtb2R1bGF0ZXMgdGhlIGh1bWFuIG1pY3JvYmlvbWUgYW5kIGltcGFjdHMgbGlwaWQgYW5kIGNob2xlc3Rlcm9sIG1hbmFnZW1lbnQsIGVuZXJneSBoYXJ2ZXN0LCBhbmQgYXBwZXRpdGUgc3VwcHJlc3Npb24gYWN0aXZpdGllcy4gSXRzIHByb2R1Y3RzIGluY2x1ZGUgU2xpbWJpb21lLCBhIG5hdHVyYWwgaW5ncmVkaWVudCwgd2hpY2ggc3VwcG9ydHMgc2NpZW50aWZpY2FsbHkgc3Vic3RhbnRpYXRlZCB3ZWlnaHQgbG9zcyBjbGFpbXM7IENob2xCaW9tZSwgYSBmb29kIHN1cHBsZW1lbnQgdGhhdCBjb21iaW5lcyBuYXR1cmFsIGluZ3JlZGll</t>
  </si>
  <si>
    <t>bnRzIGFuZCBtYWludGFpbnMgaGVhbHRoeSBjaG9sZXN0ZXJvbCBsZXZlbHMgZnJvbSB3aXRoaW47IENhcmRpb0Jpb21lLCBhIG5vbi1waGFybWFjZXV0aWNhbCBhcHByb2FjaCBmb3IgdGhlIG1haW50ZW5hbmNlIG9mIGNhcmRpb3Zhc2N1bGFyIGFuZCBoZWFydCBoZWFsdGg7IGFuZCBTd2VldGJpb3RpeCwgYSBzd2VldCBjYWxvcmllIGZyZWUgbmF0dXJhbCBoZWFsdGh5IHN1Z2FyLiBPcHRpYmlvdGl4IEhlYWx0aCBQbGMgd2FzIGZvdW5kZWQgaW4gMjAxMiBhbmQgaXMgYmFzZWQgaW4gWW9yaywgdGhlIFVuaXRlZCBLaW5nZG9tLgAtfB+aeQPWCB3ox5x5A9YIP0NJUS5OQVNEQVFHTTpSWVRNLklRX05FVF9XT1JLSU5HX0NBUC4xOTk2LjYvMzAvMjAxOC5MRlIuRi5VU0QuSAEAAAAYyW0SAgAAAAUtMy4yMQEIAAAABQAAAAExAQAAAAoxODg4OTExNDUzAwAAAAMxNjACAAAABDEzMTEEAAAAATAHAAAACTYvMzAvMjAxOAgAAAAJMy8zMS8yMDE3CQAAAAEwdengm3kD1gjsT82ceQPWCENDSVEuTkFTREFRR1M6VllHUi5JUV9FQklUREFfM1lSX0FOTl9DQUdSLjIwMDAuNi8zMC8yMDE4LkxGUi5GLlVTRC5IAQAAAF7MTw8DAAAAAk5NAQgAAAAFAAAAATEBAAAACjE4ODg0ODA1OTMDAAAAAzE2MAIAAAAENDIyMgQAAAABMAcAAAAJNi8zMC8yMDE4CAAAAAkzLzMxLzIwMTgJAAAAATByEOGbeQPWCHy2y5x5A9YI</t>
  </si>
  <si>
    <t>PENJUS5OQVNEQVFDTTpTTE5PLklRX1RPVEFMX0VRVUlUWS4xOTkyLjYvMzAvMjAxOC5MRlIuRi5VU0QuSAEAAADpdSYAAgAAAAU1LjgzNAEIAAAABQAAAAExAQAAAAoxODQxODM4MjA0AwAAAAMxNjACAAAABDEyNzUEAAAAATAHAAAACTYvMzAvMjAxOAgAAAAJMy8zMS8yMDE2CQAAAAEwNfEfmnkD1gieJMeceQPWCCBDSVEuQU1FWDpTWU4uSVFfRklSU1RQUklDSU5HREFURQEAAABtsHQBBQAAAAkxMS8xLzIwMDYAu48fmnkD1ggg6saceQPWCClDSVEuSVFUUjU0MTI4MzcwMC5JUV9UUl9JTVBMSUVEX0VRX05JX0xUTQEAAAB0VUMgAgAAAAAANtFxl3kD1gjq6c6ceQPWCC9DSVEuSVFUUjU0NzMzODgxNC5JUV9UUl9JTVBMSUVEX0VWX0ZJTkFMLi5VU0QuSAEAAAA+up8gAgAAAAAANtFxl3kD1ghlr86ceQPWCDxDSVEuTkFTREFRQ006QVNNQi5JUV9FQklUREFfRVNULkNZMjAxOS42LzMwLzIwMTguQ09OLkYuVVNELkgBAAAAEInxBQMAAAAAAG434Zt5A9YI8bPMnHkD1ggiQ0lRLklRVFIzNzg1ODc4MjIuSVFfVFJfVE9UQUxfQ0FTSAEAAACuypAWAgAAAAMxNTABBgAAAAUAAAACNTQBAAAABjEwMTA1NgIAAAAJMzc4NTg3ODIyAwAAAAkzNzg1OTk4MDQEAAAAAzE2MAYAAAAFRmFsc2Wx5HGXeQPWCNSYz5x5A9YILUNJUS5OQVNEQVFHUzpWWUdSLklRX0RJVklERU5EX1lJRUxELjYvMzAvMjAxOAEAAABezE8P</t>
  </si>
  <si>
    <t>AwAAAAAA8dXgm3kD1gh53cuceQPWCCNDSVEuSVFUUjM0MDcwNDg2NS5JUV9UUl9UT1RBTF9TVE9DSwEAAABhvk4UAgAAAAAAseRxl3kD1ghb+s+ceQPWCDtDSVEuVFNYVjpDT0IuVS5JUV9UT1RBTF9FUVVJVFkuQ1kyMDE3LjYvMzAvMjAxOC5MRlIuRi5VU0QuSAEAAAC/+wAIAgAAAAg3LjYxODkxMwEIAAAABQAAAAExAQAAAAoxODgxMTcyNTgwAwAAAAMxNjACAAAABDEyNzUEAAAAATAHAAAACTYvMzAvMjAxOAgAAAAKMTIvMzEvMjAxNwkAAAABMLi2H5p5A9YICs/JnHkD1gguQ0lRLk5BU0RBUUNNOkFTTUIuSVFfTUFSS0VUQ0FQLjYvMzAvMjAxOC5VU0QuSAEAAAAQifEFAgAAAAo4MDUuNzkzNjUzAQYAAAAFAAAAATEBAAAACjE4ODcyMzQ2ODEDAAAAAzE2MAIAAAAGMTAwMDU0BAAAAAEwBwAAAAk2LzMwLzIwMTjx1eCbeQPWCG/uzJx5A9YIR0NJUS5OQVNEQVFHUzpNQ1JCLklRX01JTk9SSVRZX0lOVEVSRVNUX1RPVEFMLjIwMDAuNi8zMC8yMDE4LkxGUi5GLlVTRC5IAQAAANNiQQ0DAAAAAADwI+GbeQPWCH/zypx5A9YIOUNJUS5PVENQSzpORVhTLklRX1RPVEFMX0VRVUlUWS4xOTkyLjYvMzAvMjAxOC5MRlIuRi5VU0QuSAEAAAAdvU4UAwAAAAAAMhggmnkD1gipxcWceQPWCDxDSVEuTkFTREFRQ006QVZYTC5JUV9FQVJOSU5HX0NPLkNZMjAxNi42LzMwLzIwMTguTEZSLkYuVVNELkgBAAAAYzjPAAIA</t>
  </si>
  <si>
    <t>AAAKLTEzLjkyODg0OAEIAAAABQAAAAExAQAAAAoxODczNTQzMzc3AwAAAAMxNjACAAAAATcEAAAAATAHAAAACTYvMzAvMjAxOAgAAAAKMTIvMzEvMjAxNgkAAAABMLfdH5p5A9YIG4TInHkD1ggeQ0lRLklRMzYxODM4NDMuSVFfQ09NUEFOWV9OQU1FAQAAACMfKAIDAAAAMlVuaXRlZCBTdGF0ZXMgVHJlYXN1cnkgQ29uc3RhbnQgTWF0dXJpdHkgLSAzMCBZZWFyALG9cZd5A9YIbA3Ml3kD1ggiQ0lRLlRTWFY6Q09CLlUuSVFfRklSU1RQUklDSU5HREFURQEAAAC/+wAIBQAAAAgxLzgvMjAxNQDx1eCbeQPWCIRXypx5A9YIOUNJUS5UU1hWOkNPQi5VLklRX0VBUk5JTkdfQ08uQ1kyMDE3LjYvMzAvMjAxOC5MRlIuRi5VU0QuSAEAAAC/+wAIAgAAAAktOS44MzMxNTIBCAAAAAUAAAABMQEAAAAKMTg4MTE3MjU4MAMAAAADMTYwAgAAAAE3BAAAAAEwBwAAAAk2LzMwLzIwMTgIAAAACjEyLzMxLzIwMTcJAAAAATC4th+aeQPWCIjiyZx5A9YIKUNJUS5JUTM2MTgzODI1LklRX0xBU1RTQUxFUFJJQ0UuNi8zMC8yMDE4AQAAABEfKAICAAAABDIuNTIAOqpxl3kD1gjodM6ceQPWCDxDSVEuTkFTREFRR006UllUTS5JUV9FQklUREFfRVNULkNZMjAxOC42LzMwLzIwMTguQ09OLkYuVVNELkgBAAAAGMltEgIAAAAJLTUxLjg4NTMxAQ4AAAAFAAAAAjExAQAAAAEwAgAAAAoxMDAzODk5MzQxAwAAAAYxMDAxODcEAAAAATIG</t>
  </si>
  <si>
    <t>AAAAATAHAAAAAzE2MAgAAAABMAkAAAABMQoAAAABMAsAAAALMTA5MzYxNjA4MDgMAAAAATcNAAAACDcvMS8yMDE4EAAAAAk2LzMwLzIwMThuN+GbeQPWCGpjzZx5A9YIK0NJUS5JUVRSMzc2Nzk5MjMyLklRX1RSX0lNUExJRURfRVZfRUJJVF9GV0QBAAAAAIB1FgMAAAACTk0AseRxl3kD1gjZSs+ceQPWCC1DSVEuTkFTREFRQ006UlRUUi5JUV9ESVZJREVORF9ZSUVMRC42LzMwLzIwMTgBAAAAH5qzAwMAAAAAAC18H5p5A9YIrinFnHkD1ggvQ0lRLklRVFIzMTg1NDIyMTAuSVFfVFJfSU1QTElFRF9FVl9GSU5BTC4uVVNELkgBAAAAgpH8EgIAAAAAADL4cZd5A9YIV2/QnHkD1gg3Q0lRLlRTWFY6Q09CLlUuSVFfRUFSTklOR19DTy4xOTkyLjYvMzAvMjAxOC5MRlIuRi5VU0QuSAEAAAC/+wAIAgAAAAktNC4zMTMyNDUBCAAAAAUAAAABMQEAAAAKMTg0Mjc1ODgxMAMAAAADMTYwAgAAAAE3BAAAAAEwBwAAAAk2LzMwLzIwMTgIAAAACTMvMzEvMjAxNgkAAAABMLi2H5p5A9YIiOLJnHkD1gg6Q0lRLk5BU0RBUUdTOlpGR04uSVFfVE9UQUxfREVCVC4yMDAwLjYvMzAvMjAxOC5MRlIuRi5VU0QuSAEAAACXwLoBAgAAAAUyMC4xNgEIAAAABQAAAAExAQAAAAoxODg5ODk1MzgxAwAAAAMxNjACAAAABDQxNzMEAAAAATAHAAAACTYvMzAvMjAxOAgAAAAJMy8zMS8yMDE4CQAAAAEwchDhm3kD1gh5j8uceQPWCDhDSVEu</t>
  </si>
  <si>
    <t>TkFTREFRR1M6TUNSQi5JUV9FQklUREEuQ1kyMDE3LjYvMzAvMjAxOC5MRlIuRi5VU0QuSAEAAADTYkENAgAAAActODQuMTM2AQgAAAAFAAAAATEBAAAACjE4Nzc1NTU0MzUDAAAAAzE2MAIAAAAENDA1MQQAAAABMAcAAAAJNi8zMC8yMDE4CAAAAAoxMi8zMS8yMDE3CQAAAAEw8CPhm3kD1giCzMqceQPWCDlDSVEuQU1FWDpTWU4uSVFfVE9UQUxfRVFVSVRZLkNZMjAxNi42LzMwLzIwMTguTEZSLkYuVVNELkgBAAAAbbB0AQIAAAAFMi4yNDkBCAAAAAUAAAABMQEAAAAKMTg3NTQ2OTUxMAMAAAADMTYwAgAAAAQxMjc1BAAAAAEwBwAAAAk2LzMwLzIwMTgIAAAACjEyLzMxLzIwMTYJAAAAATC3BCCaeQPWCKRhxpx5A9YIJUNJUS5JUVRSMzc0MzMxNTg2LklRX1BSSU1BUllfSU5EVVNUUlkBAAAALjX5EgMAAAANQmlvdGVjaG5vbG9neQA6qnGXeQPWCNS/z5x5A9YIMUNJUS5JUVRSNTYwMjUwMjY2LklRX1RSX1RBUkdFVF9SRVZFTlVFX0VTVC4uVVNELkgBAAAAmr1kIQIAAAAAADbRcZd5A9YI55vOnHkD1ggiQ0lRLklRVFIzMzAzMjQyODUuSVFfVFJfUENUX1NPVUdIVAEAAAA9WbATAgAAAAMxMDAANtFxl3kD1ghh/c6ceQPWCDFDSVEuSVFUUjI0Mzc0NDMwNi5JUV9UUl9UQVJHRVRfUkVWRU5VRV9FU1QuLlVTRC5IAQAAADI+hw4CAAAACDI1NS4zOTQ3AGgLcpd5A9YIVQvRnHkD1gg+Q0lRLk5BU0RBUUdTOlZZ</t>
  </si>
  <si>
    <t>R1IuSVFfQ0FTSF9TVF9JTlZFU1QuMjAwMC42LzMwLzIwMTguTEZSLkYuVVNELkgBAAAAXsxPDwIAAAAHMjE4LjE5OAEIAAAABQAAAAExAQAAAAoxODg4NDgwNTkzAwAAAAMxNjACAAAABDEwMDIEAAAAATAHAAAACTYvMzAvMjAxOAgAAAAJMy8zMS8yMDE4CQAAAAEwchDhm3kD1gj2PsyceQPWCDtDSVEuT1RDUEs6TkVYUy5JUV9UT1RBTF9FUVVJVFkuQ1kyMDE2LjYvMzAvMjAxOC5MRlIuRi5VU0QuSAEAAAAdvU4UAgAAAAktMS4zNDQ2MjUBCAAAAAUAAAABMQEAAAAKMTgzNTUxMDEyOQMAAAADMTYwAgAAAAQxMjc1BAAAAAEwBwAAAAk2LzMwLzIwMTgIAAAACjExLzMwLzIwMTYJAAAAATAyGCCaeQPWCCuyxZx5A9YIRkNJUS5OQVNEQVFHUzpWVlVTLklRX1RPVEFMX1JFVl8zWVJfQU5OX0NBR1IuMjAwMC42LzMwLzIwMTguTEZSLkYuVVNELkgBAAAALo4AAAIAAAAILTIyLjg5NzkBCAAAAAUAAAABMQEAAAAKMTg4NzQ0NDMyOAMAAAADMTYwAgAAAAQ0MjIwBAAAAAEwBwAAAAk2LzMwLzIwMTgIAAAACTMvMzEvMjAxOAkAAAABMDbKH5p5A9YIogzJnHkD1gggQ0lRLklRMzYxODM4MjUuSVFfTEFTVFNBTEVQUklDRS4BAAAAER8oAgIAAAAEMi42MQDx1eCbeQPWCPHV4Jt5A9YIOUNJUS5OQVNEQVFDTTpBVlhMLklRX1RPVEFMX1JFVi4xOTkyLjYvMzAvMjAxOC5MRlIuRi5VU0QuSAEAAABjOM8AAwAAAAAAt90f</t>
  </si>
  <si>
    <t>mnkD1giV5ciceQPWCDlDSVEuTkFTREFRQ006UlRUUi5JUV9OSV9NQVJHSU4uMjAwMC42LzMwLzIwMTguTEZSLkYuVVNELkgBAAAAH5qzAwMAAAAAADIYIJp5A9YIrlDFnHkD1gg8Q0lRLk5BU0RBUUNNOkFWWEwuSVFfRUFSTklOR19DTy5DWTIwMTcuNi8zMC8yMDE4LkxGUi5GLlVTRC5IAQAAAGM4zwACAAAACi0xNC4zNzI5MTEBCAAAAAUAAAABMQEAAAAKMTg3MzU0MzM4MgMAAAADMTYwAgAAAAE3BAAAAAEwBwAAAAk2LzMwLzIwMTgIAAAACjEyLzMxLzIwMTcJAAAAATC33R+aeQPWCBuEyJx5A9YIIkNJUS5JUVRSMjcyNzc2MzM4LklRX1RSX1BDVF9TT1VHSFQBAAAAkjxCEAIAAAADMTAwAGgLcpd5A9YI1NDQnHkD1ggrQ0lRLklRVFIzMTg1NDIyMTAuSVFfVFJfSU1QTElFRF9FVl9FQklUX0ZXRAEAAACCkfwSAgAAAAAAMvhxl3kD1gjYgtCceQPWCDlDSVEuTkFTREFRQ006QVNNQi5JUV9UT1RBTF9ERUJULjIwMDAuMS81LzIwMTguTEZSLkYuVVNELkgBAAAAEInxBQIAAAABMAEIAAAABQAAAAExAQAAAAoxODYzNjA5ODY5AwAAAAMxNjACAAAABDQxNzMEAAAAATAHAAAACDEvNS8yMDE4CAAAAAk5LzMwLzIwMTcJAAAAATDt/OCbeQPWCPVlzJx5A9YIQUNJUS5BSU06T1BUSS5JUV9UT1RBTF9SRVZfMllSX0FOTl9DQUdSLjIwMDAuNi8zMC8yMDE4LkxGUi5GLlVTRC5IAQAAADPbtQcCAAAACDE2MC4zMDA2</t>
  </si>
  <si>
    <t>AQgAAAAFAAAAATEBAAAACjE4OTEwMjIwNzYDAAAAAjU1AgAAAAQ0MjA3BAAAAAEwBwAAAAk2LzMwLzIwMTgIAAAACjExLzMwLzIwMTcJAAAAATA18R+aeQPWCB3Bx5x5A9YIPENJUS5OQVNEQVFHUzpWWUdSLklRX0dST1NTX01BUkdJTi4yMDAwLjYvMzAvMjAxOC5MRlIuRi5VU0QuSAEAAABezE8PAwAAAAJOTQEIAAAABQAAAAExAQAAAAoxODg4NDgwNTkzAwAAAAMxNjACAAAABDQwNzQEAAAAATAHAAAACTYvMzAvMjAxOAgAAAAJMy8zMS8yMDE4CQAAAAEwchDhm3kD1gh1BMyceQPWCCNDSVEuSVFUUjU0MTI4MzcwMC5JUV9UUl9DTE9TRURfREFURQEAAAB0VUMgBQAAAAoxMC8yMy8yMDE3ADbRcZd5A9YIuj3Ql3kD1gg6Q0lRLlRTWFY6Q09CLlUuSVFfUkVWRU5VRV9FU1QuQ1kyMDE4LjYvMzAvMjAxOC5DT04uRi5VU0QuSAEAAAC/+wAIAwAAAAAAu48fmnkD1giIMMqceQPWCCdDSVEuTkFTREFRR1M6VlZVUy5JUV9CRVRBXzFZUi42LzMwLzIwMTgBAAAALo4AAAIAAAASMC4wMzc2NjYxMDMwNzA3MjE0AK95IJp5A9YIrjPJnHkD1gg1Q0lRLkFNRVg6U1lOLklRX0VBUk5JTkdfQ08uMTk5Ni42LzMwLzIwMTguTEZSLkYuVVNELkgBAAAAbbB0AQIAAAAHLTE5Ljc4MwEIAAAABQAAAAExAQAAAAoxODg3NDA4Njk2AwAAAAMxNjACAAAAATcEAAAAATAHAAAACTYvMzAvMjAxOAgAAAAJMy8zMS8yMDE3CQAAAAEw</t>
  </si>
  <si>
    <t>twQgmnkD1ggidcaceQPWCDxDSVEuTkFTREFRQ006QVNNQi5JUV9FQVJOSU5HX0NPLkNZMjAxNi42LzMwLzIwMTguTEZSLkYuVVNELkgBAAAAEInxBQIAAAAKLTQ0LjI2MTU2MgEIAAAABQAAAAExAQAAAAoxODc3NDA3NTg2AwAAAAMxNjACAAAAATcEAAAAATAHAAAACTYvMzAvMjAxOAgAAAAKMTIvMzEvMjAxNgkAAAABMO384Jt5A9YIc3nMnHkD1ggvQ0lRLklRVFIyNDM3NDQzMDYuSVFfVFJfSU1QTElFRF9FVl9GSU5BTC4uVVNELkgBAAAAMj6HDgIAAAALNzI0OC41NTk0NzUBBgAAAAUAAAACNTQBAAAABjEwMjA0NQIAAAAJMjQzNzQ0MzA2AwAAAAkyNDM3NDQ0MTAEAAAAAzE2MAYAAAAFRmFsc2VoC3KXeQPWCNP30Jx5A9YIIUNJUS5JUVRSNTQxMjgzNzAwLklRX1RSX0JVWUVSTkFNRQEAAAB0VUMgAwAAABhGaW5jaCBUaGVyYXBldXRpY3MgR3JvdXAANtFxl3kD1ghi1s6ceQPWCDVDSVEuTkFTREFRQ006QVNNQi5JUV9DQVBFWC4xOTkyLjYvMzAvMjAxOC5MRlIuRi5VU0QuSAEAAAAQifEFAgAAAAktMC4wMjk3MTMBCAAAAAUAAAABMQEAAAAKMTg0MDY1MzM0OQMAAAADMTYwAgAAAAQyMDIxBAAAAAEwBwAAAAk2LzMwLzIwMTgIAAAACTMvMzEvMjAxNgkAAAABMO384Jt5A9YIc6DMnHkD1gg9Q0lRLk5BU0RBUUNNOlNMTk8uSVFfUkVWRU5VRV9FU1QuQ1kyMDIwLjYvMzAvMjAxOC5DT04uRi5VU0QuSAEA</t>
  </si>
  <si>
    <t>AADpdSYAAgAAAAQxLjI1AQ4AAAAFAAAAAjExAQAAAAEwAgAAAAoxMDAzMDM0MjAzAwAAAAYxMDAxODAEAAAAATIGAAAAATAHAAAAAzE2MAgAAAABMAkAAAABMQoAAAABMAsAAAALMTA5Mzc2NzE5ODYMAAAAATcNAAAACDcvMS8yMDE4EAAAAAk2LzMwLzIwMTg2ox+aeQPWCJpyx5x5A9YIOUNJUS5OQVNEQVFHUzpNQ1JCLklRX1RPVEFMX1JFVi4xOTkyLjYvMzAvMjAxOC5MRlIuRi5VU0QuSAEAAADTYkENAgAAAAQyLjcxAQgAAAAFAAAAATEBAAAACjE4NDA1MTc5MzQDAAAAAzE2MAIAAAACMjgEAAAAATAHAAAACTYvMzAvMjAxOAgAAAAJMy8zMS8yMDE2CQAAAAEw8CPhm3kD1ggB4MqceQPWCERDSVEuVFNYVjpDT0IuVS5JUV9NSU5PUklUWV9JTlRFUkVTVF9UT1RBTC4yMDAwLjYvMzAvMjAxOC5MRlIuRi5VU0QuSAEAAAC/+wAIAwAAAAAAbjfhm3kD1ggGRMqceQPWCD9DSVEuTkFTREFRR1M6VlZVUy5JUV9ORVRfV09SS0lOR19DQVAuMTk5Mi42LzMwLzIwMTguTEZSLkYuVVNELkgBAAAALo4AAAIAAAAGLTcuNTczAQgAAAAFAAAAATEBAAAACjE4NDA2NTE5NzADAAAAAzE2MAIAAAAEMTMxMQQAAAABMAcAAAAJNi8zMC8yMDE4CAAAAAkzLzMxLzIwMTYJAAAAATA2yh+aeQPWCBVHyZx5A9YILUNJUS5OQVNEQVFHUzpaRkdOLklRX01BUktFVENBUC4xLzUvMjAxOC5VU0QuSAEAAACXwLoBAgAAAAoxNTIuNTY2</t>
  </si>
  <si>
    <t>NDg2AQYAAAAFAAAAATEBAAAACjE4NjU0NjM4ODADAAAAAzE2MAIAAAAGMTAwMDU0BAAAAAEwBwAAAAgxLzUvMjAxOPHV4Jt5A9YIAC7LnHkD1gglQ0lRLklRVFIzMjUyMzM0NjEuSVFfUFJJTUFSWV9JTkRVU1RSWQEAAADZp2ITAwAAAA1CaW90ZWNobm9sb2d5ADqqcZd5A9YI2TTQnHkD1ggrQ0lRLklRVFIyNzI3NzYzMzguSVFfVFJfSU1QTElFRF9FVl9FQklUX0ZXRAEAAACSPEIQAgAAAAAAaAtyl3kD1ghV5NCceQPWCCFDSVEuSVFUUjU0NzMzODgxNC5JUV9UUl9CVVlFUk5BTUUBAAAAPrqfIAMAAAAJQmlvbVggTHRkADbRcZd5A9YIZa/OnHkD1gg1Q0lRLk5BU0RBUUdTOlZWVVMuSVFfREFfQ0YuMjAwMC42LzMwLzIwMTguTEZSLkYuVVNELkgBAAAALo4AAAIAAAAFMC43MTYBCAAAAAUAAAABMQEAAAAKMTg4NzQ0NDMyOAMAAAADMTYwAgAAAAQyMTYwBAAAAAEwBwAAAAk2LzMwLzIwMTgIAAAACTMvMzEvMjAxOAkAAAABMDbKH5p5A9YIiZTJnHkD1ggrQ0lRLklRVFIyNDM3NDQzMDYuSVFfVFJfSU1QTElFRF9FVl9FQklUX0ZXRAEAAAAyPocOAgAAAAkxMTguOTk5MjkBBgAAAAUAAAACNTQBAAAABjExMzM5NgIAAAAJMjQzNzQ0MzA2AwAAAAkyNDM3NDQzMDYEAAAAAzE2MAYAAAAFRmFsc2VoC3KXeQPWCFUL0Zx5A9YIKENJUS5BTUVYOlNZTi5JUV9ESVZJREVORF9ZSUVMRC42LzMwLzIwMTgBAAAAbbB0</t>
  </si>
  <si>
    <t>AQMAAAAAAC18H5p5A9YIInXGnHkD1ggkQ0lRLk5BU0RBUUdTOkFDQUQuSVFfRUZGRUNUX1RBWF9SQVRFAQAAAMFuCgADAAAAAk5NAQgAAAAFAAAAATEBAAAACjE4OTkyNzc4MzcDAAAAAzE2MAIAAAAENDM3NgQAAAABMAcAAAAJOC8xNi8yMDE4CAAAAAk2LzMwLzIwMTgJAAAAATB16eCbeQPWCGmxzZx5A9YIKkNJUS5JUVRSMzEwMjI5MTg4LklRX1RSX1RBUkdFVF9FQklULi5VU0QuSAEAAADEuH0SAgAAAAAAMvhxl3kD1ghWltCceQPWCDFDSVEuSVFUUjMzMDMyNDI4NS5JUV9UUl9UQVJHRVRfUkVWRU5VRV9FU1QuLlVTRC5IAQAAAD1ZsBMCAAAAAAA20XGXeQPWCOYQz5x5A9YIP0NJUS5OQVNEQVFHTTpSWVRNLklRX05FVF9XT1JLSU5HX0NBUC4xOTkyLjYvMzAvMjAxOC5MRlIuRi5VU0QuSAEAAAAYyW0SAwAAAAAAdengm3kD1gjsT82ceQPWCDhDSVEuQUlNOk9QVEkuSVFfUkVWRU5VRV9FU1QuQ1kyMDIxLjYvMzAvMjAxOC5DT04uRi5VU0QuSAEAAAAz27UHAwAAAAAAu48fmnkD1gieIsiceQPWCCBDSVEuSVFUUjU0MTI4MzcwMC5JUV9UUl9FQVJOT1VUUwEAAAB0VUMgAgAAAAAANtFxl3kD1ghi1s6ceQPWCDVDSVEuTkFTREFRR1M6TUNSQi5JUV9DQVBFWC4xOTkyLjYvMzAvMjAxOC5MRlIuRi5VU0QuSAEAAADTYkENAgAAAAYtNy41NDgBCAAAAAUAAAABMQEAAAAKMTg0MDUxNzkzNAMAAAADMTYwAgAA</t>
  </si>
  <si>
    <t>AAQyMDIxBAAAAAEwBwAAAAk2LzMwLzIwMTgIAAAACTMvMzEvMjAxNgkAAAABMPAj4Zt5A9YIg6XKnHkD1ggpQ0lRLklRVFIzMTAyMjkxODguSVFfQlVTSU5FU1NfREVTQ1JJUFRJT04BAAAAXLh9EgMAAADcBEFzIG9mIE9jdG9iZXIgMzAsIDIwMTUsIENhbGlicml1bSBMTEMgYW5kIE1CMiBMTEMgd2FzIGFjcXVpcmVkIGJ5IE5vdm8gTm9yZGlzayBBL1MuIENhbGlicml1bSBMTEMgYW5kIE1CMiBMTEMgcmVwcmVzZW50cyB0aGUgY29tYmluZWQgb3BlcmF0aW9ucyBvZiBDYWxpYnJpdW0gTExDIGFuZCBNQjIgTExDIGluIHRoZWlyIHNhbGUgdG8gTm92byBOb3JkaXNrIEEvUy4gQ2FsaWJyaXVtIExMQyBpcyBhIGJpb3BoYXJtYWNldXRpY2FsIGNvbXBhbnkgZW5nYWdpbmcgaW4gZGlzY292ZXJ5IGFuZCBlYXJseSBkZXZlbG9wbWVudCBvZiBub3ZlbCBwZXB0aWRlcyBmb3IgdGhlIHRyZWF0bWVudCBvZiBkaWFiZXRlcyBhbmQgcmVsYXRlZCBtZXRhYm9saWMgZGlzZWFzZXMuIE1CMiBMTEMgaXMgYSBjbGluaWNhbC1zdGFnZSBiaW9waGFybWFjZXV0aWNhbCBjb21wYW55IGFkdmFuY2luZyBhIHBpcGVsaW5lIG9mIG1peGVkIGFnb25pc3QgZHJ1Z3MgZm9yIHRoZSB0cmVhdG1lbnQgb2YgZGlhYmV0ZXMgYW5kIG9iZXNpdHkuIENhbGlicml1bSBMTEMgaXMgYmFzZWQgaW4gSW5kaWFuYXBvbGlzLCBJbmRp</t>
  </si>
  <si>
    <t>YW5hLiBNQjIgTExDIGlzIGJhc2VkIGluIENhcm1lbCwgSW5kaWFuYS4Asb1xl3kD1ghWltCceQPWCEJDSVEuKElOVkFMSUQgSURFTlRJRklFUikuSVFfRUJJVF9NQVJHSU4uMjAwMC42LzMwLzIwMTguTEZSLkYuVVNELkgFAAAAAAAAAAgAAAAUKEludmFsaWQgSWRlbnRpZmllcikxZiCaeQPWCDihxJx5A9YIIkNJUS5JUVRSMjc4ODgzNzE2LklRX1RSX1RPVEFMX0NBU0gBAAAAhG2fEAIAAAALMzMzMS4zMDA2NzEBBgAAAAUAAAACNTQBAAAABjEwMTA1NgIAAAAJMjc4ODgzNzE2AwAAAAkyNzg4ODQwNzEEAAAAAzE2MAYAAAAFRmFsc2VoC3KXeQPWCNip0Jx5A9YIL0NJUS5OQVNEQVFHUzpPVklELklRX1RPVEFMX0RFQlQuLjUvNC8yMDE3Li4uVVNEAQAAACDQNxECAAAAATABCAAAAAUAAAABMQEAAAAKMTgzNTk1MzcxNgMAAAADMTYwAgAAAAQ0MTczBAAAAAEwBwAAAAg1LzQvMjAxNwgAAAAKMTIvMzEvMjAxNgkAAAABMLG9cZd5A9YIW0XNl3kD1ggnQ0lRLk5BU0RBUUNNOlJUVFIuSVFfQkVUQV8yWVIuNi8zMC8yMDE4AQAAAB+aswMCAAAAEDIuMTkzMjg5MDk1MzY0ODEAr3kgmnkD1giuKcWceQPWCEpDSVEuKElOVkFMSUQgSURFTlRJRklFUikuSVFfRUJJVERBXzNZUl9BTk5fQ0FHUi4yMDAwLjYvMzAvMjAxOC5MRlIuRi5VU0QuSAUAAAAAAAAACAAAABQoSW52YWxpZCBJZGVudGlmaWVyKTFmIJp5A9YI</t>
  </si>
  <si>
    <t>tD/EnHkD1gg+Q0lRLkFJTTpPUFRJLklRX0VCSVREQV81WVJfQU5OX0NBR1IuMjAwMC42LzMwLzIwMTguTEZSLkYuVVNELkgBAAAAM9u1BwMAAAAAADXxH5p5A9YIo63HnHkD1gg2Q0lRLk5BU0RBUUNNOkFTTUIuSVFfRUJJVERBLjE5OTYuNi8zMC8yMDE4LkxGUi5GLlVTRC5IAQAAABCJ8QUCAAAACi00Ny44Mzc1MjkBCAAAAAUAAAABMQEAAAAKMTg4NzIzNTA2NQMAAAADMTYwAgAAAAQ0MDUxBAAAAAEwBwAAAAk2LzMwLzIwMTgIAAAACTMvMzEvMjAxNwkAAAABMO384Jt5A9YI8bPMnHkD1gg5Q0lRLk5BU0RBUUdTOlZZR1IuSVFfVE9UQUxfUkVWLjE5OTIuNi8zMC8yMDE4LkxGUi5GLlVTRC5IAQAAAF7MTw8CAAAABjE5LjU4OAEIAAAABQAAAAExAQAAAAoxODQwOTM0Njc3AwAAAAMxNjACAAAAAjI4BAAAAAEwBwAAAAk2LzMwLzIwMTgIAAAACTMvMzEvMjAxNgkAAAABMHIQ4Zt5A9YI9j7MnHkD1gg9Q0lRLk5BU0RBUUNNOkFTTUIuSVFfRUJJVERBX01BUkdJTi4yMDAwLjYvMzAvMjAxOC5MRlIuRi5VU0QuSAEAAAAQifEFAwAAAAJOTQEIAAAABQAAAAExAQAAAAoxODg3MjM1MDc4AwAAAAMxNjACAAAABDQwNDcEAAAAATAHAAAACTYvMzAvMjAxOAgAAAAJMy8zMS8yMDE4CQAAAAEw7fzgm3kD1ghzoMyceQPWCD1DSVEuTkFTREFRR1M6WkZHTi5JUV9FQklUREFfTUFSR0lOLjIwMDAuNi8zMC8yMDE4LkxG</t>
  </si>
  <si>
    <t>Ui5GLlVTRC5IAQAAAJfAugEDAAAAAAByEOGbeQPWCHpoy5x5A9YIPENJUS5OQVNEQVFDTTpBU01CLklRX1RPVEFMX0VRVUlUWS4xOTkyLjYvMzAvMjAxOC5MRlIuRi5VU0QuSAEAAAAQifEFAgAAAAoxMDkuMjg0OTgyAQgAAAAFAAAAATEBAAAACjE4NDA2NTMzNDkDAAAAAzE2MAIAAAAEMTI3NQQAAAABMAcAAAAJNi8zMC8yMDE4CAAAAAkzLzMxLzIwMTYJAAAAATDt/OCbeQPWCHN5zJx5A9YIIkNJUS5PVENQSzpORVhTLklRX0ZJUlNUUFJJQ0lOR0RBVEUBAAAAHb1OFAUAAAAJNi8xMC8yMDE2ALuPH5p5A9YIpDrGnHkD1ghGQ0lRLihJTlZBTElEIElERU5USUZJRVIpLklRX05FVF9XT1JLSU5HX0NBUC4yMDAwLjYvMzAvMjAxOC5MRlIuRi5VU0QuSAUAAAAAAAAACAAAABQoSW52YWxpZCBJZGVudGlmaWVyKTFmIJp5A9YIwI3EnHkD1gg+Q0lRLk5BU0RBUUNNOkFWWEwuSVFfVE9UQUxfRVFVSVRZLkNZMjAxNi42LzMwLzIwMTguTEZSLkYuVVNELkgBAAAAYzjPAAIAAAAJMTkuMTc5MDM2AQgAAAAFAAAAATEBAAAACjE4NzM1NDMzNzcDAAAAAzE2MAIAAAAEMTI3NQQAAAABMAcAAAAJNi8zMC8yMDE4CAAAAAoxMi8zMS8yMDE2CQAAAAEwt90fmnkD1ggbhMiceQPWCDpDSVEuTkFTREFRR1M6QUNBRC5JUV9FQVJOSU5HX0NPLjE5OTYuNi8zMC8yMDE4LkxGUi5GLlVTRC5IAQAAAMFuCgACAAAACC0zMDkuNDc0</t>
  </si>
  <si>
    <t>AQgAAAAFAAAAATEBAAAACjE4ODY2Mjc1NjMDAAAAAzE2MAIAAAABNwQAAAABMAcAAAAJNi8zMC8yMDE4CAAAAAkzLzMxLzIwMTcJAAAAATB16eCbeQPWCGXYzZx5A9YINUNJUS5OQVNEQVFDTTpSVFRSLklRX0NBUEVYLjE5OTYuNi8zMC8yMDE4LkxGUi5GLlVTRC5IAQAAAB+aswMCAAAACS0wLjAwMDYzMQEIAAAABQAAAAExAQAAAAoxODg5MTA0MDk0AwAAAAMxNjACAAAABDIwMjEEAAAAATAHAAAACTYvMzAvMjAxOAgAAAAJMy8zMS8yMDE3CQAAAAEwsysgmnkD1ggvPcWceQPWCC9DSVEuSVFUUjM3NDMzMTU4Ni5JUV9UUl9JTVBMSUVEX0VWX0ZJTkFMLi5VU0QuSAEAAADC2E8WAgAAAAAAseRxl3kD1ghWrM+ceQPWCDVDSVEuTkFTREFRR1M6VllHUi5JUV9DQVBFWC4xOTkyLjYvMzAvMjAxOC5MRlIuRi5VU0QuSAEAAABezE8PAgAAAAUtMS4zNAEIAAAABQAAAAExAQAAAAoxODQwOTM0Njc3AwAAAAMxNjACAAAABDIwMjEEAAAAATAHAAAACTYvMzAvMjAxOAgAAAAJMy8zMS8yMDE2CQAAAAEwchDhm3kD1gj38MuceQPWCDlDSVEuTkFTREFRR006UllUTS5JUV9OSV9NQVJHSU4uMjAwMC42LzMwLzIwMTguTEZSLkYuVVNELkgBAAAAGMltEgMAAAAAAHXp4Jt5A9YI7E/NnHkD1ggtQ0lRLk5BU0RBUUdTOkFDQUQuSVFfRElWSURFTkRfWUlFTEQuNi8zMC8yMDE4AQAAAMFuCgADAAAAAADx1eCbeQPWCGXYzZx5</t>
  </si>
  <si>
    <t>A9YIPUNJUS5OQVNEQVFHUzpNQ1JCLklRX1JFVkVOVUVfRVNULkNZMjAxOC42LzMwLzIwMTguQ09OLkYuVVNELkgBAAAA02JBDQIAAAAHMjkuMTA2MwEOAAAABQAAAAIxMQEAAAABMAIAAAAKMTAwMzEzMjAwOAMAAAAGMTAwMTgwBAAAAAEyBgAAAAEwBwAAAAMxNjAIAAAAATAJAAAAATEKAAAAATALAAAACzEwOTAwNzE4NTAyDAAAAAE3DQAAAAg3LzEvMjAxOBAAAAAJNi8zMC8yMDE47Erhm3kD1ggB4MqceQPWCEZDSVEuTkFTREFRR006UllUTS5JUV9NSU5PUklUWV9JTlRFUkVTVF9UT1RBTC4yMDAwLjEvNS8yMDE4LkxGUi5GLlVTRC5IAQAAABjJbRIDAAAAAAB16eCbeQPWCG4VzZx5A9YILUNJUS5UU1hWOkNPQi5VLklRX0xBU1RTQUxFUFJJQ0UuNi8zMC8yMDE4LlVTRAEAAAC/+wAIAgAAAAE1APHV4Jt5A9YIBkTKnHkD1ggwQ0lRLklRVFI1NDczMzg4MTQuSVFfVFJfVEFSR0VUX0VCSVREQV9FU1QuLlVTRC5IAQAAAD66nyACAAAAAAA20XGXeQPWCGLWzpx5A9YIKUNJUS5BSU06T1BUSS5JUV9NQVJLRVRDQVAuNi8zMC8yMDE4LlVTRC5IAQAAADPbtQcCAAAACTcyLjkxNTg5NgEGAAAABQAAAAExAQAAAAoxODkxMDIyMDc0AwAAAAMxNjACAAAABjEwMDA1NAQAAAABMAcAAAAJNi8zMC8yMDE4LXwfmnkD1giaSciceQPWCDhDSVEuTkFTREFRR006UllUTS5JUV9FQklUREEuQ1kyMDE3LjYvMzAvMjAxOC5M</t>
  </si>
  <si>
    <t>RlIuRi5VU0QuSAEAAAAYyW0SAgAAAActMzIuMTg5AQgAAAAFAAAAATEBAAAACjE4OTM5MDU5NjEDAAAAAzE2MAIAAAAENDA1MQQAAAABMAcAAAAJNi8zMC8yMDE4CAAAAAoxMi8zMS8yMDE3CQAAAAEwdengm3kD1ghqY82ceQPWCCtDSVEuQUlNOk9QVEkuSVFfTEFTVFNBTEVQUklDRS42LzMwLzIwMTguVVNEAQAAADPbtQcCAAAACDAuODY0Mjc2AC18H5p5A9YImknInHkD1ggkQ0lRLlRTWFY6Q09CLlUuSVFfUEVSSU9EREFURV9JUy4xMDAwAQAAAL/7AAgFAAAACjEyLzMxLzIwMTcAbjfhm3kD1giEV8qceQPWCDxDSVEuTkFTREFRR1M6VlZVUy5JUV9FQVJOSU5HX0NPLkNZMjAxNy42LzMwLzIwMTguTEZSLkYuVVNELkgBAAAALo4AAAIAAAAHLTMwLjUxMQEIAAAABQAAAAExAQAAAAoxODc4ODU4ODUzAwAAAAMxNjACAAAAATcEAAAAATAHAAAACTYvMzAvMjAxOAgAAAAKMTIvMzEvMjAxNwkAAAABMDbKH5p5A9YIEyDJnHkD1gg9Q0lRLk5BU0RBUUdTOlpGR04uSVFfUkVWRU5VRV9FU1QuQ1kyMDE4LjYvMzAvMjAxOC5DT04uRi5VU0QuSAEAAACXwLoBAgAAAAEwAQ4AAAAFAAAAAjExAQAAAAEwAgAAAAoxMDAyODEzNDMxAwAAAAYxMDAxODAEAAAAATIGAAAAATAHAAAAAzE2MAgAAAABMAkAAAABMQoAAAABMAsAAAALMTEwMjU4NDM3MTIMAAAAATcNAAAACDcvMS8yMDE4EAAAAAk2LzMwLzIwMTjsSuGbeQPW</t>
  </si>
  <si>
    <t>CPt7y5x5A9YINUNJUS5OQVNEQVFDTTpSVFRSLklRX0NBUEVYLjIwMDAuNi8zMC8yMDE4LkxGUi5GLlVTRC5IAQAAAB+aswMCAAAACS0wLjAwNzY3OAEIAAAABQAAAAExAQAAAAoxODg5MTA0MDk4AwAAAAMxNjACAAAABDIwMjEEAAAAATAHAAAACTYvMzAvMjAxOAgAAAAJMy8zMS8yMDE4CQAAAAEwsysgmnkD1giuKcWceQPWCDlDSVEuTkFTREFRR1M6WkZHTi5JUV9OSV9NQVJHSU4uMjAwMC42LzMwLzIwMTguTEZSLkYuVVNELkgBAAAAl8C6AQMAAAAAAHIQ4Zt5A9YI/FTLnHkD1ggrQ0lRLklRVFIzNzg1ODc4MjIuSVFfVFJfVE9UQUxfR1JPU1NfVFYuLlVTRAEAAACuypAWAgAAAAM2NDUBBgAAAAUAAAACNTQBAAAABjEwMjA4OAIAAAAJMzc4NTg3ODIyAwAAAAkzNzg1OTk4MDQEAAAAAzE2MAYAAAAFRmFsc2Wx5HGXeQPWCNSYz5x5A9YIPENJUS5OQVNEQVFDTTpBVlhMLklRX1RPVEFMX0VRVUlUWS4xOTkyLjYvMzAvMjAxOC5MRlIuRi5VU0QuSAEAAABjOM8AAgAAAAg5LjY4MzE4NQEIAAAABQAAAAExAQAAAAoxODQxOTI0NzAyAwAAAAMxNjACAAAABDEyNzUEAAAAATAHAAAACTYvMzAvMjAxOAgAAAAJMy8zMS8yMDE2CQAAAAEwt90fmnkD1ggbhMiceQPWCB9DSVEuLklRX1RSX1RPVEFMX0dST1NTX1RWLlVTRC5IBQAAAAEAAAAIAAAAFChJbnZhbGlkIElkZW50aWZpZXIpbMLgm3kD1ghswuCbeQPWCDZD</t>
  </si>
  <si>
    <t>SVEuQU1FWDpTWU4uSVFfVE9UQUxfUkVWLkNZMjAxNy42LzMwLzIwMTguTEZSLkYuVVNELkgBAAAAbbB0AQMAAAAAALcEIJp5A9YIotbGnHkD1gg1Q0lRLk5BU0RBUUNNOlNMTk8uSVFfREFfQ0YuMjAwMC42LzMwLzIwMTguTEZSLkYuVVNELkgBAAAA6XUmAAIAAAAIMS45ODQyNzEBCAAAAAUAAAABMQEAAAAKMTg4OTA1NzYwNgMAAAADMTYwAgAAAAQyMTYwBAAAAAEwBwAAAAk2LzMwLzIwMTgIAAAACTMvMzEvMjAxOAkAAAABMLcEIJp5A9YIG4bHnHkD1gg8Q0lRLk5BU0RBUUNNOlJUVFIuSVFfVE9UQUxfRVFVSVRZLjIwMDAuNi8zMC8yMDE4LkxGUi5GLlVTRC5IAQAAAB+aswMCAAAABzE4LjMyNTkBCAAAAAUAAAABMQEAAAAKMTg4OTEwNDA5OAMAAAADMTYwAgAAAAQxMjc1BAAAAAEwBwAAAAk2LzMwLzIwMTgIAAAACTMvMzEvMjAxOAkAAAABMLMrIJp5A9YIMBbFnHkD1ggtQ0lRLk5BU0RBUUNNOkFTTUIuSVFfRElWSURFTkRfWUlFTEQuNi8zMC8yMDE4AQAAABCJ8QUDAAAAAADx1eCbeQPWCPGMzJx5A9YIJUNJUS5DUFNFOk5PVk8gQi5JUV9CRVRBXzJZUi42LzMwLzIwMTgBAAAAfO8EAAIAAAARMC41ODIzNjI3ODMzNjM3NDQAaAtyl3kD1gjyCs2XeQPWCDlDSVEuTkFTREFRR1M6VllHUi5JUV9OSV9NQVJHSU4uMjAwMC42LzMwLzIwMTguTEZSLkYuVVNELkgBAAAAXsxPDwMAAAACTk0BCAAAAAUAAAAB</t>
  </si>
  <si>
    <t>MQEAAAAKMTg4ODQ4MDU5MwMAAAADMTYwAgAAAAQ0MDk0BAAAAAEwBwAAAAk2LzMwLzIwMTgIAAAACTMvMzEvMjAxOAkAAAABMHIQ4Zt5A9YIdQTMnHkD1ghGQ0lRLk5BU0RBUUdTOlZWVVMuSVFfTUlOT1JJVFlfSU5URVJFU1RfVE9UQUwuMjAwMC4xLzUvMjAxOC5MRlIuRi5VU0QuSAEAAAAujgAAAwAAAAAANsofmnkD1ggTIMmceQPWCDFDSVEuSVFUUjM0MDcwNDg2NS5JUV9UUl9UQVJHRVRfUkVWRU5VRV9FU1QuLlVTRC5IAQAAAGG+ThQCAAAAAAAy+HGXeQPWCN0N0Jx5A9YIK0NJUS5JUVRSNTQxMjgzNzAwLklRX1RSX0lNUExJRURfRVZfRUJJVF9GV0QBAAAAdFVDIAIAAAAAADbRcZd5A9YI6unOnHkD1ggvQ0lRLklRVFIzNzg1ODc4MjIuSVFfVFJfSU1QTElFRF9FVl9GSU5BTC4uVVNELkgBAAAArsqQFgIAAAAKNjg3LjMwNzY5MgEGAAAABQAAAAI1NAEAAAAGMTAyMDQ1AgAAAAkzNzg1ODc4MjIDAAAACTM3ODU5OTgwNAQAAAADMTYwBgAAAAVGYWxzZbHkcZd5A9YI1JjPnHkD1ggmQ0lRLiVVU1BNUlQuSVFfTEFTVFNBTEVQUklDRS42LzMwLzIwMTgBAAAAWe1aAAIAAAABNQA6qnGXeQPWCGaIzpx5A9YIOUNJUS5PVENQSzpORVhTLklRX0VBUk5JTkdfQ08uQ1kyMDE3LjYvMzAvMjAxOC5MRlIuRi5VU0QuSAEAAAAdvU4UAwAAAAAAMhggmnkD1gipxcWceQPWCCJDSVEuQU1FWDpTWU4uSVFfQkVUQV81</t>
  </si>
  <si>
    <t>WVIuNi8zMC8yMDE4AQAAAG2wdAECAAAAEDEuNzExODUyMTgwNTYyMjYAr3kgmnkD1ggidcaceQPWCCxDSVEuSVFUUjU0MTI4MzcwMC5JUV9UUl9UQVJHRVRfRUJJVERBLi5VU0QuSAEAAAB0VUMgAgAAAAAANtFxl3kD1ghi1s6ceQPWCD5DSVEuTkFTREFRQ006QVZYTC5JUV9DQVNIX1NUX0lOVkVTVC4yMDAwLjYvMzAvMjAxOC5MRlIuRi5VU0QuSAEAAABjOM8AAgAAAAkyNS42NTY1ODQBCAAAAAUAAAABMQEAAAAKMTg4ODUwNDI3OQMAAAADMTYwAgAAAAQxMDAyBAAAAAEwBwAAAAk2LzMwLzIwMTgIAAAACTMvMzEvMjAxOAkAAAABMLfdH5p5A9YIleXInHkD1ggdQ0lRLklRMzYzOTguSVFfQ09NUEFOWV9USUNLRVIBAAAALo4AAAMAAAANTmFzZGFxR1M6VlZVUwCxvXGXeQPWCGf92Zd5A9YIKENJUS5BTUVYOlNZTi5JUV9NQVJLRVRDQVAuMS81LzIwMTguVVNELkgBAAAAbbB0AQIAAAAJNjguMTAxODY1AQYAAAAFAAAAATEBAAAACjE4NjM2MjQ4MzMDAAAAAzE2MAIAAAAGMTAwMDU0BAAAAAEwBwAAAAgxLzUvMjAxOLuPH5p5A9YIpGHGnHkD1gg/Q0lRLk5BU0RBUUNNOlNMTk8uSVFfTkVUX1dPUktJTkdfQ0FQLjIwMDAuNi8zMC8yMDE4LkxGUi5GLlVTRC5IAQAAAOl1JgACAAAAAi0xAQgAAAAFAAAAATEBAAAACjE4ODkwNTc2MDYDAAAAAzE2MAIAAAAEMTMxMQQAAAABMAcAAAAJNi8zMC8yMDE4CAAAAAkz</t>
  </si>
  <si>
    <t>LzMxLzIwMTgJAAAAATA18R+aeQPWCJ5Lx5x5A9YINkNJUS5UU1hWOkNPQi5VLklRX1RPVEFMX1JFVi4yMDAwLjYvMzAvMjAxOC5MRlIuRi5VU0QuSAEAAAC/+wAIAwAAAAAAuLYfmnkD1giIMMqceQPWCCtDSVEuT1RDUEs6TkVYUy5JUV9NQVJLRVRDQVAuNi8zMC8yMDE4LlVTRC5IAQAAAB29ThQCAAAABzMuODUxNTcBBgAAAAUAAAABMQEAAAAKMTg2Mjg2MzA0OAMAAAADMTYwAgAAAAYxMDAwNTQEAAAAATAHAAAACTYvMzAvMjAxOLuPH5p5A9YIpDrGnHkD1gg8Q0lRLihJTlZBTElEIElERU5USUZJRVIpLklRX0RBX0NGLjIwMDAuNi8zMC8yMDE4LkxGUi5GLlVTRC5IBQAAAAAAAAAIAAAAFChJbnZhbGlkIElkZW50aWZpZXIpMWYgmnkD1giy28SceQPWCCVDSVEuSVFUUjU0NzMzODgxNC5JUV9UUl9NQUpfTUlOX1NUQUtFAQAAAD66nyADAAAACE1ham9yaXR5ADbRcZd5A9YIZa/OnHkD1ghGQ0lRLk5BU0RBUUNNOkFWWEwuSVFfVE9UQUxfUkVWXzNZUl9BTk5fQ0FHUi4yMDAwLjYvMzAvMjAxOC5MRlIuRi5VU0QuSAEAAABjOM8AAwAAAAAAt90fmnkD1ggYXciceQPWCB1DSVEuTkFTREFRR1M6VlZVUy5JUV9FWENIQU5HRQEAAAAujgAAAwAAAAhOYXNkYXFHUwAtfB+aeQPWCAuoyZx5A9YIK0NJUS5OWVNFOkJIVk4uSVFfVE9UQUxfREVCVC4uNS8zLzIwMTcuLi5VU0QBAAAA3GcgDwIAAAAFNC44MTEBCAAA</t>
  </si>
  <si>
    <t>AAUAAAABMQEAAAAKMTgzNTc4OTcxMAMAAAADMTYwAgAAAAQ0MTczBAAAAAEwBwAAAAg1LzMvMjAxNwgAAAAKMTIvMzEvMjAxNgkAAAABMLG9cZd5A9YI2jHNl3kD1ggxQ0lRLkFJTTpPUFRJLklRX0VCSVREQS4xOTk2LjYvMzAvMjAxOC5MRlIuRi5VU0QuSAEAAAAz27UHAgAAAAktMS43NTA1OTkBCAAAAAUAAAABMQEAAAAKMTg5MTAyMjA1MwMAAAADMTYwAgAAAAQ0MDUxBAAAAAEwBwAAAAk2LzMwLzIwMTgIAAAACjExLzMwLzIwMTYJAAAAATC33R+aeQPWCJ4iyJx5A9YIL0NJUS5JUVRSMzQwNzA0ODY1LklRX1RSX0lNUExJRURfRVZfRklOQUwuLlVTRC5IAQAAAGG+ThQCAAAAAACx5HGXeQPWCFv6z5x5A9YIN0NJUS5BTUVYOlNZTi5JUV9FQklUREFfRVNULkNZMjAxOC42LzMwLzIwMTguQ09OLkYuVVNELkgBAAAAbbB0AQMAAAAAADajH5p5A9YIIZzGnHkD1ggnQ0lRLk5BU0RBUUNNOkFTTUIuSVFfQkVUQV8yWVIuNi8zMC8yMDE4AQAAABCJ8QUCAAAAETAuNzc0MDEwOTY0NjUwMDk4AOxK4Zt5A9YI8YzMnHkD1gg0Q0lRLkFJTTpPUFRJLklRX05JX01BUkdJTi4yMDAwLjYvMzAvMjAxOC5MRlIuRi5VU0QuSAEAAAAz27UHAgAAAAg5OTguMjc4NgEIAAAABQAAAAExAQAAAAoxODkxMDIyMDc2AwAAAAI1NQIAAAAENDA5NAQAAAABMAcAAAAJNi8zMC8yMDE4CAAAAAoxMS8zMC8yMDE3CQAAAAEwt90fmnkD</t>
  </si>
  <si>
    <t>1gie+8eceQPWCB9DSVEuMC5JUV9UUl9JTVBMSUVEX0VWX0VCSVRfRldEBQAAAAAAAAAIAAAAGChJbnZhbGlkIFRyYW5zYWN0aW9uIElkKbWWcZd5A9YIUIDRnHkD1ghAQ0lRLihJTlZBTElEIElERU5USUZJRVIpLklRX1RPVEFMX1JFVi4xOTkyLjYvMzAvMjAxOC5MRlIuRi5VU0QuSAUAAAAAAAAACAAAABQoSW52YWxpZCBJZGVudGlmaWVyKTFmIJp5A9YIstvEnHkD1gg+Q0lRLk5BU0RBUUNNOkFTTUIuSVFfQ0FTSF9TVF9JTlZFU1QuMjAwMC42LzMwLzIwMTguTEZSLkYuVVNELkgBAAAAEInxBQIAAAAKMTA5LjE1ODk3OAEIAAAABQAAAAExAQAAAAoxODg3MjM1MDc4AwAAAAMxNjACAAAABDEwMDIEAAAAATAHAAAACTYvMzAvMjAxOAgAAAAJMy8zMS8yMDE4CQAAAAEw7fzgm3kD1gjx2syceQPWCDZDSVEuVFNYVjpDT0IuVS5JUV9UT1RBTF9ERUJULjIwMDAuMS81LzIwMTguTEZSLkYuVVNELkgBAAAAv/sACAIAAAABMAEIAAAABQAAAAExAQAAAAoxODY2MzkwMDA2AwAAAAMxNjACAAAABDQxNzMEAAAAATAHAAAACDEvNS8yMDE4CAAAAAk5LzMwLzIwMTcJAAAAATC4th+aeQPWCArPyZx5A9YIK0NJUS5JUVRSMjc4ODgzNzE2LklRX1RSX0lNUExJRURfRVZfRUJJVF9GV0QBAAAAhG2fEAMAAAACTk0AaAtyl3kD1ghWvdCceQPWCDxDSVEuTkFTREFRR1M6VlZVUy5JUV9UT1RBTF9FUVVJVFkuMTk5Mi42LzMw</t>
  </si>
  <si>
    <t>LzIwMTguTEZSLkYuVVNELkgBAAAALo4AAAIAAAAHLTE5LjEwNAEIAAAABQAAAAExAQAAAAoxODQwNjUxOTcwAwAAAAMxNjACAAAABDEyNzUEAAAAATAHAAAACTYvMzAvMjAxOAgAAAAJMy8zMS8yMDE2CQAAAAEwNsofmnkD1ggTIMmceQPWCDpDSVEuTkFTREFRR1M6VllHUi5JUV9QUkVGX0VRVUlUWS4yMDAwLjEvNS8yMDE4LkxGUi5GLlVTRC5IAQAAAF7MTw8DAAAAAAByEOGbeQPWCHy2y5x5A9YIMENJUS5JUVRSMzQwNzA0ODY1LklRX1RSX1RBUkdFVF9FQklUREFfRVNULi5VU0QuSAEAAABhvk4UAgAAAAAAMvhxl3kD1gjdDdCceQPWCCtDSVEuKElOVkFMSUQgSURFTlRJRklFUikuSVFfRUZGRUNUX1RBWF9SQVRFBQAAAAAAAAAIAAAAFChJbnZhbGlkIElkZW50aWZpZXIpMWYgmnkD1gg2U8SceQPWCC9DSVEuSVFUUjI0Mzc0NDMwNi5JUV9UUl9UQVJHRVRfVE9UQUxfUkVWLi5VU0QuSAEAAAAyPocOAgAAAAQ1Ni43AQYAAAAFAAAAAjM3AQAAAAoxNjI4NDM2MTI4AgAAAAIyOAMAAAADMTYwBAAAAAEwBwAAAAgxLzEvMTkwMGgLcpd5A9YIVQvRnHkD1ghHQ0lRLk5BU0RBUUNNOkFWWEwuSVFfTUlOT1JJVFlfSU5URVJFU1RfVE9UQUwuMjAwMC42LzMwLzIwMTguTEZSLkYuVVNELkgBAAAAYzjPAAMAAAAAALfdH5p5A9YIleXInHkD1gg5Q0lRLk5BU0RBUUNNOlNMTk8uSVFfVE9UQUxfREVCVC4yMDAwLjEv</t>
  </si>
  <si>
    <t>NS8yMDE4LkxGUi5GLlVTRC5IAQAAAOl1JgACAAAAATABCAAAAAUAAAABMQEAAAAKMTg2NTg5NjM5MQMAAAADMTYwAgAAAAQ0MTczBAAAAAEwBwAAAAgxLzUvMjAxOAgAAAAJOS8zMC8yMDE3CQAAAAEwtwQgmnkD1gggEceceQPWCDxDSVEuVFNYVjpDT0IuVS5JUV9ORVRfV09SS0lOR19DQVAuMTk5Ni42LzMwLzIwMTguTEZSLkYuVVNELkgBAAAAv/sACAIAAAAJLTAuNTU2MjExAQgAAAAFAAAAATEBAAAACjE4ODkwNjIwNjkDAAAAAzE2MAIAAAAEMTMxMQQAAAABMAcAAAAJNi8zMC8yMDE4CAAAAAkzLzMxLzIwMTcJAAAAATC4th+aeQPWCAr2yZx5A9YIK0NJUS5JUVRSNTYwMjUwMjY2LklRX1RSX0lNUExJRURfRVZfRUJJVF9GV0QBAAAAmr1kIQIAAAAAADbRcZd5A9YI55vOnHkD1ghDQ0lRLk5BU0RBUUNNOlNMTk8uSVFfRUJJVERBXzVZUl9BTk5fQ0FHUi4yMDAwLjYvMzAvMjAxOC5MRlIuRi5VU0QuSAEAAADpdSYAAwAAAAAAtwQgmnkD1gil/caceQPWCCBDSVEuMC5JUV9UUl9UT1RBTF9HUk9TU19UVi5VU0QuSAUAAAAAAAAACAAAABgoSW52YWxpZCBUcmFuc2FjdGlvbiBJZCm1lnGXeQPWCM9s0Zx5A9YIIkNJUS5JUVRSMzc2Nzk5MjMyLklRX1RSX1RPVEFMX0NBU0gBAAAAAIB1FgIAAAALMTQ2OC4xNjU4NTYBBgAAAAUAAAACNTQBAAAABjEwMTA1NgIAAAAJMzc2Nzk5MjMyAwAAAAkzNzY4MDMzMzUE</t>
  </si>
  <si>
    <t>AAAAAzE2MAYAAAAFRmFsc2Wx5HGXeQPWCNlKz5x5A9YIPENJUS5UU1hWOkNPQi5VLklRX05FVF9XT1JLSU5HX0NBUC4yMDAwLjYvMzAvMjAxOC5MRlIuRi5VU0QuSAEAAAC/+wAIAgAAAAktMC44MjU2MTkBCAAAAAUAAAABMQEAAAAKMTg4OTA2MjA3NAMAAAADMTYwAgAAAAQxMzExBAAAAAEwBwAAAAk2LzMwLzIwMTgIAAAACTMvMzEvMjAxOAkAAAABMLi2H5p5A9YICvbJnHkD1gglQ0lRLklRVFI1NjAyNTAyNjYuSVFfVFJfTUFKX01JTl9TVEFLRQEAAACavWQhAwAAAAhNYWpvcml0eQA20XGXeQPWCGaIzpx5A9YIP0NJUS5OQVNEQVFHUzpBQ0FELklRX05FVF9XT1JLSU5HX0NBUC4yMDAwLjYvMzAvMjAxOC5MRlIuRi5VU0QuSAEAAADBbgoAAgAAAAYtNC4xMzgBCAAAAAUAAAABMQEAAAAKMTg4NjYyNzUzNgMAAAADMTYwAgAAAAQxMzExBAAAAAEwBwAAAAk2LzMwLzIwMTgIAAAACTMvMzEvMjAxOAkAAAABMPHV4Jt5A9YI5+vNnHkD1gg6Q0lRLlRTWFY6Q09CLlUuSVFfUkVWRU5VRV9FU1QuQ1kyMDIxLjYvMzAvMjAxOC5DT04uRi5VU0QuSAEAAAC/+wAIAwAAAAAAu48fmnkD1giIMMqceQPWCDpDSVEuTkFTREFRQ006U0xOTy5JUV9FQVJOSU5HX0NPLjE5OTYuNi8zMC8yMDE4LkxGUi5GLlVTRC5IAQAAAOl1JgACAAAACC01LjU5MzYyAQgAAAAFAAAAATEBAAAACjE4ODkwNTc2MDADAAAAAzE2MAIAAAAB</t>
  </si>
  <si>
    <t>NwQAAAABMAcAAAAJNi8zMC8yMDE4CAAAAAkzLzMxLzIwMTcJAAAAATA18R+aeQPWCBw4x5x5A9YIPENJUS5OQVNEQVFHUzpBQ0FELklRX1RPVEFMX0VRVUlUWS4xOTkyLjYvMzAvMjAxOC5MRlIuRi5VU0QuSAEAAADBbgoAAgAAAAc0NDUuMjUxAQgAAAAFAAAAATEBAAAACjE4NDE1ODc1MTkDAAAAAzE2MAIAAAAEMTI3NQQAAAABMAcAAAAJNi8zMC8yMDE4CAAAAAkzLzMxLzIwMTYJAAAAATB16eCbeQPWCOfEzZx5A9YILkNJUS5JUVRSMzQwNzA0ODY1LklRX1RSX1RBUkdFVF9TVE9DS1BSRU1JVU1fMVcBAAAAYb5OFAIAAAAAADL4cZd5A9YI3Q3QnHkD1gglQ0lRLklRVFIzNzY3OTkyMzIuSVFfUFJJTUFSWV9JTkRVU1RSWQEAAAAByk0CAwAAAA9QaGFybWFjZXV0aWNhbHMAOqpxl3kD1gjZSs+ceQPWCEJDSVEuQUlNOk9QVEkuSVFfTUlOT1JJVFlfSU5URVJFU1RfVE9UQUwuMjAwMC42LzMwLzIwMTguTEZSLkYuVVNELkgBAAAAM9u1BwMAAAAAALfdH5p5A9YImknInHkD1ggdQ0lRLjAuSVFfVFJfSU1QTElFRF9FUV9OSV9MVE0FAAAAAAAAAAgAAAAYKEludmFsaWQgVHJhbnNhY3Rpb24gSWQptZZxl3kD1ghQgNGceQPWCDJDSVEuVFNYVjpDT0IuVS5JUV9EQV9DRi4yMDAwLjYvMzAvMjAxOC5MRlIuRi5VU0QuSAEAAAC/+wAIAgAAAAgwLjA1ODc3NgEIAAAABQAAAAExAQAAAAoxODg5MDYyMDc0AwAAAAMx</t>
  </si>
  <si>
    <t>NjACAAAABDIxNjAEAAAAATAHAAAACTYvMzAvMjAxOAgAAAAJMy8zMS8yMDE4CQAAAAEwNsofmnkD1giIMMqceQPWCBZDSVEuMC5JUV9UUl9UT1RBTF9DQVNIBQAAAAAAAAAIAAAAGChJbnZhbGlkIFRyYW5zYWN0aW9uIElkKbWWcZd5A9YIz2zRnHkD1ggwQ0lRLk5BU0RBUUdNOlJZVE0uSVFfTEFTVFNBTEVQUklDRS42LzMwLzIwMTguVVNEAQAAABjJbRICAAAABTMxLjI2APHV4Jt5A9YI653NnHkD1ggsQ0lRLklRVFIzODQwMjg0OTYuSVFfVFJfVEFSR0VUX0VCSVREQS4uVVNELkgBAAAAUM/jFgIAAAAKLTQ1LjM0NDIyNQEGAAAABQAAAAIzNwEAAAAKMTgwMTkzMDQ3NQIAAAAFMjE2NzcDAAAAAzE2MAQAAAABMAcAAAAIMS8xLzE5MDA20XGXeQPWCF0kz5x5A9YIKUNJUS5OQVNEQVFHUzpWWUdSLklRX0JVU0lORVNTX0RFU0NSSVBUSU9OAQAAAF7MTw8DAAAA0QZWb3lhZ2VyIFRoZXJhcGV1dGljcywgSW5jLiwgYSBjbGluaWNhbC1zdGFnZSBnZW5lIHRoZXJhcHkgY29tcGFueSwgZm9jdXNlcyBvbiB0aGUgZGV2ZWxvcG1lbnQgb2YgdHJlYXRtZW50cyBmb3IgcGF0aWVudHMgc3VmZmVyaW5nIGZyb20gc2V2ZXJlIG5ldXJvbG9naWNhbCBkaXNlYXNlcy4gVGhlIGNvbXBhbnnigJlzIGxlYWQgY2xpbmljYWwgY2FuZGlkYXRlIGlzIHRoZSBWWS1BQURDLCB3aGljaCBpcyBpbiBvcGVuLWxhYmVsIFBoYXNl</t>
  </si>
  <si>
    <t>IDFiIGNsaW5pY2FsIHRyaWFscyBmb3IgdGhlIHRyZWF0bWVudCBvZiBhZHZhbmNlZCBQYXJraW5zb27igJlzIGRpc2Vhc2UuIEl0cyBwcmVjbGluaWNhbCBwcm9ncmFtcyBjb21wcmlzZSBWWS1TT0QxMDEgZm9yIGEgbW9ub2dlbmljIGZvcm0gb2YgYW15b3Ryb3BoaWMgbGF0ZXJhbCBzY2xlcm9zaXM7IFZZLUhUVDAxIGZvciBIdW50aW5ndG9u4oCZcyBkaXNlYXNlOyBWWS1GWE4wMSBmb3IgRnJpZWRyZWljaCdzIGF0YXhpYTsgVGF1IHByb2dyYW0sIGZvciB0YXVvcGF0aGllcywgaW5jbHVkaW5nIEFsemhlaW1lcuKAmXMgZGlzZWFzZSwgUFNQLCBhbmQgRlREOyBhbmQgVlktTkFWMDEgZm9yIHNldmVyZSBjaHJvbmljIHBhaW4uIFRoZSBjb21wYW55IGhhcyBzdHJhdGVnaWMgY29sbGFib3JhdGlvbiBhZ3JlZW1lbnQgd2l0aCBBYmJWaWUgSW5jLjsgU2Fub2ZpIEdlbnp5bWU7IHRoZSBVbml2ZXJzaXR5IG9mIE1hc3NhY2h1c2V0dHM7IGFuZCBNUkkgSW50ZXJ2ZW50aW9ucywgSW5jLiBWb3lhZ2VyIFRoZXJhcGV1dGljcywgSW5jLiB3YXMgZm91bmRlZCBpbiAyMDEzIGFuZCBpcyBoZWFkcXVhcnRlcmVkIGluIENhbWJyaWRnZSwgTWFzc2FjaHVzZXR0cy4A8dXgm3kD1gj38MuceQPWCDpDSVEuVFNYVjpDT0IuVS5JUV9DQVNIX1NUX0lOVkVTVC4yMDAwLjEvNS8yMDE4LkxGUi5GLlVTRC5IAQAAAL/7</t>
  </si>
  <si>
    <t>AAgCAAAACTEwLjM0MjI0MgEIAAAABQAAAAExAQAAAAoxODY2MzkwMDA2AwAAAAMxNjACAAAABDEwMDIEAAAAATAHAAAACDEvNS8yMDE4CAAAAAk5LzMwLzIwMTcJAAAAATC4th+aeQPWCArPyZx5A9YIJ0NJUS5OQVNEQVFDTTpBU01CLklRX1BFUklPRERBVEVfSVMuMTAwMAEAAAAQifEFBQAAAAoxMi8zMS8yMDE3AO384Jt5A9YIb+7MnHkD1ggiQ0lRLklRVFIzNzAwNzIzNTMuSVFfVFJfUENUX1NPVUdIVAEAAAAh2w4WAgAAAAMxMDABBgAAAAUAAAACNTQBAAAABjEwMTAyNAIAAAAJMzcwMDcyMzUzAwAAAAkzNzAwNzM0NTcEAAAAAzE2MAYAAAAEVHJ1ZbHkcZd5A9YI2HHPnHkD1ggfQ0lRLklRMjUyMDU1My5JUV9DT01QQU5ZX1RJQ0tFUgEAAADpdSYAAwAAAA1OYXNkYXFDTTpTTE5PALG9cZd5A9YIyPXcl3kD1ggXQ0lRLjAuSVFfVFJfVE9UQUxfU1RPQ0sFAAAAAAAAAAgAAAAYKEludmFsaWQgVHJhbnNhY3Rpb24gSWQptZZxl3kD1gjPbNGceQPWCDZDSVEuVFNYVjpDT0IuVS5JUV9UT1RBTF9SRVYuMTk5Mi42LzMwLzIwMTguTEZSLkYuVVNELkgBAAAAv/sACAMAAAAAALi2H5p5A9YIBkTKnHkD1gglQ0lRLklRVFIzNDA3MDQ4NjUuSVFfVFJfTUFKX01JTl9TVEFLRQEAAABhvk4UAwAAAAhNYWpvcml0eQCx5HGXeQPWCFv6z5x5A9YIRkNJUS5OQVNEQVFHUzpWWUdSLklRX1RPVEFMX1JFVl8zWVJfQU5O</t>
  </si>
  <si>
    <t>X0NBR1IuMjAwMC42LzMwLzIwMTguTEZSLkYuVVNELkgBAAAAXsxPDwIAAAAHNTUuMTA5MgEIAAAABQAAAAExAQAAAAoxODg4NDgwNTkzAwAAAAMxNjACAAAABDQyMjAEAAAAATAHAAAACTYvMzAvMjAxOAgAAAAJMy8zMS8yMDE4CQAAAAEwchDhm3kD1gh8tsuceQPWCCtDSVEuTkFTREFRR1M6WkZHTi5JUV9MQVNUU0FMRVBSSUNFLjEvNS8yMDE4AQAAAJfAugECAAAABDUuNTUA8dXgm3kD1ggALsuceQPWCCxDSVEuSVFUUjMyNTIzMzQ2MS5JUV9UUl9UT1RBTF9HUk9TU19UVi5VU0QuSAUAAAAAAAAACAAAABooSW52YWxpZCBDdXJyZW5jeSBSZXF1ZXN0KbWWcZd5A9YIV0jQnHkD1ggwQ0lRLkFJTTpPUFRJLklRX0NBUEVYLjE5OTIuNi8zMC8yMDE4LkxGUi5GLlVTRC5IAQAAADPbtQcCAAAACS0wLjAwMjk1OAEIAAAABQAAAAExAQAAAAoxODM5ODA0MzMzAwAAAAMxNjACAAAABDIwMjEEAAAAATAHAAAACTYvMzAvMjAxOAgAAAAKMTEvMzAvMjAxNQkAAAABMDXxH5p5A9YInvvHnHkD1gg9Q0lRLk5BU0RBUUNNOkFWWEwuSVFfQ0FTSF9TVF9JTlZFU1QuMjAwMC4xLzUvMjAxOC5MRlIuRi5VU0QuSAEAAABjOM8AAgAAAAkyNy40NDAyNTcBCAAAAAUAAAABMQEAAAAKMTg2OTQ3MDMzMgMAAAADMTYwAgAAAAQxMDAyBAAAAAEwBwAAAAgxLzUvMjAxOAgAAAAJOS8zMC8yMDE3CQAAAAEwt90fmnkD1giacMiceQPW</t>
  </si>
  <si>
    <t>CCVDSVEuT1RDUEs6TkVYUy5JUV9URVYuNi8zMC8yMDE4LlVTRC5IAQAAAB29ThQCAAAABzQuMjEwNjYBBgAAAAUAAAABMQEAAAAKMTg2Mjg2MzA0OAMAAAADMTYwAgAAAAYxMDAwNjAEAAAAATAHAAAACTYvMzAvMjAxOLuPH5p5A9YIpDrGnHkD1ggiQ0lRLklRVFIzODQwMjg0OTYuSVFfVFJfVEFSR0VUTkFNRQEAAABQz+MWAwAAABtWaXRhZSBQaGFybWFjZXV0aWNhbHMsIEluYy4ANtFxl3kD1gjmEM+ceQPWCClDSVEuSVFUUjIwODY0MDU1My5JUV9UUl9JTVBMSUVEX0VRX05JX0xUTQEAAAApmm8MAwAAAAJOTQBoC3KXeQPWCFEy0Zx5A9YINENJUS5BTUVYOlNZTi5JUV9UT1RBTF9SRVYuMjAwMC42LzMwLzIwMTguTEZSLkYuVVNELkgBAAAAbbB0AQMAAAAAALcEIJp5A9YIotbGnHkD1gguQ0lRLk5BU0RBUUdTOlZWVVMuSVFfTUFSS0VUQ0FQLjYvMzAvMjAxOC5VU0QuSAEAAAAujgAAAgAAAAk3NC43NjgxMzYBBgAAAAUAAAABMQEAAAAKMTg4NzQ0NDI2NwMAAAADMTYwAgAAAAYxMDAwNTQEAAAAATAHAAAACTYvMzAvMjAxOC18H5p5A9YIiZTJnHkD1gg8Q0lRLk5BU0RBUUdTOlZZR1IuSVFfVE9UQUxfRVFVSVRZLjE5OTIuNi8zMC8yMDE4LkxGUi5GLlVTRC5IAQAAAF7MTw8CAAAABzE2My41OTcBCAAAAAUAAAABMQEAAAAKMTg0MDkzNDY3NwMAAAADMTYwAgAAAAQxMjc1BAAAAAEwBwAAAAk2LzMwLzIw</t>
  </si>
  <si>
    <t>MTgIAAAACTMvMzEvMjAxNgkAAAABMHIQ4Zt5A9YI+snLnHkD1ghBQ0lRLkFNRVg6U1lOLklRX1RPVEFMX1JFVl8zWVJfQU5OX0NBR1IuMjAwMC42LzMwLzIwMTguTEZSLkYuVVNELkgBAAAAbbB0AQMAAAAAALcEIJp5A9YIJk7GnHkD1ggeQ0lRLklRMzYxODM4MjUuSVFfQ09NUEFOWV9OQU1FAQAAABEfKAIDAAAAMVVuaXRlZCBTdGF0ZXMgVHJlYXN1cnkgQ29uc3RhbnQgTWF0dXJpdHkgLSAyIFllYXIAsb1xl3kD1ghsNMyXeQPWCCJDSVEuLklRX1RSX1RBUkdFVF9UT1RBTF9SRVYuLlVTRC5IBQAAAAEAAAAIAAAAFChJbnZhbGlkIElkZW50aWZpZXIpbMLgm3kD1ghswuCbeQPWCCBDSVEuSVE2MjEwMjA0Ny5JUV9DT01QQU5ZX1RJQ0tFUgEAAAAfmrMDAwAAAA1OYXNkYXFDTTpSVFRSALG9cZd5A9YIs4zfl3kD1ggtQ0lRLk9UQ1BLOk5FWFMuSVFfTEFTVFNBTEVQUklDRS42LzMwLzIwMTguVVNEAQAAAB29ThQCAAAABjAuMDU5OQAtfB+aeQPWCKQ6xpx5A9YII0NJUS5JUVRSMjc4ODgzNzE2LklRX1RSX1RPVEFMX1NUT0NLAQAAAIRtnxACAAAAAABoC3KXeQPWCNip0Jx5A9YIOUNJUS5OQVNEQVFHUzpaRkdOLklRX1RPVEFMX1JFVi4yMDAwLjYvMzAvMjAxOC5MRlIuRi5VU0QuSAEAAACXwLoBAwAAAAAAchDhm3kD1gh5j8uceQPWCDlDSVEuT1RDUEs6TkVYUy5JUV9FQklUREFfRVNULkNZMjAxOS42LzMw</t>
  </si>
  <si>
    <t>LzIwMTguQ09OLkYuVVNELkgBAAAAHb1OFAMAAAAAADajH5p5A9YIJwDGnHkD1gglQ0lRLklRVFIzMzAzMjQyODUuSVFfVFJfSU1QTElFRF9FUV9CVgEAAAA9WbATAgAAAAAANtFxl3kD1ghh/c6ceQPWCCdDSVEuTkFTREFRQ006QVNNQi5JUV9CRVRBXzVZUi42LzMwLzIwMTgBAAAAEInxBQIAAAARMC44MjA4MDcxMzE4NjgzMzMA7Erhm3kD1gjxjMyceQPWCEZDSVEuTkFTREFRR1M6VllHUi5JUV9UT1RBTF9SRVZfMllSX0FOTl9DQUdSLjIwMDAuNi8zMC8yMDE4LkxGUi5GLlVTRC5IAQAAAF7MTw8CAAAACC0yOS45NDU4AQgAAAAFAAAAATEBAAAACjE4ODg0ODA1OTMDAAAAAzE2MAIAAAAENDIwNwQAAAABMAcAAAAJNi8zMC8yMDE4CAAAAAkzLzMxLzIwMTgJAAAAATByEOGbeQPWCHy2y5x5A9YIJUNJUS5JUVRSMzQwNzA0ODY1LklRX1BSSU1BUllfSU5EVVNUUlkBAAAAQIlqAgMAAAAPUGhhcm1hY2V1dGljYWxzADqqcZd5A9YI4ebPnHkD1gg6Q0lRLlRTWFY6Q09CLlUuSVFfRUJJVERBX01BUkdJTi4yMDAwLjYvMzAvMjAxOC5MRlIuRi5VU0QuSAEAAAC/+wAIAwAAAAAAuLYfmnkD1giICcqceQPWCD1DSVEuTkFTREFRR1M6VlZVUy5JUV9SRVZFTlVFX0VTVC5DWTIwMjEuNi8zMC8yMDE4LkNPTi5GLlVTRC5IAQAAAC6OAAADAAAAAAC7jx+aeQPWCAuByZx5A9YIPENJUS5OQVNEQVFDTTpTTE5PLklRX0VC</t>
  </si>
  <si>
    <t>SVREQV9FU1QuQ1kyMDE4LjYvMzAvMjAxOC5DT04uRi5VU0QuSAEAAADpdSYAAwAAAAAANqMfmnkD1giacseceQPWCEdDSVEuTkFTREFRQ006UlRUUi5JUV9NSU5PUklUWV9JTlRFUkVTVF9UT1RBTC4yMDAwLjYvMzAvMjAxOC5MRlIuRi5VU0QuSAEAAAAfmrMDAwAAAAAAMhggmnkD1gitd8WceQPWCCVDSVEuTkFTREFRQ006QVNNQi5JUV9GSVJTVFBSSUNJTkdEQVRFAQAAABCJ8QUFAAAACjEyLzE3LzIwMTAA8dXgm3kD1ghv7syceQPWCDdDSVEuQUlNOk9QVEkuSVFfVE9UQUxfRVFVSVRZLjE5OTYuNi8zMC8yMDE4LkxGUi5GLlVTRC5IAQAAADPbtQcCAAAACDYuMjQ2ODg2AQgAAAAFAAAAATEBAAAACjE4OTEwMjIwNTMDAAAAAzE2MAIAAAAEMTI3NQQAAAABMAcAAAAJNi8zMC8yMDE4CAAAAAoxMS8zMC8yMDE2CQAAAAEwNfEfmnkD1gil1MeceQPWCCNDSVEuSVFUUjM3Njc5OTIzMi5JUV9UUl9DTE9TRURfREFURQEAAAAAgHUWBQAAAAk4LzMxLzIwMTYAseRxl3kD1gg1FNGXeQPWCDpDSVEuTkFTREFRR1M6VlZVUy5JUV9FQVJOSU5HX0NPLjE5OTIuNi8zMC8yMDE4LkxGUi5GLlVTRC5IAQAAAC6OAAACAAAABy05MC4zNDkBCAAAAAUAAAABMQEAAAAKMTg0MDY1MTk3MAMAAAADMTYwAgAAAAE3BAAAAAEwBwAAAAk2LzMwLzIwMTgIAAAACTMvMzEvMjAxNgkAAAABMDbKH5p5A9YIrjPJnHkD1ggUQ0lRLjAu</t>
  </si>
  <si>
    <t>SVFfVFJfRUFSTk9VVFMFAAAAAAAAAAgAAAAYKEludmFsaWQgVHJhbnNhY3Rpb24gSWQptZZxl3kD1gjPbNGceQPWCBVDSVEuLklRX1RSX1RPVEFMX0NBU0gFAAAAAQAAAAgAAAAUKEludmFsaWQgSWRlbnRpZmllcilswuCbeQPWCGzC4Jt5A9YIOUNJUS5OQVNEQVFHUzpWVlVTLklRX1RPVEFMX1JFVi4yMDAwLjYvMzAvMjAxOC5MRlIuRi5VU0QuSAEAAAAujgAAAgAAAAY1MC4yNjEBCAAAAAUAAAABMQEAAAAKMTg4NzQ0NDMyOAMAAAADMTYwAgAAAAIyOAQAAAABMAcAAAAJNi8zMC8yMDE4CAAAAAkzLzMxLzIwMTgJAAAAATA2yh+aeQPWCImUyZx5A9YIPkNJUS5BSU06T1BUSS5JUV9FQklUREFfM1lSX0FOTl9DQUdSLjIwMDAuNi8zMC8yMDE4LkxGUi5GLlVTRC5IAQAAADPbtQcDAAAAAk5NAQgAAAAFAAAAATEBAAAACjE4OTEwMjIwNzYDAAAAAjU1AgAAAAQ0MjIyBAAAAAEwBwAAAAk2LzMwLzIwMTgIAAAACjExLzMwLzIwMTcJAAAAATA18R+aeQPWCKOtx5x5A9YIK0NJUS5OQVNEQVFDTTpBVlhMLklRX0xBU1RTQUxFUFJJQ0UuMS81LzIwMTgBAAAAYzjPAAIAAAAEMy40NAAtfB+aeQPWCBuEyJx5A9YII0NJUS5JUVRSMzc4NTg3ODIyLklRX1RSX0NMT1NFRF9EQVRFAQAAAK7KkBYFAAAACDgvMS8yMDE2ALHkcZd5A9YIPmfPl3kD1gg4Q0lRLk5BU0RBUUdTOkFDQUQuSVFfRUJJVERBLkNZMjAxNi42LzMw</t>
  </si>
  <si>
    <t>LzIwMTguTEZSLkYuVVNELkgBAAAAwW4KAAIAAAAILTI3MC45ODcBCAAAAAUAAAABMQEAAAAKMTg3NjEyNTUzNAMAAAADMTYwAgAAAAQ0MDUxBAAAAAEwBwAAAAk2LzMwLzIwMTgIAAAACjEyLzMxLzIwMTYJAAAAATDx1eCbeQPWCGsTzpx5A9YIKUNJUS5JUVRSMzg0MDI4NDk2LklRX0JVU0lORVNTX0RFU0NSSVBUSU9OAQAAAB9NKQADAAAAkQdWaXRhZSBQaGFybWFjZXV0aWNhbHMsIEluYy4sIGEgYmlvdGVjaG5vbG9neSBjb21wYW55LCBmb2N1c2VzIG9uIGRpc2NvdmVyaW5nIGFuZCBkZXZlbG9waW5nIG5vdmVsIGFuZCBzbWFsbCBtb2xlY3VsZSBkcnVncyBmb3IgZGlzZWFzZXMgd2l0aCB1bm1ldCBtZWRpY2FsIG5lZWRzIGluIHRoZSBVbml0ZWQgU3RhdGVzLiBJdHMgcHJvZHVjdHMgaW5jbHVkZSBWVFAtNDM3NDIgaW4gUGhhc2UgSSBjbGluaWNhbCB0cmlhbCBmb3IgdGhlIHRyZWF0bWVudCBvZiBhdXRvaW1tdW5lIGRpc29yZGVycywgaW5jbHVkaW5nIHBzb3JpYXNpcywgcHNvcmlhdGljIGFydGhyaXRpcywgYW5reWxvc2luZyBzcG9uZHlsaXRpcywgaW5mbGFtbWF0b3J5IGJvd2VsIGRpc2Vhc2UsIGFuZCBtdWx0aXBsZSBzY2xlcm9zaXM7IFZUUC0zODU0MyBpbiBQaGFzZSBJSWEgZm9yIHRoZSB0cmVhdG1lbnQgb2YgYXRvcGljIGRlcm1hdGl0aXM7IGFuZCBCSSAxMTQ3NTYwIGZvciB0aGUg</t>
  </si>
  <si>
    <t>dHJlYXRtZW50IGFuZCBwcmV2ZW50aW9uIG9mIEFsemhlaW1lcidzIGRpc2Vhc2UuIFRoZSBjb21wYW554oCZcyBwcm9kdWN0cyBhbHNvIGluY2x1ZGUgVlRQLTM0MDcyIHRoYXQgaXMgaW4gUGhhc2UgSUkgY2xpbmljYWwgdHJpYWwgZm9yIHRoZSB0cmVhdG1lbnQgb2YgdHlwZSAyIGRpYWJldGVzOyBhbmQgVlRQLTM4NDQzIGZvciB0aGUgdHJlYXRtZW50IG9mIGFjdXRlIGNvcm9uYXJ5IHN5bmRyb21lLiBWaXRhZSBQaGFybWFjZXV0aWNhbHMsIEluYy4gd2FzIGZvdW5kZWQgaW4gMjAwMSBhbmQgaXMgaGVhZHF1YXJ0ZXJlZCBpbiBGb3J0IFdhc2hpbmd0b24sIFBlbm5zeWx2YW5pYS4gQXMgb2YgT2N0b2JlciAyNCwgMjAxNiwgVml0YWUgUGhhcm1hY2V1dGljYWxzLCBJbmMuIG9wZXJhdGVzIGFzIGEgc3Vic2lkaWFyeSBvZiBBbGxlcmdhbiBwbGMuALG9cZd5A9YI4jfPnHkD1ggpQ0lRLklRVFIzODQwMjg0OTYuSVFfVFJfSU1QTElFRF9FUV9OSV9MVE0BAAAAUM/jFgMAAAACTk0AseRxl3kD1gjiN8+ceQPWCCRDSVEuTkFTREFRQ006QVNNQi5JUV9FRkZFQ1RfVEFYX1JBVEUBAAAAEInxBQMAAAACTk0BCAAAAAUAAAABMQEAAAAKMTg5OTI3ODM4NQMAAAADMTYwAgAAAAQ0Mzc2BAAAAAEwBwAAAAk4LzE2LzIwMTgIAAAACTYvMzAvMjAxOAkAAAABMO384Jt5A9YI9WXMnHkD1ghAQ0lRLihJTlZBTElE</t>
  </si>
  <si>
    <t>IElERU5USUZJRVIpLklRX1RPVEFMX0RFQlQuMjAwMC4xLzUvMjAxOC5MRlIuRi5VU0QuSAUAAAAAAAAACAAAABQoSW52YWxpZCBJZGVudGlmaWVyKTFmIJp5A9YINlPEnHkD1gg9Q0lRLk5BU0RBUUdTOlZZR1IuSVFfUkVWRU5VRV9FU1QuQ1kyMDIxLjYvMzAvMjAxOC5DT04uRi5VU0QuSAEAAABezE8PAgAAAAcxNS42Nzc1AQ4AAAAFAAAAAjExAQAAAAEwAgAAAAoxMDAzMjQzNDUzAwAAAAYxMDAxODAEAAAAATIGAAAAATAHAAAAAzE2MAgAAAABMAkAAAABMQoAAAABMAsAAAALMTA5MTE0MDA3MDUMAAAAATcNAAAACDcvMS8yMDE4EAAAAAk2LzMwLzIwMThuN+GbeQPWCHQrzJx5A9YIOkNJUS5PVENQSzpORVhTLklRX0NBU0hfU1RfSU5WRVNULjIwMDAuMS81LzIwMTguTEZSLkYuVVNELkgBAAAAHb1OFAIAAAAIMC4wMDg0MjcBCAAAAAUAAAABMQEAAAAKMTg2Mjg2MzA5MwMAAAADMTYwAgAAAAQxMDAyBAAAAAEwBwAAAAgxLzUvMjAxOAgAAAAJNS8zMS8yMDE3CQAAAAEwMhggmnkD1ggrssWceQPWCCBDSVEuSVEzNjE4Mzg0My5JUV9MQVNUU0FMRVBSSUNFLgEAAAAjHygCAgAAAAQzLjAzAPHV4Jt5A9YI8dXgm3kD1gg7Q0lRLk5BU0RBUUdTOkFDQUQuSVFfUFJFRl9FUVVJVFkuMjAwMC42LzMwLzIwMTguTEZSLkYuVVNELkgBAAAAwW4KAAMAAAAAAPHV4Jt5A9YIZzrOnHkD1ghDQ0lRLk5BU0RBUUdTOk1D</t>
  </si>
  <si>
    <t>UkIuSVFfRUJJVERBXzNZUl9BTk5fQ0FHUi4yMDAwLjYvMzAvMjAxOC5MRlIuRi5VU0QuSAEAAADTYkENAwAAAAJOTQEIAAAABQAAAAExAQAAAAoxODg4MTA1NDUxAwAAAAMxNjACAAAABDQyMjIEAAAAATAHAAAACTYvMzAvMjAxOAgAAAAJMy8zMS8yMDE4CQAAAAEwbjfhm3kD1giEV8qceQPWCEZDSVEuTkFTREFRR1M6VlZVUy5JUV9UT1RBTF9SRVZfNVlSX0FOTl9DQUdSLjIwMDAuNi8zMC8yMDE4LkxGUi5GLlVTRC5IAQAAAC6OAAACAAAABzUyLjM0ODkBCAAAAAUAAAABMQEAAAAKMTg4NzQ0NDMyOAMAAAADMTYwAgAAAAQ0MjMzBAAAAAEwBwAAAAk2LzMwLzIwMTgIAAAACTMvMzEvMjAxOAkAAAABMDbKH5p5A9YIogzJnHkD1ggqQ0lRLk9UQ1BLOk5FWFMuSVFfTUFSS0VUQ0FQLjEvNS8yMDE4LlVTRC5IAQAAAB29ThQCAAAABTUuMTQ0AQYAAAAFAAAAATEBAAAACjE4NjI4NjMwNDgDAAAAAzE2MAIAAAAGMTAwMDU0BAAAAAEwBwAAAAgxLzUvMjAxOLuPH5p5A9YIK7LFnHkD1gg4Q0lRLk5BU0RBUUdTOlZWVVMuSVFfRUJJVERBLkNZMjAxNi42LzMwLzIwMTguTEZSLkYuVVNELkgBAAAALo4AAAIAAAAGNTYuNzY1AQgAAAAFAAAAATEBAAAACjE4Nzg4NTg3MjgDAAAAAzE2MAIAAAAENDA1MQQAAAABMAcAAAAJNi8zMC8yMDE4CAAAAAoxMi8zMS8yMDE2CQAAAAEwNsofmnkD1giNbcmceQPWCDpDSVEuTkFT</t>
  </si>
  <si>
    <t>REFRR1M6VlZVUy5JUV9FQVJOSU5HX0NPLjE5OTYuNi8zMC8yMDE4LkxGUi5GLlVTRC5IAQAAAC6OAAACAAAABjM0Ljk1NAEIAAAABQAAAAExAQAAAAoxODg3NDQ0MzI0AwAAAAMxNjACAAAAATcEAAAAATAHAAAACTYvMzAvMjAxOAgAAAAJMy8zMS8yMDE3CQAAAAEwNsofmnkD1giuM8mceQPWCDdDSVEuTkFTREFRR1M6QUNBRC5JUV9QRVJJT0REQVRFX0lTLjIwMDAuNi8zMC8yMDE4LkxGUi5GAQAAAMFuCgAFAAAACTMvMzEvMjAxOADx1eCbeQPWCOhNzpx5A9YIIUNJUS5JUVRSNTYwMjUwMjY2LklRX1RSX0JVWUVSTkFNRQEAAACavWQhAwAAALYBV2hpdGVib3ggQWR2aXNvcnMsIExMQzsgV2hpdGVib3ggQXN5bW1ldHJpYyBQYXJ0bmVycyBMUDsgUGVybml4IElyZWxhbmQgUGFpbiBMaW1pdGVkOyBXaGl0ZWJveCBDYWphIEJsYW5jYSBGdW5kLCBMUDsgMTk5MiBDby1JbnZlc3QgRnVuZDsgMTk5MiBUYWN0aWNhbCBGdW5kOyAxOTkyIE11bHRpLVN0cmF0ZWd5IEZ1bmQAsb1xl3kD1ghmiM6ceQPWCDhDSVEuQU1FWDpTWU4uSVFfUkVWRU5VRV9FU1QuQ1kyMDE5LjYvMzAvMjAxOC5DT04uRi5VU0QuSAEAAABtsHQBAgAAAAI0MAEOAAAABQAAAAIxMQEAAAABMAIAAAAKMTAwMTk0ODI5NwMAAAAGMTAwMTgwBAAAAAEyBgAAAAEwBwAAAAMxNjAIAAAAATAJAAAAATEKAAAAATALAAAACzEwODg5MDEzMzM0DAAA</t>
  </si>
  <si>
    <t>AAE3DQAAAAg3LzEvMjAxOBAAAAAJNi8zMC8yMDE4NqMfmnkD1gii1saceQPWCDtDSVEuTkFTREFRR1M6TUNSQi5JUV9UT1RBTF9SRVYuQ1kyMDE3LjYvMzAvMjAxOC5MRlIuRi5VU0QuSAEAAADTYkENAgAAAAQzMi4xAQgAAAAFAAAAATEBAAAACjE4Nzc1NTU0MzUDAAAAAzE2MAIAAAACMjgEAAAAATAHAAAACTYvMzAvMjAxOAgAAAAKMTIvMzEvMjAxNwkAAAABMPAj4Zt5A9YIAeDKnHkD1gg/Q0lRLk5BU0RBUUdTOlZZR1IuSVFfTkVUX1dPUktJTkdfQ0FQLjE5OTIuNi8zMC8yMDE4LkxGUi5GLlVTRC5IAQAAAF7MTw8CAAAABy0yMS4zNzEBCAAAAAUAAAABMQEAAAAKMTg0MDkzNDY3NwMAAAADMTYwAgAAAAQxMzExBAAAAAEwBwAAAAk2LzMwLzIwMTgIAAAACTMvMzEvMjAxNgkAAAABMHIQ4Zt5A9YIdQTMnHkD1ggrQ0lRLk5BU0RBUUdTOlZWVVMuSVFfTEFTVFNBTEVQUklDRS4xLzUvMjAxOAEAAAAujgAAAgAAAAYwLjUyNTYALXwfmnkD1ggTIMmceQPWCCdDSVEuTkFTREFRR1M6VllHUi5JUV9QRVJJT0REQVRFX0lTLjEwMDABAAAAXsxPDwUAAAAKMTIvMzEvMjAxNwDt/OCbeQPWCPY+zJx5A9YIIENJUS5JUVRSMzMwMzI0Mjg1LklRX1RSX0VBUk5PVVRTAQAAAD1ZsBMCAAAAAAA20XGXeQPWCGH9zpx5A9YIFkNJUS4wLklRX1RSX1RBUkdFVE5BTUUFAAAAAAAAAAgAAAAYKEludmFsaWQgVHJhbnNhY3Rp</t>
  </si>
  <si>
    <t>b24gSWQptZZxl3kD1gjPbNGceQPWCChDSVEuTkFTREFRR1M6QUNBRC5JUV9URVYuNi8zMC8yMDE4LlVTRC5IAQAAAMFuCgACAAAACzE2MDguMDI5NTQ2AQYAAAAFAAAAATEBAAAACjE4ODY2MjE5MzIDAAAAAzE2MAIAAAAGMTAwMDYwBAAAAAEwBwAAAAk2LzMwLzIwMThswuCbeQPWCGc6zpx5A9YIJ0NJUS5OQVNEQVFDTTpTTE5PLklRX0JFVEFfMllSLjYvMzAvMjAxOAEAAADpdSYAAgAAABIwLjAxMjExMDM1MTg0NjIxNzEAr3kgmnkD1ggcOMeceQPWCEZDSVEuTkFTREFRR1M6QUNBRC5JUV9NSU5PUklUWV9JTlRFUkVTVF9UT1RBTC4yMDAwLjEvNS8yMDE4LkxGUi5GLlVTRC5IAQAAAMFuCgADAAAAAAB16eCbeQPWCGmxzZx5A9YIMUNJUS5BSU06T1BUSS5JUV9FQklUREEuMTk5Mi42LzMwLzIwMTguTEZSLkYuVVNELkgBAAAAM9u1BwIAAAAJLTEuOTcxMDYyAQgAAAAFAAAAATEBAAAACjE4Mzk4MDQzMzMDAAAAAzE2MAIAAAAENDA1MQQAAAABMAcAAAAJNi8zMC8yMDE4CAAAAAoxMS8zMC8yMDE1CQAAAAEwt90fmnkD1gieIsiceQPWCDlDSVEuT1RDUEs6TkVYUy5JUV9FQklUREFfRVNULkNZMjAyMC42LzMwLzIwMTguQ09OLkYuVVNELkgBAAAAHb1OFAMAAAAAADajH5p5A9YIJwDGnHkD1ggiQ0lRLjAuSVFfVFJfVEFSR0VUX1NUT0NLUFJFTUlVTV8xTQUAAAAAAAAACAAAABgoSW52YWxpZCBUcmFuc2Fj</t>
  </si>
  <si>
    <t>dGlvbiBJZCm1lnGXeQPWCFCA0Zx5A9YIKUNJUS5JUVRSMjcyNzc2MzM4LklRX0JVU0lORVNTX0RFU0NSSVBUSU9OAQAAAEDnCQcDAAAA9QZDaXZpdGFzIFRoZXJhcGV1dGljcywgSW5jLiwgYSBiaW9waGFybWFjZXV0aWNhbCBjb21wYW55LCBkZXZlbG9wcyBhbmQgY29tbWVyY2lhbGl6ZXMgdHJhbnNmb3JtYXRpdmUgdGhlcmFwZXV0aWNzIHVzaW5nIGl0cyBBUkNVUyB0ZWNobm9sb2d5LiBJdHMgdGVjaG5vbG9neSBlbmFibGVzIHRoZSBkZWxpdmVyeSBvZiBhIHByZWNpc2UgZG9zZSB0byB0aGUgbHVuZyB0byBwb3RlbnRpYWxseSBlbmFibGUgcmFwaWQgYW5kIHByZWRpY3RhYmxlIEwtZG9wYSBhYnNvcnB0aW9uIHRocm91Z2ggYSByZXVzYWJsZSwgcG9ja2V0LXNpemUsIGFuZCBicmVhdGgtYWN0dWF0ZWQgaW5oYWxlci4gVGhlIGNvbXBhbnkgb2ZmZXJzIENWVC0zMDEsIGEgaW5oYWxlZCBMLWRvcGEgdGhlcmFweSBmb3IgT0ZGIGVwaXNvZGVzIHRoYXQgcHJvdmlkZXMgcmFwaWQgZGVsaXZlcnkgb2YgTC1kb3BhIHRvIHRoZSBicmFpbiB0byBiZSB1c2VkIGluIGNvbmp1bmN0aW9uIHdpdGggYSBQYXJraW5zb27igJlzIGRpc2Vhc2UgcGF0aWVudOKAmXMgaW5kaXZpZHVhbGx5IG9wdGltaXplZCBvcmFsIEwtZG9wYSByZWdpbWVuLiBDaXZpdGFzIFRoZXJhcGV1dGljcywgSW5jLiB3YXMgZm9ybWVy</t>
  </si>
  <si>
    <t>bHkga25vd24gYXMgQ29ycmVnaWRvciBUaGVyYXBldXRpY3MsIEluYy4gYW5kIGNoYW5nZWQgaXRzIG5hbWUgdG8gQ2l2aXRhcyBUaGVyYXBldXRpY3MsIEluYy4gaW4gQXByaWwgMjAxMS4gVGhlIGNvbXBhbnkgd2FzIGZvdW5kZWQgaW4gMjAwOSBhbmQgaXMgYmFzZWQgaW4gQ2hlbHNlYSwgTWFzc2FjaHVzZXR0cy4gQXMgb2YgT2N0b2JlciAyMiwgMjAxNCwgQ2l2aXRhcyBUaGVyYXBldXRpY3MsIEluYy4gb3BlcmF0ZXMgYXMgYSBzdWJzaWRpYXJ5IG9mIEFjb3JkYSBUaGVyYXBldXRpY3MsIEluYy4Asb1xl3kD1gjT99CceQPWCDZDSVEuTkFTREFRQ006UlRUUi5JUV9FQklUREEuMTk5Ni42LzMwLzIwMTguTEZSLkYuVVNELkgBAAAAH5qzAwIAAAAKLTE2Ljk3MjQxNgEIAAAABQAAAAExAQAAAAoxODg5MTA0MDk0AwAAAAMxNjACAAAABDQwNTEEAAAAATAHAAAACTYvMzAvMjAxOAgAAAAJMy8zMS8yMDE3CQAAAAEwMhggmnkD1ggsZMWceQPWCCVDSVEuSVFUUjI0Mzc0NDMwNi5JUV9UUl9JTVBMSUVEX0VRX0JWAQAAADI+hw4CAAAACDQuMTE4ODY0AQYAAAAFAAAAAjU0AQAAAAYxMDIwOTcCAAAACTI0Mzc0NDMwNgMAAAAJMjQzNzQ0NDEwBAAAAAMxNjAGAAAABUZhbHNlaAtyl3kD1ghVC9GceQPWCDxDSVEuTkFTREFRR006UllUTS5JUV9FQklUREFfRVNULkNZMjAxOS42LzMwLzIwMTguQ09OLkYuVVNE</t>
  </si>
  <si>
    <t>LkgBAAAAGMltEgIAAAAJLTYzLjgwODQ4AQ4AAAAFAAAAAjExAQAAAAEwAgAAAAoxMDAzODk5MzQ2AwAAAAYxMDAxODcEAAAAATIGAAAAATAHAAAAAzE2MAgAAAABMAkAAAABMQoAAAABMAsAAAALMTA5MzYxNjA3NTQMAAAAATcNAAAACDcvMS8yMDE4EAAAAAk2LzMwLzIwMThuN+GbeQPWCGpjzZx5A9YII0NJUS5JUVRSMzMwMzI0Mjg1LklRX1RSX1RPVEFMX1NUT0NLAQAAAD1ZsBMCAAAACTU2LjY0MTg1NgEGAAAABQAAAAI1NAEAAAAGMTAxMDU3AgAAAAkzMzAzMjQyODUDAAAACTM4MTEyMDkxMQQAAAADMTYwBgAAAAVGYWxzZTbRcZd5A9YIYf3OnHkD1gg2Q0lRLk5BU0RBUUdTOk1DUkIuSVFfRUJJVERBLjE5OTYuNi8zMC8yMDE4LkxGUi5GLlVTRC5IAQAAANNiQQ0CAAAABy05My4yNjQBCAAAAAUAAAABMQEAAAAKMTg4ODEwNTQyOAMAAAADMTYwAgAAAAQ0MDUxBAAAAAEwBwAAAAk2LzMwLzIwMTgIAAAACTMvMzEvMjAxNwkAAAABMPAj4Zt5A9YIgszKnHkD1ghGQ0lRLk5BU0RBUUNNOkFWWEwuSVFfTUlOT1JJVFlfSU5URVJFU1RfVE9UQUwuMjAwMC4xLzUvMjAxOC5MRlIuRi5VU0QuSAEAAABjOM8AAwAAAAAAt90fmnkD1giacMiceQPWCDBDSVEuTkFTREFRQ006QVNNQi5JUV9MQVNUU0FMRVBSSUNFLjYvMzAvMjAxOC5VU0QBAAAAEInxBQIAAAAFMzkuMjEA8dXgm3kD1gjx2syceQPWCCxDSVEuSVFU</t>
  </si>
  <si>
    <t>UjM0MDcwNDg2NS5JUV9UUl9UQVJHRVRfRUJJVERBLi5VU0QuSAEAAABhvk4UAgAAAAAAMvhxl3kD1ghb+s+ceQPWCDpDSVEuTkFTREFRR1M6VlZVUy5JUV9UT1RBTF9ERUJULjIwMDAuNi8zMC8yMDE4LkxGUi5GLlVTRC5IAQAAAC6OAAACAAAABzIzNi41MDcBCAAAAAUAAAABMQEAAAAKMTg4NzQ0NDMyOAMAAAADMTYwAgAAAAQ0MTczBAAAAAEwBwAAAAk2LzMwLzIwMTgIAAAACTMvMzEvMjAxOAkAAAABMDbKH5p5A9YIC6jJnHkD1gg9Q0lRLk5BU0RBUUdNOlJZVE0uSVFfUkVWRU5VRV9FU1QuQ1kyMDIwLjYvMzAvMjAxOC5DT04uRi5VU0QuSAEAAAAYyW0SAgAAAAI0NAEOAAAABQAAAAIxMQEAAAABMAIAAAAKMTAwMzg5OTM1MQMAAAAGMTAwMTgwBAAAAAEyBgAAAAEwBwAAAAMxNjAIAAAAATAJAAAAATEKAAAAATALAAAACzEwOTQwMDY4MzQ4DAAAAAE3DQAAAAg3LzEvMjAxOBAAAAAJNi8zMC8yMDE4bjfhm3kD1gjrds2ceQPWCD1DSVEuTkFTREFRR1M6TUNSQi5JUV9DQVNIX1NUX0lOVkVTVC4yMDAwLjEvNS8yMDE4LkxGUi5GLlVTRC5IAQAAANNiQQ0CAAAABzE3MS4yOTkBCAAAAAUAAAABMQEAAAAKMTg2NDc2ODA0NwMAAAADMTYwAgAAAAQxMDAyBAAAAAEwBwAAAAgxLzUvMjAxOAgAAAAJOS8zMC8yMDE3CQAAAAEwbjfhm3kD1ggFa8qceQPWCERDSVEuKElOVkFMSUQgSURFTlRJRklFUikuSVFfUkVW</t>
  </si>
  <si>
    <t>RU5VRV9FU1QuQ1kyMDE5LjYvMzAvMjAxOC5DT04uRi5VU0QuSAUAAAAAAAAACAAAABQoSW52YWxpZCBJZGVudGlmaWVyKbi2H5p5A9YIMcjEnHkD1gglQ0lRLklRVFIyNzg4ODM3MTYuSVFfUFJJTUFSWV9JTkRVU1RSWQEAAAA28wQAAwAAAA9QaGFybWFjZXV0aWNhbHMAOqpxl3kD1gjYqdCceQPWCDRDSVEuQU1FWDpTWU4uSVFfVE9UQUxfREVCVC4yMDAwLjEvNS8yMDE4LkxGUi5GLlVTRC5IAQAAAG2wdAECAAAAATABCAAAAAUAAAABMQEAAAAKMTg2MzYyNTcyOQMAAAADMTYwAgAAAAQ0MTczBAAAAAEwBwAAAAgxLzUvMjAxOAgAAAAJOS8zMC8yMDE3CQAAAAEwtwQgmnkD1gikYcaceQPWCDxDSVEuTkFTREFRR1M6VllHUi5JUV9FQklUREFfRVNULkNZMjAxOS42LzMwLzIwMTguQ09OLkYuVVNELkgBAAAAXsxPDwIAAAAKLTExMC43Njg2NwEOAAAABQAAAAIxMQEAAAABMAIAAAAKMTAwMzI0MzQ0MwMAAAAGMTAwMTg3BAAAAAEyBgAAAAEwBwAAAAMxNjAIAAAAATAJAAAAATEKAAAAATALAAAACzEwOTExNDAwODU5DAAAAAE3DQAAAAg3LzEvMjAxOBAAAAAJNi8zMC8yMDE4bjfhm3kD1gh1BMyceQPWCCJDSVEuSVFUUjI0Mzc0NDMwNi5JUV9UUl9UQVJHRVROQU1FAQAAADI+hw4DAAAAGEVsYW4gQ29ycG9yYXRpb24gTGltaXRlZABoC3KXeQPWCFXk0Jx5A9YIIkNJUS5JUVRSNTYwMjUwMjY2LklRX1RSX1RP</t>
  </si>
  <si>
    <t>VEFMX0NBU0gBAAAAmr1kIQIAAAAENzMuNQEGAAAABQAAAAI1NAEAAAAGMTAxMDU2AgAAAAk1NjAyNTAyNjYDAAAACTU3NTc5NDE1MAQAAAADMTYwBgAAAAVGYWxzZTbRcZd5A9YIZojOnHkD1gg5Q0lRLk9UQ1BLOk5FWFMuSVFfRUFSTklOR19DTy5DWTIwMTYuNi8zMC8yMDE4LkxGUi5GLlVTRC5IAQAAAB29ThQCAAAACS0wLjY1NjQ2MQEIAAAABQAAAAExAQAAAAoxODM1NTEwMTI5AwAAAAMxNjACAAAAATcEAAAAATAHAAAACTYvMzAvMjAxOAgAAAAKMTEvMzAvMjAxNgkAAAABMDIYIJp5A9YIqcXFnHkD1ggsQ0lRLklRVFIzMTg1NDIyMTAuSVFfVFJfVEFSR0VUX0VCSVREQS4uVVNELkgBAAAAgpH8EgIAAAAAADL4cZd5A9YIV2/QnHkD1gghQ0lRLi5JUV9UUl9UQVJHRVRfU1RPQ0tQUkVNSVVNXzFNBQAAAAEAAAAIAAAAFChJbnZhbGlkIElkZW50aWZpZXIpbMLgm3kD1ghswuCbeQPWCC5DSVEuTkFTREFRR1M6QUNBRC5JUV9NQVJLRVRDQVAuNi8zMC8yMDE4LlVTRC5IAQAAAMFuCgACAAAACzE5MDYuMDkyNTQ3AQYAAAAFAAAAATEBAAAACjE4ODY2MjE5MzIDAAAAAzE2MAIAAAAGMTAwMDU0BAAAAAEwBwAAAAk2LzMwLzIwMThswuCbeQPWCOhNzpx5A9YIOENJUS5BTUVYOlNZTi5JUV9SRVZFTlVFX0VTVC5DWTIwMjAuNi8zMC8yMDE4LkNPTi5GLlVTRC5IAQAAAG2wdAECAAAAATABDgAAAAUAAAACMTEB</t>
  </si>
  <si>
    <t>AAAAATACAAAACjEwMDE5NDgzMDIDAAAABjEwMDE4MAQAAAABMgYAAAABMAcAAAADMTYwCAAAAAEwCQAAAAExCgAAAAEwCwAAAAsxMDg4OTAxMzIzMQwAAAABNw0AAAAINy8xLzIwMTgQAAAACTYvMzAvMjAxODajH5p5A9YIotbGnHkD1gg8Q0lRLk5BU0RBUUdNOlJZVE0uSVFfRUFSTklOR19DTy5DWTIwMTcuNi8zMC8yMDE4LkxGUi5GLlVTRC5IAQAAABjJbRICAAAABy0zMy43MDkBCAAAAAUAAAABMQEAAAAKMTg5MzkwNTk2MQMAAAADMTYwAgAAAAE3BAAAAAEwBwAAAAk2LzMwLzIwMTgIAAAACjEyLzMxLzIwMTcJAAAAATB16eCbeQPWCOwozZx5A9YIOUNJUS5OQVNEQVFDTTpSVFRSLklRX1RPVEFMX1JFVi4xOTkyLjYvMzAvMjAxOC5MRlIuRi5VU0QuSAEAAAAfmrMDAwAAAAAAMhggmnkD1gitd8WceQPWCCRDSVEuMC5JUV9UUl9UQVJHRVRfRUJJVERBX0VTVC4uVVNELkgFAAAAAAAAAAgAAAAYKEludmFsaWQgVHJhbnNhY3Rpb24gSWQptZZxl3kD1ghQgNGceQPWCCxDSVEuSVFUUjU2MDI1MDI2Ni5JUV9UUl9UQVJHRVRfRUJJVERBLi5VU0QuSAEAAACavWQhAgAAAAAANtFxl3kD1gjnm86ceQPWCD5DSVEuQU1FWDpTWU4uSVFfRUJJVERBXzJZUl9BTk5fQ0FHUi4yMDAwLjYvMzAvMjAxOC5MRlIuRi5VU0QuSAEAAABtsHQBAwAAAAJOTQEIAAAABQAAAAExAQAAAAoxODg3NDA4NzI2AwAAAAMxNjACAAAA</t>
  </si>
  <si>
    <t>BDQyMDkEAAAAATAHAAAACTYvMzAvMjAxOAgAAAAJMy8zMS8yMDE4CQAAAAEwtwQgmnkD1ggmTsaceQPWCCxDSVEuSVFUUjM3MDA3MjM1My5JUV9UUl9UT1RBTF9HUk9TU19UVi5VU0QuSAUAAAAAAAAACAAAABooSW52YWxpZCBDdXJyZW5jeSBSZXF1ZXN0KTSDcZd5A9YI2HHPnHkD1gg4Q0lRLlRTWFY6Q09CLlUuSVFfUFJFRl9FUVVJVFkuMjAwMC42LzMwLzIwMTguTEZSLkYuVVNELkgBAAAAv/sACAMAAAAAAG434Zt5A9YIBkTKnHkD1ggtQ0lRLk5BU0RBUUdTOlZWVVMuSVFfTUFSS0VUQ0FQLjEvNS8yMDE4LlVTRC5IAQAAAC6OAAACAAAACDU1LjY4OTEzAQYAAAAFAAAAATEBAAAACjE4NjUzMTcwODIDAAAAAzE2MAIAAAAGMTAwMDU0BAAAAAEwBwAAAAgxLzUvMjAxOC18H5p5A9YIEyDJnHkD1gg8Q0lRLk5BU0RBUUNNOkFWWEwuSVFfVE9UQUxfRVFVSVRZLjIwMDAuNi8zMC8yMDE4LkxGUi5GLlVTRC5IAQAAAGM4zwACAAAACTIyLjQ3ODg1NwEIAAAABQAAAAExAQAAAAoxODg4NTA0Mjc5AwAAAAMxNjACAAAABDEyNzUEAAAAATAHAAAACTYvMzAvMjAxOAgAAAAJMy8zMS8yMDE4CQAAAAEwt90fmnkD1ggbhMiceQPWCDZDSVEuTkFTREFRQ006UlRUUi5JUV9FQklUREEuMTk5Mi42LzMwLzIwMTguTEZSLkYuVVNELkgBAAAAH5qzAwIAAAAKLTEwLjY1OTQ0NAEIAAAABQAAAAExAQAAAAoxODQzNzQ4ODU0</t>
  </si>
  <si>
    <t>AwAAAAMxNjACAAAABDQwNTEEAAAAATAHAAAACTYvMzAvMjAxOAgAAAAJMy8zMS8yMDE2CQAAAAEwMhggmnkD1ggsZMWceQPWCD1DSVEuTkFTREFRR1M6VlZVUy5JUV9FQklUREFfTUFSR0lOLjIwMDAuNi8zMC8yMDE4LkxGUi5GLlVTRC5IAQAAAC6OAAACAAAACC0xMS45NzE1AQgAAAAFAAAAATEBAAAACjE4ODc0NDQzMjgDAAAAAzE2MAIAAAAENDA0NwQAAAABMAcAAAAJNi8zMC8yMDE4CAAAAAkzLzMxLzIwMTgJAAAAATA2yh+aeQPWCI1tyZx5A9YIIENJUS5JUVRSMzc2Nzk5MjMyLklRX1RSX0VBUk5PVVRTAQAAAACAdRYCAAAAAACx5HGXeQPWCNlKz5x5A9YIJ0NJUS5OQVNEQVFDTTpSVFRSLklRX0JFVEFfNVlSLjYvMzAvMjAxOAEAAAAfmrMDAgAAABEwLjc4MDI5NDI2MjM4MDU3MwCveSCaeQPWCK4pxZx5A9YIPENJUS5OQVNEQVFHUzpBQ0FELklRX0VCSVREQV9FU1QuQ1kyMDE4LjYvMzAvMjAxOC5DT04uRi5VU0QuSAEAAADBbgoAAgAAAAotMjE3Ljc5NDc5AQ4AAAAFAAAAAjExAQAAAAEwAgAAAAoxMDAxNTU3NTc3AwAAAAYxMDAxODcEAAAAATIGAAAAATAHAAAAAzE2MAgAAAABMAkAAAABMQoAAAABMAsAAAALMTA4NjkyNDgyODIMAAAAATcNAAAACDcvMS8yMDE4EAAAAAk2LzMwLzIwMThuN+GbeQPWCGsTzpx5A9YIIENJUS5JUTI0NDI0NTU3LklRX0NPTVBBTllfVElDS0VSAQAAAG2wdAEDAAAA</t>
  </si>
  <si>
    <t>CEFNRVg6U1lOALG9cZd5A9YIRMzdl3kD1ghHQ0lRLk5BU0RBUUdTOlpGR04uSVFfTUlOT1JJVFlfSU5URVJFU1RfVE9UQUwuMjAwMC42LzMwLzIwMTguTEZSLkYuVVNELkgBAAAAl8C6AQMAAAAAAHIQ4Zt5A9YIeY/LnHkD1gguQ0lRLk5BU0RBUUdNOlJZVE0uSVFfTUFSS0VUQ0FQLjYvMzAvMjAxOC5VU0QuSAEAAAAYyW0SAgAAAAoxMDY2LjY1MzIyAQYAAAAFAAAAATEBAAAACjE4ODg5MDk4NDYDAAAAAzE2MAIAAAAGMTAwMDU0BAAAAAEwBwAAAAk2LzMwLzIwMTjx1eCbeQPWCGmKzZx5A9YIJENJUS5OQVNEQVFDTTpSVFRSLklRX0VGRkVDVF9UQVhfUkFURQEAAAAfmrMDAwAAAAAAsysgmnkD1giyAsWceQPWCEZDSVEuTkFTREFRR1M6WkZHTi5JUV9UT1RBTF9SRVZfNVlSX0FOTl9DQUdSLjIwMDAuNi8zMC8yMDE4LkxGUi5GLlVTRC5IAQAAAJfAugEDAAAAAADwI+GbeQPWCAAHy5x5A9YIIUNJUS5OQVNEQVFHUzpaRkdOLklRX0NPTVBBTllfTkFNRQEAAACXwLoBAwAAAAxaYWZnZW4sIEluYy4A8dXgm3kD1gj7osuceQPWCDZDSVEuTkFTREFRR1M6VlZVUy5JUV9FQklUREEuMjAwMC42LzMwLzIwMTguTEZSLkYuVVNELkgBAAAALo4AAAIAAAAGLTYuMDE3AQgAAAAFAAAAATEBAAAACjE4ODc0NDQzMjgDAAAAAzE2MAIAAAAENDA1MQQAAAABMAcAAAAJNi8zMC8yMDE4CAAAAAkzLzMxLzIwMTgJAAAAATA2</t>
  </si>
  <si>
    <t>yh+aeQPWCI1tyZx5A9YIPENJUS5OQVNEQVFDTTpBVlhMLklRX1RPVEFMX0VRVUlUWS4xOTk2LjYvMzAvMjAxOC5MRlIuRi5VU0QuSAEAAABjOM8AAgAAAAkyMS40ODY2OTEBCAAAAAUAAAABMQEAAAAKMTg4ODUwNDI1OAMAAAADMTYwAgAAAAQxMjc1BAAAAAEwBwAAAAk2LzMwLzIwMTgIAAAACTMvMzEvMjAxNwkAAAABMLfdH5p5A9YIG4TInHkD1ggyQ0lRLk9UQ1BLOk5FWFMuSVFfQ0FQRVguMTk5Ni42LzMwLzIwMTguTEZSLkYuVVNELkgBAAAAHb1OFAMAAAAAADIYIJp5A9YIJ9nFnHkD1gg9Q0lRLk5BU0RBUUNNOkFWWEwuSVFfUkVWRU5VRV9FU1QuQ1kyMDE4LjYvMzAvMjAxOC5DT04uRi5VU0QuSAEAAABjOM8AAgAAAAEwAQ4AAAAFAAAAAjExAQAAAAEwAgAAAAk3MDA0ODY1MTgDAAAABjEwMDE4MAQAAAABMgYAAAABMAcAAAADMTYwCAAAAAEwCQAAAAExCgAAAAEwCwAAAAsxMDkwMzQ0MzE4MQwAAAABNw0AAAAINy8xLzIwMTgQAAAACTYvMzAvMjAxOLuPH5p5A9YIE9LInHkD1ggpQ0lRLklRMzYxODM4MjguSVFfTEFTVFNBTEVQUklDRS42LzMwLzIwMTgBAAAAFB8oAgIAAAAEMi42MwA6qnGXeQPWCOh0zpx5A9YINUNJUS5BSU06T1BUSS5JUV9FQVJOSU5HX0NPLjE5OTYuNi8zMC8yMDE4LkxGUi5GLlVTRC5IAQAAADPbtQcCAAAACS0xLjY3NDUxOQEIAAAABQAAAAExAQAAAAoxODkxMDIyMDUzAwAA</t>
  </si>
  <si>
    <t>AAMxNjACAAAAATcEAAAAATAHAAAACTYvMzAvMjAxOAgAAAAKMTEvMzAvMjAxNgkAAAABMDXxH5p5A9YIpdTHnHkD1ggvQ0lRLklRVFI1NDczMzg4MTQuSVFfVFJfVEFSR0VUX1RPVEFMX1JFVi4uVVNELkgBAAAAPrqfIAIAAAAAADbRcZd5A9YI5MLOnHkD1ggiQ0lRLklRVFIzNzQzMzE1ODYuSVFfVFJfVE9UQUxfQ0FTSAEAAADC2E8WAgAAAAAAseRxl3kD1ghV08+ceQPWCCNDSVEuSVFUUjM3NDMzMTU4Ni5JUV9UUl9DTE9TRURfREFURQEAAADC2E8WBQAAAAk3LzEyLzIwMTYAseRxl3kD1gjaac6XeQPWCChDSVEuTkFTREFRQ006QVNNQi5JUV9URVYuNi8zMC8yMDE4LlVTRC5IAQAAABCJ8QUCAAAACjY5Ni42MzQ2NzIBBgAAAAUAAAABMQEAAAAKMTg4NzIzNDY4MQMAAAADMTYwAgAAAAYxMDAwNjAEAAAAATAHAAAACTYvMzAvMjAxOPHV4Jt5A9YIb+7MnHkD1gg6Q0lRLk5BU0RBUUNNOlJUVFIuSVFfUFJFRl9FUVVJVFkuMjAwMC4xLzUvMjAxOC5MRlIuRi5VU0QuSAEAAAAfmrMDAwAAAAAAsysgmnkD1giyAsWceQPWCDhDSVEuTkFTREFRQ006UlRUUi5JUV9FQklUREEuQ1kyMDE2LjYvMzAvMjAxOC5MRlIuRi5VU0QuSAEAAAAfmrMDAgAAAAotMTguNDQxNTE4AQgAAAAFAAAAATEBAAAACjE4Nzg5ODI4MTkDAAAAAzE2MAIAAAAENDA1MQQAAAABMAcAAAAJNi8zMC8yMDE4CAAAAAoxMi8zMS8yMDE2CQAA</t>
  </si>
  <si>
    <t>AAEwMhggmnkD1ggsZMWceQPWCCVDSVEuTkFTREFRQ006U0xOTy5JUV9GSVJTVFBSSUNJTkdEQVRFAQAAAOl1JgAFAAAACjExLzE0LzIwMTQAu48fmnkD1gghmseceQPWCDtDSVEuT1RDUEs6TkVYUy5JUV9DQVNIX1NUX0lOVkVTVC4yMDAwLjYvMzAvMjAxOC5MRlIuRi5VU0QuSAEAAAAdvU4UAgAAAAgwLjAwODQyNwEIAAAABQAAAAExAQAAAAoxODYyODYzMDkzAwAAAAMxNjACAAAABDEwMDIEAAAAATAHAAAACTYvMzAvMjAxOAgAAAAJNS8zMS8yMDE3CQAAAAEwMhggmnkD1ggmJ8aceQPWCCFDSVEuSVEyMjIzODg5NDcuSVFfQ09NUEFOWV9USUNLRVIBAAAA02JBDQMAAAANTmFzZGFxR1M6TUNSQgCxvXGXeQPWCPgV2Jd5A9YII0NJUS5JUVRSMjc4ODgzNzE2LklRX1RSX0NMT1NFRF9EQVRFAQAAAIRtnxAFAAAACTEvMTIvMjAxNQAy+HGXeQPWCLKy0Jd5A9YIOENJUS5OQVNEQVFDTTpTTE5PLklRX0VCSVREQS5DWTIwMTYuNi8zMC8yMDE4LkxGUi5GLlVTRC5IAQAAAOl1JgACAAAACS04LjEzMDQ0NwEIAAAABQAAAAExAQAAAAoxODgxMzg5NTgyAwAAAAMxNjACAAAABDQwNTEEAAAAATAHAAAACTYvMzAvMjAxOAgAAAAKMTIvMzEvMjAxNgkAAAABMDXxH5p5A9YImnLHnHkD1ggxQ0lRLklRVFIzMjI0Njc2MjUuSVFfVFJfVEFSR0VUX1JFVkVOVUVfRVNULi5VU0QuSAEAAAApdzgTAgAAAAg4LjUwMTAwOAAy</t>
  </si>
  <si>
    <t>+HGXeQPWCFsh0Jx5A9YIJUNJUS5JUVRSMzc2Nzk5MjMyLklRX1RSX0lNUExJRURfRVFfQlYBAAAAAIB1FgIAAAAJMTMuMjM2MjU5AQYAAAAFAAAAAjU0AQAAAAYxMDIwOTcCAAAACTM3Njc5OTIzMgMAAAAJMzc2ODAzMzM1BAAAAAMxNjAGAAAABUZhbHNlseRxl3kD1ghXXs+ceQPWCDlDSVEuQUlNOk9QVEkuSVFfVE9UQUxfRVFVSVRZLkNZMjAxNi42LzMwLzIwMTguTEZSLkYuVVNELkgBAAAAM9u1BwIAAAAINi4yNDY4ODYBCAAAAAUAAAABMQEAAAAKMTg5MTAyMjA1MwMAAAADMTYwAgAAAAQxMjc1BAAAAAEwBwAAAAk2LzMwLzIwMTgIAAAACjExLzMwLzIwMTYJAAAAATA18R+aeQPWCB3Bx5x5A9YIKUNJUS5OQVNEQVFDTTpTTE5PLklRX0JVU0lORVNTX0RFU0NSSVBUSU9OAQAAAOl1JgADAAAA+ANTb2xlbm8gVGhlcmFwZXV0aWNzLCBJbmMuIGZvY3VzZXMgb24gdGhlIGRldmVsb3BtZW50IGFuZCBjb21tZXJjaWFsaXphdGlvbiBvZiBub3ZlbCB0aGVyYXBldXRpY3MgZm9yIHRoZSB0cmVhdG1lbnQgb2YgcmFyZSBkaXNlYXNlcy4gSXRzIGxlYWQgY2FuZGlkYXRlLCBkaWF6b3hpZGUgY2hvbGluZSBjb250cm9sbGVkLXJlbGVhc2UgKERDQ1IpLCBhIHRhYmxldCBmb3IgdGhlIHRyZWF0bWVudCBvZiBQcmFkZXItV2lsbGkgU3luZHJvbWUgKFBXUyksIGlzIGVudGVyaW5nIGludG8gbGF0ZS1zdGFnZSBj</t>
  </si>
  <si>
    <t>bGluaWNhbCBkZXZlbG9wbWVudC4gVGhlIGNvbXBhbnkgd2FzIGZvcm1lcmx5IGtub3duIGFzIENhcG5pYSwgSW5jLiBhbmQgY2hhbmdlZCBpdHMgbmFtZSB0byBTb2xlbm8gVGhlcmFwZXV0aWNzLCBJbmMuIGluIE1heSAyMDE3LiBTb2xlbm8gVGhlcmFwZXV0aWNzLCBJbmMuIHdhcyBmb3VuZGVkIGluIDE5OTkgYW5kIGlzIGJhc2VkIGluIFJlZHdvb2QgQ2l0eSwgQ2FsaWZvcm5pYS4ALXwfmnkD1ggcOMeceQPWCD9DSVEuTkFTREFRR1M6VlZVUy5JUV9ORVRfV09SS0lOR19DQVAuMTk5Ni42LzMwLzIwMTguTEZSLkYuVVNELkgBAAAALo4AAAIAAAAFNi40MTMBCAAAAAUAAAABMQEAAAAKMTg4NzQ0NDMyNAMAAAADMTYwAgAAAAQxMzExBAAAAAEwBwAAAAk2LzMwLzIwMTgIAAAACTMvMzEvMjAxNwkAAAABMDbKH5p5A9YIElrJnHkD1ggpQ0lRLklRVFIzNzQzMzE1ODYuSVFfVFJfSU1QTElFRF9FUV9OSV9MVE0BAAAAwthPFgIAAAAAALHkcZd5A9YI4ebPnHkD1ggdQ0lRLi5JUV9UUl9UQVJHRVRfRUJJVC4uVVNELkgFAAAAAQAAAAgAAAAUKEludmFsaWQgSWRlbnRpZmllcilswuCbeQPWCGzC4Jt5A9YIPUNJUS5OQVNEQVFDTTpBVlhMLklRX0VCSVREQV9NQVJHSU4uMjAwMC42LzMwLzIwMTguTEZSLkYuVVNELkgBAAAAYzjPAAMAAAAAALfdH5p5A9YIF6vInHkD1ggwQ0lRLklRVFIzMjUyMzM0NjEuSVFf</t>
  </si>
  <si>
    <t>VFJfVEFSR0VUX0VCSVREQV9FU1QuLlVTRC5IAQAAADWrYhMCAAAAAAAy+HGXeQPWCNlb0Jx5A9YIJkNJUS5BSU06T1BUSS5JUV9MQVNUU0FMRVBSSUNFLjEvNS8yMDE4AQAAADPbtQcCAAAACDAuOTA4NzA5AC18H5p5A9YIHcHHnHkD1gg+Q0lRLk5BU0RBUUdTOkFDQUQuSVFfVE9UQUxfRVFVSVRZLkNZMjAxNy42LzMwLzIwMTguTEZSLkYuVVNELkgBAAAAwW4KAAIAAAAHMzM1LjI4NQEIAAAABQAAAAExAQAAAAoxODc2MTI1NTU2AwAAAAMxNjACAAAABDEyNzUEAAAAATAHAAAACTYvMzAvMjAxOAgAAAAKMTIvMzEvMjAxNwkAAAABMHXp4Jt5A9YI58TNnHkD1ggpQ0lRLklRVFIzNzQzMzE1ODYuSVFfQlVTSU5FU1NfREVTQ1JJUFRJT04BAAAALjX5EgMAAACFBEFzIG9mIEp1bHkgMTIsIDIwMTYsIEVwaXZhIEJpb3NjaWVuY2VzLCBJbmMuIHdhcyBhY3F1aXJlZCBieSBFdmVsbyBCaW9zY2llbmNlcy4gRXBpdmEgQmlvc2NpZW5jZXMsIEluYy4gZGV2ZWxvcHMgaW1tdW5vYmlvdGljIHRoZXJhcGV1dGljcywgYSBjbGFzcyBvZiBwcmltZWQgYmFjdGVyaWFsIGludGVydmVudGlvbnMgZGVzaWduZWQgdG8gcmVzdG9yZSBub3Jtby1iaW9zaXMsIHRoZSBtaWNyb2Jpb21lIHNpZ25hdHVyZSBub3JtYWxseSBmb3VuZCBpbiBoZWFsdGh5IHBlb3BsZS4gSXQgZm9jdXNlcyBvbiB0cmVhdGluZyBjb25kaXRpb25z</t>
  </si>
  <si>
    <t>IGNoYXJhY3Rlcml6ZWQgYnkgaW5mbGFtbWF0aW9uIGFuZCBhYmVycmFudCBpbW11bmUgcmVzcG9uc2VzIGJ5IG1vZHVsYXRpbmcgdGhlIHN5c3RlbWljIG1pY3JvYmlvbWUsIHRoZSBob3N0IGltbXVuZS1iYWN0ZXJpYSBpbnRlcmZhY2UuIFRoZSBjb21wYW55IHdhcyBmb3VuZGVkIGluIDIwMTUgYW5kIGlzIGJhc2VkIGluIENhbWJyaWRnZSwgTWFzc2FjaHVzZXR0cy4Asb1xl3kD1gjh5s+ceQPWCENDSVEuTkFTREFRQ006UlRUUi5JUV9FQklUREFfNVlSX0FOTl9DQUdSLjIwMDAuNi8zMC8yMDE4LkxGUi5GLlVTRC5IAQAAAB+aswMDAAAAAACzKyCaeQPWCDDvxJx5A9YIM0NJUS5UU1hWOkNPQi5VLklRX0VCSVREQS4yMDAwLjYvMzAvMjAxOC5MRlIuRi5VU0QuSAEAAAC/+wAIAgAAAAotMTEuMTYxNjcyAQgAAAAFAAAAATEBAAAACjE4ODkwNjIwNzQDAAAAAzE2MAIAAAAENDA1MQQAAAABMAcAAAAJNi8zMC8yMDE4CAAAAAkzLzMxLzIwMTgJAAAAATC4th+aeQPWCAYdypx5A9YIIENJUS5JUVRSMjc4ODgzNzE2LklRX1RSX0VBUk5PVVRTAQAAAIRtnxACAAAAAABoC3KXeQPWCNip0Jx5A9YIN0NJUS5UU1hWOkNPQi5VLklRX1BSRUZfRVFVSVRZLjIwMDAuMS81LzIwMTguTEZSLkYuVVNELkgBAAAAv/sACAMAAAAAALi2H5p5A9YICs/JnHkD1ghGQ0lRLk5BU0RBUUNNOkFWWEwuSVFfVE9UQUxfUkVWXzJZ</t>
  </si>
  <si>
    <t>Ul9BTk5fQ0FHUi4yMDAwLjYvMzAvMjAxOC5MRlIuRi5VU0QuSAEAAABjOM8AAwAAAAAAt90fmnkD1giacMiceQPWCD1DSVEuTkFTREFRR1M6TUNSQi5JUV9SRVZFTlVFX0VTVC5DWTIwMTkuNi8zMC8yMDE4LkNPTi5GLlVTRC5IAQAAANNiQQ0CAAAABzE2LjY5OTUBDgAAAAUAAAACMTEBAAAAATACAAAACjEwMDMxMzIwMTMDAAAABjEwMDE4MAQAAAABMgYAAAABMAcAAAADMTYwCAAAAAEwCQAAAAExCgAAAAEwCwAAAAsxMTAxNDc3NTczMgwAAAABNw0AAAAINy8xLzIwMTgQAAAACTYvMzAvMjAxOOxK4Zt5A9YIAeDKnHkD1gg5Q0lRLk5BU0RBUUNNOkFTTUIuSVFfVE9UQUxfUkVWLjE5OTIuNi8zMC8yMDE4LkxGUi5GLlVTRC5IAQAAABCJ8QUDAAAAAADt/OCbeQPWCPHazJx5A9YIPkNJUS5OQVNEQVFHUzpWWUdSLklRX1RPVEFMX0VRVUlUWS5DWTIwMTcuNi8zMC8yMDE4LkxGUi5GLlVTRC5IAQAAAF7MTw8CAAAABzEzNC4wNTEBCAAAAAUAAAABMQEAAAAKMTg3ODMyNjU2OAMAAAADMTYwAgAAAAQxMjc1BAAAAAEwBwAAAAk2LzMwLzIwMTgIAAAACjEyLzMxLzIwMTcJAAAAATByEOGbeQPWCPrJy5x5A9YIOUNJUS5BTUVYOlNZTi5JUV9UT1RBTF9FUVVJVFkuQ1kyMDE3LjYvMzAvMjAxOC5MRlIuRi5VU0QuSAEAAABtsHQBAgAAAAU4LjY0MwEIAAAABQAAAAExAQAAAAoxODc1NDY5NTE1AwAAAAMxNjACAAAA</t>
  </si>
  <si>
    <t>BDEyNzUEAAAAATAHAAAACTYvMzAvMjAxOAgAAAAKMTIvMzEvMjAxNwkAAAABMLcEIJp5A9YIpGHGnHkD1ghBQ0lRLkFNRVg6U1lOLklRX01JTk9SSVRZX0lOVEVSRVNUX1RPVEFMLjIwMDAuMS81LzIwMTguTEZSLkYuVVNELkgBAAAAbbB0AQIAAAAGLTEuODc2AQgAAAAFAAAAATEBAAAACjE4NjM2MjU3MjkDAAAAAzE2MAIAAAAEMTMxMgQAAAABMAcAAAAIMS81LzIwMTgIAAAACTkvMzAvMjAxNwkAAAABMLcEIJp5A9YIJk7GnHkD1gghQ0lRLk5BU0RBUUdTOlZZR1IuSVFfQ09NUEFOWV9OQU1FAQAAAF7MTw8DAAAAGlZveWFnZXIgVGhlcmFwZXV0aWNzLCBJbmMuAPHV4Jt5A9YId1LMnHkD1ghDQ0lRLk5BU0RBUUNNOkFWWEwuSVFfRUJJVERBXzVZUl9BTk5fQ0FHUi4yMDAwLjYvMzAvMjAxOC5MRlIuRi5VU0QuSAEAAABjOM8AAwAAAAAAt90fmnkD1ggYXciceQPWCC1DSVEuTkFTREFRR1M6TUNSQi5JUV9NQVJLRVRDQVAuMS81LzIwMTguVVNELkgBAAAA02JBDQIAAAAKNDMwLjAyNDc3NQEGAAAABQAAAAExAQAAAAoxODY0NzY0MTMwAwAAAAMxNjACAAAABjEwMDA1NAQAAAABMAcAAAAIMS81LzIwMTjx1eCbeQPWCAVrypx5A9YIGENJUS5BTUVYOlNZTi5JUV9FWENIQU5HRQEAAABtsHQBAwAAAARBTUVYAC18H5p5A9YIpf3GnHkD1gg6Q0lRLk5BU0RBUUdNOlJZVE0uSVFfUFJFRl9FUVVJVFkuMjAwMC4x</t>
  </si>
  <si>
    <t>LzUvMjAxOC5MRlIuRi5VU0QuSAEAAAAYyW0SAgAAAAY4MS4wMjkBCAAAAAUAAAABMQEAAAAKMTg2NTg3MjcyMQMAAAADMTYwAgAAAAQxMDA1BAAAAAEwBwAAAAgxLzUvMjAxOAgAAAAJOS8zMC8yMDE3CQAAAAEwdengm3kD1ghuFc2ceQPWCDlDSVEuVFNYVjpDT0IuVS5JUV9UT1RBTF9FUVVJVFkuMjAwMC42LzMwLzIwMTguTEZSLkYuVVNELkgBAAAAv/sACAIAAAAINi40NTcyODMBCAAAAAUAAAABMQEAAAAKMTg4OTA2MjA3NAMAAAADMTYwAgAAAAQxMjc1BAAAAAEwBwAAAAk2LzMwLzIwMTgIAAAACTMvMzEvMjAxOAkAAAABMLi2H5p5A9YIiOLJnHkD1gghQ0lRLklRMzQwNzA0NTQxLklRX0NPTVBBTllfVElDS0VSAQAAAB29ThQDAAAACk9UQ1BLOk5FWFMAsb1xl3kD1gg7tt6XeQPWCD9DSVEuTkFTREFRR1M6TUNSQi5JUV9ORVRfV09SS0lOR19DQVAuMTk5Ni42LzMwLzIwMTguTEZSLkYuVVNELkgBAAAA02JBDQIAAAAHLTIyLjA1NgEIAAAABQAAAAExAQAAAAoxODg4MTA1NDI4AwAAAAMxNjACAAAABDEzMTEEAAAAATAHAAAACTYvMzAvMjAxOAgAAAAJMy8zMS8yMDE3CQAAAAEw8CPhm3kD1giDpcqceQPWCDhDSVEuQUlNOk9QVEkuSVFfUkVWRU5VRV9FU1QuQ1kyMDIwLjYvMzAvMjAxOC5DT04uRi5VU0QuSAEAAAAz27UHAwAAAAAAu48fmnkD1gieIsiceQPWCDxDSVEuTkFTREFRR1M6QUNBRC5JUV9U</t>
  </si>
  <si>
    <t>T1RBTF9FUVVJVFkuMTk5Ni42LzMwLzIwMTguTEZSLkYuVVNELkgBAAAAwW4KAAIAAAAHNDU3LjUyNAEIAAAABQAAAAExAQAAAAoxODg2NjI3NTYzAwAAAAMxNjACAAAABDEyNzUEAAAAATAHAAAACTYvMzAvMjAxOAgAAAAJMy8zMS8yMDE3CQAAAAEwdengm3kD1gjnxM2ceQPWCCBDSVEuSVFUUjMxMDIyOTE4OC5JUV9UUl9FQVJOT1VUUwEAAADEuH0SAgAAAAAAMvhxl3kD1gjYgtCceQPWCCdDSVEuTkFTREFRR1M6WkZHTi5JUV9CRVRBXzJZUi42LzMwLzIwMTgBAAAAl8C6AQIAAAASLTAuMzAxOTMxMDIzNjEwMzIyAOxK4Zt5A9YIfkHLnHkD1gg3Q0lRLk5BU0RBUUNNOlNMTk8uSVFfUEVSSU9EREFURV9JUy4yMDAwLjYvMzAvMjAxOC5MRlIuRgEAAADpdSYABQAAAAkzLzMxLzIwMTgANfEfmnkD1gghmseceQPWCDRDSVEuQUlNOk9QVEkuSVFfVE9UQUxfUkVWLjE5OTIuNi8zMC8yMDE4LkxGUi5GLlVTRC5IAQAAADPbtQcCAAAACDAuMDQyNDQ4AQgAAAAFAAAAATEBAAAACjE4Mzk4MDQzMzMDAAAAAzE2MAIAAAACMjgEAAAAATAHAAAACTYvMzAvMjAxOAgAAAAKMTEvMzAvMjAxNQkAAAABMLfdH5p5A9YIGTbInHkD1gg3Q0lRLk5BU0RBUUNNOkFTTUIuSVFfUEVSSU9EREFURV9JUy4yMDAwLjYvMzAvMjAxOC5MRlIuRgEAAAAQifEFBQAAAAkzLzMxLzIwMTgA7fzgm3kD1ghv7syceQPWCC5DSVEuKElOVkFM</t>
  </si>
  <si>
    <t>SUQgSURFTlRJRklFUikuSVFfUEVSSU9EREFURV9JUy4xMDAwBQAAAAAAAAAIAAAAFChJbnZhbGlkIElkZW50aWZpZXIpMWYgmnkD1ggw78SceQPWCCRDSVEuTkFTREFRR1M6WkZHTi5JUV9FRkZFQ1RfVEFYX1JBVEUBAAAAl8C6AQMAAAAAAPAj4Zt5A9YIgRrLnHkD1gghQ0lRLklRVFIzMjI0Njc2MjUuSVFfVFJfQlVZRVJOQU1FAQAAACl3OBMDAAAAGUFjb3JkYSBUaGVyYXBldXRpY3MsIEluYy4AMvhxl3kD1gjdDdCceQPWCC9DSVEuSVFUUjU2MDI1MDI2Ni5JUV9UUl9JTVBMSUVEX0VWX0ZJTkFMLi5VU0QuSAEAAACavWQhAgAAAAQ3My41AQYAAAAFAAAAAjU0AQAAAAYxMDIwNDUCAAAACTU2MDI1MDI2NgMAAAAJNTc1Nzk0MTUwBAAAAAMxNjAGAAAABUZhbHNlNtFxl3kD1ghmiM6ceQPWCCJDSVEuSVFUUjM3NDMzMTU4Ni5JUV9UUl9QQ1RfU09VR0hUAQAAAMLYTxYCAAAAAzEwMACx5HGXeQPWCNS/z5x5A9YIKUNJUS5JUTM2MTgzODQzLklRX0xBU1RTQUxFUFJJQ0UuNi8zMC8yMDE4AQAAACMfKAICAAAABDIuOTgAOqpxl3kD1ghmiM6ceQPWCCBDSVEuSVEzNjE4MzgzMS5JUV9MQVNUU0FMRVBSSUNFLgEAAAAXHygCAgAAAAQyLjczAPHV4Jt5A9YI8dXgm3kD1ggnQ0lRLk5BU0RBUUdTOk1DUkIuSVFfQkVUQV8xWVIuNi8zMC8yMDE4AQAAANNiQQ0CAAAAEDEuNDI5NjY2NjI5ODc2MjcA7Erhm3kD1ggB</t>
  </si>
  <si>
    <t>ksqceQPWCCtDSVEuTllTRTpCSFZOLklRX0VCSVREQS4yMDAwLjEwLzE4LzIwMTYuLi4uAQAAANxnIA8DAAAAAACxvXGXeQPWCNoxzZd5A9YINkNJUS5UU1hWOkNPQi5VLklRX1RPVEFMX1JFVi4xOTk2LjYvMzAvMjAxOC5MRlIuRi5VU0QuSAEAAAC/+wAIAwAAAAAAuLYfmnkD1ggGRMqceQPWCCtDSVEuTkFTREFRR1M6VllHUi5JUV9MQVNUU0FMRVBSSUNFLjEvNS8yMDE4AQAAAF7MTw8CAAAABTE3Ljg2APHV4Jt5A9YI+snLnHkD1ghDQ0lRLk5BU0RBUUdTOkFDQUQuSVFfRUJJVERBXzNZUl9BTk5fQ0FHUi4yMDAwLjYvMzAvMjAxOC5MRlIuRi5VU0QuSAEAAADBbgoAAwAAAAJOTQEIAAAABQAAAAExAQAAAAoxODg2NjI3NTM2AwAAAAMxNjACAAAABDQyMjIEAAAAATAHAAAACTYvMzAvMjAxOAgAAAAJMy8zMS8yMDE4CQAAAAEwdengm3kD1gjrnc2ceQPWCDxDSVEuTkFTREFRQ006QVNNQi5JUV9FQVJOSU5HX0NPLkNZMjAxNy42LzMwLzIwMTguTEZSLkYuVVNELkgBAAAAEInxBQIAAAAKLTQyLjgwODU0OAEIAAAABQAAAAExAQAAAAoxODc3NDA3NjUwAwAAAAMxNjACAAAAATcEAAAAATAHAAAACTYvMzAvMjAxOAgAAAAKMTIvMzEvMjAxNwkAAAABMO384Jt5A9YIc3nMnHkD1gggQ0lRLklRVFIzMTg1NDIyMTAuSVFfVFJfRUFSTk9VVFMBAAAAgpH8EgIAAAAAADL4cZd5A9YIV2/QnHkD1gguQ0lRLklRVFI1</t>
  </si>
  <si>
    <t>NjAyNTAyNjYuSVFfVFJfVEFSR0VUX1NUT0NLUFJFTUlVTV8xVwEAAACavWQhAgAAAAAANtFxl3kD1gjnm86ceQPWCDlDSVEuTkFTREFRR006UllUTS5JUV9UT1RBTF9SRVYuMTk5Ni42LzMwLzIwMTguTEZSLkYuVVNELkgBAAAAGMltEgMAAAAAAHXp4Jt5A9YI63bNnHkD1gg4Q0lRLkFJTTpPUFRJLklRX0NBU0hfU1RfSU5WRVNULjIwMDAuMS81LzIwMTguTEZSLkYuVVNELkgBAAAAM9u1BwIAAAAIMi40ODIwMTgBCAAAAAUAAAABMQEAAAAKMTg1NzAxMzM2NQMAAAADMTYwAgAAAAQxMDAyBAAAAAEwBwAAAAgxLzUvMjAxOAgAAAAJNS8zMS8yMDE3CQAAAAEwNfEfmnkD1ggdwceceQPWCD1DSVEuTkFTREFRR1M6QUNBRC5JUV9FQklUREFfTUFSR0lOLjIwMDAuNi8zMC8yMDE4LkxGUi5GLlVTRC5IAQAAAMFuCgACAAAACS0xNjEuMzI1MQEIAAAABQAAAAExAQAAAAoxODg2NjI3NTM2AwAAAAMxNjACAAAABDQwNDcEAAAAATAHAAAACTYvMzAvMjAxOAgAAAAJMy8zMS8yMDE4CQAAAAEw8dXgm3kD1ghl/82ceQPWCB5DSVEuT1RDUEs6TkVYUy5JUV9DT01QQU5ZX05BTUUBAAAAHb1OFAMAAAAVTmV4dXMgQmlvUGhhcm1hLCBJbmMuAC18H5p5A9YIpDrGnHkD1gg1Q0lRLk5BU0RBUUdTOkFDQUQuSVFfQ0FQRVguMjAwMC42LzMwLzIwMTguTEZSLkYuVVNELkgBAAAAwW4KAAIAAAAGLTAuNzc1AQgAAAAFAAAAATEB</t>
  </si>
  <si>
    <t>AAAACjE4ODY2Mjc1MzYDAAAAAzE2MAIAAAAEMjAyMQQAAAABMAcAAAAJNi8zMC8yMDE4CAAAAAkzLzMxLzIwMTgJAAAAATB16eCbeQPWCGXYzZx5A9YIJ0NJUS5OQVNEQVFHUzpNQ1JCLklRX0JFVEFfMllSLjYvMzAvMjAxOAEAAADTYkENAgAAABAxLjcyMjkzMDcxNTEwMTk3AOxK4Zt5A9YIAZLKnHkD1gg2Q0lRLkFJTTpPUFRJLklRX1BSRUZfRVFVSVRZLjIwMDAuNi8zMC8yMDE4LkxGUi5GLlVTRC5IAQAAADPbtQcDAAAAAAC33R+aeQPWCJpJyJx5A9YIKkNJUS5JUVRSMjA4NjQwNTUzLklRX1RSX1RBUkdFVF9FQklULi5VU0QuSAEAAAApmm8MAgAAAAotMTMuNTM2MzI5AQcAAAAFAAAAAjM3AQAAAAoxNTUxMDA3MDQ3AgAAAAUyMTY3NQMAAAADMTYwBAAAAAEwBwAAAAgxLzEvMTkwMAYAAAAJNi8xMy8yMDEyaAtyl3kD1ghRMtGceQPWCCNDSVEuMC5JUV9UUl9JTVBMSUVEX0VWX0ZJTkFMLi5VU0QuSAUAAAAAAAAACAAAABgoSW52YWxpZCBUcmFuc2FjdGlvbiBJZCm1lnGXeQPWCM9s0Zx5A9YIIkNJUS5BTUVYOlNZTi5JUV9CRVRBXzJZUi42LzMwLzIwMTgBAAAAbbB0AQIAAAAQMi41Njk4NzAwMTM0OTE1NQCveSCaeQPWCCJ1xpx5A9YIR0NJUS5OQVNEQVFHTTpSWVRNLklRX01JTk9SSVRZX0lOVEVSRVNUX1RPVEFMLjIwMDAuNi8zMC8yMDE4LkxGUi5GLlVTRC5IAQAAABjJbRIDAAAAAAB16eCbeQPW</t>
  </si>
  <si>
    <t>CGmKzZx5A9YILkNJUS5JUVRSMzMwMzI0Mjg1LklRX1RSX1RBUkdFVF9TVE9DS1BSRU1JVU1fMU0BAAAAPVmwEwIAAAAAADbRcZd5A9YI5hDPnHkD1ghBQ0lRLihJTlZBTElEIElERU5USUZJRVIpLklRX0VBUk5JTkdfQ08uMTk5Mi42LzMwLzIwMTguTEZSLkYuVVNELkgFAAAAAAAAAAgAAAAUKEludmFsaWQgSWRlbnRpZmllcikxZiCaeQPWCDh6xJx5A9YIRkNJUS5OQVNEQVFHUzpNQ1JCLklRX1RPVEFMX1JFVl8zWVJfQU5OX0NBR1IuMjAwMC42LzMwLzIwMTguTEZSLkYuVVNELkgBAAAA02JBDQMAAAAAAG434Zt5A9YIBWvKnHkD1gg8Q0lRLk5BU0RBUUdTOkFDQUQuSVFfRUFSTklOR19DTy5DWTIwMTYuNi8zMC8yMDE4LkxGUi5GLlVTRC5IAQAAAMFuCgACAAAACC0yNzEuMzkzAQgAAAAFAAAAATEBAAAACjE4NzYxMjU1MzQDAAAAAzE2MAIAAAABNwQAAAABMAcAAAAJNi8zMC8yMDE4CAAAAAoxMi8zMS8yMDE2CQAAAAEwdengm3kD1gjnxM2ceQPWCD1DSVEuTkFTREFRR1M6VllHUi5JUV9FQklUREFfTUFSR0lOLjIwMDAuNi8zMC8yMDE4LkxGUi5GLlVTRC5IAQAAAF7MTw8DAAAAAk5NAQgAAAAFAAAAATEBAAAACjE4ODg0ODA1OTMDAAAAAzE2MAIAAAAENDA0NwQAAAABMAcAAAAJNi8zMC8yMDE4CAAAAAkzLzMxLzIwMTgJAAAAATByEOGbeQPWCHUEzJx5A9YIP0NJUS4oSU5WQUxJRCBJREVOVElGSUVS</t>
  </si>
  <si>
    <t>KS5JUV9FQklUREEuQ1kyMDE3LjYvMzAvMjAxOC5MRlIuRi5VU0QuSAUAAAAAAAAACAAAABQoSW52YWxpZCBJZGVudGlmaWVyKTFmIJp5A9YIs7TEnHkD1gglQ0lRLklRVFIzMTAyMjkxODguSVFfVFJfTUFKX01JTl9TVEFLRQEAAADEuH0SAwAAAAhNYWpvcml0eQAy+HGXeQPWCNiC0Jx5A9YIOkNJUS5PVENQSzpORVhTLklRX1JFVkVOVUVfRVNULkNZMjAyMC42LzMwLzIwMTguQ09OLkYuVVNELkgBAAAAHb1OFAMAAAAAADajH5p5A9YIqBPGnHkD1ggvQ0lRLklRVFIzMTg1NDIyMTAuSVFfVFJfVEFSR0VUX1RPVEFMX1JFVi4uVVNELkgBAAAAgpH8EgIAAAAAADL4cZd5A9YIV2/QnHkD1ggrQ0lRLlRTWFY6Q09CLlUuSVFfTUFSS0VUQ0FQLjYvMzAvMjAxOC5VU0QuSAEAAAC/+wAIAgAAAAkyMTEuODE4MzUBBgAAAAUAAAABMQEAAAAKMTg4OTA2MTg0MQMAAAADMTYwAgAAAAYxMDAwNTQEAAAAATAHAAAACTYvMzAvMjAxOPHV4Jt5A9YIBkTKnHkD1ghDQ0lRLk5BU0RBUUNNOlNMTk8uSVFfRUJJVERBXzNZUl9BTk5fQ0FHUi4yMDAwLjYvMzAvMjAxOC5MRlIuRi5VU0QuSAEAAADpdSYAAwAAAAJOTQEIAAAABQAAAAExAQAAAAoxODg5MDU3NjA2AwAAAAMxNjACAAAABDQyMjIEAAAAATAHAAAACTYvMzAvMjAxOAgAAAAJMy8zMS8yMDE4CQAAAAEwtwQgmnkD1gil/caceQPWCDdDSVEuQUlNOk9QVEkuSVFfVE9U</t>
  </si>
  <si>
    <t>QUxfRVFVSVRZLjE5OTIuNi8zMC8yMDE4LkxGUi5GLlVTRC5IAQAAADPbtQcCAAAACDUuNzQ1MTU3AQgAAAAFAAAAATEBAAAACjE4Mzk4MDQzMzMDAAAAAzE2MAIAAAAEMTI3NQQAAAABMAcAAAAJNi8zMC8yMDE4CAAAAAoxMS8zMC8yMDE1CQAAAAEwNfEfmnkD1gil1MeceQPWCCJDSVEuSVFUUjM4NDAyODQ5Ni5JUV9UUl9QQ1RfU09VR0hUAQAAAFDP4xYCAAAACTkwLjk2MTk2OAA20XGXeQPWCF0kz5x5A9YIQENJUS5UU1hWOkNPQi5VLklRX0VCSVREQV81WVJfQU5OX0NBR1IuMjAwMC42LzMwLzIwMTguTEZSLkYuVVNELkgBAAAAv/sACAMAAAAAADbKH5p5A9YIC6jJnHkD1ghDQ0lRLihJTlZBTElEIElERU5USUZJRVIpLklRX0dST1NTX01BUkdJTi4yMDAwLjYvMzAvMjAxOC5MRlIuRi5VU0QuSAUAAAAAAAAACAAAABQoSW52YWxpZCBJZGVudGlmaWVyKTFmIJp5A9YIOKHEnHkD1ggnQ0lRLk5BU0RBUUdNOlJZVE0uSVFfQkVUQV8yWVIuNi8zMC8yMDE4AQAAABjJbRIDAAAAAADsSuGbeQPWCG48zZx5A9YIPENJUS5OQVNEQVFHUzpBQ0FELklRX1RPVEFMX0VRVUlUWS4yMDAwLjYvMzAvMjAxOC5MRlIuRi5VU0QuSAEAAADBbgoAAgAAAAczMDQuMTY5AQgAAAAFAAAAATEBAAAACjE4ODY2Mjc1MzYDAAAAAzE2MAIAAAAEMTI3NQQAAAABMAcAAAAJNi8zMC8yMDE4CAAAAAkzLzMxLzIwMTgJAAAAATB16eCb</t>
  </si>
  <si>
    <t>eQPWCOfEzZx5A9YINkNJUS5OQVNEQVFDTTpTTE5PLklRX0VCSVREQS4xOTkyLjYvMzAvMjAxOC5MRlIuRi5VU0QuSAEAAADpdSYAAgAAAAotMTMuODgzNTE4AQgAAAAFAAAAATEBAAAACjE4NDE4MzgyMDQDAAAAAzE2MAIAAAAENDA1MQQAAAABMAcAAAAJNi8zMC8yMDE4CAAAAAkzLzMxLzIwMTYJAAAAATA18R+aeQPWCJpyx5x5A9YIJ0NJUS5OQVNEQVFDTTpSVFRSLklRX1BFUklPRERBVEVfSVMuMTAwMAEAAAAfmrMDBQAAAAoxMi8zMS8yMDE3ADIYIJp5A9YIK4vFnHkD1ghFQ0lRLihJTlZBTElEIElERU5USUZJRVIpLklRX1RPVEFMX0VRVUlUWS5DWTIwMTcuNi8zMC8yMDE4LkxGUi5GLlVTRC5IBQAAAAAAAAAIAAAAFChJbnZhbGlkIElkZW50aWZpZXIpMWYgmnkD1gi0ZsSceQPWCDtDSVEuTkFTREFRR1M6QUNBRC5JUV9FQklUX01BUkdJTi4yMDAwLjYvMzAvMjAxOC5MRlIuRi5VU0QuSAEAAADBbgoAAgAAAAgtMTYzLjExNAEIAAAABQAAAAExAQAAAAoxODg2NjI3NTM2AwAAAAMxNjACAAAABDQwNTMEAAAAATAHAAAACTYvMzAvMjAxOAgAAAAJMy8zMS8yMDE4CQAAAAEw8dXgm3kD1ghl/82ceQPWCCNDSVEuSVFUUjI0Mzc0NDMwNi5JUV9UUl9UT1RBTF9TVE9DSwEAAAAyPocOAgAAAAs1MjQ1LjUyODc5NwEGAAAABQAAAAI1NAEAAAAGMTAxMDU3AgAAAAkyNDM3NDQzMDYDAAAACTI0Mzc0NDQxMAQA</t>
  </si>
  <si>
    <t>AAADMTYwBgAAAAVGYWxzZWgLcpd5A9YI0/fQnHkD1gg9Q0lRLk5BU0RBUUNNOkFTTUIuSVFfUkVWRU5VRV9FU1QuQ1kyMDE5LjYvMzAvMjAxOC5DT04uRi5VU0QuSAEAAAAQifEFAgAAAAUxMS44NQEOAAAABQAAAAIxMQEAAAABMAIAAAAKMTAwMTAyNTcwNQMAAAAGMTAwMTgwBAAAAAEyBgAAAAEwBwAAAAMxNjAIAAAAATAJAAAAATEKAAAAATALAAAACzEwODcxNDc4NTI5DAAAAAE3DQAAAAg3LzEvMjAxOBAAAAAJNi8zMC8yMDE4bjfhm3kD1ghvx8yceQPWCB1DSVEuTkFTREFRQ006QVNNQi5JUV9FWENIQU5HRQEAAAAQifEFAwAAAAhOYXNkYXFDTQDx1eCbeQPWCG/uzJx5A9YIOENJUS5OQVNEQVFHTTpSWVRNLklRX0VCSVREQS5DWTIwMTYuNi8zMC8yMDE4LkxGUi5GLlVTRC5IAQAAABjJbRICAAAABy0yNS43NjEBCAAAAAUAAAABMQEAAAAKMTg5MzkwNTk1MwMAAAADMTYwAgAAAAQ0MDUxBAAAAAEwBwAAAAk2LzMwLzIwMTgIAAAACjEyLzMxLzIwMTYJAAAAATB16eCbeQPWCGpjzZx5A9YIPENJUS5OQVNEQVFHUzpWVlVTLklRX0VBUk5JTkdfQ08uQ1kyMDE2LjYvMzAvMjAxOC5MRlIuRi5VU0QuSAEAAAAujgAAAgAAAAYyMy4zMDIBCAAAAAUAAAABMQEAAAAKMTg3ODg1ODcyOAMAAAADMTYwAgAAAAE3BAAAAAEwBwAAAAk2LzMwLzIwMTgIAAAACjEyLzMxLzIwMTYJAAAAATA2yh+aeQPWCK4zyZx5A9YI</t>
  </si>
  <si>
    <t>PENJUS5OQVNEQVFDTTpBU01CLklRX0VCSVREQV9FU1QuQ1kyMDE4LjYvMzAvMjAxOC5DT04uRi5VU0QuSAEAAAAQifEFAwAAAAAAbjfhm3kD1gjxs8yceQPWCDBDSVEuSVFUUjMxMDIyOTE4OC5JUV9UUl9UQVJHRVRfRUJJVERBX0VTVC4uVVNELkgBAAAAxLh9EgIAAAAAADL4cZd5A9YI2KnQnHkD1gguQ0lRLklRVFIzMTg1NDIyMTAuSVFfVFJfVEFSR0VUX1NUT0NLUFJFTUlVTV8xTQEAAACCkfwSAgAAAAAAMvhxl3kD1gjYgtCceQPWCDhDSVEuTkFTREFRR1M6VlZVUy5JUV9FQklUREEuQ1kyMDE3LjYvMzAvMjAxOC5MRlIuRi5VU0QuSAEAAAAujgAAAgAAAAUzLjYwNAEIAAAABQAAAAExAQAAAAoxODc4ODU4ODUzAwAAAAMxNjACAAAABDQwNTEEAAAAATAHAAAACTYvMzAvMjAxOAgAAAAKMTIvMzEvMjAxNwkAAAABMDbKH5p5A9YIjW3JnHkD1ggxQ0lRLklRVFIyNzg4ODM3MTYuSVFfVFJfVEFSR0VUX1JFVkVOVUVfRVNULi5VU0QuSAEAAACEbZ8QAgAAAAgxNTQuMTU4OQBoC3KXeQPWCFa90Jx5A9YINkNJUS5BSU06T1BUSS5JUV9UT1RBTF9SRVYuQ1kyMDE2LjYvMzAvMjAxOC5MRlIuRi5VU0QuSAEAAAAz27UHAgAAAAgwLjM1OTc0NAEIAAAABQAAAAExAQAAAAoxODkxMDIyMDUzAwAAAAMxNjACAAAAAjI4BAAAAAEwBwAAAAk2LzMwLzIwMTgIAAAACjExLzMwLzIwMTYJAAAAATC33R+aeQPWCBk2yJx5</t>
  </si>
  <si>
    <t>A9YIRkNJUS5OQVNEQVFDTTpTTE5PLklRX1RPVEFMX1JFVl8zWVJfQU5OX0NBR1IuMjAwMC42LzMwLzIwMTguTEZSLkYuVVNELkgBAAAA6XUmAAMAAAAAALcEIJp5A9YIIBHHnHkD1gg7Q0lRLk5BU0RBUUdTOk1DUkIuSVFfVE9UQUxfUkVWLkNZMjAxNi42LzMwLzIwMTguTEZSLkYuVVNELkgBAAAA02JBDQIAAAAGMjEuNzY2AQgAAAAFAAAAATEBAAAACjE4Nzc1NTUzMTMDAAAAAzE2MAIAAAACMjgEAAAAATAHAAAACTYvMzAvMjAxOAgAAAAKMTIvMzEvMjAxNgkAAAABMPAj4Zt5A9YIAeDKnHkD1gg2Q0lRLk5BU0RBUUdTOk1DUkIuSVFfRUJJVERBLjE5OTIuNi8zMC8yMDE4LkxGUi5GLlVTRC5IAQAAANNiQQ0CAAAABy02NS41ODMBCAAAAAUAAAABMQEAAAAKMTg0MDUxNzkzNAMAAAADMTYwAgAAAAQ0MDUxBAAAAAEwBwAAAAk2LzMwLzIwMTgIAAAACTMvMzEvMjAxNgkAAAABMPAj4Zt5A9YIgszKnHkD1ggwQ0lRLk5BU0RBUUdTOlZWVVMuSVFfTEFTVFNBTEVQUklDRS42LzMwLzIwMTguVVNEAQAAAC6OAAACAAAABTAuNzA1AC18H5p5A9YIC6jJnHkD1ghGQ0lRLk5BU0RBUUdTOlpGR04uSVFfVE9UQUxfUkVWXzNZUl9BTk5fQ0FHUi4yMDAwLjYvMzAvMjAxOC5MRlIuRi5VU0QuSAEAAACXwLoBAwAAAAAA8CPhm3kD1giBGsuceQPWCDtDSVEuVFNYVjpDT0IuVS5JUV9DQVNIX1NUX0lOVkVTVC4yMDAwLjYv</t>
  </si>
  <si>
    <t>MzAvMjAxOC5MRlIuRi5VU0QuSAEAAAC/+wAIAgAAAAg4LjQ1NjY1NgEIAAAABQAAAAExAQAAAAoxODg5MDYyMDc0AwAAAAMxNjACAAAABDEwMDIEAAAAATAHAAAACTYvMzAvMjAxOAgAAAAJMy8zMS8yMDE4CQAAAAEwbjfhm3kD1ggGRMqceQPWCENDSVEuTkFTREFRQ006U0xOTy5JUV9FQklUREFfMllSX0FOTl9DQUdSLjIwMDAuNi8zMC8yMDE4LkxGUi5GLlVTRC5IAQAAAOl1JgADAAAAAk5NAQgAAAAFAAAAATEBAAAACjE4ODkwNTc2MDYDAAAAAzE2MAIAAAAENDIwOQQAAAABMAcAAAAJNi8zMC8yMDE4CAAAAAkzLzMxLzIwMTgJAAAAATC3BCCaeQPWCKX9xpx5A9YILENJUS5JUVRSMzMwMzI0Mjg1LklRX1RSX1RBUkdFVF9FQklUREEuLlVTRC5IAQAAAD1ZsBMCAAAAAAA20XGXeQPWCOYQz5x5A9YIGENJUS5BSU06T1BUSS5JUV9FWENIQU5HRQEAAAAz27UHAwAAAANBSU0ALXwfmnkD1giaSciceQPWCCNDSVEuSVFUUjMyMjQ2NzYyNS5JUV9UUl9DTE9TRURfREFURQEAAAApdzgTBQAAAAk0LzE4LzIwMTYAMvhxl3kD1gi5i9CXeQPWCDlDSVEuTkFTREFRQ006UlRUUi5JUV9UT1RBTF9SRVYuMjAwMC42LzMwLzIwMTguTEZSLkYuVVNELkgBAAAAH5qzAwMAAAAAADIYIJp5A9YIrXfFnHkD1gg1Q0lRLkFNRVg6U1lOLklRX1RPVEFMX0RFQlQuMjAwMC42LzMwLzIwMTguTEZSLkYuVVNELkgBAAAAbbB0AQIA</t>
  </si>
  <si>
    <t>AAABMAEIAAAABQAAAAExAQAAAAoxODg3NDA4NzI2AwAAAAMxNjACAAAABDQxNzMEAAAAATAHAAAACTYvMzAvMjAxOAgAAAAJMy8zMS8yMDE4CQAAAAEwtwQgmnkD1ggg6saceQPWCDdDSVEuVFNYVjpDT0IuVS5JUV9UT1RBTF9ERUJULjIwMDAuNi8zMC8yMDE4LkxGUi5GLlVTRC5IAQAAAL/7AAgCAAAACDEuNDAxMjYyAQgAAAAFAAAAATEBAAAACjE4ODkwNjIwNzQDAAAAAzE2MAIAAAAENDE3MwQAAAABMAcAAAAJNi8zMC8yMDE4CAAAAAkzLzMxLzIwMTgJAAAAATBuN+GbeQPWCAZEypx5A9YIP0NJUS5OQVNEQVFHTTpSWVRNLklRX05FVF9XT1JLSU5HX0NBUC4yMDAwLjYvMzAvMjAxOC5MRlIuRi5VU0QuSAEAAAAYyW0SAgAAAAYtMy42MTgBCAAAAAUAAAABMQEAAAAKMTg4ODkxMTQ3MAMAAAADMTYwAgAAAAQxMzExBAAAAAEwBwAAAAk2LzMwLzIwMTgIAAAACTMvMzEvMjAxOAkAAAABMHXp4Jt5A9YIbjzNnHkD1ggeQ0lRLklRMzYxODM4MTkuSVFfQ09NUEFOWV9OQU1FAQAAAAsfKAIDAAAAMlVuaXRlZCBTdGF0ZXMgVHJlYXN1cnkgQ29uc3RhbnQgTWF0dXJpdHkgLSA2IE1vbnRoALG9cZd5A9YIbDTMl3kD1gg/Q0lRLk5BU0RBUUNNOkFTTUIuSVFfTkVUX1dPUktJTkdfQ0FQLjE5OTYuNi8zMC8yMDE4LkxGUi5GLlVTRC5IAQAAABCJ8QUCAAAACS05LjY1Nzk2NgEIAAAABQAAAAExAQAAAAoxODg3MjM1</t>
  </si>
  <si>
    <t>MDY1AwAAAAMxNjACAAAABDEzMTEEAAAAATAHAAAACTYvMzAvMjAxOAgAAAAJMy8zMS8yMDE3CQAAAAEw7fzgm3kD1ghzoMyceQPWCCJDSVEuSVFUUjI3Mjc3NjMzOC5JUV9UUl9UQVJHRVROQU1FAQAAAJI8QhADAAAAGkNpdml0YXMgVGhlcmFwZXV0aWNzLCBJbmMuAGgLcpd5A9YI1NDQnHkD1ggwQ0lRLk5BU0RBUUNNOlNMTk8uSVFfTEFTVFNBTEVQUklDRS42LzMwLzIwMTguVVNEAQAAAOl1JgACAAAABDIuMzQALXwfmnkD1gghmseceQPWCClDSVEuSVFUUjMxMDIyOTE4OC5JUV9UUl9JTVBMSUVEX0VRX05JX0xUTQEAAADEuH0SAgAAAAAAMvhxl3kD1ghWltCceQPWCC5DSVEuSVFUUjM0MDcwNDg2NS5JUV9UUl9UQVJHRVRfU1RPQ0tQUkVNSVVNXzFNAQAAAGG+ThQCAAAAAAAy+HGXeQPWCN0N0Jx5A9YIQUNJUS5BTUVYOlNZTi5JUV9UT1RBTF9SRVZfNVlSX0FOTl9DQUdSLjIwMDAuNi8zMC8yMDE4LkxGUi5GLlVTRC5IAQAAAG2wdAEDAAAAAAC3BCCaeQPWCCZOxpx5A9YIPENJUS5OQVNEQVFHTTpSWVRNLklRX0dST1NTX01BUkdJTi4yMDAwLjYvMzAvMjAxOC5MRlIuRi5VU0QuSAEAAAAYyW0SAwAAAAAAdengm3kD1gjsT82ceQPWCDlDSVEuTkFTREFRQ006U0xOTy5JUV9OSV9NQVJHSU4uMjAwMC42LzMwLzIwMTguTEZSLkYuVVNELkgBAAAA6XUmAAMAAAAAADXxH5p5A9YIHF/HnHkD1gg8Q0lRLk9U</t>
  </si>
  <si>
    <t>Q1BLOk5FWFMuSVFfTkVUX1dPUktJTkdfQ0FQLjIwMDAuNi8zMC8yMDE4LkxGUi5GLlVTRC5IAQAAAB29ThQCAAAACS0xLjQ5ODA3OAEIAAAABQAAAAExAQAAAAoxODYyODYzMDkzAwAAAAMxNjACAAAABDEzMTEEAAAAATAHAAAACTYvMzAvMjAxOAgAAAAJNS8zMS8yMDE3CQAAAAEwMhggmnkD1ggn2cWceQPWCCVDSVEuSVFUUjI0Mzc0NDMwNi5JUV9UUl9NQUpfTUlOX1NUQUtFAQAAADI+hw4DAAAACE1ham9yaXR5AGgLcpd5A9YI0/fQnHkD1ggsQ0lRLklRVFIyNDM3NDQzMDYuSVFfVFJfVEFSR0VUX0VCSVREQS4uVVNELkgBAAAAMj6HDgIAAAAGLTQwNi41AQYAAAAFAAAAAjM3AQAAAAoxNjI4NDM2MTI4AgAAAAUyMTY3NwMAAAADMTYwBAAAAAEwBwAAAAgxLzEvMTkwMGgLcpd5A9YIVQvRnHkD1ggmQ0lRLlRTWFY6Q09CLlUuSVFfQlVTSU5FU1NfREVTQ1JJUFRJT04BAAAAv/sACAMAAACDBkNvaEJhciwgSW5jLiwgYSBiaW90ZWNobm9sb2d5IGNvbXBhbnksIGVuZ2FnZXMgaW4gdGhlIHJlc2VhcmNoIGFuZCBkZXZlbG9wbWVudCBvZiBtaXRvY2hvbmRyaWEgYmFzZWQgdGhlcmFwZXV0aWNzIChNQlRzKSB0byB0cmVhdCB2YXJpb3VzIGRpc2Vhc2VzIGFzc29jaWF0ZWQgd2l0aCBhZ2luZyBhbmQgbWV0YWJvbGljIGR5c2Z1bmN0aW9uLiBJdHMgbGVhZCBNQlQgZHJ1ZyBjYW5kaWRhdGVzIGluY2x1ZGUg</t>
  </si>
  <si>
    <t>Q0I0MjA5IGFuZCBDQjQyMTEsIHdoaWNoIGFyZSBpbiBJTkQtZW5hYmxpbmcgc3R1ZGllcyBmb3IgdGhlIHRyZWF0bWVudCBvZiBmYXR0eSBsaXZlciBkaXNlYXNlLCBub24tYWxjb2hvbGljIHN0ZWF0b2hlcGF0aXRpcywgb2Jlc2l0eSwgYW5kIHR5cGUgMiBkaWFiZXRlcyBtZWxsaXR1cy4gVGhlIGNvbXBhbnkgaXMgYWxzbyBkZXZlbG9waW5nIEh1bWFuaW4sIGEgbWl0b2Nob25kcmlhbC1kZXJpdmVkIHBlcHRpZGUgdG8gdHJlYXQgQWx6aGVpbWVy4oCZcyBkaXNlYXNlLCBhdGhlcm9zY2xlcm9zaXMsIG15b2NhcmRpYWwgYW5kIGNlcmVicmFsIGlzY2hlbWlhLCBhbmQgdHlwZSAyIGRpYWJldGVzIG1lbGxpdHVzOyBTSExQLTYgZm9yIHRoZSB0cmVhdG1lbnQgb2YgY2FuY2VyOyBhbmQgU0hMUC0yIHRvIHRyZWF0IEFsemhlaW1lcuKAmXMgZGlzZWFzZSBhbmQgdHlwZSAyIGRpYWJldGVzIG1lbGxpdHVzLiBDb2hCYXIsIEluYy4gd2FzIGZvdW5kZWQgaW4gMjAwNyBhbmQgaXMgaGVhZHF1YXJ0ZXJlZCBpbiBNZW5sbyBQYXJrLCBDYWxpZm9ybmlhLgAtfB+aeQPWCAr2yZx5A9YIHENJUS4uSVFfVFJfSU1QTElFRF9FUV9OSV9MVE0FAAAAAQAAAAgAAAAUKEludmFsaWQgSWRlbnRpZmllcilswuCbeQPWCGzC4Jt5A9YITUNJUS4oSU5WQUxJRCBJREVOVElGSUVSKS5JUV9UT1RBTF9SRVZfM1lSX0FOTl9D</t>
  </si>
  <si>
    <t>QUdSLjIwMDAuNi8zMC8yMDE4LkxGUi5GLlVTRC5IBQAAAAAAAAAIAAAAFChJbnZhbGlkIElkZW50aWZpZXIpMWYgmnkD1gg2U8SceQPWCCJDSVEuSVFUUjMxMDIyOTE4OC5JUV9UUl9UT1RBTF9DQVNIAQAAAMS4fRICAAAAAAAy+HGXeQPWCNiC0Jx5A9YIJ0NJUS5OQVNEQVFDTTpBVlhMLklRX0JFVEFfMllSLjYvMzAvMjAxOAEAAABjOM8AAgAAABAyLjM1NjQ4OTQ5NTk4MzIxAK95IJp5A9YIqpfInHkD1gg8Q0lRLk9UQ1BLOk5FWFMuSVFfTkVUX1dPUktJTkdfQ0FQLjE5OTYuNi8zMC8yMDE4LkxGUi5GLlVTRC5IAQAAAB29ThQCAAAACS0wLjczMzI5NAEIAAAABQAAAAExAQAAAAoxODYyODYzMDg2AwAAAAMxNjACAAAABDEzMTEEAAAAATAHAAAACTYvMzAvMjAxOAgAAAAJNS8zMS8yMDE2CQAAAAEwMhggmnkD1gio7MWceQPWCCdDSVEuTkFTREFRR1M6VlZVUy5JUV9QRVJJT0REQVRFX0lTLjEwMDABAAAALo4AAAUAAAAKMTIvMzEvMjAxNwA2yh+aeQPWCAuoyZx5A9YIMkNJUS5PVENQSzpORVhTLklRX0NBUEVYLjE5OTIuNi8zMC8yMDE4LkxGUi5GLlVTRC5IAQAAAB29ThQDAAAAAAAyGCCaeQPWCKjsxZx5A9YILUNJUS5OQVNEQVFHTTpSWVRNLklRX01BUktFVENBUC4xLzUvMjAxOC5VU0QuSAEAAAAYyW0SAgAAAAo3NjIuMzE4ODcyAQYAAAAFAAAAATEBAAAACjE4NjU4NzIwNjkDAAAAAzE2MAIAAAAG</t>
  </si>
  <si>
    <t>MTAwMDU0BAAAAAEwBwAAAAgxLzUvMjAxOPHV4Jt5A9YIbhXNnHkD1gg6Q0lRLkFNRVg6U1lOLklRX05FVF9XT1JLSU5HX0NBUC4yMDAwLjYvMzAvMjAxOC5MRlIuRi5VU0QuSAEAAABtsHQBAgAAAAYtNC40ODEBCAAAAAUAAAABMQEAAAAKMTg4NzQwODcyNgMAAAADMTYwAgAAAAQxMzExBAAAAAEwBwAAAAk2LzMwLzIwMTgIAAAACTMvMzEvMjAxOAkAAAABMLcEIJp5A9YIo4jGnHkD1gg1Q0lRLk5BU0RBUUNNOlJUVFIuSVFfQ0FQRVguMTk5Mi42LzMwLzIwMTguTEZSLkYuVVNELkgBAAAAH5qzAwIAAAAJLTAuMDI0NDMxAQgAAAAFAAAAATEBAAAACjE4NDM3NDg4NTQDAAAAAzE2MAIAAAAEMjAyMQQAAAABMAcAAAAJNi8zMC8yMDE4CAAAAAkzLzMxLzIwMTYJAAAAATCzKyCaeQPWCC89xZx5A9YIOUNJUS5OQVNEQVFDTTpBVlhMLklRX05JX01BUkdJTi4yMDAwLjYvMzAvMjAxOC5MRlIuRi5VU0QuSAEAAABjOM8AAwAAAAAAt90fmnkD1ggXq8iceQPWCC5DSVEuSVFUUjM3Njc5OTIzMi5JUV9UUl9UQVJHRVRfU1RPQ0tQUkVNSVVNXzFXAQAAAACAdRYCAAAABjYwLjU2MgEGAAAABQAAAAI1NAEAAAAGMTAxMDU0AgAAAAkzNzY3OTkyMzIDAAAACTM3NjgwMzMzNQQAAAADMTYwBgAAAAVGYWxzZbHkcZd5A9YIV17PnHkD1ggtQ0lRLk5BU0RBUUNNOkFWWEwuSVFfRElWSURFTkRfWUlFTEQuNi8zMC8yMDE4AQAA</t>
  </si>
  <si>
    <t>AGM4zwADAAAAAAAtfB+aeQPWCKqXyJx5A9YIIkNJUS5JUVRSMzcwMDcyMzUzLklRX1RSX1RPVEFMX0NBU0gBAAAAIdsOFgIAAAAAALHkcZd5A9YI2HHPnHkD1ggtQ0lRLk5BU0RBUUdTOlpGR04uSVFfRElWSURFTkRfWUlFTEQuNi8zMC8yMDE4AQAAAJfAugEDAAAAAADx1eCbeQPWCH5By5x5A9YIQ0NJUS5OQVNEQVFHTTpSWVRNLklRX0VCSVREQV8zWVJfQU5OX0NBR1IuMjAwMC42LzMwLzIwMTguTEZSLkYuVVNELkgBAAAAGMltEgMAAAAAAO384Jt5A9YI8AHNnHkD1gggQ0lRLklRVFI1NjAyNTAyNjYuSVFfVFJfRUFSTk9VVFMBAAAAmr1kIQIAAAAAADbRcZd5A9YI55vOnHkD1gg5Q0lRLk5BU0RBUUdNOlJZVE0uSVFfVE9UQUxfREVCVC4yMDAwLjEvNS8yMDE4LkxGUi5GLlVTRC5IAQAAABjJbRICAAAAATABCAAAAAUAAAABMQEAAAAKMTg2NTg3MjcyMQMAAAADMTYwAgAAAAQ0MTczBAAAAAEwBwAAAAgxLzUvMjAxOAgAAAAJOS8zMC8yMDE3CQAAAAEwdengm3kD1ghuFc2ceQPWCClDSVEuSVEzNjE4MzgzMS5JUV9MQVNUU0FMRVBSSUNFLjYvMzAvMjAxOAEAAAAXHygCAgAAAAQyLjczADqqcZd5A9YI6HTOnHkD1ggiQ0lRLklRVFIzNzg1ODc4MjIuSVFfVFJfVEFSR0VUTkFNRQEAAACuypAWAwAAABlCYW1ib28gVGhlcmFwZXV0aWNzLCBJbmMuALHkcZd5A9YIVoXPnHkD1gguQ0lRLklRVFIyNDM3NDQz</t>
  </si>
  <si>
    <t>MDYuSVFfVFJfVEFSR0VUX1NUT0NLUFJFTUlVTV8xTQEAAAAyPocOAgAAAAcxNi42ODg4AQYAAAAFAAAAAjU0AQAAAAYxMDEwNTUCAAAACTI0Mzc0NDMwNgMAAAAJMjQzNzQ0NDEwBAAAAAMxNjAGAAAABUZhbHNlaAtyl3kD1ghVC9GceQPWCBlDSVEuMC5JUV9QUklNQVJZX0lORFVTVFJZAQAAAFWEdwMDAAAAAAA6qnGXeQPWCM9s0Zx5A9YIKkNJUS5JUVRSMjcyNzc2MzM4LklRX1RSX1RBUkdFVF9FQklULi5VU0QuSAEAAACSPEIQAgAAAActMjUuODU1AQYAAAAFAAAAAjM3AQAAAAoxNjk0NDc4OTgzAgAAAAUyMTY3NQMAAAADMTYwBAAAAAEwBwAAAAgxLzEvMTkwMGgLcpd5A9YI1NDQnHkD1gg8Q0lRLk5BU0RBUUNNOkFTTUIuSVFfVE9UQUxfRVFVSVRZLjE5OTYuNi8zMC8yMDE4LkxGUi5GLlVTRC5IAQAAABCJ8QUCAAAACTY3Ljg4ODE2NAEIAAAABQAAAAExAQAAAAoxODg3MjM1MDY1AwAAAAMxNjACAAAABDEyNzUEAAAAATAHAAAACTYvMzAvMjAxOAgAAAAJMy8zMS8yMDE3CQAAAAEw7fzgm3kD1ghzecyceQPWCCJDSVEuSVFUUjU2MDI1MDI2Ni5JUV9UUl9QQ1RfU09VR0hUAQAAAJq9ZCECAAAAAzEwMAA20XGXeQPWCGaIzpx5A9YIFkNJUS4wLklRX1RSX1BDVF9TT1VHSFQFAAAAAAAAAAgAAAAYKEludmFsaWQgVHJhbnNhY3Rpb24gSWQptZZxl3kD1gjPbNGceQPWCDlDSVEuTkFTREFRR1M6TUNSQi5J</t>
  </si>
  <si>
    <t>UV9OSV9NQVJHSU4uMjAwMC42LzMwLzIwMTguTEZSLkYuVVNELkgBAAAA02JBDQIAAAAJLTI3Ny43ODYxAQgAAAAFAAAAATEBAAAACjE4ODgxMDU0NTEDAAAAAzE2MAIAAAAENDA5NAQAAAABMAcAAAAJNi8zMC8yMDE4CAAAAAkzLzMxLzIwMTgJAAAAATDwI+GbeQPWCAG5ypx5A9YIIkNJUS5JUVRSMzc0MzMxNTg2LklRX1RSX1RBUkdFVE5BTUUBAAAAwthPFgMAAAAXRXBpdmEgQmlvc2NpZW5jZXMsIEluYy4AseRxl3kD1ghWrM+ceQPWCCtDSVEuSVFUUjM4NDAyODQ5Ni5JUV9UUl9JTVBMSUVEX0VWX0VCSVRfRldEAQAAAFDP4xYDAAAAAk5NALHkcZd5A9YI4jfPnHkD1ggsQ0lRLklRVFIzODQwMjg0OTYuSVFfVFJfVE9UQUxfR1JPU1NfVFYuVVNELkgFAAAAAAAAAAgAAAAaKEludmFsaWQgQ3VycmVuY3kgUmVxdWVzdCk0g3GXeQPWCF0kz5x5A9YIPkNJUS5OQVNEQVFDTTpBU01CLklRX1RPVEFMX0VRVUlUWS5DWTIwMTYuNi8zMC8yMDE4LkxGUi5GLlVTRC5IAQAAABCJ8QUCAAAACTc5Ljg3ODAwMQEIAAAABQAAAAExAQAAAAoxODc3NDA3NTg2AwAAAAMxNjACAAAABDEyNzUEAAAAATAHAAAACTYvMzAvMjAxOAgAAAAKMTIvMzEvMjAxNgkAAAABMO384Jt5A9YIc3nMnHkD1gggQ0lRLklRVFIzMjI0Njc2MjUuSVFfVFJfRUFSTk9VVFMBAAAAKXc4EwIAAAAAADL4cZd5A9YIWyHQnHkD1gguQ0lRLk5BU0RB</t>
  </si>
  <si>
    <t>UUdTOk1DUkIuSVFfTUFSS0VUQ0FQLjYvMzAvMjAxOC5VU0QuSAEAAADTYkENAgAAAAozNDkuNjEyOTQ1AQYAAAAFAAAAATEBAAAACjE4ODgxMDQ0MTEDAAAAAzE2MAIAAAAGMTAwMDU0BAAAAAEwBwAAAAk2LzMwLzIwMTjx1eCbeQPWCH/zypx5A9YIIUNJUS5JUVRSMzE4NTQyMjEwLklRX1RSX0JVWUVSTkFNRQEAAACCkfwSAwAAAB5WZXJ0aWNhbCAvIFRyaWdlbiBIb2xkaW5ncyBMTEMAMvhxl3kD1gjZW9CceQPWCCxDSVEuSVFUUjI0Mzc0NDMwNi5JUV9UUl9UT1RBTF9HUk9TU19UVi5VU0QuSAUAAAAAAAAACAAAABooSW52YWxpZCBDdXJyZW5jeSBSZXF1ZXN0KbWWcZd5A9YI0/fQnHkD1gg3Q0lRLkFNRVg6U1lOLklRX1RPVEFMX0VRVUlUWS4xOTkyLjYvMzAvMjAxOC5MRlIuRi5VU0QuSAEAAABtsHQBAgAAAAU0Ljk3NwEIAAAABQAAAAExAQAAAAoxODQwMDk1MjQzAwAAAAMxNjACAAAABDEyNzUEAAAAATAHAAAACTYvMzAvMjAxOAgAAAAJMy8zMS8yMDE2CQAAAAEwtwQgmnkD1ggidcaceQPWCENDSVEuKElOVkFMSUQgSURFTlRJRklFUikuSVFfRUJJVERBX0VTVC5DWTIwMjAuNi8zMC8yMDE4LkNPTi5GLlVTRC5IBQAAAAAAAAAIAAAAFChJbnZhbGlkIElkZW50aWZpZXIpuLYfmnkD1gg4ocSceQPWCDBDSVEuQU1FWDpTWU4uSVFfREFfQ0YuMjAwMC42LzMwLzIwMTguTEZSLkYuVVNELkgBAAAAbbB0</t>
  </si>
  <si>
    <t>AQIAAAAFMC4yNTkBCAAAAAUAAAABMQEAAAAKMTg4NzQwODcyNgMAAAADMTYwAgAAAAQyMTYwBAAAAAEwBwAAAAk2LzMwLzIwMTgIAAAACTMvMzEvMjAxOAkAAAABMDIYIJp5A9YIotbGnHkD1ggqQ0lRLklRVFIzNzY3OTkyMzIuSVFfVFJfVEFSR0VUX0VCSVQuLlVTRC5IAQAAAACAdRYCAAAACC0yMzAuMDgyAQYAAAAFAAAAAjM3AQAAAAoxODAxNzk0ODI4AgAAAAUyMTY3NQMAAAADMTYwBAAAAAEwBwAAAAgxLzEvMTkwMLHkcZd5A9YI2UrPnHkD1gg9Q0lRLk5BU0RBUUNNOlJUVFIuSVFfRUJJVERBX01BUkdJTi4yMDAwLjYvMzAvMjAxOC5MRlIuRi5VU0QuSAEAAAAfmrMDAwAAAAAAMhggmnkD1giuUMWceQPWCCFDSVEuTkFTREFRR1M6QUNBRC5JUV9DT01QQU5ZX05BTUUBAAAAwW4KAAMAAAAbQUNBRElBIFBoYXJtYWNldXRpY2FscyBJbmMuAPHV4Jt5A9YI6E3OnHkD1gghQ0lRLk5BU0RBUUNNOkFTTUIuSVFfQ09NUEFOWV9OQU1FAQAAABCJ8QUDAAAAGkFzc2VtYmx5IEJpb3NjaWVuY2VzLCBJbmMuAPHV4Jt5A9YIb+7MnHkD1gg4Q0lRLkFJTTpPUFRJLklRX0VCSVREQV9NQVJHSU4uMjAwMC42LzMwLzIwMTguTEZSLkYuVVNELkgBAAAAM9u1BwMAAAACTk0BCAAAAAUAAAABMQEAAAAKMTg5MTAyMjA3NgMAAAACNTUCAAAABDQwNDcEAAAAATAHAAAACTYvMzAvMjAxOAgAAAAKMTEvMzAvMjAxNwkAAAAB</t>
  </si>
  <si>
    <t>MLfdH5p5A9YIHA/InHkD1gglQ0lRLklRVFIyMDg2NDA1NTMuSVFfVFJfTUFKX01JTl9TVEFLRQEAAAApmm8MAwAAAAhNYWpvcml0eQBoC3KXeQPWCNMe0Zx5A9YIQENJUS4oSU5WQUxJRCBJREVOVElGSUVSKS5JUV9UT1RBTF9SRVYuMjAwMC42LzMwLzIwMTguTEZSLkYuVVNELkgFAAAAAAAAAAgAAAAUKEludmFsaWQgSWRlbnRpZmllcimveSCaeQPWCLLbxJx5A9YIKkNJUS5JUVRSMjc4ODgzNzE2LklRX1RSX1RBUkdFVF9FQklULi5VU0QuSAEAAACEbZ8QAgAAAActNDYuMzQ0AQYAAAAFAAAAAjM3AQAAAAoxNzExMjcxODA1AgAAAAUyMTY3NQMAAAADMTYwBAAAAAEwBwAAAAgxLzEvMTkwMGgLcpd5A9YIVr3QnHkD1gg+Q0lRLk5BU0RBUUdNOlJZVE0uSVFfVE9UQUxfRVFVSVRZLkNZMjAxNi42LzMwLzIwMTguTEZSLkYuVVNELkgBAAAAGMltEgIAAAAFNy4yOTcBCAAAAAUAAAABMQEAAAAKMTg5MzkwNTk1MwMAAAADMTYwAgAAAAQxMjc1BAAAAAEwBwAAAAk2LzMwLzIwMTgIAAAACjEyLzMxLzIwMTYJAAAAATB16eCbeQPWCOwozZx5A9YILkNJUS5JUVRSMjQzNzQ0MzA2LklRX1RSX1RBUkdFVF9TVE9DS1BSRU1JVU1fMVcBAAAAMj6HDgIAAAAHMTUuOTUwOAEGAAAABQAAAAI1NAEAAAAGMTAxMDU0AgAAAAkyNDM3NDQzMDYDAAAACTI0Mzc0NDQxMAQAAAADMTYwBgAAAAVGYWxzZWgLcpd5A9YIVQvRnHkD</t>
  </si>
  <si>
    <t>1gg6Q0lRLk9UQ1BLOk5FWFMuSVFfUkVWRU5VRV9FU1QuQ1kyMDIxLjYvMzAvMjAxOC5DT04uRi5VU0QuSAEAAAAdvU4UAwAAAAAANqMfmnkD1gioE8aceQPWCDpDSVEuVFNYVjpDT0IuVS5JUV9SRVZFTlVFX0VTVC5DWTIwMTkuNi8zMC8yMDE4LkNPTi5GLlVTRC5IAQAAAL/7AAgDAAAAAAC7jx+aeQPWCIgwypx5A9YIMUNJUS5JUVRSMjcyNzc2MzM4LklRX1RSX1RBUkdFVF9SRVZFTlVFX0VTVC4uVVNELkgBAAAAkjxCEAIAAAAAAGgLcpd5A9YIVeTQnHkD1ghEQ0lRLihJTlZBTElEIElERU5USUZJRVIpLklRX1JFVkVOVUVfRVNULkNZMjAxOC42LzMwLzIwMTguQ09OLkYuVVNELkgFAAAAAAAAAAgAAAAUKEludmFsaWQgSWRlbnRpZmllcim4th+aeQPWCDHIxJx5A9YIOENJUS5PVENQSzpORVhTLklRX1RPVEFMX1JFVi5DWTIwMTYuNi8zMC8yMDE4LkxGUi5GLlVTRC5IAQAAAB29ThQDAAAAAAAyGCCaeQPWCCYnxpx5A9YIHkNJUS5JUTM2MTgzODI4LklRX0NPTVBBTllfTkFNRQEAAAAUHygCAwAAADFVbml0ZWQgU3RhdGVzIFRyZWFzdXJ5IENvbnN0YW50IE1hdHVyaXR5IC0gMyBZZWFyALG9cZd5A9YI7iDMl3kD1gg9Q0lRLk5BU0RBUUdTOlZWVVMuSVFfUkVWRU5VRV9FU1QuQ1kyMDIwLjYvMzAvMjAxOC5DT04uRi5VU0QuSAEAAAAujgAAAwAAAAAAu48fmnkD1ggLgcmceQPWCDpDSVEuTkFTREFRR006</t>
  </si>
  <si>
    <t>UllUTS5JUV9FQVJOSU5HX0NPLjIwMDAuNi8zMC8yMDE4LkxGUi5GLlVTRC5IAQAAABjJbRICAAAABy00My44MDgBCAAAAAUAAAABMQEAAAAKMTg4ODkxMTQ3MAMAAAADMTYwAgAAAAE3BAAAAAEwBwAAAAk2LzMwLzIwMTgIAAAACTMvMzEvMjAxOAkAAAABMHXp4Jt5A9YI7CjNnHkD1ggdQ0lRLk5BU0RBUUdNOlJZVE0uSVFfRVhDSEFOR0UBAAAAGMltEgMAAAAITmFzZGFxR00A8dXgm3kD1gjrnc2ceQPWCDVDSVEuTkFTREFRR1M6QUNBRC5JUV9EQV9DRi4yMDAwLjYvMzAvMjAxOC5MRlIuRi5VU0QuSAEAAADBbgoAAgAAAAUyLjgzNQEIAAAABQAAAAExAQAAAAoxODg2NjI3NTM2AwAAAAMxNjACAAAABDIxNjAEAAAAATAHAAAACTYvMzAvMjAxOAgAAAAJMy8zMS8yMDE4CQAAAAEwdengm3kD1ghnOs6ceQPWCClDSVEuSVFUUjM3Njc5OTIzMi5JUV9CVVNJTkVTU19ERVNDUklQVElPTgEAAAAByk0CAwAAAMwFUmVseXBzYSwgSW5jLiwgYSBiaW9waGFybWFjZXV0aWNhbCBjb21wYW55LCBmb2N1c2VzIG9uIHRoZSBkaXNjb3ZlcnksIGRldmVsb3BtZW50LCBhbmQgY29tbWVyY2lhbGl6YXRpb24gb2YgcG9seW1lcmljIG1lZGljaW5lcyBmb3IgcGF0aWVudHMgd2l0aCBjb25kaXRpb25zIHRoYXQgYXJlIG92ZXJsb29rZWQgYW5kIHVuZGVydHJlYXRlZCBhbmQgY2FuIGJlIGFkZHJlc3NlZCBpbiB0aGUgZ2Fz</t>
  </si>
  <si>
    <t>dHJvaW50ZXN0aW5hbCB0cmFjdCBwcmltYXJpbHkgaW4gdGhlIFVuaXRlZCBTdGF0ZXMuIFRoZSBjb21wYW55IG9mZmVycyBWZWx0YXNzYSAocGF0aXJvbWVyKSwgYSBub24tYWJzb3JiZWQgcG90YXNzaXVtIGJpbmRpbmcgcG9seW1lciBmb3IgdGhlIHRyZWF0bWVudCBvZiBoeXBlcmthbGVtaWEuIEl0IGhhcyBsaWNlbnNlIGFncmVlbWVudCB3aXRoIFZpZm9yIEZyZXNlbml1cyBNZWRpY2FsIENhcmUgUmVuYWwgUGhhcm1hIEx0ZC4gZm9yIGRldmVsb3BpbmcgYW5kIGNvbW1lcmNpYWxpemluZyBWZWx0YXNzYSBvdXRzaWRlIHRoZSBVbml0ZWQgU3RhdGVzIGFuZCBKYXBhbi4gVGhlIGNvbXBhbnkgd2FzIGZvdW5kZWQgaW4gMjAwNyBhbmQgaXMgaGVhZHF1YXJ0ZXJlZCBpbiBSZWR3b29kIENpdHksIENhbGlmb3JuaWEuIEFzIG9mIEF1Z3VzdCAzMSwgMjAxNiwgUmVseXBzYSwgSW5jLiBvcGVyYXRlcyBhcyBhIHN1YnNpZGlhcnkgb2YgVmlmb3IgUGhhcm1hIEx0ZC4Asb1xl3kD1ghXXs+ceQPWCCxDSVEuSVFUUjMyNTIzMzQ2MS5JUV9UUl9UQVJHRVRfRUJJVERBLi5VU0QuSAEAAAA1q2ITAgAAAAAAMvhxl3kD1ghXSNCceQPWCDtDSVEuTkFTREFRQ006U0xOTy5JUV9UT1RBTF9SRVYuQ1kyMDE2LjYvMzAvMjAxOC5MRlIuRi5VU0QuSAEAAADpdSYAAwAAAAAANfEfmnkD1ggbhseceQPWCDVDSVEuTkFT</t>
  </si>
  <si>
    <t>REFRR1M6TUNSQi5JUV9DQVBFWC4xOTk2LjYvMzAvMjAxOC5MRlIuRi5VU0QuSAEAAADTYkENAgAAAActMjAuMzM5AQgAAAAFAAAAATEBAAAACjE4ODgxMDU0MjgDAAAAAzE2MAIAAAAEMjAyMQQAAAABMAcAAAAJNi8zMC8yMDE4CAAAAAkzLzMxLzIwMTcJAAAAATDwI+GbeQPWCAGSypx5A9YIQUNJUS4oSU5WQUxJRCBJREVOVElGSUVSKS5JUV9FQVJOSU5HX0NPLjE5OTYuNi8zMC8yMDE4LkxGUi5GLlVTRC5IBQAAAAAAAAAIAAAAFChJbnZhbGlkIElkZW50aWZpZXIpMWYgmnkD1gg4esSceQPWCD9DSVEuTkFTREFRQ006U0xOTy5JUV9ORVRfV09SS0lOR19DQVAuMTk5Ni42LzMwLzIwMTguTEZSLkYuVVNELkgBAAAA6XUmAAIAAAAGLTAuOTExAQgAAAAFAAAAATEBAAAACjE4ODkwNTc2MDADAAAAAzE2MAIAAAAEMTMxMQQAAAABMAcAAAAJNi8zMC8yMDE4CAAAAAkzLzMxLzIwMTcJAAAAATA18R+aeQPWCJ5Lx5x5A9YIRkNJUS5OQVNEQVFDTTpTTE5PLklRX1RPVEFMX1JFVl81WVJfQU5OX0NBR1IuMjAwMC42LzMwLzIwMTguTEZSLkYuVVNELkgBAAAA6XUmAAMAAAAAALcEIJp5A9YIIBHHnHkD1ghDQ0lRLk9UQ1BLOk5FWFMuSVFfVE9UQUxfUkVWXzJZUl9BTk5fQ0FHUi4yMDAwLjYvMzAvMjAxOC5MRlIuRi5VU0QuSAEAAAAdvU4UAwAAAAAAMhggmnkD1ggrssWceQPWCCJDSVEuSVFUUjMyMjQ2NzYyNS5J</t>
  </si>
  <si>
    <t>UV9UUl9QQ1RfU09VR0hUAQAAACl3OBMCAAAAAzEwMAEGAAAABQAAAAI1NAEAAAAGMTAxMDI0AgAAAAkzMjI0Njc2MjUDAAAACTMyMjQ3Mzc5MAQAAAADMTYwBgAAAARUcnVlMvhxl3kD1ghbIdCceQPWCCpDSVEuVFNYVjpDT0IuVS5JUV9ESVZJREVORF9ZSUVMRC42LzMwLzIwMTgBAAAAv/sACAMAAAAAAC18H5p5A9YIiOLJnHkD1gg6Q0lRLk5BU0RBUUNNOkFWWEwuSVFfRUFSTklOR19DTy4yMDAwLjYvMzAvMjAxOC5MRlIuRi5VU0QuSAEAAABjOM8AAgAAAAotMTcuNTc1ODQ4AQgAAAAFAAAAATEBAAAACjE4ODg1MDQyNzkDAAAAAzE2MAIAAAABNwQAAAABMAcAAAAJNi8zMC8yMDE4CAAAAAkzLzMxLzIwMTgJAAAAATC33R+aeQPWCBuEyJx5A9YIKUNJUS5OQVNEQVFHUzpWVlVTLklRX0JVU0lORVNTX0RFU0NSSVBUSU9OAQAAAC6OAAADAAAAkAxWSVZVUywgSW5jLiwgYSBiaW9waGFybWFjZXV0aWNhbCBjb21wYW55LCBkZXZlbG9wcyBhbmQgY29tbWVyY2lhbGl6ZXMgbm92ZWwgdGhlcmFwZXV0aWMgcHJvZHVjdHMgdG8gYWRkcmVzcyB1bm1ldCBtZWRpY2FsIG5lZWRzIGluIGh1bWFuIGhlYWx0aCBpbiB0aGUgVW5pdGVkIFN0YXRlcyBhbmQgdGhlIEV1cm9wZWFuIFVuaW9uLiBUaGUgY29tcGFueSBvZmZlcnMgUXN5bWlhIGZvciB0aGUgdHJlYXRtZW50IG9mIG9iZXNpdHkgYXMgYW4gYWRqdW5jdCB0</t>
  </si>
  <si>
    <t>byBhIHJlZHVjZWQtY2Fsb3JpZSBkaWV0IGFuZCBpbmNyZWFzZWQgcGh5c2ljYWwgYWN0aXZpdHkgZm9yIGNocm9uaWMgd2VpZ2h0IG1hbmFnZW1lbnQgaW4gYWR1bHQgcGF0aWVudHMgd2l0aCBhbiBpbml0aWFsIGJvZHkgbWFzcyBpbmRleCBvZiAzMCBvciBncmVhdGVyLCBvciBvYmVzZSBwYXRpZW50cywgb3IgMjcgb3IgZ3JlYXRlciwgb3Igb3ZlcndlaWdodCBwYXRpZW50cyBpbiB0aGUgcHJlc2VuY2Ugb2YgYXQgbGVhc3Qgb25lIHdlaWdodC1yZWxhdGVkIGNvbW9yYmlkaXR5LCBzdWNoIGFzIGh5cGVydGVuc2lvbiwgdHlwZSAyIGRpYWJldGVzIG1lbGxpdHVzIG9yIGhpZ2ggY2hvbGVzdGVyb2w7IGFuZCBTVEVORFJBLCBhbiBvcmFsIHBob3NwaG9kaWVzdGVyYXNlIHR5cGUgNSBpbmhpYml0b3IgZm9yIHRoZSB0cmVhdG1lbnQgb2YgZXJlY3RpbGUgZHlzZnVuY3Rpb24uIEl0IGlzIGFsc28gaW52b2x2ZWQgaW4gZGV2ZWxvcGluZyBRc3ltaWEsIHdoaWNoIGhhcyBiZWVuIGNvbXBsZXRlZCBQaGFzZSBJSSBzdHVkaWVzIGZvciB0aGUgdHJlYXRtZW50IG9mIHZhcmlvdXMgZGlzZWFzZXMsIGluY2x1ZGluZyBvYnN0cnVjdGl2ZSBzbGVlcCBhcG5lYSBhbmQgZGlhYmV0ZXMsIG5vbmFsY29ob2xpYyBzdGVhdG9oZXBhdGl0aXMgYW5kIGZhdHR5IGxpdmVyIGRpc2Vhc2UsIGh5cGVybGlwaWRlbWlh</t>
  </si>
  <si>
    <t>LCBhbmQgaHlwZXJ0ZW5zaW9uLCBhcyB3ZWxsIGFzIFRhY3JvbGltdXMgdGhhdCBoYXMgYmVlbiBjb21wbGV0ZWQgUGhhc2UgSUlhIHN0dWRpZXMgZm9yIHRoZSB0cmVhdG1lbnQgb2YgcHVsbW9uYXJ5IGFydGVyaWFsIGh5cGVydGVuc2lvbi4gVGhlIGNvbXBhbnkgaGFzIGRldmVsb3BtZW50LCBsaWNlbnNlIGFuZCBjbGluaWNhbCB0cmlhbCwgYW5kIGNvbW1lcmNpYWwgc3VwcGx5IGFncmVlbWVudCB3aXRoIE1pdHN1YmlzaGkgVGFuYWJlIFBoYXJtYSBDb3Jwb3JhdGlvbiBmb3IgdGhlIGRldmVsb3BtZW50IGFuZCBjb21tZXJjaWFsaXphdGlvbiBvZiBhdmFuYWZpbCwgYSBQREU1IGluaGliaXRvciBjb21wb3VuZCBmb3IgdGhlIG9yYWwgYW5kIGxvY2FsIHRyZWF0bWVudCBvZiBtYWxlIGFuZCBmZW1hbGUgc2V4dWFsIGR5c2Z1bmN0aW9uLiBJdCBhbHNvIGhhcyBsaWNlbnNlIGFuZCBjb21tZXJjaWFsaXphdGlvbiBhZ3JlZW1lbnRzIHdpdGggQmVybGluIENoZW1pZSBBRyB0byBjb21tZXJjaWFsaXplIGFuZCBwcm9tb3RlIFNURU5EUkEuIFZJVlVTLCBJbmMuIHdhcyBmb3VuZGVkIGluIDE5OTEgYW5kIGlzIGhlYWRxdWFydGVyZWQgaW4gQ2FtcGJlbGwsIENhbGlmb3JuaWEuAC18H5p5A9YIFUfJnHkD1ggiQ0lRLklRVFIzMjUyMzM0NjEuSVFfVFJfUENUX1NPVUdIVAEAAAA1q2ITAgAAAAMxMDAB</t>
  </si>
  <si>
    <t>BgAAAAUAAAACNTQBAAAABjEwMTAyNAIAAAAJMzI1MjMzNDYxAwAAAAkzMjUyMzc5OTAEAAAAAzE2MAYAAAAEVHJ1ZTL4cZd5A9YI2TTQnHkD1gg+Q0lRLk5BU0RBUUdTOlZZR1IuSVFfVE9UQUxfRVFVSVRZLkNZMjAxNi42LzMwLzIwMTguTEZSLkYuVVNELkgBAAAAXsxPDwIAAAAHMTM1LjkyMgEIAAAABQAAAAExAQAAAAoxODc4MzI2NTIyAwAAAAMxNjACAAAABDEyNzUEAAAAATAHAAAACTYvMzAvMjAxOAgAAAAKMTIvMzEvMjAxNgkAAAABMHIQ4Zt5A9YI+snLnHkD1ggxQ0lRLklRVFIyMDg2NDA1NTMuSVFfVFJfVEFSR0VUX1JFVkVOVUVfRVNULi5VU0QuSAEAAAApmm8MAgAAAAgwLjU3MTA5MwBoC3KXeQPWCFEy0Zx5A9YIPkNJUS5BSU06T1BUSS5JUV9FQklUREFfMllSX0FOTl9DQUdSLjIwMDAuNi8zMC8yMDE4LkxGUi5GLlVTRC5IAQAAADPbtQcDAAAAAk5NAQgAAAAFAAAAATEBAAAACjE4OTEwMjIwNzYDAAAAAjU1AgAAAAQ0MjA5BAAAAAEwBwAAAAk2LzMwLzIwMTgIAAAACjExLzMwLzIwMTcJAAAAATA18R+aeQPWCKOtx5x5A9YIKENJUS5OQVNEQVFHTTpSWVRNLklRX1RFVi42LzMwLzIwMTguVVNELkgBAAAAGMltEgIAAAAKOTMwLjIwMDIxOQEGAAAABQAAAAExAQAAAAoxODg4OTA5ODQ2AwAAAAMxNjACAAAABjEwMDA2MAQAAAABMAcAAAAJNi8zMC8yMDE48dXgm3kD1ghpis2ceQPWCBdDSVEu</t>
  </si>
  <si>
    <t>MC5JUV9UUl9DTE9TRURfREFURQUAAAAAAAAACAAAABgoSW52YWxpZCBUcmFuc2FjdGlvbiBJZCm1lnGXeQPWCK7Z0Jd5A9YIKUNJUS5OQVNEQVFHTTpSWVRNLklRX0JVU0lORVNTX0RFU0NSSVBUSU9OAQAAABjJbRIDAAAArQZSaHl0aG0gUGhhcm1hY2V1dGljYWxzLCBJbmMuLCBhIGJpb3BoYXJtYWNldXRpY2FsIGNvbXBhbnksIGZvY3VzZXMgb24gdGhlIGRldmVsb3BtZW50IGFuZCBjb21tZXJjaWFsaXphdGlvbiBvZiBwZXB0aWRlIHRoZXJhcGV1dGljcyBmb3IgdGhlIHRyZWF0bWVudCBvZiByYXJlIGdlbmV0aWMgZGlzb3JkZXJzIG9mIG9iZXNpdHkgaW4gdGhlIFVuaXRlZCBTdGF0ZXMuIEl0cyBwZXB0aWRlIGNhbmRpZGF0ZXMgaW5jbHVkZSBTZXRtZWxhbm90aWRlLCBhIG1lbGFub2NvcnRpbi00IHJlY2VwdG9yIGFnb25pc3QsIHdoaWNoIGlzIGluIFBoYXNlIElJSSBjbGluaWNhbCB0cmlhbCB0byB0cmVhdCBQT01DIGFuZCBsZXB0aW4gcmVjZXB0b3IgZGVmaWNpZW5jeSBvYmVzaXR5OyBhbmQgUGhhc2UgSUkgY2xpbmljYWwgdHJpYWwgZm9yIEJhcmRldC1CaWVkbCBhbmQgQWxzdHLDtm0gc3luZHJvbWUsIFBPTUMgaGV0ZXJvenlnb3VzIGRlZmljaWVuY3kgb2Jlc2l0eSwgYW5kIFBPTUMgZXBpZ2VuZXRpYyBkaXNvcmRlcnMuIFRoZSBjb21wYW55IHdhcyBmb3JtZXJseSBrbm93biBhcyBS</t>
  </si>
  <si>
    <t>aHl0aG0gTWV0YWJvbGljLCBJbmMuIGFuZCBjaGFuZ2VkIGl0cyBuYW1lIHRvIFJoeXRobSBQaGFybWFjZXV0aWNhbHMsIEluYy4gaW4gT2N0b2JlciAyMDE1LiBSaHl0aG0gUGhhcm1hY2V1dGljYWxzLCBJbmMuIHdhcyBmb3VuZGVkIGluIDIwMDggYW5kIGlzIGhlYWRxdWFydGVyZWQgaW4gQm9zdG9uLCBNYXNzYWNodXNldHRzLiBSaHl0aG0gUGhhcm1hY2V1dGljYWxzLCBJbmMuIGlzIGEgc3Vic2lkaWFyeSBvZiBNb3R1cyBUaGVyYXBldXRpY3MsIEluYy4A8dXgm3kD1ghuPM2ceQPWCDxDSVEuTkFTREFRR1M6TUNSQi5JUV9FQVJOSU5HX0NPLkNZMjAxNi42LzMwLzIwMTguTEZSLkYuVVNELkgBAAAA02JBDQIAAAAHLTkxLjU3OQEIAAAABQAAAAExAQAAAAoxODc3NTU1MzEzAwAAAAMxNjACAAAAATcEAAAAATAHAAAACTYvMzAvMjAxOAgAAAAKMTIvMzEvMjAxNgkAAAABMPAj4Zt5A9YIAZLKnHkD1gg1Q0lRLk9UQ1BLOk5FWFMuSVFfRUJJVERBLkNZMjAxNi42LzMwLzIwMTguTEZSLkYuVVNELkgBAAAAHb1OFAMAAAAAADIYIJp5A9YIJwDGnHkD1ggvQ0lRLklRVFIyMDg2NDA1NTMuSVFfVFJfSU1QTElFRF9FVl9GSU5BTC4uVVNELkgBAAAAKZpvDAIAAAAKNDAxLjMyODgzNgEGAAAABQAAAAI1NAEAAAAGMTAyMDQ1AgAAAAkyMDg2NDA1NTMDAAAACTIwODY0NDY3OAQAAAADMTYwBgAAAAVGYWxzZWgL</t>
  </si>
  <si>
    <t>cpd5A9YI0x7RnHkD1ggoQ0lRLk9UQ1BLOk5FWFMuSVFfTEFTVFNBTEVQUklDRS4xLzUvMjAxOAEAAAAdvU4UAgAAAAQwLjA4AC18H5p5A9YIK7LFnHkD1gg7Q0lRLk5BU0RBUUNNOlNMTk8uSVFfUFJFRl9FUVVJVFkuMjAwMC42LzMwLzIwMTguTEZSLkYuVVNELkgBAAAA6XUmAAMAAAAAADXxH5p5A9YIIZrHnHkD1ghBQ0lRLkFJTTpPUFRJLklRX01JTk9SSVRZX0lOVEVSRVNUX1RPVEFMLjIwMDAuMS81LzIwMTguTEZSLkYuVVNELkgBAAAAM9u1BwIAAAAJLTAuMTA5Mjk5AQgAAAAFAAAAATEBAAAACjE4NTcwMTMzNjUDAAAAAzE2MAIAAAAEMTMxMgQAAAABMAcAAAAIMS81LzIwMTgIAAAACTUvMzEvMjAxNwkAAAABMDXxH5p5A9YIHcHHnHkD1gg8Q0lRLk5BU0RBUUdTOlpGR04uSVFfR1JPU1NfTUFSR0lOLjIwMDAuNi8zMC8yMDE4LkxGUi5GLlVTRC5IAQAAAJfAugEDAAAAAAByEOGbeQPWCHpoy5x5A9YIOUNJUS5OQVNEQVFDTTpBU01CLklRX05JX01BUkdJTi4yMDAwLjYvMzAvMjAxOC5MRlIuRi5VU0QuSAEAAAAQifEFAwAAAAJOTQEIAAAABQAAAAExAQAAAAoxODg3MjM1MDc4AwAAAAMxNjACAAAABDQwOTQEAAAAATAHAAAACTYvMzAvMjAxOAgAAAAJMy8zMS8yMDE4CQAAAAEw7fzgm3kD1ghzoMyceQPWCENDSVEuTkFTREFRR1M6VllHUi5JUV9FQklUREFfMllSX0FOTl9DQUdSLjIwMDAuNi8zMC8y</t>
  </si>
  <si>
    <t>MDE4LkxGUi5GLlVTRC5IAQAAAF7MTw8DAAAAAk5NAQgAAAAFAAAAATEBAAAACjE4ODg0ODA1OTMDAAAAAzE2MAIAAAAENDIwOQQAAAABMAcAAAAJNi8zMC8yMDE4CAAAAAkzLzMxLzIwMTgJAAAAATByEOGbeQPWCHy2y5x5A9YIPENJUS5OQVNEQVFHTTpSWVRNLklRX1RPVEFMX0VRVUlUWS4xOTk2LjYvMzAvMjAxOC5MRlIuRi5VU0QuSAEAAAAYyW0SAgAAAAYyMS41NzUBCAAAAAUAAAABMQEAAAAKMTg4ODkxMTQ1MwMAAAADMTYwAgAAAAQxMjc1BAAAAAEwBwAAAAk2LzMwLzIwMTgIAAAACTMvMzEvMjAxNwkAAAABMHXp4Jt5A9YI7CjNnHkD1ggqQ0lRLklRVFIyNDM3NDQzMDYuSVFfVFJfVEFSR0VUX0VCSVQuLlVTRC5IAQAAADI+hw4CAAAABC00MjcBBgAAAAUAAAACMzcBAAAACjE2Mjg0MzYxMjgCAAAABTIxNjc1AwAAAAMxNjAEAAAAATAHAAAACDEvMS8xOTAwaAtyl3kD1ghVC9GceQPWCD5DSVEuTkFTREFRR1M6WkZHTi5JUV9DQVNIX1NUX0lOVkVTVC4yMDAwLjYvMzAvMjAxOC5MRlIuRi5VU0QuSAEAAACXwLoBAgAAAAU4OS4wNwEIAAAABQAAAAExAQAAAAoxODg5ODk1MzgxAwAAAAMxNjACAAAABDEwMDIEAAAAATAHAAAACTYvMzAvMjAxOAgAAAAJMy8zMS8yMDE4CQAAAAEwchDhm3kD1gh5j8uceQPWCDhDSVEuTkFTREFRR1M6TUNSQi5JUV9FQklUREEuQ1kyMDE2LjYvMzAvMjAxOC5MRlIuRi5V</t>
  </si>
  <si>
    <t>U0QuSAEAAADTYkENAgAAAActODguNjM0AQgAAAAFAAAAATEBAAAACjE4Nzc1NTUzMTMDAAAAAzE2MAIAAAAENDA1MQQAAAABMAcAAAAJNi8zMC8yMDE4CAAAAAoxMi8zMS8yMDE2CQAAAAEw8CPhm3kD1giCzMqceQPWCCVDSVEuSVFUUjU0NzMzODgxNC5JUV9QUklNQVJZX0lORFVTVFJZAQAAAG8GnRgDAAAADUJpb3RlY2hub2xvZ3kAOqpxl3kD1ghlr86ceQPWCCtDSVEuSVFUUjMxMDIyOTE4OC5JUV9UUl9UT1RBTF9HUk9TU19UVi4uVVNEAQAAAMS4fRICAAAAAAAy+HGXeQPWCFaW0Jx5A9YIMkNJUS5PVENQSzpORVhTLklRX0RBX0NGLjIwMDAuNi8zMC8yMDE4LkxGUi5GLlVTRC5IAQAAAB29ThQCAAAACDAuMDAxODI5AQgAAAAFAAAAATEBAAAACjE4NjI4NjMwOTMDAAAAAzE2MAIAAAAEMjE2MAQAAAABMAcAAAAJNi8zMC8yMDE4CAAAAAk1LzMxLzIwMTcJAAAAATAyGCCaeQPWCCYnxpx5A9YINUNJUS5BTUVYOlNZTi5JUV9QUkVGX0VRVUlUWS4yMDAwLjEvNS8yMDE4LkxGUi5GLlVTRC5IAQAAAG2wdAECAAAABjExLjk5MgEIAAAABQAAAAExAQAAAAoxODYzNjI1NzI5AwAAAAMxNjACAAAABDEwMDUEAAAAATAHAAAACDEvNS8yMDE4CAAAAAk5LzMwLzIwMTcJAAAAATC3BCCaeQPWCKRhxpx5A9YIIkNJUS4wLklRX1RSX1RBUkdFVF9TVE9DS1BSRU1JVU1fMVcFAAAAAAAAAAgAAAAYKEludmFsaWQgVHJh</t>
  </si>
  <si>
    <t>bnNhY3Rpb24gSWQptZZxl3kD1ghQgNGceQPWCCJDSVEuSVFUUjM0MDcwNDg2NS5JUV9UUl9QQ1RfU09VR0hUAQAAAGG+ThQCAAAAAzEwMACx5HGXeQPWCOHmz5x5A9YINUNJUS5OQVNEQVFHUzpBQ0FELklRX0NBUEVYLjE5OTYuNi8zMC8yMDE4LkxGUi5GLlVTRC5IAQAAAMFuCgACAAAABi0xLjc4NAEIAAAABQAAAAExAQAAAAoxODg2NjI3NTYzAwAAAAMxNjACAAAABDIwMjEEAAAAATAHAAAACTYvMzAvMjAxOAgAAAAJMy8zMS8yMDE3CQAAAAEwdengm3kD1ghl2M2ceQPWCClDSVEuSVFUUjM3MDA3MjM1My5JUV9UUl9JTVBMSUVEX0VRX05JX0xUTQEAAAAh2w4WAwAAAAJOTQCx5HGXeQPWCFaFz5x5A9YINkNJUS5OQVNEQVFDTTpBVlhMLklRX0VCSVREQS4yMDAwLjYvMzAvMjAxOC5MRlIuRi5VU0QuSAEAAABjOM8AAwAAAAAAt90fmnkD1ggT0siceQPWCENDSVEuTkFTREFRQ006QVNNQi5JUV9FQklUREFfNVlSX0FOTl9DQUdSLjIwMDAuNi8zMC8yMDE4LkxGUi5GLlVTRC5IAQAAABCJ8QUDAAAAAk5NAQgAAAAFAAAAATEBAAAACjE4ODcyMzUwNzgDAAAAAzE2MAIAAAAENDIzNQQAAAABMAcAAAAJNi8zMC8yMDE4CAAAAAkzLzMxLzIwMTgJAAAAATDt/OCbeQPWCHdSzJx5A9YIPENJUS5OQVNEQVFHUzpNQ1JCLklRX0VBUk5JTkdfQ08uQ1kyMDE3LjYvMzAvMjAxOC5MRlIuRi5VU0QuSAEAAADTYkENAgAA</t>
  </si>
  <si>
    <t>AAYtODkuMzgBCAAAAAUAAAABMQEAAAAKMTg3NzU1NTQzNQMAAAADMTYwAgAAAAE3BAAAAAEwBwAAAAk2LzMwLzIwMTgIAAAACjEyLzMxLzIwMTcJAAAAATDwI+GbeQPWCId+ypx5A9YIPENJUS5OQVNEQVFHTTpSWVRNLklRX1RPVEFMX0VRVUlUWS4yMDAwLjYvMzAvMjAxOC5MRlIuRi5VU0QuSAEAAAAYyW0SAgAAAAcxMzMuNjU4AQgAAAAFAAAAATEBAAAACjE4ODg5MTE0NzADAAAAAzE2MAIAAAAEMTI3NQQAAAABMAcAAAAJNi8zMC8yMDE4CAAAAAkzLzMxLzIwMTgJAAAAATB16eCbeQPWCG4VzZx5A9YIOkNJUS5OQVNEQVFDTTpSVFRSLklRX0VBUk5JTkdfQ08uMTk5Ni42LzMwLzIwMTguTEZSLkYuVVNELkgBAAAAH5qzAwIAAAAKLTE2LjkyOTQxOQEIAAAABQAAAAExAQAAAAoxODg5MTA0MDk0AwAAAAMxNjACAAAAATcEAAAAATAHAAAACTYvMzAvMjAxOAgAAAAJMy8zMS8yMDE3CQAAAAEwsysgmnkD1giuKcWceQPWCDBDSVEuTkFTREFRR1M6WkZHTi5JUV9MQVNUU0FMRVBSSUNFLjYvMzAvMjAxOC5VU0QBAAAAl8C6AQIAAAAFMTAuMjMA8dXgm3kD1gj7osuceQPWCDVDSVEuT1RDUEs6TkVYUy5JUV9FQklUREEuQ1kyMDE3LjYvMzAvMjAxOC5MRlIuRi5VU0QuSAEAAAAdvU4UAwAAAAAAMhggmnkD1ggnAMaceQPWCCxDSVEuSVFUUjI3Mjc3NjMzOC5JUV9UUl9UT1RBTF9HUk9TU19UVi5VU0QuSAUAAAAA</t>
  </si>
  <si>
    <t>AAAACAAAABooSW52YWxpZCBDdXJyZW5jeSBSZXF1ZXN0KbWWcZd5A9YI1NDQnHkD1ggpQ0lRLklRVFI1NjAyNTAyNjYuSVFfVFJfSU1QTElFRF9FUV9OSV9MVE0BAAAAmr1kIQIAAAAAADbRcZd5A9YI55vOnHkD1ggrQ0lRLklRVFIzMjI0Njc2MjUuSVFfVFJfVE9UQUxfR1JPU1NfVFYuLlVTRAEAAAApdzgTAgAAAAozNDEuNjM1NzM3AQYAAAAFAAAAAjU0AQAAAAYxMDIwODgCAAAACTMyMjQ2NzYyNQMAAAAJMzIyNDczNzkwBAAAAAMxNjAGAAAABUZhbHNlMvhxl3kD1ghbIdCceQPWCDpDSVEuTkFTREFRR1M6QUNBRC5JUV9FQVJOSU5HX0NPLjIwMDAuNi8zMC8yMDE4LkxGUi5GLlVTRC5IAQAAAMFuCgACAAAACC0yNTUuODU2AQgAAAAFAAAAATEBAAAACjE4ODY2Mjc1MzYDAAAAAzE2MAIAAAABNwQAAAABMAcAAAAJNi8zMC8yMDE4CAAAAAkzLzMxLzIwMTgJAAAAATB16eCbeQPWCGXYzZx5A9YIP0NJUS5OQVNEQVFHUzpWVlVTLklRX05FVF9XT1JLSU5HX0NBUC4yMDAwLjYvMzAvMjAxOC5MRlIuRi5VU0QuSAEAAAAujgAAAgAAAAYxMC45OTEBCAAAAAUAAAABMQEAAAAKMTg4NzQ0NDMyOAMAAAADMTYwAgAAAAQxMzExBAAAAAEwBwAAAAk2LzMwLzIwMTgIAAAACTMvMzEvMjAxOAkAAAABMDbKH5p5A9YIFUfJnHkD1gg5Q0lRLk5BU0RBUUdTOlZZR1IuSVFfVE9UQUxfUkVWLjIwMDAuNi8zMC8yMDE4LkxG</t>
  </si>
  <si>
    <t>Ui5GLlVTRC5IAQAAAF7MTw8CAAAABTkuNjEzAQgAAAAFAAAAATEBAAAACjE4ODg0ODA1OTMDAAAAAzE2MAIAAAACMjgEAAAAATAHAAAACTYvMzAvMjAxOAgAAAAJMy8zMS8yMDE4CQAAAAEwchDhm3kD1gh0K8yceQPWCD9DSVEuTkFTREFRR1M6QUNBRC5JUV9ORVRfV09SS0lOR19DQVAuMTk5Mi42LzMwLzIwMTguTEZSLkYuVVNELkgBAAAAwW4KAAIAAAAHLTE2LjAxMwEIAAAABQAAAAExAQAAAAoxODQxNTg3NTE5AwAAAAMxNjACAAAABDEzMTEEAAAAATAHAAAACTYvMzAvMjAxOAgAAAAJMy8zMS8yMDE2CQAAAAEw8dXgm3kD1gjn682ceQPWCDpDSVEuTkFTREFRR1M6WkZHTi5JUV9FQVJOSU5HX0NPLjIwMDAuNi8zMC8yMDE4LkxGUi5GLlVTRC5IAQAAAJfAugECAAAABy01NC45NzMBCAAAAAUAAAABMQEAAAAKMTg4OTg5NTM4MQMAAAADMTYwAgAAAAE3BAAAAAEwBwAAAAk2LzMwLzIwMTgIAAAACTMvMzEvMjAxOAkAAAABMPAj4Zt5A9YIAC7LnHkD1gg7Q0lRLk5BU0RBUUNNOkFTTUIuSVFfVE9UQUxfUkVWLkNZMjAxNy42LzMwLzIwMTguTEZSLkYuVVNELkgBAAAAEInxBQIAAAAHOS4wMTg3NQEIAAAABQAAAAExAQAAAAoxODc3NDA3NjUwAwAAAAMxNjACAAAAAjI4BAAAAAEwBwAAAAk2LzMwLzIwMTgIAAAACjEyLzMxLzIwMTcJAAAAATDt/OCbeQPWCPHazJx5A9YIJ0NJUS5OQVNEQVFHUzpBQ0FELklR</t>
  </si>
  <si>
    <t>X0JFVEFfMllSLjYvMzAvMjAxOAEAAADBbgoAAgAAABAyLjMwMjkwNjcyMTkzODI0AOxK4Zt5A9YIZdjNnHkD1ggjQ0lRLklRVFIzNDA3MDQ4NjUuSVFfVFJfQ0xPU0VEX0RBVEUBAAAAYb5OFAUAAAAINi85LzIwMTYAseRxl3kD1gg6sNGXeQPWCCRDSVEuTkFTREFRR1M6VlZVUy5JUV9FRkZFQ1RfVEFYX1JBVEUBAAAALo4AAAMAAAACTk0BCAAAAAUAAAABMQEAAAAKMTg5OTA4MjU1MgMAAAADMTYwAgAAAAQ0Mzc2BAAAAAEwBwAAAAk4LzE2LzIwMTgIAAAACTYvMzAvMjAxOAkAAAABMDbKH5p5A9YIogzJnHkD1gg2Q0lRLk9UQ1BLOk5FWFMuSVFfVE9UQUxfREVCVC4yMDAwLjEvNS8yMDE4LkxGUi5GLlVTRC5IAQAAAB29ThQCAAAACDAuMzY3NTE3AQgAAAAFAAAAATEBAAAACjE4NjI4NjMwOTMDAAAAAzE2MAIAAAAENDE3MwQAAAABMAcAAAAIMS81LzIwMTgIAAAACTUvMzEvMjAxNwkAAAABMDIYIJp5A9YIK7LFnHkD1gglQ0lRLklRVFIyNzg4ODM3MTYuSVFfVFJfTUFKX01JTl9TVEFLRQEAAACEbZ8QAwAAAAhNYWpvcml0eQAy+HGXeQPWCNip0Jx5A9YIHkNJUS5JUTM2MTgzODE2LklRX0NPTVBBTllfTkFNRQEAAAAIHygCAwAAADJVbml0ZWQgU3RhdGVzIFRyZWFzdXJ5IENvbnN0YW50IE1hdHVyaXR5IC0gMyBNb250aACxvXGXeQPWCGw0zJd5A9YIMENJUS5OQVNEQVFDTTpSVFRSLklRX0xBU1RTQUxF</t>
  </si>
  <si>
    <t>UFJJQ0UuNi8zMC8yMDE4LlVTRAEAAAAfmrMDAgAAAAQyLjU3AC18H5p5A9YIK4vFnHkD1ggiQ0lRLklRVFIzMzAzMjQyODUuSVFfVFJfVE9UQUxfQ0FTSAEAAAA9WbATAgAAAAAANtFxl3kD1ghh/c6ceQPWCCtDSVEuSVFUUjMzMDMyNDI4NS5JUV9UUl9JTVBMSUVEX0VWX0VCSVRfRldEAQAAAD1ZsBMCAAAAAAA20XGXeQPWCOYQz5x5A9YINUNJUS5OQVNEQVFHUzpNQ1JCLklRX0NBUEVYLjIwMDAuNi8zMC8yMDE4LkxGUi5GLlVTRC5IAQAAANNiQQ0CAAAABi0zLjM4MgEIAAAABQAAAAExAQAAAAoxODg4MTA1NDUxAwAAAAMxNjACAAAABDIwMjEEAAAAATAHAAAACTYvMzAvMjAxOAgAAAAJMy8zMS8yMDE4CQAAAAEw8CPhm3kD1giDpcqceQPWCClDSVEuSVEzNjE4Mzg0MC5JUV9MQVNUU0FMRVBSSUNFLjYvMzAvMjAxOAEAAAAgHygCAgAAAAQyLjkxADqqcZd5A9YI6HTOnHkD1ggiQ0lRLklRVFIzMTg1NDIyMTAuSVFfVFJfVEFSR0VUTkFNRQEAAACCkfwSAwAAAB1Pc21vdGljYSBQaGFybWFjZXV0aWNhbCBDb3JwLgAy+HGXeQPWCNlb0Jx5A9YIQ0NJUS5UU1hWOkNPQi5VLklRX1RPVEFMX1JFVl81WVJfQU5OX0NBR1IuMjAwMC42LzMwLzIwMTguTEZSLkYuVVNELkgBAAAAv/sACAMAAAAAALi2H5p5A9YIjLvJnHkD1ggjQ0lRLklRVFIyMDg2NDA1NTMuSVFfVFJfVE9UQUxfU1RPQ0sBAAAAKZpvDAIAAAAA</t>
  </si>
  <si>
    <t>AGgLcpd5A9YI0x7RnHkD1gg4Q0lRLk5BU0RBUUNNOkFWWEwuSVFfRUJJVERBLkNZMjAxNy42LzMwLzIwMTguTEZSLkYuVVNELkgBAAAAYzjPAAMAAAAAALfdH5p5A9YImb7InHkD1gg3Q0lRLk5BU0RBUUdTOlZWVVMuSVFfUEVSSU9EREFURV9JUy4yMDAwLjYvMzAvMjAxOC5MRlIuRgEAAAAujgAABQAAAAkzLzMxLzIwMTgANsofmnkD1ggLqMmceQPWCCJDSVEuQU1FWDpTWU4uSVFfQkVUQV8xWVIuNi8zMC8yMDE4AQAAAG2wdAECAAAAEDEuODAyMjYxNDMwMzU5MjUAr3kgmnkD1ggidcaceQPWCEZDSVEuKElOVkFMSUQgSURFTlRJRklFUikuSVFfTkVUX1dPUktJTkdfQ0FQLjE5OTYuNi8zMC8yMDE4LkxGUi5GLlVTRC5IBQAAAAAAAAAIAAAAFChJbnZhbGlkIElkZW50aWZpZXIpMWYgmnkD1gg4ocSceQPWCDxDSVEuTkFTREFRQ006U0xOTy5JUV9UT1RBTF9FUVVJVFkuMTk5Ni42LzMwLzIwMTguTEZSLkYuVVNELkgBAAAA6XUmAAIAAAAGMzAuMTQ0AQgAAAAFAAAAATEBAAAACjE4ODkwNTc2MDADAAAAAzE2MAIAAAAEMTI3NQQAAAABMAcAAAAJNi8zMC8yMDE4CAAAAAkzLzMxLzIwMTcJAAAAATA18R+aeQPWCJ4kx5x5A9YIIUNJUS5JUVRSMzI1MjMzNDYxLklRX1RSX0JVWUVSTkFNRQEAAAA1q2ITAwAAAA00RCBwaGFybWEgcGxjADL4cZd5A9YI2TTQnHkD1gghQ0lRLk5BU0RBUUNNOkFWWEwuSVFfQ09N</t>
  </si>
  <si>
    <t>UEFOWV9OQU1FAQAAAGM4zwADAAAAGkFuYXZleCBMaWZlIFNjaWVuY2VzIENvcnAuAC18H5p5A9YIFvnInHkD1gg8Q0lRLk5BU0RBUUdTOkFDQUQuSVFfRUFSTklOR19DTy5DWTIwMTcuNi8zMC8yMDE4LkxGUi5GLlVTRC5IAQAAAMFuCgACAAAACC0yODkuNDAzAQgAAAAFAAAAATEBAAAACjE4NzYxMjU1NTYDAAAAAzE2MAIAAAABNwQAAAABMAcAAAAJNi8zMC8yMDE4CAAAAAoxMi8zMS8yMDE3CQAAAAEwdengm3kD1gjnxM2ceQPWCC9DSVEuSVFUUjMyNTIzMzQ2MS5JUV9UUl9UQVJHRVRfVE9UQUxfUkVWLi5VU0QuSAEAAAA1q2ITAgAAAAAAMvhxl3kD1ghXSNCceQPWCDZDSVEuQUlNOk9QVEkuSVFfRUJJVF9NQVJHSU4uMjAwMC42LzMwLzIwMTguTEZSLkYuVVNELkgBAAAAM9u1BwMAAAACTk0BCAAAAAUAAAABMQEAAAAKMTg5MTAyMjA3NgMAAAACNTUCAAAABDQwNTMEAAAAATAHAAAACTYvMzAvMjAxOAgAAAAKMTEvMzAvMjAxNwkAAAABMLfdH5p5A9YIHA/InHkD1gg4Q0lRLkFJTTpPUFRJLklRX1JFVkVOVUVfRVNULkNZMjAxOC42LzMwLzIwMTguQ09OLkYuVVNELkgBAAAAM9u1BwMAAAAAALuPH5p5A9YIGTbInHkD1gg6Q0lRLk5BU0RBUUdNOlJZVE0uSVFfVE9UQUxfREVCVC4yMDAwLjYvMzAvMjAxOC5MRlIuRi5VU0QuSAEAAAAYyW0SAgAAAAEwAQgAAAAFAAAAATEBAAAACjE4ODg5MTE0NzADAAAA</t>
  </si>
  <si>
    <t>AzE2MAIAAAAENDE3MwQAAAABMAcAAAAJNi8zMC8yMDE4CAAAAAkzLzMxLzIwMTgJAAAAATB16eCbeQPWCGmKzZx5A9YIOkNJUS5OQVNEQVFHUzpNQ1JCLklRX1RPVEFMX0RFQlQuMjAwMC42LzMwLzIwMTguTEZSLkYuVVNELkgBAAAA02JBDQIAAAABMAEIAAAABQAAAAExAQAAAAoxODg4MTA1NDUxAwAAAAMxNjACAAAABDQxNzMEAAAAATAHAAAACTYvMzAvMjAxOAgAAAAJMy8zMS8yMDE4CQAAAAEw8CPhm3kD1gh/88qceQPWCDtDSVEuTkFTREFRQ006UlRUUi5JUV9UT1RBTF9SRVYuQ1kyMDE2LjYvMzAvMjAxOC5MRlIuRi5VU0QuSAEAAAAfmrMDAwAAAAAAMhggmnkD1gitd8WceQPWCCNDSVEuSVFUUjU2MDI1MDI2Ni5JUV9UUl9DTE9TRURfREFURQEAAACavWQhBQAAAAk3LzI3LzIwMTgAsb1xl3kD1gjVzc2XeQPWCCRDSVEuTkFTREFRR006UllUTS5JUV9FRkZFQ1RfVEFYX1JBVEUBAAAAGMltEgMAAAAAAHXp4Jt5A9YIbhXNnHkD1gg1Q0lRLk5BU0RBUUNNOkFTTUIuSVFfREFfQ0YuMjAwMC42LzMwLzIwMTguTEZSLkYuVVNELkgBAAAAEInxBQIAAAAIMC4zNTUzOTUBCAAAAAUAAAABMQEAAAAKMTg4NzIzNTA3OAMAAAADMTYwAgAAAAQyMTYwBAAAAAEwBwAAAAk2LzMwLzIwMTgIAAAACTMvMzEvMjAxOAkAAAABMO384Jt5A9YI8drMnHkD1gglQ0lRLklRVFIzODQwMjg0OTYuSVFfUFJJTUFSWV9JTkRV</t>
  </si>
  <si>
    <t>U1RSWQEAAAAfTSkAAwAAAA1CaW90ZWNobm9sb2d5ADqqcZd5A9YI5hDPnHkD1gg3Q0lRLkFNRVg6U1lOLklRX0VCSVREQV9FU1QuQ1kyMDE5LjYvMzAvMjAxOC5DT04uRi5VU0QuSAEAAABtsHQBAwAAAAAANqMfmnkD1gghw8aceQPWCDpDSVEuTkFTREFRQ006U0xOTy5JUV9QUkVGX0VRVUlUWS4yMDAwLjEvNS8yMDE4LkxGUi5GLlVTRC5IAQAAAOl1JgADAAAAAAC3BCCaeQPWCCARx5x5A9YIIkNJUS5JUVRSNTQxMjgzNzAwLklRX1RSX1RPVEFMX0NBU0gBAAAAdFVDIAIAAAAAADbRcZd5A9YIYtbOnHkD1ggpQ0lRLklRVFI1NDczMzg4MTQuSVFfVFJfSU1QTElFRF9FUV9OSV9MVE0BAAAAPrqfIAIAAAAAADbRcZd5A9YI5MLOnHkD1ghGQ0lRLk5BU0RBUUNNOkFWWEwuSVFfVE9UQUxfUkVWXzVZUl9BTk5fQ0FHUi4yMDAwLjYvMzAvMjAxOC5MRlIuRi5VU0QuSAEAAABjOM8AAwAAAAAAt90fmnkD1giacMiceQPWCCVDSVEuSVFUUjMyMjQ2NzYyNS5JUV9UUl9JTVBMSUVEX0VRX0JWAQAAACl3OBMCAAAACDIuNzMzNDQzAQYAAAAFAAAAAjU0AQAAAAYxMDIwOTcCAAAACTMyMjQ2NzYyNQMAAAAJMzIyNDczNzkwBAAAAAMxNjAGAAAABUZhbHNlMvhxl3kD1ghbIdCceQPWCDNDSVEuVFNYVjpDT0IuVS5JUV9FQklUREEuMTk5Ni42LzMwLzIwMTguTEZSLkYuVVNELkgBAAAAv/sACAIAAAAILTcuMDMwNzIBCAAA</t>
  </si>
  <si>
    <t>AAUAAAABMQEAAAAKMTg4OTA2MjA2OQMAAAADMTYwAgAAAAQ0MDUxBAAAAAEwBwAAAAk2LzMwLzIwMTgIAAAACTMvMzEvMjAxNwkAAAABMLi2H5p5A9YIBh3KnHkD1gg9Q0lRLk5BU0RBUUdNOlJZVE0uSVFfRUJJVERBX01BUkdJTi4yMDAwLjYvMzAvMjAxOC5MRlIuRi5VU0QuSAEAAAAYyW0SAwAAAAAAdengm3kD1gjsT82ceQPWCDxDSVEuTkFTREFRR006UllUTS5JUV9UT1RBTF9FUVVJVFkuMTk5Mi42LzMwLzIwMTguTEZSLkYuVVNELkgBAAAAGMltEgIAAAAGMzIuMDAxAQgAAAAFAAAAATEBAAAACjE4NTkyNjA1NzUDAAAAAzE2MAIAAAAEMTI3NQQAAAABMAcAAAAJNi8zMC8yMDE4CAAAAAkzLzMxLzIwMTYJAAAAATB16eCbeQPWCOwozZx5A9YIJENJUS5UU1hWOkNPQi5VLklRX0JFVEFfMVlSLjYvMzAvMjAxOAEAAAC/+wAIAgAAAA8zLjA4NzIyNTgyNjY5MTYAr3kgmnkD1ggK9smceQPWCCtDSVEuSVFUUjMyNTIzMzQ2MS5JUV9UUl9JTVBMSUVEX0VWX0VCSVRfRldEAQAAADWrYhMCAAAAAAAy+HGXeQPWCFdI0Jx5A9YINENJUS4oSU5WQUxJRCBJREVOVElGSUVSKS5JUV9ESVZJREVORF9ZSUVMRC42LzMwLzIwMTgFAAAAAAAAAAgAAAAUKEludmFsaWQgSWRlbnRpZmllciktfB+aeQPWCDh6xJx5A9YIIkNJUS5JUVRSMzc2Nzk5MjMyLklRX1RSX1RBUkdFVE5BTUUBAAAAAIB1FgMAAAANUmVseXBzYSwg</t>
  </si>
  <si>
    <t>SW5jLgCx5HGXeQPWCOI3z5x5A9YIOENJUS5PVENQSzpORVhTLklRX0VCSVRfTUFSR0lOLjIwMDAuNi8zMC8yMDE4LkxGUi5GLlVTRC5IAQAAAB29ThQDAAAAAAAyGCCaeQPWCKjsxZx5A9YIJUNJUS5DUFNFOk5PVk8gQi5JUV9CRVRBXzVZUi42LzMwLzIwMTgBAAAAfO8EAAIAAAARMC41MTE1MzI0ODE2ODQ2MDcAaAtyl3kD1ghfHs2XeQPWCCBDSVEuSVFUUjMyNTIzMzQ2MS5JUV9UUl9FQVJOT1VUUwEAAAA1q2ITAgAAAAkxMC45MzAxNDgBBgAAAAUAAAACNTQBAAAABjEwMTQwMwIAAAAJMzI1MjMzNDYxAwAAAAkzMjUyMzc5OTAEAAAAAzE2MAYAAAAFRmFsc2Uy+HGXeQPWCFdI0Jx5A9YIQ0NJUS5OQVNEQVFDTTpBVlhMLklRX0VCSVREQV8zWVJfQU5OX0NBR1IuMjAwMC42LzMwLzIwMTguTEZSLkYuVVNELkgBAAAAYzjPAAMAAAAAALfdH5p5A9YIGF3InHkD1gg3Q0lRLk5BU0RBUUdTOk1DUkIuSVFfUEVSSU9EREFURV9JUy4yMDAwLjYvMzAvMjAxOC5MRlIuRgEAAADTYkENBQAAAAkzLzMxLzIwMTgA8CPhm3kD1gh/88qceQPWCCxDSVEuSVFUUjMxMDIyOTE4OC5JUV9UUl9UT1RBTF9HUk9TU19UVi5VU0QuSAUAAAAAAAAACAAAABooSW52YWxpZCBDdXJyZW5jeSBSZXF1ZXN0KbWWcZd5A9YI2ILQnHkD1ggsQ0lRLklRVFI1NDczMzg4MTQuSVFfVFJfVE9UQUxfR1JPU1NfVFYuVVNELkgFAAAAAAAAAAgA</t>
  </si>
  <si>
    <t>AAAaKEludmFsaWQgQ3VycmVuY3kgUmVxdWVzdCk0g3GXeQPWCGWvzpx5A9YIKUNJUS5JUVRSMjc4ODgzNzE2LklRX0JVU0lORVNTX0RFU0NSSVBUSU9OAQAAADbzBAADAAAA6gtBdmFuaXIgUGhhcm1hY2V1dGljYWxzLCBJbmMuLCB0b2dldGhlciB3aXRoIGl0cyBzdWJzaWRpYXJpZXMsIGVuZ2FnZXMgaW4gYWNxdWlyaW5nLCBkZXZlbG9waW5nLCBhbmQgY29tbWVyY2lhbGl6aW5nIG5vdmVsIHRoZXJhcGV1dGljIHByb2R1Y3RzIGZvciB0aGUgdHJlYXRtZW50IG9mIGNlbnRyYWwgbmVydm91cyBzeXN0ZW0gZGlzb3JkZXJzIHByaW1hcmlseSBpbiB0aGUgVW5pdGVkIFN0YXRlcy4gSXQgcHJpbWFyaWx5IG9mZmVycyBOVUVERVhUQSwgYSBkdWFsIE4tbWV0aHlsLUQtYXNwYXJ0YXRlIHJlY2VwdG9yIGFudGFnb25pc3QgYW5kIHNpZ21hLTEgYWdvbmlzdCBmb3IgdGhlIHRyZWF0bWVudCBvZiBwc2V1ZG9idWxiYXIgYWZmZWN0OyBhbmQgRG9jb3Nhbm9sIDEwJSBjcmVhbSwgYW4gb3Zlci10aGUtY291bnRlciBwcm9kdWN0IGZvciB0aGUgdHJlYXRtZW50IG9mIGNvbGQgc29yZXMuIFRoZSBjb21wYW55IGlzIGFsc28gaW52b2x2ZWQgaW4gUGhhc2UgSUkgY2xpbmljYWwgdHJpYWwgb2YgQVZQLTkyMyBmb3IgdGhlIHRyZWF0bWVudCBvZiBjZW50cmFsIG5ldXJvcGF0aGljIHBhaW4gaW4gcGF0aWVudHMg</t>
  </si>
  <si>
    <t>d2l0aCBtdWx0aXBsZSBzY2xlcm9zaXMsIGFnaXRhdGlvbiBpbiBwYXRpZW50cyB3aXRoIEFsemhlaW1lcuKAmXMgZGlzZWFzZSwgYW5kIGxldm9kb3BhLWluZHVjZWQtZHlza2luZXNpYSBpbiBQYXJraW5zb27igJlzIGRpc2Vhc2UuIEluIGFkZGl0aW9uLCBpdCBpcyBkZXZlbG9waW5nIEFWUC03ODYsIGEgUGhhc2UgSUkgY2xpbmljYWwgdHJpYWwgcHJvZHVjdCBmb3IgdGhlIHRyZWF0bWVudCBvZiBtYWpvciBkZXByZXNzaXZlIGRpc29yZGVyOyBhbmQgQVZQLTgyNSwgYW4gaW52ZXN0aWdhdGlvbmFsIGRydWctZGV2aWNlIGNvbWJpbmF0aW9uIHByb2R1Y3QgY29uc2lzdGluZyBvZiBsb3ctZG9zZSBzdW1hdHJpcHRhbiBwb3dkZXIgZm9yIHRoZSBhY3V0ZSB0cmVhdG1lbnQgb2YgbWlncmFpbmUuIFRoZSBjb21wYW55IGhhcyBhIGxpY2Vuc2UgYWdyZWVtZW50IHdpdGggQ29uY2VydCBQaGFybWFjZXV0aWNhbHMsIEluYy4gdG8gZGV2ZWxvcCBhbmQgY29tbWVyY2lhbGl6ZSBkZXV0ZXJpdW0tbW9kaWZpZWQgZGV4dHJvbWV0aG9ycGhhbiBmb3IgdGhlIHBvdGVudGlhbCB0cmVhdG1lbnQgb2YgbmV1cm9sb2dpYyBhbmQgcHN5Y2hpYXRyaWMgZGlzb3JkZXJzLCBhcyB3ZWxsIGFzIHJpZ2h0cyB0byBvdGhlciBkZXV0ZXJpdW0tbW9kaWZpZWQgZGV4dHJvbWV0aG9ycGhhbiBjb21wb3VuZHM7IGFuZCBh</t>
  </si>
  <si>
    <t>IGxpY2Vuc2UgYWdyZWVtZW50IHdpdGggT3B0aU5vc2UgQVMgZm9yIHRoZSBkZXZlbG9wbWVudCBhbmQgY29tbWVyY2lhbGl6YXRpb24gb2YgYSBub3ZlbCBicmVhdGggcG93ZXJlZCBpbnRyYW5hc2FsIGRlbGl2ZXJ5IHN5c3RlbSB0byB0cmVhdCBhY3V0ZSBtaWdyYWluZS4gQXZhbmlyIFBoYXJtYWNldXRpY2FscywgSW5jLiB3YXMgZm91bmRlZCBpbiAxOTg4IGFuZCBpcyBoZWFkcXVhcnRlcmVkIGluIEFsaXNvIFZpZWpvLCBDYWxpZm9ybmlhLgCxvXGXeQPWCFa90Jx5A9YIJUNJUS5JUVRSMzI1MjMzNDYxLklRX1RSX01BSl9NSU5fU1RBS0UBAAAANatiEwMAAAAITWFqb3JpdHkAMvhxl3kD1gjZNNCceQPWCCJDSVEuSVFUUjMzMDMyNDI4NS5JUV9UUl9UQVJHRVROQU1FAQAAAD1ZsBMDAAAAGEtUJkcgTGlmZSBTY2llbmNlcyBDb3JwLgA20XGXeQPWCGH9zpx5A9YIQ0NJUS5OQVNEQVFDTTpSVFRSLklRX0VCSVREQV8zWVJfQU5OX0NBR1IuMjAwMC42LzMwLzIwMTguTEZSLkYuVVNELkgBAAAAH5qzAwMAAAACTk0BCAAAAAUAAAABMQEAAAAKMTg4OTEwNDA5OAMAAAADMTYwAgAAAAQ0MjIyBAAAAAEwBwAAAAk2LzMwLzIwMTgIAAAACTMvMzEvMjAxOAkAAAABMLMrIJp5A9YIMO/EnHkD1ggkQ0lRLihJTlZBTElEIElERU5USUZJRVIpLklRX0VYQ0hBTkdFBQAAAAAAAAAIAAAAFChJbnZhbGlkIElkZW50</t>
  </si>
  <si>
    <t>aWZpZXIpLXwfmnkD1ggw78SceQPWCC5DSVEuKElOVkFMSUQgSURFTlRJRklFUikuSVFfQkVUQV81WVIuNi8zMC8yMDE4BQAAAAAAAAAIAAAAFChJbnZhbGlkIElkZW50aWZpZXIpr3kgmnkD1gg4esSceQPWCDpDSVEuQU1FWDpTWU4uSVFfTkVUX1dPUktJTkdfQ0FQLjE5OTYuNi8zMC8yMDE4LkxGUi5GLlVTRC5IAQAAAG2wdAECAAAABy0xMy4xMjIBCAAAAAUAAAABMQEAAAAKMTg4NzQwODY5NgMAAAADMTYwAgAAAAQxMzExBAAAAAEwBwAAAAk2LzMwLzIwMTgIAAAACTMvMzEvMjAxNwkAAAABMLcEIJp5A9YIo4jGnHkD1ggnQ0lRLk5BU0RBUUNNOkFWWEwuSVFfUEVSSU9EREFURV9JUy4xMDAwAQAAAGM4zwAFAAAACTkvMzAvMjAxNwA2yh+aeQPWCBb5yJx5A9YIJUNJUS5JUVRSMzc4NTg3ODIyLklRX1BSSU1BUllfSU5EVVNUUlkBAAAAwG8uEwMAAAAPUGhhcm1hY2V1dGljYWxzADqqcZd5A9YIVoXPnHkD1gg9Q0lRLk5BU0RBUUdTOlpGR04uSVFfUkVWRU5VRV9FU1QuQ1kyMDIxLjYvMzAvMjAxOC5DT04uRi5VU0QuSAEAAACXwLoBAgAAAAEwAQ4AAAAFAAAAAjExAQAAAAEwAgAAAAoxMDAyODEzNDQ3AwAAAAYxMDAxODAEAAAAATIGAAAAATAHAAAAAzE2MAgAAAABMAkAAAABMQoAAAABMAsAAAALMTA4NzM2NDI2NTcMAAAAATcNAAAACDcvMS8yMDE4EAAAAAk2LzMwLzIwMTjsSuGbeQPWCPt7y5x5A9YI</t>
  </si>
  <si>
    <t>PUNJUS5OQVNEQVFHUzpBQ0FELklRX0NBU0hfU1RfSU5WRVNULjIwMDAuMS81LzIwMTguTEZSLkYuVVNELkgBAAAAwW4KAAIAAAAHMzY2LjYyNQEIAAAABQAAAAExAQAAAAoxODY0NDY1MjA3AwAAAAMxNjACAAAABDEwMDIEAAAAATAHAAAACDEvNS8yMDE4CAAAAAk5LzMwLzIwMTcJAAAAATB16eCbeQPWCGmxzZx5A9YIOkNJUS5PVENQSzpORVhTLklRX1JFVkVOVUVfRVNULkNZMjAxOC42LzMwLzIwMTguQ09OLkYuVVNELkgBAAAAHb1OFAMAAAAAADajH5p5A9YIJifGnHkD1ggwQ0lRLkFJTTpPUFRJLklRX0RBX0NGLjIwMDAuNi8zMC8yMDE4LkxGUi5GLlVTRC5IAQAAADPbtQcCAAAACDAuMTYyMDQyAQgAAAAFAAAAATEBAAAACjE4OTEwMjIwNzYDAAAAAzE2MAIAAAAEMjE2MAQAAAABMAcAAAAJNi8zMC8yMDE4CAAAAAoxMS8zMC8yMDE3CQAAAAEwNfEfmnkD1ggZNsiceQPWCDZDSVEuTkFTREFRR1M6VllHUi5JUV9FQklUREEuMTk5Mi42LzMwLzIwMTguTEZSLkYuVVNELkgBAAAAXsxPDwIAAAAHLTIyLjI4OAEIAAAABQAAAAExAQAAAAoxODQwOTM0Njc3AwAAAAMxNjACAAAABDQwNTEEAAAAATAHAAAACTYvMzAvMjAxOAgAAAAJMy8zMS8yMDE2CQAAAAEwchDhm3kD1gj2F8yceQPWCDZDSVEuQU1FWDpTWU4uSVFfVE9UQUxfUkVWLkNZMjAxNi42LzMwLzIwMTguTEZSLkYuVVNELkgBAAAAbbB0AQMAAAAA</t>
  </si>
  <si>
    <t>ALcEIJp5A9YIotbGnHkD1ggtQ0lRLk5BU0RBUUdTOk1DUkIuSVFfRElWSURFTkRfWUlFTEQuNi8zMC8yMDE4AQAAANNiQQ0DAAAAAADx1eCbeQPWCAGSypx5A9YIOENJUS5OQVNEQVFDTTpBU01CLklRX0VCSVREQS5DWTIwMTcuNi8zMC8yMDE4LkxGUi5GLlVTRC5IAQAAABCJ8QUCAAAACi01Mi4wMDc2NTMBCAAAAAUAAAABMQEAAAAKMTg3NzQwNzY1MAMAAAADMTYwAgAAAAQ0MDUxBAAAAAEwBwAAAAk2LzMwLzIwMTgIAAAACjEyLzMxLzIwMTcJAAAAATDt/OCbeQPWCPGzzJx5A9YIKUNJUS5JUVRSMzIyNDY3NjI1LklRX1RSX0lNUExJRURfRVFfTklfTFRNAQAAACl3OBMDAAAAAk5NADL4cZd5A9YI2TTQnHkD1gguQ0lRLklRVFIzMTAyMjkxODguSVFfVFJfVEFSR0VUX1NUT0NLUFJFTUlVTV8xVwEAAADEuH0SAgAAAAAAMvhxl3kD1ghWltCceQPWCCdDSVEuTkFTREFRQ006U0xOTy5JUV9CRVRBXzVZUi42LzMwLzIwMTgBAAAA6XUmAAIAAAAQNS4wMTYwODA0Njk0MTY0OACveSCaeQPWCBw4x5x5A9YIOUNJUS5OQVNEQVFHUzpWVlVTLklRX1RPVEFMX1JFVi4xOTkyLjYvMzAvMjAxOC5MRlIuRi5VU0QuSAEAAAAujgAAAgAAAAY3OC41ODgBCAAAAAUAAAABMQEAAAAKMTg0MDY1MTk3MAMAAAADMTYwAgAAAAIyOAQAAAABMAcAAAAJNi8zMC8yMDE4CAAAAAkzLzMxLzIwMTYJAAAAATA2yh+aeQPWCImUyZx5</t>
  </si>
  <si>
    <t>A9YIIUNJUS5JUVRSMzEwMjI5MTg4LklRX1RSX0JVWUVSTkFNRQEAAADEuH0SAwAAABBOb3ZvIE5vcmRpc2sgQS9TADL4cZd5A9YI2ILQnHkD1gggQ0lRLklRVFIyNDM3NDQzMDYuSVFfVFJfRUFSTk9VVFMBAAAAMj6HDgIAAAAAAGgLcpd5A9YI0/fQnHkD1ghGQ0lRLk5BU0RBUUdTOkFDQUQuSVFfVE9UQUxfUkVWXzVZUl9BTk5fQ0FHUi4yMDAwLjYvMzAvMjAxOC5MRlIuRi5VU0QuSAEAAADBbgoAAgAAAAgxMDAuNjQwOQEIAAAABQAAAAExAQAAAAoxODg2NjI3NTM2AwAAAAMxNjACAAAABDQyMzMEAAAAATAHAAAACTYvMzAvMjAxOAgAAAAJMy8zMS8yMDE4CQAAAAEwdengm3kD1gjrnc2ceQPWCDFDSVEuQU1FWDpTWU4uSVFfRUJJVERBLjE5OTIuNi8zMC8yMDE4LkxGUi5GLlVTRC5IAQAAAG2wdAECAAAABy00My4yNTMBCAAAAAUAAAABMQEAAAAKMTg0MDA5NTI0MwMAAAADMTYwAgAAAAQ0MDUxBAAAAAEwBwAAAAk2LzMwLzIwMTgIAAAACTMvMzEvMjAxNgkAAAABMLcEIJp5A9YIIcPGnHkD1gg7Q0lRLk5BU0RBUUNNOkFWWEwuSVFfVE9UQUxfUkVWLkNZMjAxNy42LzMwLzIwMTguTEZSLkYuVVNELkgBAAAAYzjPAAMAAAAAALfdH5p5A9YIleXInHkD1ggrQ0lRLklRVFI1NDczMzg4MTQuSVFfVFJfVE9UQUxfR1JPU1NfVFYuLlVTRAEAAAA+up8gAgAAAAAANtFxl3kD1gjkws6ceQPWCCJDSVEuSVFUUjM0</t>
  </si>
  <si>
    <t>MDcwNDg2NS5JUV9UUl9UQVJHRVROQU1FAQAAAGG+ThQDAAAATk5leHVzIEJpb1BoYXJtYSwgSW5jLiBQcmlvciB0byBSZXZlcnNlIG1lcmdlciB3aXRoIE5leHVzIEJpb1BoYXJtYSBDb3Jwb3JhdGlvbgCx5HGXeQPWCOHmz5x5A9YIKUNJUS5JUVRSMzMwMzI0Mjg1LklRX0JVU0lORVNTX0RFU0NSSVBUSU9OAQAAAFJ6tAQDAAAApAhLVCZHIExpZmUgU2NpZW5jZXMgQ29ycC4gZGV2ZWxvcHMgdGhlcmFwZXV0aWMgc29sdXRpb25zIGZvY3VzaW5nIG9uIGhhcmQtdG8tY3VyZSBkaXNlYXNlIGFyZWFzIG9mIGRlZ2VuZXJhdGl2ZSwgbWV0YWJvbGljLCBjYXJkaW92YXNjdWxhciwgYW5kIGNhbmNlciBkaXNlYXNlcy4gSXRzIG1lZGljaW5lcyBhY3QgZGlyZWN0bHkgb24gbWV0YWJvbGlzbSwgYW50aS1hZ2luZywgaW5uYXRlIGltbXVuaXR5LCBpbW11bmUgZGVmZW5zZSBzeXN0ZW0sIGFuZCBub3JtYWxpemluZyB0aGUgYm9keSBmdW5jdGlvbi4gVGhlIGNvbXBhbnnigJlzIHBpcGVsaW5lIGluY2x1ZGVzIHZhcmlvdXMgZHJ1ZyBjYW5kaWRhdGUgc3Vic3RhbmNlcywgaW5jbHVkaW5nIEtUJkcxMDEgZm9yIHRoZSBhdG9waWMgZGVybWF0aXRpcyBpbmRpY2F0aW9uOyBNQjEyMDY2IGZvciBub24tYWxjb2hvbGljIGZhdHR5IGxpdmVyIGRpc2Vhc2UsIG1ldGFib2xpYyBkaXNlYXNlLCBhbmQgbWFjdWxhciBk</t>
  </si>
  <si>
    <t>ZWdlbmVyYXRpb24gaW5kaWNhdGlvbnM7IEtMNzAxNiBmb3IgdGhlIGRyeSBleWUgc3luZHJvbWUgaW5kaWNhdGlvbjsgTUIxMTA1NSBmb3Igb2Jlc2l0eTsgTUIxMTA0MCBmb3IgYW50aS1jYW5jZXIgYW5kIG1lbm9wYXVzZSBkaXNvcmRlcnM7IE1CMTEzMTkgZm9yIHByb3N0YXRpdGlzOyBhbmQgZGlldGFyeSBzdXBwbGVtZW50cyBmb3IgYXJ0aHJpdGlzL21vaXN0dXJpemF0aW9uIGFuZCBjYWxjaXVtL2ZlcnJvdXMgc3VwcGxlbWVudCBpbmRpY2F0aW9ucy4gS1QmRyBMaWZlIFNjaWVuY2VzIENvcnAuIHdhcyBmb3JtZXJseSBrbm93biBhcyBNRCBCaW9BbHBoYSBDby4sIEx0ZC4gYW5kIGNoYW5nZWQgaXRzIG5hbWUgdG8gS1QmRyBMaWZlIFNjaWVuY2VzIENvcnAuIGluIERlY2VtYmVyIDIwMTEuIFRoZSBjb21wYW55IHdhcyBmb3VuZGVkIGluIDIwMDIgYW5kIGlzIGJhc2VkIGluIFN1d29uLCBTb3V0aCBLb3JlYS4gQXMgb2YgSmFudWFyeSAxMywgMjAxNywgS1QmRyBMaWZlIFNjaWVuY2VzIENvcnAuIG9wZXJhdGVzIGFzIGEgc3Vic2lkaWFyeSBvZiBZdW5namluIFBoYXJtLiBDby4sIEx0ZC4uALG9cZd5A9YI5hDPnHkD1gg2Q0lRLk5BU0RBUUdNOlJZVE0uSVFfRUJJVERBLjE5OTYuNi8zMC8yMDE4LkxGUi5GLlVTRC5IAQAAABjJbRIDAAAAAAB16eCbeQPWCOt2zZx5A9YII0NJUS5JUVRSMzIy</t>
  </si>
  <si>
    <t>NDY3NjI1LklRX1RSX1RPVEFMX1NUT0NLAQAAACl3OBMCAAAAAAAy+HGXeQPWCFsh0Jx5A9YILENJUS5JUVRSMzc2Nzk5MjMyLklRX1RSX1RBUkdFVF9FQklUREEuLlVTRC5IAQAAAACAdRYCAAAACC0yMjguNTU4AQYAAAAFAAAAAjM3AQAAAAoxODAxNzk0ODI4AgAAAAUyMTY3NwMAAAADMTYwBAAAAAEwBwAAAAgxLzEvMTkwMLHkcZd5A9YI2UrPnHkD1ghDQ0lRLihJTlZBTElEIElERU5USUZJRVIpLklRX0VCSVREQV9FU1QuQ1kyMDE4LjYvMzAvMjAxOC5DT04uRi5VU0QuSAUAAAAAAAAACAAAABQoSW52YWxpZCBJZGVudGlmaWVyKbi2H5p5A9YIs7TEnHkD1gg8Q0lRLk5BU0RBUUNNOlJUVFIuSVFfRUJJVERBX0VTVC5DWTIwMTkuNi8zMC8yMDE4LkNPTi5GLlVTRC5IAQAAAB+aswMDAAAAAAA2ox+aeQPWCK5QxZx5A9YIOkNJUS5OQVNEQVFDTTpTTE5PLklRX0VBUk5JTkdfQ08uMjAwMC42LzMwLzIwMTguTEZSLkYuVVNELkgBAAAA6XUmAAIAAAAJLTEzLjI2OTg1AQgAAAAFAAAAATEBAAAACjE4ODkwNTc2MDYDAAAAAzE2MAIAAAABNwQAAAABMAcAAAAJNi8zMC8yMDE4CAAAAAkzLzMxLzIwMTgJAAAAATA18R+aeQPWCBw4x5x5A9YIIUNJUS5JUVRSMzMwMzI0Mjg1LklRX1RSX0JVWUVSTkFNRQEAAAA9WbATAwAAABhZdW5namluIFBoYXJtLiBDby4sIEx0ZC4ANtFxl3kD1gjq6c6ceQPWCCVDSVEuQ1BT</t>
  </si>
  <si>
    <t>RTpOT1ZPIEIuSVFfQkVUQV8xWVIuNi8zMC8yMDE4AQAAAHzvBAACAAAAETAuNTQzODQyNjAwNDY2MDE5AGgLcpd5A9YIXx7Nl3kD1gg4Q0lRLk5BU0RBUUdTOlZZR1IuSVFfRUJJVERBLkNZMjAxNi42LzMwLzIwMTguTEZSLkYuVVNELkgBAAAAXsxPDwIAAAAHLTQwLjY4NwEIAAAABQAAAAExAQAAAAoxODc4MzI2NTIyAwAAAAMxNjACAAAABDQwNTEEAAAAATAHAAAACTYvMzAvMjAxOAgAAAAKMTIvMzEvMjAxNgkAAAABMHIQ4Zt5A9YI9hfMnHkD1gg4Q0lRLk5BU0RBUUNNOlJUVFIuSVFfRUJJVERBLkNZMjAxNy42LzMwLzIwMTguTEZSLkYuVVNELkgBAAAAH5qzAwIAAAAJLTcuODk2NzM4AQgAAAAFAAAAATEBAAAACjE4Nzg5ODI4MzMDAAAAAzE2MAIAAAAENDA1MQQAAAABMAcAAAAJNi8zMC8yMDE4CAAAAAoxMi8zMS8yMDE3CQAAAAEwMhggmnkD1giuUMWceQPWCEZDSVEuTkFTREFRQ006QVNNQi5JUV9NSU5PUklUWV9JTlRFUkVTVF9UT1RBTC4yMDAwLjEvNS8yMDE4LkxGUi5GLlVTRC5IAQAAABCJ8QUDAAAAAADt/OCbeQPWCPVlzJx5A9YIPUNJUS5OQVNEQVFDTTpSVFRSLklRX0NBU0hfU1RfSU5WRVNULjIwMDAuMS81LzIwMTguTEZSLkYuVVNELkgBAAAAH5qzAwIAAAAIMy41NTg4NzQBCAAAAAUAAAABMQEAAAAKMTg2MzI4MDQ1MAMAAAADMTYwAgAAAAQxMDAyBAAAAAEwBwAAAAgxLzUvMjAxOAgA</t>
  </si>
  <si>
    <t>AAAJOS8zMC8yMDE3CQAAAAEwsysgmnkD1giyAsWceQPWCDZDSVEuQU1FWDpTWU4uSVFfUFJFRl9FUVVJVFkuMjAwMC42LzMwLzIwMTguTEZSLkYuVVNELkgBAAAAbbB0AQIAAAAGMTIuMTEyAQgAAAAFAAAAATEBAAAACjE4ODc0MDg3MjYDAAAAAzE2MAIAAAAEMTAwNQQAAAABMAcAAAAJNi8zMC8yMDE4CAAAAAkzLzMxLzIwMTgJAAAAATC3BCCaeQPWCCDqxpx5A9YINENJUS4oSU5WQUxJRCBJREVOVElGSUVSKS5JUV9NQVJLRVRDQVAuMS81LzIwMTguVVNELkgFAAAAAAAAAAgAAAAUKEludmFsaWQgSWRlbnRpZmllcim7jx+aeQPWCLRmxJx5A9YIPENJUS5PVENQSzpORVhTLklRX05FVF9XT1JLSU5HX0NBUC4xOTkyLjYvMzAvMjAxOC5MRlIuRi5VU0QuSAEAAAAdvU4UAwAAAAAAMhggmnkD1gio7MWceQPWCD1DSVEuTkFTREFRR1M6QUNBRC5JUV9SRVZFTlVFX0VTVC5DWTIwMjAuNi8zMC8yMDE4LkNPTi5GLlVTRC5IAQAAAMFuCgACAAAABjc4OC4wMgEOAAAABQAAAAIxMQEAAAABMAIAAAAKMTAwMTU1NzU4NwMAAAAGMTAwMTgwBAAAAAEyBgAAAAEwBwAAAAMxNjAIAAAAATAJAAAAATEKAAAAATALAAAACzEwODY4NzM3MjUzDAAAAAE3DQAAAAg3LzEvMjAxOBAAAAAJNi8zMC8yMDE4bjfhm3kD1gjpJs6ceQPWCD1DSVEuTkFTREFRQ006U0xOTy5JUV9SRVZFTlVFX0VTVC5DWTIwMjEuNi8zMC8yMDE4LkNP</t>
  </si>
  <si>
    <t>Ti5GLlVTRC5IAQAAAOl1JgACAAAABTIwLjIxAQ4AAAAFAAAAAjExAQAAAAEwAgAAAAoxMDAzMDM0MjA0AwAAAAYxMDAxODAEAAAAATIGAAAAATAHAAAAAzE2MAgAAAABMAkAAAABMQoAAAABMAsAAAALMTA5Mzc2NzE5NTAMAAAAATcNAAAACDcvMS8yMDE4EAAAAAk2LzMwLzIwMTg2ox+aeQPWCJpyx5x5A9YIPENJUS4oSU5WQUxJRCBJREVOVElGSUVSKS5JUV9DQVBFWC4xOTk2LjYvMzAvMjAxOC5MRlIuRi5VU0QuSAUAAAAAAAAACAAAABQoSW52YWxpZCBJZGVudGlmaWVyKTFmIJp5A9YIwI3EnHkD1gg8Q0lRLk5BU0RBUUdTOkFDQUQuSVFfRUJJVERBX0VTVC5DWTIwMjAuNi8zMC8yMDE4LkNPTi5GLlVTRC5IAQAAAMFuCgACAAAABjE1OS4wOAEOAAAABQAAAAIxMQEAAAABMAIAAAAKMTAwMTU1NzU4NwMAAAAGMTAwMTg3BAAAAAEyBgAAAAEwBwAAAAMxNjAIAAAAATAJAAAAATEKAAAAATALAAAACzEwODY5MjQ4MTUwDAAAAAE3DQAAAAg3LzEvMjAxOBAAAAAJNi8zMC8yMDE4bjfhm3kD1ghrE86ceQPWCCBDSVEuSVEzNjE4MzgxNi5JUV9MQVNUU0FMRVBSSUNFLgEAAAAIHygCAgAAAAQyLjA3APHV4Jt5A9YI8dXgm3kD1ggrQ0lRLklRVFIyMDg2NDA1NTMuSVFfVFJfVE9UQUxfR1JPU1NfVFYuLlVTRAEAAAApmm8MAgAAAAo0MjMuNDc0NzY1AQYAAAAFAAAAAjU0AQAAAAYxMDIwODgCAAAACTIwODY0MDU1</t>
  </si>
  <si>
    <t>MwMAAAAJMjA4NjQ0Njc4BAAAAAMxNjAGAAAABUZhbHNlaAtyl3kD1ghRMtGceQPWCCBDSVEuQUlNOk9QVEkuSVFfRklSU1RQUklDSU5HREFURQEAAAAz27UHBQAAAAg4LzUvMjAxNAC7jx+aeQPWCJpJyJx5A9YILENJUS5DUFNFOk5PVk8gQi5JUV9NQVJLRVRDQVAuNi8zMC8yMDE4LlVTRC5IAQAAAHzvBAACAAAADTExMjE5NC41MDk5NTYBBgAAAAUAAAABMQEAAAAKMTg5MjYyMzA0NAMAAAADMTYwAgAAAAYxMDAwNTQEAAAAATAHAAAACTYvMzAvMjAxODqqcZd5A9YIXx7Nl3kD1ggjQ0lRLklRVFIzMTAyMjkxODguSVFfVFJfVE9UQUxfU1RPQ0sBAAAAxLh9EgIAAAAAADL4cZd5A9YI2ILQnHkD1gghQ0lRLklRVFIzNDA3MDQ4NjUuSVFfVFJfQlVZRVJOQU1FAQAAAGG+ThQDAAAAN05leHVzIEJpb1BoYXJtYSBDb3Jwb3JhdGlvbiAobmthOk5leHVzIEJpb1BoYXJtYSwgSW5jLikAseRxl3kD1gjh5s+ceQPWCENDSVEuKElOVkFMSUQgSURFTlRJRklFUikuSVFfVE9UQUxfRVFVSVRZLjE5OTIuNi8zMC8yMDE4LkxGUi5GLlVTRC5IBQAAAAAAAAAIAAAAFChJbnZhbGlkIElkZW50aWZpZXIpMWYgmnkD1gi0ZsSceQPWCChDSVEuTkFTREFRQ006UlRUUi5JUV9URVYuNi8zMC8yMDE4LlVTRC5IAQAAAB+aswMCAAAACS0xLjA2NzU4OAEGAAAABQAAAAExAQAAAAoxODg5MTAzNjYxAwAAAAMxNjACAAAABjEwMDA2</t>
  </si>
  <si>
    <t>MAQAAAABMAcAAAAJNi8zMC8yMDE4u48fmnkD1ggri8WceQPWCDxDSVEuTkFTREFRR1M6VllHUi5JUV9FQVJOSU5HX0NPLkNZMjAxNy42LzMwLzIwMTguTEZSLkYuVVNELkgBAAAAXsxPDwIAAAAHLTcwLjY5OAEIAAAABQAAAAExAQAAAAoxODc4MzI2NTY4AwAAAAMxNjACAAAAATcEAAAAATAHAAAACTYvMzAvMjAxOAgAAAAKMTIvMzEvMjAxNwkAAAABMHIQ4Zt5A9YIed3LnHkD1ggrQ0lRLklRVFIzNzg1ODc4MjIuSVFfVFJfSU1QTElFRF9FVl9FQklUX0ZXRAEAAACuypAWAgAAAAAAseRxl3kD1ghWrM+ceQPWCEBDSVEuT1RDUEs6TkVYUy5JUV9FQklUREFfMllSX0FOTl9DQUdSLjIwMDAuNi8zMC8yMDE4LkxGUi5GLlVTRC5IAQAAAB29ThQDAAAAAAAyGCCaeQPWCK2exZx5A9YIIUNJUS5OQVNEQVFHTTpSWVRNLklRX0NPTVBBTllfTkFNRQEAAAAYyW0SAwAAABxSaHl0aG0gUGhhcm1hY2V1dGljYWxzLCBJbmMuAPHV4Jt5A9YI653NnHkD1gglQ0lRLklRVFIyNzI3NzYzMzguSVFfVFJfTUFKX01JTl9TVEFLRQEAAACSPEIQAwAAAAhNYWpvcml0eQBoC3KXeQPWCNTQ0Jx5A9YILENJUS5JUVRSMzMwMzI0Mjg1LklRX1RSX1RPVEFMX0dST1NTX1RWLlVTRC5IBQAAAAAAAAAIAAAAGihJbnZhbGlkIEN1cnJlbmN5IFJlcXVlc3QpNINxl3kD1ghh/c6ceQPWCDxDSVEuTkFTREFRR1M6VlZVUy5JUV9FQklUREFf</t>
  </si>
  <si>
    <t>RVNULkNZMjAyMC42LzMwLzIwMTguQ09OLkYuVVNELkgBAAAALo4AAAMAAAAAALuPH5p5A9YIElrJnHkD1gg7Q0lRLk5BU0RBUUNNOkFWWEwuSVFfVE9UQUxfUkVWLkNZMjAxNi42LzMwLzIwMTguTEZSLkYuVVNELkgBAAAAYzjPAAMAAAAAALfdH5p5A9YIE9LInHkD1gg4Q0lRLlRTWFY6Q09CLlUuSVFfRUJJVF9NQVJHSU4uMjAwMC42LzMwLzIwMTguTEZSLkYuVVNELkgBAAAAv/sACAMAAAAAALi2H5p5A9YIiAnKnHkD1gg+Q0lRLk5BU0RBUUNNOkFTTUIuSVFfVE9UQUxfRVFVSVRZLkNZMjAxNy42LzMwLzIwMTguTEZSLkYuVVNELkgBAAAAEInxBQIAAAAKMTEzLjExOTc2OQEIAAAABQAAAAExAQAAAAoxODc3NDA3NjUwAwAAAAMxNjACAAAABDEyNzUEAAAAATAHAAAACTYvMzAvMjAxOAgAAAAKMTIvMzEvMjAxNwkAAAABMO384Jt5A9YI9WXMnHkD1gghQ0lRLklRVFIyNDM3NDQzMDYuSVFfVFJfQlVZRVJOQU1FAQAAADI+hw4DAAAAKVBlcnJpZ28gQ29tcGFueSAobmthOlBlcnJpZ28gQ29tcGFueSBwbGMpAGgLcpd5A9YI0/fQnHkD1gg1Q0lRLlRTWFY6Q09CLlUuSVFfRUJJVERBLkNZMjAxNy42LzMwLzIwMTguTEZSLkYuVVNELkgBAAAAv/sACAIAAAAILTkuODAxNzIBCAAAAAUAAAABMQEAAAAKMTg4MTE3MjU4MAMAAAADMTYwAgAAAAQ0MDUxBAAAAAEwBwAAAAk2LzMwLzIwMTgIAAAACjEyLzMxLzIw</t>
  </si>
  <si>
    <t>MTcJAAAAATC4th+aeQPWCAYdypx5A9YIJ0NJUS5OQVNEQVFDTTpSVFRSLklRX0JFVEFfMVlSLjYvMzAvMjAxOAEAAAAfmrMDAgAAABAxLjgwNDM1ODMxNzc3Nzk4AK95IJp5A9YIrinFnHkD1ghDQ0lRLk5BU0RBUUdNOlJZVE0uSVFfRUJJVERBXzVZUl9BTk5fQ0FHUi4yMDAwLjYvMzAvMjAxOC5MRlIuRi5VU0QuSAEAAAAYyW0SAwAAAAAA7fzgm3kD1ghv7syceQPWCD1DSVEuKElOVkFMSUQgSURFTlRJRklFUikuSVFfRUJJVERBLjE5OTIuNi8zMC8yMDE4LkxGUi5GLlVTRC5IBQAAAAAAAAAIAAAAFChJbnZhbGlkIElkZW50aWZpZXIpr1IgmnkD1ggxyMSceQPWCDNDSVEuVFNYVjpDT0IuVS5JUV9FQklUREEuMTk5Mi42LzMwLzIwMTguTEZSLkYuVVNELkgBAAAAv/sACAIAAAAJLTQuMjY5MTM3AQgAAAAFAAAAATEBAAAACjE4NDI3NTg4MTADAAAAAzE2MAIAAAAENDA1MQQAAAABMAcAAAAJNi8zMC8yMDE4CAAAAAkzLzMxLzIwMTYJAAAAATC4th+aeQPWCAYdypx5A9YIP0NJUS5OQVNEQVFDTTpTTE5PLklRX05FVF9XT1JLSU5HX0NBUC4xOTkyLjYvMzAvMjAxOC5MRlIuRi5VU0QuSAEAAADpdSYAAgAAAAYtMS40ODgBCAAAAAUAAAABMQEAAAAKMTg0MTgzODIwNAMAAAADMTYwAgAAAAQxMzExBAAAAAEwBwAAAAk2LzMwLzIwMTgIAAAACTMvMzEvMjAxNgkAAAABMDXxH5p5A9YInkvHnHkD1ggoQ0lRLk5B</t>
  </si>
  <si>
    <t>U0RBUUNNOlNMTk8uSVFfVEVWLjYvMzAvMjAxOC5VU0QuSAEAAADpdSYAAgAAAAkzMS4zOTE5OTcBBgAAAAUAAAABMQEAAAAKMTg4OTA1NzE3NQMAAAADMTYwAgAAAAYxMDAwNjAEAAAAATAHAAAACTYvMzAvMjAxOC18H5p5A9YIIZrHnHkD1gghQ0lRLklRVFIzNzY3OTkyMzIuSVFfVFJfQlVZRVJOQU1FAQAAAACAdRYDAAAAEVZpZm9yIFBoYXJtYSBMdGQuALHkcZd5A9YI4jfPnHkD1gg5Q0lRLk9UQ1BLOk5FWFMuSVFfVE9UQUxfRVFVSVRZLjIwMDAuNi8zMC8yMDE4LkxGUi5GLlVTRC5IAQAAAB29ThQCAAAACS0xLjg0OTE5NQEIAAAABQAAAAExAQAAAAoxODYyODYzMDkzAwAAAAMxNjACAAAABDEyNzUEAAAAATAHAAAACTYvMzAvMjAxOAgAAAAJNS8zMS8yMDE3CQAAAAEwMhggmnkD1gipxcWceQPWCDZDSVEuT1RDUEs6TkVYUy5JUV9UT1RBTF9SRVYuMTk5Mi42LzMwLzIwMTguTEZSLkYuVVNELkgBAAAAHb1OFAMAAAAAADIYIJp5A9YIJifGnHkD1gg+Q0lRLk5BU0RBUUdNOlJZVE0uSVFfVE9UQUxfRVFVSVRZLkNZMjAxNy42LzMwLzIwMTguTEZSLkYuVVNELkgBAAAAGMltEgIAAAAHMTQ0Ljc4OAEIAAAABQAAAAExAQAAAAoxODkzOTA1OTYxAwAAAAMxNjACAAAABDEyNzUEAAAAATAHAAAACTYvMzAvMjAxOAgAAAAKMTIvMzEvMjAxNwkAAAABMHXp4Jt5A9YIbhXNnHkD1gglQ0lRLklRVFIyMDg2NDA1</t>
  </si>
  <si>
    <t>NTMuSVFfUFJJTUFSWV9JTkRVU1RSWQEAAACnx1ABAwAAAA1CaW90ZWNobm9sb2d5ADqqcZd5A9YI0x7RnHkD1gguQ0lRLk5BU0RBUUNNOkFWWEwuSVFfTUFSS0VUQ0FQLjYvMzAvMjAxOC5VU0QuSAEAAABjOM8AAgAAAAoxMTcuMDA5MzYyAQYAAAAFAAAAATEBAAAACjE4ODg1MDM2MjcDAAAAAzE2MAIAAAAGMTAwMDU0BAAAAAEwBwAAAAk2LzMwLzIwMTgtfB+aeQPWCBb5yJx5A9YIO0NJUS5OQVNEQVFHTTpSWVRNLklRX1BSRUZfRVFVSVRZLjIwMDAuNi8zMC8yMDE4LkxGUi5GLlVTRC5IAQAAABjJbRIDAAAAAAB16eCbeQPWCGmKzZx5A9YIN0NJUS5BTUVYOlNZTi5JUV9UT1RBTF9FUVVJVFkuMTk5Ni42LzMwLzIwMTguTEZSLkYuVVNELkgBAAAAbbB0AQIAAAAFMC43NjEBCAAAAAUAAAABMQEAAAAKMTg4NzQwODY5NgMAAAADMTYwAgAAAAQxMjc1BAAAAAEwBwAAAAk2LzMwLzIwMTgIAAAACTMvMzEvMjAxNwkAAAABMLcEIJp5A9YIpGHGnHkD1ghDQ0lRLk5BU0RBUUNNOkFTTUIuSVFfRUJJVERBXzNZUl9BTk5fQ0FHUi4yMDAwLjYvMzAvMjAxOC5MRlIuRi5VU0QuSAEAAAAQifEFAwAAAAJOTQEIAAAABQAAAAExAQAAAAoxODg3MjM1MDc4AwAAAAMxNjACAAAABDQyMjIEAAAAATAHAAAACTYvMzAvMjAxOAgAAAAJMy8zMS8yMDE4CQAAAAEw7fzgm3kD1gh3UsyceQPWCENDSVEuTkFTREFRR1M6WkZHTi5J</t>
  </si>
  <si>
    <t>UV9FQklUREFfMllSX0FOTl9DQUdSLjIwMDAuNi8zMC8yMDE4LkxGUi5GLlVTRC5IAQAAAJfAugEDAAAAAk5NAQgAAAAFAAAAATEBAAAACjE4ODk4OTUzODEDAAAAAzE2MAIAAAAENDIwOQQAAAABMAcAAAAJNi8zMC8yMDE4CAAAAAkzLzMxLzIwMTgJAAAAATDwI+GbeQPWCAAHy5x5A9YIPENJUS5OQVNEQVFDTTpBU01CLklRX1RPVEFMX0VRVUlUWS4yMDAwLjYvMzAvMjAxOC5MRlIuRi5VU0QuSAEAAAAQifEFAgAAAAoxMDIuMzgxMjQ5AQgAAAAFAAAAATEBAAAACjE4ODcyMzUwNzgDAAAAAzE2MAIAAAAEMTI3NQQAAAABMAcAAAAJNi8zMC8yMDE4CAAAAAkzLzMxLzIwMTgJAAAAATDt/OCbeQPWCHN5zJx5A9YIJUNJUS5UU1hWOkNPQi5VLklRX1RFVi42LzMwLzIwMTguVVNELkgBAAAAv/sACAIAAAAJMjA0Ljc2Mjk2AQYAAAAFAAAAATEBAAAACjE4ODkwNjE4NDEDAAAAAzE2MAIAAAAGMTAwMDYwBAAAAAEwBwAAAAk2LzMwLzIwMTjx1eCbeQPWCAZEypx5A9YIJUNJUS5JUVRSMzE4NTQyMjEwLklRX1RSX01BSl9NSU5fU1RBS0UBAAAAgpH8EgMAAAAITWFqb3JpdHkAMvhxl3kD1gjZW9CceQPWCDdDSVEuQUlNOk9QVEkuSVFfVE9UQUxfRVFVSVRZLjIwMDAuNi8zMC8yMDE4LkxGUi5GLlVTRC5IAQAAADPbtQcCAAAACDkuNTE2ODY1AQgAAAAFAAAAATEBAAAACjE4OTEwMjIwNzYDAAAAAzE2MAIAAAAEMTI3</t>
  </si>
  <si>
    <t>NQQAAAABMAcAAAAJNi8zMC8yMDE4CAAAAAoxMS8zMC8yMDE3CQAAAAEwNfEfmnkD1gil1MeceQPWCDBDSVEuQUlNOk9QVEkuSVFfQ0FQRVguMTk5Ni42LzMwLzIwMTguTEZSLkYuVVNELkgBAAAAM9u1BwIAAAAJLTAuMDEzMTc0AQgAAAAFAAAAATEBAAAACjE4OTEwMjIwNTMDAAAAAzE2MAIAAAAEMjAyMQQAAAABMAcAAAAJNi8zMC8yMDE4CAAAAAoxMS8zMC8yMDE2CQAAAAEwNfEfmnkD1ggd6MeceQPWCEFDSVEuKElOVkFMSUQgSURFTlRJRklFUikuSVFfRUFSTklOR19DTy4yMDAwLjYvMzAvMjAxOC5MRlIuRi5VU0QuSAUAAAAAAAAACAAAABQoSW52YWxpZCBJZGVudGlmaWVyKTFmIJp5A9YIOHrEnHkD1ggnQ0lRLk5BU0RBUUdTOkFDQUQuSVFfUEVSSU9EREFURV9JUy4xMDAwAQAAAMFuCgAFAAAACjEyLzMxLzIwMTcA8dXgm3kD1gjoTc6ceQPWCDxDSVEuTkFTREFRR1M6WkZHTi5JUV9FQklUREFfRVNULkNZMjAxOS42LzMwLzIwMTguQ09OLkYuVVNELkgBAAAAl8C6AQMAAAAAAOxK4Zt5A9YIemjLnHkD1gg6Q0lRLkFJTTpPUFRJLklRX05FVF9XT1JLSU5HX0NBUC4xOTkyLjYvMzAvMjAxOC5MRlIuRi5VU0QuSAEAAAAz27UHAgAAAAgwLjA4NTQ1OAEIAAAABQAAAAExAQAAAAoxODM5ODA0MzMzAwAAAAMxNjACAAAABDEzMTEEAAAAATAHAAAACTYvMzAvMjAxOAgAAAAKMTEvMzAvMjAxNQkAAAABMDXx</t>
  </si>
  <si>
    <t>H5p5A9YInvvHnHkD1ggjQ0lRLklRVFI1NDczMzg4MTQuSVFfVFJfVE9UQUxfU1RPQ0sBAAAAPrqfIAIAAAAAADbRcZd5A9YIZa/OnHkD1gg9Q0lRLk5BU0RBUUdTOlpGR04uSVFfQ0FTSF9TVF9JTlZFU1QuMjAwMC4xLzUvMjAxOC5MRlIuRi5VU0QuSAEAAACXwLoBAgAAAAU5My4xOAEIAAAABQAAAAExAQAAAAoxODY1NDY4MTI3AwAAAAMxNjACAAAABDEwMDIEAAAAATAHAAAACDEvNS8yMDE4CAAAAAk5LzMwLzIwMTcJAAAAATDwI+GbeQPWCIEay5x5A9YIO0NJUS5OQVNEQVFHUzpWWUdSLklRX1RPVEFMX1JFVi5DWTIwMTYuNi8zMC8yMDE4LkxGUi5GLlVTRC5IAQAAAF7MTw8CAAAABTE0LjIyAQgAAAAFAAAAATEBAAAACjE4NzgzMjY1MjIDAAAAAzE2MAIAAAACMjgEAAAAATAHAAAACTYvMzAvMjAxOAgAAAAKMTIvMzEvMjAxNgkAAAABMHIQ4Zt5A9YIdCvMnHkD1gg4Q0lRLlRTWFY6Q09CLlUuSVFfVE9UQUxfUkVWLkNZMjAxNy42LzMwLzIwMTguTEZSLkYuVVNELkgBAAAAv/sACAMAAAAAALi2H5p5A9YIiDDKnHkD1gg7Q0lRLk5BU0RBUUNNOlJUVFIuSVFfUFJFRl9FUVVJVFkuMjAwMC42LzMwLzIwMTguTEZSLkYuVVNELkgBAAAAH5qzAwIAAAAINC45NDg5ODEBCAAAAAUAAAABMQEAAAAKMTg4OTEwNDA5OAMAAAADMTYwAgAAAAQxMDA1BAAAAAEwBwAAAAk2LzMwLzIwMTgIAAAACTMvMzEvMjAxOAkA</t>
  </si>
  <si>
    <t>AAABMDIYIJp5A9YIK4vFnHkD1gglQ0lRLk5BU0RBUUdTOlZWVVMuSVFfRklSU1RQUklDSU5HREFURQEAAAAujgAABQAAAAg0LzcvMTk5NAC7jx+aeQPWCAuoyZx5A9YINkNJUS5OQVNEQVFHUzpWVlVTLklRX0VCSVREQS4xOTk2LjYvMzAvMjAxOC5MRlIuRi5VU0QuSAEAAAAujgAAAgAAAAY2OC40OTEBCAAAAAUAAAABMQEAAAAKMTg4NzQ0NDMyNAMAAAADMTYwAgAAAAQ0MDUxBAAAAAEwBwAAAAk2LzMwLzIwMTgIAAAACTMvMzEvMjAxNwkAAAABMDbKH5p5A9YIC4HJnHkD1ggpQ0lRLklRVFI1NDczMzg4MTQuSVFfQlVTSU5FU1NfREVTQ1JJUFRJT04BAAAAbwadGAMAAACWAkFzIG9mIERlY2VtYmVyIDE5LCAyMDE3LCBSb25kaW54IEx0ZCB3YXMgYWNxdWlyZWQgYnkgQmlvbVggTHRkLiBSb25kaW54IEx0ZCBvcGVyYXRlcyBhcyBhIGJpb3RlY2hub2xvZ3kgY29tcGFueSB0aGF0IGRldmVsb3BzIGEgcGxhdGZvcm0gdG8gZGlzY292ZXIgbWljcm9iaW9tZS1yZWxhdGVkIHRhcmdldHMsIGRydWdzLCBhbmQgY29tcGFuaW9uIGRpYWdub3N0aWNzLiBUaGUgY29tcGFueSB3YXMgZm91bmRlZCBpbiAyMDE1IGFuZCBpcyBiYXNlZCBpbiBUZWwgQXZpdiwgSXNyYWVsLg0KALG9cZd5A9YI5MLOnHkD1ggeQ0lRLklRMzYxODM4NDAuSVFfQ09NUEFOWV9OQU1FAQAAACAfKAIDAAAAMlVuaXRlZCBTdGF0ZXMgVHJl</t>
  </si>
  <si>
    <t>YXN1cnkgQ29uc3RhbnQgTWF0dXJpdHkgLSAyMCBZZWFyALG9cZd5A9YIbA3Ml3kD1gglQ0lRLk5BU0RBUUdTOlZZR1IuSVFfRklSU1RQUklDSU5HREFURQEAAABezE8PBQAAAAoxMS8xMS8yMDE1APHV4Jt5A9YId1LMnHkD1ggzQ0lRLk9UQ1BLOk5FWFMuSVFfRUJJVERBLjE5OTIuNi8zMC8yMDE4LkxGUi5GLlVTRC5IAQAAAB29ThQDAAAAAAAyGCCaeQPWCCcAxpx5A9YIMENJUS5JUVRSMjA4NjQwNTUzLklRX1RSX1RBUkdFVF9FQklUREFfRVNULi5VU0QuSAEAAAApmm8MAgAAAAotMTQuOTEzMTY5AGgLcpd5A9YIUTLRnHkD1gg1Q0lRLkFJTTpPUFRJLklRX1BSRUZfRVFVSVRZLjIwMDAuMS81LzIwMTguTEZSLkYuVVNELkgBAAAAM9u1BwMAAAAAADXxH5p5A9YIHcHHnHkD1ggjQ0lRLklRVFI1NjAyNTAyNjYuSVFfVFJfVE9UQUxfU1RPQ0sBAAAAmr1kIQIAAAAAADbRcZd5A9YIZojOnHkD1ggjQ0lRLi5JUV9UUl9UQVJHRVRfRUJJVERBX0VTVC4uVVNELkgFAAAAAQAAAAgAAAAUKEludmFsaWQgSWRlbnRpZmllcilswuCbeQPWCGzC4Jt5A9YIKENJUS5OQVNEQVFHUzpNQ1JCLklRX1RFVi42LzMwLzIwMTguVVNELkgBAAAA02JBDQIAAAAKMjI3LjQxODk0NAEGAAAABQAAAAExAQAAAAoxODg4MTA0NDExAwAAAAMxNjACAAAABjEwMDA2MAQAAAABMAcAAAAJNi8zMC8yMDE48dXgm3kD1ggAB8uceQPWCD9D</t>
  </si>
  <si>
    <t>SVEuTkFTREFRQ006QVZYTC5JUV9ORVRfV09SS0lOR19DQVAuMTk5Mi42LzMwLzIwMTguTEZSLkYuVVNELkgBAAAAYzjPAAIAAAAJLTIuMTc5OTM1AQgAAAAFAAAAATEBAAAACjE4NDE5MjQ3MDIDAAAAAzE2MAIAAAAEMTMxMQQAAAABMAcAAAAJNi8zMC8yMDE4CAAAAAkzLzMxLzIwMTYJAAAAATC33R+aeQPWCBeryJx5A9YIPUNJUS5OQVNEQVFDTTpBVlhMLklRX1JFVkVOVUVfRVNULkNZMjAxOS42LzMwLzIwMTguQ09OLkYuVVNELkgBAAAAYzjPAAIAAAADNi41AQ4AAAAFAAAAAjExAQAAAAEwAgAAAAk3MDA0ODY1MTkDAAAABjEwMDE4MAQAAAABMgYAAAABMAcAAAADMTYwCAAAAAEwCQAAAAExCgAAAAEwCwAAAAsxMDkwMzQ0MzI4MAwAAAABNw0AAAAINy8xLzIwMTgQAAAACTYvMzAvMjAxOLuPH5p5A9YIE9LInHkD1gg9Q0lRLk5BU0RBUUdTOlZZR1IuSVFfQ0FTSF9TVF9JTlZFU1QuMjAwMC4xLzUvMjAxOC5MRlIuRi5VU0QuSAEAAABezE8PAgAAAAcxMjUuNTg3AQgAAAAFAAAAATEBAAAACjE4NjM3ODkyOTMDAAAAAzE2MAIAAAAEMTAwMgQAAAABMAcAAAAIMS81LzIwMTgIAAAACTkvMzAvMjAxNwkAAAABMHIQ4Zt5A9YI+snLnHkD1ggzQ0lRLk9UQ1BLOk5FWFMuSVFfRUJJVERBLjE5OTYuNi8zMC8yMDE4LkxGUi5GLlVTRC5IAQAAAB29ThQDAAAAAAAyGCCaeQPWCKgTxpx5A9YIK0NJUS5OQVNEQVFH</t>
  </si>
  <si>
    <t>UzpBQ0FELklRX0xBU1RTQUxFUFJJQ0UuMS81LzIwMTgBAAAAwW4KAAIAAAAEMjguOQDx1eCbeQPWCGmxzZx5A9YIPENJUS5OQVNEQVFDTTpBVlhMLklRX0VCSVREQV9FU1QuQ1kyMDE4LjYvMzAvMjAxOC5DT04uRi5VU0QuSAEAAABjOM8AAwAAAAAAu48fmnkD1giZvsiceQPWCDZDSVEuTkFTREFRQ006QVZYTC5JUV9FQklUREEuMTk5Ni42LzMwLzIwMTguTEZSLkYuVVNELkgBAAAAYzjPAAIAAAAKLTEzLjYyOTc3OQEIAAAABQAAAAExAQAAAAoxODg4NTA0MjU4AwAAAAMxNjACAAAABDQwNTEEAAAAATAHAAAACTYvMzAvMjAxOAgAAAAJMy8zMS8yMDE3CQAAAAEwt90fmnkD1giZvsiceQPWCEZDSVEuTkFTREFRR1M6TUNSQi5JUV9NSU5PUklUWV9JTlRFUkVTVF9UT1RBTC4yMDAwLjEvNS8yMDE4LkxGUi5GLlVTRC5IAQAAANNiQQ0DAAAAAABuN+GbeQPWCAVrypx5A9YIPUNJUS5OQVNEQVFHUzpWVlVTLklRX1JFVkVOVUVfRVNULkNZMjAxOC42LzMwLzIwMTguQ09OLkYuVVNELkgBAAAALo4AAAIAAAAENTkuOQEOAAAABQAAAAIxMQEAAAABMAIAAAAKMTAwMDgxNTc5MQMAAAAGMTAwMTgwBAAAAAEyBgAAAAEwBwAAAAMxNjAIAAAAATAJAAAAATEKAAAAATALAAAACzEwODczMjA4MzA0DAAAAAE3DQAAAAg3LzEvMjAxOBAAAAAJNi8zMC8yMDE4u48fmnkD1ggLgcmceQPWCENDSVEuVFNYVjpDT0IuVS5JUV9N</t>
  </si>
  <si>
    <t>SU5PUklUWV9JTlRFUkVTVF9UT1RBTC4yMDAwLjEvNS8yMDE4LkxGUi5GLlVTRC5IAQAAAL/7AAgDAAAAAAC4th+aeQPWCArPyZx5A9YIIkNJUS5JUVRSMzEwMjI5MTg4LklRX1RSX1RBUkdFVE5BTUUBAAAAxLh9EgMAAAAZQ2FsaWJyaXVtIExMQyBhbmQgTUIyIExMQwAy+HGXeQPWCNiC0Jx5A9YIRENJUS4oSU5WQUxJRCBJREVOVElGSUVSKS5JUV9FQklUREFfTUFSR0lOLjIwMDAuNi8zMC8yMDE4LkxGUi5GLlVTRC5IBQAAAAAAAAAIAAAAFChJbnZhbGlkIElkZW50aWZpZXIpMWYgmnkD1gg4ocSceQPWCDFDSVEuSVFUUjU0NzMzODgxNC5JUV9UUl9UQVJHRVRfUkVWRU5VRV9FU1QuLlVTRC5IAQAAAD66nyACAAAAAAA20XGXeQPWCOTCzpx5A9YINkNJUS5OQVNEQVFDTTpBU01CLklRX0VCSVREQS4yMDAwLjYvMzAvMjAxOC5MRlIuRi5VU0QuSAEAAAAQifEFAgAAAAotNTQuNjEzODAzAQgAAAAFAAAAATEBAAAACjE4ODcyMzUwNzgDAAAAAzE2MAIAAAAENDA1MQQAAAABMAcAAAAJNi8zMC8yMDE4CAAAAAkzLzMxLzIwMTgJAAAAATDt/OCbeQPWCPGzzJx5A9YIPkNJUS5OQVNEQVFHUzpaRkdOLklRX1RPVEFMX0VRVUlUWS5DWTIwMTcuNi8zMC8yMDE4LkxGUi5GLlVTRC5IAQAAAJfAugECAAAABjc4LjIxNwEIAAAABQAAAAExAQAAAAoxODc4Nzg5NDE0AwAAAAMxNjACAAAABDEyNzUEAAAAATAHAAAACTYv</t>
  </si>
  <si>
    <t>MzAvMjAxOAgAAAAKMTIvMzEvMjAxNwkAAAABMPAj4Zt5A9YIAC7LnHkD1ggrQ0lRLklRVFIzODQwMjg0OTYuSVFfVFJfVE9UQUxfR1JPU1NfVFYuLlVTRAEAAABQz+MWAgAAAAk1NTAuOTM5NDEBBgAAAAUAAAACNTQBAAAABjEwMjA4OAIAAAAJMzg0MDI4NDk2AwAAAAk0MDcyNzU3NzYEAAAAAzE2MAYAAAAFRmFsc2U20XGXeQPWCF0kz5x5A9YIQ0NJUS5OQVNEQVFHUzpaRkdOLklRX0VCSVREQV81WVJfQU5OX0NBR1IuMjAwMC42LzMwLzIwMTguTEZSLkYuVVNELkgBAAAAl8C6AQMAAAAAAPAj4Zt5A9YIAAfLnHkD1gg5Q0lRLk5BU0RBUUNNOlJUVFIuSVFfVE9UQUxfREVCVC4yMDAwLjEvNS8yMDE4LkxGUi5GLlVTRC5IAQAAAB+aswMCAAAAATABCAAAAAUAAAABMQEAAAAKMTg2MzI4MDQ1MAMAAAADMTYwAgAAAAQ0MTczBAAAAAEwBwAAAAgxLzUvMjAxOAgAAAAJOS8zMC8yMDE3CQAAAAEwsysgmnkD1giyAsWceQPWCDVDSVEuTkFTREFRR1M6QUNBRC5JUV9DQVBFWC4xOTkyLjYvMzAvMjAxOC5MRlIuRi5VU0QuSAEAAADBbgoAAgAAAAUtMS4zNgEIAAAABQAAAAExAQAAAAoxODQxNTg3NTE5AwAAAAMxNjACAAAABDIwMjEEAAAAATAHAAAACTYvMzAvMjAxOAgAAAAJMy8zMS8yMDE2CQAAAAEwdengm3kD1gjn682ceQPWCDtDSVEuTkFTREFRQ006QVNNQi5JUV9FQklUX01BUkdJTi4yMDAwLjYvMzAvMjAx</t>
  </si>
  <si>
    <t>OC5MRlIuRi5VU0QuSAEAAAAQifEFAwAAAAJOTQEIAAAABQAAAAExAQAAAAoxODg3MjM1MDc4AwAAAAMxNjACAAAABDQwNTMEAAAAATAHAAAACTYvMzAvMjAxOAgAAAAJMy8zMS8yMDE4CQAAAAEw7fzgm3kD1ghzoMyceQPWCC1DSVEuTkFTREFRQ006QVNNQi5JUV9NQVJLRVRDQVAuMS81LzIwMTguVVNELkgBAAAAEInxBQIAAAAKODY4LjAzNjgxOQEGAAAABQAAAAExAQAAAAoxODYzNjA5MjM3AwAAAAMxNjACAAAABjEwMDA1NAQAAAABMAcAAAAIMS81LzIwMTjx1eCbeQPWCPVlzJx5A9YIH0NJUS4uSVFfVFJfVEFSR0VUX0VCSVREQS4uVVNELkgFAAAAAQAAAAgAAAAUKEludmFsaWQgSWRlbnRpZmllcilswuCbeQPWCGzC4Jt5A9YIHkNJUS5JUTM2MTgzODMxLklRX0NPTVBBTllfTkFNRQEAAAAXHygCAwAAADFVbml0ZWQgU3RhdGVzIFRyZWFzdXJ5IENvbnN0YW50IE1hdHVyaXR5IC0gNSBZZWFyALG9cZd5A9YI7iDMl3kD1gggQ0lRLjAuSVFfVFJfVEFSR0VUX0VCSVREQS4uVVNELkgFAAAAAAAAAAgAAAAYKEludmFsaWQgVHJhbnNhY3Rpb24gSWQptZZxl3kD1ghQgNGceQPWCB1DSVEuTkFTREFRR1M6VllHUi5JUV9FWENIQU5HRQEAAABezE8PAwAAAAhOYXNkYXFHUwDx1eCbeQPWCHdSzJx5A9YIPkNJUS5OQVNEQVFDTTpBVlhMLklRX1RPVEFMX0VRVUlUWS5DWTIwMTcuNi8zMC8yMDE4LkxGUi5GLlVT</t>
  </si>
  <si>
    <t>RC5IAQAAAGM4zwACAAAACTI1LjU0NTMzNQEIAAAABQAAAAExAQAAAAoxODczNTQzMzgyAwAAAAMxNjACAAAABDEyNzUEAAAAATAHAAAACTYvMzAvMjAxOAgAAAAKMTIvMzEvMjAxNwkAAAABMLfdH5p5A9YImnDInHkD1gglQ0lRLklRVFIyNzg4ODM3MTYuSVFfVFJfSU1QTElFRF9FUV9CVgEAAACEbZ8QAgAAAAkxMi4xODUyMDQBBgAAAAUAAAACNTQBAAAABjEwMjA5NwIAAAAJMjc4ODgzNzE2AwAAAAkyNzg4ODQwNzEEAAAAAzE2MAYAAAAFRmFsc2VoC3KXeQPWCFa90Jx5A9YIOENJUS5OQVNEQVFDTTpBVlhMLklRX0VCSVREQS5DWTIwMTYuNi8zMC8yMDE4LkxGUi5GLlVTRC5IAQAAAGM4zwACAAAACi0xMy42NTI4NzQBCAAAAAUAAAABMQEAAAAKMTg3MzU0MzM3NwMAAAADMTYwAgAAAAQ0MDUxBAAAAAEwBwAAAAk2LzMwLzIwMTgIAAAACjEyLzMxLzIwMTYJAAAAATC33R+aeQPWCBPSyJx5A9YIOkNJUS5OQVNEQVFDTTpSVFRSLklRX0VBUk5JTkdfQ08uMTk5Mi42LzMwLzIwMTguTEZSLkYuVVNELkgBAAAAH5qzAwIAAAAKLTEwLjUyOTIxNwEIAAAABQAAAAExAQAAAAoxODQzNzQ4ODU0AwAAAAMxNjACAAAAATcEAAAAATAHAAAACTYvMzAvMjAxOAgAAAAJMy8zMS8yMDE2CQAAAAEwsysgmnkD1giuKcWceQPWCCJDSVEuSVFUUjMyNTIzMzQ2MS5JUV9UUl9UT1RBTF9DQVNIAQAAADWrYhMCAAAAAAAy+HGX</t>
  </si>
  <si>
    <t>eQPWCFdI0Jx5A9YINkNJUS5OQVNEQVFHUzpaRkdOLklRX0VCSVREQS4yMDAwLjYvMzAvMjAxOC5MRlIuRi5VU0QuSAEAAACXwLoBAgAAAActNTUuMjM5AQgAAAAFAAAAATEBAAAACjE4ODk4OTUzODEDAAAAAzE2MAIAAAAENDA1MQQAAAABMAcAAAAJNi8zMC8yMDE4CAAAAAkzLzMxLzIwMTgJAAAAATByEOGbeQPWCPt7y5x5A9YIK0NJUS5JUVRSMjcyNzc2MzM4LklRX1RSX1RPVEFMX0dST1NTX1RWLi5VU0QBAAAAkjxCEAIAAAAKNTMwLjAxMTAyNAEGAAAABQAAAAI1NAEAAAAGMTAyMDg4AgAAAAkyNzI3NzYzMzgDAAAACTI3Mjc3NzAyNQQAAAADMTYwBgAAAAVGYWxzZWgLcpd5A9YIVeTQnHkD1gggQ0lRLklRVFIzNzg1ODc4MjIuSVFfVFJfRUFSTk9VVFMBAAAArsqQFgIAAAADNDk1AQYAAAAFAAAAAjU0AQAAAAYxMDE0MDMCAAAACTM3ODU4NzgyMgMAAAAJMzc4NTk5ODA0BAAAAAMxNjAGAAAABUZhbHNlseRxl3kD1gjUmM+ceQPWCENDSVEuKElOVkFMSUQgSURFTlRJRklFUikuSVFfRUJJVERBX0VTVC5DWTIwMTkuNi8zMC8yMDE4LkNPTi5GLlVTRC5IBQAAAAAAAAAIAAAAFChJbnZhbGlkIElkZW50aWZpZXIpuLYfmnkD1giztMSceQPWCDZDSVEuQUlNOk9QVEkuSVFfVE9UQUxfUkVWLkNZMjAxNy42LzMwLzIwMTguTEZSLkYuVVNELkgBAAAAM9u1BwIAAAAIMC4yNTgwODgBCAAAAAUAAAABMQEAAAAK</t>
  </si>
  <si>
    <t>MTg5MTAyMjA3NgMAAAADMTYwAgAAAAIyOAQAAAABMAcAAAAJNi8zMC8yMDE4CAAAAAoxMS8zMC8yMDE3CQAAAAEwt90fmnkD1ggZNsiceQPWCDZDSVEuTkFTREFRQ006QVZYTC5JUV9FQklUREEuMTk5Mi42LzMwLzIwMTguTEZSLkYuVVNELkgBAAAAYzjPAAIAAAAKLTExLjYyMDIxMgEIAAAABQAAAAExAQAAAAoxODQxOTI0NzAyAwAAAAMxNjACAAAABDQwNTEEAAAAATAHAAAACTYvMzAvMjAxOAgAAAAJMy8zMS8yMDE2CQAAAAEwt90fmnkD1ggT0siceQPWCDVDSVEuTkFTREFRR1M6VllHUi5JUV9DQVBFWC4yMDAwLjYvMzAvMjAxOC5MRlIuRi5VU0QuSAEAAABezE8PAgAAAAYtMi42NDcBCAAAAAUAAAABMQEAAAAKMTg4ODQ4MDU5MwMAAAADMTYwAgAAAAQyMDIxBAAAAAEwBwAAAAk2LzMwLzIwMTgIAAAACTMvMzEvMjAxOAkAAAABMHIQ4Zt5A9YIed3LnHkD1gg9Q0lRLk5BU0RBUUdTOkFDQUQuSVFfUkVWRU5VRV9FU1QuQ1kyMDE5LjYvMzAvMjAxOC5DT04uRi5VU0QuSAEAAADBbgoAAgAAAAk0MTUuMDc3MjMBDgAAAAUAAAACMTEBAAAAATACAAAACjEwMDE1NTc1ODIDAAAABjEwMDE4MAQAAAABMgYAAAABMAcAAAADMTYwCAAAAAEwCQAAAAExCgAAAAEwCwAAAAsxMDg4MDA4NjMxMAwAAAABNw0AAAAINy8xLzIwMTgQAAAACTYvMzAvMjAxOG434Zt5A9YI6SbOnHkD1gg7Q0lRLk5BU0RBUUNNOlJUVFIu</t>
  </si>
  <si>
    <t>SVFfVE9UQUxfUkVWLkNZMjAxNy42LzMwLzIwMTguTEZSLkYuVVNELkgBAAAAH5qzAwMAAAAAADIYIJp5A9YIrXfFnHkD1gg6Q0lRLk5BU0RBUUNNOkFTTUIuSVFfUFJFRl9FUVVJVFkuMjAwMC4xLzUvMjAxOC5MRlIuRi5VU0QuSAEAAAAQifEFAwAAAAAA7fzgm3kD1gj1ZcyceQPWCB9DSVEuTkFTREFRR1M6T0JTVi5JUV9NQVJLRVRDQVAuAQAAAFaHnw4CAAAACjU4OS4wNDg2NTEBBgAAAAUAAAABMQEAAAAKMTkwMDAxODY0NAMAAAADMTYwAgAAAAYxMDAwNTQEAAAAATAHAAAACTgvMTUvMjAxOLWWcZd5A9YIXx7Nl3kD1ggoQ0lRLk5BU0RBUUNNOkFWWEwuSVFfVEVWLjYvMzAvMjAxOC5VU0QuSAEAAABjOM8AAgAAAAk5MS4zNTI3ODIBBgAAAAUAAAABMQEAAAAKMTg4ODUwMzYyNwMAAAADMTYwAgAAAAYxMDAwNjAEAAAAATAHAAAACTYvMzAvMjAxOC18H5p5A9YIFvnInHkD1ggpQ0lRLklRMzYxODM4MzcuSVFfTEFTVFNBTEVQUklDRS42LzMwLzIwMTgBAAAAHR8oAgIAAAAEMi44NQA6qnGXeQPWCOh0zpx5A9YIOkNJUS5OQVNEQVFHUzpWVlVTLklRX0VBUk5JTkdfQ08uMjAwMC42LzMwLzIwMTguTEZSLkYuVVNELkgBAAAALo4AAAIAAAAHLTQwLjEwOAEIAAAABQAAAAExAQAAAAoxODg3NDQ0MzI4AwAAAAMxNjACAAAAATcEAAAAATAHAAAACTYvMzAvMjAxOAgAAAAJMy8zMS8yMDE4CQAAAAEwNsofmnkD</t>
  </si>
  <si>
    <t>1giuM8mceQPWCC1DSVEuTkFTREFRQ006U0xOTy5JUV9NQVJLRVRDQVAuMS81LzIwMTguVVNELkgBAAAA6XUmAAIAAAAJMzQuODYzMTA2AQYAAAAFAAAAATEBAAAACjE4NjU4OTM3NTADAAAAAzE2MAIAAAAGMTAwMDU0BAAAAAEwBwAAAAgxLzUvMjAxOC18H5p5A9YIniTHnHkD1gg9Q0lRLk5BU0RBUUNNOlNMTk8uSVFfRUJJVERBX01BUkdJTi4yMDAwLjYvMzAvMjAxOC5MRlIuRi5VU0QuSAEAAADpdSYAAwAAAAAANfEfmnkD1ggcX8eceQPWCCBDSVEuSVFUUjM3MDA3MjM1My5JUV9UUl9FQVJOT1VUUwEAAAAh2w4WAgAAAAAAseRxl3kD1gjYcc+ceQPWCDpDSVEuTkFTREFRQ006UlRUUi5JUV9FQVJOSU5HX0NPLjIwMDAuNi8zMC8yMDE4LkxGUi5GLlVTRC5IAQAAAB+aswMCAAAACS04LjIwMzMxMwEIAAAABQAAAAExAQAAAAoxODg5MTA0MDk4AwAAAAMxNjACAAAAATcEAAAAATAHAAAACTYvMzAvMjAxOAgAAAAJMy8zMS8yMDE4CQAAAAEwsysgmnkD1giuKcWceQPWCDZDSVEuTkFTREFRR1M6QUNBRC5JUV9FQklUREEuMTk5Mi42LzMwLzIwMTguTEZSLkYuVVNELkgBAAAAwW4KAAIAAAAILTE3My42NTkBCAAAAAUAAAABMQEAAAAKMTg0MTU4NzUxOQMAAAADMTYwAgAAAAQ0MDUxBAAAAAEwBwAAAAk2LzMwLzIwMTgIAAAACTMvMzEvMjAxNgkAAAABMPHV4Jt5A9YIaxPOnHkD1ggdQ0lRLk5BU0RBUUdTOk1D</t>
  </si>
  <si>
    <t>UkIuSVFfRVhDSEFOR0UBAAAA02JBDQMAAAAITmFzZGFxR1MA8dXgm3kD1ggAB8uceQPWCDFDSVEuQU1FWDpTWU4uSVFfRUJJVERBLjE5OTYuNi8zMC8yMDE4LkxGUi5GLlVTRC5IAQAAAG2wdAECAAAABy0zNi42NDMBCAAAAAUAAAABMQEAAAAKMTg4NzQwODY5NgMAAAADMTYwAgAAAAQ0MDUxBAAAAAEwBwAAAAk2LzMwLzIwMTgIAAAACTMvMzEvMjAxNwkAAAABMLcEIJp5A9YIIcPGnHkD1ggWQ0lRLi5JUV9HUC4yMDAwLi4uLlVTRAUAAAABAAAACAAAABQoSW52YWxpZCBJZGVudGlmaWVyKWzC4Jt5A9YIbMLgm3kD1gg8Q0lRLk5BU0RBUUdTOlZWVVMuSVFfVE9UQUxfRVFVSVRZLjIwMDAuNi8zMC8yMDE4LkxGUi5GLlVTRC5IAQAAAC6OAAACAAAABy0xOS41NDMBCAAAAAUAAAABMQEAAAAKMTg4NzQ0NDMyOAMAAAADMTYwAgAAAAQxMjc1BAAAAAEwBwAAAAk2LzMwLzIwMTgIAAAACTMvMzEvMjAxOAkAAAABMDbKH5p5A9YIEyDJnHkD1ggpQ0lRLklRVFIyNzI3NzYzMzguSVFfVFJfSU1QTElFRF9FUV9OSV9MVE0BAAAAkjxCEAMAAAACTk0AaAtyl3kD1ghV5NCceQPWCCVDSVEuSVFUUjM3NDMzMTU4Ni5JUV9UUl9NQUpfTUlOX1NUQUtFAQAAAMLYTxYDAAAACE1ham9yaXR5ALHkcZd5A9YIVqzPnHkD1ggsQ0lRLklRVFIyNzg4ODM3MTYuSVFfVFJfVEFSR0VUX0VCSVREQS4uVVNELkgBAAAAhG2fEAIAAAAH</t>
  </si>
  <si>
    <t>LTQ0Ljk0MgEGAAAABQAAAAIzNwEAAAAKMTcxMTI3MTgwNQIAAAAFMjE2NzcDAAAAAzE2MAQAAAABMAcAAAAIMS8xLzE5MDBoC3KXeQPWCNip0Jx5A9YIJUNJUS5JUVRSNTQxMjgzNzAwLklRX1BSSU1BUllfSU5EVVNUUlkBAAAA/lRDIAMAAAAPUGhhcm1hY2V1dGljYWxzADqqcZd5A9YIYtbOnHkD1gg9Q0lRLk5BU0RBUUdTOlZZR1IuSVFfUkVWRU5VRV9FU1QuQ1kyMDE4LjYvMzAvMjAxOC5DT04uRi5VU0QuSAEAAABezE8PAgAAAAc5LjEzMjI1AQ4AAAAFAAAAAjExAQAAAAEwAgAAAAoxMDAzMjQzNDM4AwAAAAYxMDAxODAEAAAAATIGAAAAATAHAAAAAzE2MAgAAAABMAkAAAABMQoAAAABMAsAAAALMTA5MTE0MDEyNTUMAAAAATcNAAAACDcvMS8yMDE4EAAAAAk2LzMwLzIwMThuN+GbeQPWCHQrzJx5A9YIIUNJUS5JUVRSMjcyNzc2MzM4LklRX1RSX0JVWUVSTkFNRQEAAACSPEIQAwAAABlBY29yZGEgVGhlcmFwZXV0aWNzLCBJbmMuAGgLcpd5A9YIVr3QnHkD1gggQ0lRLklRVFIyMDg2NDA1NTMuSVFfVFJfRUFSTk9VVFMBAAAAKZpvDAIAAAAKMTU4LjgwMzAzNwEGAAAABQAAAAI1NAEAAAAGMTAxNDAzAgAAAAkyMDg2NDA1NTMDAAAACTIwODY0NDY3OAQAAAADMTYwBgAAAAVGYWxzZWgLcpd5A9YI0x7RnHkD1ggkQ0lRLlRTWFY6Q09CLlUuSVFfQkVUQV81WVIuNi8zMC8yMDE4AQAAAL/7AAgCAAAAEDIu</t>
  </si>
  <si>
    <t>ODMzOTE3Nzc4MDYwMjgAr3kgmnkD1giI4smceQPWCClDSVEuSVFUUjM0MDcwNDg2NS5JUV9CVVNJTkVTU19ERVNDUklQVElPTgEAAABAiWoCAwAAAMUDQXMgb2YgSnVuZSA5LCAyMDE2LCBOZXh1cyBCaW9QaGFybWEsIEluYy4gd2FzIGFjcXVpcmVkIGJ5IE5leHVzIEJpb1BoYXJtYSBDb3Jwb3JhdGlvbiwgaW4gYSByZXZlcnNlIG1lcmdlciB0cmFuc2FjdGlvbi4gTmV4dXMgQmlvUGhhcm1hLCBJbmMuLCBhIGxpZmUgc2NpZW5jZSBjb21wYW55LCBkZXZlbG9wcyBhbmQgY29tbWVyY2lhbGl6ZXMgZHJ1Z3MgZm9yIHRyYW5zZm9ybWF0aXZlIG9iZXNpdHkgYW5kIGRpYWJldGVzIHRyZWF0bWVudHMuIFRoZSBjb21wYW55IHdhcyBmb3JtZXJseSBrbm93biBhcyBQbGF0YSBSZXNvdXJjZXMsIEluYy4gYW5kIGNoYW5nZWQgaXRzIG5hbWUgdG8gTmV4dXMgQmlvUGhhcm1hLCBJbmMuIGluIE1heSAyMDE2LiBOZXh1cyBCaW9QaGFybWEsIEluYy4gd2FzIGluY29ycG9yYXRlZCBpbiAyMDA3IGFuZCBpcyBiYXNlZCBpbiBNb250Y2xhaXIsIE5ldyBKZXJzZXkuALG9cZd5A9YI3Q3QnHkD1gg3Q0lRLkFJTTpPUFRJLklRX0VBUk5JTkdfQ08uQ1kyMDE3LjYvMzAvMjAxOC5MRlIuRi5VU0QuSAEAAAAz27UHAgAAAAgyLjU5MDIxNwEIAAAABQAAAAExAQAAAAoxODkxMDIyMDc2AwAAAAMxNjACAAAAATcEAAAAATAH</t>
  </si>
  <si>
    <t>AAAACTYvMzAvMjAxOAgAAAAKMTEvMzAvMjAxNwkAAAABMDXxH5p5A9YIpdTHnHkD1ghGQ0lRLk5BU0RBUUNNOlNMTk8uSVFfTUlOT1JJVFlfSU5URVJFU1RfVE9UQUwuMjAwMC4xLzUvMjAxOC5MRlIuRi5VU0QuSAEAAADpdSYAAwAAAAAAtwQgmnkD1gieJMeceQPWCDlDSVEuTkFTREFRR1M6TUNSQi5JUV9UT1RBTF9SRVYuMjAwMC42LzMwLzIwMTguTEZSLkYuVVNELkgBAAAA02JBDQIAAAAGMzMuMDU2AQgAAAAFAAAAATEBAAAACjE4ODgxMDU0NTEDAAAAAzE2MAIAAAACMjgEAAAAATAHAAAACTYvMzAvMjAxOAgAAAAJMy8zMS8yMDE4CQAAAAEw8CPhm3kD1gh/88qceQPWCCFDSVEuSVFUUjM3MDA3MjM1My5JUV9UUl9CVVlFUk5BTUUBAAAAIdsOFgMAAAART1BLTyBIZWFsdGgsIEluYy4AseRxl3kD1ghXXs+ceQPWCDBDSVEuSVFUUjMzMDMyNDI4NS5JUV9UUl9UQVJHRVRfRUJJVERBX0VTVC4uVVNELkgBAAAAPVmwEwIAAAAAADbRcZd5A9YI5hDPnHkD1ghGQ0lRLk5BU0RBUUdTOkFDQUQuSVFfVE9UQUxfUkVWXzJZUl9BTk5fQ0FHUi4yMDAwLjYvMzAvMjAxOC5MRlIuRi5VU0QuSAEAAADBbgoAAgAAAAk0OTk3LjEzODQBCAAAAAUAAAABMQEAAAAKMTg4NjYyNzUzNgMAAAADMTYwAgAAAAQ0MjA3BAAAAAEwBwAAAAk2LzMwLzIwMTgIAAAACTMvMzEvMjAxOAkAAAABMHXp4Jt5A9YIabHNnHkD1gggQ0lR</t>
  </si>
  <si>
    <t>LklRMzYxODM4MjguSVFfTEFTVFNBTEVQUklDRS4BAAAAFB8oAgIAAAAEMi42OADx1eCbeQPWCPHV4Jt5A9YII0NJUS5JUVRSMzc2Nzk5MjMyLklRX1RSX1RPVEFMX1NUT0NLAQAAAACAdRYCAAAAAACx5HGXeQPWCNlKz5x5A9YIOENJUS5BSU06T1BUSS5JUV9SRVZFTlVFX0VTVC5DWTIwMTkuNi8zMC8yMDE4LkNPTi5GLlVTRC5IAQAAADPbtQcDAAAAAAC7jx+aeQPWCJ4iyJx5A9YIIkNJUS5JUVRSMjA4NjQwNTUzLklRX1RSX1BDVF9TT1VHSFQBAAAAKZpvDAIAAAAFODQuMTMAaAtyl3kD1gjTHtGceQPWCDZDSVEuTkFTREFRR1M6QUNBRC5JUV9FQklUREEuMjAwMC42LzMwLzIwMTguTEZSLkYuVVNELkgBAAAAwW4KAAIAAAAILTI1NS42NzMBCAAAAAUAAAABMQEAAAAKMTg4NjYyNzUzNgMAAAADMTYwAgAAAAQ0MDUxBAAAAAEwBwAAAAk2LzMwLzIwMTgIAAAACTMvMzEvMjAxOAkAAAABMPHV4Jt5A9YIaxPOnHkD1ggTQ0lRLi5JUV9UUl9FQVJOT1VUUwUAAAABAAAACAAAABQoSW52YWxpZCBJZGVudGlmaWVyKWzC4Jt5A9YIbMLgm3kD1gg8Q0lRLk5BU0RBUUNNOlJUVFIuSVFfR1JPU1NfTUFSR0lOLjIwMDAuNi8zMC8yMDE4LkxGUi5GLlVTRC5IAQAAAB+aswMDAAAAAAAyGCCaeQPWCK5QxZx5A9YIRkNJUS4oSU5WQUxJRCBJREVOVElGSUVSKS5JUV9ORVRfV09SS0lOR19DQVAuMTk5Mi42LzMwLzIwMTgu</t>
  </si>
  <si>
    <t>TEZSLkYuVVNELkgFAAAAAAAAAAgAAAAUKEludmFsaWQgSWRlbnRpZmllcikxZiCaeQPWCDihxJx5A9YIMENJUS5OQVNEQVFHUzpBQ0FELklRX0xBU1RTQUxFUFJJQ0UuNi8zMC8yMDE4LlVTRAEAAADBbgoAAgAAAAUxNS4yNwDx1eCbeQPWCOhNzpx5A9YIPUNJUS5OQVNEQVFDTTpBU01CLklRX1JFVkVOVUVfRVNULkNZMjAyMS42LzMwLzIwMTguQ09OLkYuVVNELkgBAAAAEInxBQIAAAAENDcuMwEOAAAABQAAAAIxMQEAAAABMAIAAAAKMTAwMTQwNTI0NQMAAAAGMTAwMTgwBAAAAAEyBgAAAAEwBwAAAAMxNjAIAAAAATAJAAAAATEKAAAAATALAAAACzEwODcwMzU5MTM5DAAAAAE3DQAAAAg3LzEvMjAxOBAAAAAJNi8zMC8yMDE4bjfhm3kD1ghvx8yceQPWCCVDSVEuSVFUUjMxMDIyOTE4OC5JUV9UUl9JTVBMSUVEX0VRX0JWAQAAAMS4fRICAAAAAAAy+HGXeQPWCFaW0Jx5A9YIRkNJUS5OQVNEQVFDTTpSVFRSLklRX1RPVEFMX1JFVl8yWVJfQU5OX0NBR1IuMjAwMC42LzMwLzIwMTguTEZSLkYuVVNELkgBAAAAH5qzAwMAAAAAALMrIJp5A9YIsgLFnHkD1gg5Q0lRLk5BU0RBUUdTOlZWVVMuSVFfVE9UQUxfREVCVC4yMDAwLjEvNS8yMDE4LkxGUi5GLlVTRC5IAQAAAC6OAAACAAAABzIzNC43MTEBCAAAAAUAAAABMQEAAAAKMTg2NTMxODc0MAMAAAADMTYwAgAAAAQ0MTczBAAAAAEwBwAAAAgxLzUvMjAxOAgA</t>
  </si>
  <si>
    <t>AAAJOS8zMC8yMDE3CQAAAAEwNsofmnkD1giiDMmceQPWCDBDSVEuSVFUUjI3Mjc3NjMzOC5JUV9UUl9UQVJHRVRfRUJJVERBX0VTVC4uVVNELkgBAAAAkjxCEAIAAAAAAGgLcpd5A9YIVeTQnHkD1ggpQ0lRLk5BU0RBUUNNOkFWWEwuSVFfQlVTSU5FU1NfREVTQ1JJUFRJT04BAAAAYzjPAAMAAADgBkFuYXZleCBMaWZlIFNjaWVuY2VzIENvcnAuLCBhIGNsaW5pY2FsIHN0YWdlIGJpb3BoYXJtYWNldXRpY2FsIGNvbXBhbnksIGVuZ2FnZXMgaW4gdGhlIGRldmVsb3BtZW50IG9mIGRydWcgY2FuZGlkYXRlcyBmb3IgdGhlIHRyZWF0bWVudCBvZiBBbHpoZWltZXLigJlzIGRpc2Vhc2UsIG90aGVyIGNlbnRyYWwgbmVydm91cyBzeXN0ZW0gZGlzZWFzZXMsIHBhaW4sIGFuZCB2YXJpb3VzIGNhbmNlcnMuIFRoZSBjb21wYW554oCZcyBsZWFkIGRydWcgY2FuZGlkYXRlcyBpbmNsdWRlIEFOQVZFWCAyLTczLCB3aGljaCBoYXMgY29tcGxldGVkIFBoYXNlIElJYSBjbGluaWNhbCB0cmlhbHMgZm9yIHRoZSB0cmVhdG1lbnQgb2YgQWx6aGVpbWVy4oCZcyBkaXNlYXNlOyBhbmQgaW4gcHJlY2xpbmljYWwgY2xpbmljYWwgdHJpYWxzIHRvIHRyZWF0IFBhcmtpbnNvbuKAmXMgZGlzZWFzZSwgZXBpbGVwc3ksIFJldHQgc3luZHJvbWUsIEFuZ2VsbWFuIHN5bmRyb21lLCBtdWx0aXBsZSBzY2xlcm9zaXMsIGFuZCBG</t>
  </si>
  <si>
    <t>cmFnaWxlIFggc3luZHJvbWUuIEl0cyBwcmVjbGluaWNhbCBkcnVnIGNhbmRpZGF0ZXMgaW5jbHVkZSBBTkFWRVggMy03MSB0byB0cmVhdCBBbHpoZWltZXLigJlzIGRpc2Vhc2U7IEFOQVZFWCAxLTQxLCBhIHNpZ21hLTEgYWdvbmlzdDsgQU5BVkVYIDEwMzcgZm9yIHRoZSB0cmVhdG1lbnQgb2YgcHJvc3RhdGUgY2FuY2VyOyBhbmQgQU5BVkVYIDEwNjYsIGEgbWl4ZWQgc2lnbWEtMS9zaWdtYS0yIGxpZ2FuZCBmb3IgdGhlIHRyZWF0bWVudCBvZiBuZXVyb3BhdGhpYyBhbmQgdmlzY2VyYWwgcGFpbi4gVGhlIGNvbXBhbnkgd2FzIGZvdW5kZWQgaW4gMjAwNiBhbmQgaXMgYmFzZWQgaW4gTmV3IFlvcmssIE5ldyBZb3JrLgAtfB+aeQPWCKqXyJx5A9YILkNJUS5JUVRSMjc4ODgzNzE2LklRX1RSX1RBUkdFVF9TVE9DS1BSRU1JVU1fMVcBAAAAhG2fEAIAAAAHMTcuNTY1NwEGAAAABQAAAAI1NAEAAAAGMTAxMDU0AgAAAAkyNzg4ODM3MTYDAAAACTI3ODg4NDA3MQQAAAADMTYwBgAAAAVGYWxzZWgLcpd5A9YI1NDQnHkD1gg2Q0lRLk5BU0RBUUdTOlpGR04uSVFfRUJJVERBLjE5OTIuNi8zMC8yMDE4LkxGUi5GLlVTRC5IAQAAAJfAugECAAAABy03OC4zMTUBCAAAAAUAAAABMQEAAAAKMTg0MDkzNTk2MwMAAAADMTYwAgAAAAQ0MDUxBAAAAAEwBwAAAAk2LzMwLzIwMTgIAAAACTMvMzEvMjAxNgkAAAABMHIQ</t>
  </si>
  <si>
    <t>4Zt5A9YI+3vLnHkD1ggxQ0lRLklRVFIzMTAyMjkxODguSVFfVFJfVEFSR0VUX1JFVkVOVUVfRVNULi5VU0QuSAEAAADEuH0SAgAAAAAAMvhxl3kD1ghWltCceQPWCDxDSVEuTkFTREFRR1M6TUNSQi5JUV9UT1RBTF9FUVVJVFkuMjAwMC42LzMwLzIwMTguTEZSLkYuVVNELkgBAAAA02JBDQIAAAAGMTAuMDMzAQgAAAAFAAAAATEBAAAACjE4ODgxMDU0NTEDAAAAAzE2MAIAAAAEMTI3NQQAAAABMAcAAAAJNi8zMC8yMDE4CAAAAAkzLzMxLzIwMTgJAAAAATDwI+GbeQPWCId+ypx5A9YIOENJUS5BTUVYOlNZTi5JUV9SRVZFTlVFX0VTVC5DWTIwMTguNi8zMC8yMDE4LkNPTi5GLlVTRC5IAQAAAG2wdAECAAAAATABDgAAAAUAAAACMTEBAAAAATACAAAACjEwMDE5NDgyOTIDAAAABjEwMDE4MAQAAAABMgYAAAABMAcAAAADMTYwCAAAAAEwCQAAAAExCgAAAAEwCwAAAAsxMDg4OTAxMzQxMwwAAAABNw0AAAAINy8xLzIwMTgQAAAACTYvMzAvMjAxODajH5p5A9YIotbGnHkD1gguQ0lRLklRVFIyNzI3NzYzMzguSVFfVFJfVEFSR0VUX1NUT0NLUFJFTUlVTV8xVwEAAACSPEIQAgAAAAAAaAtyl3kD1ghV5NCceQPWCD1DSVEuTkFTREFRQ006U0xOTy5JUV9DQVNIX1NUX0lOVkVTVC4yMDAwLjEvNS8yMDE4LkxGUi5GLlVTRC5IAQAAAOl1JgACAAAABTUuNjQ3AQgAAAAFAAAAATEBAAAACjE4NjU4OTYzOTEDAAAAAzE2</t>
  </si>
  <si>
    <t>MAIAAAAEMTAwMgQAAAABMAcAAAAIMS81LzIwMTgIAAAACTkvMzAvMjAxNwkAAAABMLcEIJp5A9YIIBHHnHkD1ggsQ0lRLklRVFIzNDA3MDQ4NjUuSVFfVFJfVE9UQUxfR1JPU1NfVFYuVVNELkgFAAAAAAAAAAgAAAAaKEludmFsaWQgQ3VycmVuY3kgUmVxdWVzdCk0g3GXeQPWCFv6z5x5A9YIPENJUS5OQVNEQVFHUzpNQ1JCLklRX0VCSVREQV9FU1QuQ1kyMDIwLjYvMzAvMjAxOC5DT04uRi5VU0QuSAEAAADTYkENAgAAAAgtMTEyLjQ5OAEOAAAABQAAAAIxMQEAAAABMAIAAAAKMTAwMzEzMjAxOAMAAAAGMTAwMTg3BAAAAAEyBgAAAAEwBwAAAAMxNjAIAAAAATAJAAAAATEKAAAAATALAAAACzEwODk3NzE0ODk4DAAAAAE3DQAAAAg3LzEvMjAxOBAAAAAJNi8zMC8yMDE47Erhm3kD1ggBucqceQPWCCJDSVEuSVFUUjI3ODg4MzcxNi5JUV9UUl9UQVJHRVROQU1FAQAAAIRtnxADAAAAHEF2YW5pciBQaGFybWFjZXV0aWNhbHMsIEluYy4AMvhxl3kD1gjYqdCceQPWCCVDSVEuMC5JUV9UUl9UQVJHRVRfUkVWRU5VRV9FU1QuLlVTRC5IBQAAAAAAAAAIAAAAGChJbnZhbGlkIFRyYW5zYWN0aW9uIElkKbWWcZd5A9YIUIDRnHkD1gguQ0lRLklRVFIzMjI0Njc2MjUuSVFfVFJfVEFSR0VUX1NUT0NLUFJFTUlVTV8xTQEAAAApdzgTAgAAAAgxOTEuMjExMQEGAAAABQAAAAI1NAEAAAAGMTAxMDU1AgAAAAkzMjI0Njc2</t>
  </si>
  <si>
    <t>MjUDAAAACTMyMjQ3Mzc5MAQAAAADMTYwBgAAAAVGYWxzZTL4cZd5A9YI2TTQnHkD1ggnQ0lRLk5BU0RBUUdTOlZZR1IuSVFfQkVUQV8yWVIuNi8zMC8yMDE4AQAAAF7MTw8CAAAAEDEuODk5NDMzNjg4Mzg1ODgA7Erhm3kD1gh53cuceQPWCDVDSVEuQUlNOk9QVEkuSVFfRUFSTklOR19DTy4yMDAwLjYvMzAvMjAxOC5MRlIuRi5VU0QuSAEAAAAz27UHAgAAAAgyLjU5MDIxNwEIAAAABQAAAAExAQAAAAoxODkxMDIyMDc2AwAAAAMxNjACAAAAATcEAAAAATAHAAAACTYvMzAvMjAxOAgAAAAKMTEvMzAvMjAxNwkAAAABMDXxH5p5A9YIHejHnHkD1ghGQ0lRLk5BU0RBUUNNOkFTTUIuSVFfVE9UQUxfUkVWXzJZUl9BTk5fQ0FHUi4yMDAwLjYvMzAvMjAxOC5MRlIuRi5VU0QuSAEAAAAQifEFAwAAAAAA7fzgm3kD1gj1ZcyceQPWCDhDSVEuT1RDUEs6TkVYUy5JUV9UT1RBTF9SRVYuQ1kyMDE3LjYvMzAvMjAxOC5MRlIuRi5VU0QuSAEAAAAdvU4UAwAAAAAAMhggmnkD1gioE8aceQPWCCxDSVEuSVFUUjU0NzMzODgxNC5JUV9UUl9UQVJHRVRfRUJJVERBLi5VU0QuSAEAAAA+up8gAgAAAAAANtFxl3kD1gjkws6ceQPWCClDSVEuSVEzNjE4MzgxOS5JUV9MQVNUU0FMRVBSSUNFLjYvMzAvMjAxOAEAAAALHygCAgAAAAQyLjExADqqcZd5A9YI6HTOnHkD1gg5Q0lRLlRTWFY6Q09CLlUuSVFfVE9UQUxfRVFVSVRZLjE5</t>
  </si>
  <si>
    <t>OTYuNi8zMC8yMDE4LkxGUi5GLlVTRC5IAQAAAL/7AAgCAAAACDguNzgyODY5AQgAAAAFAAAAATEBAAAACjE4ODkwNjIwNjkDAAAAAzE2MAIAAAAEMTI3NQQAAAABMAcAAAAJNi8zMC8yMDE4CAAAAAkzLzMxLzIwMTcJAAAAATC4th+aeQPWCArPyZx5A9YIL0NJUS5JUVRSMzEwMjI5MTg4LklRX1RSX1RBUkdFVF9UT1RBTF9SRVYuLlVTRC5IAQAAAMS4fRICAAAAAAAy+HGXeQPWCFaW0Jx5A9YILkNJUS5OQVNEQVFHUzpaRkdOLklRX01BUktFVENBUC42LzMwLzIwMTguVVNELkgBAAAAl8C6AQIAAAAKMzYzLjc2NzM3MwEGAAAABQAAAAExAQAAAAoxODg5ODk0NzA5AwAAAAMxNjACAAAABjEwMDA1NAQAAAABMAcAAAAJNi8zMC8yMDE48dXgm3kD1gh5j8uceQPWCDBDSVEuSVFUUjM4NDAyODQ5Ni5JUV9UUl9UQVJHRVRfRUJJVERBX0VTVC4uVVNELkgBAAAAUM/jFgIAAAAAALHkcZd5A9YI4jfPnHkD1gg1Q0lRLlRTWFY6Q09CLlUuSVFfRUJJVERBLkNZMjAxNi42LzMwLzIwMTguTEZSLkYuVVNELkgBAAAAv/sACAIAAAAJLTYuMDE4NTk5AQgAAAAFAAAAATEBAAAACjE4ODExNzI1NjUDAAAAAzE2MAIAAAAENDA1MQQAAAABMAcAAAAJNi8zMC8yMDE4CAAAAAoxMi8zMS8yMDE2CQAAAAEwuLYfmnkD1ggGHcqceQPWCDxDSVEuKElOVkFMSUQgSURFTlRJRklFUikuSVFfQ0FQRVguMTk5Mi42LzMwLzIwMTguTEZS</t>
  </si>
  <si>
    <t>LkYuVVNELkgFAAAAAAAAAAgAAAAUKEludmFsaWQgSWRlbnRpZmllcikxZiCaeQPWCMCNxJx5A9YIP0NJUS5OQVNEQVFHUzpaRkdOLklRX05FVF9XT1JLSU5HX0NBUC4yMDAwLjYvMzAvMjAxOC5MRlIuRi5VU0QuSAEAAACXwLoBAgAAAAYtNS4xMDUBCAAAAAUAAAABMQEAAAAKMTg4OTg5NTM4MQMAAAADMTYwAgAAAAQxMzExBAAAAAEwBwAAAAk2LzMwLzIwMTgIAAAACTMvMzEvMjAxOAkAAAABMPAj4Zt5A9YI/FTLnHkD1ggeQ0lRLklRMzYxODM4MjIuSVFfQ09NUEFOWV9OQU1FAQAAAA4fKAIDAAAAMVVuaXRlZCBTdGF0ZXMgVHJlYXN1cnkgQ29uc3RhbnQgTWF0dXJpdHkgLSAxIFllYXIAsb1xl3kD1ghsNMyXeQPWCDhDSVEuTkFTREFRQ006U0xOTy5JUV9FQklUREEuQ1kyMDE3LjYvMzAvMjAxOC5MRlIuRi5VU0QuSAEAAADpdSYAAgAAAAktOC4wNjc4NTIBCAAAAAUAAAABMQEAAAAKMTg4MTM4OTY4MAMAAAADMTYwAgAAAAQ0MDUxBAAAAAEwBwAAAAk2LzMwLzIwMTgIAAAACjEyLzMxLzIwMTcJAAAAATA18R+aeQPWCBxfx5x5A9YIOkNJUS5OQVNEQVFDTTpTTE5PLklRX1RPVEFMX0RFQlQuMjAwMC42LzMwLzIwMTguTEZSLkYuVVNELkgBAAAA6XUmAAIAAAABMAEIAAAABQAAAAExAQAAAAoxODg5MDU3NjA2AwAAAAMxNjACAAAABDQxNzMEAAAAATAHAAAACTYvMzAvMjAxOAgAAAAJMy8zMS8yMDE4CQAA</t>
  </si>
  <si>
    <t>AAEwNfEfmnkD1gghmseceQPWCBxDSVEuLklRX0JVU0lORVNTX0RFU0NSSVBUSU9OBQAAAAEAAAAIAAAAFChJbnZhbGlkIElkZW50aWZpZXIpbMLgm3kD1ghswuCbeQPWCDRDSVEuVFNYVjpDT0IuVS5JUV9QRVJJT0REQVRFX0lTLjIwMDAuNi8zMC8yMDE4LkxGUi5GAQAAAL/7AAgFAAAACTMvMzEvMjAxOABuN+GbeQPWCIRXypx5A9YIN0NJUS5BTUVYOlNZTi5JUV9FQVJOSU5HX0NPLkNZMjAxNi42LzMwLzIwMTguTEZSLkYuVVNELkgBAAAAbbB0AQIAAAAHLTI3LjgwMwEIAAAABQAAAAExAQAAAAoxODc1NDY5NTEwAwAAAAMxNjACAAAAATcEAAAAATAHAAAACTYvMzAvMjAxOAgAAAAKMTIvMzEvMjAxNgkAAAABMLcEIJp5A9YIInXGnHkD1gg1Q0lRLk5BU0RBUUdNOlJZVE0uSVFfQ0FQRVguMTk5Mi42LzMwLzIwMTguTEZSLkYuVVNELkgBAAAAGMltEgIAAAAGLTAuNTc4AQgAAAAFAAAAATEBAAAACjE4NTkyNjA1NzUDAAAAAzE2MAIAAAAEMjAyMQQAAAABMAcAAAAJNi8zMC8yMDE4CAAAAAkzLzMxLzIwMTYJAAAAATB16eCbeQPWCG48zZx5A9YIQkNJUS4oSU5WQUxJRCBJREVOVElGSUVSKS5JUV9UT1RBTF9SRVYuQ1kyMDE3LjYvMzAvMjAxOC5MRlIuRi5VU0QuSAUAAAAAAAAACAAAABQoSW52YWxpZCBJZGVudGlmaWVyKa9SIJp5A9YIMcjEnHkD1gg7Q0lRLk5BU0RBUUdTOlZWVVMuSVFfUFJFRl9FUVVJ</t>
  </si>
  <si>
    <t>VFkuMjAwMC42LzMwLzIwMTguTEZSLkYuVVNELkgBAAAALo4AAAMAAAAAADbKH5p5A9YIC6jJnHkD1gg2Q0lRLk5BU0RBUUdTOlZWVVMuSVFfRUJJVERBLjE5OTIuNi8zMC8yMDE4LkxGUi5GLlVTRC5IAQAAAC6OAAACAAAABi0yNC42MwEIAAAABQAAAAExAQAAAAoxODQwNjUxOTcwAwAAAAMxNjACAAAABDQwNTEEAAAAATAHAAAACTYvMzAvMjAxOAgAAAAJMy8zMS8yMDE2CQAAAAEwNsofmnkD1ggLgcmceQPWCDBDSVEuTkFTREFRR1M6VllHUi5JUV9MQVNUU0FMRVBSSUNFLjYvMzAvMjAxOC5VU0QBAAAAXsxPDwIAAAAFMTkuNTQA8dXgm3kD1gj2PsyceQPWCDxDSVEuTkFTREFRR1M6WkZHTi5JUV9UT1RBTF9FUVVJVFkuMTk5Ni42LzMwLzIwMTguTEZSLkYuVVNELkgBAAAAl8C6AQIAAAAHMTEwLjc3NAEIAAAABQAAAAExAQAAAAoxODg5ODk1MzU1AwAAAAMxNjACAAAABDEyNzUEAAAAATAHAAAACTYvMzAvMjAxOAgAAAAJMy8zMS8yMDE3CQAAAAEw8CPhm3kD1ggALsuceQPWCCpDSVEuSVFUUjM3NDMzMTU4Ni5JUV9UUl9UQVJHRVRfRUJJVC4uVVNELkgBAAAAwthPFgIAAAAAALHkcZd5A9YIVdPPnHkD1ggiQ0lRLkFJTTpPUFRJLklRX1BFUklPRERBVEVfSVMuMTAwMAEAAAAz27UHBQAAAAoxMS8zMC8yMDE3ALfdH5p5A9YImknInHkD1gg8Q0lRLk5BU0RBUUdTOkFDQUQuSVFfR1JPU1NfTUFSR0lOLjIw</t>
  </si>
  <si>
    <t>MDAuNi8zMC8yMDE4LkxGUi5GLlVTRC5IAQAAAMFuCgACAAAABy01LjE2MTQBCAAAAAUAAAABMQEAAAAKMTg4NjYyNzUzNgMAAAADMTYwAgAAAAQ0MDc0BAAAAAEwBwAAAAk2LzMwLzIwMTgIAAAACTMvMzEvMjAxOAkAAAABMPHV4Jt5A9YIZf/NnHkD1gg5Q0lRLk5BU0RBUUdTOk1DUkIuSVFfVE9UQUxfUkVWLjE5OTYuNi8zMC8yMDE4LkxGUi5GLlVTRC5IAQAAANNiQQ0CAAAABjIyLjA3MQEIAAAABQAAAAExAQAAAAoxODg4MTA1NDI4AwAAAAMxNjACAAAAAjI4BAAAAAEwBwAAAAk2LzMwLzIwMTgIAAAACTMvMzEvMjAxNwkAAAABMPAj4Zt5A9YIAeDKnHkD1ggrQ0lRLk5BU0RBUUdNOlJZVE0uSVFfTEFTVFNBTEVQUklDRS4xLzUvMjAxOAEAAAAYyW0SAgAAAAUyNy45NADx1eCbeQPWCG4VzZx5A9YILENJUS5JUVRSMzc2Nzk5MjMyLklRX1RSX1RPVEFMX0dST1NTX1RWLlVTRC5IBQAAAAAAAAAIAAAAGihJbnZhbGlkIEN1cnJlbmN5IFJlcXVlc3QpNINxl3kD1gjZSs+ceQPWCENDSVEuTkFTREFRR1M6VlZVUy5JUV9FQklUREFfNVlSX0FOTl9DQUdSLjIwMDAuNi8zMC8yMDE4LkxGUi5GLlVTRC5IAQAAAC6OAAADAAAAAk5NAQgAAAAFAAAAATEBAAAACjE4ODc0NDQzMjgDAAAAAzE2MAIAAAAENDIzNQQAAAABMAcAAAAJNi8zMC8yMDE4CAAAAAkzLzMxLzIwMTgJAAAAATA2yh+aeQPWCBb5yJx5A9YIKUNJ</t>
  </si>
  <si>
    <t>US5JUTM2MTgzODE2LklRX0xBU1RTQUxFUFJJQ0UuNi8zMC8yMDE4AQAAAAgfKAICAAAABDEuOTMAOqpxl3kD1gjodM6ceQPWCC5DSVEuSVFUUjU2MDI1MDI2Ni5JUV9UUl9UQVJHRVRfU1RPQ0tQUkVNSVVNXzFNAQAAAJq9ZCECAAAAAAA20XGXeQPWCGWvzpx5A9YIIUNJUS5PVENQSzpORVhTLklRX0VGRkVDVF9UQVhfUkFURQEAAAAdvU4UAwAAAAAAMhggmnkD1ggrssWceQPWCCVDSVEuSVFUUjMxODU0MjIxMC5JUV9UUl9JTVBMSUVEX0VRX0JWAQAAAIKR/BICAAAAAAAy+HGXeQPWCFdv0Jx5A9YINUNJUS5OQVNEQVFHTTpSWVRNLklRX0NBUEVYLjIwMDAuNi8zMC8yMDE4LkxGUi5GLlVTRC5IAQAAABjJbRICAAAABi0wLjEzMwEIAAAABQAAAAExAQAAAAoxODg4OTExNDcwAwAAAAMxNjACAAAABDIwMjEEAAAAATAHAAAACTYvMzAvMjAxOAgAAAAJMy8zMS8yMDE4CQAAAAEwdengm3kD1ghuPM2ceQPWCCVDSVEuSVFUUjIwODY0MDU1My5JUV9UUl9JTVBMSUVEX0VRX0JWAQAAACmabwwCAAAABzQuMTM4MjUBBgAAAAUAAAACNTQBAAAABjEwMjA5NwIAAAAJMjA4NjQwNTUzAwAAAAkyMDg2NDQ2NzgEAAAAAzE2MAYAAAAFRmFsc2VoC3KXeQPWCFEy0Zx5A9YIJENJUS5PVENQSzpORVhTLklRX1BFUklPRERBVEVfSVMuMTAwMAEAAAAdvU4UBQAAAAkyLzI4LzIwMTcAMhggmnkD1gikOsaceQPWCCJDSVEuSVFU</t>
  </si>
  <si>
    <t>UjMxMDIyOTE4OC5JUV9UUl9QQ1RfU09VR0hUAQAAAMS4fRICAAAAAzEwMAAy+HGXeQPWCNiC0Jx5A9YILkNJUS5JUVRSMzIyNDY3NjI1LklRX1RSX1RBUkdFVF9TVE9DS1BSRU1JVU1fMVcBAAAAKXc4EwIAAAAIMTk2LjcwNTcBBgAAAAUAAAACNTQBAAAABjEwMTA1NAIAAAAJMzIyNDY3NjI1AwAAAAkzMjI0NzM3OTAEAAAAAzE2MAYAAAAFRmFsc2Uy+HGXeQPWCNk00Jx5A9YIIkNJUS5JUVRSMzE4NTQyMjEwLklRX1RSX1RPVEFMX0NBU0gBAAAAgpH8EgIAAAAAADL4cZd5A9YI2VvQnHkD1gg1Q0lRLk5BU0RBUUNNOlNMTk8uSVFfQ0FQRVguMTk5Ni42LzMwLzIwMTguTEZSLkYuVVNELkgBAAAA6XUmAAIAAAAIMC4wMDQyMDUBCAAAAAUAAAABMQEAAAAKMTg4OTA1NzYwMAMAAAADMTYwAgAAAAQyMDIxBAAAAAEwBwAAAAk2LzMwLzIwMTgIAAAACTMvMzEvMjAxNwkAAAABMDXxH5p5A9YInkvHnHkD1gglQ0lRLklRVFI1NDEyODM3MDAuSVFfVFJfSU1QTElFRF9FUV9CVgEAAAB0VUMgAgAAAAAANtFxl3kD1gjq6c6ceQPWCCFDSVEuTkFTREFRR1M6VlZVUy5JUV9DT01QQU5ZX05BTUUBAAAALo4AAAMAAAALVklWVVMsIEluYy4ALXwfmnkD1giMu8mceQPWCDxDSVEuTkFTREFRR1M6TUNSQi5JUV9FQklUREFfRVNULkNZMjAxOS42LzMwLzIwMTguQ09OLkYuVVNELkgBAAAA02JBDQIAAAAKLTEyMy42NTgyNwEO</t>
  </si>
  <si>
    <t>AAAABQAAAAIxMQEAAAABMAIAAAAKMTAwMzEzMjAxMwMAAAAGMTAwMTg3BAAAAAEyBgAAAAEwBwAAAAMxNjAIAAAAATAJAAAAATEKAAAAATALAAAACzEwODk3NzE0OTQ2DAAAAAE3DQAAAAg3LzEvMjAxOBAAAAAJNi8zMC8yMDE47Erhm3kD1giCzMqceQPWCChDSVEuTkFTREFRR1M6VllHUi5JUV9URVYuNi8zMC8yMDE4LlVTRC5IAQAAAF7MTw8CAAAACjQxMy4zNTQyNjEBBgAAAAUAAAABMQEAAAAKMTg4ODQ3OTA4OAMAAAADMTYwAgAAAAYxMDAwNjAEAAAAATAHAAAACTYvMzAvMjAxOPHV4Jt5A9YI9j7MnHkD1gggQ0lRLklRMTM1ODAzODcuSVFfQ09NUEFOWV9USUNLRVIBAAAAYzjPAAMAAAANTmFzZGFxQ006QVZYTACxvXGXeQPWCFrn2pd5A9YINUNJUS5OQVNEQVFDTTpBVlhMLklRX0NBUEVYLjE5OTIuNi8zMC8yMDE4LkxGUi5GLlVTRC5IAQAAAGM4zwADAAAAAAC33R+aeQPWCBeryJx5A9YINUNJUS5OQVNEQVFHUzpWWUdSLklRX0NBUEVYLjE5OTYuNi8zMC8yMDE4LkxGUi5GLlVTRC5IAQAAAF7MTw8CAAAABi03LjUxNAEIAAAABQAAAAExAQAAAAoxODg4NDgwNTgxAwAAAAMxNjACAAAABDIwMjEEAAAAATAHAAAACTYvMzAvMjAxOAgAAAAJMy8zMS8yMDE3CQAAAAEwchDhm3kD1gj38MuceQPWCC9DSVEuSVFUUjMyMjQ2NzYyNS5JUV9UUl9UQVJHRVRfVE9UQUxfUkVWLi5VU0QuSAEAAAApdzgTAgAA</t>
  </si>
  <si>
    <t>AAY0LjA3MjYBBwAAAAUAAAACMzcBAAAACjE3ODE5ODAwMTkCAAAAAjI4AwAAAAMxNjAEAAAAATAHAAAACDEvMS8xOTAwBgAAAAkxLzE5LzIwMTYy+HGXeQPWCFsh0Jx5A9YIOENJUS5OQVNEQVFHUzpaRkdOLklRX0VCSVREQS5DWTIwMTYuNi8zMC8yMDE4LkxGUi5GLlVTRC5IAQAAAJfAugECAAAABi01Ni42MQEIAAAABQAAAAExAQAAAAoxODc4Nzg5MzcwAwAAAAMxNjACAAAABDQwNTEEAAAAATAHAAAACTYvMzAvMjAxOAgAAAAKMTIvMzEvMjAxNgkAAAABMHIQ4Zt5A9YI+3vLnHkD1gg6Q0lRLk5BU0RBUUdTOlZZR1IuSVFfRUFSTklOR19DTy4yMDAwLjYvMzAvMjAxOC5MRlIuRi5VU0QuSAEAAABezE8PAgAAAActNzMuOTc2AQgAAAAFAAAAATEBAAAACjE4ODg0ODA1OTMDAAAAAzE2MAIAAAABNwQAAAABMAcAAAAJNi8zMC8yMDE4CAAAAAkzLzMxLzIwMTgJAAAAATByEOGbeQPWCHndy5x5A9YIPENJUS5OQVNEQVFHUzpWVlVTLklRX0VCSVREQV9FU1QuQ1kyMDE4LjYvMzAvMjAxOC5DT04uRi5VU0QuSAEAAAAujgAAAwAAAAAAu48fmnkD1giNbcmceQPWCBhDSVEuLklRX1RSX01BSl9NSU5fU1RBS0UFAAAAAQAAAAgAAAAUKEludmFsaWQgSWRlbnRpZmllcilswuCbeQPWCGzC4Jt5A9YIOENJUS5UU1hWOkNPQi5VLklRX1RPVEFMX1JFVi5DWTIwMTYuNi8zMC8yMDE4LkxGUi5GLlVTRC5IAQAAAL/7AAgD</t>
  </si>
  <si>
    <t>AAAAAAC4th+aeQPWCAZEypx5A9YIRkNJUS5OQVNEQVFHUzpWWUdSLklRX1RPVEFMX1JFVl81WVJfQU5OX0NBR1IuMjAwMC42LzMwLzIwMTguTEZSLkYuVVNELkgBAAAAXsxPDwMAAAAAAHIQ4Zt5A9YIfLbLnHkD1gg8Q0lRLk5BU0RBUUNNOkFTTUIuSVFfRUJJVERBX0VTVC5DWTIwMjAuNi8zMC8yMDE4LkNPTi5GLlVTRC5IAQAAABCJ8QUDAAAAAABuN+GbeQPWCPGzzJx5A9YIKUNJUS5JUVRSMjQzNzQ0MzA2LklRX1RSX0lNUExJRURfRVFfTklfTFRNAQAAADI+hw4DAAAAAk5NAGgLcpd5A9YIVQvRnHkD1gg3Q0lRLk5BU0RBUUNNOkFWWEwuSVFfUEVSSU9EREFURV9JUy4yMDAwLjYvMzAvMjAxOC5MRlIuRgEAAABjOM8ABQAAAAkzLzMxLzIwMTgANsofmnkD1ggW+ciceQPWCClDSVEuSVFUUjI3ODg4MzcxNi5JUV9UUl9JTVBMSUVEX0VRX05JX0xUTQEAAACEbZ8QAwAAAAJOTQBoC3KXeQPWCFa90Jx5A9YIIENJUS5JUVRSNTQ3MzM4ODE0LklRX1RSX0VBUk5PVVRTAQAAAD66nyACAAAAAAA20XGXeQPWCGWvzpx5A9YIHUNJUS5OQVNEQVFDTTpSVFRSLklRX0VYQ0hBTkdFAQAAAB+aswMDAAAACE5hc2RhcUNNAC18H5p5A9YIK4vFnHkD1ghAQ0lRLihJTlZBTElEIElERU5USUZJRVIpLklRX1RPVEFMX1JFVi4xOTk2LjYvMzAvMjAxOC5MRlIuRi5VU0QuSAUAAAAAAAAACAAAABQoSW52YWxpZCBJZGVudGlm</t>
  </si>
  <si>
    <t>aWVyKTFmIJp5A9YIstvEnHkD1ghAQ0lRLlRTWFY6Q09CLlUuSVFfRUJJVERBXzJZUl9BTk5fQ0FHUi4yMDAwLjYvMzAvMjAxOC5MRlIuRi5VU0QuSAEAAAC/+wAIAwAAAAJOTQEIAAAABQAAAAExAQAAAAoxODg5MDYyMDc0AwAAAAMxNjACAAAABDQyMDkEAAAAATAHAAAACTYvMzAvMjAxOAgAAAAJMy8zMS8yMDE4CQAAAAEwNsofmnkD1giMu8mceQPWCCdDSVEuTkFTREFRQ006QVNNQi5JUV9CRVRBXzFZUi42LzMwLzIwMTgBAAAAEInxBQIAAAAQMS43MjQ3NzAwNDAzOTY1MQDsSuGbeQPWCPGMzJx5A9YIO0NJUS5OQVNEQVFHUzpaRkdOLklRX0VCSVRfTUFSR0lOLjIwMDAuNi8zMC8yMDE4LkxGUi5GLlVTRC5IAQAAAJfAugEDAAAAAAByEOGbeQPWCPxUy5x5A9YIIUNJUS5UU1hWOkNPQi5VLklRX0VGRkVDVF9UQVhfUkFURQEAAAC/+wAIAwAAAAAAuLYfmnkD1giMu8mceQPWCEFDSVEuQUlNOk9QVEkuSVFfVE9UQUxfUkVWXzNZUl9BTk5fQ0FHUi4yMDAwLjYvMzAvMjAxOC5MRlIuRi5VU0QuSAEAAAAz27UHAwAAAAAANfEfmnkD1gijrceceQPWCDxDSVEuTkFTREFRQ006UlRUUi5JUV9FQklUREFfRVNULkNZMjAyMC42LzMwLzIwMTguQ09OLkYuVVNELkgBAAAAH5qzAwMAAAAAADajH5p5A9YIrlDFnHkD1gguQ0lRLihJTlZBTElEIElERU5USUZJRVIpLklRX0JFVEFfMllSLjYvMzAvMjAxOAUAAAAAAAAA</t>
  </si>
  <si>
    <t>CAAAABQoSW52YWxpZCBJZGVudGlmaWVyKa95IJp5A9YIOHrEnHkD1ggeQ0lRLjAuSVFfVFJfVEFSR0VUX0VCSVQuLlVTRC5IBQAAAAAAAAAIAAAAGChJbnZhbGlkIFRyYW5zYWN0aW9uIElkKbWWcZd5A9YIUIDRnHkD1gg6Q0lRLk5BU0RBUUNNOlJUVFIuSVFfVE9UQUxfREVCVC4yMDAwLjYvMzAvMjAxOC5MRlIuRi5VU0QuSAEAAAAfmrMDAgAAAAEwAQgAAAAFAAAAATEBAAAACjE4ODkxMDQwOTgDAAAAAzE2MAIAAAAENDE3MwQAAAABMAcAAAAJNi8zMC8yMDE4CAAAAAkzLzMxLzIwMTgJAAAAATAyGCCaeQPWCCuLxZx5A9YIQkNJUS5BTUVYOlNZTi5JUV9NSU5PUklUWV9JTlRFUkVTVF9UT1RBTC4yMDAwLjYvMzAvMjAxOC5MRlIuRi5VU0QuSAEAAABtsHQBAgAAAAYtMS45MjMBCAAAAAUAAAABMQEAAAAKMTg4NzQwODcyNgMAAAADMTYwAgAAAAQxMzEyBAAAAAEwBwAAAAk2LzMwLzIwMTgIAAAACTMvMzEvMjAxOAkAAAABMLcEIJp5A9YIIOrGnHkD1gg7Q0lRLk5BU0RBUUdTOk1DUkIuSVFfRUJJVF9NQVJHSU4uMjAwMC42LzMwLzIwMTguTEZSLkYuVVNELkgBAAAA02JBDQIAAAAJLTI4My42NzMxAQgAAAAFAAAAATEBAAAACjE4ODgxMDU0NTEDAAAAAzE2MAIAAAAENDA1MwQAAAABMAcAAAAJNi8zMC8yMDE4CAAAAAkzLzMxLzIwMTgJAAAAATDwI+GbeQPWCAG5ypx5A9YIL0NJUS4oSU5WQUxJRCBJREVO</t>
  </si>
  <si>
    <t>VElGSUVSKS5JUV9URVYuNi8zMC8yMDE4LlVTRC5IBQAAAAAAAAAIAAAAFChJbnZhbGlkIElkZW50aWZpZXIpu48fmnkD1ggw78SceQPWCEFDSVEuKElOVkFMSUQgSURFTlRJRklFUikuSVFfVE9UQUxfREVCVC4yMDAwLjYvMzAvMjAxOC5MRlIuRi5VU0QuSAUAAAAAAAAACAAAABQoSW52YWxpZCBJZGVudGlmaWVyKTFmIJp5A9YIstvEnHkD1gg/Q0lRLk5BU0RBUUdTOlpGR04uSVFfTkVUX1dPUktJTkdfQ0FQLjE5OTIuNi8zMC8yMDE4LkxGUi5GLlVTRC5IAQAAAJfAugECAAAABi03LjIyNQEIAAAABQAAAAExAQAAAAoxODQwOTM1OTYzAwAAAAMxNjACAAAABDEzMTEEAAAAATAHAAAACTYvMzAvMjAxOAgAAAAJMy8zMS8yMDE2CQAAAAEwchDhm3kD1gj8VMuceQPWCDZDSVEuT1RDUEs6TkVYUy5JUV9UT1RBTF9SRVYuMTk5Ni42LzMwLzIwMTguTEZSLkYuVVNELkgBAAAAHb1OFAMAAAAAADIYIJp5A9YIJifGnHkD1gg5Q0lRLkFJTTpPUFRJLklRX0NBU0hfU1RfSU5WRVNULjIwMDAuNi8zMC8yMDE4LkxGUi5GLlVTRC5IAQAAADPbtQcCAAAACDEuNjg0OTQzAQgAAAAFAAAAATEBAAAACjE4OTEwMjIwNzYDAAAAAzE2MAIAAAAEMTAwMgQAAAABMAcAAAAJNi8zMC8yMDE4CAAAAAoxMS8zMC8yMDE3CQAAAAEwt90fmnkD1ggZNsiceQPWCDlDSVEuTkFTREFRR1M6QUNBRC5JUV9UT1RBTF9SRVYuMTk5Ni42LzMw</t>
  </si>
  <si>
    <t>LzIwMTguTEZSLkYuVVNELkgBAAAAwW4KAAIAAAAGMzIuNjEzAQgAAAAFAAAAATEBAAAACjE4ODY2Mjc1NjMDAAAAAzE2MAIAAAACMjgEAAAAATAHAAAACTYvMzAvMjAxOAgAAAAJMy8zMS8yMDE3CQAAAAEw8dXgm3kD1ghnOs6ceQPWCDZDSVEuTkFTREFRR006UllUTS5JUV9FQklUREEuMTk5Mi42LzMwLzIwMTguTEZSLkYuVVNELkgBAAAAGMltEgMAAAAAAHXp4Jt5A9YI63bNnHkD1gg2Q0lRLk5BU0RBUUdTOkFDQUQuSVFfRUJJVERBLjE5OTYuNi8zMC8yMDE4LkxGUi5GLlVTRC5IAQAAAMFuCgACAAAACC0zMDguOTQ1AQgAAAAFAAAAATEBAAAACjE4ODY2Mjc1NjMDAAAAAzE2MAIAAAAENDA1MQQAAAABMAcAAAAJNi8zMC8yMDE4CAAAAAkzLzMxLzIwMTcJAAAAATDx1eCbeQPWCGsTzpx5A9YIOENJUS5OQVNEQVFHUzpaRkdOLklRX0VCSVREQS5DWTIwMTcuNi8zMC8yMDE4LkxGUi5GLlVTRC5IAQAAAJfAugECAAAABy01Mi44MTEBCAAAAAUAAAABMQEAAAAKMTg3ODc4OTQxNAMAAAADMTYwAgAAAAQ0MDUxBAAAAAEwBwAAAAk2LzMwLzIwMTgIAAAACjEyLzMxLzIwMTcJAAAAATByEOGbeQPWCHpoy5x5A9YIK0NJUS5JUVRSNTQxMjgzNzAwLklRX1RSX1RPVEFMX0dST1NTX1RWLi5VU0QBAAAAdFVDIAIAAAAAADbRcZd5A9YI6unOnHkD1gg2Q0lRLk5BU0RBUUdTOk1DUkIuSVFfRUJJVERBLjIwMDAuNi8z</t>
  </si>
  <si>
    <t>MC8yMDE4LkxGUi5GLlVTRC5IAQAAANNiQQ0CAAAABy04Ni4zMDEBCAAAAAUAAAABMQEAAAAKMTg4ODEwNTQ1MQMAAAADMTYwAgAAAAQ0MDUxBAAAAAEwBwAAAAk2LzMwLzIwMTgIAAAACTMvMzEvMjAxOAkAAAABMPAj4Zt5A9YIgszKnHkD1gg+Q0lRLk5BU0RBUUdTOlpGR04uSVFfVE9UQUxfRVFVSVRZLkNZMjAxNi42LzMwLzIwMTguTEZSLkYuVVNELkgBAAAAl8C6AQIAAAAHMTIxLjcyNwEIAAAABQAAAAExAQAAAAoxODc4Nzg5MzcwAwAAAAMxNjACAAAABDEyNzUEAAAAATAHAAAACTYvMzAvMjAxOAgAAAAKMTIvMzEvMjAxNgkAAAABMPAj4Zt5A9YIAC7LnHkD1ggyQ0lRLlRTWFY6Q09CLlUuSVFfQ0FQRVguMjAwMC42LzMwLzIwMTguTEZSLkYuVVNELkgBAAAAv/sACAIAAAAJLTAuMDAzMjUzAQgAAAAFAAAAATEBAAAACjE4ODkwNjIwNzQDAAAAAzE2MAIAAAAEMjAyMQQAAAABMAcAAAAJNi8zMC8yMDE4CAAAAAkzLzMxLzIwMTgJAAAAATC4th+aeQPWCAr2yZx5A9YIKUNJUS5JUVRSMjQzNzQ0MzA2LklRX0JVU0lORVNTX0RFU0NSSVBUSU9OAQAAAOMaBAADAAAA0AZBcyBvZiBEZWNlbWJlciAxOCwgMjAxMywgRWxhbiBDb3Jwb3JhdGlvbiBMaW1pdGVkIHdhcyBhY3F1aXJlZCBieSBQZXJyaWdvIENvbXBhbnkgUHVibGljIExpbWl0ZWQgQ29tcGFueS4gRWxhbiBDb3Jwb3JhdGlvbiBMaW1pdGVkIGlz</t>
  </si>
  <si>
    <t>IGEgYmlvdGVjaG5vbG9neSBjb21wYW55IGluIHRoZSBVbml0ZWQgU3RhdGVzLCBJcmVsYW5kLCBhbmQgaW50ZXJuYXRpb25hbGx5LiBUaGUgY29tcGFueSBkZXZlbG9wcyBFTE5EMDA1LCBhbiBvcmFsbHkgYmlvYXZhaWxhYmxlIHNtYWxsIG1vbGVjdWxlIGluIFBoYXNlIElJIGNsaW5pY2FsIHRyaWFsIGJlaW5nIGludmVzdGlnYXRlZCBmb3IgbXVsdGlwbGUgbmV1cm9wc3ljaGlhdHJpYyBpbmRpY2F0aW9ucyBvbiB0aGUgYmFzaXMgb2YgaXRzIHByb3Bvc2VkIGR1YWwgbWVjaGFuaXNtIG9mIGFjdGlvbiwgd2hpY2ggaW5jbHVkZXMgYi1hbXlsb2lkIGFudGktYWdncmVnYXRpb24gYW5kIHJlZ3VsYXRpb24gb2YgYnJhaW4gbXlvLWlub3NpdG9sIGxldmVscy4gSXQgYWxzbyBkZXZlbG9wcyBFTE5EMDA1IGFzIGFuIGFkanVuY3RpdmUgbWFpbnRlbmFuY2UgdHJlYXRtZW50IGluIHBhdGllbnRzIHdpdGggQmlwb2xhciBJIERpc29yZGVyIHRvIGRlbGF5IHRoZSB0aW1lIHRvIG9jY3VycmVuY2Ugb2YgbW9vZCBlcGlzb2RlczsgYW5kIGZvciB0aGUgdHJlYXRtZW50IG9mIGFnaXRhdGlvbi9hZ2dyZXNzaW9uIGluIHBhdGllbnRzIHdpdGggbW9kZXJhdGUgdG8gc2V2ZXJlIEFsemhlaW1lcuKAmXMgZGlzZWFzZS4gRWxhbiBDb3Jwb3JhdGlvbiBMaW1pdGVkIHdhcyBmb3VuZGVkIGluIDE5NjkgYW5kIGlz</t>
  </si>
  <si>
    <t>IGhlYWRxdWFydGVyZWQgaW4gRHVibGluLCBJcmVsYW5kLgCxvXGXeQPWCNMe0Zx5A9YIRENJUS5PVENQSzpORVhTLklRX01JTk9SSVRZX0lOVEVSRVNUX1RPVEFMLjIwMDAuNi8zMC8yMDE4LkxGUi5GLlVTRC5IAQAAAB29ThQDAAAAAAAyGCCaeQPWCCYnxpx5A9YISkNJUS4oSU5WQUxJRCBJREVOVElGSUVSKS5JUV9FQklUREFfMllSX0FOTl9DQUdSLjIwMDAuNi8zMC8yMDE4LkxGUi5GLlVTRC5IBQAAAAAAAAAIAAAAFChJbnZhbGlkIElkZW50aWZpZXIpMWYgmnkD1gi0P8SceQPWCCxDSVEuSVFUUjM3ODU4NzgyMi5JUV9UUl9UQVJHRVRfRUJJVERBLi5VU0QuSAEAAACuypAWAgAAAAAAseRxl3kD1gjUmM+ceQPWCClDSVEuSVFUUjM3ODU4NzgyMi5JUV9CVVNJTkVTU19ERVNDUklQVElPTgEAAADAby4TAwAAAOcEQmFtYm9vIFRoZXJhcGV1dGljcywgSW5jLiBkZXZlbG9wcyB0aGVyYXBpZXMgZm9yIHJhcmUgYW5kIGRldmFzdGF0aW5nIGNlbnRyYWwgbmVydm91cyBzeXN0ZW0gYW5kIG5ldXJvbXVzY3VsYXIgZGlzZWFzZXMuIEl0IHByb3ZpZGVzIG11bHRpcGxlIHJlc2VhcmNoIGdyYWRlIGFuZCBjbGluaWNhbCBncmFkZSBsb3RzIGZvciBwaGFybWFjZXV0aWNhbCBhbmQgYmlvdGVjaG5vbG9neSBjb21wYW5pZXMsIGFzIHdlbGwgYXMgdW5pdmVyc2l0aWVzIGFuZCBmb3VuZGF0aW9uczsgYW5kIHJl</t>
  </si>
  <si>
    <t>cHJlc2VudHMgYSBjb21tdW5pdHkgb2YgcmVzZWFyY2hlcnMsIGNsaW5pY2lhbnMsIHJlZ3VsYXRvcnkgc2NpZW50aXN0cywgYW5kIGJ1c2luZXNzIHByb2Zlc3Npb25hbHMgY29tbWl0dGVkIHRvIHByb3ZpZGluZyBob3BlIHRvIHBhdGllbnRzIHN1ZmZlcmluZyBmcm9tIGRldmFzdGF0aW5nIGRpc2Vhc2UuIFRoZSBjb21wYW55IHdhcyBmb3VuZGVkIGluIDIwMTQgYW5kIGlzIGJhc2VkIGluIENoYXBlbCBIaWxsLCBOb3J0aCBDYXJvbGluYS4gQXMgb2YgQXVndXN0IDEsIDIwMTYsIEJhbWJvbyBUaGVyYXBldXRpY3MsIEluYy4gb3BlcmF0ZXMgYXMgYSBzdWJzaWRpYXJ5IG9mIFBmaXplciBJbmMuALG9cZd5A9YIVqzPnHkD1ghDQ0lRLk5BU0RBUUNNOkFTTUIuSVFfRUJJVERBXzJZUl9BTk5fQ0FHUi4yMDAwLjYvMzAvMjAxOC5MRlIuRi5VU0QuSAEAAAAQifEFAwAAAAJOTQEIAAAABQAAAAExAQAAAAoxODg3MjM1MDc4AwAAAAMxNjACAAAABDQyMDkEAAAAATAHAAAACTYvMzAvMjAxOAgAAAAJMy8zMS8yMDE4CQAAAAEw7fzgm3kD1gh3UsyceQPWCD9DSVEuKElOVkFMSUQgSURFTlRJRklFUikuSVFfRUJJVERBLkNZMjAxNi42LzMwLzIwMTguTEZSLkYuVVNELkgFAAAAAAAAAAgAAAAUKEludmFsaWQgSWRlbnRpZmllcikxZiCaeQPWCLO0xJx5A9YIMENJUS5OQVNEQVFDTTpBVlhMLklRX0xBU1RTQUxF</t>
  </si>
  <si>
    <t>UFJJQ0UuNi8zMC8yMDE4LlVTRAEAAABjOM8AAgAAAAQyLjYyAC18H5p5A9YIleXInHkD1ggsQ0lRLklRVFI1NDEyODM3MDAuSVFfVFJfVE9UQUxfR1JPU1NfVFYuVVNELkgFAAAAAAAAAAgAAAAaKEludmFsaWQgQ3VycmVuY3kgUmVxdWVzdCk0g3GXeQPWCOrpzpx5A9YIRkNJUS5OQVNEQVFHUzpaRkdOLklRX1RPVEFMX1JFVl8yWVJfQU5OX0NBR1IuMjAwMC42LzMwLzIwMTguTEZSLkYuVVNELkgBAAAAl8C6AQMAAAAAAPAj4Zt5A9YIgRrLnHkD1gg1Q0lRLk5BU0RBUUdTOlZWVVMuSVFfQ0FQRVguMTk5Mi42LzMwLzIwMTguTEZSLkYuVVNELkgBAAAALo4AAAIAAAAGLTAuMjYzAQgAAAAFAAAAATEBAAAACjE4NDA2NTE5NzADAAAAAzE2MAIAAAAEMjAyMQQAAAABMAcAAAAJNi8zMC8yMDE4CAAAAAkzLzMxLzIwMTYJAAAAATA2yh+aeQPWCBVHyZx5A9YIMUNJUS5JUVRSMzc2Nzk5MjMyLklRX1RSX1RBUkdFVF9SRVZFTlVFX0VTVC4uVVNELkgBAAAAAIB1FgIAAAAHMzIuNzY5NgCx5HGXeQPWCFdez5x5A9YII0NJUS5BTUVYOlNZTi5JUV9URVYuNi8zMC8yMDE4LlVTRC5IAQAAAG2wdAECAAAACTI5Ljg3OTQ3NwEGAAAABQAAAAExAQAAAAoxODg3NDA3NDk2AwAAAAMxNjACAAAABjEwMDA2MAQAAAABMAcAAAAJNi8zMC8yMDE4LXwfmnkD1gil/caceQPWCDRDSVEuQU1FWDpTWU4uSVFfVE9UQUxfUkVWLjE5</t>
  </si>
  <si>
    <t>OTYuNi8zMC8yMDE4LkxGUi5GLlVTRC5IAQAAAG2wdAEDAAAAAAC3BCCaeQPWCKLWxpx5A9YINkNJUS5OQVNEQVFDTTpTTE5PLklRX0VCSVREQS4xOTk2LjYvMzAvMjAxOC5MRlIuRi5VU0QuSAEAAADpdSYAAgAAAAktNS4xNDE0NDcBCAAAAAUAAAABMQEAAAAKMTg4OTA1NzYwMAMAAAADMTYwAgAAAAQ0MDUxBAAAAAEwBwAAAAk2LzMwLzIwMTgIAAAACTMvMzEvMjAxNwkAAAABMDXxH5p5A9YImnLHnHkD1ggjQ0lRLklRVFI1NDczMzg4MTQuSVFfVFJfQ0xPU0VEX0RBVEUBAAAAPrqfIAUAAAAKMTIvMTkvMjAxNwA20XGXeQPWCDbX0Zd5A9YIIkNJUS5JUVRSMjA4NjQwNTUzLklRX1RSX1RPVEFMX0NBU0gBAAAAKZpvDAIAAAAKMjY0LjY3MTcyOAEGAAAABQAAAAI1NAEAAAAGMTAxMDU2AgAAAAkyMDg2NDA1NTMDAAAACTIwODY0NDY3OAQAAAADMTYwBgAAAAVGYWxzZWgLcpd5A9YI0x7RnHkD1ggvQ0lRLklRVFIyNzI3NzYzMzguSVFfVFJfSU1QTElFRF9FVl9GSU5BTC4uVVNELkgBAAAAkjxCEAIAAAAKNTI4LjIyNjAyNAEGAAAABQAAAAI1NAEAAAAGMTAyMDQ1AgAAAAkyNzI3NzYzMzgDAAAACTI3Mjc3NzAyNQQAAAADMTYwBgAAAAVGYWxzZWgLcpd5A9YI1NDQnHkD1ggrQ0lRLklRVFIzNDA3MDQ4NjUuSVFfVFJfSU1QTElFRF9FVl9FQklUX0ZXRAEAAABhvk4UAgAAAAAAMvhxl3kD1gjdDdCceQPWCD1D</t>
  </si>
  <si>
    <t>SVEuTkFTREFRQ006UlRUUi5JUV9SRVZFTlVFX0VTVC5DWTIwMjAuNi8zMC8yMDE4LkNPTi5GLlVTRC5IAQAAAB+aswMCAAAAATEBDgAAAAUAAAACMTEBAAAAATACAAAACjEwMDMyMTk3MzgDAAAABjEwMDE4MAQAAAABMgYAAAABMAcAAAADMTYwCAAAAAEwCQAAAAExCgAAAAEwCwAAAAsxMDkwMTUzNjE4NAwAAAABNw0AAAAINy8xLzIwMTgQAAAACTYvMzAvMjAxODajH5p5A9YILGTFnHkD1gg0Q0lRLkFJTTpPUFRJLklRX1RPVEFMX1JFVi4xOTk2LjYvMzAvMjAxOC5MRlIuRi5VU0QuSAEAAAAz27UHAgAAAAgwLjM1OTc0NAEIAAAABQAAAAExAQAAAAoxODkxMDIyMDUzAwAAAAMxNjACAAAAAjI4BAAAAAEwBwAAAAk2LzMwLzIwMTgIAAAACjExLzMwLzIwMTYJAAAAATC33R+aeQPWCBk2yJx5A9YITUNJUS4oSU5WQUxJRCBJREVOVElGSUVSKS5JUV9NSU5PUklUWV9JTlRFUkVTVF9UT1RBTC4yMDAwLjEvNS8yMDE4LkxGUi5GLlVTRC5IBQAAAAAAAAAIAAAAFChJbnZhbGlkIElkZW50aWZpZXIpMWYgmnkD1gi0ZsSceQPWCChDSVEuTkFTREFRR1M6WkZHTi5JUV9URVYuNi8zMC8yMDE4LlVTRC5IAQAAAJfAugECAAAACjI5NC44NTczNzMBBgAAAAUAAAABMQEAAAAKMTg4OTg5NDcwOQMAAAADMTYwAgAAAAYxMDAwNjAEAAAAATAHAAAACTYvMzAvMjAxOPHV4Jt5A9YI+6LLnHkD1ggjQ0lRLklRVFIzMjUyMzM0</t>
  </si>
  <si>
    <t>NjEuSVFfVFJfQ0xPU0VEX0RBVEUBAAAANatiEwUAAAAJMi8xMC8yMDE2ADL4cZd5A9YIOo7Pl3kD1gg7Q0lRLk5BU0RBUUdTOk1DUkIuSVFfUFJFRl9FUVVJVFkuMjAwMC42LzMwLzIwMTguTEZSLkYuVVNELkgBAAAA02JBDQMAAAAAAPAj4Zt5A9YIf/PKnHkD1ggkQ0lRLk9UQ1BLOk5FWFMuSVFfQkVUQV8yWVIuNi8zMC8yMDE4AQAAAB29ThQCAAAAEDMuNzY5MzMwNzY2OTE0MjEAr3kgmnkD1ggn2cWceQPWCEBDSVEuVFNYVjpDT0IuVS5JUV9FQklUREFfM1lSX0FOTl9DQUdSLjIwMDAuNi8zMC8yMDE4LkxGUi5GLlVTRC5IAQAAAL/7AAgDAAAAAk5NAQgAAAAFAAAAATEBAAAACjE4ODkwNjIwNzQDAAAAAzE2MAIAAAAENDIyMgQAAAABMAcAAAAJNi8zMC8yMDE4CAAAAAkzLzMxLzIwMTgJAAAAATA2yh+aeQPWCIy7yZx5A9YIOENJUS5OQVNEQVFDTTpBU01CLklRX0VCSVREQS5DWTIwMTYuNi8zMC8yMDE4LkxGUi5GLlVTRC5IAQAAABCJ8QUCAAAACS00NS4xOTgyMQEIAAAABQAAAAExAQAAAAoxODc3NDA3NTg2AwAAAAMxNjACAAAABDQwNTEEAAAAATAHAAAACTYvMzAvMjAxOAgAAAAKMTIvMzEvMjAxNgkAAAABMO384Jt5A9YIb8fMnHkD1ghDQ0lRLk5BU0RBUUdTOkFDQUQuSVFfRUJJVERBXzJZUl9BTk5fQ0FHUi4yMDAwLjYvMzAvMjAxOC5MRlIuRi5VU0QuSAEAAADBbgoAAwAAAAJOTQEIAAAABQAA</t>
  </si>
  <si>
    <t>AAExAQAAAAoxODg2NjI3NTM2AwAAAAMxNjACAAAABDQyMDkEAAAAATAHAAAACTYvMzAvMjAxOAgAAAAJMy8zMS8yMDE4CQAAAAEwdengm3kD1gjrnc2ceQPWCD9DSVEuTkFTREFRQ006QVZYTC5JUV9ORVRfV09SS0lOR19DQVAuMTk5Ni42LzMwLzIwMTguTEZSLkYuVVNELkgBAAAAYzjPAAIAAAAJLTEuOTE3MjcyAQgAAAAFAAAAATEBAAAACjE4ODg1MDQyNTgDAAAAAzE2MAIAAAAEMTMxMQQAAAABMAcAAAAJNi8zMC8yMDE4CAAAAAkzLzMxLzIwMTcJAAAAATC33R+aeQPWCBeryJx5A9YIPENJUS5OQVNEQVFHUzpNQ1JCLklRX0VCSVREQV9FU1QuQ1kyMDE4LjYvMzAvMjAxOC5DT04uRi5VU0QuSAEAAADTYkENAgAAAAktOTYuNjg5OTYBDgAAAAUAAAACMTEBAAAAATACAAAACjEwMDMxMzIwMDgDAAAABjEwMDE4NwQAAAABMgYAAAABMAcAAAADMTYwCAAAAAEwCQAAAAExCgAAAAEwCwAAAAsxMDg5NzcxNDM1MwwAAAABNw0AAAAINy8xLzIwMTgQAAAACTYvMzAvMjAxOOxK4Zt5A9YIAbnKnHkD1gg9Q0lRLk5BU0RBUUdTOlZWVVMuSVFfUkVWRU5VRV9FU1QuQ1kyMDE5LjYvMzAvMjAxOC5DT04uRi5VU0QuSAEAAAAujgAAAgAAAAI2MAEOAAAABQAAAAIxMQEAAAABMAIAAAAKMTAwMDgxNTc5NgMAAAAGMTAwMTgwBAAAAAEyBgAAAAEwBwAAAAMxNjAIAAAAATAJAAAAATEKAAAAATALAAAACzEwODczMjA4Mjky</t>
  </si>
  <si>
    <t>DAAAAAE3DQAAAAg3LzEvMjAxOBAAAAAJNi8zMC8yMDE4u48fmnkD1ggLgcmceQPWCDlDSVEuTkFTREFRR006UllUTS5JUV9UT1RBTF9SRVYuMTk5Mi42LzMwLzIwMTguTEZSLkYuVVNELkgBAAAAGMltEgMAAAAAAHXp4Jt5A9YIaYrNnHkD1gg8Q0lRLk5BU0RBUUdTOlpGR04uSVFfRUJJVERBX0VTVC5DWTIwMTguNi8zMC8yMDE4LkNPTi5GLlVTRC5IAQAAAJfAugEDAAAAAADsSuGbeQPWCHpoy5x5A9YIPENJUS5OQVNEQVFHUzpaRkdOLklRX0VCSVREQV9FU1QuQ1kyMDIwLjYvMzAvMjAxOC5DT04uRi5VU0QuSAEAAACXwLoBAwAAAAAA7Erhm3kD1gh6aMuceQPWCD1DSVEuTkFTREFRQ006UlRUUi5JUV9SRVZFTlVFX0VTVC5DWTIwMTkuNi8zMC8yMDE4LkNPTi5GLlVTRC5IAQAAAB+aswMCAAAAATABDgAAAAUAAAACMTEBAAAAATACAAAACjEwMDMyMTk3MzMDAAAABjEwMDE4MAQAAAABMgYAAAABMAcAAAADMTYwCAAAAAEwCQAAAAExCgAAAAEwCwAAAAsxMDkwMTQyMzU2NwwAAAABNw0AAAAINy8xLzIwMTgQAAAACTYvMzAvMjAxODajH5p5A9YILGTFnHkD1ggqQ0lRLihJTlZBTElEIElERU5USUZJRVIpLklRX0NPTVBBTllfVElDS0VSBQAAAAAAAAAIAAAAFChJbnZhbGlkIElkZW50aWZpZXIpsb1xl3kD1gjk6fiXeQPWCC5DSVEuSVFUUjMzMDMyNDI4NS5JUV9UUl9UQVJHRVRfU1RPQ0tQUkVNSVVNXzFX</t>
  </si>
  <si>
    <t>AQAAAD1ZsBMCAAAAAAA20XGXeQPWCOYQz5x5A9YIPUNJUS5OQVNEQVFHUzpNQ1JCLklRX1JFVkVOVUVfRVNULkNZMjAyMS42LzMwLzIwMTguQ09OLkYuVVNELkgBAAAA02JBDQIAAAAJMjQwLjI0MDc1AQ4AAAAFAAAAAjExAQAAAAEwAgAAAAoxMDAzMTMyMDIzAwAAAAYxMDAxODAEAAAAATIGAAAAATAHAAAAAzE2MAgAAAABMAkAAAABMQoAAAABMAsAAAALMTA5MDA3MTg3MTIMAAAAATcNAAAACDcvMS8yMDE4EAAAAAk2LzMwLzIwMTjsSuGbeQPWCILMypx5A9YIIkNJUS5JUVRSMjc4ODgzNzE2LklRX1RSX1BDVF9TT1VHSFQBAAAAhG2fEAIAAAADMTAwADL4cZd5A9YI2KnQnHkD1ggyQ0lRLk5BU0RBUUdTOk9WSUQuSVFfVE9UQUxfUkVWLjIwMDAuMTAvMTgvMjAxNi4uLi4BAAAAINA3EQMAAAAAALG9cZd5A9YI2jHNl3kD1ggoQ0lRLlRTWFY6Q09CLlUuSVFfTEFTVFNBTEVQUklDRS4xLzUvMjAxOAEAAAC/+wAIAgAAAAM2LjEALXwfmnkD1ggKz8mceQPWCCBDSVEuSVEzNjE4MzgzNC5JUV9MQVNUU0FMRVBSSUNFLgEAAAAaHygCAgAAAAQyLjgxAPHV4Jt5A9YI8dXgm3kD1gg8Q0lRLk5BU0RBUUdTOlZZR1IuSVFfVE9UQUxfRVFVSVRZLjIwMDAuNi8zMC8yMDE4LkxGUi5GLlVTRC5IAQAAAF7MTw8CAAAABjk4LjI5MwEIAAAABQAAAAExAQAAAAoxODg4NDgwNTkzAwAAAAMxNjACAAAABDEyNzUEAAAAATAH</t>
  </si>
  <si>
    <t>AAAACTYvMzAvMjAxOAgAAAAJMy8zMS8yMDE4CQAAAAEwchDhm3kD1gj6ycuceQPWCCRDSVEuTkFTREFRQ006QVZYTC5JUV9FRkZFQ1RfVEFYX1JBVEUBAAAAYzjPAAMAAAACTk0BCAAAAAUAAAACMjkCAAAABDQzNzYBAAAACjE4OTk1MDczNTIDAAAAAzE2MAQAAAABMAcAAAAJOC8xNi8yMDE4CAAAAAk2LzMwLzIwMTgJAAAAATC33R+aeQPWCJpwyJx5A9YIL0NJUS5OQVNEQVFHUzpPVklELklRX0VCSVREQS4yMDAwLjEwLzE4LzIwMTYuLi4uAQAAACDQNxEDAAAAAACxvXGXeQPWCFtFzZd5A9YIKUNJUS5OQVNEQVFDTTpSVFRSLklRX0JVU0lORVNTX0RFU0NSSVBUSU9OAQAAAB+aswMDAAAAjQZSaXR0ZXIgUGhhcm1hY2V1dGljYWxzLCBJbmMuIGRldmVsb3BzIGFuZCBzZWxscyBub3ZlbCB0aGVyYXBldXRpYyBwcm9kdWN0cyB0aGF0IG1vZHVsYXRlIHRoZSBodW1hbiBndXQgbWljcm9iaW9tZSB0byB0cmVhdCBnYXN0cm9pbnRlc3RpbmFsIGRpc2Vhc2VzLiBJdHMgbGVhZCBwcm9kdWN0IGNhbmRpZGF0ZSBpcyBSUC1HMjgsIGEgbm92ZWwgbWljcm9iaW9tZSBtb2R1bGF0b3IsIHdoaWNoIGhhcyBjb21wbGV0ZWQgUGhhc2UgMmIgY2xpbmljYWwgdHJpYWwgZm9yIHRoZSByZWR1Y3Rpb24gb2Ygc3ltcHRvbXMgYXNzb2NpYXRlZCB3aXRoIGxhY3Rvc2UgaW50b2xlcmFuY2UuIFRoZSBjb21wYW554oCZcyBw</t>
  </si>
  <si>
    <t>cm9kdWN0LCBSUC1HMjggaXMgZGVzaWduZWQgdG8gc3RpbXVsYXRlIHRoZSBncm93dGggb2YgbGFjdG9zZS1tZXRhYm9saXppbmcgYmFjdGVyaWEgaW4gdGhlIGNvbG9uLCB0aGVyZWJ5IGFkYXB0aW5nIHRoZSBndXQgbWljcm9iaW9tZSB0byBhc3Npc3QgaW4gZGlnZXN0aW5nIHRoZSBsYWN0b3NlIHRoYXQgcmVhY2hlcyB0aGUgbGFyZ2UgaW50ZXN0aW5lLiBUaGUgY29tcGFueSB3YXMgZm9ybWVybHkga25vd24gYXMgUml0dGVyIE5hdHVyYWwgU2NpZW5jZXMsIExMQyBhbmQgY2hhbmdlZCBpdHMgbmFtZSB0byBSaXR0ZXIgUGhhcm1hY2V1dGljYWxzLCBJbmMuIGluIFNlcHRlbWJlciAyMDA4LiBSaXR0ZXIgUGhhcm1hY2V1dGljYWxzLCBJbmMuIHdhcyBmb3VuZGVkIGluIDIwMDQgYW5kIGlzIGhlYWRxdWFydGVyZWQgaW4gTG9zIEFuZ2VsZXMsIENhbGlmb3JuaWEuAC18H5p5A9YIrinFnHkD1gg1Q0lRLk5BU0RBUUdTOk1DUkIuSVFfREFfQ0YuMjAwMC42LzMwLzIwMTguTEZSLkYuVVNELkgBAAAA02JBDQIAAAAENy40NwEIAAAABQAAAAExAQAAAAoxODg4MTA1NDUxAwAAAAMxNjACAAAABDIxNjAEAAAAATAHAAAACTYvMzAvMjAxOAgAAAAJMy8zMS8yMDE4CQAAAAEwbjfhm3kD1gh/88qceQPWCD1DSVEuTkFTREFRQ006U0xOTy5JUV9SRVZFTlVFX0VTVC5DWTIwMTkuNi8zMC8yMDE4LkNPTi5GLlVT</t>
  </si>
  <si>
    <t>RC5IAQAAAOl1JgACAAAABDAuNzUBDgAAAAUAAAACMTEBAAAAATACAAAACjEwMDMwMzQyMDIDAAAABjEwMDE4MAQAAAABMgYAAAABMAcAAAADMTYwCAAAAAEwCQAAAAExCgAAAAEwCwAAAAsxMDkzNzY3MjAyMgwAAAABNw0AAAAINy8xLzIwMTgQAAAACTYvMzAvMjAxODajH5p5A9YIG4bHnHkD1ghDQ0lRLk5BU0RBUUNNOlJUVFIuSVFfRUJJVERBXzJZUl9BTk5fQ0FHUi4yMDAwLjYvMzAvMjAxOC5MRlIuRi5VU0QuSAEAAAAfmrMDAwAAAAJOTQEIAAAABQAAAAExAQAAAAoxODg5MTA0MDk4AwAAAAMxNjACAAAABDQyMDkEAAAAATAHAAAACTYvMzAvMjAxOAgAAAAJMy8zMS8yMDE4CQAAAAEwsysgmnkD1ggw78SceQPWCDxDSVEuTkFTREFRQ006U0xOTy5JUV9UT1RBTF9FUVVJVFkuMjAwMC42LzMwLzIwMTguTEZSLkYuVVNELkgBAAAA6XUmAAIAAAAGMjMuMDE5AQgAAAAFAAAAATEBAAAACjE4ODkwNTc2MDYDAAAAAzE2MAIAAAAEMTI3NQQAAAABMAcAAAAJNi8zMC8yMDE4CAAAAAkzLzMxLzIwMTgJAAAAATA18R+aeQPWCJ4kx5x5A9YILENJUS5JUVRSMzIyNDY3NjI1LklRX1RSX1RBUkdFVF9FQklUREEuLlVTRC5IAQAAACl3OBMCAAAACi0zMS42NjYyMTIBBwAAAAUAAAACMzcBAAAACjE3ODE5ODAwMTkCAAAABTIxNjc3AwAAAAMxNjAEAAAAATAHAAAACDEvMS8xOTAwBgAAAAkxLzE5LzIwMTYy+HGXeQPW</t>
  </si>
  <si>
    <t>CFsh0Jx5A9YIJENJUS5OQVNEQVFHUzpWWUdSLklRX0VGRkVDVF9UQVhfUkFURQEAAABezE8PAwAAAAJOTQEIAAAABQAAAAExAQAAAAoxODk5MDcwNDg4AwAAAAMxNjACAAAABDQzNzYEAAAAATAHAAAACTgvMTYvMjAxOAgAAAAJNi8zMC8yMDE4CQAAAAEwchDhm3kD1gh8tsuceQPWCCJDSVEuQUlNOk9QVEkuSVFfQkVUQV8yWVIuNi8zMC8yMDE4AQAAADPbtQcCAAAAETAuNTMwNjEyNDg1NzY3ODc4AK95IJp5A9YIHejHnHkD1gguQ0lRLklRVFIyNzg4ODM3MTYuSVFfVFJfVEFSR0VUX1NUT0NLUFJFTUlVTV8xTQEAAACEbZ8QAgAAAAczMS4zNzU2AQYAAAAFAAAAAjU0AQAAAAYxMDEwNTUCAAAACTI3ODg4MzcxNgMAAAAJMjc4ODg0MDcxBAAAAAMxNjAGAAAABUZhbHNlaAtyl3kD1gjU0NCceQPWCDdDSVEuTkFTREFRQ006UlRUUi5JUV9QRVJJT0REQVRFX0lTLjIwMDAuNi8zMC8yMDE4LkxGUi5GAQAAAB+aswMFAAAACTMvMzEvMjAxOAAyGCCaeQPWCCuLxZx5A9YIOENJUS5OQVNEQVFHUzpWWUdSLklRX0VCSVREQS5DWTIwMTcuNi8zMC8yMDE4LkxGUi5GLlVTRC5IAQAAAF7MTw8CAAAABy03MC4yNjgBCAAAAAUAAAABMQEAAAAKMTg3ODMyNjU2OAMAAAADMTYwAgAAAAQ0MDUxBAAAAAEwBwAAAAk2LzMwLzIwMTgIAAAACjEyLzMxLzIwMTcJAAAAATByEOGbeQPWCPYXzJx5A9YII0NJUS5JUVRSMzg0MDI4</t>
  </si>
  <si>
    <t>NDk2LklRX1RSX1RPVEFMX1NUT0NLAQAAAFDP4xYCAAAAAAA20XGXeQPWCF0kz5x5A9YIK0NJUS5JUVRSMzE4NTQyMjEwLklRX1RSX1RPVEFMX0dST1NTX1RWLi5VU0QBAAAAgpH8EgIAAAAAADL4cZd5A9YIV2/QnHkD1ggdQ0lRLjAuSVFfQlVTSU5FU1NfREVTQ1JJUFRJT04BAAAAVYR3AwMAAAAAALG9cZd5A9YIUIDRnHkD1ggjQ0lRLklRVFIyMDg2NDA1NTMuSVFfVFJfQ0xPU0VEX0RBVEUBAAAAKZpvDAUAAAAJOC8xNC8yMDEyAGgLcpd5A9YIuxHSl3kD1ghGQ0lRLk5BU0RBUUdTOlZZR1IuSVFfTUlOT1JJVFlfSU5URVJFU1RfVE9UQUwuMjAwMC4xLzUvMjAxOC5MRlIuRi5VU0QuSAEAAABezE8PAwAAAAAAchDhm3kD1gj6ycuceQPWCDFDSVEuQU1FWDpTWU4uSVFfRUJJVERBLjIwMDAuNi8zMC8yMDE4LkxGUi5GLlVTRC5IAQAAAG2wdAECAAAABy0yMi44MzMBCAAAAAUAAAABMQEAAAAKMTg4NzQwODcyNgMAAAADMTYwAgAAAAQ0MDUxBAAAAAEwBwAAAAk2LzMwLzIwMTgIAAAACTMvMzEvMjAxOAkAAAABMLcEIJp5A9YIIcPGnHkD1ggkQ0lRLk5BU0RBUUdTOk1DUkIuSVFfRUZGRUNUX1RBWF9SQVRFAQAAANNiQQ0DAAAAAABuN+GbeQPWCAVrypx5A9YIQUNJUS5BTUVYOlNZTi5JUV9UT1RBTF9SRVZfMllSX0FOTl9DQUdSLjIwMDAuNi8zMC8yMDE4LkxGUi5GLlVTRC5IAQAAAG2wdAEDAAAAAAC3BCCa</t>
  </si>
  <si>
    <t>eQPWCCZOxpx5A9YII0NJUS5DUFNFOk5PVk8gQi5JUV9GSVJTVFBSSUNJTkdEQVRFAQAAAHzvBAAFAAAACDEvMi8xOTkyADqqcZd5A9YIXx7Nl3kD1gg8Q0lRLk5BU0RBUUdTOk1DUkIuSVFfVE9UQUxfRVFVSVRZLjE5OTYuNi8zMC8yMDE4LkxGUi5GLlVTRC5IAQAAANNiQQ0CAAAABzExMS40NTMBCAAAAAUAAAABMQEAAAAKMTg4ODEwNTQyOAMAAAADMTYwAgAAAAQxMjc1BAAAAAEwBwAAAAk2LzMwLzIwMTgIAAAACTMvMzEvMjAxNwkAAAABMPAj4Zt5A9YIh37KnHkD1gg5Q0lRLk5BU0RBUUNNOlNMTk8uSVFfVE9UQUxfUkVWLjIwMDAuNi8zMC8yMDE4LkxGUi5GLlVTRC5IAQAAAOl1JgADAAAAAAA18R+aeQPWCBuGx5x5A9YIH0NJUS4uSVFfR1AuMjAwMC42LzMwLzIwMTguLi5VU0QFAAAAAQAAAAgAAAAUKEludmFsaWQgSWRlbnRpZmllcilswuCbeQPWCGzC4Jt5A9YIOkNJUS5OQVNEQVFHUzpBQ0FELklRX1BSRUZfRVFVSVRZLjIwMDAuMS81LzIwMTguTEZSLkYuVVNELkgBAAAAwW4KAAMAAAAAAHXp4Jt5A9YIabHNnHkD1ggpQ0lRLkFNRVg6U1lOLklRX01BUktFVENBUC42LzMwLzIwMTguVVNELkgBAAAAbbB0AQIAAAAJMzAuNzI3NDc3AQYAAAAFAAAAATEBAAAACjE4ODc0MDc0OTYDAAAAAzE2MAIAAAAGMTAwMDU0BAAAAAEwBwAAAAk2LzMwLzIwMTi7jx+aeQPWCCDqxpx5A9YIPUNJUS5OQVNEQVFH</t>
  </si>
  <si>
    <t>UzpWVlVTLklRX0NBU0hfU1RfSU5WRVNULjIwMDAuMS81LzIwMTguTEZSLkYuVVNELkgBAAAALo4AAAIAAAAHMjM2LjAyMwEIAAAABQAAAAExAQAAAAoxODY1MzE4NzQwAwAAAAMxNjACAAAABDEwMDIEAAAAATAHAAAACDEvNS8yMDE4CAAAAAk5LzMwLzIwMTcJAAAAATA2yh+aeQPWCKIMyZx5A9YIPENJUS5OQVNEQVFHUzpWWUdSLklRX0VBUk5JTkdfQ08uQ1kyMDE2LjYvMzAvMjAxOC5MRlIuRi5VU0QuSAEAAABezE8PAgAAAActNDAuMTkzAQgAAAAFAAAAATEBAAAACjE4NzgzMjY1MjIDAAAAAzE2MAIAAAABNwQAAAABMAcAAAAJNi8zMC8yMDE4CAAAAAoxMi8zMS8yMDE2CQAAAAEwchDhm3kD1gh53cuceQPWCCVDSVEuSVFUUjI3Mjc3NjMzOC5JUV9QUklNQVJZX0lORFVTVFJZAQAAAEDnCQcDAAAADUJpb3RlY2hub2xvZ3kAOqpxl3kD1gjU0NCceQPWCC5DSVEuSVFUUjM3MDA3MjM1My5JUV9UUl9UQVJHRVRfU1RPQ0tQUkVNSVVNXzFXAQAAACHbDhYCAAAACDEwNC4xNjEyAQYAAAAFAAAAAjU0AQAAAAYxMDEwNTQCAAAACTM3MDA3MjM1MwMAAAAJMzcwMDczNDU3BAAAAAMxNjAGAAAABUZhbHNlseRxl3kD1ghWhc+ceQPWCDpDSVEuTkFTREFRR1M6QUNBRC5JUV9UT1RBTF9ERUJULjIwMDAuNi8zMC8yMDE4LkxGUi5GLlVTRC5IAQAAAMFuCgACAAAAATABCAAAAAUAAAABMQEAAAAKMTg4NjYyNzUzNgMA</t>
  </si>
  <si>
    <t>AAADMTYwAgAAAAQ0MTczBAAAAAEwBwAAAAk2LzMwLzIwMTgIAAAACTMvMzEvMjAxOAkAAAABMPHV4Jt5A9YIZzrOnHkD1ggvQ0lRLklRVFIzNDA3MDQ4NjUuSVFfVFJfVEFSR0VUX1RPVEFMX1JFVi4uVVNELkgBAAAAYb5OFAIAAAAAADL4cZd5A9YIW/rPnHkD1gglQ0lRLklRVFIzMTg1NDIyMTAuSVFfUFJJTUFSWV9JTkRVU1RSWQEAAACAi3oBAwAAAA9QaGFybWFjZXV0aWNhbHMAOqpxl3kD1gjZW9CceQPWCD5DSVEuTkFTREFRR1M6VlZVUy5JUV9UT1RBTF9FUVVJVFkuQ1kyMDE3LjYvMzAvMjAxOC5MRlIuRi5VU0QuSAEAAAAujgAAAgAAAAYtOS4zMzgBCAAAAAUAAAABMQEAAAAKMTg3ODg1ODg1MwMAAAADMTYwAgAAAAQxMjc1BAAAAAEwBwAAAAk2LzMwLzIwMTgIAAAACjEyLzMxLzIwMTcJAAAAATA2yh+aeQPWCBMgyZx5A9YIL0NJUS5JUVRSMjc4ODgzNzE2LklRX1RSX0lNUExJRURfRVZfRklOQUwuLlVTRC5IAQAAAIRtnxACAAAACzMxOTIuMTAwMTQzAQYAAAAFAAAAAjU0AQAAAAYxMDIwNDUCAAAACTI3ODg4MzcxNgMAAAAJMjc4ODg0MDcxBAAAAAMxNjAGAAAABUZhbHNlaAtyl3kD1gjYqdCceQPWCDpDSVEuTkFTREFRR1M6WkZHTi5JUV9FQVJOSU5HX0NPLjE5OTYuNi8zMC8yMDE4LkxGUi5GLlVTRC5IAQAAAJfAugECAAAABy01My4xNTMBCAAAAAUAAAABMQEAAAAKMTg4OTg5NTM1NQMAAAAD</t>
  </si>
  <si>
    <t>MTYwAgAAAAE3BAAAAAEwBwAAAAk2LzMwLzIwMTgIAAAACTMvMzEvMjAxNwkAAAABMPAj4Zt5A9YIfkHLnHkD1ggnQ0lRLk5BU0RBUUdTOlZZR1IuSVFfQkVUQV8xWVIuNi8zMC8yMDE4AQAAAF7MTw8CAAAAEDEuNzk2MzAxMTMxNjYyMTcA7Erhm3kD1gj38MuceQPWCClDSVEuSVEzNjE4MzgyMi5JUV9MQVNUU0FMRVBSSUNFLjYvMzAvMjAxOAEAAAAOHygCAgAAAAQyLjMzADqqcZd5A9YI6HTOnHkD1gg3Q0lRLkFNRVg6U1lOLklRX1RPVEFMX0VRVUlUWS4yMDAwLjYvMzAvMjAxOC5MRlIuRi5VU0QuSAEAAABtsHQBAgAAAAU3LjAwMwEIAAAABQAAAAExAQAAAAoxODg3NDA4NzI2AwAAAAMxNjACAAAABDEyNzUEAAAAATAHAAAACTYvMzAvMjAxOAgAAAAJMy8zMS8yMDE4CQAAAAEwtwQgmnkD1gikYcaceQPWCC5DSVEuSVFUUjMyNTIzMzQ2MS5JUV9UUl9UQVJHRVRfU1RPQ0tQUkVNSVVNXzFNAQAAADWrYhMCAAAAAAAy+HGXeQPWCNlb0Jx5A9YIGENJUS4uSVFfUFJJTUFSWV9JTkRVU1RSWQUAAAABAAAACAAAABQoSW52YWxpZCBJZGVudGlmaWVyKWzC4Jt5A9YIbMLgm3kD1gg3Q0lRLk9UQ1BLOk5FWFMuSVFfUFJFRl9FUVVJVFkuMjAwMC4xLzUvMjAxOC5MRlIuRi5VU0QuSAEAAAAdvU4UAwAAAAAAMhggmnkD1ggrssWceQPWCEdDSVEuTkFTREFRR1M6QUNBRC5JUV9NSU5PUklUWV9JTlRFUkVTVF9UT1RB</t>
  </si>
  <si>
    <t>TC4yMDAwLjYvMzAvMjAxOC5MRlIuRi5VU0QuSAEAAADBbgoAAwAAAAAA8dXgm3kD1ghnOs6ceQPWCDlDSVEuT1RDUEs6TkVYUy5JUV9HUk9TU19NQVJHSU4uMjAwMC42LzMwLzIwMTguTEZSLkYuVVNELkgBAAAAHb1OFAMAAAAAADIYIJp5A9YIqOzFnHkD1ghAQ0lRLk9UQ1BLOk5FWFMuSVFfRUJJVERBXzNZUl9BTk5fQ0FHUi4yMDAwLjYvMzAvMjAxOC5MRlIuRi5VU0QuSAEAAAAdvU4UAwAAAAAAMhggmnkD1gitnsWceQPWCCRDSVEuTkFTREFRQ006U0xOTy5JUV9FRkZFQ1RfVEFYX1JBVEUBAAAA6XUmAAMAAAACTk0BCAAAAAUAAAACMjkCAAAABDQzNzYBAAAACjE5MDA3MjIzNzIDAAAAAzE2MAQAAAABMAcAAAAJOC8xNi8yMDE4CAAAAAk2LzMwLzIwMTgJAAAAATC3BCCaeQPWCCARx5x5A9YIL0NJUS5JUVRSMzcwMDcyMzUzLklRX1RSX0lNUExJRURfRVZfRklOQUwuLlVTRC5IAQAAACHbDhYCAAAACDQxLjEzMDk5AQYAAAAFAAAAAjU0AQAAAAYxMDIwNDUCAAAACTM3MDA3MjM1MwMAAAAJMzcwMDczNDU3BAAAAAMxNjAGAAAABUZhbHNlseRxl3kD1gjYcc+ceQPWCD1DSVEuTkFTREFRR1M6VllHUi5JUV9SRVZFTlVFX0VTVC5DWTIwMTkuNi8zMC8yMDE4LkNPTi5GLlVTRC5IAQAAAF7MTw8CAAAACDE5Ljc1NDQ0AQ4AAAAFAAAAAjExAQAAAAEwAgAAAAoxMDAzMjQzNDQzAwAAAAYxMDAxODAEAAAAATIG</t>
  </si>
  <si>
    <t>AAAAATAHAAAAAzE2MAgAAAABMAkAAAABMQoAAAABMAsAAAALMTA5MTE0MDA4NjUMAAAAATcNAAAACDcvMS8yMDE4EAAAAAk2LzMwLzIwMThuN+GbeQPWCHQrzJx5A9YIJUNJUS5JUVRSNTQ3MzM4ODE0LklRX1RSX0lNUExJRURfRVFfQlYBAAAAPrqfIAIAAAAAADbRcZd5A9YI5MLOnHkD1ggrQ0lRLk5BU0RBUUNNOlJUVFIuSVFfTEFTVFNBTEVQUklDRS4xLzUvMjAxOAEAAAAfmrMDAgAAAAMzLjIALXwfmnkD1ggwFsWceQPWCDpDSVEuTkFTREFRR006UllUTS5JUV9FQVJOSU5HX0NPLjE5OTYuNi8zMC8yMDE4LkxGUi5GLlVTRC5IAQAAABjJbRICAAAABy0yNi44NDcBCAAAAAUAAAABMQEAAAAKMTg4ODkxMTQ1MwMAAAADMTYwAgAAAAE3BAAAAAEwBwAAAAk2LzMwLzIwMTgIAAAACTMvMzEvMjAxNwkAAAABMHXp4Jt5A9YI7CjNnHkD1ggpQ0lRLklRVFIyMDg2NDA1NTMuSVFfQlVTSU5FU1NfREVTQ1JJUFRJT04BAAAAp8dQAQMAAACjBlByb3hpbWFnZW4gR3JvdXAgTGltaXRlZCwgYSBiaW90ZWNobm9sb2d5IGNvbXBhbnksIGZvY3VzZXMgb24gdGhlIGRldmVsb3BtZW50IGFuZCBjb21tZXJjaWFsaXphdGlvbiBvZiBub3ZlbCB0aGVyYXBldXRpY3MgZm9yIGNlbnRyYWwgbmVydm91cyBzeXN0ZW0gYW5kIGluZmxhbW1hdGlvbiBkaXNlYXNlcy4gVGhlIGNvbXBhbnkgZGV2ZWxvcHMgZHJ1ZyBjYW5kaWRh</t>
  </si>
  <si>
    <t>dGUgcHJvZ3JhbXMgY29tcHJpc2luZyA0IHByb2dyYW1zIGluIGNsaW5pY2FsIGRldmVsb3BtZW50IGFuZCBhcHByb3hpbWF0ZWx5IDEwIGVhcmxpZXIgc3RhZ2UgYXNzZXRzIGJlaW5nIHByb2dyZXNzZWQgZm9yIHZhcmlvdXMgdGhlcmFwZXV0aWMgYXJlYXMsIGluY2x1ZGluZyBlcGlsZXBzeSwgcGFya2luc29u4oCZcyBkaXNlYXNlcywgYWx6aGVpbWVy4oCZcyBkaXNlYXNlcywgaW5mbGFtbWF0aW9uLCBvbmNvbG9neSwgYW5kIG5ldXJvcGF0aGljIHBhaW4uIEl0IGhhcyBwYXJ0bmVyc2hpcCB3aXRoIEdsYXhvU21pdGhLbGluZSwgVXBzaGVyLVNtaXRoLCBMdW5kYmVjaywgYW5kIHRoZSBVUyBOYXRpb25hbCBJbnN0aXR1dGVzIG9mIEhlYWx0aC4gSXQgaGFzIGEgZHJ1ZyBkaXNjb3ZlcnkgYW5kIGRldmVsb3BtZW50IGNvbGxhYm9yYXRpb24gd2l0aCBTYW5pb25hIEFCIChwdWJsKS4gVGhlIGNvbXBhbnkgd2FzIGZvdW5kZWQgaW4gMjAwMyBhbmQgaXMgaGVhZHF1YXJ0ZXJlZCBpbiBMb25kb24sIHRoZSBVbml0ZWQgS2luZ2RvbS4gUHJveGltYWdlbiBHcm91cCBMaW1pdGVkIG9wZXJhdGVzIGFzIGEgc3Vic2lkaWFyeSBvZiBBQ09WQSBJbmMuALG9cZd5A9YIUTLRnHkD1ggfQ0lRLkFNRVg6U1lOLklRX0VGRkVDVF9UQVhfUkFURQEAAABtsHQBAwAAAAAAtwQgmnkD1ggmTsaceQPWCClDSVEuSVEz</t>
  </si>
  <si>
    <t>NjE4MzgzNC5JUV9MQVNUU0FMRVBSSUNFLjYvMzAvMjAxOAEAAAAaHygCAgAAAAQyLjgxADqqcZd5A9YI6HTOnHkD1ggjQ0lRLklRVFIyNzI3NzYzMzguSVFfVFJfQ0xPU0VEX0RBVEUBAAAAkjxCEAUAAAAKMTAvMjIvMjAxNABoC3KXeQPWCDq1z5d5A9YIP0NJUS5OQVNEQVFHUzpNQ1JCLklRX05FVF9XT1JLSU5HX0NBUC4yMDAwLjYvMzAvMjAxOC5MRlIuRi5VU0QuSAEAAADTYkENAgAAAAYtMzAuODkBCAAAAAUAAAABMQEAAAAKMTg4ODEwNTQ1MQMAAAADMTYwAgAAAAQxMzExBAAAAAEwBwAAAAk2LzMwLzIwMTgIAAAACTMvMzEvMjAxOAkAAAABMPAj4Zt5A9YIg6XKnHkD1gguQ0lRLklRVFIyMDg2NDA1NTMuSVFfVFJfVEFSR0VUX1NUT0NLUFJFTUlVTV8xVwEAAAApmm8MAgAAAAcyMC4wNzgyAQYAAAAFAAAAAjU0AQAAAAYxMDEwNTQCAAAACTIwODY0MDU1MwMAAAAJMjA4NjQ0Njc4BAAAAAMxNjAGAAAABUZhbHNlaAtyl3kD1gjTRdGceQPWCD9DSVEuTkFTREFRQ006UlRUUi5JUV9ORVRfV09SS0lOR19DQVAuMjAwMC42LzMwLzIwMTguTEZSLkYuVVNELkgBAAAAH5qzAwIAAAAJLTAuNjIzOTc5AQgAAAAFAAAAATEBAAAACjE4ODkxMDQwOTgDAAAAAzE2MAIAAAAEMTMxMQQAAAABMAcAAAAJNi8zMC8yMDE4CAAAAAkzLzMxLzIwMTgJAAAAATCzKyCaeQPWCC89xZx5A9YIIENJUS5JUTM2MTgzODIyLklR</t>
  </si>
  <si>
    <t>X0xBU1RTQUxFUFJJQ0UuAQAAAA4fKAICAAAABDIuNDUA8dXgm3kD1gjx1eCbeQPWCEFDSVEuKElOVkFMSUQgSURFTlRJRklFUikuSVFfUFJFRl9FUVVJVFkuMjAwMC4xLzUvMjAxOC5MRlIuRi5VU0QuSAUAAAAAAAAACAAAABQoSW52YWxpZCBJZGVudGlmaWVyKTFmIJp5A9YINlPEnHkD1gggQ0lRLklRMzYxODM4NDAuSVFfTEFTVFNBTEVQUklDRS4BAAAAIB8oAgIAAAAEMi45NQDx1eCbeQPWCPHV4Jt5A9YIL0NJUS5JUVRSMzEwMjI5MTg4LklRX1RSX0lNUExJRURfRVZfRklOQUwuLlVTRC5IAQAAAMS4fRICAAAAAAAy+HGXeQPWCNiC0Jx5A9YIKUNJUS5OQVNEQVFHUzpNQ1JCLklRX0JVU0lORVNTX0RFU0NSSVBUSU9OAQAAANNiQQ0DAAAAoQpTZXJlcyBUaGVyYXBldXRpY3MsIEluYy4sIGEgbWljcm9iaW9tZSB0aGVyYXBldXRpY3MgcGxhdGZvcm0gY29tcGFueSwgZW5nYWdlcyBpbiBkZXZlbG9waW5nIGJpb2xvZ2ljYWwgZHJ1Z3MgZGVzaWduZWQgdG8gcmVzdG9yZSBoZWFsdGggYnkgcmVwYWlyaW5nIHRoZSBmdW5jdGlvbiBvZiBhIGR5c2Jpb3RpYyBtaWNyb2Jpb21lLiBJdHMgbGVhZCBwcm9kdWN0IGNhbmRpZGF0ZSBpcyBTRVItMTA5LCBhIGJhY3RlcmlhbCBzcG9yZSBlY29sb2d5LCB3aGljaCBpcyBpbiBQaGFzZSBJSUkgY2xpbmljYWwgc3R1ZHkgdG8gdHJlYXQgbXVsdGlwbHkgcmVjdXJy</t>
  </si>
  <si>
    <t>ZW50IENsb3N0cmlkaXVtIGRpZmZpY2lsZSBpbmZlY3Rpb24gKENESSkuIFRoZSBjb21wYW55IGlzIGFsc28gZGV2ZWxvcGluZyBTRVItMjg3IHRoYXQgaXMgaW4gUGhhc2UgSWIgY2xpbmljYWwgc3R1ZHkgaW4gcGF0aWVudHMgd2l0aCBtaWxkLXRvLW1vZGVyYXRlIHVsY2VyYXRpdmUgY29saXRpczsgYW5kIFNFUi0yNjIsIGEgbXVsdGktc3RyYWluIEVjb2Jpb3RpYyBtaWNyb2Jpb21lIHRoZXJhcGV1dGljIGNhbmRpZGF0ZSwgd2hpY2ggaXMgaW4gUGhhc2UgSWIgc3R1ZHkgaW4gcGF0aWVudHMgd2l0aCBwcmltYXJ5IENESS4gSW4gYWRkaXRpb24sIGl0cyBwcm9kdWN0IGNhbmRpZGF0ZXMgaW4gcHJlLWNsaW5pY2FsIGRldmVsb3BtZW50IGNvbXByaXNlIFNFUi0zMDEsIGFuIEVjb2Jpb3RpYyBtaWNyb2Jpb21lIHRoZXJhcGV1dGljIGNhbmRpZGF0ZSBmb3IgdGhlIHRyZWF0bWVudCBvZiBpbmZsYW1tYXRvcnkgYm93ZWwgZGlzZWFzZTsgU0VSLTQwMSBmb3IgdXNlIHdpdGggY2hlY2twb2ludCBpbmhpYml0b3JzIGluIHBhdGllbnRzIHdpdGggc29saWQgdHVtb3JzOyBhbmQgU0VSLTE1NSwgYW4gRWNvYmlvdGljIG1pY3JvYmlvbWUgdGhlcmFwZXV0aWMgY2FuZGlkYXRlIGZvciB0aGUgcHJldmVudGlvbiBvZiB0cmFuc3BsYW50LXJlbGF0ZWQgbW9ydGFsaXR5LiBTZXJlcyBUaGVyYXBldXRpY3Ms</t>
  </si>
  <si>
    <t>IEluYy4gaGFzIGEgc3RyYXRlZ2ljIGNvbGxhYm9yYXRpb24gd2l0aCBOZXN0bGUgSGVhbHRoIFNjaWVuY2UgYW5kIE1lbW9yaWFsIFNsb2FuIEtldHRlcmluZyBDYW5jZXIgQ2VudGVyLiBUaGUgY29tcGFueSB3YXMgZm9ybWVybHkga25vd24gYXMgU2VyZXMgSGVhbHRoLCBJbmMuIGFuZCBjaGFuZ2VkIGl0cyBuYW1lIHRvIFNlcmVzIFRoZXJhcGV1dGljcywgSW5jLiBpbiBNYXkgMjAxNS4gU2VyZXMgVGhlcmFwZXV0aWNzLCBJbmMuIHdhcyBmb3VuZGVkIGluIDIwMTAgYW5kIGlzIGhlYWRxdWFydGVyZWQgaW4gQ2FtYnJpZGdlLCBNYXNzYWNodXNldHRzLgDx1eCbeQPWCAGSypx5A9YIM0NJUS4oSU5WQUxJRCBJREVOVElGSUVSKS5JUV9HUC4yMDAwLjYvMzAvMjAxOC4uLlVTRAUAAAAAAAAACAAAABQoSW52YWxpZCBJZGVudGlmaWVyKbG9cZd5A9YIZmHOnHkD1ggwQ0lRLkFNRVg6U1lOLklRX0NBUEVYLjE5OTYuNi8zMC8yMDE4LkxGUi5GLlVTRC5IAQAAAG2wdAECAAAABi0wLjUzNgEIAAAABQAAAAExAQAAAAoxODg3NDA4Njk2AwAAAAMxNjACAAAABDIwMjEEAAAAATAHAAAACTYvMzAvMjAxOAgAAAAJMy8zMS8yMDE3CQAAAAEwtwQgmnkD1gijiMaceQPWCDdDSVEuTkFTREFRR1M6WkZHTi5JUV9QRVJJT0REQVRFX0lTLjIwMDAuNi8zMC8yMDE4LkxGUi5GAQAAAJfAugEFAAAACTMvMzEvMjAxOABy</t>
  </si>
  <si>
    <t>EOGbeQPWCPuiy5x5A9YII0NJUS5JUVRSMjcyNzc2MzM4LklRX1RSX1RPVEFMX1NUT0NLAQAAAJI8QhACAAAAAABoC3KXeQPWCNTQ0Jx5A9YII0NJUS5JUVRSMzI1MjMzNDYxLklRX1RSX1RPVEFMX1NUT0NLAQAAADWrYhMCAAAACDQuNDg3OTUyAQYAAAAFAAAAAjU0AQAAAAYxMDEwNTcCAAAACTMyNTIzMzQ2MQMAAAAJMzI1MjM3OTkwBAAAAAMxNjAGAAAABUZhbHNlMvhxl3kD1ghXSNCceQPWCCdDSVEuTkFTREFRR1M6WkZHTi5JUV9QRVJJT0REQVRFX0lTLjEwMDABAAAAl8C6AQUAAAAKMTIvMzEvMjAxNwByEOGbeQPWCPuiy5x5A9YIPENJUS5OQVNEQVFHTTpSWVRNLklRX0VCSVREQV9FU1QuQ1kyMDIwLjYvMzAvMjAxOC5DT04uRi5VU0QuSAEAAAAYyW0SAwAAAAAAbjfhm3kD1gjsT82ceQPWCDdDSVEuQU1FWDpTWU4uSVFfRUFSTklOR19DTy5DWTIwMTcuNi8zMC8yMDE4LkxGUi5GLlVTRC5IAQAAAG2wdAECAAAABy0xNS40OTIBCAAAAAUAAAABMQEAAAAKMTg3NTQ2OTUxNQMAAAADMTYwAgAAAAE3BAAAAAEwBwAAAAk2LzMwLzIwMTgIAAAACjEyLzMxLzIwMTcJAAAAATC3BCCaeQPWCCJ1xpx5A9YIQkNJUS4oSU5WQUxJRCBJREVOVElGSUVSKS5JUV9UT1RBTF9SRVYuQ1kyMDE2LjYvMzAvMjAxOC5MRlIuRi5VU0QuSAUAAAAAAAAACAAAABQoSW52YWxpZCBJZGVudGlmaWVyKa95IJp5A9YIstvEnHkD</t>
  </si>
  <si>
    <t>1ggvQ0lRLk5BU0RBUUdTOk9WSUQuSVFfQ0FTSF9FUVVJVi4uNS80LzIwMTcuLi5VU0QBAAAAINA3EQIAAAAJNTEuOTM5NjYxAQgAAAAFAAAAATEBAAAACjE4MzU5NTM3MTYDAAAAAzE2MAIAAAAEMTA5NgQAAAABMAcAAAAINS80LzIwMTcIAAAACjEyLzMxLzIwMTYJAAAAATCxvXGXeQPWCFtFzZd5A9YIO0NJUS5OQVNEQVFHUzpaRkdOLklRX1BSRUZfRVFVSVRZLjIwMDAuNi8zMC8yMDE4LkxGUi5GLlVTRC5IAQAAAJfAugEDAAAAAAByEOGbeQPWCHmPy5x5A9YIOUNJUS5OQVNEQVFHUzpBQ0FELklRX1RPVEFMX0RFQlQuMjAwMC4xLzUvMjAxOC5MRlIuRi5VU0QuSAEAAADBbgoAAgAAAAEwAQgAAAAFAAAAATEBAAAACjE4NjQ0NjUyMDcDAAAAAzE2MAIAAAAENDE3MwQAAAABMAcAAAAIMS81LzIwMTgIAAAACTkvMzAvMjAxNwkAAAABMHXp4Jt5A9YI58TNnHkD1ggrQ0lRLklRVFI1NDczMzg4MTQuSVFfVFJfSU1QTElFRF9FVl9FQklUX0ZXRAEAAAA+up8gAgAAAAAANtFxl3kD1gjkws6ceQPWCDtDSVEuTkFTREFRR1M6VlZVUy5JUV9FQklUX01BUkdJTi4yMDAwLjYvMzAvMjAxOC5MRlIuRi5VU0QuSAEAAAAujgAAAgAAAActMTMuMzk2AQgAAAAFAAAAATEBAAAACjE4ODc0NDQzMjgDAAAAAzE2MAIAAAAENDA1MwQAAAABMAcAAAAJNi8zMC8yMDE4CAAAAAkzLzMxLzIwMTgJAAAAATA2yh+aeQPWCBJayZx5</t>
  </si>
  <si>
    <t>A9YILkNJUS5OQVNEQVFDTTpSVFRSLklRX01BUktFVENBUC42LzMwLzIwMTguVVNELkgBAAAAH5qzAwIAAAAJMTIuOTAwNDcyAQYAAAAFAAAAATEBAAAACjE4ODkxMDM2NjEDAAAAAzE2MAIAAAAGMTAwMDU0BAAAAAEwBwAAAAk2LzMwLzIwMTi7jx+aeQPWCK13xZx5A9YITUNJUS4oSU5WQUxJRCBJREVOVElGSUVSKS5JUV9UT1RBTF9SRVZfNVlSX0FOTl9DQUdSLjIwMDAuNi8zMC8yMDE4LkxGUi5GLlVTRC5IBQAAAAAAAAAIAAAAFChJbnZhbGlkIElkZW50aWZpZXIpMWYgmnkD1gg2U8SceQPWCDxDSVEuTkFTREFRQ006UlRUUi5JUV9FQVJOSU5HX0NPLkNZMjAxNy42LzMwLzIwMTguTEZSLkYuVVNELkgBAAAAH5qzAwIAAAAJLTcuODYzODU4AQgAAAAFAAAAATEBAAAACjE4Nzg5ODI4MzMDAAAAAzE2MAIAAAABNwQAAAABMAcAAAAJNi8zMC8yMDE4CAAAAAoxMi8zMS8yMDE3CQAAAAEwsysgmnkD1ggwFsWceQPWCDZDSVEuTkFTREFRR1M6WkZHTi5JUV9FQklUREEuMTk5Ni42LzMwLzIwMTguTEZSLkYuVVNELkgBAAAAl8C6AQIAAAAHLTUyLjAyNwEIAAAABQAAAAExAQAAAAoxODg5ODk1MzU1AwAAAAMxNjACAAAABDQwNTEEAAAAATAHAAAACTYvMzAvMjAxOAgAAAAJMy8zMS8yMDE3CQAAAAEwchDhm3kD1gj7e8uceQPWCChDSVEuSVEyNjY4NjQyLklRX0xBU1RTQUxFUFJJQ0UuNi8zMC8yMDE4AQAAAGK4</t>
  </si>
  <si>
    <t>KAACAAAABDQuODQAOqpxl3kD1gjodM6ceQPWCDhDSVEuQU1FWDpTWU4uSVFfRUJJVERBX01BUkdJTi4yMDAwLjYvMzAvMjAxOC5MRlIuRi5VU0QuSAEAAABtsHQBAwAAAAAAtwQgmnkD1gghnMaceQPWCClDSVEuTkFTREFRR1M6WkZHTi5JUV9CVVNJTkVTU19ERVNDUklQVElPTgEAAACXwLoBAwAAAJwFWmFmZ2VuLCBJbmMuLCBhIGNsaW5pY2FsLXN0YWdlIGJpb3BoYXJtYWNldXRpY2FsIGNvbXBhbnksIGRldmVsb3BzIHRoZXJhcGllcyBmb3IgcGF0aWVudHMgc3VmZmVyaW5nIGZyb20gbWV0YWJvbGljIGRpc2Vhc2VzIGNvbXByaXNpbmcgdHlwZSAyIGRpYWJldGVzLCBQcmFkZXItV2lsbGkgc3luZHJvbWUgKFBXUyksIGFuZCBvdGhlciBtZXRhYm9saWNhbGx5IHJlbGF0ZWQgZGlzb3JkZXJzLiBUaGUgY29tcGFueeKAmXMgbGVhZCBwcm9kdWN0IGNhbmRpZGF0ZSBpcyBaR04tMTA2MSwgYSBmdW1hZ2lsbGluLWNsYXNzIG1ldGhpb25pbmUgYW1pbm9wZXB0aWRhc2UgMiAoTWV0QVAyKSBpbmhpYml0b3IgYWRtaW5pc3RlcmVkIGJ5IHN1YmN1dGFuZW91cyBpbmplY3Rpb24sIHdoaWNoIGlzIGluIFBoYXNlIDIgY2xpbmljYWwgdHJpYWwgYW5kIHByb2ZpbGVkIGZvciBpdHMgdXRpbGl0eSBpbiB0aGUgdHJlYXRtZW50IG9mIHR5cGUgMiBkaWFiZXRlcyBhbmQgb3RoZXIgcmVsYXRlZCBtZXRhYm9saWMg</t>
  </si>
  <si>
    <t>ZGlzb3JkZXJzLiBJdCBhbHNvIGRldmVsb3BzIFpHTi0xMjU4LCBhIE1ldEFQMiBpbmhpYml0b3IgZm9yIHRyZWF0bWVudCBvZiBQV1MuIFphZmdlbiwgSW5jLiB3YXMgZm91bmRlZCBpbiAyMDA1IGFuZCBpcyBoZWFkcXVhcnRlcmVkIGluIEJvc3RvbiwgTWFzc2FjaHVzZXR0cy4A8dXgm3kD1gh+QcuceQPWCCpDSVEuT1RDUEs6TkVYUy5JUV9ESVZJREVORF9ZSUVMRC42LzMwLzIwMTgBAAAAHb1OFAMAAAAAAC18H5p5A9YIJ9nFnHkD1ggvQ0lRLklRVFIyNzg4ODM3MTYuSVFfVFJfVEFSR0VUX1RPVEFMX1JFVi4uVVNELkgBAAAAhG2fEAIAAAAHMTE1LjAyOQEGAAAABQAAAAIzNwEAAAAKMTcxMTI3MTgwNQIAAAACMjgDAAAAAzE2MAQAAAABMAcAAAAIMS8xLzE5MDBoC3KXeQPWCNip0Jx5A9YIJUNJUS5JUVRSMzQwNzA0ODY1LklRX1RSX0lNUExJRURfRVFfQlYBAAAAYb5OFAIAAAAAADL4cZd5A9YIW/rPnHkD1gg1Q0lRLihJTlZBTElEIElERU5USUZJRVIpLklRX01BUktFVENBUC42LzMwLzIwMTguVVNELkgFAAAAAAAAAAgAAAAUKEludmFsaWQgSWRlbnRpZmllcim7jx+aeQPWCLLbxJx5A9YIPENJUS5OQVNEQVFHUzpBQ0FELklRX0VCSVREQV9FU1QuQ1kyMDE5LjYvMzAvMjAxOC5DT04uRi5VU0QuSAEAAADBbgoAAgAAAAgtMTMyLjc5NAEOAAAABQAAAAIxMQEAAAABMAIAAAAKMTAwMTU1NzU4MgMA</t>
  </si>
  <si>
    <t>AAAGMTAwMTg3BAAAAAEyBgAAAAEwBwAAAAMxNjAIAAAAATAJAAAAATEKAAAAATALAAAACzEwODY5MjQ4MjEwDAAAAAE3DQAAAAg3LzEvMjAxOBAAAAAJNi8zMC8yMDE4bjfhm3kD1ghrE86ceQPWCD1DSVEuTkFTREFRR1M6VllHUi5JUV9SRVZFTlVFX0VTVC5DWTIwMjAuNi8zMC8yMDE4LkNPTi5GLlVTRC5IAQAAAF7MTw8CAAAACDExLjU0ODMzAQ4AAAAFAAAAAjExAQAAAAEwAgAAAAoxMDAzMjQzNDQ4AwAAAAYxMDAxODAEAAAAATIGAAAAATAHAAAAAzE2MAgAAAABMAkAAAABMQoAAAABMAsAAAALMTA5MTE0MDA3ODcMAAAAATcNAAAACDcvMS8yMDE4EAAAAAk2LzMwLzIwMThuN+GbeQPWCPYXzJx5A9YIL0NJUS5JUVRSMzg0MDI4NDk2LklRX1RSX0lNUExJRURfRVZfRklOQUwuLlVTRC5IAQAAAFDP4xYCAAAACjUyOC4yMzkzNjYBBgAAAAUAAAACNTQBAAAABjEwMjA0NQIAAAAJMzg0MDI4NDk2AwAAAAk0MDcyNzU3NzYEAAAAAzE2MAYAAAAFRmFsc2U20XGXeQPWCF0kz5x5A9YIOkNJUS5OQVNEQVFHUzpaRkdOLklRX1BSRUZfRVFVSVRZLjIwMDAuMS81LzIwMTguTEZSLkYuVVNELkgBAAAAl8C6AQMAAAAAAPAj4Zt5A9YIgRrLnHkD1ggxQ0lRLklRVFIzMjUyMzM0NjEuSVFfVFJfVEFSR0VUX1JFVkVOVUVfRVNULi5VU0QuSAEAAAA1q2ITAgAAAAAAMvhxl3kD1gjZW9CceQPWCD1DSVEuTkFTREFRQ006</t>
  </si>
  <si>
    <t>UlRUUi5JUV9SRVZFTlVFX0VTVC5DWTIwMTguNi8zMC8yMDE4LkNPTi5GLlVTRC5IAQAAAB+aswMCAAAAATABDgAAAAUAAAACMTEBAAAAATACAAAACjEwMDMyMTk3MjgDAAAABjEwMDE4MAQAAAABMgYAAAABMAcAAAADMTYwCAAAAAEwCQAAAAExCgAAAAEwCwAAAAsxMTA0MTkxNzUwNgwAAAABNw0AAAAINy8xLzIwMTgQAAAACTYvMzAvMjAxODajH5p5A9YILGTFnHkD1ghOQ0lRLihJTlZBTElEIElERU5USUZJRVIpLklRX01JTk9SSVRZX0lOVEVSRVNUX1RPVEFMLjIwMDAuNi8zMC8yMDE4LkxGUi5GLlVTRC5IBQAAAAAAAAAIAAAAFChJbnZhbGlkIElkZW50aWZpZXIpMWYgmnkD1giy28SceQPWCCtDSVEuSVFUUjMyMjQ2NzYyNS5JUV9UUl9JTVBMSUVEX0VWX0VCSVRfRldEAQAAACl3OBMDAAAAAk5NADL4cZd5A9YIWyHQnHkD1ggkQ0lRLi5JUV9UUl9UQVJHRVRfUkVWRU5VRV9FU1QuLlVTRC5IBQAAAAEAAAAIAAAAFChJbnZhbGlkIElkZW50aWZpZXIpbMLgm3kD1ghswuCbeQPWCENDSVEuTkFTREFRR1M6QUNBRC5JUV9FQklUREFfNVlSX0FOTl9DQUdSLjIwMDAuNi8zMC8yMDE4LkxGUi5GLlVTRC5IAQAAAMFuCgADAAAAAk5NAQgAAAAFAAAAATEBAAAACjE4ODY2Mjc1MzYDAAAAAzE2MAIAAAAENDIzNQQAAAABMAcAAAAJNi8zMC8yMDE4CAAAAAkzLzMxLzIwMTgJAAAAATB16eCbeQPWCOudzZx5A9YI</t>
  </si>
  <si>
    <t>K0NJUS5JUVRSMzMwMzI0Mjg1LklRX1RSX1RPVEFMX0dST1NTX1RWLi5VU0QBAAAAPVmwEwIAAAAJNTYuNjQxODU2AQYAAAAFAAAAAjU0AQAAAAYxMDIwODgCAAAACTMzMDMyNDI4NQMAAAAJMzgxMTIwOTExBAAAAAMxNjAGAAAABUZhbHNlNtFxl3kD1ghh/c6ceQPWCCpDSVEuSVFUUjU0MTI4MzcwMC5JUV9UUl9UQVJHRVRfRUJJVC4uVVNELkgBAAAAdFVDIAIAAAAAADbRcZd5A9YIYtbOnHkD1gguQ0lRLihJTlZBTElEIElERU5USUZJRVIpLklRX0JFVEFfMVlSLjYvMzAvMjAxOAUAAAAAAAAACAAAABQoSW52YWxpZCBJZGVudGlmaWVyKa95IJp5A9YIOHrEnHkD1gg9Q0lRLk5BU0RBUUNNOkFTTUIuSVFfUkVWRU5VRV9FU1QuQ1kyMDIwLjYvMzAvMjAxOC5DT04uRi5VU0QuSAEAAAAQifEFAgAAAAQxNy4zAQ4AAAAFAAAAAjExAQAAAAEwAgAAAAoxMDAxMjUzMzQ0AwAAAAYxMDAxODAEAAAAATIGAAAAATAHAAAAAzE2MAgAAAABMAkAAAABMQoAAAABMAsAAAALMTEwMjk2NTEwNTIMAAAAATcNAAAACDcvMS8yMDE4EAAAAAk2LzMwLzIwMThuN+GbeQPWCG/HzJx5A9YIJUNJUS5JUVRSMzc0MzMxNTg2LklRX1RSX0lNUExJRURfRVFfQlYBAAAAwthPFgIAAAAAALHkcZd5A9YI4ebPnHkD1gg8Q0lRLk5BU0RBUUdTOlZZR1IuSVFfVE9UQUxfRVFVSVRZLjE5OTYuNi8zMC8yMDE4LkxGUi5GLlVTRC5IAQAAAF7M</t>
  </si>
  <si>
    <t>Tw8CAAAABzEyMi42OTcBCAAAAAUAAAABMQEAAAAKMTg4ODQ4MDU4MQMAAAADMTYwAgAAAAQxMjc1BAAAAAEwBwAAAAk2LzMwLzIwMTgIAAAACTMvMzEvMjAxNwkAAAABMHIQ4Zt5A9YI+snLnHkD1gghQ0lRLklRMjU2ODg3OTAyLklRX0NPTVBBTllfVElDS0VSAQAAAF7MTw8DAAAADU5hc2RhcUdTOlZZR1IAsb1xl3kD1giQLtaXeQPWCEdDSVEuTkFTREFRQ006U0xOTy5JUV9NSU5PUklUWV9JTlRFUkVTVF9UT1RBTC4yMDAwLjYvMzAvMjAxOC5MRlIuRi5VU0QuSAEAAADpdSYAAwAAAAAANfEfmnkD1ggbhseceQPWCDxDSVEuTkFTREFRR1M6TUNSQi5JUV9UT1RBTF9FUVVJVFkuMTk5Mi42LzMwLzIwMTguTEZSLkYuVVNELkgBAAAA02JBDQIAAAAHMTg5LjgyOQEIAAAABQAAAAExAQAAAAoxODQwNTE3OTM0AwAAAAMxNjACAAAABDEyNzUEAAAAATAHAAAACTYvMzAvMjAxOAgAAAAJMy8zMS8yMDE2CQAAAAEw8CPhm3kD1giHfsqceQPWCBVDSVEuMC5JUV9UUl9CVVlFUk5BTUUFAAAAAAAAAAgAAAAYKEludmFsaWQgVHJhbnNhY3Rpb24gSWQptZZxl3kD1gjPbNGceQPWCD1DSVEuTkFTREFRQ006QVZYTC5JUV9SRVZFTlVFX0VTVC5DWTIwMjEuNi8zMC8yMDE4LkNPTi5GLlVTRC5IAQAAAGM4zwACAAAABzU5Ljc4NDgBDgAAAAUAAAACMTEBAAAAATACAAAACTcwMDQ4NjUyMQMAAAAGMTAwMTgwBAAAAAEyBgAA</t>
  </si>
  <si>
    <t>AAEwBwAAAAMxNjAIAAAAATAJAAAAATEKAAAAATALAAAACzExMDM0NDQwNDYwDAAAAAE3DQAAAAg3LzEvMjAxOBAAAAAJNi8zMC8yMDE4u48fmnkD1ggT0siceQPWCCJDSVEuSVFUUjI0Mzc0NDMwNi5JUV9UUl9QQ1RfU09VR0hUAQAAADI+hw4CAAAAAzEwMABoC3KXeQPWCNP30Jx5A9YIQ0NJUS5OQVNEQVFHUzpNQ1JCLklRX0VCSVREQV8yWVJfQU5OX0NBR1IuMjAwMC42LzMwLzIwMTguTEZSLkYuVVNELkgBAAAA02JBDQMAAAACTk0BCAAAAAUAAAABMQEAAAAKMTg4ODEwNTQ1MQMAAAADMTYwAgAAAAQ0MjA5BAAAAAEwBwAAAAk2LzMwLzIwMTgIAAAACTMvMzEvMjAxOAkAAAABMG434Zt5A9YIhFfKnHkD1ggqQ0lRLklRVFIzNzAwNzIzNTMuSVFfVFJfVEFSR0VUX0VCSVQuLlVTRC5IAQAAACHbDhYCAAAACi0xOS45NTcyNDYBBwAAAAUAAAACMzcBAAAACjE3OTA5MDg0MTkCAAAABTIxNjc1AwAAAAMxNjAEAAAAATAHAAAACDEvMS8xOTAwBgAAAAk2LzMwLzIwMTax5HGXeQPWCNhxz5x5A9YIIENJUS5JUVRSMjcyNzc2MzM4LklRX1RSX0VBUk5PVVRTAQAAAJI8QhACAAAAAABoC3KXeQPWCNTQ0Jx5A9YIIUNJUS5JUTEyOTM1ODY0My5JUV9DT01QQU5ZX1RJQ0tFUgEAAAAz27UHAwAAAAhBSU06T1BUSQCxvXGXeQPWCNUL3Jd5A9YINUNJUS5OQVNEQVFHUzpWVlVTLklRX0NBUEVYLjE5OTYuNi8zMC8yMDE4</t>
  </si>
  <si>
    <t>LkxGUi5GLlVTRC5IAQAAAC6OAAACAAAABi0wLjIzMgEIAAAABQAAAAExAQAAAAoxODg3NDQ0MzI0AwAAAAMxNjACAAAABDIwMjEEAAAAATAHAAAACTYvMzAvMjAxOAgAAAAJMy8zMS8yMDE3CQAAAAEwNsofmnkD1ggVR8mceQPWCCVDSVEuTkFTREFRR006UllUTS5JUV9GSVJTVFBSSUNJTkdEQVRFAQAAABjJbRIFAAAACTEwLzUvMjAxNwDx1eCbeQPWCGmKzZx5A9YIJ0NJUS5OQVNEQVFHUzpWVlVTLklRX0JFVEFfMllSLjYvMzAvMjAxOAEAAAAujgAAAgAAABEwLjQxMTI3NDM0NzQyMjAwMwCveSCaeQPWCK4zyZx5A9YIOkNJUS5OQVNEQVFDTTpBVlhMLklRX1RPVEFMX0RFQlQuMjAwMC42LzMwLzIwMTguTEZSLkYuVVNELkgBAAAAYzjPAAIAAAABMAEIAAAABQAAAAExAQAAAAoxODg4NTA0Mjc5AwAAAAMxNjACAAAABDQxNzMEAAAAATAHAAAACTYvMzAvMjAxOAgAAAAJMy8zMS8yMDE4CQAAAAEwt90fmnkD1ggW+ciceQPWCBhDSVEuLklRX1RSX0lNUExJRURfRVFfQlYFAAAAAQAAAAgAAAAUKEludmFsaWQgSWRlbnRpZmllcilswuCbeQPWCGzC4Jt5A9YIK0NJUS5JUVRSMjc4ODgzNzE2LklRX1RSX1RPVEFMX0dST1NTX1RWLi5VU0QBAAAAhG2fEAIAAAALMzQ2My45NzAxNDMBBgAAAAUAAAACNTQBAAAABjEwMjA4OAIAAAAJMjc4ODgzNzE2AwAAAAkyNzg4ODQwNzEEAAAAAzE2MAYAAAAFRmFsc2VoC3KX</t>
  </si>
  <si>
    <t>eQPWCFa90Jx5A9YINUNJUS5OQVNEQVFHUzpaRkdOLklRX0NBUEVYLjE5OTYuNi8zMC8yMDE4LkxGUi5GLlVTRC5IAQAAAJfAugECAAAABS0wLjI3AQgAAAAFAAAAATEBAAAACjE4ODk4OTUzNTUDAAAAAzE2MAIAAAAEMjAyMQQAAAABMAcAAAAJNi8zMC8yMDE4CAAAAAkzLzMxLzIwMTcJAAAAATDwI+GbeQPWCPxUy5x5A9YIPUNJUS5OQVNEQVFHUzpNQ1JCLklRX1JFVkVOVUVfRVNULkNZMjAyMC42LzMwLzIwMTguQ09OLkYuVVNELkgBAAAA02JBDQIAAAAIMTAxLjgyNDYBDgAAAAUAAAACMTEBAAAAATACAAAACjEwMDMxMzIwMTgDAAAABjEwMDE4MAQAAAABMgYAAAABMAcAAAADMTYwCAAAAAEwCQAAAAExCgAAAAEwCwAAAAsxMDg5NzcxNDg4NgwAAAABNw0AAAAINy8xLzIwMTgQAAAACTYvMzAvMjAxOOxK4Zt5A9YIAeDKnHkD1ggnQ0lRLk5BU0RBUUNNOlNMTk8uSVFfUEVSSU9EREFURV9JUy4xMDAwAQAAAOl1JgAFAAAACjEyLzMxLzIwMTcANfEfmnkD1gghmseceQPWCDxDSVEuTkFTREFRQ006U0xOTy5JUV9HUk9TU19NQVJHSU4uMjAwMC42LzMwLzIwMTguTEZSLkYuVVNELkgBAAAA6XUmAAMAAAAAADXxH5p5A9YIHF/HnHkD1gg/Q0lRLk5BU0RBUUdTOlpGR04uSVFfTkVUX1dPUktJTkdfQ0FQLjE5OTYuNi8zMC8yMDE4LkxGUi5GLlVTRC5IAQAAAJfAugECAAAABi00LjAxNAEIAAAABQAAAAExAQAA</t>
  </si>
  <si>
    <t>AAoxODg5ODk1MzU1AwAAAAMxNjACAAAABDEzMTEEAAAAATAHAAAACTYvMzAvMjAxOAgAAAAJMy8zMS8yMDE3CQAAAAEwchDhm3kD1gj8VMuceQPWCDpDSVEuTkFTREFRR1M6WkZHTi5JUV9FQVJOSU5HX0NPLjE5OTIuNi8zMC8yMDE4LkxGUi5GLlVTRC5IAQAAAJfAugECAAAABi03OC41NQEIAAAABQAAAAExAQAAAAoxODQwOTM1OTYzAwAAAAMxNjACAAAAATcEAAAAATAHAAAACTYvMzAvMjAxOAgAAAAJMy8zMS8yMDE2CQAAAAEw8CPhm3kD1gh+QcuceQPWCDdDSVEuT1RDUEs6TkVYUy5JUV9FQVJOSU5HX0NPLjE5OTIuNi8zMC8yMDE4LkxGUi5GLlVTRC5IAQAAAB29ThQDAAAAAAAyGCCaeQPWCKnFxZx5A9YIO0NJUS5OQVNEQVFHUzpWWUdSLklRX1BSRUZfRVFVSVRZLjIwMDAuNi8zMC8yMDE4LkxGUi5GLlVTRC5IAQAAAF7MTw8DAAAAAADt/OCbeQPWCPY+zJx5A9YIQUNJUS5BSU06T1BUSS5JUV9UT1RBTF9SRVZfNVlSX0FOTl9DQUdSLjIwMDAuNi8zMC8yMDE4LkxGUi5GLlVTRC5IAQAAADPbtQcDAAAAAAA18R+aeQPWCKOtx5x5A9YIQ0NJUS5PVENQSzpORVhTLklRX01JTk9SSVRZX0lOVEVSRVNUX1RPVEFMLjIwMDAuMS81LzIwMTguTEZSLkYuVVNELkgBAAAAHb1OFAMAAAAAADIYIJp5A9YIK7LFnHkD1gg7Q0lRLk5BU0RBUUdTOkFDQUQuSVFfVE9UQUxfUkVWLkNZMjAxNy42LzMwLzIwMTguTEZS</t>
  </si>
  <si>
    <t>LkYuVVNELkgBAAAAwW4KAAIAAAAHMTI0LjkwMQEIAAAABQAAAAExAQAAAAoxODc2MTI1NTU2AwAAAAMxNjACAAAAAjI4BAAAAAEwBwAAAAk2LzMwLzIwMTgIAAAACjEyLzMxLzIwMTcJAAAAATDx1eCbeQPWCOkmzpx5A9YIIkNJUS5BSU06T1BUSS5JUV9CRVRBXzVZUi42LzMwLzIwMTgBAAAAM9u1BwIAAAAQMS4xODUwOTU2MDkyNDg5OACveSCaeQPWCB3ox5x5A9YILkNJUS5JUVRSMzE4NTQyMjEwLklRX1RSX1RBUkdFVF9TVE9DS1BSRU1JVU1fMVcBAAAAgpH8EgIAAAAAADL4cZd5A9YI2ILQnHkD1ggiQ0lRLklRVFIzMjI0Njc2MjUuSVFfVFJfVE9UQUxfQ0FTSAEAAAApdzgTAgAAAAozMTUuMDE1NTk5AQYAAAAFAAAAAjU0AQAAAAYxMDEwNTYCAAAACTMyMjQ2NzYyNQMAAAAJMzIyNDczNzkwBAAAAAMxNjAGAAAABUZhbHNlMvhxl3kD1gjdDdCceQPWCDVDSVEuTkFTREFRR1M6WkZHTi5JUV9DQVBFWC4yMDAwLjYvMzAvMjAxOC5MRlIuRi5VU0QuSAEAAACXwLoBAgAAAAYtMC4wNDYBCAAAAAUAAAABMQEAAAAKMTg4OTg5NTM4MQMAAAADMTYwAgAAAAQyMDIxBAAAAAEwBwAAAAk2LzMwLzIwMTgIAAAACTMvMzEvMjAxOAkAAAABMPAj4Zt5A9YIfkHLnHkD1gg3Q0lRLk9UQ1BLOk5FWFMuSVFfRUFSTklOR19DTy4yMDAwLjYvMzAvMjAxOC5MRlIuRi5VU0QuSAEAAAAdvU4UAgAAAAktMC44MTY2NDEBCAAA</t>
  </si>
  <si>
    <t>AAUAAAABMQEAAAAKMTg2Mjg2MzA5MwMAAAADMTYwAgAAAAE3BAAAAAEwBwAAAAk2LzMwLzIwMTgIAAAACTUvMzEvMjAxNwkAAAABMDIYIJp5A9YIqcXFnHkD1gg+Q0lRLk5BU0RBUUdTOk1DUkIuSVFfVE9UQUxfRVFVSVRZLkNZMjAxNi42LzMwLzIwMTguTEZSLkYuVVNELkgBAAAA02JBDQIAAAAHMTMyLjYzMQEIAAAABQAAAAExAQAAAAoxODc3NTU1MzEzAwAAAAMxNjACAAAABDEyNzUEAAAAATAHAAAACTYvMzAvMjAxOAgAAAAKMTIvMzEvMjAxNgkAAAABMPAj4Zt5A9YIh37KnHkD1gg4Q0lRLk9UQ1BLOk5FWFMuSVFfUFJFRl9FUVVJVFkuMjAwMC42LzMwLzIwMTguTEZSLkYuVVNELkgBAAAAHb1OFAMAAAAAADIYIJp5A9YIJifGnHkD1gg3Q0lRLkFJTTpPUFRJLklRX0VBUk5JTkdfQ08uQ1kyMDE2LjYvMzAvMjAxOC5MRlIuRi5VU0QuSAEAAAAz27UHAgAAAAktMS42NzQ1MTkBCAAAAAUAAAABMQEAAAAKMTg5MTAyMjA1MwMAAAADMTYwAgAAAAE3BAAAAAEwBwAAAAk2LzMwLzIwMTgIAAAACjExLzMwLzIwMTYJAAAAATA18R+aeQPWCKXUx5x5A9YIOkNJUS5PVENQSzpORVhTLklRX0VCSVREQV9NQVJHSU4uMjAwMC42LzMwLzIwMTguTEZSLkYuVVNELkgBAAAAHb1OFAMAAAAAADIYIJp5A9YIqOzFnHkD1ggyQ0lRLkFNRVg6U1lOLklRX1BFUklPRERBVEVfSVMuMjAwMC42LzMwLzIwMTguTEZSLkYBAAAA</t>
  </si>
  <si>
    <t>bbB0AQUAAAAJMy8zMS8yMDE4ALcEIJp5A9YIIOrGnHkD1gggQ0lRLklRVFIzNzQzMzE1ODYuSVFfVFJfRUFSTk9VVFMBAAAAwthPFgIAAAAAALHkcZd5A9YIVdPPnHkD1gg3Q0lRLlRTWFY6Q09CLlUuSVFfRUFSTklOR19DTy4yMDAwLjYvMzAvMjAxOC5MRlIuRi5VU0QuSAEAAAC/+wAIAgAAAAotMTEuMTg3NjI3AQgAAAAFAAAAATEBAAAACjE4ODkwNjIwNzQDAAAAAzE2MAIAAAABNwQAAAABMAcAAAAJNi8zMC8yMDE4CAAAAAkzLzMxLzIwMTgJAAAAATC4th+aeQPWCIjiyZx5A9YIQ0NJUS5UU1hWOkNPQi5VLklRX1RPVEFMX1JFVl8yWVJfQU5OX0NBR1IuMjAwMC42LzMwLzIwMTguTEZSLkYuVVNELkgBAAAAv/sACAMAAAAAALi2H5p5A9YIjLvJnHkD1ggvQ0lRLklRVFIyMDg2NDA1NTMuSVFfVFJfVEFSR0VUX1RPVEFMX1JFVi4uVVNELkgBAAAAKZpvDAIAAAAIMC4yNjAxMDQBBwAAAAUAAAACMzcBAAAACjE1NTEwMDcwNDcCAAAAAjI4AwAAAAMxNjAEAAAAATAHAAAACDEvMS8xOTAwBgAAAAk2LzEzLzIwMTJoC3KXeQPWCNMe0Zx5A9YIRkNJUS5OQVNEQVFHTTpSWVRNLklRX1RPVEFMX1JFVl8zWVJfQU5OX0NBR1IuMjAwMC42LzMwLzIwMTguTEZSLkYuVVNELkgBAAAAGMltEgMAAAAAAO384Jt5A9YI8AHNnHkD1ggtQ0lRLk5BU0RBUUdTOlZZR1IuSVFfTUFSS0VUQ0FQLjEvNS8yMDE4LlVTRC5IAQAA</t>
  </si>
  <si>
    <t>AF7MTw8CAAAACjU2MS42ODg0ODEBBgAAAAUAAAABMQEAAAAKMTg2Mzc4OTExNwMAAAADMTYwAgAAAAYxMDAwNTQEAAAAATAHAAAACDEvNS8yMDE48dXgm3kD1gj6ycuceQPWCENDSVEuTkFTREFRQ006QVZYTC5JUV9FQklUREFfMllSX0FOTl9DQUdSLjIwMDAuNi8zMC8yMDE4LkxGUi5GLlVTRC5IAQAAAGM4zwADAAAAAAC33R+aeQPWCBhdyJx5A9YIPkNJUS5OQVNEQVFDTTpSVFRSLklRX1RPVEFMX0VRVUlUWS5DWTIwMTcuNi8zMC8yMDE4LkxGUi5GLlVTRC5IAQAAAB+aswMCAAAACTIwLjEyNTk4MgEIAAAABQAAAAExAQAAAAoxODc4OTgyODMzAwAAAAMxNjACAAAABDEyNzUEAAAAATAHAAAACTYvMzAvMjAxOAgAAAAKMTIvMzEvMjAxNwkAAAABMLMrIJp5A9YIMBbFnHkD1ggqQ0lRLklRVFI1NjAyNTAyNjYuSVFfVFJfVEFSR0VUX0VCSVQuLlVTRC5IAQAAAJq9ZCECAAAAAAA20XGXeQPWCGaIzpx5A9YIK0NJUS5JUVRSMzI1MjMzNDYxLklRX1RSX1RPVEFMX0dST1NTX1RWLi5VU0QBAAAANatiEwIAAAAJMTUuNDE4MTAxAQYAAAAFAAAAAjU0AQAAAAYxMDIwODgCAAAACTMyNTIzMzQ2MQMAAAAJMzI1MjM3OTkwBAAAAAMxNjAGAAAABUZhbHNlMvhxl3kD1ghXSNCceQPWCCJDSVEuSVFUUjM3ODU4NzgyMi5JUV9UUl9QQ1RfU09VR0hUAQAAAK7KkBYCAAAAAjc4ALHkcZd5A9YI1JjPnHkD1gg6Q0lRLk5B</t>
  </si>
  <si>
    <t>U0RBUUdTOlZWVVMuSVFfUFJFRl9FUVVJVFkuMjAwMC4xLzUvMjAxOC5MRlIuRi5VU0QuSAEAAAAujgAAAwAAAAAANsofmnkD1ggTIMmceQPWCDBDSVEuKElOVkFMSUQgSURFTlRJRklFUikuSVFfQlVTSU5FU1NfREVTQ1JJUFRJT04FAAAAAAAAAAgAAAAUKEludmFsaWQgSWRlbnRpZmllciktfB+aeQPWCMCNxJx5A9YIPUNJUS5OQVNEQVFHTTpSWVRNLklRX1JFVkVOVUVfRVNULkNZMjAxOS42LzMwLzIwMTguQ09OLkYuVVNELkgBAAAAGMltEgIAAAAHMC42NzkwMgEOAAAABQAAAAIxMQEAAAABMAIAAAAKMTAwMzg5OTM0NgMAAAAGMTAwMTgwBAAAAAEyBgAAAAEwBwAAAAMxNjAIAAAAATAJAAAAATEKAAAAATALAAAACzEwOTQwMDY4NDI2DAAAAAE3DQAAAAg3LzEvMjAxOBAAAAAJNi8zMC8yMDE4bjfhm3kD1gjrds2ceQPWCEZDSVEuTkFTREFRQ006QVNNQi5JUV9UT1RBTF9SRVZfM1lSX0FOTl9DQUdSLjIwMDAuNi8zMC8yMDE4LkxGUi5GLlVTRC5IAQAAABCJ8QUDAAAAAADt/OCbeQPWCHdSzJx5A9YILkNJUS5JUVRSMzc0MzMxNTg2LklRX1RSX1RBUkdFVF9TVE9DS1BSRU1JVU1fMVcBAAAAwthPFgIAAAAAALHkcZd5A9YI4ebPnHkD1gggQ0lRLklRMjkwMTYyMTUuSVFfQ09NUEFOWV9USUNLRVIBAAAAl8C6AQMAAAANTmFzZGFxR1M6WkZHTgCxvXGXeQPWCP4r15d5A9YIFkNJUS4uSVFfQ09NUEFOWV9U</t>
  </si>
  <si>
    <t>SUNLRVIFAAAAAAAAAAgAAAAUKEludmFsaWQgSWRlbnRpZmllcik0g3GXeQPWCPIKzZd5A9YIIkNJUS5JUVRSMjA4NjQwNTUzLklRX1RSX1RBUkdFVE5BTUUBAAAAKZpvDAMAAAAzUHJveGltYWdlbiBHcm91cCBwbGMgKG5rYTpQcm94aW1hZ2VuIEdyb3VwIExpbWl0ZWQpAGgLcpd5A9YI0x7RnHkD1ggvQ0lRLklRVFI1NDEyODM3MDAuSVFfVFJfSU1QTElFRF9FVl9GSU5BTC4uVVNELkgBAAAAdFVDIAIAAAAAADbRcZd5A9YIYtbOnHkD1ggrQ0lRLk5BU0RBUUNNOkFTTUIuSVFfTEFTVFNBTEVQUklDRS4xLzUvMjAxOAEAAAAQifEFAgAAAAU0My4xMgDx1eCbeQPWCHN5zJx5A9YIOUNJUS5OQVNEQVFDTTpTTE5PLklRX1RPVEFMX1JFVi4xOTk2LjYvMzAvMjAxOC5MRlIuRi5VU0QuSAEAAADpdSYAAgAAAAYtMC40NDcBCAAAAAUAAAABMQEAAAAKMTg4OTA1NzYwMAMAAAADMTYwAgAAAAIyOAQAAAABMAcAAAAJNi8zMC8yMDE4CAAAAAkzLzMxLzIwMTcJAAAAATA18R+aeQPWCBuGx5x5A9YIH0NJUS4wLklRX1RSX1RPVEFMX0dST1NTX1RWLi5VU0QFAAAAAAAAAAgAAAAYKEludmFsaWQgVHJhbnNhY3Rpb24gSWQptZZxl3kD1ghQgNGceQPWCEZDSVEuTkFTREFRR1M6TUNSQi5JUV9UT1RBTF9SRVZfMllSX0FOTl9DQUdSLjIwMDAuNi8zMC8yMDE4LkxGUi5GLlVTRC5IAQAAANNiQQ0CAAAACDI0OS4yNTMzAQgA</t>
  </si>
  <si>
    <t>AAAFAAAAATEBAAAACjE4ODgxMDU0NTEDAAAAAzE2MAIAAAAENDIwNwQAAAABMAcAAAAJNi8zMC8yMDE4CAAAAAkzLzMxLzIwMTgJAAAAATBuN+GbeQPWCAVrypx5A9YIPENJUS5OQVNEQVFDTTpTTE5PLklRX0VCSVREQV9FU1QuQ1kyMDIwLjYvMzAvMjAxOC5DT04uRi5VU0QuSAEAAADpdSYAAwAAAAAANqMfmnkD1ggcX8eceQPWCDZDSVEuTkFTREFRQ006U0xOTy5JUV9FQklUREEuMjAwMC42LzMwLzIwMTguTEZSLkYuVVNELkgBAAAA6XUmAAIAAAAJLTkuMzY4ODUyAQgAAAAFAAAAATEBAAAACjE4ODkwNTc2MDYDAAAAAzE2MAIAAAAENDA1MQQAAAABMAcAAAAJNi8zMC8yMDE4CAAAAAkzLzMxLzIwMTgJAAAAATA18R+aeQPWCJpyx5x5A9YIK0NJUS5JUVRSMzc0MzMxNTg2LklRX1RSX1RPVEFMX0dST1NTX1RWLi5VU0QBAAAAwthPFgIAAAAAALHkcZd5A9YIVdPPnHkD1gglQ0lRLklRVFI1NDEyODM3MDAuSVFfVFJfTUFKX01JTl9TVEFLRQEAAAB0VUMgAwAAAAhNYWpvcml0eQA20XGXeQPWCGLWzpx5A9YINUNJUS5OQVNEQVFDTTpTTE5PLklRX0NBUEVYLjE5OTIuNi8zMC8yMDE4LkxGUi5GLlVTRC5IAQAAAOl1JgACAAAACS0wLjA3Mzc3NwEIAAAABQAAAAExAQAAAAoxODQxODM4MjA0AwAAAAMxNjACAAAABDIwMjEEAAAAATAHAAAACTYvMzAvMjAxOAgAAAAJMy8zMS8yMDE2CQAAAAEwNfEfmnkD1gie</t>
  </si>
  <si>
    <t>S8eceQPWCCdDSVEuTkFTREFRQ006U0xOTy5JUV9CRVRBXzFZUi42LzMwLzIwMTgBAAAA6XUmAAIAAAARMC4yODU5NzIwNzE3Mzk1NTIAr3kgmnkD1ggcOMeceQPWCCdDSVEuTkFTREFRR1M6QUNBRC5JUV9CRVRBXzVZUi42LzMwLzIwMTgBAAAAwW4KAAIAAAAQMy42NDE2MTY3MTA2ODQwNQDsSuGbeQPWCGXYzZx5A9YIK0NJUS5JUVRSMzcwMDcyMzUzLklRX1RSX0lNUExJRURfRVZfRUJJVF9GV0QBAAAAIdsOFgMAAAACTk0AseRxl3kD1ghWhc+ceQPWCCVDSVEuSVFUUjMyMjQ2NzYyNS5JUV9QUklNQVJZX0lORFVTVFJZAQAAAILhBwADAAAADUJpb3RlY2hub2xvZ3kAOqpxl3kD1gjdDdCceQPWCEZDSVEuTkFTREFRQ006UlRUUi5JUV9UT1RBTF9SRVZfM1lSX0FOTl9DQUdSLjIwMDAuNi8zMC8yMDE4LkxGUi5GLlVTRC5IAQAAAB+aswMDAAAAAACzKyCaeQPWCLICxZx5A9YIPUNJUS5OQVNEQVFHTTpSWVRNLklRX0NBU0hfU1RfSU5WRVNULjIwMDAuMS81LzIwMTguTEZSLkYuVVNELkgBAAAAGMltEgIAAAAGMzAuNDE1AQgAAAAFAAAAATEBAAAACjE4NjU4NzI3MjEDAAAAAzE2MAIAAAAEMTAwMgQAAAABMAcAAAAIMS81LzIwMTgIAAAACTkvMzAvMjAxNwkAAAABMHXp4Jt5A9YIbhXNnHkD1ggdQ0lRLk5BU0RBUUNNOlNMTk8uSVFfRVhDSEFOR0UBAAAA6XUmAAMAAAAITmFzZGFxQ00ALXwfmnkD1gghmsec</t>
  </si>
  <si>
    <t>eQPWCD1DSVEuKElOVkFMSUQgSURFTlRJRklFUikuSVFfRUJJVERBLjE5OTYuNi8zMC8yMDE4LkxGUi5GLlVTRC5IBQAAAAAAAAAIAAAAFChJbnZhbGlkIElkZW50aWZpZXIpr1IgmnkD1ggxyMSceQPWCCVDSVEuSVFUUjM3MDA3MjM1My5JUV9UUl9NQUpfTUlOX1NUQUtFAQAAACHbDhYDAAAACE1ham9yaXR5ALHkcZd5A9YI2HHPnHkD1gg/Q0lRLk5BU0RBUUdTOk1DUkIuSVFfTkVUX1dPUktJTkdfQ0FQLjE5OTIuNi8zMC8yMDE4LkxGUi5GLlVTRC5IAQAAANNiQQ0CAAAABy0yMS4yNTQBCAAAAAUAAAABMQEAAAAKMTg0MDUxNzkzNAMAAAADMTYwAgAAAAQxMzExBAAAAAEwBwAAAAk2LzMwLzIwMTgIAAAACTMvMzEvMjAxNgkAAAABMPAj4Zt5A9YIg6XKnHkD1gg5Q0lRLk5BU0RBUUdTOlpGR04uSVFfVE9UQUxfUkVWLjE5OTIuNi8zMC8yMDE4LkxGUi5GLlVTRC5IAQAAAJfAugEDAAAAAAByEOGbeQPWCHmPy5x5A9YINUNJUS5OQVNEQVFHTTpSWVRNLklRX0NBUEVYLjE5OTYuNi8zMC8yMDE4LkxGUi5GLlVTRC5IAQAAABjJbRICAAAABi0wLjQ5NgEIAAAABQAAAAExAQAAAAoxODg4OTExNDUzAwAAAAMxNjACAAAABDIwMjEEAAAAATAHAAAACTYvMzAvMjAxOAgAAAAJMy8zMS8yMDE3CQAAAAEwdengm3kD1ghuPM2ceQPWCC9DSVEuSVFUUjM4NDAyODQ5Ni5JUV9UUl9UQVJHRVRfVE9UQUxfUkVWLi5VU0Qu</t>
  </si>
  <si>
    <t>SAEAAABQz+MWAgAAAAgwLjMyMjQ3NAEGAAAABQAAAAIzNwEAAAAKMTgwMTkzMDQ3NQIAAAACMjgDAAAAAzE2MAQAAAABMAcAAAAIMS8xLzE5MDA20XGXeQPWCF0kz5x5A9YILENJUS5JUVRSMzcwMDcyMzUzLklRX1RSX1RBUkdFVF9FQklUREEuLlVTRC5IAQAAACHbDhYCAAAACi0xOS40MDI0MDQBBwAAAAUAAAACMzcBAAAACjE3OTA5MDg0MTkCAAAABTIxNjc3AwAAAAMxNjAEAAAAATAHAAAACDEvMS8xOTAwBgAAAAk2LzMwLzIwMTax5HGXeQPWCFaFz5x5A9YIO0NJUS5OQVNEQVFHUzpaRkdOLklRX1RPVEFMX1JFVi5DWTIwMTYuNi8zMC8yMDE4LkxGUi5GLlVTRC5IAQAAAJfAugEDAAAAAAByEOGbeQPWCHmPy5x5A9YINUNJUS5OQVNEQVFDTTpTTE5PLklRX0NBUEVYLjIwMDAuNi8zMC8yMDE4LkxGUi5GLlVTRC5IAQAAAOl1JgACAAAACS0wLjAwMjU2OQEIAAAABQAAAAExAQAAAAoxODg5MDU3NjA2AwAAAAMxNjACAAAABDIwMjEEAAAAATAHAAAACTYvMzAvMjAxOAgAAAAJMy8zMS8yMDE4CQAAAAEwNfEfmnkD1ggcOMeceQPWCDBDSVEuSVFUUjM3NDMzMTU4Ni5JUV9UUl9UQVJHRVRfRUJJVERBX0VTVC4uVVNELkgBAAAAwthPFgIAAAAAALHkcZd5A9YI4ebPnHkD1gg8Q0lRLihJTlZBTElEIElERU5USUZJRVIpLklRX0NBUEVYLjIwMDAuNi8zMC8yMDE4LkxGUi5GLlVTRC5IBQAAAAAAAAAIAAAAFChJ</t>
  </si>
  <si>
    <t>bnZhbGlkIElkZW50aWZpZXIpMWYgmnkD1gg4esSceQPWCEZDSVEuTkFTREFRR1M6VlZVUy5JUV9UT1RBTF9SRVZfMllSX0FOTl9DQUdSLjIwMDAuNi8zMC8yMDE4LkxGUi5GLlVTRC5IAQAAAC6OAAACAAAACC0yMC4wMjgxAQgAAAAFAAAAATEBAAAACjE4ODc0NDQzMjgDAAAAAzE2MAIAAAAENDIwNwQAAAABMAcAAAAJNi8zMC8yMDE4CAAAAAkzLzMxLzIwMTgJAAAAATA2yh+aeQPWCKIMyZx5A9YIR0NJUS5OQVNEQVFDTTpBU01CLklRX01JTk9SSVRZX0lOVEVSRVNUX1RPVEFMLjIwMDAuNi8zMC8yMDE4LkxGUi5GLlVTRC5IAQAAABCJ8QUDAAAAAADt/OCbeQPWCPHazJx5A9YIL0NJUS5JUVRSMzc0MzMxNTg2LklRX1RSX1RBUkdFVF9UT1RBTF9SRVYuLlVTRC5IAQAAAMLYTxYCAAAAAACx5HGXeQPWCFXTz5x5A9YIHkNJUS5JUTM2MTgzODM3LklRX0NPTVBBTllfTkFNRQEAAAAdHygCAwAAADJVbml0ZWQgU3RhdGVzIFRyZWFzdXJ5IENvbnN0YW50IE1hdHVyaXR5IC0gMTAgWWVhcgCxvXGXeQPWCO4gzJd5A9YIOUNJUS5UU1hWOkNPQi5VLklRX0VCSVREQV9FU1QuQ1kyMDIwLjYvMzAvMjAxOC5DT04uRi5VU0QuSAEAAAC/+wAIAwAAAAAAu48fmnkD1giICcqceQPWCC9DSVEuSVFUUjMzMDMyNDI4NS5JUV9UUl9UQVJHRVRfVE9UQUxfUkVWLi5VU0QuSAEAAAA9WbATAgAAAAgxLjEyNjA3NgA20XGXeQPW</t>
  </si>
  <si>
    <t>COYQz5x5A9YINUNJUS5BSU06T1BUSS5JUV9UT1RBTF9ERUJULjIwMDAuNi8zMC8yMDE4LkxGUi5GLlVTRC5IAQAAADPbtQcCAAAAATABCAAAAAUAAAABMQEAAAAKMTg5MTAyMjA3NgMAAAADMTYwAgAAAAQ0MTczBAAAAAEwBwAAAAk2LzMwLzIwMTgIAAAACjExLzMwLzIwMTcJAAAAATC33R+aeQPWCJpJyJx5A9YIIkNJUS5JUVRSMjcyNzc2MzM4LklRX1RSX1RPVEFMX0NBU0gBAAAAkjxCEAIAAAAJMTEuNTE1NTQxAQYAAAAFAAAAAjU0AQAAAAYxMDEwNTYCAAAACTI3Mjc3NjMzOAMAAAAJMjcyNzc3MDI1BAAAAAMxNjAGAAAABUZhbHNlaAtyl3kD1gjU0NCceQPWCDdDSVEuTkFTREFRR006UllUTS5JUV9QRVJJT0REQVRFX0lTLjIwMDAuNi8zMC8yMDE4LkxGUi5GAQAAABjJbRIFAAAACTMvMzEvMjAxOAB16eCbeQPWCOudzZx5A9YIO0NJUS5OQVNEQVFDTTpTTE5PLklRX1RPVEFMX1JFVi5DWTIwMTcuNi8zMC8yMDE4LkxGUi5GLlVTRC5IAQAAAOl1JgADAAAAAAA18R+aeQPWCBuGx5x5A9YILkNJUS5JUVRSNTQ3MzM4ODE0LklRX1RSX1RBUkdFVF9TVE9DS1BSRU1JVU1fMVcBAAAAPrqfIAIAAAAAADbRcZd5A9YI5MLOnHkD1ggkQ0lRLlRTWFY6Q09CLlUuSVFfQkVUQV8yWVIuNi8zMC8yMDE4AQAAAL/7AAgCAAAAEDIuMTI0MDIyNTQ3MjMyNzIAr3kgmnkD1giI4smceQPWCDxDSVEuTkFTREFRQ006U0xO</t>
  </si>
  <si>
    <t>Ty5JUV9FQVJOSU5HX0NPLkNZMjAxNy42LzMwLzIwMTguTEZSLkYuVVNELkgBAAAA6XUmAAIAAAAJLTEyLjA3Mzg1AQgAAAAFAAAAATEBAAAACjE4ODEzODk2ODADAAAAAzE2MAIAAAABNwQAAAABMAcAAAAJNi8zMC8yMDE4CAAAAAoxMi8zMS8yMDE3CQAAAAEwNfEfmnkD1gieJMeceQPWCDlDSVEuVFNYVjpDT0IuVS5JUV9HUk9TU19NQVJHSU4uMjAwMC42LzMwLzIwMTguTEZSLkYuVVNELkgBAAAAv/sACAMAAAAAALi2H5p5A9YIiAnKnHkD1gguQ0lRLk5ZU0U6QkhWTi5JUV9UT1RBTF9SRVYuMjAwMC4xMC8xOC8yMDE2Li4uLgEAAADcZyAPAwAAAAAAsb1xl3kD1gjaMc2XeQPWCDxDSVEuTkFTREFRQ006UlRUUi5JUV9UT1RBTF9FUVVJVFkuMTk5Mi42LzMwLzIwMTguTEZSLkYuVVNELkgBAAAAH5qzAwIAAAAJMTEuOTM2MjcyAQgAAAAFAAAAATEBAAAACjE4NDM3NDg4NTQDAAAAAzE2MAIAAAAEMTI3NQQAAAABMAcAAAAJNi8zMC8yMDE4CAAAAAkzLzMxLzIwMTYJAAAAATCzKyCaeQPWCDAWxZx5A9YIPENJUS5OQVNEQVFHUzpaRkdOLklRX1RPVEFMX0VRVUlUWS4xOTkyLjYvMzAvMjAxOC5MRlIuRi5VU0QuSAEAAACXwLoBAgAAAAcxNTQuNDI4AQgAAAAFAAAAATEBAAAACjE4NDA5MzU5NjMDAAAAAzE2MAIAAAAEMTI3NQQAAAABMAcAAAAJNi8zMC8yMDE4CAAAAAkzLzMxLzIwMTYJAAAAATDwI+GbeQPW</t>
  </si>
  <si>
    <t>CAAuy5x5A9YIK0NJUS5OQVNEQVFHUzpNQ1JCLklRX0xBU1RTQUxFUFJJQ0UuMS81LzIwMTgBAAAA02JBDQIAAAAFMTAuNjEA8dXgm3kD1giHfsqceQPWCENDSVEuKElOVkFMSUQgSURFTlRJRklFUikuSVFfVE9UQUxfRVFVSVRZLjE5OTYuNi8zMC8yMDE4LkxGUi5GLlVTRC5IBQAAAAAAAAAIAAAAFChJbnZhbGlkIElkZW50aWZpZXIpMWYgmnkD1gg4esSceQPWCDpDSVEuQU1FWDpTWU4uSVFfTkVUX1dPUktJTkdfQ0FQLjE5OTIuNi8zMC8yMDE4LkxGUi5GLlVTRC5IAQAAAG2wdAECAAAABi0xMC40MQEIAAAABQAAAAExAQAAAAoxODQwMDk1MjQzAwAAAAMxNjACAAAABDEzMTEEAAAAATAHAAAACTYvMzAvMjAxOAgAAAAJMy8zMS8yMDE2CQAAAAEwtwQgmnkD1gghnMaceQPWCCFDSVEuSVFUUjM3NDMzMTU4Ni5JUV9UUl9CVVlFUk5BTUUBAAAAwthPFgMAAAAXRXZlbG8gQmlvc2NpZW5jZXMsIEluYy4AseRxl3kD1ghWrM+ceQPWCDZDSVEuTkFTREFRR1M6VllHUi5JUV9FQklUREEuMTk5Ni42LzMwLzIwMTguTEZSLkYuVVNELkgBAAAAXsxPDwIAAAAHLTUwLjU2MQEIAAAABQAAAAExAQAAAAoxODg4NDgwNTgxAwAAAAMxNjACAAAABDQwNTEEAAAAATAHAAAACTYvMzAvMjAxOAgAAAAJMy8zMS8yMDE3CQAAAAEwchDhm3kD1gj2F8yceQPWCDBDSVEuQUlNOk9QVEkuSVFfQ0FQRVguMjAwMC42LzMwLzIwMTgu</t>
  </si>
  <si>
    <t>TEZSLkYuVVNELkgBAAAAM9u1BwIAAAAJLTAuMDAyNDM3AQgAAAAFAAAAATEBAAAACjE4OTEwMjIwNzYDAAAAAzE2MAIAAAAEMjAyMQQAAAABMAcAAAAJNi8zMC8yMDE4CAAAAAoxMS8zMC8yMDE3CQAAAAEwNfEfmnkD1ggd6MeceQPWCCtDSVEuSVFUUjM0MDcwNDg2NS5JUV9UUl9UT1RBTF9HUk9TU19UVi4uVVNEAQAAAGG+ThQCAAAAAACx5HGXeQPWCFv6z5x5A9YIJUNJUS5OQVNEQVFDTTpSVFRSLklRX0ZJUlNUUFJJQ0lOR0RBVEUBAAAAH5qzAwUAAAAJNi8yNC8yMDE1ALuPH5p5A9YIK4vFnHkD1ghDQ0lRLlRTWFY6Q09CLlUuSVFfVE9UQUxfUkVWXzNZUl9BTk5fQ0FHUi4yMDAwLjYvMzAvMjAxOC5MRlIuRi5VU0QuSAEAAAC/+wAIAwAAAAAAuLYfmnkD1giMu8mceQPWCC9DSVEuSVFUUjM3MDA3MjM1My5JUV9UUl9UQVJHRVRfVE9UQUxfUkVWLi5VU0QuSAEAAAAh2w4WAgAAAAAAseRxl3kD1gjYcc+ceQPWCChDSVEuTkFTREFRR1M6VlZVUy5JUV9URVYuNi8zMC8yMDE4LlVTRC5IAQAAAC6OAAACAAAACjEwMi4xNTAxMzYBBgAAAAUAAAABMQEAAAAKMTg4NzQ0NDI2NwMAAAADMTYwAgAAAAYxMDAwNjAEAAAAATAHAAAACTYvMzAvMjAxOC18H5p5A9YIC6jJnHkD1gg+Q0lRLk5BU0RBUUdTOk1DUkIuSVFfQ0FTSF9TVF9JTlZFU1QuMjAwMC42LzMwLzIwMTguTEZSLkYuVVNELkgBAAAA02JBDQIAAAAH</t>
  </si>
  <si>
    <t>MTIyLjE5NAEIAAAABQAAAAExAQAAAAoxODg4MTA1NDUxAwAAAAMxNjACAAAABDEwMDIEAAAAATAHAAAACTYvMzAvMjAxOAgAAAAJMy8zMS8yMDE4CQAAAAEw8CPhm3kD1gh/88qceQPWCC5DSVEuTkFTREFRQ006U0xOTy5JUV9NQVJLRVRDQVAuNi8zMC8yMDE4LlVTRC5IAQAAAOl1JgACAAAACTQ2LjI1Nzk5OAEGAAAABQAAAAExAQAAAAoxODg5MDU3MTc1AwAAAAMxNjACAAAABjEwMDA1NAQAAAABMAcAAAAJNi8zMC8yMDE4LXwfmnkD1gghmseceQPWCCVDSVEuSVFUUjMzMDMyNDI4NS5JUV9QUklNQVJZX0lORFVTVFJZAQAAAFJ6tAQDAAAADUJpb3RlY2hub2xvZ3kAOqpxl3kD1ghh/c6ceQPWCCBDSVEuSVFUUjM4NDAyODQ5Ni5JUV9UUl9FQVJOT1VUUwEAAABQz+MWAgAAAAAANtFxl3kD1ghdJM+ceQPWCCBDSVEuSVEzNjE4MzgxMy5JUV9MQVNUU0FMRVBSSUNFLgEAAAAFHygCAgAAAAQxLjk2APHV4Jt5A9YI8dXgm3kD1ghEQ0lRLihJTlZBTElEIElERU5USUZJRVIpLklRX1JFVkVOVUVfRVNULkNZMjAyMS42LzMwLzIwMTguQ09OLkYuVVNELkgFAAAAAAAAAAgAAAAUKEludmFsaWQgSWRlbnRpZmllcim4th+aeQPWCLO0xJx5A9YIO0NJUS5OQVNEQVFDTTpBU01CLklRX1BSRUZfRVFVSVRZLjIwMDAuNi8zMC8yMDE4LkxGUi5GLlVTRC5IAQAAABCJ8QUDAAAAAADt/OCbeQPWCPHazJx5A9YIR0NJUS5O</t>
  </si>
  <si>
    <t>QVNEQVFHUzpWVlVTLklRX01JTk9SSVRZX0lOVEVSRVNUX1RPVEFMLjIwMDAuNi8zMC8yMDE4LkxGUi5GLlVTRC5IAQAAAC6OAAADAAAAAAA2yh+aeQPWCImUyZx5A9YIMkNJUS5UU1hWOkNPQi5VLklRX0NBUEVYLjE5OTIuNi8zMC8yMDE4LkxGUi5GLlVTRC5IAQAAAL/7AAgCAAAACS0wLjIyMTgxNQEIAAAABQAAAAExAQAAAAoxODQyNzU4ODEwAwAAAAMxNjACAAAABDIwMjEEAAAAATAHAAAACTYvMzAvMjAxOAgAAAAJMy8zMS8yMDE2CQAAAAEwuLYfmnkD1ggK9smceQPWCDZDSVEuVFNYVjpDT0IuVS5JUV9OSV9NQVJHSU4uMjAwMC42LzMwLzIwMTguTEZSLkYuVVNELkgBAAAAv/sACAMAAAAAALi2H5p5A9YIiAnKnHkD1ggpQ0lRLklRVFIzMzAzMjQyODUuSVFfVFJfSU1QTElFRF9FUV9OSV9MVE0BAAAAPVmwEwMAAAACTk0ANtFxl3kD1gjmEM+ceQPWCC5DSVEuSVFUUjM3NDMzMTU4Ni5JUV9UUl9UQVJHRVRfU1RPQ0tQUkVNSVVNXzFNAQAAAMLYTxYCAAAAAACx5HGXeQPWCOHmz5x5A9YIPENJUS5OQVNEQVFHUzpaRkdOLklRX1RPVEFMX0VRVUlUWS4yMDAwLjYvMzAvMjAxOC5MRlIuRi5VU0QuSAEAAACXwLoBAgAAAAY2NC45OTcBCAAAAAUAAAABMQEAAAAKMTg4OTg5NTM4MQMAAAADMTYwAgAAAAQxMjc1BAAAAAEwBwAAAAk2LzMwLzIwMTgIAAAACTMvMzEvMjAxOAkAAAABMPAj4Zt5A9YIAC7LnHkD</t>
  </si>
  <si>
    <t>1ggtQ0lRLk5BU0RBUUdTOkFDQUQuSVFfTUFSS0VUQ0FQLjEvNS8yMDE4LlVTRC5IAQAAAMFuCgACAAAACzM1ODkuNTQyOTA5AQYAAAAFAAAAATEBAAAACjE4NjQ0NjQyNTcDAAAAAzE2MAIAAAAGMTAwMDU0BAAAAAEwBwAAAAgxLzUvMjAxOGzC4Jt5A9YIabHNnHkD1gg5Q0lRLk5BU0RBUUdTOlZWVVMuSVFfVE9UQUxfUkVWLjE5OTYuNi8zMC8yMDE4LkxGUi5GLlVTRC5IAQAAAC6OAAACAAAABzEzNS45NDYBCAAAAAUAAAABMQEAAAAKMTg4NzQ0NDMyNAMAAAADMTYwAgAAAAIyOAQAAAABMAcAAAAJNi8zMC8yMDE4CAAAAAkzLzMxLzIwMTcJAAAAATA2yh+aeQPWCImUyZx5A9YIMENJUS5BTUVYOlNZTi5JUV9DQVBFWC4xOTkyLjYvMzAvMjAxOC5MRlIuRi5VU0QuSAEAAABtsHQBAgAAAAYtMC41MjcBCAAAAAUAAAABMQEAAAAKMTg0MDA5NTI0MwMAAAADMTYwAgAAAAQyMDIxBAAAAAEwBwAAAAk2LzMwLzIwMTgIAAAACTMvMzEvMjAxNgkAAAABMLcEIJp5A9YIo4jGnHkD1ggsQ0lRLklRVFIyNzg4ODM3MTYuSVFfVFJfVE9UQUxfR1JPU1NfVFYuVVNELkgFAAAAAAAAAAgAAAAaKEludmFsaWQgQ3VycmVuY3kgUmVxdWVzdCm1lnGXeQPWCFa90Jx5A9YIKUNJUS5JUTM2MTgzODEzLklRX0xBU1RTQUxFUFJJQ0UuNi8zMC8yMDE4AQAAAAUfKAICAAAABDEuNzcAOqpxl3kD1gjodM6ceQPWCC9DSVEuSVFUUjM3</t>
  </si>
  <si>
    <t>Njc5OTIzMi5JUV9UUl9JTVBMSUVEX0VWX0ZJTkFMLi5VU0QuSAEAAAAAgHUWAgAAAAsxNDMyLjI4NzA4MQEGAAAABQAAAAI1NAEAAAAGMTAyMDQ1AgAAAAkzNzY3OTkyMzIDAAAACTM3NjgwMzMzNQQAAAADMTYwBgAAAAVGYWxzZbHkcZd5A9YI2UrPnHkD1gg5Q0lRLlRTWFY6Q09CLlUuSVFfVE9UQUxfRVFVSVRZLjE5OTIuNi8zMC8yMDE4LkxGUi5GLlVTRC5IAQAAAL/7AAgCAAAACDguNzI4Njc2AQgAAAAFAAAAATEBAAAACjE4NDI3NTg4MTADAAAAAzE2MAIAAAAEMTI3NQQAAAABMAcAAAAJNi8zMC8yMDE4CAAAAAkzLzMxLzIwMTYJAAAAATC4th+aeQPWCArPyZx5A9YII0NJUS5JUVRSMzg0MDI4NDk2LklRX1RSX0NMT1NFRF9EQVRFAQAAAFDP4xYFAAAACjEwLzI0LzIwMTYANtFxl3kD1gjXG86XeQPWCDBDSVEuSVFUUjM3Njc5OTIzMi5JUV9UUl9UQVJHRVRfRUJJVERBX0VTVC4uVVNELkgBAAAAAIB1FgIAAAAJLTI0NS41NzA5ALHkcZd5A9YIV17PnHkD1ggcQ0lRLkFJTTpPUFRJLklRX0NPTVBBTllfTkFNRQEAAAAz27UHAwAAABVPcHRpQmlvdGl4IEhlYWx0aCBwbGMALXwfmnkD1giaSciceQPWCDxDSVEuTkFTREFRQ006QVNNQi5JUV9HUk9TU19NQVJHSU4uMjAwMC42LzMwLzIwMTguTEZSLkYuVVNELkgBAAAAEInxBQMAAAACTk0BCAAAAAUAAAABMQEAAAAKMTg4NzIzNTA3OAMAAAADMTYwAgAA</t>
  </si>
  <si>
    <t>AAQ0MDc0BAAAAAEwBwAAAAk2LzMwLzIwMTgIAAAACTMvMzEvMjAxOAkAAAABMO384Jt5A9YI8bPMnHkD1ghDQ0lRLk5BU0RBUUdTOlZZR1IuSVFfRUJJVERBXzVZUl9BTk5fQ0FHUi4yMDAwLjYvMzAvMjAxOC5MRlIuRi5VU0QuSAEAAABezE8PAwAAAAAAchDhm3kD1gj7osuceQPWCDpDSVEuTkFTREFRQ006QVNNQi5JUV9UT1RBTF9ERUJULjIwMDAuNi8zMC8yMDE4LkxGUi5GLlVTRC5IAQAAABCJ8QUCAAAAATABCAAAAAUAAAABMQEAAAAKMTg4NzIzNTA3OAMAAAADMTYwAgAAAAQ0MTczBAAAAAEwBwAAAAk2LzMwLzIwMTgIAAAACTMvMzEvMjAxOAkAAAABMO384Jt5A9YIb+7MnHkD1ggiQ0lRLklRVFIzMjUyMzM0NjEuSVFfVFJfVEFSR0VUTkFNRQEAAAA1q2ITAwAAABVUdWNhbmEgSGVhbHRoIExpbWl0ZWQAMvhxl3kD1gjZNNCceQPWCEZDSVEuTkFTREFRQ006U0xOTy5JUV9UT1RBTF9SRVZfMllSX0FOTl9DQUdSLjIwMDAuNi8zMC8yMDE4LkxGUi5GLlVTRC5IAQAAAOl1JgADAAAAAAC3BCCaeQPWCCARx5x5A9YIPUNJUS5OQVNEQVFDTTpTTE5PLklRX1JFVkVOVUVfRVNULkNZMjAxOC42LzMwLzIwMTguQ09OLkYuVVNELkgBAAAA6XUmAAIAAAAGMC4yMjI1AQ4AAAAFAAAAAjExAQAAAAEwAgAAAAoxMDAzMDM0MjAxAwAAAAYxMDAxODAEAAAAATIGAAAAATAHAAAAAzE2MAgAAAABMAkAAAABMQoAAAAB</t>
  </si>
  <si>
    <t>MAsAAAALMTA5Mzc2NzIwNTgMAAAAATcNAAAACDcvMS8yMDE4EAAAAAk2LzMwLzIwMTi7jx+aeQPWCBuGx5x5A9YIQENJUS4oSU5WQUxJRCBJREVOVElGSUVSKS5JUV9OSV9NQVJHSU4uMjAwMC42LzMwLzIwMTguTEZSLkYuVVNELkgFAAAAAAAAAAgAAAAUKEludmFsaWQgSWRlbnRpZmllcikxZiCaeQPWCDihxJx5A9YIMENJUS5JUVRSNTYwMjUwMjY2LklRX1RSX1RBUkdFVF9FQklUREFfRVNULi5VU0QuSAEAAACavWQhAgAAAAAANtFxl3kD1gjnm86ceQPWCDtDSVEuTkFTREFRR1M6VllHUi5JUV9UT1RBTF9SRVYuQ1kyMDE3LjYvMzAvMjAxOC5MRlIuRi5VU0QuSAEAAABezE8PAgAAAAYxMC4xMzUBCAAAAAUAAAABMQEAAAAKMTg3ODMyNjU2OAMAAAADMTYwAgAAAAIyOAQAAAABMAcAAAAJNi8zMC8yMDE4CAAAAAoxMi8zMS8yMDE3CQAAAAEwchDhm3kD1gh0K8yceQPWCDVDSVEuTkFTREFRQ006QVZYTC5JUV9DQVBFWC4xOTk2LjYvMzAvMjAxOC5MRlIuRi5VU0QuSAEAAABjOM8AAwAAAAAAt90fmnkD1giql8iceQPWCCNDSVEuSVFUUjMzMDMyNDI4NS5JUV9UUl9DTE9TRURfREFURQEAAAA9WbATBQAAAAkxLzEzLzIwMTcANtFxl3kD1gjALM+XeQPWCDJDSVEuVFNYVjpDT0IuVS5JUV9DQVBFWC4xOTk2LjYvMzAvMjAxOC5MRlIuRi5VU0QuSAEAAAC/+wAIAgAAAAktMC4wODA0OTMBCAAAAAUAAAABMQEA</t>
  </si>
  <si>
    <t>AAAKMTg4OTA2MjA2OQMAAAADMTYwAgAAAAQyMDIxBAAAAAEwBwAAAAk2LzMwLzIwMTgIAAAACTMvMzEvMjAxNwkAAAABMLi2H5p5A9YICvbJnHkD1ggnQ0lRLk5BU0RBUUdTOlZWVVMuSVFfQkVUQV81WVIuNi8zMC8yMDE4AQAAAC6OAAACAAAAETAuNTkyMDAxMzIxNDc0MjYyAK95IJp5A9YIrjPJnHkD1gg7Q0lRLk5BU0RBUUdTOlZWVVMuSVFfVE9UQUxfUkVWLkNZMjAxNi42LzMwLzIwMTguTEZSLkYuVVNELkgBAAAALo4AAAIAAAAHMTI0LjI1OAEIAAAABQAAAAExAQAAAAoxODc4ODU4NzI4AwAAAAMxNjACAAAAAjI4BAAAAAEwBwAAAAk2LzMwLzIwMTgIAAAACjEyLzMxLzIwMTYJAAAAATA2yh+aeQPWCImUyZx5A9YIKkNJUS5UU1hWOkNPQi5VLklRX01BUktFVENBUC4xLzUvMjAxOC5VU0QuSAEAAAC/+wAIAgAAAAoyNDAuNDc5MzA2AQYAAAAFAAAAATEBAAAACjE4NjYzODgzNTEDAAAAAzE2MAIAAAAGMTAwMDU0BAAAAAEwBwAAAAgxLzUvMjAxOC18H5p5A9YICs/JnHkD1ggxQ0lRLklRVFIzNzQzMzE1ODYuSVFfVFJfVEFSR0VUX1JFVkVOVUVfRVNULi5VU0QuSAEAAADC2E8WAgAAAAAAseRxl3kD1gjh5s+ceQPWCCxDSVEuKElOVkFMSUQgSURFTlRJRklFUikuSVFfRklSU1RQUklDSU5HREFURQUAAAAAAAAACAAAABQoSW52YWxpZCBJZGVudGlmaWVyKTqqcZd5A9YI6HTOnHkD1ggqQ0lRLklRVFIz</t>
  </si>
  <si>
    <t>MjUyMzM0NjEuSVFfVFJfVEFSR0VUX0VCSVQuLlVTRC5IAQAAADWrYhMCAAAAAAAy+HGXeQPWCFdI0Jx5A9YIIkNJUS5JUVRSNTYwMjUwMjY2LklRX1RSX1RBUkdFVE5BTUUBAAAAmr1kIQMAAAA+U3Vic3RhbnRpYWxseSBhbGwgb2YgdGhlIGFzc2V0cyBvZiBPcmV4aWdlbiBUaGVyYXBldXRpY3MsIEluYy4ANtFxl3kD1ghmiM6ceQPWCDtDSVEuTkFTREFRQ006QVNNQi5JUV9UT1RBTF9SRVYuQ1kyMDE2LjYvMzAvMjAxOC5MRlIuRi5VU0QuSAEAAAAQifEFAwAAAAAA7fzgm3kD1gjx2syceQPWCBRDSVEuLklRX1RSX0JVWUVSTkFNRQUAAAABAAAACAAAABQoSW52YWxpZCBJZGVudGlmaWVyKWzC4Jt5A9YIbMLgm3kD1ggiQ0lRLklRVFI1NDczMzg4MTQuSVFfVFJfUENUX1NPVUdIVAEAAAA+up8gAgAAAAMxMDAANtFxl3kD1ghlr86ceQPWCD9DSVEuTkFTREFRQ006QVNNQi5JUV9ORVRfV09SS0lOR19DQVAuMTk5Mi42LzMwLzIwMTguTEZSLkYuVVNELkgBAAAAEInxBQIAAAAJLTIuODAzNjYxAQgAAAAFAAAAATEBAAAACjE4NDA2NTMzNDkDAAAAAzE2MAIAAAAEMTMxMQQAAAABMAcAAAAJNi8zMC8yMDE4CAAAAAkzLzMxLzIwMTYJAAAAATDt/OCbeQPWCHOgzJx5A9YIPENJUS5OQVNEQVFDTTpSVFRSLklRX0VCSVREQV9FU1QuQ1kyMDE4LjYvMzAvMjAxOC5DT04uRi5VU0QuSAEAAAAfmrMDAwAAAAAANqMf</t>
  </si>
  <si>
    <t>mnkD1ggsZMWceQPWCDZDSVEuT1RDUEs6TkVYUy5JUV9OSV9NQVJHSU4uMjAwMC42LzMwLzIwMTguTEZSLkYuVVNELkgBAAAAHb1OFAMAAAAAADIYIJp5A9YIqOzFnHkD1ggrQ0lRLkFNRVg6U1lOLklRX0xBU1RTQUxFUFJJQ0UuNi8zMC8yMDE4LlVTRAEAAABtsHQBAgAAAAg4LjM2NDk5OQAtfB+aeQPWCCDqxpx5A9YIOkNJUS5OQVNEQVFDTTpBU01CLklRX0VBUk5JTkdfQ08uMTk5Mi42LzMwLzIwMTguTEZSLkYuVVNELkgBAAAAEInxBQIAAAAKLTMyLjI5NzQzOAEIAAAABQAAAAExAQAAAAoxODQwNjUzMzQ5AwAAAAMxNjACAAAAATcEAAAAATAHAAAACTYvMzAvMjAxOAgAAAAJMy8zMS8yMDE2CQAAAAEw7fzgm3kD1gjxjMyceQPWCClDSVEuSVFUUjM0MDcwNDg2NS5JUV9UUl9JTVBMSUVEX0VRX05JX0xUTQEAAABhvk4UAgAAAAAAMvhxl3kD1ghb+s+ceQPWCDdDSVEuVFNYVjpDT0IuVS5JUV9FQVJOSU5HX0NPLjE5OTYuNi8zMC8yMDE4LkxGUi5GLlVTRC5IAQAAAL/7AAgCAAAACS03LjA5MDgwOQEIAAAABQAAAAExAQAAAAoxODg5MDYyMDY5AwAAAAMxNjACAAAAATcEAAAAATAHAAAACTYvMzAvMjAxOAgAAAAJMy8zMS8yMDE3CQAAAAEwuLYfmnkD1giI4smceQPWCCJDSVEuSVFUUjM4NDAyODQ5Ni5JUV9UUl9UT1RBTF9DQVNIAQAAAFDP4xYCAAAACTU1MC45Mzk0MQEGAAAABQAAAAI1NAEAAAAGMTAx</t>
  </si>
  <si>
    <t>MDU2AgAAAAkzODQwMjg0OTYDAAAACTQwNzI3NTc3NgQAAAADMTYwBgAAAAVGYWxzZTbRcZd5A9YIXSTPnHkD1ggiQ0lRLklRVFI1NDEyODM3MDAuSVFfVFJfUENUX1NPVUdIVAEAAAB0VUMgAgAAAAMxMDAANtFxl3kD1ghi1s6ceQPWCDJDSVEuT1RDUEs6TkVYUy5JUV9DQVBFWC4yMDAwLjYvMzAvMjAxOC5MRlIuRi5VU0QuSAEAAAAdvU4UAgAAAAktMC4wMDE2ODkBCAAAAAUAAAABMQEAAAAKMTg2Mjg2MzA5MwMAAAADMTYwAgAAAAQyMDIxBAAAAAEwBwAAAAk2LzMwLzIwMTgIAAAACTUvMzEvMjAxNwkAAAABMDIYIJp5A9YIJ9nFnHkD1ggzQ0lRLkFJTTpPUFRJLklRX0VCSVREQS5DWTIwMTYuNi8zMC8yMDE4LkxGUi5GLlVTRC5IAQAAADPbtQcCAAAACS0xLjc1MDU5OQEIAAAABQAAAAExAQAAAAoxODkxMDIyMDUzAwAAAAMxNjACAAAABDQwNTEEAAAAATAHAAAACTYvMzAvMjAxOAgAAAAKMTEvMzAvMjAxNgkAAAABMLfdH5p5A9YIHA/InHkD1ghDQ0lRLk5BU0RBUUdTOlpGR04uSVFfRUJJVERBXzNZUl9BTk5fQ0FHUi4yMDAwLjYvMzAvMjAxOC5MRlIuRi5VU0QuSAEAAACXwLoBAwAAAAJOTQEIAAAABQAAAAExAQAAAAoxODg5ODk1MzgxAwAAAAMxNjACAAAABDQyMjIEAAAAATAHAAAACTYvMzAvMjAxOAgAAAAJMy8zMS8yMDE4CQAAAAEw8CPhm3kD1ggAB8uceQPWCCZDSVEuQU1FWDpTWU4uSVFfTEFT</t>
  </si>
  <si>
    <t>VFNBTEVQUklDRS4xLzUvMjAxOAEAAABtsHQBAgAAAAkxOC41Mzk0OTkALXwfmnkD1gikYcaceQPWCCVDSVEuSVFUUjM3ODU4NzgyMi5JUV9UUl9NQUpfTUlOX1NUQUtFAQAAAK7KkBYDAAAACE1ham9yaXR5ALHkcZd5A9YI1JjPnHkD1ghEQ0lRLihJTlZBTElEIElERU5USUZJRVIpLklRX0NBU0hfU1RfSU5WRVNULjIwMDAuMS81LzIwMTguTEZSLkYuVVNELkgFAAAAAAAAAAgAAAAUKEludmFsaWQgSWRlbnRpZmllcikxZiCaeQPWCDZTxJx5A9YIP0NJUS5OQVNEQVFDTTpSVFRSLklRX05FVF9XT1JLSU5HX0NBUC4xOTkyLjYvMzAvMjAxOC5MRlIuRi5VU0QuSAEAAAAfmrMDAgAAAAktMi4xODk0NjEBCAAAAAUAAAABMQEAAAAKMTg0Mzc0ODg1NAMAAAADMTYwAgAAAAQxMzExBAAAAAEwBwAAAAk2LzMwLzIwMTgIAAAACTMvMzEvMjAxNgkAAAABMDIYIJp5A9YILz3FnHkD1ggVQ0lRLi5JUV9UUl9QQ1RfU09VR0hUBQAAAAEAAAAIAAAAFChJbnZhbGlkIElkZW50aWZpZXIpbMLgm3kD1ghswuCbeQPWCB5DSVEuSVE2ODM3MTMuSVFfQ09NUEFOWV9USUNLRVIBAAAAwW4KAAMAAAANTmFzZGFxR1M6QUNBRACxvXGXeQPWCLo90Jd5A9YIJUNJUS5JUVRSMzEwMjI5MTg4LklRX1BSSU1BUllfSU5EVVNUUlkBAAAAXLh9EgMAAAANQmlvdGVjaG5vbG9neQA6qnGXeQPWCNiC0Jx5A9YIJUNJUS5JUVRSNTYwMjUwMjY2</t>
  </si>
  <si>
    <t>LklRX1RSX0lNUExJRURfRVFfQlYBAAAAmr1kIQIAAAAAADbRcZd5A9YI55vOnHkD1ggZQ0lRLjAuSVFfVFJfSU1QTElFRF9FUV9CVgUAAAAAAAAACAAAABgoSW52YWxpZCBUcmFuc2FjdGlvbiBJZCm1lnGXeQPWCFCA0Zx5A9YIP0NJUS5OQVNEQVFDTTpSVFRSLklRX05FVF9XT1JLSU5HX0NBUC4xOTk2LjYvMzAvMjAxOC5MRlIuRi5VU0QuSAEAAAAfmrMDAgAAAAktMi40MDA4NjYBCAAAAAUAAAABMQEAAAAKMTg4OTEwNDA5NAMAAAADMTYwAgAAAAQxMzExBAAAAAEwBwAAAAk2LzMwLzIwMTgIAAAACTMvMzEvMjAxNwkAAAABMLMrIJp5A9YILz3FnHkD1gglQ0lRLklRVFIzMjUyMzM0NjEuSVFfVFJfSU1QTElFRF9FUV9CVgEAAAA1q2ITAgAAAAAAMvhxl3kD1ghXSNCceQPWCCNDSVEuSVFUUjMxODU0MjIxMC5JUV9UUl9UT1RBTF9TVE9DSwEAAACCkfwSAgAAAAAAMvhxl3kD1gjZW9CceQPWCEdDSVEuTkFTREFRR1M6VllHUi5JUV9NSU5PUklUWV9JTlRFUkVTVF9UT1RBTC4yMDAwLjYvMzAvMjAxOC5MRlIuRi5VU0QuSAEAAABezE8PAwAAAAAA7fzgm3kD1gj2PsyceQPWCClDSVEuSVFUUjU0MTI4MzcwMC5JUV9CVVNJTkVTU19ERVNDUklQVElPTgEAAAD+VEMgAwAAALACQXMgb2YgT2N0b2JlciAyMywgMjAxNywgQ3Jlc3Rvdm8gTExDIHdhcyBhY3F1aXJlZCBieSBGaW5jaCBUaGVyYXBldXRpY3MgR3Jv</t>
  </si>
  <si>
    <t>dXAuIENyZXN0b3ZvIExMQyBhIGNsaW5pY2FsLXN0YWdlIGJpb3BoYXJtYWNldXRpY2FsIGNvbXBhbnkgZW5nYWdlcyBpbiBkZXZlbG9waW5nIG9mIEZ1bGwtU3BlY3RydW0gTWljcm9iaW90YShGU00pIHRoYXQgaGFybmVzc2VzIHRoZSBodW1hbiBndXQgbWljcm9iaW9tZS4gVGhlIGNvbXBhbnkgd2FzIGZvdW5kZWQgaW4gMjAxNCBhbmQgaXMgYmFzZWQgaW4gQ2FtYnJpZGdlLCBNYXNzYWNodXNldHRzLgCxvXGXeQPWCOrpzpx5A9YIN0NJUS5BSU06T1BUSS5JUV9FQklUREFfRVNULkNZMjAyMC42LzMwLzIwMTguQ09OLkYuVVNELkgBAAAAM9u1BwMAAAAAALuPH5p5A9YIHA/InHkD1gg0Q0lRLkFNRVg6U1lOLklRX05JX01BUkdJTi4yMDAwLjYvMzAvMjAxOC5MRlIuRi5VU0QuSAEAAABtsHQBAwAAAAAAtwQgmnkD1gghnMaceQPWCCVDSVEuSVFUUjM3Njc5OTIzMi5JUV9UUl9NQUpfTUlOX1NUQUtFAQAAAACAdRYDAAAACE1ham9yaXR5ALHkcZd5A9YI4jfPnHkD1gg7Q0lRLk5BU0RBUUNNOkFWWEwuSVFfUFJFRl9FUVVJVFkuMjAwMC42LzMwLzIwMTguTEZSLkYuVVNELkgBAAAAYzjPAAMAAAAAALfdH5p5A9YIleXInHkD1ggyQ0lRLkFJTTpPUFRJLklRX1BFUklPRERBVEVfSVMuMjAwMC42LzMwLzIwMTguTEZSLkYBAAAAM9u1BwUAAAAKMTEvMzAvMjAxNwC33R+aeQPWCJpJyJx5A9YIPkNJUS5OQVNE</t>
  </si>
  <si>
    <t>QVFDTTpTTE5PLklRX1RPVEFMX0VRVUlUWS5DWTIwMTcuNi8zMC8yMDE4LkxGUi5GLlVTRC5IAQAAAOl1JgACAAAACTI2LjUzNDkwOAEIAAAABQAAAAExAQAAAAoxODgxMzg5NjgwAwAAAAMxNjACAAAABDEyNzUEAAAAATAHAAAACTYvMzAvMjAxOAgAAAAKMTIvMzEvMjAxNwkAAAABMLcEIJp5A9YIniTHnHkD1gg7Q0lRLk5BU0RBUUdNOlJZVE0uSVFfRUJJVF9NQVJHSU4uMjAwMC42LzMwLzIwMTguTEZSLkYuVVNELkgBAAAAGMltEgMAAAAAAHXp4Jt5A9YI7E/NnHkD1ggrQ0lRLk5BU0RBUUNNOlNMTk8uSVFfTEFTVFNBTEVQUklDRS4xLzUvMjAxOAEAAADpdSYAAgAAAAQxLjg3AC18H5p5A9YIniTHnHkD1gg7Q0lRLk5BU0RBUUdTOkFDQUQuSVFfVE9UQUxfUkVWLkNZMjAxNi42LzMwLzIwMTguTEZSLkYuVVNELkgBAAAAwW4KAAIAAAAGMTcuMzMxAQgAAAAFAAAAATEBAAAACjE4NzYxMjU1MzQDAAAAAzE2MAIAAAACMjgEAAAAATAHAAAACTYvMzAvMjAxOAgAAAAKMTIvMzEvMjAxNgkAAAABMPHV4Jt5A9YIZzrOnHkD1gg1Q0lRLk5BU0RBUUNNOkFTTUIuSVFfQ0FQRVguMTk5Ni42LzMwLzIwMTguTEZSLkYuVVNELkgBAAAAEInxBQIAAAAJLTAuMTQ0MTY2AQgAAAAFAAAAATEBAAAACjE4ODcyMzUwNjUDAAAAAzE2MAIAAAAEMjAyMQQAAAABMAcAAAAJNi8zMC8yMDE4CAAAAAkzLzMxLzIwMTcJAAAAATDt</t>
  </si>
  <si>
    <t>/OCbeQPWCPGMzJx5A9YII0NJUS5JUVRSMzc4NTg3ODIyLklRX1RSX1RPVEFMX1NUT0NLAQAAAK7KkBYCAAAAAACx5HGXeQPWCNSYz5x5A9YIKENJUS4oSU5WQUxJRCBJREVOVElGSUVSKS5JUV9DT01QQU5ZX05BTUUFAAAAAAAAAAgAAAAUKEludmFsaWQgSWRlbnRpZmllciktfB+aeQPWCDDvxJx5A9YIL0NJUS5JUVRSNTQxMjgzNzAwLklRX1RSX1RBUkdFVF9UT1RBTF9SRVYuLlVTRC5IAQAAAHRVQyACAAAAAAA20XGXeQPWCGLWzpx5A9YIRkNJUS5OQVNEQVFDTTpSVFRSLklRX01JTk9SSVRZX0lOVEVSRVNUX1RPVEFMLjIwMDAuMS81LzIwMTguTEZSLkYuVVNELkgBAAAAH5qzAwMAAAAAALMrIJp5A9YIMBbFnHkD1ggsQ0lRLklRVFI1NjAyNTAyNjYuSVFfVFJfVE9UQUxfR1JPU1NfVFYuVVNELkgFAAAAAAAAAAgAAAAaKEludmFsaWQgQ3VycmVuY3kgUmVxdWVzdCk0g3GXeQPWCOebzpx5A9YIPUNJUS5OQVNEQVFHTTpSWVRNLklRX1JFVkVOVUVfRVNULkNZMjAyMS42LzMwLzIwMTguQ09OLkYuVVNELkgBAAAAGMltEgIAAAAFMTQyLjUBDgAAAAUAAAACMTEBAAAAATACAAAACjEwMDM4OTkzNTYDAAAABjEwMDE4MAQAAAABMgYAAAABMAcAAAADMTYwCAAAAAEwCQAAAAExCgAAAAEwCwAAAAsxMDk0MDA2ODI3MAwAAAABNw0AAAAINy8xLzIwMTgQAAAACTYvMzAvMjAxOG434Zt5A9YIamPNnHkD1gg3Q0lR</t>
  </si>
  <si>
    <t>LkFJTTpPUFRJLklRX0dST1NTX01BUkdJTi4yMDAwLjYvMzAvMjAxOC5MRlIuRi5VU0QuSAEAAAAz27UHAgAAAActNi4xMTA3AQgAAAAFAAAAATEBAAAACjE4OTEwMjIwNzYDAAAAAjU1AgAAAAQ0MDc0BAAAAAEwBwAAAAk2LzMwLzIwMTgIAAAACjExLzMwLzIwMTcJAAAAATC33R+aeQPWCJ77x5x5A9YIPENJUS5OQVNEQVFDTTpBVlhMLklRX0VCSVREQV9FU1QuQ1kyMDIwLjYvMzAvMjAxOC5DT04uRi5VU0QuSAEAAABjOM8AAwAAAAAAu48fmnkD1giZvsiceQPWCDVDSVEuTkFTREFRR1M6WkZHTi5JUV9DQVBFWC4xOTkyLjYvMzAvMjAxOC5MRlIuRi5VU0QuSAEAAACXwLoBAgAAAAYtMC45NjgBCAAAAAUAAAABMQEAAAAKMTg0MDkzNTk2MwMAAAADMTYwAgAAAAQyMDIxBAAAAAEwBwAAAAk2LzMwLzIwMTgIAAAACTMvMzEvMjAxNgkAAAABMPAj4Zt5A9YIfkHLnHkD1ggrQ0lRLklRVFIzNzAwNzIzNTMuSVFfVFJfVE9UQUxfR1JPU1NfVFYuLlVTRAEAAAAh2w4WAgAAAAk1OS44MDY5MjIBBgAAAAUAAAACNTQBAAAABjEwMjA4OAIAAAAJMzcwMDcyMzUzAwAAAAkzNzAwNzM0NTcEAAAAAzE2MAYAAAAFRmFsc2Wx5HGXeQPWCNhxz5x5A9YIIkNJUS5JUVRSMzE4NTQyMjEwLklRX1RSX1BDVF9TT1VHSFQBAAAAgpH8EgIAAAADMTAwADL4cZd5A9YI2VvQnHkD1gg5Q0lRLkFJTTpPUFRJLklRX1RPVEFMX0VRVUlU</t>
  </si>
  <si>
    <t>WS5DWTIwMTcuNi8zMC8yMDE4LkxGUi5GLlVTRC5IAQAAADPbtQcCAAAACDkuNTE2ODY1AQgAAAAFAAAAATEBAAAACjE4OTEwMjIwNzYDAAAAAzE2MAIAAAAEMTI3NQQAAAABMAcAAAAJNi8zMC8yMDE4CAAAAAoxMS8zMC8yMDE3CQAAAAEwNfEfmnkD1gil1MeceQPWCDlDSVEuTkFTREFRQ006QVZYTC5JUV9UT1RBTF9ERUJULjIwMDAuMS81LzIwMTguTEZSLkYuVVNELkgBAAAAYzjPAAIAAAABMAEIAAAABQAAAAExAQAAAAoxODY5NDcwMzMyAwAAAAMxNjACAAAABDQxNzMEAAAAATAHAAAACDEvNS8yMDE4CAAAAAk5LzMwLzIwMTcJAAAAATC33R+aeQPWCJpwyJx5A9YILUNJUS5OQVNEQVFDTTpBVlhMLklRX01BUktFVENBUC4xLzUvMjAxOC5VU0QuSAEAAABjOM8AAgAAAAoxNTIuMTE5NjY2AQYAAAAFAAAAATEBAAAACjE4Njk0NzAzMzADAAAAAzE2MAIAAAAGMTAwMDU0BAAAAAEwBwAAAAgxLzUvMjAxOC18H5p5A9YImnDInHkD1ggrQ0lRLklRVFIzNzQzMzE1ODYuSVFfVFJfSU1QTElFRF9FVl9FQklUX0ZXRAEAAADC2E8WAgAAAAAAseRxl3kD1ghV08+ceQPWCCpDSVEuSVFUUjMzMDMyNDI4NS5JUV9UUl9UQVJHRVRfRUJJVC4uVVNELkgBAAAAPVmwEwIAAAAAADbRcZd5A9YIYf3OnHkD1gg8Q0lRLk5BU0RBUUdTOlZWVVMuSVFfRUJJVERBX0VTVC5DWTIwMTkuNi8zMC8yMDE4LkNPTi5GLlVTRC5IAQAA</t>
  </si>
  <si>
    <t>AC6OAAADAAAAAAC7jx+aeQPWCI1tyZx5A9YINkNJUS5BTUVYOlNZTi5JUV9FQklUX01BUkdJTi4yMDAwLjYvMzAvMjAxOC5MRlIuRi5VU0QuSAEAAABtsHQBAwAAAAAAtwQgmnkD1gghnMaceQPWCCdDSVEuTkFTREFRR006UllUTS5JUV9CRVRBXzFZUi42LzMwLzIwMTgBAAAAGMltEgIAAAAQMS41NjQ0NzE2NzYyMzU1MQDsSuGbeQPWCOwozZx5A9YIPkNJUS5OQVNEQVFDTTpSVFRSLklRX1RPVEFMX0VRVUlUWS5DWTIwMTYuNi8zMC8yMDE4LkxGUi5GLlVTRC5IAQAAAB+aswMCAAAACDQuMTAzMDYzAQgAAAAFAAAAATEBAAAACjE4Nzg5ODI4MTkDAAAAAzE2MAIAAAAEMTI3NQQAAAABMAcAAAAJNi8zMC8yMDE4CAAAAAoxMi8zMS8yMDE2CQAAAAEwsysgmnkD1ggwFsWceQPWCCdDSVEuTkFTREFRR1M6WkZHTi5JUV9CRVRBXzFZUi42LzMwLzIwMTgBAAAAl8C6AQIAAAARLTEuMTc0NTg1NjA4MzMyNDUA7Erhm3kD1gh+QcuceQPWCCFDSVEuSVFUUjM3ODU4NzgyMi5JUV9UUl9CVVlFUk5BTUUBAAAArsqQFgMAAAALUGZpemVyIEluYy4AseRxl3kD1gjUmM+ceQPWCDFDSVEuSVFUUjM3ODU4NzgyMi5JUV9UUl9UQVJHRVRfUkVWRU5VRV9FU1QuLlVTRC5IAQAAAK7KkBYCAAAAAACx5HGXeQPWCNSYz5x5A9YIL0NJUS5JUVRSMzI1MjMzNDYxLklRX1RSX0lNUExJRURfRVZfRklOQUwuLlVTRC5IAQAAADWrYhMC</t>
  </si>
  <si>
    <t>AAAACTE1LjQxODEwMQEGAAAABQAAAAI1NAEAAAAGMTAyMDQ1AgAAAAkzMjUyMzM0NjEDAAAACTMyNTIzNzk5MAQAAAADMTYwBgAAAAVGYWxzZTL4cZd5A9YI2TTQnHkD1gg+Q0lRLk5BU0RBUUNNOlNMTk8uSVFfVE9UQUxfRVFVSVRZLkNZMjAxNi42LzMwLzIwMTguTEZSLkYuVVNELkgBAAAA6XUmAAIAAAAIMy40MzUxOTcBCAAAAAUAAAABMQEAAAAKMTg4MTM4OTU4MgMAAAADMTYwAgAAAAQxMjc1BAAAAAEwBwAAAAk2LzMwLzIwMTgIAAAACjEyLzMxLzIwMTYJAAAAATA18R+aeQPWCJ4kx5x5A9YIJ0NJUS5OQVNEQVFDTTpBVlhMLklRX0JFVEFfNVlSLjYvMzAvMjAxOAEAAABjOM8AAgAAABAxLjE2MzQ0ODI5MTI4NDU1AK95IJp5A9YIqpfInHkD1gg5Q0lRLk5BU0RBUUdTOkFDQUQuSVFfTklfTUFSR0lOLjIwMDAuNi8zMC8yMDE4LkxGUi5GLlVTRC5IAQAAAMFuCgACAAAACS0xNjEuNDQwNgEIAAAABQAAAAExAQAAAAoxODg2NjI3NTM2AwAAAAMxNjACAAAABDQwOTQEAAAAATAHAAAACTYvMzAvMjAxOAgAAAAJMy8zMS8yMDE4CQAAAAEw8dXgm3kD1gjn682ceQPWCDpDSVEuQUlNOk9QVEkuSVFfTkVUX1dPUktJTkdfQ0FQLjE5OTYuNi8zMC8yMDE4LkxGUi5GLlVTRC5IAQAAADPbtQcCAAAABzAuMTA4NjkBCAAAAAUAAAABMQEAAAAKMTg5MTAyMjA1MwMAAAADMTYwAgAAAAQxMzExBAAAAAEwBwAAAAk2</t>
  </si>
  <si>
    <t>LzMwLzIwMTgIAAAACjExLzMwLzIwMTYJAAAAATA18R+aeQPWCJ77x5x5A9YIPUNJUS5OQVNEQVFHUzpaRkdOLklRX1JFVkVOVUVfRVNULkNZMjAyMC42LzMwLzIwMTguQ09OLkYuVVNELkgBAAAAl8C6AQIAAAABMAEOAAAABQAAAAIxMQEAAAABMAIAAAAKMTAwMjgxMzQ0MgMAAAAGMTAwMTgwBAAAAAEyBgAAAAEwBwAAAAMxNjAIAAAAATAJAAAAATEKAAAAATALAAAACzEwODczNjQyNzA1DAAAAAE3DQAAAAg3LzEvMjAxOBAAAAAJNi8zMC8yMDE47Erhm3kD1gj7e8uceQPWCDtDSVEuTkFTREFRQ006UlRUUi5JUV9FQklUX01BUkdJTi4yMDAwLjYvMzAvMjAxOC5MRlIuRi5VU0QuSAEAAAAfmrMDAwAAAAAAMhggmnkD1giuUMWceQPWCCJDSVEuSVFUUjU0NzMzODgxNC5JUV9UUl9UQVJHRVROQU1FAQAAAD66nyADAAAAC1JvbmRpbnggTHRkADbRcZd5A9YIZa/OnHkD1ghDQ0lRLk9UQ1BLOk5FWFMuSVFfVE9UQUxfUkVWXzNZUl9BTk5fQ0FHUi4yMDAwLjYvMzAvMjAxOC5MRlIuRi5VU0QuSAEAAAAdvU4UAwAAAAAAMhggmnkD1gitnsWceQPWCDpDSVEuTkFTREFRR1M6TUNSQi5JUV9QUkVGX0VRVUlUWS4yMDAwLjEvNS8yMDE4LkxGUi5GLlVTRC5IAQAAANNiQQ0DAAAAAABuN+GbeQPWCId+ypx5A9YILENJUS5JUVRSMjA4NjQwNTUzLklRX1RSX1RPVEFMX0dST1NTX1RWLlVTRC5IBQAAAAAAAAAIAAAAGihJ</t>
  </si>
  <si>
    <t>bnZhbGlkIEN1cnJlbmN5IFJlcXVlc3QptZZxl3kD1ghRMtGceQPWCCFDSVEuTkFTREFRQ006U0xOTy5JUV9DT01QQU5ZX05BTUUBAAAA6XUmAAMAAAAZU29sZW5vIFRoZXJhcGV1dGljcywgSW5jLgAtfB+aeQPWCKOtx5x5A9YIK0NJUS5JUVRSMjA4NjQwNTUzLklRX1RSX0lNUExJRURfRVZfRUJJVF9GV0QBAAAAKZpvDAMAAAACTk0AaAtyl3kD1ghRMtGceQPWCDNDSVEuT1RDUEs6TkVYUy5JUV9FQklUREEuMjAwMC42LzMwLzIwMTguTEZSLkYuVVNELkgBAAAAHb1OFAIAAAAJLTAuNTYyNzE0AQgAAAAFAAAAATEBAAAACjE4NjI4NjMwOTMDAAAAAzE2MAIAAAAENDA1MQQAAAABMAcAAAAJNi8zMC8yMDE4CAAAAAk1LzMxLzIwMTcJAAAAATAyGCCaeQPWCKgTxpx5A9YIQ0NJUS5OQVNEQVFHUzpWVlVTLklRX0VCSVREQV8yWVJfQU5OX0NBR1IuMjAwMC42LzMwLzIwMTguTEZSLkYuVVNELkgBAAAALo4AAAMAAAACTk0BCAAAAAUAAAABMQEAAAAKMTg4NzQ0NDMyOAMAAAADMTYwAgAAAAQ0MjA5BAAAAAEwBwAAAAk2LzMwLzIwMTgIAAAACTMvMzEvMjAxOAkAAAABMDbKH5p5A9YIFvnInHkD1ggpQ0lRLklRVFIzNzAwNzIzNTMuSVFfQlVTSU5FU1NfREVTQ1JJUFRJT04BAAAAjHETAAMAAAD+CVRyYW5zaXRpb24gVGhlcmFwZXV0aWNzIEluYy4sIGEgYmlvcGhhcm1hY2V1dGljYWwgY29tcGFueSwgcmVzZWFy</t>
  </si>
  <si>
    <t>Y2hlcyBhbmQgZGV2ZWxvcHMgdGhlcmFwZXV0aWMgYWdlbnRzIGZvciBkaXNlYXNlIGluZGljYXRpb25zIHByaW1hcmlseSBpbiBDYW5hZGEuIFRoZSBjb21wYW55J3MgbGVhZCBjZW50cmFsIG5lcnZvdXMgc3lzdGVtIGRydWcgY2FuZGlkYXRlIGlzIEVMTkQwMDUsIHdoaWNoIGhhcyBjb21wbGV0ZWQgYSBQaGFzZSBJSS9JSUkgY2xpbmljYWwgdHJpYWwgZm9yIHRoZSB0cmVhdG1lbnQgb2YgYWdpdGF0aW9uL2FnZ3Jlc3Npb24gYXNzb2NpYXRlZCB3aXRoIEFsemhlaW1lcidzIGRpc2Vhc2U7IGFuZCBoYXMgY29tcGxldGVkIFBoYXNlIElJYSBjbGluaWNhbCB0cmlhbCBmb3IgdGhlIHRyZWF0bWVudCBvZiBEb3duIHN5bmRyb21lLiBJdHMgbGVhZCBtZXRhYm9saWMgZHJ1ZyBjYW5kaWRhdGUgaXMgVFQ0MDEsIHdoaWNoIGlzIGluIFBoYXNlIElJIGNsaW5pY2FsIHN0dWR5IGZvciB0aGUgdHJlYXRtZW50IG9mIHR5cGUgMiBkaWFiZXRlcyBhbmQgYWNjb21wYW55aW5nIG9iZXNpdHkuIFRoZSBjb21wYW55IGlzIGFsc28gZGV2ZWxvcGluZyBUVDcwMSwgYSBzZWxlY3RpdmUgYW5kcm9nZW4gcmVjZXB0b3IgbW9kdWxhdG9yIGZvciB0aGUgdHJlYXRtZW50IG9mIGFuZHJvZ2VuIGRlZmljaWVuY2llcy4gVHJhbnNpdGlvbiBUaGVyYXBldXRpY3MgSW5jLiBoYXMgYSBsaWNlbnNpbmcgYW5kIGNvbGxhYm9y</t>
  </si>
  <si>
    <t>YXRpb24gYWdyZWVtZW50IHdpdGggRWxpIExpbGx5IHRvIGRldmVsb3AgYW5kIGNvbW1lcmNpYWxpemUgVFQ0MDE7IGFuZCB0byBkZXZlbG9wIGNvbXBvdW5kcyBpbiBwcmVjbGluaWNhbCBtb2RlbHMgdG8gcHJvdmlkZSBnbHljZW1pYyBjb250cm9sIGFuZCBvdGhlciBiZW5lZmljaWFsIGVmZmVjdHMsIGluY2x1ZGluZyB3ZWlnaHQgbG9zcy4gVGhlIGNvbXBhbnkgd2FzIGZvcm1lcmx5IGtub3duIGFzIFRyYW5zaXRpb24gVGhlcmFwZXV0aWNzIGFuZCBEaWFnbm9zdGljcyBJbmMuIGFuZCBjaGFuZ2VkIGl0cyBuYW1lIHRvIFRyYW5zaXRpb24gVGhlcmFwZXV0aWNzIEluYy4gaW4gRGVjZW1iZXIgMjAwMC4gVHJhbnNpdGlvbiBUaGVyYXBldXRpY3MgSW5jLiB3YXMgZm91bmRlZCBpbiAxOTg3IGFuZCBpcyBoZWFkcXVhcnRlcmVkIGluIFRvcm9udG8sIENhbmFkYS4gQXMgb2YgQXVndXN0IDMxLCAyMDE2LCBUcmFuc2l0aW9uIFRoZXJhcGV1dGljcyBJbmMuIG9wZXJhdGVzIGFzIGEgc3Vic2lkaWFyeSBvZiBPcGtvIEhlYWx0aCwgSW5jLgCxvXGXeQPWCFaFz5x5A9YIPkNJUS5OQVNEQVFHUzpWVlVTLklRX1RPVEFMX0VRVUlUWS5DWTIwMTYuNi8zMC8yMDE4LkxGUi5GLlVTRC5IAQAAAC6OAAACAAAABjE4LjE4NQEIAAAABQAAAAExAQAAAAoxODc4ODU4NzI4AwAAAAMxNjACAAAABDEyNzUEAAAAATAH</t>
  </si>
  <si>
    <t>AAAACTYvMzAvMjAxOAgAAAAKMTIvMzEvMjAxNgkAAAABMDbKH5p5A9YIEyDJnHkD1ggqQ0lRLklRVFIzMjI0Njc2MjUuSVFfVFJfVEFSR0VUX0VCSVQuLlVTRC5IAQAAACl3OBMCAAAACi0zMS45MzU0NjYBBwAAAAUAAAACMzcBAAAACjE3ODE5ODAwMTkCAAAABTIxNjc1AwAAAAMxNjAEAAAAATAHAAAACDEvMS8xOTAwBgAAAAkxLzE5LzIwMTYy+HGXeQPWCFsh0Jx5A9YIPUNJUS5OQVNEQVFHUzpBQ0FELklRX1JFVkVOVUVfRVNULkNZMjAxOC42LzMwLzIwMTguQ09OLkYuVVNELkgBAAAAwW4KAAIAAAAJMjYxLjM4MjkxAQ4AAAAFAAAAAjExAQAAAAEwAgAAAAoxMDAxNTU3NTc3AwAAAAYxMDAxODAEAAAAATIGAAAAATAHAAAAAzE2MAgAAAABMAkAAAABMQoAAAABMAsAAAALMTA4ODAwOTEyMTEMAAAAATcNAAAACDcvMS8yMDE4EAAAAAk2LzMwLzIwMThuN+GbeQPWCOkmzpx5A9YILENJUS5JUVRSMzEwMjI5MTg4LklRX1RSX1RBUkdFVF9FQklUREEuLlVTRC5IAQAAAMS4fRICAAAAAAAy+HGXeQPWCFaW0Jx5A9YIKUNJUS5JUVRSNTYwMjUwMjY2LklRX0JVU0lORVNTX0RFU0NSSVBUSU9OAQAAAGy9ZCEDAAAAogFTdWJzdGFudGlhbGx5IGFsbCBvZiB0aGUgYXNzZXRzIG9mIE9yZXhpZ2VuIFRoZXJhcGV1dGljcywgSW5jLiBjb21wcmlzZXMgcGhhcm1hY2V1dGljYWwgcHJvZHVjdCBtYW51ZmFjdHVyaW5n</t>
  </si>
  <si>
    <t>IGJ1c2luZXNzLiBUaGUgYXNzZXQgaXMgbG9jYXRlZCBpbiB0aGUgVW5pdGVkIFN0YXRlcy4Asb1xl3kD1ghlr86ceQPWCD1DSVEuTkFTREFRR1M6WkZHTi5JUV9SRVZFTlVFX0VTVC5DWTIwMTkuNi8zMC8yMDE4LkNPTi5GLlVTRC5IAQAAAJfAugECAAAABzMuMzMzMzMBDgAAAAUAAAACMTEBAAAAATACAAAACjEwMDI4MTM0MzYDAAAABjEwMDE4MAQAAAABMgYAAAABMAcAAAADMTYwCAAAAAEwCQAAAAExCgAAAAEwCwAAAAsxMDg3NDEwNjU1OQwAAAABNw0AAAAINy8xLzIwMTgQAAAACTYvMzAvMjAxOOxK4Zt5A9YI+3vLnHkD1gg8Q0lRLk5BU0RBUUNNOkFWWEwuSVFfRUJJVERBX0VTVC5DWTIwMTkuNi8zMC8yMDE4LkNPTi5GLlVTRC5IAQAAAGM4zwADAAAAAAC7jx+aeQPWCJm+yJx5A9YILUNJUS5OQVNEQVFDTTpSVFRSLklRX01BUktFVENBUC4xLzUvMjAxOC5VU0QuSAEAAAAfmrMDAgAAAAkxNS44NDIwODYBBgAAAAUAAAABMQEAAAAKMTg2MzI3Njk1MgMAAAADMTYwAgAAAAYxMDAwNTQEAAAAATAHAAAACDEvNS8yMDE4u48fmnkD1ggwFsWceQPWCDhDSVEuQ1BTRTpOT1ZPIEIuSVFfVE9UQUxfREVCVC4yMDAwLjYvMzAvMjAxOC5MRlIuRi5VU0QuSAEAAAB87wQAAgAAAAkzNy42ODQyNjkBCAAAAAUAAAABMQEAAAAKMTg5MjYyMzk1MwMAAAADMTYwAgAAAAQ0MTczBAAAAAEwBwAAAAk2LzMwLzIwMTgI</t>
  </si>
  <si>
    <t>AAAACTMvMzEvMjAxOAkAAAABMLG9cZd5A9YIXx7Nl3kD1gg5Q0lRLk5BU0RBUUNNOlNMTk8uSVFfVE9UQUxfUkVWLjE5OTIuNi8zMC8yMDE4LkxGUi5GLlVTRC5IAQAAAOl1JgACAAAACDEuMDMyNDcyAQgAAAAFAAAAATEBAAAACjE4NDE4MzgyMDQDAAAAAzE2MAIAAAACMjgEAAAAATAHAAAACTYvMzAvMjAxOAgAAAAJMy8zMS8yMDE2CQAAAAEwNfEfmnkD1gghmseceQPWCDFDSVEuSVFUUjMxODU0MjIxMC5JUV9UUl9UQVJHRVRfUkVWRU5VRV9FU1QuLlVTRC5IAQAAAIKR/BICAAAAAAAy+HGXeQPWCFdv0Jx5A9YIKkNJUS5JUVRSMzE4NTQyMjEwLklRX1RSX1RBUkdFVF9FQklULi5VU0QuSAEAAACCkfwSAgAAAAAAMvhxl3kD1ghXb9CceQPWCCxDSVEuSVFUUjM3NDMzMTU4Ni5JUV9UUl9UT1RBTF9HUk9TU19UVi5VU0QuSAUAAAAAAAAACAAAABooSW52YWxpZCBDdXJyZW5jeSBSZXF1ZXN0KTSDcZd5A9YIVdPPnHkD1ggjQ0lRLkFJTTpPUFRJLklRX1RFVi42LzMwLzIwMTguVVNELkgBAAAAM9u1BwIAAAAJNzEuMjY5OTA2AQYAAAAFAAAAATEBAAAACjE4OTEwMjIwNzQDAAAAAzE2MAIAAAAGMTAwMDYwBAAAAAEwBwAAAAk2LzMwLzIwMTgtfB+aeQPWCJpJyJx5A9YILkNJUS5JUVRSNTQ3MzM4ODE0LklRX1RSX1RBUkdFVF9TVE9DS1BSRU1JVU1fMU0BAAAAPrqfIAIAAAAAADbRcZd5A9YI5MLOnHkD1gg4</t>
  </si>
  <si>
    <t>Q0lRLk5BU0RBUUdTOkFDQUQuSVFfRUJJVERBLkNZMjAxNy42LzMwLzIwMTguTEZSLkYuVVNELkgBAAAAwW4KAAIAAAAILTI4OS42OTcBCAAAAAUAAAABMQEAAAAKMTg3NjEyNTU1NgMAAAADMTYwAgAAAAQ0MDUxBAAAAAEwBwAAAAk2LzMwLzIwMTgIAAAACjEyLzMxLzIwMTcJAAAAATDx1eCbeQPWCGsTzpx5A9YIO0NJUS5OQVNEQVFHUzpaRkdOLklRX1RPVEFMX1JFVi5DWTIwMTcuNi8zMC8yMDE4LkxGUi5GLlVTRC5IAQAAAJfAugEDAAAAAAByEOGbeQPWCHmPy5x5A9YIJUNJUS5OQVNEQVFHUzpBQ0FELklRX0ZJUlNUUFJJQ0lOR0RBVEUBAAAAwW4KAAUAAAAJNS8yNy8yMDA0APHV4Jt5A9YI6E3OnHkD1gglQ0lRLklRVFIzNzg1ODc4MjIuSVFfVFJfSU1QTElFRF9FUV9CVgEAAACuypAWAgAAAAAAseRxl3kD1ghWrM+ceQPWCCRDSVEuT1RDUEs6TkVYUy5JUV9CRVRBXzVZUi42LzMwLzIwMTgBAAAAHb1OFAIAAAAQNC41ODM5Mjc2NTg2MDMwMwCveSCaeQPWCCfZxZx5A9YIIENJUS5JUTk5NzE1MzQ0LklRX0NPTVBBTllfVElDS0VSAQAAABCJ8QUDAAAADU5hc2RhcUNNOkFTTUIAsb1xl3kD1giR9tSXeQPWCD5DSVEuTkFTREFRQ006U0xOTy5JUV9DQVNIX1NUX0lOVkVTVC4yMDAwLjYvMzAvMjAxOC5MRlIuRi5VU0QuSAEAAADpdSYAAgAAAAYxNC44NjYBCAAAAAUAAAABMQEAAAAKMTg4OTA1NzYwNgMA</t>
  </si>
  <si>
    <t>AAADMTYwAgAAAAQxMDAyBAAAAAEwBwAAAAk2LzMwLzIwMTgIAAAACTMvMzEvMjAxOAkAAAABMDXxH5p5A9YIIZrHnHkD1gglQ0lRLklRVFIyNDM3NDQzMDYuSVFfUFJJTUFSWV9JTkRVU1RSWQEAAADjGgQAAwAAAA1CaW90ZWNobm9sb2d5ADqqcZd5A9YI0/fQnHkD1gg+Q0lRLkFNRVg6U1lOLklRX0VCSVREQV81WVJfQU5OX0NBR1IuMjAwMC42LzMwLzIwMTguTEZSLkYuVVNELkgBAAAAbbB0AQMAAAACTk0BCAAAAAUAAAABMQEAAAAKMTg4NzQwODcyNgMAAAADMTYwAgAAAAQ0MjM1BAAAAAEwBwAAAAk2LzMwLzIwMTgIAAAACTMvMzEvMjAxOAkAAAABMDIYIJp5A9YIpDrGnHkD1gg/Q0lRLk5BU0RBUUNNOkFTTUIuSVFfTkVUX1dPUktJTkdfQ0FQLjIwMDAuNi8zMC8yMDE4LkxGUi5GLlVTRC5IAQAAABCJ8QUCAAAACS04LjExMzMxMQEIAAAABQAAAAExAQAAAAoxODg3MjM1MDc4AwAAAAMxNjACAAAABDEzMTEEAAAAATAHAAAACTYvMzAvMjAxOAgAAAAJMy8zMS8yMDE4CQAAAAEw7fzgm3kD1ghzoMyceQPWCD1DSVEuKElOVkFMSUQgSURFTlRJRklFUikuSVFfRUJJVERBLjIwMDAuNi8zMC8yMDE4LkxGUi5GLlVTRC5IBQAAAAAAAAAIAAAAFChJbnZhbGlkIElkZW50aWZpZXIpr1IgmnkD1giztMSceQPWCCVDSVEuSVFUUjM3MDA3MjM1My5JUV9UUl9JTVBMSUVEX0VRX0JWAQAAACHbDhYCAAAACDIuODc3</t>
  </si>
  <si>
    <t>MzY3AQYAAAAFAAAAAjU0AQAAAAYxMDIwOTcCAAAACTM3MDA3MjM1MwMAAAAJMzcwMDczNDU3BAAAAAMxNjAGAAAABUZhbHNlseRxl3kD1gjYcc+ceQPWCDlDSVEuVFNYVjpDT0IuVS5JUV9FQklUREFfRVNULkNZMjAxOS42LzMwLzIwMTguQ09OLkYuVVNELkgBAAAAv/sACAMAAAAAALuPH5p5A9YIiAnKnHkD1ggpQ0lRLklRVFIzMjUyMzM0NjEuSVFfQlVTSU5FU1NfREVTQ1JJUFRJT04BAAAA2adiEwMAAACTAlR1Y2FuYSBIZWFsdGggTGltaXRlZCBpbnZlc3RpZ2F0ZXMgdGhlIHVzZSBvZiBtaWNyb2Jpb21lIHNpZ25hdHVyZXMgdG8gYWlkIHRoZSBkaWFnbm9zaXMgYW5kIHRyZWF0bWVudCBvZiBkaXNlYXNlcy4gVGhlIGNvbXBhbnkgd2FzIGluY29ycG9yYXRlZCBpbiAyMDE2IGFuZCBpcyBiYXNlZCBpbiBEdWJsaW4sIElyZWxhbmQuIEFzIG9mIEZlYnJ1YXJ5IDEwLCAyMDE2LCBUdWNhbmEgSGVhbHRoIExpbWl0ZWQgb3BlcmF0ZXMgYXMgYSBzdWJzaWRpYXJ5IG9mIDREIHBoYXJtYSBwbGMuALG9cZd5A9YI2VvQnHkD1ggnQ0lRLk5BU0RBUUdTOk1DUkIuSVFfUEVSSU9EREFURV9JUy4xMDAwAQAAANNiQQ0FAAAACjEyLzMxLzIwMTcA8CPhm3kD1ggAB8uceQPWCENDSVEuKElOVkFMSUQgSURFTlRJRklFUikuSVFfRUFSTklOR19DTy5DWTIwMTYuNi8zMC8yMDE4LkxGUi5GLlVTRC5IBQAAAAAAAAAI</t>
  </si>
  <si>
    <t>AAAAFChJbnZhbGlkIElkZW50aWZpZXIpMWYgmnkD1gg4esSceQPWCCNDSVEuSVFUUjM3NDMzMTU4Ni5JUV9UUl9UT1RBTF9TVE9DSwEAAADC2E8WAgAAAAAAseRxl3kD1ghV08+ceQPWCD1DSVEuTkFTREFRR1M6TUNSQi5JUV9FQklUREFfTUFSR0lOLjIwMDAuNi8zMC8yMDE4LkxGUi5GLlVTRC5IAQAAANNiQQ0CAAAACS0yNjEuMDc1MQEIAAAABQAAAAExAQAAAAoxODg4MTA1NDUxAwAAAAMxNjACAAAABDQwNDcEAAAAATAHAAAACTYvMzAvMjAxOAgAAAAJMy8zMS8yMDE4CQAAAAEw8CPhm3kD1ggBucqceQPWCENDSVEuTkFTREFRR1M6VlZVUy5JUV9FQklUREFfM1lSX0FOTl9DQUdSLjIwMDAuNi8zMC8yMDE4LkxGUi5GLlVTRC5IAQAAAC6OAAADAAAAAk5NAQgAAAAFAAAAATEBAAAACjE4ODc0NDQzMjgDAAAAAzE2MAIAAAAENDIyMgQAAAABMAcAAAAJNi8zMC8yMDE4CAAAAAkzLzMxLzIwMTgJAAAAATA2yh+aeQPWCKIMyZx5A9YII0NJUS4wLklRX1RSX1RBUkdFVF9UT1RBTF9SRVYuLlVTRC5IBQAAAAAAAAAIAAAAGChJbnZhbGlkIFRyYW5zYWN0aW9uIElkKbWWcZd5A9YIUIDRnHkD1ggxQ0lRLkFJTTpPUFRJLklRX0VCSVREQS4yMDAwLjYvMzAvMjAxOC5MRlIuRi5VU0QuSAEAAAAz27UHAgAAAAktMi43MTA2OTUBCAAAAAUAAAABMQEAAAAKMTg5MTAyMjA3NgMAAAADMTYwAgAAAAQ0MDUxBAAAAAEw</t>
  </si>
  <si>
    <t>BwAAAAk2LzMwLzIwMTgIAAAACjExLzMwLzIwMTcJAAAAATC33R+aeQPWCJ4iyJx5A9YIHENJUS5BTUVYOlNZTi5JUV9DT01QQU5ZX05BTUUBAAAAbbB0AQMAAAAZU3ludGhldGljIEJpb2xvZ2ljcywgSW5jLgAtfB+aeQPWCKX9xpx5A9YIIENJUS5JUVRSMzQwNzA0ODY1LklRX1RSX0VBUk5PVVRTAQAAAGG+ThQCAAAAAACx5HGXeQPWCFv6z5x5A9YII0NJUS5JUVRSMjQzNzQ0MzA2LklRX1RSX0NMT1NFRF9EQVRFAQAAADI+hw4FAAAACjEyLzE4LzIwMTMAaAtyl3kD1ghay86XeQPWCDxDSVEuTkFTREFRQ006U0xOTy5JUV9FQVJOSU5HX0NPLkNZMjAxNi42LzMwLzIwMTguTEZSLkYuVVNELkgBAAAA6XUmAAIAAAAILTYuNzM3NjIBCAAAAAUAAAABMQEAAAAKMTg4MTM4OTU4MgMAAAADMTYwAgAAAAE3BAAAAAEwBwAAAAk2LzMwLzIwMTgIAAAACjEyLzMxLzIwMTYJAAAAATA18R+aeQPWCBw4x5x5A9YIOUNJUS5OQVNEQVFHUzpWWUdSLklRX1RPVEFMX0RFQlQuMjAwMC4xLzUvMjAxOC5MRlIuRi5VU0QuSAEAAABezE8PAgAAAAEwAQgAAAAFAAAAATEBAAAACjE4NjM3ODkyOTMDAAAAAzE2MAIAAAAENDE3MwQAAAABMAcAAAAIMS81LzIwMTgIAAAACTkvMzAvMjAxNwkAAAABMHIQ4Zt5A9YI+snLnHkD1gg8Q0lRLk5BU0RBUUNNOlJUVFIuSVFfRUFSTklOR19DTy5DWTIwMTYuNi8zMC8yMDE4LkxGUi5GLlVT</t>
  </si>
  <si>
    <t>RC5IAQAAAB+aswMCAAAACi0xOC4zODQ2MzQBCAAAAAUAAAABMQEAAAAKMTg3ODk4MjgxOQMAAAADMTYwAgAAAAE3BAAAAAEwBwAAAAk2LzMwLzIwMTgIAAAACjEyLzMxLzIwMTYJAAAAATCzKyCaeQPWCK4pxZx5A9YINUNJUS5OQVNEQVFHUzpaRkdOLklRX0RBX0NGLjIwMDAuNi8zMC8yMDE4LkxGUi5GLlVTRC5IAQAAAJfAugECAAAABTAuMTk3AQgAAAAFAAAAATEBAAAACjE4ODk4OTUzODEDAAAAAzE2MAIAAAAEMjE2MAQAAAABMAcAAAAJNi8zMC8yMDE4CAAAAAkzLzMxLzIwMTgJAAAAATDwI+GbeQPWCHmPy5x5A9YIH0NJUS5BSU06T1BUSS5JUV9FRkZFQ1RfVEFYX1JBVEUBAAAAM9u1BwMAAAACTk0BCAAAAAUAAAABMQEAAAAKMTg5MTAyMjA3NgMAAAACNTUCAAAABDQzNzYEAAAAATAHAAAACTgvMTYvMjAxOAgAAAAKMTEvMzAvMjAxNwkAAAABMDXxH5p5A9YIHcHHnHkD1gg8Q0lRLk5BU0RBUUdTOlZWVVMuSVFfR1JPU1NfTUFSR0lOLjIwMDAuNi8zMC8yMDE4LkxGUi5GLlVTRC5IAQAAAC6OAAACAAAABzcyLjY2MDcBCAAAAAUAAAABMQEAAAAKMTg4NzQ0NDMyOAMAAAADMTYwAgAAAAQ0MDc0BAAAAAEwBwAAAAk2LzMwLzIwMTgIAAAACTMvMzEvMjAxOAkAAAABMDbKH5p5A9YIElrJnHkD1ggiQ0lRLklRVFI1NDczMzg4MTQuSVFfVFJfVE9UQUxfQ0FTSAEAAAA+up8gAgAAAAAANtFxl3kD1ghlr86c</t>
  </si>
  <si>
    <t>eQPWCCFDSVEuLklRX1RSX1RBUkdFVF9TVE9DS1BSRU1JVU1fMVcFAAAAAQAAAAgAAAAUKEludmFsaWQgSWRlbnRpZmllcilswuCbeQPWCGzC4Jt5A9YIO0NJUS5OQVNEQVFDTTpBVlhMLklRX0VCSVRfTUFSR0lOLjIwMDAuNi8zMC8yMDE4LkxGUi5GLlVTRC5IAQAAAGM4zwADAAAAAAC33R+aeQPWCBeryJx5A9YILENJUS5JUVRSMzIyNDY3NjI1LklRX1RSX1RPVEFMX0dST1NTX1RWLlVTRC5IBQAAAAAAAAAIAAAAGihJbnZhbGlkIEN1cnJlbmN5IFJlcXVlc3QpNINxl3kD1ghbIdCceQPWCDpDSVEuTkFTREFRR1M6VllHUi5JUV9UT1RBTF9ERUJULjIwMDAuNi8zMC8yMDE4LkxGUi5GLlVTRC5IAQAAAF7MTw8CAAAAATABCAAAAAUAAAABMQEAAAAKMTg4ODQ4MDU5MwMAAAADMTYwAgAAAAQ0MTczBAAAAAEwBwAAAAk2LzMwLzIwMTgIAAAACTMvMzEvMjAxOAkAAAABMO384Jt5A9YI9j7MnHkD1ggjQ0lRLklRVFIzMTAyMjkxODguSVFfVFJfQ0xPU0VEX0RBVEUBAAAAxLh9EgUAAAAKMTAvMzAvMjAxNQAy+HGXeQPWCLx10Zd5A9YIM0NJUS5BTUVYOlNZTi5JUV9FQklUREEuQ1kyMDE3LjYvMzAvMjAxOC5MRlIuRi5VU0QuSAEAAABtsHQBAgAAAActMjYuMDA2AQgAAAAFAAAAATEBAAAACjE4NzU0Njk1MTUDAAAAAzE2MAIAAAAENDA1MQQAAAABMAcAAAAJNi8zMC8yMDE4CAAAAAoxMi8zMS8yMDE3CQAAAAEw</t>
  </si>
  <si>
    <t>twQgmnkD1gghw8aceQPWCEVDSVEuKElOVkFMSUQgSURFTlRJRklFUikuSVFfVE9UQUxfRVFVSVRZLkNZMjAxNi42LzMwLzIwMTguTEZSLkYuVVNELkgFAAAAAAAAAAgAAAAUKEludmFsaWQgSWRlbnRpZmllcikxZiCaeQPWCLRmxJx5A9YILkNJUS5JUVRSMzc4NTg3ODIyLklRX1RSX1RBUkdFVF9TVE9DS1BSRU1JVU1fMVcBAAAArsqQFgIAAAAAALHkcZd5A9YIVqzPnHkD1gg8Q0lRLk5BU0RBUUdTOk1DUkIuSVFfR1JPU1NfTUFSR0lOLjIwMDAuNi8zMC8yMDE4LkxGUi5GLlVTRC5IAQAAANNiQQ0CAAAACC0xODAuNjUxAQgAAAAFAAAAATEBAAAACjE4ODgxMDU0NTEDAAAAAzE2MAIAAAAENDA3NAQAAAABMAcAAAAJNi8zMC8yMDE4CAAAAAkzLzMxLzIwMTgJAAAAATDwI+GbeQPWCAG5ypx5A9YIJUNJUS5JUVRSNTYwMjUwMjY2LklRX1BSSU1BUllfSU5EVVNUUlkBAAAAbL1kIQMAAAAPUGhhcm1hY2V1dGljYWxzADqqcZd5A9YIZojOnHkD1gg8Q0lRLk5BU0RBUUNNOlJUVFIuSVFfVE9UQUxfRVFVSVRZLjE5OTYuNi8zMC8yMDE4LkxGUi5GLlVTRC5IAQAAAB+aswMCAAAACDIuNzI0MDA0AQgAAAAFAAAAATEBAAAACjE4ODkxMDQwOTQDAAAAAzE2MAIAAAAEMTI3NQQAAAABMAcAAAAJNi8zMC8yMDE4CAAAAAkzLzMxLzIwMTcJAAAAATCzKyCaeQPWCDAWxZx5A9YIL0NJUS5JUVRSMzMwMzI0Mjg1LklRX1RS</t>
  </si>
  <si>
    <t>X0lNUExJRURfRVZfRklOQUwuLlVTRC5IAQAAAD1ZsBMCAAAACTM4LjY3ODM2MQEGAAAABQAAAAI1NAEAAAAGMTAyMDQ1AgAAAAkzMzAzMjQyODUDAAAACTM4MTEyMDkxMQQAAAADMTYwBgAAAAVGYWxzZTbRcZd5A9YIYf3OnHkD1ggnQ0lRLk5BU0RBUUdTOk1DUkIuSVFfQkVUQV81WVIuNi8zMC8yMDE4AQAAANNiQQ0CAAAAETAuNDkzNzEzNTEwNjc0ODQyAOxK4Zt5A9YIAZLKnHkD1ghDQ0lRLk5BU0RBUUdTOk1DUkIuSVFfRUJJVERBXzVZUl9BTk5fQ0FHUi4yMDAwLjYvMzAvMjAxOC5MRlIuRi5VU0QuSAEAAADTYkENAwAAAAAAbjfhm3kD1giEV8qceQPWCCFDSVEuSVFUUjI3ODg4MzcxNi5JUV9UUl9CVVlFUk5BTUUBAAAAhG2fEAMAAAAUT3RzdWthIEFtZXJpY2EsIEluYy4AMvhxl3kD1gjYqdCceQPWCCxDSVEuSVFUUjI3Mjc3NjMzOC5JUV9UUl9UQVJHRVRfRUJJVERBLi5VU0QuSAEAAACSPEIQAgAAAActMjUuMzQzAQYAAAAFAAAAAjM3AQAAAAoxNjk0NDc4OTgzAgAAAAUyMTY3NwMAAAADMTYwBAAAAAEwBwAAAAgxLzEvMTkwMGgLcpd5A9YIVeTQnHkD1ggsQ0lRLklRVFIyMDg2NDA1NTMuSVFfVFJfVEFSR0VUX0VCSVREQS4uVVNELkgBAAAAKZpvDAIAAAAJLTEzLjM5MTQ4AQcAAAAFAAAAAjM3AQAAAAoxNTUxMDA3MDQ3AgAAAAUyMTY3NwMAAAADMTYwBAAAAAEwBwAAAAgxLzEvMTkwMAYAAAAJ</t>
  </si>
  <si>
    <t>Ni8xMy8yMDEyaAtyl3kD1gjTHtGceQPWCCBDSVEuSVEzNjE4MzgzNy5JUV9MQVNUU0FMRVBSSUNFLgEAAAAdHygCAgAAAAQyLjg2APHV4Jt5A9YI8dXgm3kD1gg2Q0lRLk5BU0RBUUNNOlJUVFIuSVFfRUJJVERBLjIwMDAuNi8zMC8yMDE4LkxGUi5GLlVTRC5IAQAAAB+aswMCAAAACS04LjI1NDE2MwEIAAAABQAAAAExAQAAAAoxODg5MTA0MDk4AwAAAAMxNjACAAAABDQwNTEEAAAAATAHAAAACTYvMzAvMjAxOAgAAAAJMy8zMS8yMDE4CQAAAAEwMhggmnkD1ggsZMWceQPWCDVDSVEuTkFTREFRQ006QVZYTC5JUV9EQV9DRi4yMDAwLjYvMzAvMjAxOC5MRlIuRi5VU0QuSAEAAABjOM8AAwAAAAAAt90fmnkD1giV5ciceQPWCCVDSVEuSVFUUjMzMDMyNDI4NS5JUV9UUl9NQUpfTUlOX1NUQUtFAQAAAD1ZsBMDAAAACE1ham9yaXR5ADbRcZd5A9YIYf3OnHkD1ggeQ0lRLlRTWFY6Q09CLlUuSVFfQ09NUEFOWV9OQU1FAQAAAL/7AAgDAAAADENvaEJhciwgSW5jLgDx1eCbeQPWCIRXypx5A9YIKUNJUS5JUVRSMzIyNDY3NjI1LklRX0JVU0lORVNTX0RFU0NSSVBUSU9OAQAAAILhBwADAAAAhQlCaW90aWUgVGhlcmFwaWVzIENvcnAuLCBhIGJpb3BoYXJtYWNldXRpY2FsIGNvbXBhbnksIHByaW1hcmlseSBmb2N1c2VzIG9uIGRldmVsb3BpbmcgYW5kIHNlbGxpbmcgdGhlcmFwZXV0aWNzIGZvciBjZW50cmFsIG5l</t>
  </si>
  <si>
    <t>cnZvdXMgc3lzdGVtIGRpc29yZGVycyBpbiBGaW5sYW5kIGFuZCB0aGUgVW5pdGVkIFN0YXRlcy4gVGhlIGNvbXBhbnkgb2ZmZXJzIFNlbGluY3JvIChuYWxtZWZlbmUpLCBhIGR1YWwtYWN0aW5nIG9waW9pZCBzeXN0ZW0gbW9kdWxhdG9yIHRoYXQgcmVkdWNlcyBhbGNvaG9sIGNvbnN1bXB0aW9uIGluIGFsY29ob2wgZGVwZW5kZW50IGluZGl2aWR1YWxzOyBhbmQgVG96YWRlbmFudCAoU1lOMTE1KSwgYW4gb3JhbCwgcG90ZW50IGFuZCBzZWxlY3RpdmUgYWRlbm9zaW5lIEEyYSByZWNlcHRvciBhbnRhZ29uaXN0LCB3aGljaCBpcyBpbiBQaGFzZSBJSUkgY2xpbmljYWwgc3R1ZHkgZm9yIHRoZSB0cmVhdG1lbnQgb2YgUGFya2luc29u4oCZcyBkaXNlYXNlLiBJdCBhbHNvIHByb3ZpZGVzIFNZTjEyMCwgYW4gb3JhbCwgcG90ZW50LCBkdWFsIGFudGFnb25pc3Qgb2YgdGhlIDUtSFQ2IGFuZCA1LUhUMkEgcmVjZXB0b3JzIHRoYXQgaGFzIGJlZW4gY29tcGxldGVkIHNpbmdsZSBhbmQgbXVsdGlwbGUgYXNjZW5kaW5nIGRvc2UgUGhhc2UgSSBjbGluaWNhbCBzdHVkaWVzIGFuZCBhIFBoYXNlIEkgcG9zaXRyb24gZW1pc3Npb24gdG9tb2dyYXBoeSBpbWFnaW5nIHN0dWR5IHRvIGRldGVybWluZSB0aGVyYXBldXRpYyBkb3NlIGZvciBzdWJzZXF1ZW50IFBoYXNlIElJIHN0dWRpZXM7IGFuZCBCVFQxMDIz</t>
  </si>
  <si>
    <t>LCBhIGh1bWFuIG1vbm9jbG9uYWwgYW50aWJvZHkgdGhhdCBiaW5kcyB0byB2YXNjdWxhciBhZGhlc2lvbiBwcm90ZWluIDEsIHdoaWNoIGlzIGluIFBoYXNlIElJIGNsaW5pY2FsIHRyaWFsIHJlY2VpdmVkIG9ycGhhbiBkcnVnIGRlc2lnbmF0aW9uIGZvciB0aGUgdHJlYXRtZW50IG9mIHByaW1hcnkgc2NsZXJvc2luZyBjaG9sYW5naXRpcy4gQmlvdGllIFRoZXJhcGllcyBDb3JwLiBpcyBoZWFkcXVhcnRlcmVkIGluIFR1cmt1LCBGaW5sYW5kLiBBcyBvZiBBcHJpbCAxOCwgMjAxNiwgQmlvdGllIFRoZXJhcGllcyBDb3JwLiBvcGVyYXRlcyBhcyBhIHN1YnNpZGlhcnkgb2YgQWNvcmRhIFRoZXJhcGV1dGljcywgSW5jLgCxvXGXeQPWCNk00Jx5A9YIPUNJUS5OQVNEQVFDTTpSVFRSLklRX1JFVkVOVUVfRVNULkNZMjAyMS42LzMwLzIwMTguQ09OLkYuVVNELkgBAAAAH5qzAwIAAAABMAEOAAAABQAAAAIxMQEAAAABMAIAAAAKMTAwMzIxOTc0MwMAAAAGMTAwMTgwBAAAAAEyBgAAAAEwBwAAAAMxNjAIAAAAATAJAAAAATEKAAAAATALAAAACzEwNzk0NDQwODU5DAAAAAE3DQAAAAg3LzEvMjAxOBAAAAAJNi8zMC8yMDE4NqMfmnkD1ggsZMWceQPWCDpDSVEuTkFTREFRQ006QVZYTC5JUV9FQVJOSU5HX0NPLjE5OTIuNi8zMC8yMDE4LkxGUi5GLlVTRC5IAQAAAGM4zwACAAAACi0xNS41ODE4NjMBCAAAAAUA</t>
  </si>
  <si>
    <t>AAABMQEAAAAKMTg0MTkyNDcwMgMAAAADMTYwAgAAAAE3BAAAAAEwBwAAAAk2LzMwLzIwMTgIAAAACTMvMzEvMjAxNgkAAAABMLfdH5p5A9YIqpfInHkD1ggwQ0lRLklRVFIzNzAwNzIzNTMuSVFfVFJfVEFSR0VUX0VCSVREQV9FU1QuLlVTRC5IAQAAACHbDhYCAAAACi0xMS40MzY2MDkAseRxl3kD1ghWhc+ceQPWCCJDSVEuSVFUUjM3Njc5OTIzMi5JUV9UUl9QQ1RfU09VR0hUAQAAAACAdRYCAAAAAzEwMAEGAAAABQAAAAI1NAEAAAAGMTAxMDI0AgAAAAkzNzY3OTkyMzIDAAAACTM3NjgwMzMzNQQAAAADMTYwBgAAAARUcnVlseRxl3kD1gjZSs+ceQPWCDxDSVEuTkFTREFRQ006U0xOTy5JUV9FQklUREFfRVNULkNZMjAxOS42LzMwLzIwMTguQ09OLkYuVVNELkgBAAAA6XUmAAMAAAAAADajH5p5A9YIHF/HnHkD1ghCQ0lRLihJTlZBTElEIElERU5USUZJRVIpLklRX1BSRUZfRVFVSVRZLjIwMDAuNi8zMC8yMDE4LkxGUi5GLlVTRC5IBQAAAAAAAAAIAAAAFChJbnZhbGlkIElkZW50aWZpZXIpMWYgmnkD1giy28SceQPWCCxDSVEuSVFUUjM3NDMzMTU4Ni5JUV9UUl9UQVJHRVRfRUJJVERBLi5VU0QuSAEAAADC2E8WAgAAAAAAseRxl3kD1ghV08+ceQPWCC5DSVEuSVFUUjM4NDAyODQ5Ni5JUV9UUl9UQVJHRVRfU1RPQ0tQUkVNSVVNXzFXAQAAAFDP4xYCAAAACDE2My40ODgxAQYAAAAFAAAAAjU0AQAAAAYx</t>
  </si>
  <si>
    <t>MDEwNTQCAAAACTM4NDAyODQ5NgMAAAAJNDA3Mjc1Nzc2BAAAAAMxNjAGAAAABUZhbHNlseRxl3kD1gjiN8+ceQPWCCNDSVEuSVFUUjM3MDA3MjM1My5JUV9UUl9DTE9TRURfREFURQEAAAAh2w4WBQAAAAk4LzMxLzIwMTYAseRxl3kD1giyZNCXeQPWCEZDSVEuTkFTREFRQ006QVNNQi5JUV9UT1RBTF9SRVZfNVlSX0FOTl9DQUdSLjIwMDAuNi8zMC8yMDE4LkxGUi5GLlVTRC5IAQAAABCJ8QUDAAAAAADt/OCbeQPWCHdSzJx5A9YIJUNJUS5JUVRSMzcwMDcyMzUzLklRX1BSSU1BUllfSU5EVVNUUlkBAAAAjHETAAMAAAANQmlvdGVjaG5vbG9neQA6qnGXeQPWCNhxz5x5A9YIMENJUS5JUVRSMjQzNzQ0MzA2LklRX1RSX1RBUkdFVF9FQklUREFfRVNULi5VU0QuSAEAAAAyPocOAgAAAAc4NC45NTIyAGgLcpd5A9YI0x7RnHkD1gguQ0lRLklRVFIzNzg1ODc4MjIuSVFfVFJfVEFSR0VUX1NUT0NLUFJFTUlVTV8xTQEAAACuypAWAgAAAAAAseRxl3kD1ghWrM+ceQPWCC9DSVEuSVFUUjMyMjQ2NzYyNS5JUV9UUl9JTVBMSUVEX0VWX0ZJTkFMLi5VU0QuSAEAAAApdzgTAgAAAAkyNzcuNjg4MDkBBgAAAAUAAAACNTQBAAAABjEwMjA0NQIAAAAJMzIyNDY3NjI1AwAAAAkzMjI0NzM3OTAEAAAAAzE2MAYAAAAFRmFsc2Uy+HGXeQPWCN0N0Jx5A9YIO0NJUS5OQVNEQVFHTTpSWVRNLklRX1RPVEFMX1JFVi5DWTIwMTcu</t>
  </si>
  <si>
    <t>Ni8zMC8yMDE4LkxGUi5GLlVTRC5IAQAAABjJbRIDAAAAAAB16eCbeQPWCOt2zZx5A9YIRkNJUS5OQVNEQVFHUzpNQ1JCLklRX1RPVEFMX1JFVl81WVJfQU5OX0NBR1IuMjAwMC42LzMwLzIwMTguTEZSLkYuVVNELkgBAAAA02JBDQMAAAAAAG434Zt5A9YIBWvKnHkD1ggdQ0lRLk5BU0RBUUNNOkFWWEwuSVFfRVhDSEFOR0UBAAAAYzjPAAMAAAAITmFzZGFxQ00ALXwfmnkD1ggW+ciceQPWCDRDSVEuQUlNOk9QVEkuSVFfVE9UQUxfREVCVC4yMDAwLjEvNS8yMDE4LkxGUi5GLlVTRC5IAQAAADPbtQcCAAAAATABCAAAAAUAAAABMQEAAAAKMTg1NzAxMzM2NQMAAAADMTYwAgAAAAQ0MTczBAAAAAEwBwAAAAgxLzUvMjAxOAgAAAAJNS8zMS8yMDE3CQAAAAEwNfEfmnkD1ggdwceceQPWCCVDSVEuSVFUUjM4NDAyODQ5Ni5JUV9UUl9JTVBMSUVEX0VRX0JWAQAAAFDP4xYCAAAACDguMjkzMzU3AQYAAAAFAAAAAjU0AQAAAAYxMDIwOTcCAAAACTM4NDAyODQ5NgMAAAAJNDA3Mjc1Nzc2BAAAAAMxNjAGAAAABUZhbHNlNtFxl3kD1gjiN8+ceQPWCDZDSVEuTkFTREFRR006UllUTS5JUV9FQklUREEuMjAwMC42LzMwLzIwMTguTEZSLkYuVVNELkgBAAAAGMltEgIAAAAHLTQyLjc5NAEIAAAABQAAAAExAQAAAAoxODg4OTExNDcwAwAAAAMxNjACAAAABDQwNTEEAAAAATAHAAAACTYvMzAvMjAxOAgAAAAJMy8zMS8yMDE4</t>
  </si>
  <si>
    <t>CQAAAAEwdengm3kD1ghqY82ceQPWCCJDSVEuSVFUUjM3MDA3MjM1My5JUV9UUl9UQVJHRVROQU1FAQAAACHbDhYDAAAAHFRyYW5zaXRpb24gVGhlcmFwZXV0aWNzIEluYy4AseRxl3kD1ghXXs+ceQPWCClDSVEuSVFUUjM3ODU4NzgyMi5JUV9UUl9JTVBMSUVEX0VRX05JX0xUTQEAAACuypAWAgAAAAAAseRxl3kD1ghWrM+ceQPWCDNDSVEuQUlNOk9QVEkuSVFfRUJJVERBLkNZMjAxNy42LzMwLzIwMTguTEZSLkYuVVNELkgBAAAAM9u1BwIAAAAJLTIuNzEwNjk1AQgAAAAFAAAAATEBAAAACjE4OTEwMjIwNzYDAAAAAzE2MAIAAAAENDA1MQQAAAABMAcAAAAJNi8zMC8yMDE4CAAAAAoxMS8zMC8yMDE3CQAAAAEwt90fmnkD1gieIsiceQPWCDFDSVEuSVFUUjU0MTI4MzcwMC5JUV9UUl9UQVJHRVRfUkVWRU5VRV9FU1QuLlVTRC5IAQAAAHRVQyACAAAAAAA20XGXeQPWCOrpzpx5A9YIPkNJUS5BTUVYOlNZTi5JUV9FQklUREFfM1lSX0FOTl9DQUdSLjIwMDAuNi8zMC8yMDE4LkxGUi5GLlVTRC5IAQAAAG2wdAEDAAAAAk5NAQgAAAAFAAAAATEBAAAACjE4ODc0MDg3MjYDAAAAAzE2MAIAAAAENDIyMgQAAAABMAcAAAAJNi8zMC8yMDE4CAAAAAkzLzMxLzIwMTgJAAAAATC3BCCaeQPWCKQ6xpx5A9YIKkNJUS5JUVRSNTQ3MzM4ODE0LklRX1RSX1RBUkdFVF9FQklULi5VU0QuSAEAAAA+up8gAgAAAAAANtFxl3kD</t>
  </si>
  <si>
    <t>1gjkws6ceQPWCCtDSVEuSVFUUjMxMDIyOTE4OC5JUV9UUl9JTVBMSUVEX0VWX0VCSVRfRldEAQAAAMS4fRICAAAAAAAy+HGXeQPWCFaW0Jx5A9YIPkNJUS4oSU5WQUxJRCBJREVOVElGSUVSKS5JUV9QRVJJT0REQVRFX0lTLjIwMDAuNi8zMC8yMDE4LkxGUi5GBQAAAAAAAAAIAAAAFChJbnZhbGlkIElkZW50aWZpZXIpMWYgmnkD1ggw78SceQPWCD5DSVEuTkFTREFRR1M6TUNSQi5JUV9UT1RBTF9FUVVJVFkuQ1kyMDE3LjYvMzAvMjAxOC5MRlIuRi5VU0QuSAEAAADTYkENAgAAAAY2MC42OTkBCAAAAAUAAAABMQEAAAAKMTg3NzU1NTQzNQMAAAADMTYwAgAAAAQxMjc1BAAAAAEwBwAAAAk2LzMwLzIwMTgIAAAACjEyLzMxLzIwMTcJAAAAATDwI+GbeQPWCId+ypx5A9YIOkNJUS5OQVNEQVFDTTpBVlhMLklRX1BSRUZfRVFVSVRZLjIwMDAuMS81LzIwMTguTEZSLkYuVVNELkgBAAAAYzjPAAMAAAAAALfdH5p5A9YImnDInHkD1ggtQ0lRLk5BU0RBUUdNOlJZVE0uSVFfRElWSURFTkRfWUlFTEQuNi8zMC8yMDE4AQAAABjJbRIDAAAAAADx1eCbeQPWCOwozZx5A9YII0NJUS5JUVRSMzcwMDcyMzUzLklRX1RSX1RPVEFMX1NUT0NLAQAAACHbDhYCAAAACTU5LjgwNjkyMgEGAAAABQAAAAI1NAEAAAAGMTAxMDU3AgAAAAkzNzAwNzIzNTMDAAAACTM3MDA3MzQ1NwQAAAADMTYwBgAAAAVGYWxzZbHkcZd5A9YI2HHP</t>
  </si>
  <si>
    <t>nHkD1gg7Q0lRLk5BU0RBUUdNOlJZVE0uSVFfVE9UQUxfUkVWLkNZMjAxNi42LzMwLzIwMTguTEZSLkYuVVNELkgBAAAAGMltEgMAAAAAAHXp4Jt5A9YIaYrNnHkD1ggvQ0lRLklRVFIyNzI3NzYzMzguSVFfVFJfVEFSR0VUX1RPVEFMX1JFVi4uVVNELkgBAAAAkjxCEAIAAAABMAEGAAAABQAAAAIzNwEAAAAKMTY5NDQ3ODk4MwIAAAACMjgDAAAAAzE2MAQAAAABMAcAAAAIMS8xLzE5MDBoC3KXeQPWCFXk0Jx5A9YIHkNJUS5JUTM2MTgzODEzLklRX0NPTVBBTllfTkFNRQEAAAAFHygCAwAAADJVbml0ZWQgU3RhdGVzIFRyZWFzdXJ5IENvbnN0YW50IE1hdHVyaXR5IC0gMSBNb250aACxvXGXeQPWCOpHzJd5A9YIP0NJUS5OQVNEQVFHUzpWWUdSLklRX05FVF9XT1JLSU5HX0NBUC4xOTk2LjYvMzAvMjAxOC5MRlIuRi5VU0QuSAEAAABezE8PAgAAAAYtNy42NTQBCAAAAAUAAAABMQEAAAAKMTg4ODQ4MDU4MQMAAAADMTYwAgAAAAQxMzExBAAAAAEwBwAAAAk2LzMwLzIwMTgIAAAACTMvMzEvMjAxNwkAAAABMHIQ4Zt5A9YI9/DLnHkD1ggeQ0lRLi5JUV9UUl9JTVBMSUVEX0VWX0VCSVRfRldEBQAAAAEAAAAIAAAAFChJbnZhbGlkIElkZW50aWZpZXIpbMLgm3kD1ghswuCbeQPWCD1DSVEuTkFTREFRQ006QVNNQi5JUV9SRVZFTlVFX0VTVC5DWTIwMTguNi8zMC8yMDE4LkNPTi5GLlVTRC5IAQAAABCJ8QUCAAAA</t>
  </si>
  <si>
    <t>CDEwLjE1NTAzAQ4AAAAFAAAAAjExAQAAAAEwAgAAAAoxMDAxMDI1NzAwAwAAAAYxMDAxODAEAAAAATIGAAAAATAHAAAAAzE2MAgAAAABMAkAAAABMQoAAAABMAsAAAALMTA5MzU0NTg4NjIMAAAAATcNAAAACDcvMS8yMDE4EAAAAAk2LzMwLzIwMThuN+GbeQPWCG/HzJx5A9YIOUNJUS5OQVNEQVFDTTpSVFRSLklRX1RPVEFMX1JFVi4xOTk2LjYvMzAvMjAxOC5MRlIuRi5VU0QuSAEAAAAfmrMDAwAAAAAAMhggmnkD1gitd8WceQPWCDpDSVEuTkFTREFRQ006QVNNQi5JUV9FQVJOSU5HX0NPLjIwMDAuNi8zMC8yMDE4LkxGUi5GLlVTRC5IAQAAABCJ8QUCAAAACi00NS4xMjY3MTQBCAAAAAUAAAABMQEAAAAKMTg4NzIzNTA3OAMAAAADMTYwAgAAAAE3BAAAAAEwBwAAAAk2LzMwLzIwMTgIAAAACTMvMzEvMjAxOAkAAAABMO384Jt5A9YIc3nMnHkD1ggwQ0lRLk5BU0RBUUdTOk1DUkIuSVFfTEFTVFNBTEVQUklDRS42LzMwLzIwMTguVVNEAQAAANNiQQ0CAAAAAzguNgDx1eCbeQPWCH/zypx5A9YIPENJUS5UU1hWOkNPQi5VLklRX05FVF9XT1JLSU5HX0NBUC4xOTkyLjYvMzAvMjAxOC5MRlIuRi5VU0QuSAEAAAC/+wAIAgAAAAktMC4zODI4NjYBCAAAAAUAAAABMQEAAAAKMTg0Mjc1ODgxMAMAAAADMTYwAgAAAAQxMzExBAAAAAEwBwAAAAk2LzMwLzIwMTgIAAAACTMvMzEvMjAxNgkAAAABMLi2H5p5A9YIiAnK</t>
  </si>
  <si>
    <t>nHkD1gg7Q0lRLk5BU0RBUUdTOlZZR1IuSVFfRUJJVF9NQVJHSU4uMjAwMC42LzMwLzIwMTguTEZSLkYuVVNELkgBAAAAXsxPDwMAAAACTk0BCAAAAAUAAAABMQEAAAAKMTg4ODQ4MDU5MwMAAAADMTYwAgAAAAQ0MDUzBAAAAAEwBwAAAAk2LzMwLzIwMTgIAAAACTMvMzEvMjAxOAkAAAABMHIQ4Zt5A9YIdQTMnHkD1ggqQ0lRLklRVFIzNzg1ODc4MjIuSVFfVFJfVEFSR0VUX0VCSVQuLlVTRC5IAQAAAK7KkBYCAAAAAACx5HGXeQPWCNSYz5x5A9YILUNJUS5OQVNEQVFHUzpWVlVTLklRX0RJVklERU5EX1lJRUxELjYvMzAvMjAxOAEAAAAujgAAAwAAAAAALXwfmnkD1giuM8mceQPWCC5DSVEuSVFUUjMxMDIyOTE4OC5JUV9UUl9UQVJHRVRfU1RPQ0tQUkVNSVVNXzFNAQAAAMS4fRICAAAAAAAy+HGXeQPWCFaW0Jx5A9YIOkNJUS5OQVNEQVFDTTpBU01CLklRX0VBUk5JTkdfQ08uMTk5Ni42LzMwLzIwMTguTEZSLkYuVVNELkgBAAAAEInxBQIAAAAKLTQ3LjIwMzU5NwEIAAAABQAAAAExAQAAAAoxODg3MjM1MDY1AwAAAAMxNjACAAAAATcEAAAAATAHAAAACTYvMzAvMjAxOAgAAAAJMy8zMS8yMDE3CQAAAAEw7fzgm3kD1ghzecyceQPWCC5DSVEuTkFTREFRR1M6VllHUi5JUV9NQVJLRVRDQVAuNi8zMC8yMDE4LlVTRC5IAQAAAF7MTw8CAAAACjYzMS41NTIyNjIBBgAAAAUAAAABMQEAAAAKMTg4ODQ3OTA4OAMA</t>
  </si>
  <si>
    <t>AAADMTYwAgAAAAYxMDAwNTQEAAAAATAHAAAACTYvMzAvMjAxOPHV4Jt5A9YI9j7MnHkD1ggyQ0lRLihJTlZBTElEIElERU5USUZJRVIpLklRX0xBU1RTQUxFUFJJQ0UuMS81LzIwMTgFAAAAAAAAAAgAAAAUKEludmFsaWQgSWRlbnRpZmllciktfB+aeQPWCLRmxJx5A9YILENJUS5JUVRSMzE4NTQyMjEwLklRX1RSX1RPVEFMX0dST1NTX1RWLlVTRC5IBQAAAAAAAAAIAAAAGihJbnZhbGlkIEN1cnJlbmN5IFJlcXVlc3QptZZxl3kD1ghXb9CceQPWCC5DSVEuSVFUUjU0MTI4MzcwMC5JUV9UUl9UQVJHRVRfU1RPQ0tQUkVNSVVNXzFXAQAAAHRVQyACAAAAAAA20XGXeQPWCOrpzpx5A9YIOUNJUS5OQVNEQVFHTTpSWVRNLklRX1RPVEFMX1JFVi4yMDAwLjYvMzAvMjAxOC5MRlIuRi5VU0QuSAEAAAAYyW0SAwAAAAAAdengm3kD1ghpis2ceQPWCEZDSVEuTkFTREFRR006UllUTS5JUV9UT1RBTF9SRVZfMllSX0FOTl9DQUdSLjIwMDAuNi8zMC8yMDE4LkxGUi5GLlVTRC5IAQAAABjJbRIDAAAAAADt/OCbeQPWCPABzZx5A9YIKUNJUS5JUVRSMzI1MjMzNDYxLklRX1RSX0lNUExJRURfRVFfTklfTFRNAQAAADWrYhMCAAAAAAAy+HGXeQPWCNlb0Jx5A9YIMUNJUS5JUVRSMzcwMDcyMzUzLklRX1RSX1RBUkdFVF9SRVZFTlVFX0VTVC4uVVNELkgBAAAAIdsOFgIAAAAAALHkcZd5A9YIVoXPnHkD1gg3Q0lRLk9UQ1BL</t>
  </si>
  <si>
    <t>Ok5FWFMuSVFfVE9UQUxfREVCVC4yMDAwLjYvMzAvMjAxOC5MRlIuRi5VU0QuSAEAAAAdvU4UAgAAAAgwLjM2NzUxNwEIAAAABQAAAAExAQAAAAoxODYyODYzMDkzAwAAAAMxNjACAAAABDQxNzMEAAAAATAHAAAACTYvMzAvMjAxOAgAAAAJNS8zMS8yMDE3CQAAAAEwMhggmnkD1ggmJ8aceQPWCDxDSVEuTkFTREFRR1M6VllHUi5JUV9FQklUREFfRVNULkNZMjAyMC42LzMwLzIwMTguQ09OLkYuVVNELkgBAAAAXsxPDwIAAAAFLTk0LjYBDgAAAAUAAAACMTEBAAAAATACAAAACjEwMDMyNDM0NDgDAAAABjEwMDE4NwQAAAABMgYAAAABMAcAAAADMTYwCAAAAAEwCQAAAAExCgAAAAEwCwAAAAsxMDkxMTQwMDc4MQwAAAABNw0AAAAINy8xLzIwMTgQAAAACTYvMzAvMjAxOG434Zt5A9YIdQTMnHkD1ggvQ0lRLklRVFIzNzY3OTkyMzIuSVFfVFJfVEFSR0VUX1RPVEFMX1JFVi4uVVNELkgBAAAAAIB1FgIAAAAGMzYuMTUzAQYAAAAFAAAAAjM3AQAAAAoxODAxNzk0ODI4AgAAAAIyOAMAAAADMTYwBAAAAAEwBwAAAAgxLzEvMTkwMLHkcZd5A9YI2UrPnHkD1gg6Q0lRLk5BU0RBUUdTOlZZR1IuSVFfRUFSTklOR19DTy4xOTkyLjYvMzAvMjAxOC5MRlIuRi5VU0QuSAEAAABezE8PAgAAAActMjIuMjgzAQgAAAAFAAAAATEBAAAACjE4NDA5MzQ2NzcDAAAAAzE2MAIAAAABNwQAAAABMAcAAAAJNi8zMC8yMDE4CAAAAAkz</t>
  </si>
  <si>
    <t>LzMxLzIwMTYJAAAAATByEOGbeQPWCHndy5x5A9YIK0NJUS5OWVNFOkJIVk4uSVFfQ0FTSF9FUVVJVi4uNS8zLzIwMTcuLi5VU0QBAAAA3GcgDwIAAAAGMjMuNTY1AQgAAAAFAAAAATEBAAAACjE4MzU3ODk3MTADAAAAAzE2MAIAAAAEMTA5NgQAAAABMAcAAAAINS8zLzIwMTcIAAAACjEyLzMxLzIwMTYJAAAAATCxvXGXeQPWCNoxzZd5A9YIJENJUS5BTUVYOlNZTi5JUV9CVVNJTkVTU19ERVNDUklQVElPTgEAAABtsHQBAwAAAMQKU3ludGhldGljIEJpb2xvZ2ljcywgSW5jLiwgYSBsYXRlLXN0YWdlIGNsaW5pY2FsIGNvbXBhbnksIGRldmVsb3BzIHRoZXJhcGV1dGljcyBkZXNpZ25lZCB0byBwcmVzZXJ2ZSB0aGUgbWljcm9iaW9tZSB0byBwcm90ZWN0IGFuZCByZXN0b3JlIHRoZSBoZWFsdGggb2YgcGF0aWVudHMuIEl0cyBsZWFkIHByb2R1Y3QgY2FuZGlkYXRlcyBhcmUgaW4gUGhhc2UgSUlJIGRldmVsb3BtZW50LCBzdWNoIGFzIFNZTi0wMDQgdGhhdCBpcyBkZXNpZ25lZCB0byBwcm90ZWN0IHRoZSBndXQgbWljcm9iaW9tZSBmcm9tIHRoZSBlZmZlY3RzIG9mIGNvbW1vbmx5IHVzZWQgaW50cmF2ZW5vdXMgKElWKSBiZXRhLWxhY3RhbSBhbnRpYmlvdGljcyBmb3IgdGhlIHByZXZlbnRpb24gb2YgQy4gZGlmZmljaWxlIGluZmVjdGlvbiwgb3Zlcmdyb3d0aCBvZiBwYXRob2dlbmljIG9yZ2FuaXNt</t>
  </si>
  <si>
    <t>cywgYW5kIHRoZSBlbWVyZ2VuY2Ugb2YgYW50aW1pY3JvYmlhbCByZXNpc3RhbmNlOyBhbmQgU1lOLTAxMCB3aGljaCBpcyBpbnRlbmRlZCB0byByZWR1Y2UgdGhlIGltcGFjdCBvZiBtZXRoYW5lLXByb2R1Y2luZyBvcmdhbmlzbXMgaW4gdGhlIGd1dCBtaWNyb2Jpb21lIHRvIHRyZWF0IGFuIHVuZGVybHlpbmcgY2F1c2Ugb2YgaXJyaXRhYmxlIGJvd2VsIHN5bmRyb21lIHdpdGggY29uc3RpcGF0aW9uLiBUaGUgY29tcGFueeKAmXMgcHJlY2xpbmljYWwgcHJvZHVjdHMgaW5jbHVkZSBhbiBvcmFsIGZvcm11bGF0aW9uIG9mIHRoZSBlbnp5bWUgaW50ZXN0aW5hbCBhbGthbGluZSBwaG9zcGhhdGFzZSB0byB0cmVhdCBsb2NhbCBHSSBkaXNvcmRlcnMgYW5kIHN5c3RlbWljIGRpc2Vhc2VzOyBtb25vY2xvbmFsIGFudGlib2R5IHRoZXJhcGllcyBmb3IgdGhlIHByZXZlbnRpb24gYW5kIHRyZWF0bWVudCBvZiBwZXJ0dXNzaXM7IGFuZCBub3ZlbCBkaXNjb3Zlcnkgc3RhZ2UgYmlvdGhlcmFwZXV0aWNzIGZvciB0aGUgdHJlYXRtZW50IG9mIHBoZW55bGtldG9udXJpYS4gU3ludGhldGljIEJpb2xvZ2ljcywgSW5jLiBoYXMgY29sbGFib3JhdGlvbnMgd2l0aCBJbnRyZXhvbiBDb3Jwb3JhdGlvbiwgVGhlIFVuaXZlcnNpdHkgb2YgVGV4YXMgYXQgQXVzdGluLCBhbmQgQ2VkYXJzLVNpbmFpIE1lZGljYWwg</t>
  </si>
  <si>
    <t>Q2VudGVyLiBUaGUgY29tcGFueSB3YXMgZm9ybWVybHkga25vd24gYXMgQWRlb25hIFBoYXJtYWNldXRpY2FscywgSW5jLiBhbmQgY2hhbmdlZCBpdHMgbmFtZSB0byBTeW50aGV0aWMgQmlvbG9naWNzLCBJbmMuIGluIEZlYnJ1YXJ5IDIwMTIuIFN5bnRoZXRpYyBCaW9sb2dpY3MsIEluYy4gd2FzIGZvdW5kZWQgaW4gMjAwMSBhbmQgaXMgaGVhZHF1YXJ0ZXJlZCBpbiBSb2NrdmlsbGUsIE1hcnlsYW5kLgAtfB+aeQPWCCJ1xpx5A9YIOUNJUS5UU1hWOkNPQi5VLklRX0VBUk5JTkdfQ08uQ1kyMDE2LjYvMzAvMjAxOC5MRlIuRi5VU0QuSAEAAAC/+wAIAgAAAAktNi4wNzQ5OTkBCAAAAAUAAAABMQEAAAAKMTg4MTE3MjU2NQMAAAADMTYwAgAAAAE3BAAAAAEwBwAAAAk2LzMwLzIwMTgIAAAACjEyLzMxLzIwMTYJAAAAATC4th+aeQPWCIjiyZx5A9YIHUNJUS5OQVNEQVFHUzpBQ0FELklRX0VYQ0hBTkdFAQAAAMFuCgADAAAACE5hc2RhcUdTAPHV4Jt5A9YI6E3OnHkD1gg9Q0lRLk5BU0RBUUNNOkFWWEwuSVFfUkVWRU5VRV9FU1QuQ1kyMDIwLjYvMzAvMjAxOC5DT04uRi5VU0QuSAEAAABjOM8AAgAAAAczMS4xODkyAQ4AAAAFAAAAAjExAQAAAAEwAgAAAAk3MDA0ODY1MjADAAAABjEwMDE4MAQAAAABMgYAAAABMAcAAAADMTYwCAAAAAEwCQAAAAExCgAAAAEwCwAAAAsxMDkwMzQ0MzMxNgwAAAABNw0AAAAI</t>
  </si>
  <si>
    <t>Ny8xLzIwMTgQAAAACTYvMzAvMjAxOLuPH5p5A9YIE9LInHkD1ggdQ0lRLk5BU0RBUUdTOlpGR04uSVFfRVhDSEFOR0UBAAAAl8C6AQMAAAAITmFzZGFxR1MA8dXgm3kD1gj7osuceQPWCDlDSVEuTkFTREFRQ006QVZYTC5JUV9UT1RBTF9SRVYuMjAwMC42LzMwLzIwMTguTEZSLkYuVVNELkgBAAAAYzjPAAMAAAAAALfdH5p5A9YIleXInHkD1gguQ0lRLklRVFIzNzY3OTkyMzIuSVFfVFJfVEFSR0VUX1NUT0NLUFJFTUlVTV8xTQEAAAAAgHUWAgAAAAc4OC4yMzUzAQYAAAAFAAAAAjU0AQAAAAYxMDEwNTUCAAAACTM3Njc5OTIzMgMAAAAJMzc2ODAzMzM1BAAAAAMxNjAGAAAABUZhbHNlseRxl3kD1ghXXs+ceQPWCDRDSVEuQU1FWDpTWU4uSVFfVE9UQUxfUkVWLjE5OTIuNi8zMC8yMDE4LkxGUi5GLlVTRC5IAQAAAG2wdAEDAAAAAAC3BCCaeQPWCKLWxpx5A9YIPkNJUS5OQVNEQVFHTTpSWVRNLklRX0NBU0hfU1RfSU5WRVNULjIwMDAuNi8zMC8yMDE4LkxGUi5GLlVTRC5IAQAAABjJbRICAAAABzEzNi40NTMBCAAAAAUAAAABMQEAAAAKMTg4ODkxMTQ3MAMAAAADMTYwAgAAAAQxMDAyBAAAAAEwBwAAAAk2LzMwLzIwMTgIAAAACTMvMzEvMjAxOAkAAAABMHXp4Jt5A9YIaYrNnHkD1ggmQ0lRLk9UQ1BLOk5FWFMuSVFfQlVTSU5FU1NfREVTQ1JJUFRJT04BAAAAHb1OFAMAAADlAU5leHVzIEJpb1BoYXJtYSwg</t>
  </si>
  <si>
    <t>SW5jLiwgYSBsaWZlIHNjaWVuY2UgY29tcGFueSwgZm9jdXNlcyBvbiB0aGUgZGV2ZWxvcG1lbnQgYW5kIGNvbW1lcmNpYWxpemF0aW9uIG9mIGEgcGhhcm1hY2V1dGljYWwgcHJlcGFyYXRpb24gdG8gdHJlYXQgb2Jlc2l0eSBhbmQgdGhlIHN5bXB0b21zIG9mIHR5cGUgMiBkaWFiZXRlcy4gVGhlIGNvbXBhbnkgaXMgaGVhZHF1YXJ0ZXJlZCBpbiBIb3VzdG9uLCBUZXhhcy4ALXwfmnkD1ggn2cWceQPWCC9DSVEuSVFUUjM3ODU4NzgyMi5JUV9UUl9UQVJHRVRfVE9UQUxfUkVWLi5VU0QuSAEAAACuypAWAgAAAAAAseRxl3kD1gjUmM+ceQPWCC5DSVEuSVFUUjM3MDA3MjM1My5JUV9UUl9UQVJHRVRfU1RPQ0tQUkVNSVVNXzFNAQAAACHbDhYCAAAABzkyLjM4MjYBBgAAAAUAAAACNTQBAAAABjEwMTA1NQIAAAAJMzcwMDcyMzUzAwAAAAkzNzAwNzM0NTcEAAAAAzE2MAYAAAAFRmFsc2Wx5HGXeQPWCFaFz5x5A9YILkNJUS5JUVRSMzI1MjMzNDYxLklRX1RSX1RBUkdFVF9TVE9DS1BSRU1JVU1fMVcBAAAANatiEwIAAAAAADL4cZd5A9YI2VvQnHkD1ggiQ0lRLklRVFIyNDM3NDQzMDYuSVFfVFJfVE9UQUxfQ0FTSAEAAAAyPocOAgAAAAszMTk4LjU1NDY0NAEGAAAABQAAAAI1NAEAAAAGMTAxMDU2AgAAAAkyNDM3NDQzMDYDAAAACTI0Mzc0NDQxMAQAAAADMTYwBgAAAAVGYWxzZWgLcpd5A9YI0/fQnHkD1gg5</t>
  </si>
  <si>
    <t>Q0lRLk5BU0RBUUNNOkFWWEwuSVFfVE9UQUxfUkVWLjE5OTYuNi8zMC8yMDE4LkxGUi5GLlVTRC5IAQAAAGM4zwADAAAAAAC33R+aeQPWCJXlyJx5A9YIN0NJUS5BSU06T1BUSS5JUV9FQklUREFfRVNULkNZMjAxOC42LzMwLzIwMTguQ09OLkYuVVNELkgBAAAAM9u1BwMAAAAAALuPH5p5A9YIHA/InHkD1ggvQ0lRLklRVFI1NjAyNTAyNjYuSVFfVFJfVEFSR0VUX1RPVEFMX1JFVi4uVVNELkgBAAAAmr1kIQIAAAAAADbRcZd5A9YI55vOnHkD1gg6Q0lRLk5BU0RBUUNNOlNMTk8uSVFfRUFSTklOR19DTy4xOTkyLjYvMzAvMjAxOC5MRlIuRi5VU0QuSAEAAADpdSYAAgAAAAktNy40NDY1NDYBCAAAAAUAAAABMQEAAAAKMTg0MTgzODIwNAMAAAADMTYwAgAAAAE3BAAAAAEwBwAAAAk2LzMwLzIwMTgIAAAACTMvMzEvMjAxNgkAAAABMDXxH5p5A9YIHDjHnHkD1ggiQ0lRLklRVFIzNDA3MDQ4NjUuSVFfVFJfVE9UQUxfQ0FTSAEAAABhvk4UAgAAAAAAseRxl3kD1gjh5s+ceQPWCCdDSVEuTkFTREFRR1M6WkZHTi5JUV9CRVRBXzVZUi42LzMwLzIwMTgBAAAAl8C6AQIAAAASLTAuNTg0NjI0NTQ5MTMxMDY2AOxK4Zt5A9YIfkHLnHkD1ggrQ0lRLklRVFI1NjAyNTAyNjYuSVFfVFJfVE9UQUxfR1JPU1NfVFYuLlVTRAEAAACavWQhAgAAAAQ3My41AQYAAAAFAAAAAjU0AQAAAAYxMDIwODgCAAAACTU2MDI1MDI2NgMA</t>
  </si>
  <si>
    <t>AAAJNTc1Nzk0MTUwBAAAAAMxNjAGAAAABUZhbHNlNtFxl3kD1gjnm86ceQPWCDlDSVEuTkFTREFRQ006QVNNQi5JUV9UT1RBTF9SRVYuMTk5Ni42LzMwLzIwMTguTEZSLkYuVVNELkgBAAAAEInxBQIAAAAIMC42ODQzNjkBCAAAAAUAAAABMQEAAAAKMTg4NzIzNTA2NQMAAAADMTYwAgAAAAIyOAQAAAABMAcAAAAJNi8zMC8yMDE4CAAAAAkzLzMxLzIwMTcJAAAAATDt/OCbeQPWCPHazJx5A9YIRkNJUS5OQVNEQVFHUzpaRkdOLklRX01JTk9SSVRZX0lOVEVSRVNUX1RPVEFMLjIwMDAuMS81LzIwMTguTEZSLkYuVVNELkgBAAAAl8C6AQMAAAAAAPAj4Zt5A9YIgRrLnHkD1gghQ0lRLklRVFIyMDg2NDA1NTMuSVFfVFJfQlVZRVJOQU1FAQAAACmabwwDAAAAHlVwc2hlci1TbWl0aCBMYWJvcmF0b3JpZXMsIExMQwBoC3KXeQPWCNMe0Zx5A9YIO0NJUS5PVENQSzpORVhTLklRX1RPVEFMX0VRVUlUWS5DWTIwMTcuNi8zMC8yMDE4LkxGUi5GLlVTRC5IAQAAAB29ThQDAAAAAAAyGCCaeQPWCKnFxZx5A9YIOkNJUS5OQVNEQVFDTTpBVlhMLklRX0VBUk5JTkdfQ08uMTk5Ni42LzMwLzIwMTguTEZSLkYuVVNELkgBAAAAYzjPAAIAAAAKLTEzLjQ0NzEzNAEIAAAABQAAAAExAQAAAAoxODg4NTA0MjU4AwAAAAMxNjACAAAAATcEAAAAATAHAAAACTYvMzAvMjAxOAgAAAAJMy8zMS8yMDE3CQAAAAEwt90fmnkD1ggbhMic</t>
  </si>
  <si>
    <t>eQPWCCdDSVEuTkFTREFRQ006QVZYTC5JUV9CRVRBXzFZUi42LzMwLzIwMTgBAAAAYzjPAAIAAAAQMS44NDcyMzU2OTQxNzAwMgCveSCaeQPWCKqXyJx5A9YIOUNJUS5OQVNEQVFHUzpaRkdOLklRX1RPVEFMX1JFVi4xOTk2LjYvMzAvMjAxOC5MRlIuRi5VU0QuSAEAAACXwLoBAwAAAAAAchDhm3kD1gh5j8uceQPWCCNDSVEuSVFUUjU0MTI4MzcwMC5JUV9UUl9UT1RBTF9TVE9DSwEAAAB0VUMgAgAAAAAANtFxl3kD1ghi1s6ceQPWCDVDSVEuTkFTREFRQ006QVNNQi5JUV9DQVBFWC4yMDAwLjYvMzAvMjAxOC5MRlIuRi5VU0QuSAEAAAAQifEFAgAAAAktMC45MDQxMjQBCAAAAAUAAAABMQEAAAAKMTg4NzIzNTA3OAMAAAADMTYwAgAAAAQyMDIxBAAAAAEwBwAAAAk2LzMwLzIwMTgIAAAACTMvMzEvMjAxOAkAAAABMO384Jt5A9YI8YzMnHkD1ggeQ0lRLklRMzYxODM4MzQuSVFfQ09NUEFOWV9OQU1FAQAAABofKAIDAAAAMVVuaXRlZCBTdGF0ZXMgVHJlYXN1cnkgQ29uc3RhbnQgTWF0dXJpdHkgLSA3IFllYXIAsb1xl3kD1gjuIMyXeQPWCDpDSVEuT1RDUEs6TkVYUy5JUV9SRVZFTlVFX0VTVC5DWTIwMTkuNi8zMC8yMDE4LkNPTi5GLlVTRC5IAQAAAB29ThQDAAAAAAA2ox+aeQPWCKgTxpx5A9YIJUNJUS5OQVNEQVFDTTpBVlhMLklRX0ZJUlNUUFJJQ0lOR0RBVEUBAAAAYzjPAAUAAAAJNC8xMy8yMDA2ALuP</t>
  </si>
  <si>
    <t>H5p5A9YIFvnInHkD1ggiQ0lRLkFNRVg6U1lOLklRX1BFUklPRERBVEVfSVMuMTAwMAEAAABtsHQBBQAAAAoxMi8zMS8yMDE3ALcEIJp5A9YIpf3GnHkD1gg2Q0lRLk9UQ1BLOk5FWFMuSVFfVE9UQUxfUkVWLjIwMDAuNi8zMC8yMDE4LkxGUi5GLlVTRC5IAQAAAB29ThQDAAAAAAAyGCCaeQPWCCYnxpx5A9YIQ0NJUS4oSU5WQUxJRCBJREVOVElGSUVSKS5JUV9UT1RBTF9FUVVJVFkuMjAwMC42LzMwLzIwMTguTEZSLkYuVVNELkgFAAAAAAAAAAgAAAAUKEludmFsaWQgSWRlbnRpZmllcikxZiCaeQPWCLRmxJx5A9YIPENJUS5OQVNEQVFHUzpWWUdSLklRX0VCSVREQV9FU1QuQ1kyMDE4LjYvMzAvMjAxOC5DT04uRi5VU0QuSAEAAABezE8PAgAAAActOTEuOTAyAQ4AAAAFAAAAAjExAQAAAAEwAgAAAAoxMDAzMjQzNDM4AwAAAAYxMDAxODcEAAAAATIGAAAAATAHAAAAAzE2MAgAAAABMAkAAAABMQoAAAABMAsAAAALMTA5MzU2MzYyMjEMAAAAATcNAAAACDcvMS8yMDE4EAAAAAk2LzMwLzIwMThuN+GbeQPWCPYXzJx5A9YIQ0NJUS5PVENQSzpORVhTLklRX1RPVEFMX1JFVl81WVJfQU5OX0NBR1IuMjAwMC42LzMwLzIwMTguTEZSLkYuVVNELkgBAAAAHb1OFAMAAAAAADIYIJp5A9YIrZ7FnHkD1gg3Q0lRLk9UQ1BLOk5FWFMuSVFfRUFSTklOR19DTy4xOTk2LjYvMzAvMjAxOC5MRlIuRi5VU0QuSAEAAAAdvU4U</t>
  </si>
  <si>
    <t>AgAAAAktMS4yNjcxMTEBCAAAAAUAAAABMQEAAAAKMTg2Mjg2MzA4NgMAAAADMTYwAgAAAAE3BAAAAAEwBwAAAAk2LzMwLzIwMTgIAAAACTUvMzEvMjAxNgkAAAABMDIYIJp5A9YIqcXFnHkD1ggwQ0lRLklRVFIyNzg4ODM3MTYuSVFfVFJfVEFSR0VUX0VCSVREQV9FU1QuLlVTRC5IAQAAAIRtnxACAAAACC0zOC4zODAyAGgLcpd5A9YIVr3QnHkD1ggqQ0lRLklRVFIzNDA3MDQ4NjUuSVFfVFJfVEFSR0VUX0VCSVQuLlVTRC5IAQAAAGG+ThQCAAAACS0wLjAyODk4MgEGAAAABQAAAAIzNwEAAAAKMTc5MDU1NDIxNwIAAAAFMjE2NzUDAAAAAzE2MAQAAAABMAcAAAAIMS8xLzE5MDAy+HGXeQPWCFv6z5x5A9YIRkNJUS5OQVNEQVFHTTpSWVRNLklRX1RPVEFMX1JFVl81WVJfQU5OX0NBR1IuMjAwMC42LzMwLzIwMTguTEZSLkYuVVNELkgBAAAAGMltEgMAAAAAAO384Jt5A9YI8AHNnHkD1gghQ0lRLk5BU0RBUUNNOlJUVFIuSVFfQ09NUEFOWV9OQU1FAQAAAB+aswMDAAAAHFJpdHRlciBQaGFybWFjZXV0aWNhbHMsIEluYy4ALXwfmnkD1gitnsWceQPWCCVDSVEuTkFTREFRR1M6WkZHTi5JUV9GSVJTVFBSSUNJTkdEQVRFAQAAAJfAugEFAAAACTYvMjAvMjAxNADx1eCbeQPWCPuiy5x5A9YIHUNJUS4lVVNQTVJULklRX0xBU1RTQUxFUFJJQ0UuAQAAAFntWgACAAAAATUA8dXgm3kD1gjx1eCbeQPWCCNDSVEuSVFU</t>
  </si>
  <si>
    <t>UjMxODU0MjIxMC5JUV9UUl9DTE9TRURfREFURQEAAACCkfwSBQAAAAgyLzQvMjAxNgAy+HGXeQPWCNmQzpd5A9YILkNJUS5JUVRSMzg0MDI4NDk2LklRX1RSX1RBUkdFVF9TVE9DS1BSRU1JVU1fMU0BAAAAUM/jFgIAAAAGMTM5LjE4AQYAAAAFAAAAAjU0AQAAAAYxMDEwNTUCAAAACTM4NDAyODQ5NgMAAAAJNDA3Mjc1Nzc2BAAAAAMxNjAGAAAABUZhbHNlseRxl3kD1gjiN8+ceQPWCDVDSVEuQU1FWDpTWU4uSVFfRUFSTklOR19DTy4yMDAwLjYvMzAvMjAxOC5MRlIuRi5VU0QuSAEAAABtsHQBAgAAAAYtMTQuNzYBCAAAAAUAAAABMQEAAAAKMTg4NzQwODcyNgMAAAADMTYwAgAAAAE3BAAAAAEwBwAAAAk2LzMwLzIwMTgIAAAACTMvMzEvMjAxOAkAAAABMLcEIJp5A9YIInXGnHkD1gg4Q0lRLkFNRVg6U1lOLklRX1JFVkVOVUVfRVNULkNZMjAyMS42LzMwLzIwMTguQ09OLkYuVVNELkgBAAAAbbB0AQIAAAABMAEOAAAABQAAAAIxMQEAAAABMAIAAAAKMTAwMTk0ODMwNwMAAAAGMTAwMTgwBAAAAAEyBgAAAAEwBwAAAAMxNjAIAAAAATAJAAAAATEKAAAAATALAAAACzEwODg5MDEzMTI4DAAAAAE3DQAAAAg3LzEvMjAxOBAAAAAJNi8zMC8yMDE4NqMfmnkD1gghw8aceQPWCCJDSVEuLklRX1RSX0lNUExJRURfRVZfRklOQUwuLlVTRC5IBQAAAAEAAAAIAAAAFChJbnZhbGlkIElkZW50aWZpZXIpbMLgm3kD1ghs</t>
  </si>
  <si>
    <t>wuCbeQPWCDZDSVEuTkFTREFRQ006QVNNQi5JUV9FQklUREEuMTk5Mi42LzMwLzIwMTguTEZSLkYuVVNELkgBAAAAEInxBQIAAAAKLTMzLjY1OTkyMQEIAAAABQAAAAExAQAAAAoxODQwNjUzMzQ5AwAAAAMxNjACAAAABDQwNTEEAAAAATAHAAAACTYvMzAvMjAxOAgAAAAJMy8zMS8yMDE2CQAAAAEw7fzgm3kD1ghvx8yceQPWCDlDSVEuTkFTREFRR1M6QUNBRC5JUV9UT1RBTF9SRVYuMTk5Mi42LzMwLzIwMTguTEZSLkYuVVNELkgBAAAAwW4KAAIAAAAFMC4wNjEBCAAAAAUAAAABMQEAAAAKMTg0MTU4NzUxOQMAAAADMTYwAgAAAAIyOAQAAAABMAcAAAAJNi8zMC8yMDE4CAAAAAkzLzMxLzIwMTYJAAAAATDx1eCbeQPWCGc6zpx5A9YIPUNJUS5OQVNEQVFHUzpBQ0FELklRX1JFVkVOVUVfRVNULkNZMjAyMS42LzMwLzIwMTguQ09OLkYuVVNELkgBAAAAwW4KAAIAAAAKMTQyNS42OTMzMwEOAAAABQAAAAIxMQEAAAABMAIAAAAKMTAwMTY4Nzc5NgMAAAAGMTAwMTgwBAAAAAEyBgAAAAEwBwAAAAMxNjAIAAAAATAJAAAAATEKAAAAATALAAAACzEwODY4NzM3MjQ3DAAAAAE3DQAAAAg3LzEvMjAxOBAAAAAJNi8zMC8yMDE4bjfhm3kD1gjpJs6ceQPWCBpDSVEuVFNYVjpDT0IuVS5JUV9FWENIQU5HRQEAAAC/+wAIAwAAAARUU1hWAPHV4Jt5A9YIhFfKnHkD1gghQ0lRLklRMTM0MjgyMTc1LklRX0NPTVBBTllfVElD</t>
  </si>
  <si>
    <t>S0VSAQAAAL/7AAgDAAAAClRTWFY6Q09CLlUAsb1xl3kD1gh+E9mXeQPWCDtDSVEuTkFTREFRQ006U0xOTy5JUV9FQklUX01BUkdJTi4yMDAwLjYvMzAvMjAxOC5MRlIuRi5VU0QuSAEAAADpdSYAAwAAAAAANfEfmnkD1ggcX8eceQPWCDBDSVEuSVFUUjMyMjQ2NzYyNS5JUV9UUl9UQVJHRVRfRUJJVERBX0VTVC4uVVNELkgBAAAAKXc4EwIAAAAKLTMyLjg1NDg1NAAy+HGXeQPWCNk00Jx5A9YIOUNJUS5PVENQSzpORVhTLklRX1RPVEFMX0VRVUlUWS4xOTk2LjYvMzAvMjAxOC5MRlIuRi5VU0QuSAEAAAAdvU4UAgAAAAgtMC45MzQ2NQEIAAAABQAAAAExAQAAAAoxODYyODYzMDg2AwAAAAMxNjACAAAABDEyNzUEAAAAATAHAAAACTYvMzAvMjAxOAgAAAAJNS8zMS8yMDE2CQAAAAEwMhggmnkD1gipxcWceQPWCA==</t>
  </si>
  <si>
    <t>Adjusted Milestone Amount</t>
  </si>
  <si>
    <t>(in Years)</t>
  </si>
  <si>
    <t>Net Cash Flows (d) = (a) + (c)</t>
  </si>
  <si>
    <t>Based on the Research Collaboration and Option Agreement between the Company and Novo Nordisk A/S dated June 18, 2018 (the "Agreement").</t>
  </si>
  <si>
    <t>Fixed Research Payment Assumptions</t>
  </si>
  <si>
    <t>Phase A Research</t>
  </si>
  <si>
    <t>Phase B Research</t>
  </si>
  <si>
    <t>Net Present Value of Cash Flows</t>
  </si>
  <si>
    <t>Based on the Agreement terms, the duration for Phase A research is expected to be 2 years with an option to extend up to 6 months, whereas the duration for Phase B research is expected to 2 years with an option to extend for 1 year. We assumed the term extension as part of our duration for the fixed research payments.</t>
  </si>
  <si>
    <t>Cumulative Probability of Success (2)</t>
  </si>
  <si>
    <t>Success Probability</t>
  </si>
  <si>
    <t>Represents the cumulative probability of success for Phase A and Phase B research.</t>
  </si>
  <si>
    <r>
      <t xml:space="preserve">Start Year </t>
    </r>
    <r>
      <rPr>
        <sz val="10"/>
        <color theme="1"/>
        <rFont val="Times New Roman"/>
        <family val="1"/>
      </rPr>
      <t>(2)</t>
    </r>
  </si>
  <si>
    <r>
      <t xml:space="preserve">Success Probability </t>
    </r>
    <r>
      <rPr>
        <sz val="10"/>
        <rFont val="Times New Roman"/>
        <family val="1"/>
      </rPr>
      <t>(4)</t>
    </r>
  </si>
  <si>
    <t>Total Probability Adjusted Cash Flow</t>
  </si>
  <si>
    <r>
      <t xml:space="preserve">Milestone Amount </t>
    </r>
    <r>
      <rPr>
        <sz val="10"/>
        <rFont val="Times New Roman"/>
        <family val="1"/>
      </rPr>
      <t>(2)</t>
    </r>
  </si>
  <si>
    <t>(2), (3)</t>
  </si>
  <si>
    <r>
      <t xml:space="preserve">Success Probability </t>
    </r>
    <r>
      <rPr>
        <sz val="10"/>
        <rFont val="Times New Roman"/>
        <family val="1"/>
      </rPr>
      <t>(8)</t>
    </r>
  </si>
  <si>
    <t>Probability Adjusted Sales Milestone</t>
  </si>
  <si>
    <r>
      <t xml:space="preserve">Cumulative Success Probability </t>
    </r>
    <r>
      <rPr>
        <sz val="10"/>
        <rFont val="Times New Roman"/>
        <family val="1"/>
      </rPr>
      <t>(8)</t>
    </r>
  </si>
  <si>
    <t>Total Sales Milestone &amp; Royalty Payments</t>
  </si>
  <si>
    <t>Based on expected effective tax rate for NOVO Nordisk A/S; Source: Annual Report, 2017.</t>
  </si>
  <si>
    <t>Indication #3</t>
  </si>
  <si>
    <t>PoTS for hepatology were not available, and as a result, we considered rates for gastroenterology and adjusted these to account for the high rate of failure for NASH treatments.</t>
  </si>
  <si>
    <t>Concluded Value (Rounded)</t>
  </si>
  <si>
    <t>Quarterly Research Payments (a)</t>
  </si>
  <si>
    <t>Research Expenses as % of Total Research Payments (b)</t>
  </si>
  <si>
    <t>Crestovo's CP101 is an orally-administered, Full-Spectrum Microbiota product being evaluated in Phase II clinical trial for patients with recurrent C. difficile infection.
Source: http://finchtherapeutics.com/news/2017/10/23/finch-therapeutics-and-crestovo-announce-merger-to-form-finch-therapeutics-group-a-leading-fully-integrated-microbiome-company; 
https://clinicaltrials.gov/ct2/show/NCT03110133.</t>
  </si>
</sst>
</file>

<file path=xl/styles.xml><?xml version="1.0" encoding="utf-8"?>
<styleSheet xmlns="http://schemas.openxmlformats.org/spreadsheetml/2006/main" xmlns:mc="http://schemas.openxmlformats.org/markup-compatibility/2006" xmlns:x14ac="http://schemas.microsoft.com/office/spreadsheetml/2009/9/ac" mc:Ignorable="x14ac">
  <numFmts count="214">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_(&quot;$&quot;* #,##0.0_);_(&quot;$&quot;* \(#,##0.0\);_(&quot;$&quot;* &quot;-&quot;??_);_(@_)"/>
    <numFmt numFmtId="167" formatCode="_(* #,##0.0_);_(* \(#,##0.0\);_(* &quot;-&quot;??_);_(@_)"/>
    <numFmt numFmtId="168" formatCode="_(* #,##0.00_);_(* \(#,##0.00\);_(* &quot;-&quot;_);_(@_)"/>
    <numFmt numFmtId="169" formatCode="_(* #,##0.0_);_(* \(#,##0.0\);_(* &quot;-&quot;_);_(@_)"/>
    <numFmt numFmtId="170" formatCode="_(* #,##0.00000_);_(* \(#,##0.00000\);_(* &quot;-&quot;??_);_(@_)"/>
    <numFmt numFmtId="171" formatCode="_-* #,##0\ &quot;F&quot;_-;\-* #,##0\ &quot;F&quot;_-;_-* &quot;-&quot;\ &quot;F&quot;_-;_-@_-"/>
    <numFmt numFmtId="172" formatCode="_-&quot;$&quot;* #,##0.00_-;\-&quot;$&quot;* #,##0.00_-;_-&quot;$&quot;* &quot;-&quot;??_-;_-@_-"/>
    <numFmt numFmtId="173" formatCode="[$€-2]\ #,##0_);\([$€-2]\ #,##0\)"/>
    <numFmt numFmtId="174" formatCode="#,##0.0_);\(#,##0.0\);@_)"/>
    <numFmt numFmtId="175" formatCode="#,##0.0_);\(#,##0.0\);&quot;-&quot;?_);@_)"/>
    <numFmt numFmtId="176" formatCode="&quot;$&quot;#,##0.0_);\(&quot;$&quot;#,##0.0\);&quot;-&quot;?_);@_)"/>
    <numFmt numFmtId="177" formatCode="&quot;$&quot;#,##0.0_);\(&quot;$&quot;#,##0.0\)"/>
    <numFmt numFmtId="178" formatCode="0.0000000000000\x"/>
    <numFmt numFmtId="179" formatCode="0.00000000000000\x"/>
    <numFmt numFmtId="180" formatCode="0.000000000000000\x"/>
    <numFmt numFmtId="181" formatCode="0.0%;\-0.0%;&quot;-&quot;?_);@_)"/>
    <numFmt numFmtId="182" formatCode="0.00%;\(0.00\)%"/>
    <numFmt numFmtId="183" formatCode="0%;[Red]\(0%\)"/>
    <numFmt numFmtId="184" formatCode=";;;"/>
    <numFmt numFmtId="185" formatCode="_-&quot;$&quot;* #,##0_-;\-&quot;$&quot;* #,##0_-;_-&quot;$&quot;* &quot;-&quot;_-;_-@_-"/>
    <numFmt numFmtId="186" formatCode="_-* #,##0_-;\-* #,##0_-;_-* &quot;-&quot;_-;_-@_-"/>
    <numFmt numFmtId="187" formatCode="_(* &quot;$&quot;\ #,##0\ \ ;_(* &quot;$&quot;\ \(#,##0\)\ ;_(* &quot;-&quot;\ \ ;_(@\ "/>
    <numFmt numFmtId="188" formatCode="0.0_)\%;\(0.0\)\%;0.0_)\%;@_)_%"/>
    <numFmt numFmtId="189" formatCode="#,##0.0_)_%;\(#,##0.0\)_%;0.0_)_%;@_)_%"/>
    <numFmt numFmtId="190" formatCode="_(* #,##0\ \ ;_(* \(#,##0\)\ \ ;_(* &quot;-&quot;\ \ ;_(* @_)"/>
    <numFmt numFmtId="191" formatCode="0.0"/>
    <numFmt numFmtId="192" formatCode="#,##0.0_);\(#,##0.0\)"/>
    <numFmt numFmtId="193" formatCode="&quot;$&quot;_(#,##0.00_);&quot;$&quot;\(#,##0.00\);&quot;$&quot;_(0.00_);@_)"/>
    <numFmt numFmtId="194" formatCode="&quot;$&quot;_(#,##0.00_);&quot;$&quot;\(#,##0.00\)"/>
    <numFmt numFmtId="195" formatCode="&quot;£&quot;_(#,##0.00_);&quot;£&quot;\(#,##0.00\)"/>
    <numFmt numFmtId="196" formatCode="&quot;€&quot;_(#,##0.00_);&quot;€&quot;\(#,##0.00\)"/>
    <numFmt numFmtId="197" formatCode="&quot;£&quot;_(#,##0.00_);&quot;£&quot;\(#,##0.00\);&quot;£&quot;_(0.00_);@_)"/>
    <numFmt numFmtId="198" formatCode="&quot;€&quot;_(#,##0.00_);&quot;€&quot;\(#,##0.00\);&quot;€&quot;_(0.00_);@_)"/>
    <numFmt numFmtId="199" formatCode="&quot;DM&quot;_(#,##0.00_);&quot;DM&quot;\(#,##0.00\)"/>
    <numFmt numFmtId="200" formatCode="#,##0.00_);\(#,##0.00\);0.00_);@_)"/>
    <numFmt numFmtId="201" formatCode="_-* #,##0.00_-;\-* #,##0.00_-;_-* &quot;-&quot;??_-;_-@_-"/>
    <numFmt numFmtId="202" formatCode="\€_(#,##0.00_);\€\(#,##0.00\);\€_(0.00_);@_)"/>
    <numFmt numFmtId="203" formatCode="\£_(#,##0_);\£\(#,##0\)"/>
    <numFmt numFmtId="204" formatCode="* \L\+0.00%;* \L\-0.00%;* @\ \ "/>
    <numFmt numFmtId="205" formatCode="* \L\+0.00%;* \L\-0.00%;* &quot;-&quot;\ \ ;* @\ \ "/>
    <numFmt numFmtId="206" formatCode="#,##0_)\x;\(#,##0\)\x;0_)\x;@_)_x"/>
    <numFmt numFmtId="207" formatCode="#,##0.0_)\x;\(#,##0.0\)\x"/>
    <numFmt numFmtId="208" formatCode="#,##0.0\ \x;\(#,##0.0\)\x;@\ \ "/>
    <numFmt numFmtId="209" formatCode="#,##0.0_)\x;\(#,##0.0\)\x;0.0_)\x;@_)_x"/>
    <numFmt numFmtId="210" formatCode="#,##0.0\ \x;\(#,##0.0\)\x;@\ "/>
    <numFmt numFmtId="211" formatCode="#,##0.0\ \x;\(#,##0.0\)\x;@\ \ \x"/>
    <numFmt numFmtId="212" formatCode="#,##0_)_x;\(#,##0\)_x;0_)_x;@_)_x"/>
    <numFmt numFmtId="213" formatCode="#,##0.0_)_x;\(#,##0.0\)_x"/>
    <numFmt numFmtId="214" formatCode="#,##0.0_)_x;\(#,##0.0\)_x;0.0_)_x;@_)_x"/>
    <numFmt numFmtId="215" formatCode="0.0_)\%;\(0.0\)\%"/>
    <numFmt numFmtId="216" formatCode="* 0.0%;* \(0.0\)%;* &quot;-&quot;\ \ ;* @\ \ "/>
    <numFmt numFmtId="217" formatCode="0.0%;\(0.0\)%;@\ \ "/>
    <numFmt numFmtId="218" formatCode="#,##0.0_)_%;\(#,##0.0\)_%"/>
    <numFmt numFmtId="219" formatCode="&quot;$&quot;#,##0"/>
    <numFmt numFmtId="220" formatCode="0.000000"/>
    <numFmt numFmtId="221" formatCode="\£\ #,##0_);[Red]\(\£\ #,##0\)"/>
    <numFmt numFmtId="222" formatCode="_(\£* #,##0_);_(\£* \(#,##0\);_(\£* &quot;-&quot;_);_(@_)"/>
    <numFmt numFmtId="223" formatCode="_(\£* #,##0.0_);_(\£* \(#,##0.0\);_(\£* &quot;-&quot;_);_(@_)"/>
    <numFmt numFmtId="224" formatCode="_(\£* #,##0.00_);_(\£* \(#,##0.00\);_(\£* &quot;-&quot;_);_(@_)"/>
    <numFmt numFmtId="225" formatCode="_(* #,##0\p_);_(* \(#,##0\p\);_(* &quot;-&quot;\ \p_);_(@_)"/>
    <numFmt numFmtId="226" formatCode="_(* #,##0.00\p_);_(* \(#,##0.00\p\);_(* &quot;-&quot;\ \p_);_(@_)"/>
    <numFmt numFmtId="227" formatCode="\£#,##0.00"/>
    <numFmt numFmtId="228" formatCode="\¥\ #,##0_);[Red]\(\¥\ #,##0\)"/>
    <numFmt numFmtId="229" formatCode="0_)"/>
    <numFmt numFmtId="230" formatCode="#,##0.0;\(#,##0.0\);\-"/>
    <numFmt numFmtId="231" formatCode="#,##0.0&quot; F&quot;;\(#,##0.0&quot; F&quot;\);\-"/>
    <numFmt numFmtId="232" formatCode="0.0%;\(0.0%\);\-"/>
    <numFmt numFmtId="233" formatCode="\ "/>
    <numFmt numFmtId="234" formatCode="0.00\x"/>
    <numFmt numFmtId="235" formatCode="0.0\x"/>
    <numFmt numFmtId="236" formatCode="0.0\ \x"/>
    <numFmt numFmtId="237" formatCode="#,##0;\(#,##0\);\-"/>
    <numFmt numFmtId="238" formatCode="#,##0&quot; MF&quot;;\(#,##0&quot; MF&quot;\);\-"/>
    <numFmt numFmtId="239" formatCode="mmmm\-yy"/>
    <numFmt numFmtId="240" formatCode="0.00;[Red]0.00"/>
    <numFmt numFmtId="241" formatCode="0.0000000000000000\x"/>
    <numFmt numFmtId="242" formatCode="&quot;$&quot;#,##0.00"/>
    <numFmt numFmtId="243" formatCode="#,##0.0\ ;\(#,##0.0\)"/>
    <numFmt numFmtId="244" formatCode="0.00%;[Red]\(0.00%\)"/>
    <numFmt numFmtId="245" formatCode="#,##0.00\ ;\(#,##0.00\)"/>
    <numFmt numFmtId="246" formatCode="[$-409]d\-mmm\-yy;@"/>
    <numFmt numFmtId="247" formatCode="_(* #,##0_);_(* \(#,##0\);_(* &quot;-&quot;??_);_(@_)"/>
    <numFmt numFmtId="248" formatCode="#,##0.0_x;&quot;NM&quot;_x"/>
    <numFmt numFmtId="249" formatCode="#,##0\x_);&quot;NM&quot;_)"/>
    <numFmt numFmtId="250" formatCode="#,##0&quot; kr&quot;;[Red]\-#,##0&quot; kr&quot;"/>
    <numFmt numFmtId="251" formatCode="&quot;$&quot;0.00\ \ \ _);\(&quot;$&quot;0.00\)\ \ \ "/>
    <numFmt numFmtId="252" formatCode="0.0\ \ \ \ \ _);\(0.0\)\ \ \ \ \ "/>
    <numFmt numFmtId="253" formatCode="0.00\ \x\ \ _);\(0.00\)\ \x\ \ "/>
    <numFmt numFmtId="254" formatCode="0.00\ \ \ \ \ _);\(0.00\)\ \ \ \ \ "/>
    <numFmt numFmtId="255" formatCode="0.0\ \ \ _);\(0.0\)\ \ \ "/>
    <numFmt numFmtId="256" formatCode="[Blue]#,##0.000_);[Blue]\(#,##0.000\)"/>
    <numFmt numFmtId="257" formatCode="[Blue]&quot;$&quot;#,##0.000_);[Blue]\(&quot;$&quot;#,##0.000\)"/>
    <numFmt numFmtId="258" formatCode="&quot;$&quot;#,##0.0_);[Red]\(&quot;$&quot;#,##0.0\);&quot;$&quot;0.0_);@_)"/>
    <numFmt numFmtId="259" formatCode="#,##0;\(#,##0\);&quot; - &quot;"/>
    <numFmt numFmtId="260" formatCode="#,##0\ ;\(#,##0\);\-\ \ \ \ \ "/>
    <numFmt numFmtId="261" formatCode="#,##0\ ;\(#,##0\);\–\ \ \ \ \ "/>
    <numFmt numFmtId="262" formatCode="#,##0.00&quot;w&quot;_);[Red]\(#,##0.00&quot;w&quot;\)"/>
    <numFmt numFmtId="263" formatCode="_(* #,##0.000000_);_(* \(#,##0.000000\);_(* &quot;-&quot;??_);_(@_)"/>
    <numFmt numFmtId="264" formatCode="_(* #,##0.0000_);_(* \(#,##0.0000\);_(* &quot;-&quot;??_);_(@_)"/>
    <numFmt numFmtId="265" formatCode="_-* #,##0\ _F_-;\-* #,##0\ _F_-;_-* &quot;-&quot;\ _F_-;_-@_-"/>
    <numFmt numFmtId="266" formatCode="#,##0.0000000000;[Red]\-#,##0.0000000000"/>
    <numFmt numFmtId="267" formatCode="0.00_)"/>
    <numFmt numFmtId="268" formatCode="#,##0.0_);[Red]\(#,##0.0\)"/>
    <numFmt numFmtId="269" formatCode="#,##0_)_%;\(#,##0\)_%;"/>
    <numFmt numFmtId="270" formatCode="_(* #,##0.0_);_(* \(#,##0.0\);_(* &quot;-&quot;?_);_(@_)"/>
    <numFmt numFmtId="271" formatCode="0.000%"/>
    <numFmt numFmtId="272" formatCode="#,##0.000_);[Red]\(#,##0.000\)"/>
    <numFmt numFmtId="273" formatCode="#,##0_%_);\(#,##0\)_%;**;@_%_)"/>
    <numFmt numFmtId="274" formatCode="&quot;$&quot;* \(#,##0\);&quot;$&quot;* #,##0_);&quot;$&quot;* &quot;-&quot;??_);@_)"/>
    <numFmt numFmtId="275" formatCode="#,##0.0000,"/>
    <numFmt numFmtId="276" formatCode="_-* #,##0.00_ _k_r_-;\-* #,##0.00_ _k_r_-;_-* &quot;-&quot;??_ _k_r_-;_-@_-"/>
    <numFmt numFmtId="277" formatCode="_(&quot;$&quot;* #,##0,_);_(&quot;$&quot;* \(#,##0,\);_(&quot;$&quot;* &quot;-&quot;_);_(@_)"/>
    <numFmt numFmtId="278" formatCode="&quot;$&quot;* \(#,##0\)_%;&quot;$&quot;* #,##0_)_%;&quot;$&quot;* &quot;-&quot;??_)_%;@_)_%"/>
    <numFmt numFmtId="279" formatCode="_(* #,##0.0000,_);_(* \(#,##0.0000,\);_(* &quot;-&quot;_);_(@_)"/>
    <numFmt numFmtId="280" formatCode="&quot;$&quot;* \(#,##0.0\);&quot;$&quot;* #,##0.0_);&quot;$&quot;* &quot;-&quot;??_);@_)"/>
    <numFmt numFmtId="281" formatCode="#,##0.00_%_);\(#,##0.00\)_%;**;@_%_)"/>
    <numFmt numFmtId="282" formatCode="General_)"/>
    <numFmt numFmtId="283" formatCode="#,##0.00000000_);[Red]\(#,##0.00000000\)"/>
    <numFmt numFmtId="284" formatCode="#,##0.000000_);[Red]\(#,##0.000000\)"/>
    <numFmt numFmtId="285" formatCode="0.00_);\(0.00\);0.00"/>
    <numFmt numFmtId="286" formatCode="#,##0.0000000_);[Red]\(#,##0.0000000\)"/>
    <numFmt numFmtId="287" formatCode="&quot;$&quot;#,##0.0_);[Red]\(&quot;$&quot;#,##0.0\)"/>
    <numFmt numFmtId="288" formatCode="&quot;$&quot;#,##0_%_);\(&quot;$&quot;#,##0\)_%;&quot;$&quot;#,##0_%_);@_%_)"/>
    <numFmt numFmtId="289" formatCode="\(#,##0\)_%;#,##0_)_%;"/>
    <numFmt numFmtId="290" formatCode="&quot;$&quot;\ #,##0.00;[Red]&quot;$&quot;\ \-#,##0.00"/>
    <numFmt numFmtId="291" formatCode="\(#,##0.0\);#,##0.0_);"/>
    <numFmt numFmtId="292" formatCode="_ * #,##0_ ;_ * \-#,##0_ ;_ * &quot;-&quot;_ ;_ @_ "/>
    <numFmt numFmtId="293" formatCode="\(#,##0.0\)_%;#,##0.0_)_%;"/>
    <numFmt numFmtId="294" formatCode="_ * #,##0.00_ ;_ * \-#,##0.00_ ;_ * &quot;-&quot;??_ ;_ @_ "/>
    <numFmt numFmtId="295" formatCode="mmm\-d\-yy"/>
    <numFmt numFmtId="296" formatCode="mmm\-d\-yyyy"/>
    <numFmt numFmtId="297" formatCode="#,##0.00&quot; kr&quot;;\-#,##0.00&quot; kr&quot;"/>
    <numFmt numFmtId="298" formatCode="#,##0.000,_);[Red]\(#,##0.000,\)"/>
    <numFmt numFmtId="299" formatCode="yyyy"/>
    <numFmt numFmtId="300" formatCode="yyyy&quot;E&quot;"/>
    <numFmt numFmtId="301" formatCode="###0_);\(###0\)"/>
    <numFmt numFmtId="302" formatCode="#,##0&quot; kr&quot;;\-#,##0&quot; kr&quot;"/>
    <numFmt numFmtId="303" formatCode="&quot;$&quot;#,##0.000"/>
    <numFmt numFmtId="304" formatCode="\ #,##0\ \ \ ;\(#,##0\)\ \ ;\—\ \ \ \ "/>
    <numFmt numFmtId="305" formatCode="0.0%;[Red]\(0.0%\)"/>
    <numFmt numFmtId="306" formatCode="#,##0.00&quot; kr&quot;;[Red]\-#,##0.00&quot; kr&quot;"/>
    <numFmt numFmtId="307" formatCode="0.00_);\(0.00\)"/>
    <numFmt numFmtId="308" formatCode="#,##0.0"/>
    <numFmt numFmtId="309" formatCode="_-* #,##0&quot; kr&quot;_-;\-* #,##0&quot; kr&quot;_-;_-* &quot;-&quot;&quot; kr&quot;_-;_-@_-"/>
    <numFmt numFmtId="310" formatCode="_-* #,##0_ _k_r_-;\-* #,##0_ _k_r_-;_-* &quot;-&quot;_ _k_r_-;_-@_-"/>
    <numFmt numFmtId="311" formatCode="_-* #,##0.00&quot; kr&quot;_-;\-* #,##0.00&quot; kr&quot;_-;_-* &quot;-&quot;??&quot; kr&quot;_-;_-@_-"/>
    <numFmt numFmtId="312" formatCode="_(* #,##0.0000_);_(* \(#,##0.0000\);_(* &quot;-&quot;_);_(@_)"/>
    <numFmt numFmtId="313" formatCode="0.0\ \ "/>
    <numFmt numFmtId="314" formatCode="&quot;$&quot;#,##0.0_);&quot;$&quot;\(#,##0.0\)"/>
    <numFmt numFmtId="315" formatCode="_(* #,##0.00\ ___);_(* \(#,##0.00\ __\);_(* &quot;-&quot;??_);_(@_)"/>
    <numFmt numFmtId="316" formatCode="_(* #,##0\ \x_);_(* \(#,##0\ \x\);_(* &quot;-&quot;??_);_(@_)"/>
    <numFmt numFmtId="317" formatCode="_(* #,##0\ ___);_(* \(#,##0\ __\);_(* &quot;-&quot;??_);_(@_)"/>
    <numFmt numFmtId="318" formatCode="_(* #,##0.0\ ___);_(* \(#,##0.0\ __\);_(* &quot;-&quot;??_);_(@_)"/>
    <numFmt numFmtId="319" formatCode="* #,##0_);* \(\ #,##0_);* \-"/>
    <numFmt numFmtId="320" formatCode="0.0_)_x;\(0.0\)_x"/>
    <numFmt numFmtId="321" formatCode="&quot;$&quot;#,##0.0;[Red]\-&quot;$&quot;#,##0.0"/>
    <numFmt numFmtId="322" formatCode="#,##0.0_)\ \ ;[Red]\(#,##0.0\)\ \ "/>
    <numFmt numFmtId="323" formatCode="&quot;$&quot;#,##0.0000"/>
    <numFmt numFmtId="324" formatCode="0.0%;\(0.0%\)"/>
    <numFmt numFmtId="325" formatCode="\(#,##0.00\);#,##0.00_);"/>
    <numFmt numFmtId="326" formatCode="\(#,##0.00\)_%;#,##0.00_)_%;"/>
    <numFmt numFmtId="327" formatCode="0.0_%"/>
    <numFmt numFmtId="328" formatCode="\(#,##0.000\);#,##0.000_);"/>
    <numFmt numFmtId="329" formatCode="\(#,##0.000\)_%;#,##0.000_)_%;"/>
    <numFmt numFmtId="330" formatCode="mm/dd/yy"/>
    <numFmt numFmtId="331" formatCode="0.00\%;\-0.00\%;0.00\%"/>
    <numFmt numFmtId="332" formatCode="_(* #,##0%_);_(* \(#,##0%\);_(* &quot;-&quot;_);_(@_)"/>
    <numFmt numFmtId="333" formatCode="0.0%&quot;Sales&quot;"/>
    <numFmt numFmtId="334" formatCode="#,##0_)&quot; %&quot;;[Red]\(#,##0\)&quot; %&quot;"/>
    <numFmt numFmtId="335" formatCode="_(* &quot;$&quot;#,##0.0_);_(* &quot;$&quot;\(#,##0.0\);_(* &quot;$&quot;\ &quot;-&quot;_);_(@_)"/>
    <numFmt numFmtId="336" formatCode="0.00\x;\-0.00\x;0.00\x"/>
    <numFmt numFmtId="337" formatCode="#,##0.00;[Red]\(#,##0.00\)"/>
    <numFmt numFmtId="338" formatCode="_(&quot;SGD&quot;\ * #,##0.00_);_(&quot;SGD&quot;\ * \(#,##0.00\);_(* &quot;-&quot;_);_(@_)"/>
    <numFmt numFmtId="339" formatCode="0_%_);\(0\)_%;0_%_);@_%_)"/>
    <numFmt numFmtId="340" formatCode="&quot;$&quot;#,##0.0"/>
    <numFmt numFmtId="341" formatCode="[$-409]mmmm\ d\,\ yyyy;@"/>
    <numFmt numFmtId="342" formatCode="#0.0%_);\(#0.0%\)"/>
    <numFmt numFmtId="343" formatCode="#,##0\ &quot;DM&quot;;[Red]\-#,##0\ &quot;DM&quot;"/>
    <numFmt numFmtId="344" formatCode="_(\ #,##0_);_(\ \(#,##0\);_(\ &quot;-&quot;_);_(@_)"/>
    <numFmt numFmtId="345" formatCode="#0.0\x"/>
    <numFmt numFmtId="346" formatCode="#0.00\x"/>
    <numFmt numFmtId="347" formatCode="0.0\ \x\ "/>
    <numFmt numFmtId="348" formatCode="_-#,##0&quot; £/GJ&quot;"/>
    <numFmt numFmtId="349" formatCode="_-#,##0&quot; £/t&quot;"/>
    <numFmt numFmtId="350" formatCode="_-#,##0&quot;°&quot;"/>
    <numFmt numFmtId="351" formatCode="_-#\,##0&quot;°&quot;"/>
    <numFmt numFmtId="352" formatCode="0_);\(0\)"/>
    <numFmt numFmtId="353" formatCode="0.00\ ;\(0.00\)"/>
    <numFmt numFmtId="354" formatCode="_(&quot;$&quot;* #,##0.0_);_(* \(#,##0.0\);_(&quot;$&quot;* &quot;0.0&quot;_);_(@_)"/>
    <numFmt numFmtId="355" formatCode="_(&quot;$&quot;* #,##0.0_);_(&quot;$&quot;* \(#,##0.0\);_(&quot;$&quot;* &quot;-&quot;?_);_(@_)"/>
    <numFmt numFmtId="356" formatCode="&quot;$&quot;#,##0_);[Red]\(&quot;$&quot;#,##0\);0_);@_)"/>
    <numFmt numFmtId="357" formatCode="0.0_x_);\(0.0\)_x"/>
    <numFmt numFmtId="358" formatCode="#,##0;\(#,##0\)"/>
    <numFmt numFmtId="359" formatCode="#,##0_}&quot;bar&quot;;\(#,##0\)&quot;bar&quot;"/>
    <numFmt numFmtId="360" formatCode="0.00000"/>
    <numFmt numFmtId="361" formatCode="\«#,##0;_(* #,##0;_(* &quot;-&quot;??_);_(@_)"/>
    <numFmt numFmtId="362" formatCode="#,##0\ \ \ ;[Red]\(#,##0\)\ \ ;\—\ \ \ \ "/>
    <numFmt numFmtId="363" formatCode="#,##0.0\%_);\(#,##0.0\%\);#,##0.0\%_);@_%_)"/>
    <numFmt numFmtId="364" formatCode="#,##0.00_);\(#,##0.00\);_(* &quot;-&quot;_)"/>
    <numFmt numFmtId="365" formatCode="#,##0.0\x"/>
    <numFmt numFmtId="366" formatCode="_(* #,##0.000_);_(* \(#,##0.000\);_(* &quot;-&quot;??_);_(@_)"/>
    <numFmt numFmtId="367" formatCode="&quot;More Than &quot;0,000.0"/>
    <numFmt numFmtId="368" formatCode="dddd\,\ mmmm\ dd\,\ yyyy"/>
    <numFmt numFmtId="369" formatCode="#,##0%;[Red]\(#,##0%\)"/>
  </numFmts>
  <fonts count="332">
    <font>
      <sz val="10"/>
      <color theme="1"/>
      <name val="Garamond"/>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8"/>
      <color indexed="12"/>
      <name val="Arial"/>
      <family val="2"/>
    </font>
    <font>
      <sz val="8"/>
      <name val="Helv"/>
    </font>
    <font>
      <sz val="10"/>
      <name val="Arial"/>
      <family val="2"/>
    </font>
    <font>
      <sz val="10"/>
      <name val="Times New Roman"/>
      <family val="1"/>
      <charset val="204"/>
    </font>
    <font>
      <sz val="10"/>
      <name val="Arial"/>
      <family val="2"/>
      <charset val="204"/>
    </font>
    <font>
      <sz val="12"/>
      <name val="Arial"/>
      <family val="2"/>
    </font>
    <font>
      <sz val="10"/>
      <name val="Times New Roman"/>
      <family val="1"/>
    </font>
    <font>
      <sz val="10"/>
      <name val="Arial Narrow"/>
      <family val="2"/>
    </font>
    <font>
      <sz val="10"/>
      <name val="Geneva"/>
      <family val="2"/>
    </font>
    <font>
      <sz val="10"/>
      <name val="Geneva"/>
    </font>
    <font>
      <sz val="8"/>
      <name val="MS Serif"/>
      <family val="1"/>
    </font>
    <font>
      <sz val="8"/>
      <name val="Times New Roman"/>
      <family val="1"/>
    </font>
    <font>
      <sz val="10"/>
      <name val="David"/>
      <family val="2"/>
      <charset val="177"/>
    </font>
    <font>
      <sz val="10"/>
      <color indexed="8"/>
      <name val="MS Sans Serif"/>
      <family val="2"/>
    </font>
    <font>
      <sz val="9"/>
      <name val="Arial"/>
      <family val="2"/>
    </font>
    <font>
      <sz val="9"/>
      <name val="Times New Roman"/>
      <family val="1"/>
    </font>
    <font>
      <sz val="10"/>
      <name val="Courier"/>
      <family val="3"/>
    </font>
    <font>
      <sz val="10"/>
      <name val="MS Sans Serif"/>
      <family val="2"/>
    </font>
    <font>
      <sz val="11"/>
      <name val="Arial"/>
      <family val="2"/>
    </font>
    <font>
      <sz val="8"/>
      <name val="Arial Narrow"/>
      <family val="2"/>
    </font>
    <font>
      <sz val="12"/>
      <name val="宋体"/>
      <charset val="134"/>
    </font>
    <font>
      <b/>
      <sz val="9"/>
      <name val="Arial"/>
      <family val="2"/>
    </font>
    <font>
      <b/>
      <sz val="10"/>
      <color indexed="9"/>
      <name val="Arial"/>
      <family val="2"/>
    </font>
    <font>
      <b/>
      <sz val="22"/>
      <color indexed="18"/>
      <name val="Arial"/>
      <family val="2"/>
    </font>
    <font>
      <sz val="8"/>
      <color indexed="12"/>
      <name val="Arial Narrow"/>
      <family val="2"/>
    </font>
    <font>
      <b/>
      <sz val="11"/>
      <color indexed="9"/>
      <name val="Arial"/>
      <family val="2"/>
    </font>
    <font>
      <b/>
      <sz val="10"/>
      <name val="Arial"/>
      <family val="2"/>
    </font>
    <font>
      <sz val="9"/>
      <color indexed="8"/>
      <name val="Arial"/>
      <family val="2"/>
    </font>
    <font>
      <sz val="12"/>
      <name val="Times New Roman"/>
      <family val="1"/>
    </font>
    <font>
      <b/>
      <sz val="10"/>
      <name val="Verdana"/>
      <family val="2"/>
    </font>
    <font>
      <b/>
      <sz val="8"/>
      <color indexed="9"/>
      <name val="Arial"/>
      <family val="2"/>
    </font>
    <font>
      <b/>
      <sz val="14"/>
      <name val="Arial"/>
      <family val="2"/>
    </font>
    <font>
      <sz val="8"/>
      <name val="Arial"/>
      <family val="2"/>
    </font>
    <font>
      <i/>
      <sz val="8"/>
      <name val="Arial"/>
      <family val="2"/>
    </font>
    <font>
      <b/>
      <i/>
      <sz val="8"/>
      <color indexed="18"/>
      <name val="Arial"/>
      <family val="2"/>
    </font>
    <font>
      <i/>
      <sz val="10"/>
      <name val="Arial"/>
      <family val="2"/>
    </font>
    <font>
      <b/>
      <sz val="14"/>
      <color indexed="18"/>
      <name val="Arial"/>
      <family val="2"/>
    </font>
    <font>
      <b/>
      <sz val="10"/>
      <color indexed="18"/>
      <name val="Arial"/>
      <family val="2"/>
    </font>
    <font>
      <b/>
      <sz val="9"/>
      <color indexed="8"/>
      <name val="Arial"/>
      <family val="2"/>
    </font>
    <font>
      <b/>
      <sz val="8"/>
      <color indexed="8"/>
      <name val="Arial Narrow"/>
      <family val="2"/>
    </font>
    <font>
      <b/>
      <u val="singleAccounting"/>
      <sz val="10"/>
      <color indexed="18"/>
      <name val="Arial"/>
      <family val="2"/>
    </font>
    <font>
      <b/>
      <u val="singleAccounting"/>
      <sz val="8"/>
      <name val="Arial Narrow"/>
      <family val="2"/>
    </font>
    <font>
      <b/>
      <sz val="10"/>
      <name val="MS Sans Serif"/>
      <family val="2"/>
    </font>
    <font>
      <sz val="11"/>
      <name val="Miriam"/>
      <family val="2"/>
      <charset val="177"/>
    </font>
    <font>
      <sz val="12"/>
      <name val="Times New Roman"/>
      <family val="1"/>
      <charset val="177"/>
    </font>
    <font>
      <sz val="8"/>
      <color indexed="8"/>
      <name val="Times New Roman"/>
      <family val="1"/>
    </font>
    <font>
      <sz val="8"/>
      <color indexed="14"/>
      <name val="Times New Roman"/>
      <family val="1"/>
    </font>
    <font>
      <sz val="11"/>
      <name val="Times New Roman"/>
      <family val="1"/>
    </font>
    <font>
      <sz val="8"/>
      <name val="Helvetica"/>
      <family val="2"/>
    </font>
    <font>
      <u/>
      <sz val="10"/>
      <color indexed="36"/>
      <name val="Arial"/>
      <family val="2"/>
    </font>
    <font>
      <sz val="10"/>
      <name val="Palatino"/>
      <family val="1"/>
    </font>
    <font>
      <sz val="10"/>
      <color indexed="8"/>
      <name val="Palatino"/>
      <family val="1"/>
    </font>
    <font>
      <u/>
      <sz val="10"/>
      <name val="Arial"/>
      <family val="2"/>
    </font>
    <font>
      <sz val="8"/>
      <name val="Antique Olive"/>
      <family val="2"/>
    </font>
    <font>
      <sz val="8"/>
      <name val="Geneva"/>
      <family val="2"/>
    </font>
    <font>
      <sz val="11"/>
      <color indexed="8"/>
      <name val="Calibri"/>
      <family val="2"/>
    </font>
    <font>
      <sz val="11"/>
      <color indexed="13"/>
      <name val="Calibri"/>
      <family val="2"/>
    </font>
    <font>
      <sz val="11"/>
      <color indexed="8"/>
      <name val="맑은 고딕"/>
      <family val="3"/>
      <charset val="129"/>
    </font>
    <font>
      <sz val="11"/>
      <color theme="0"/>
      <name val="Calibri"/>
      <family val="2"/>
      <scheme val="minor"/>
    </font>
    <font>
      <sz val="11"/>
      <color indexed="9"/>
      <name val="Calibri"/>
      <family val="2"/>
    </font>
    <font>
      <sz val="11"/>
      <color indexed="9"/>
      <name val="맑은 고딕"/>
      <family val="3"/>
      <charset val="129"/>
    </font>
    <font>
      <b/>
      <sz val="12"/>
      <color indexed="8"/>
      <name val="Times New Roman"/>
      <family val="1"/>
    </font>
    <font>
      <sz val="8"/>
      <name val="Times"/>
      <family val="1"/>
    </font>
    <font>
      <sz val="8"/>
      <name val="Tahoma"/>
      <family val="2"/>
    </font>
    <font>
      <sz val="14"/>
      <name val="Arial"/>
      <family val="2"/>
    </font>
    <font>
      <b/>
      <sz val="6"/>
      <name val="Arial"/>
      <family val="2"/>
    </font>
    <font>
      <b/>
      <sz val="8"/>
      <name val="Arial"/>
      <family val="2"/>
    </font>
    <font>
      <sz val="11"/>
      <color rgb="FF9C0006"/>
      <name val="Calibri"/>
      <family val="2"/>
      <scheme val="minor"/>
    </font>
    <font>
      <sz val="11"/>
      <color indexed="20"/>
      <name val="Calibri"/>
      <family val="2"/>
    </font>
    <font>
      <b/>
      <sz val="10"/>
      <color theme="0"/>
      <name val="Arial"/>
      <family val="2"/>
    </font>
    <font>
      <sz val="8"/>
      <name val="Tms Rmn"/>
    </font>
    <font>
      <sz val="8"/>
      <color indexed="12"/>
      <name val="Times New Roman"/>
      <family val="1"/>
    </font>
    <font>
      <b/>
      <sz val="8"/>
      <name val="Times New Roman"/>
      <family val="1"/>
    </font>
    <font>
      <b/>
      <i/>
      <sz val="8"/>
      <name val="Frutiger 55"/>
    </font>
    <font>
      <sz val="7"/>
      <name val="Swis721 BlkCn BT"/>
      <family val="2"/>
    </font>
    <font>
      <b/>
      <sz val="8"/>
      <name val="Frutiger 55"/>
      <family val="2"/>
    </font>
    <font>
      <b/>
      <sz val="12"/>
      <name val="Times New Roman"/>
      <family val="1"/>
    </font>
    <font>
      <sz val="10"/>
      <name val="Helv"/>
    </font>
    <font>
      <b/>
      <sz val="11"/>
      <color indexed="52"/>
      <name val="Calibri"/>
      <family val="2"/>
    </font>
    <font>
      <b/>
      <sz val="10"/>
      <name val="MS Serif"/>
      <family val="1"/>
    </font>
    <font>
      <b/>
      <sz val="8"/>
      <color indexed="8"/>
      <name val="Verdana"/>
      <family val="2"/>
    </font>
    <font>
      <sz val="8"/>
      <color indexed="17"/>
      <name val="Times New Roman"/>
      <family val="1"/>
    </font>
    <font>
      <b/>
      <sz val="9.75"/>
      <name val="Abadi MT Condensed"/>
      <family val="2"/>
    </font>
    <font>
      <b/>
      <u val="singleAccounting"/>
      <sz val="8"/>
      <name val="Arial"/>
      <family val="2"/>
    </font>
    <font>
      <sz val="11"/>
      <name val="돋움"/>
      <family val="3"/>
      <charset val="129"/>
    </font>
    <font>
      <sz val="10"/>
      <color theme="1"/>
      <name val="Arial"/>
      <family val="2"/>
    </font>
    <font>
      <sz val="12"/>
      <color theme="1"/>
      <name val="Calibri"/>
      <family val="2"/>
      <scheme val="minor"/>
    </font>
    <font>
      <sz val="10"/>
      <name val="BERNHARD"/>
    </font>
    <font>
      <b/>
      <sz val="8"/>
      <name val="Helv"/>
    </font>
    <font>
      <sz val="24"/>
      <name val="Arial"/>
      <family val="2"/>
    </font>
    <font>
      <sz val="12"/>
      <name val="Helv"/>
    </font>
    <font>
      <sz val="10"/>
      <color indexed="8"/>
      <name val="Arial"/>
      <family val="2"/>
    </font>
    <font>
      <b/>
      <sz val="14"/>
      <color indexed="10"/>
      <name val="Times New Roman"/>
      <family val="1"/>
    </font>
    <font>
      <b/>
      <sz val="7"/>
      <color indexed="12"/>
      <name val="Helvetica"/>
      <family val="2"/>
    </font>
    <font>
      <sz val="9"/>
      <name val="Century Schoolbook"/>
      <family val="1"/>
    </font>
    <font>
      <sz val="9"/>
      <color indexed="9"/>
      <name val="Geneva"/>
    </font>
    <font>
      <sz val="12"/>
      <color indexed="9"/>
      <name val="Helv"/>
    </font>
    <font>
      <sz val="10"/>
      <color indexed="8"/>
      <name val="Trade Gothic LT Com"/>
      <family val="2"/>
    </font>
    <font>
      <i/>
      <sz val="12"/>
      <color indexed="9"/>
      <name val="Helv"/>
    </font>
    <font>
      <b/>
      <sz val="14"/>
      <color indexed="9"/>
      <name val="Helv"/>
    </font>
    <font>
      <b/>
      <sz val="12"/>
      <name val="Arial"/>
      <family val="2"/>
    </font>
    <font>
      <b/>
      <u/>
      <sz val="8"/>
      <color indexed="8"/>
      <name val="Tahoma"/>
      <family val="2"/>
    </font>
    <font>
      <sz val="14"/>
      <color indexed="8"/>
      <name val="Times New Roman"/>
      <family val="1"/>
    </font>
    <font>
      <b/>
      <sz val="11"/>
      <name val="Arial"/>
      <family val="2"/>
    </font>
    <font>
      <b/>
      <sz val="12"/>
      <color indexed="8"/>
      <name val="Arial"/>
      <family val="2"/>
    </font>
    <font>
      <u/>
      <sz val="10"/>
      <color indexed="12"/>
      <name val="Arial"/>
      <family val="2"/>
    </font>
    <font>
      <sz val="10"/>
      <name val="R Frutiger Roman"/>
    </font>
    <font>
      <sz val="8"/>
      <color indexed="39"/>
      <name val="Arial"/>
      <family val="2"/>
    </font>
    <font>
      <sz val="10"/>
      <color indexed="12"/>
      <name val="Times New Roman"/>
      <family val="1"/>
    </font>
    <font>
      <sz val="10"/>
      <color indexed="12"/>
      <name val="Arial"/>
      <family val="2"/>
    </font>
    <font>
      <sz val="10"/>
      <color indexed="17"/>
      <name val="Arial"/>
      <family val="2"/>
    </font>
    <font>
      <u/>
      <sz val="8"/>
      <color indexed="12"/>
      <name val="MS Sans Serif"/>
      <family val="2"/>
    </font>
    <font>
      <b/>
      <sz val="36"/>
      <name val="Times New Roman"/>
      <family val="1"/>
    </font>
    <font>
      <u val="doubleAccounting"/>
      <sz val="10"/>
      <name val="Arial"/>
      <family val="2"/>
    </font>
    <font>
      <sz val="8"/>
      <color indexed="8"/>
      <name val="Helv"/>
      <family val="2"/>
    </font>
    <font>
      <b/>
      <sz val="8"/>
      <color indexed="72"/>
      <name val="Arial"/>
      <family val="2"/>
    </font>
    <font>
      <sz val="10"/>
      <color indexed="39"/>
      <name val="Arial"/>
      <family val="2"/>
    </font>
    <font>
      <i/>
      <sz val="8"/>
      <name val="Times New Roman"/>
      <family val="1"/>
    </font>
    <font>
      <sz val="9"/>
      <color indexed="12"/>
      <name val="Arial"/>
      <family val="2"/>
    </font>
    <font>
      <b/>
      <sz val="8"/>
      <color indexed="18"/>
      <name val="Times New Roman"/>
      <family val="1"/>
    </font>
    <font>
      <b/>
      <sz val="14"/>
      <name val="Times New Roman"/>
      <family val="1"/>
    </font>
    <font>
      <b/>
      <sz val="10"/>
      <name val="Helvetica"/>
      <family val="2"/>
    </font>
    <font>
      <sz val="8"/>
      <color indexed="10"/>
      <name val="Arial"/>
      <family val="2"/>
    </font>
    <font>
      <sz val="11"/>
      <name val="Abadi MT Condensed Extra Bold"/>
      <family val="2"/>
    </font>
    <font>
      <sz val="10"/>
      <name val="Abadi MT Condensed"/>
      <family val="2"/>
    </font>
    <font>
      <b/>
      <i/>
      <sz val="8"/>
      <name val="Arial"/>
      <family val="2"/>
    </font>
    <font>
      <sz val="8"/>
      <name val="Wingdings"/>
      <charset val="2"/>
    </font>
    <font>
      <b/>
      <sz val="8"/>
      <color indexed="16"/>
      <name val="Times New Roman"/>
      <family val="1"/>
    </font>
    <font>
      <i/>
      <sz val="12"/>
      <color indexed="12"/>
      <name val="Times New Roman"/>
      <family val="1"/>
    </font>
    <font>
      <b/>
      <sz val="9"/>
      <name val="Palatino"/>
      <family val="1"/>
    </font>
    <font>
      <sz val="9"/>
      <color indexed="21"/>
      <name val="Helvetica-Black"/>
    </font>
    <font>
      <b/>
      <i/>
      <sz val="10"/>
      <name val="Times New Roman"/>
      <family val="1"/>
    </font>
    <font>
      <b/>
      <sz val="11"/>
      <color theme="1"/>
      <name val="Calibri"/>
      <family val="2"/>
      <scheme val="minor"/>
    </font>
    <font>
      <sz val="11"/>
      <color rgb="FFFF0000"/>
      <name val="Calibri"/>
      <family val="2"/>
      <scheme val="minor"/>
    </font>
    <font>
      <sz val="10"/>
      <color theme="1"/>
      <name val="Times New Roman"/>
      <family val="1"/>
    </font>
    <font>
      <b/>
      <sz val="10"/>
      <color indexed="9"/>
      <name val="Times New Roman"/>
      <family val="1"/>
    </font>
    <font>
      <b/>
      <sz val="10"/>
      <color theme="1"/>
      <name val="Times New Roman"/>
      <family val="1"/>
    </font>
    <font>
      <b/>
      <sz val="10"/>
      <name val="Times New Roman"/>
      <family val="1"/>
    </font>
    <font>
      <sz val="10"/>
      <color indexed="17"/>
      <name val="Times New Roman"/>
      <family val="1"/>
    </font>
    <font>
      <i/>
      <sz val="10"/>
      <color theme="1"/>
      <name val="Times New Roman"/>
      <family val="1"/>
    </font>
    <font>
      <b/>
      <sz val="12"/>
      <color rgb="FF1F4E78"/>
      <name val="Times New Roman"/>
      <family val="1"/>
    </font>
    <font>
      <sz val="11"/>
      <color theme="1"/>
      <name val="Times New Roman"/>
      <family val="2"/>
    </font>
    <font>
      <b/>
      <sz val="11"/>
      <color theme="4" tint="-0.499984740745262"/>
      <name val="Times New Roman"/>
      <family val="1"/>
    </font>
    <font>
      <i/>
      <sz val="10"/>
      <color rgb="FF5A5A5A"/>
      <name val="Times New Roman"/>
      <family val="1"/>
    </font>
    <font>
      <b/>
      <sz val="10"/>
      <color indexed="17"/>
      <name val="Times New Roman"/>
      <family val="1"/>
    </font>
    <font>
      <b/>
      <u/>
      <sz val="10"/>
      <color theme="1"/>
      <name val="Times New Roman"/>
      <family val="1"/>
    </font>
    <font>
      <b/>
      <sz val="10"/>
      <color rgb="FFFFFFFF"/>
      <name val="Times New Roman"/>
      <family val="1"/>
    </font>
    <font>
      <sz val="12"/>
      <color theme="1"/>
      <name val="Times New Roman"/>
      <family val="1"/>
    </font>
    <font>
      <sz val="10"/>
      <color indexed="10"/>
      <name val="Times New Roman"/>
      <family val="1"/>
    </font>
    <font>
      <sz val="10"/>
      <color theme="0"/>
      <name val="Times New Roman"/>
      <family val="1"/>
    </font>
    <font>
      <b/>
      <sz val="10"/>
      <color indexed="12"/>
      <name val="Times New Roman"/>
      <family val="1"/>
    </font>
    <font>
      <sz val="10"/>
      <color rgb="FFFFFFFF"/>
      <name val="Times New Roman"/>
      <family val="1"/>
    </font>
    <font>
      <b/>
      <sz val="10"/>
      <color theme="0"/>
      <name val="Times New Roman"/>
      <family val="1"/>
    </font>
    <font>
      <b/>
      <i/>
      <sz val="10"/>
      <color theme="1"/>
      <name val="Times New Roman"/>
      <family val="1"/>
    </font>
    <font>
      <i/>
      <sz val="10"/>
      <color indexed="12"/>
      <name val="Times New Roman"/>
      <family val="1"/>
    </font>
    <font>
      <u/>
      <sz val="10"/>
      <color theme="1"/>
      <name val="Times New Roman"/>
      <family val="1"/>
    </font>
    <font>
      <sz val="10"/>
      <color theme="1"/>
      <name val="Garamond"/>
      <family val="2"/>
    </font>
    <font>
      <i/>
      <sz val="18"/>
      <color rgb="FF1F4E78"/>
      <name val="Times New Roman"/>
      <family val="1"/>
    </font>
    <font>
      <i/>
      <sz val="14"/>
      <color rgb="FF1F4E78"/>
      <name val="Times New Roman"/>
      <family val="1"/>
    </font>
    <font>
      <i/>
      <sz val="14"/>
      <color theme="1"/>
      <name val="Times New Roman"/>
      <family val="1"/>
    </font>
    <font>
      <i/>
      <sz val="14"/>
      <color theme="0" tint="-0.499984740745262"/>
      <name val="Times New Roman"/>
      <family val="1"/>
    </font>
    <font>
      <sz val="14"/>
      <color theme="0" tint="-0.499984740745262"/>
      <name val="Times New Roman"/>
      <family val="1"/>
    </font>
    <font>
      <sz val="11"/>
      <color theme="1"/>
      <name val="Times New Roman"/>
      <family val="1"/>
    </font>
    <font>
      <sz val="11"/>
      <color theme="4" tint="-0.499984740745262"/>
      <name val="Times New Roman"/>
      <family val="1"/>
    </font>
    <font>
      <sz val="32"/>
      <color theme="1"/>
      <name val="Times New Roman"/>
      <family val="1"/>
    </font>
    <font>
      <b/>
      <sz val="32"/>
      <color theme="4" tint="-0.499984740745262"/>
      <name val="Times New Roman"/>
      <family val="1"/>
    </font>
    <font>
      <b/>
      <sz val="24"/>
      <color rgb="FF1F4E78"/>
      <name val="Times New Roman"/>
      <family val="1"/>
    </font>
    <font>
      <sz val="10"/>
      <color rgb="FF0000FF"/>
      <name val="Times New Roman"/>
      <family val="1"/>
    </font>
    <font>
      <b/>
      <i/>
      <u/>
      <sz val="10"/>
      <name val="Times New Roman"/>
      <family val="1"/>
    </font>
    <font>
      <b/>
      <i/>
      <sz val="24"/>
      <color rgb="FF1F4E78"/>
      <name val="Times New Roman"/>
      <family val="1"/>
    </font>
    <font>
      <b/>
      <i/>
      <sz val="11"/>
      <color theme="4" tint="-0.499984740745262"/>
      <name val="Times New Roman"/>
      <family val="1"/>
    </font>
    <font>
      <i/>
      <sz val="15"/>
      <color rgb="FF1F4E78"/>
      <name val="Times New Roman"/>
      <family val="1"/>
    </font>
    <font>
      <b/>
      <sz val="10"/>
      <color rgb="FF0000FF"/>
      <name val="Times New Roman"/>
      <family val="1"/>
    </font>
    <font>
      <b/>
      <sz val="10"/>
      <color rgb="FFFF0000"/>
      <name val="Times New Roman"/>
      <family val="1"/>
    </font>
    <font>
      <sz val="11"/>
      <color rgb="FF0000FF"/>
      <name val="Times New Roman"/>
      <family val="1"/>
    </font>
    <font>
      <b/>
      <sz val="11"/>
      <color theme="1"/>
      <name val="Times New Roman"/>
      <family val="1"/>
    </font>
    <font>
      <sz val="10"/>
      <name val="Garamond"/>
      <family val="1"/>
    </font>
    <font>
      <b/>
      <i/>
      <u/>
      <sz val="10"/>
      <color theme="1"/>
      <name val="Times New Roman"/>
      <family val="1"/>
    </font>
    <font>
      <sz val="11"/>
      <color indexed="12"/>
      <name val="Times New Roman"/>
      <family val="1"/>
    </font>
    <font>
      <sz val="12"/>
      <color theme="1"/>
      <name val="Times New Roman"/>
      <family val="2"/>
    </font>
    <font>
      <sz val="10"/>
      <color indexed="16"/>
      <name val="Credit Suisse Type Roman"/>
      <family val="2"/>
    </font>
    <font>
      <sz val="10"/>
      <name val="GillSans"/>
      <family val="2"/>
    </font>
    <font>
      <sz val="10"/>
      <name val="Century Schoolbook"/>
      <family val="1"/>
    </font>
    <font>
      <sz val="10"/>
      <name val="Helv"/>
      <family val="2"/>
    </font>
    <font>
      <sz val="10"/>
      <color indexed="0"/>
      <name val="Helv"/>
    </font>
    <font>
      <sz val="10"/>
      <color indexed="9"/>
      <name val="Arial"/>
      <family val="2"/>
    </font>
    <font>
      <i/>
      <sz val="10"/>
      <color indexed="13"/>
      <name val="Arial"/>
      <family val="2"/>
    </font>
    <font>
      <sz val="10"/>
      <color indexed="13"/>
      <name val="Arial"/>
      <family val="2"/>
    </font>
    <font>
      <b/>
      <i/>
      <sz val="9"/>
      <name val="Arial"/>
      <family val="2"/>
    </font>
    <font>
      <sz val="12"/>
      <name val="¹ÙÅÁÃ¼"/>
      <family val="1"/>
      <charset val="129"/>
    </font>
    <font>
      <b/>
      <u/>
      <sz val="9"/>
      <color indexed="10"/>
      <name val="Times New Roman"/>
      <family val="1"/>
    </font>
    <font>
      <b/>
      <sz val="9"/>
      <color indexed="18"/>
      <name val="Times New Roman"/>
      <family val="1"/>
    </font>
    <font>
      <b/>
      <i/>
      <sz val="12"/>
      <name val="Footlight MT Light"/>
      <family val="1"/>
    </font>
    <font>
      <sz val="14"/>
      <name val="Tms Rmn"/>
    </font>
    <font>
      <b/>
      <sz val="10"/>
      <name val="Footlight MT Light"/>
      <family val="1"/>
    </font>
    <font>
      <i/>
      <sz val="11"/>
      <color indexed="23"/>
      <name val="Calibri"/>
      <family val="2"/>
    </font>
    <font>
      <sz val="10"/>
      <name val="Book Antiqua"/>
      <family val="1"/>
    </font>
    <font>
      <sz val="10"/>
      <name val="CG Times"/>
      <family val="1"/>
    </font>
    <font>
      <b/>
      <sz val="18"/>
      <color indexed="56"/>
      <name val="Cambria"/>
      <family val="2"/>
    </font>
    <font>
      <b/>
      <sz val="12"/>
      <name val="Tms Rmn"/>
    </font>
    <font>
      <sz val="7"/>
      <name val="Ariel"/>
    </font>
    <font>
      <sz val="8"/>
      <name val="MS Sans Serif"/>
      <family val="2"/>
    </font>
    <font>
      <sz val="11"/>
      <color indexed="52"/>
      <name val="Calibri"/>
      <family val="2"/>
    </font>
    <font>
      <b/>
      <sz val="10"/>
      <color indexed="9"/>
      <name val="Trebuchet MS"/>
      <family val="2"/>
    </font>
    <font>
      <b/>
      <sz val="15"/>
      <color indexed="56"/>
      <name val="Calibri"/>
      <family val="2"/>
    </font>
    <font>
      <b/>
      <sz val="13"/>
      <color indexed="56"/>
      <name val="Calibri"/>
      <family val="2"/>
    </font>
    <font>
      <b/>
      <sz val="11"/>
      <color indexed="56"/>
      <name val="Calibri"/>
      <family val="2"/>
    </font>
    <font>
      <b/>
      <sz val="9"/>
      <color indexed="0"/>
      <name val="Arial"/>
      <family val="2"/>
    </font>
    <font>
      <sz val="9"/>
      <color indexed="0"/>
      <name val="Arial"/>
      <family val="2"/>
    </font>
    <font>
      <b/>
      <sz val="10"/>
      <color rgb="FFC00000"/>
      <name val="Times New Roman"/>
      <family val="1"/>
    </font>
    <font>
      <sz val="10"/>
      <name val="Arial"/>
      <family val="2"/>
      <charset val="1"/>
    </font>
    <font>
      <sz val="12"/>
      <color theme="1"/>
      <name val="Calibri"/>
      <family val="2"/>
      <charset val="204"/>
      <scheme val="minor"/>
    </font>
    <font>
      <sz val="8"/>
      <color indexed="8"/>
      <name val="Arial"/>
      <family val="2"/>
    </font>
    <font>
      <sz val="10"/>
      <color rgb="FF009900"/>
      <name val="Times New Roman"/>
      <family val="1"/>
    </font>
    <font>
      <sz val="10"/>
      <color rgb="FFFF0000"/>
      <name val="Times New Roman"/>
      <family val="1"/>
    </font>
    <font>
      <sz val="10"/>
      <color rgb="FF008000"/>
      <name val="Times New Roman"/>
      <family val="1"/>
    </font>
    <font>
      <sz val="12"/>
      <color rgb="FF1F4E78"/>
      <name val="Times New Roman"/>
      <family val="1"/>
    </font>
    <font>
      <sz val="8"/>
      <color rgb="FFFF0000"/>
      <name val="Times New Roman"/>
      <family val="1"/>
    </font>
    <font>
      <b/>
      <u/>
      <sz val="8"/>
      <name val="Times New Roman"/>
      <family val="1"/>
    </font>
    <font>
      <b/>
      <sz val="8"/>
      <color indexed="9"/>
      <name val="Tahoma"/>
      <family val="2"/>
    </font>
    <font>
      <i/>
      <sz val="10"/>
      <color rgb="FF0000FF"/>
      <name val="Times New Roman"/>
      <family val="1"/>
    </font>
    <font>
      <sz val="10"/>
      <color indexed="39"/>
      <name val="Times New Roman"/>
      <family val="1"/>
    </font>
    <font>
      <b/>
      <sz val="10"/>
      <color indexed="39"/>
      <name val="Times New Roman"/>
      <family val="1"/>
    </font>
    <font>
      <sz val="8"/>
      <color theme="3" tint="-0.499984740745262"/>
      <name val="Times New Roman"/>
      <family val="1"/>
    </font>
    <font>
      <b/>
      <sz val="10"/>
      <color rgb="FF008000"/>
      <name val="Times New Roman"/>
      <family val="1"/>
    </font>
    <font>
      <sz val="11"/>
      <color rgb="FF008000"/>
      <name val="Times New Roman"/>
      <family val="1"/>
    </font>
    <font>
      <u/>
      <sz val="10"/>
      <color theme="10"/>
      <name val="Garamond"/>
      <family val="2"/>
    </font>
    <font>
      <b/>
      <sz val="10"/>
      <color rgb="FF1F4E78"/>
      <name val="Times New Roman"/>
      <family val="1"/>
    </font>
    <font>
      <i/>
      <sz val="10"/>
      <color rgb="FFFF0000"/>
      <name val="Times New Roman"/>
      <family val="1"/>
    </font>
    <font>
      <sz val="18"/>
      <color theme="4" tint="-0.249977111117893"/>
      <name val="Times New Roman"/>
      <family val="1"/>
    </font>
    <font>
      <sz val="11"/>
      <color rgb="FF000000"/>
      <name val="Times New Roman"/>
      <family val="1"/>
    </font>
    <font>
      <b/>
      <sz val="10"/>
      <color indexed="10"/>
      <name val="Times New Roman"/>
      <family val="1"/>
    </font>
    <font>
      <sz val="10"/>
      <color rgb="FF0000E1"/>
      <name val="Times New Roman"/>
      <family val="1"/>
    </font>
    <font>
      <b/>
      <u/>
      <sz val="10"/>
      <name val="Times New Roman"/>
      <family val="1"/>
    </font>
    <font>
      <i/>
      <sz val="10"/>
      <name val="Times New Roman"/>
      <family val="1"/>
    </font>
    <font>
      <sz val="9"/>
      <name val="Verdana"/>
      <family val="2"/>
    </font>
    <font>
      <b/>
      <sz val="11"/>
      <color rgb="FFC00000"/>
      <name val="Times New Roman"/>
      <family val="1"/>
    </font>
    <font>
      <sz val="10"/>
      <color rgb="FFC00000"/>
      <name val="Times New Roman"/>
      <family val="1"/>
    </font>
    <font>
      <b/>
      <sz val="32"/>
      <color rgb="FFFF0000"/>
      <name val="Times New Roman"/>
      <family val="1"/>
    </font>
    <font>
      <sz val="10"/>
      <color rgb="FF000000"/>
      <name val="Times New Roman"/>
      <family val="2"/>
    </font>
    <font>
      <sz val="10"/>
      <name val="Times New Roman"/>
      <family val="1"/>
    </font>
    <font>
      <u/>
      <sz val="11"/>
      <color theme="1"/>
      <name val="Calibri"/>
      <family val="2"/>
      <scheme val="minor"/>
    </font>
    <font>
      <b/>
      <sz val="11"/>
      <color rgb="FFFF0000"/>
      <name val="Calibri"/>
      <family val="2"/>
      <scheme val="minor"/>
    </font>
    <font>
      <sz val="10"/>
      <name val="Arial"/>
      <family val="2"/>
    </font>
    <font>
      <sz val="11"/>
      <color theme="0"/>
      <name val="Arial"/>
      <family val="2"/>
    </font>
    <font>
      <sz val="11"/>
      <color theme="1"/>
      <name val="Arial"/>
      <family val="2"/>
    </font>
    <font>
      <sz val="10"/>
      <color rgb="FF222222"/>
      <name val="Arial"/>
      <family val="2"/>
    </font>
    <font>
      <b/>
      <u val="singleAccounting"/>
      <sz val="10"/>
      <name val="Times New Roman"/>
      <family val="1"/>
    </font>
    <font>
      <sz val="10"/>
      <color rgb="FF000000"/>
      <name val="Times New Roman"/>
      <family val="1"/>
    </font>
    <font>
      <sz val="8"/>
      <color theme="1"/>
      <name val="Times New Roman"/>
      <family val="1"/>
    </font>
    <font>
      <sz val="8"/>
      <color rgb="FF008000"/>
      <name val="Times New Roman"/>
      <family val="1"/>
    </font>
    <font>
      <sz val="10"/>
      <color theme="1"/>
      <name val="Calibri"/>
      <family val="2"/>
      <scheme val="minor"/>
    </font>
    <font>
      <b/>
      <sz val="8"/>
      <color rgb="FF000080"/>
      <name val="Times New Roman"/>
      <family val="1"/>
    </font>
    <font>
      <sz val="10"/>
      <color theme="0" tint="-0.249977111117893"/>
      <name val="Times New Roman"/>
      <family val="1"/>
    </font>
    <font>
      <b/>
      <sz val="12"/>
      <color rgb="FF1F5778"/>
      <name val="Times New Roman"/>
      <family val="1"/>
    </font>
    <font>
      <sz val="10"/>
      <color rgb="FF000000"/>
      <name val="Arial"/>
      <family val="2"/>
    </font>
    <font>
      <i/>
      <sz val="10"/>
      <color rgb="FF008000"/>
      <name val="Times New Roman"/>
      <family val="1"/>
    </font>
    <font>
      <sz val="10"/>
      <color rgb="FF333333"/>
      <name val="Times New Roman"/>
      <family val="1"/>
    </font>
    <font>
      <sz val="8"/>
      <color rgb="FF808080"/>
      <name val="Arial"/>
      <family val="2"/>
    </font>
    <font>
      <b/>
      <sz val="8"/>
      <color rgb="FF800000"/>
      <name val="Arial"/>
      <family val="2"/>
    </font>
    <font>
      <b/>
      <sz val="8"/>
      <color rgb="FF000080"/>
      <name val="Arial"/>
      <family val="2"/>
    </font>
    <font>
      <b/>
      <sz val="8"/>
      <color rgb="FF008000"/>
      <name val="Arial"/>
      <family val="2"/>
    </font>
    <font>
      <sz val="8"/>
      <color rgb="FF000000"/>
      <name val="Arial"/>
      <family val="2"/>
    </font>
    <font>
      <b/>
      <sz val="9"/>
      <color rgb="FF000080"/>
      <name val="Arial"/>
      <family val="2"/>
    </font>
    <font>
      <b/>
      <sz val="8"/>
      <color rgb="FF000000"/>
      <name val="Arial"/>
      <family val="2"/>
    </font>
    <font>
      <sz val="10"/>
      <color rgb="FFFFFFFF"/>
      <name val="Arial"/>
      <family val="2"/>
    </font>
    <font>
      <b/>
      <sz val="18"/>
      <color theme="4"/>
      <name val="Arial"/>
      <family val="2"/>
    </font>
    <font>
      <sz val="18"/>
      <color theme="4"/>
      <name val="Arial"/>
      <family val="2"/>
    </font>
    <font>
      <b/>
      <sz val="14"/>
      <color rgb="FFFFFFFF"/>
      <name val="Calibri"/>
      <family val="2"/>
    </font>
    <font>
      <b/>
      <sz val="11"/>
      <color rgb="FFFFFFFF"/>
      <name val="Calibri"/>
      <family val="2"/>
    </font>
    <font>
      <b/>
      <sz val="11"/>
      <color rgb="FF000000"/>
      <name val="Calibri"/>
      <family val="2"/>
    </font>
    <font>
      <sz val="11"/>
      <color rgb="FF000000"/>
      <name val="Calibri"/>
      <family val="2"/>
    </font>
    <font>
      <sz val="14"/>
      <color rgb="FFFFFFFF"/>
      <name val="Calibri"/>
      <family val="2"/>
    </font>
    <font>
      <b/>
      <sz val="16"/>
      <color rgb="FF000000"/>
      <name val="Calibri"/>
      <family val="2"/>
    </font>
    <font>
      <b/>
      <sz val="14"/>
      <color rgb="FF000000"/>
      <name val="Calibri"/>
      <family val="2"/>
    </font>
    <font>
      <b/>
      <sz val="12"/>
      <name val="Calibri"/>
      <family val="2"/>
    </font>
    <font>
      <sz val="12"/>
      <name val="Calibri"/>
      <family val="2"/>
      <scheme val="minor"/>
    </font>
    <font>
      <sz val="12"/>
      <color rgb="FF000000"/>
      <name val="Calibri"/>
      <family val="2"/>
    </font>
    <font>
      <sz val="12"/>
      <color theme="0"/>
      <name val="Calibri"/>
      <family val="2"/>
      <scheme val="minor"/>
    </font>
    <font>
      <b/>
      <sz val="11"/>
      <name val="Calibri"/>
      <family val="2"/>
    </font>
    <font>
      <sz val="11"/>
      <name val="Calibri"/>
      <family val="2"/>
    </font>
    <font>
      <sz val="11"/>
      <name val="Calibri"/>
      <family val="2"/>
      <scheme val="minor"/>
    </font>
    <font>
      <b/>
      <sz val="11"/>
      <name val="Calibri"/>
      <family val="2"/>
      <scheme val="minor"/>
    </font>
    <font>
      <i/>
      <sz val="11"/>
      <name val="Calibri"/>
      <family val="2"/>
      <scheme val="minor"/>
    </font>
    <font>
      <sz val="11"/>
      <color rgb="FFFFFFFF"/>
      <name val="Calibri"/>
      <family val="2"/>
      <scheme val="minor"/>
    </font>
    <font>
      <sz val="14"/>
      <color rgb="FF000000"/>
      <name val="Calibri"/>
      <family val="2"/>
    </font>
    <font>
      <sz val="11"/>
      <color rgb="FF000000"/>
      <name val="Calibri"/>
      <family val="2"/>
      <scheme val="minor"/>
    </font>
    <font>
      <sz val="11"/>
      <color theme="1"/>
      <name val="Calibri"/>
      <family val="2"/>
    </font>
    <font>
      <b/>
      <sz val="18"/>
      <name val="Arial"/>
      <family val="2"/>
    </font>
    <font>
      <b/>
      <sz val="18"/>
      <color rgb="FF0F3F76"/>
      <name val="Arial"/>
      <family val="2"/>
    </font>
    <font>
      <sz val="18"/>
      <color rgb="FF0F3F76"/>
      <name val="Arial"/>
      <family val="2"/>
    </font>
    <font>
      <i/>
      <sz val="11"/>
      <color theme="1"/>
      <name val="Calibri"/>
      <family val="2"/>
      <scheme val="minor"/>
    </font>
    <font>
      <sz val="12"/>
      <name val="Calibri"/>
      <family val="2"/>
    </font>
    <font>
      <b/>
      <sz val="14"/>
      <color theme="0"/>
      <name val="Calibri"/>
      <family val="2"/>
      <scheme val="minor"/>
    </font>
    <font>
      <b/>
      <sz val="12"/>
      <color theme="1"/>
      <name val="Calibri"/>
      <family val="2"/>
      <scheme val="minor"/>
    </font>
    <font>
      <b/>
      <i/>
      <sz val="12"/>
      <name val="Calibri"/>
      <family val="2"/>
    </font>
    <font>
      <i/>
      <sz val="12"/>
      <name val="Calibri"/>
      <family val="2"/>
    </font>
    <font>
      <b/>
      <i/>
      <sz val="12"/>
      <color theme="1"/>
      <name val="Times"/>
      <family val="1"/>
    </font>
    <font>
      <b/>
      <sz val="9"/>
      <color theme="1"/>
      <name val="Geneva"/>
      <family val="2"/>
    </font>
    <font>
      <b/>
      <sz val="12"/>
      <color theme="1"/>
      <name val="Times"/>
      <family val="1"/>
    </font>
    <font>
      <b/>
      <i/>
      <sz val="12"/>
      <color rgb="FF000000"/>
      <name val="Times"/>
      <family val="1"/>
    </font>
    <font>
      <sz val="12"/>
      <color theme="1"/>
      <name val="Times"/>
      <family val="1"/>
    </font>
    <font>
      <sz val="9"/>
      <color theme="1"/>
      <name val="Geneva"/>
      <family val="2"/>
    </font>
    <font>
      <sz val="12"/>
      <color rgb="FF000000"/>
      <name val="Times"/>
      <family val="1"/>
    </font>
    <font>
      <b/>
      <u val="singleAccounting"/>
      <sz val="8"/>
      <color indexed="8"/>
      <name val="Arial"/>
      <family val="2"/>
    </font>
    <font>
      <b/>
      <sz val="10"/>
      <color indexed="8"/>
      <name val="Times New Roman"/>
      <family val="1"/>
    </font>
    <font>
      <sz val="10"/>
      <color indexed="8"/>
      <name val="Times New Roman"/>
      <family val="1"/>
    </font>
    <font>
      <b/>
      <sz val="10"/>
      <color theme="1"/>
      <name val="Garamond"/>
      <family val="1"/>
    </font>
  </fonts>
  <fills count="111">
    <fill>
      <patternFill patternType="none"/>
    </fill>
    <fill>
      <patternFill patternType="gray125"/>
    </fill>
    <fill>
      <patternFill patternType="solid">
        <fgColor rgb="FFFFC7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A5A5A"/>
        <bgColor indexed="64"/>
      </patternFill>
    </fill>
    <fill>
      <patternFill patternType="solid">
        <fgColor indexed="22"/>
        <bgColor indexed="64"/>
      </patternFill>
    </fill>
    <fill>
      <patternFill patternType="solid">
        <fgColor indexed="41"/>
        <bgColor indexed="64"/>
      </patternFill>
    </fill>
    <fill>
      <patternFill patternType="solid">
        <fgColor indexed="22"/>
        <bgColor indexed="22"/>
      </patternFill>
    </fill>
    <fill>
      <patternFill patternType="solid">
        <fgColor indexed="18"/>
        <bgColor indexed="64"/>
      </patternFill>
    </fill>
    <fill>
      <patternFill patternType="solid">
        <fgColor indexed="43"/>
      </patternFill>
    </fill>
    <fill>
      <patternFill patternType="solid">
        <fgColor indexed="8"/>
        <bgColor indexed="64"/>
      </patternFill>
    </fill>
    <fill>
      <patternFill patternType="solid">
        <fgColor indexed="44"/>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5"/>
        <bgColor indexed="64"/>
      </patternFill>
    </fill>
    <fill>
      <patternFill patternType="solid">
        <fgColor indexed="9"/>
        <bgColor indexed="64"/>
      </patternFill>
    </fill>
    <fill>
      <patternFill patternType="solid">
        <fgColor theme="3" tint="0.39997558519241921"/>
        <bgColor indexed="64"/>
      </patternFill>
    </fill>
    <fill>
      <patternFill patternType="solid">
        <fgColor theme="4" tint="-0.249977111117893"/>
        <bgColor indexed="64"/>
      </patternFill>
    </fill>
    <fill>
      <patternFill patternType="gray0625"/>
    </fill>
    <fill>
      <patternFill patternType="lightGray">
        <fgColor indexed="12"/>
      </patternFill>
    </fill>
    <fill>
      <patternFill patternType="gray0625">
        <fgColor indexed="12"/>
        <bgColor indexed="9"/>
      </patternFill>
    </fill>
    <fill>
      <patternFill patternType="lightGray">
        <bgColor indexed="41"/>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E6F1"/>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lightGray">
        <fgColor indexed="22"/>
      </patternFill>
    </fill>
    <fill>
      <patternFill patternType="solid">
        <fgColor indexed="47"/>
        <bgColor indexed="22"/>
      </patternFill>
    </fill>
    <fill>
      <patternFill patternType="darkVertical">
        <fgColor indexed="9"/>
        <bgColor indexed="10"/>
      </patternFill>
    </fill>
    <fill>
      <patternFill patternType="darkHorizontal">
        <fgColor indexed="9"/>
        <bgColor indexed="10"/>
      </patternFill>
    </fill>
    <fill>
      <patternFill patternType="solid">
        <fgColor indexed="62"/>
        <bgColor indexed="64"/>
      </patternFill>
    </fill>
    <fill>
      <patternFill patternType="solid">
        <fgColor indexed="63"/>
        <bgColor indexed="64"/>
      </patternFill>
    </fill>
    <fill>
      <patternFill patternType="solid">
        <fgColor theme="1" tint="0.499984740745262"/>
        <bgColor indexed="64"/>
      </patternFill>
    </fill>
    <fill>
      <patternFill patternType="solid">
        <fgColor rgb="FF92D050"/>
        <bgColor indexed="64"/>
      </patternFill>
    </fill>
    <fill>
      <patternFill patternType="solid">
        <fgColor theme="3"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rgb="FFEDEDED"/>
        <bgColor rgb="FF000000"/>
      </patternFill>
    </fill>
    <fill>
      <patternFill patternType="solid">
        <fgColor rgb="FF808080"/>
        <bgColor rgb="FF000000"/>
      </patternFill>
    </fill>
    <fill>
      <patternFill patternType="solid">
        <fgColor rgb="FFCCCCCC"/>
        <bgColor indexed="64"/>
      </patternFill>
    </fill>
    <fill>
      <patternFill patternType="solid">
        <fgColor rgb="FF9BBB59"/>
        <bgColor indexed="64"/>
      </patternFill>
    </fill>
    <fill>
      <patternFill patternType="solid">
        <fgColor theme="0"/>
        <bgColor rgb="FF000000"/>
      </patternFill>
    </fill>
    <fill>
      <patternFill patternType="solid">
        <fgColor rgb="FF0F3F76"/>
        <bgColor rgb="FF000000"/>
      </patternFill>
    </fill>
    <fill>
      <patternFill patternType="solid">
        <fgColor theme="0" tint="-4.9989318521683403E-2"/>
        <bgColor rgb="FF000000"/>
      </patternFill>
    </fill>
    <fill>
      <patternFill patternType="solid">
        <fgColor rgb="FFBFBFBF"/>
        <bgColor rgb="FF000000"/>
      </patternFill>
    </fill>
    <fill>
      <patternFill patternType="solid">
        <fgColor theme="3"/>
        <bgColor indexed="64"/>
      </patternFill>
    </fill>
    <fill>
      <patternFill patternType="solid">
        <fgColor rgb="FFBFBFBF"/>
        <bgColor indexed="64"/>
      </patternFill>
    </fill>
    <fill>
      <patternFill patternType="solid">
        <fgColor theme="0"/>
        <bgColor indexed="64"/>
      </patternFill>
    </fill>
    <fill>
      <patternFill patternType="solid">
        <fgColor theme="0" tint="-0.249977111117893"/>
        <bgColor rgb="FF000000"/>
      </patternFill>
    </fill>
    <fill>
      <patternFill patternType="solid">
        <fgColor rgb="FF0F3F76"/>
        <bgColor indexed="64"/>
      </patternFill>
    </fill>
    <fill>
      <patternFill patternType="solid">
        <fgColor rgb="FFD1D3D4"/>
        <bgColor indexed="64"/>
      </patternFill>
    </fill>
    <fill>
      <patternFill patternType="solid">
        <fgColor theme="0" tint="-0.14999847407452621"/>
        <bgColor theme="0" tint="-0.14999847407452621"/>
      </patternFill>
    </fill>
    <fill>
      <patternFill patternType="solid">
        <fgColor rgb="FFD9D9D9"/>
        <bgColor rgb="FFD9D9D9"/>
      </patternFill>
    </fill>
    <fill>
      <patternFill patternType="solid">
        <fgColor theme="3" tint="0.59999389629810485"/>
        <bgColor indexed="64"/>
      </patternFill>
    </fill>
  </fills>
  <borders count="277">
    <border>
      <left/>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ck">
        <color indexed="9"/>
      </right>
      <top/>
      <bottom style="thick">
        <color indexed="9"/>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top style="hair">
        <color indexed="64"/>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medium">
        <color indexed="64"/>
      </top>
      <bottom/>
      <diagonal/>
    </border>
    <border>
      <left/>
      <right/>
      <top/>
      <bottom style="thick">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bottom style="thin">
        <color indexed="8"/>
      </bottom>
      <diagonal/>
    </border>
    <border>
      <left/>
      <right/>
      <top/>
      <bottom style="thin">
        <color auto="1"/>
      </bottom>
      <diagonal/>
    </border>
    <border>
      <left style="hair">
        <color indexed="64"/>
      </left>
      <right style="hair">
        <color indexed="64"/>
      </right>
      <top style="double">
        <color indexed="64"/>
      </top>
      <bottom/>
      <diagonal/>
    </border>
    <border>
      <left style="thin">
        <color indexed="64"/>
      </left>
      <right style="thin">
        <color indexed="64"/>
      </right>
      <top style="thin">
        <color indexed="64"/>
      </top>
      <bottom style="thick">
        <color indexed="64"/>
      </bottom>
      <diagonal/>
    </border>
    <border>
      <left/>
      <right/>
      <top style="thin">
        <color auto="1"/>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ck">
        <color rgb="FF333F4F"/>
      </top>
      <bottom/>
      <diagonal/>
    </border>
    <border>
      <left/>
      <right/>
      <top/>
      <bottom style="thick">
        <color rgb="FF333F4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auto="1"/>
      </top>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auto="1"/>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right/>
      <top style="medium">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right style="thin">
        <color indexed="64"/>
      </right>
      <top style="thin">
        <color auto="1"/>
      </top>
      <bottom/>
      <diagonal/>
    </border>
    <border>
      <left/>
      <right/>
      <top style="thin">
        <color auto="1"/>
      </top>
      <bottom/>
      <diagonal/>
    </border>
    <border>
      <left style="thin">
        <color auto="1"/>
      </left>
      <right style="thin">
        <color indexed="64"/>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indexed="64"/>
      </top>
      <bottom style="thin">
        <color auto="1"/>
      </bottom>
      <diagonal/>
    </border>
    <border>
      <left/>
      <right style="thin">
        <color indexed="64"/>
      </right>
      <top style="thin">
        <color indexed="64"/>
      </top>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auto="1"/>
      </top>
      <bottom style="thin">
        <color auto="1"/>
      </bottom>
      <diagonal/>
    </border>
    <border>
      <left/>
      <right/>
      <top style="thin">
        <color auto="1"/>
      </top>
      <bottom/>
      <diagonal/>
    </border>
    <border>
      <left style="thin">
        <color auto="1"/>
      </left>
      <right/>
      <top/>
      <bottom style="thin">
        <color auto="1"/>
      </bottom>
      <diagonal/>
    </border>
    <border>
      <left style="thin">
        <color auto="1"/>
      </left>
      <right style="thin">
        <color indexed="64"/>
      </right>
      <top/>
      <bottom style="thin">
        <color auto="1"/>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style="thin">
        <color auto="1"/>
      </left>
      <right style="thin">
        <color indexed="64"/>
      </right>
      <top style="thin">
        <color auto="1"/>
      </top>
      <bottom/>
      <diagonal/>
    </border>
    <border>
      <left/>
      <right/>
      <top style="thin">
        <color rgb="FF000000"/>
      </top>
      <bottom/>
      <diagonal/>
    </border>
    <border>
      <left/>
      <right/>
      <top/>
      <bottom style="thin">
        <color rgb="FF000000"/>
      </bottom>
      <diagonal/>
    </border>
    <border>
      <left/>
      <right/>
      <top style="thin">
        <color auto="1"/>
      </top>
      <bottom/>
      <diagonal/>
    </border>
    <border>
      <left/>
      <right/>
      <top style="thin">
        <color auto="1"/>
      </top>
      <bottom style="thin">
        <color indexed="64"/>
      </bottom>
      <diagonal/>
    </border>
    <border>
      <left/>
      <right style="thin">
        <color indexed="64"/>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auto="1"/>
      </right>
      <top/>
      <bottom style="thin">
        <color indexed="64"/>
      </bottom>
      <diagonal/>
    </border>
    <border>
      <left style="thin">
        <color indexed="64"/>
      </left>
      <right style="thin">
        <color indexed="64"/>
      </right>
      <top style="thin">
        <color indexed="64"/>
      </top>
      <bottom/>
      <diagonal/>
    </border>
    <border>
      <left/>
      <right/>
      <top style="thin">
        <color auto="1"/>
      </top>
      <bottom/>
      <diagonal/>
    </border>
    <border>
      <left/>
      <right style="thin">
        <color indexed="64"/>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indexed="64"/>
      </right>
      <top style="thin">
        <color auto="1"/>
      </top>
      <bottom style="thin">
        <color auto="1"/>
      </bottom>
      <diagonal/>
    </border>
    <border>
      <left/>
      <right/>
      <top style="hair">
        <color auto="1"/>
      </top>
      <bottom style="hair">
        <color auto="1"/>
      </bottom>
      <diagonal/>
    </border>
    <border>
      <left/>
      <right/>
      <top style="thin">
        <color indexed="64"/>
      </top>
      <bottom/>
      <diagonal/>
    </border>
    <border>
      <left/>
      <right style="thin">
        <color indexed="64"/>
      </right>
      <top style="thin">
        <color indexed="64"/>
      </top>
      <bottom/>
      <diagonal/>
    </border>
    <border>
      <left/>
      <right style="thin">
        <color indexed="64"/>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indexed="64"/>
      </right>
      <top style="thin">
        <color auto="1"/>
      </top>
      <bottom/>
      <diagonal/>
    </border>
    <border>
      <left style="thin">
        <color auto="1"/>
      </left>
      <right style="thin">
        <color indexed="64"/>
      </right>
      <top style="thin">
        <color auto="1"/>
      </top>
      <bottom style="thin">
        <color auto="1"/>
      </bottom>
      <diagonal/>
    </border>
    <border>
      <left/>
      <right/>
      <top style="hair">
        <color auto="1"/>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right/>
      <top/>
      <bottom style="thick">
        <color theme="8" tint="-0.499984740745262"/>
      </bottom>
      <diagonal/>
    </border>
    <border>
      <left/>
      <right/>
      <top/>
      <bottom style="thick">
        <color rgb="FF203764"/>
      </bottom>
      <diagonal/>
    </border>
    <border>
      <left/>
      <right/>
      <top style="thin">
        <color auto="1"/>
      </top>
      <bottom/>
      <diagonal/>
    </border>
    <border>
      <left/>
      <right/>
      <top style="thin">
        <color auto="1"/>
      </top>
      <bottom style="medium">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indexed="64"/>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diagonal/>
    </border>
    <border>
      <left/>
      <right/>
      <top style="thin">
        <color indexed="64"/>
      </top>
      <bottom style="thin">
        <color indexed="64"/>
      </bottom>
      <diagonal/>
    </border>
    <border>
      <left/>
      <right style="thin">
        <color auto="1"/>
      </right>
      <top style="thin">
        <color auto="1"/>
      </top>
      <bottom/>
      <diagonal/>
    </border>
    <border>
      <left style="thin">
        <color auto="1"/>
      </left>
      <right/>
      <top style="thin">
        <color auto="1"/>
      </top>
      <bottom/>
      <diagonal/>
    </border>
    <border>
      <left/>
      <right style="thin">
        <color indexed="64"/>
      </right>
      <top style="thin">
        <color indexed="64"/>
      </top>
      <bottom style="thin">
        <color indexed="64"/>
      </bottom>
      <diagonal/>
    </border>
    <border>
      <left/>
      <right/>
      <top style="thin">
        <color auto="1"/>
      </top>
      <bottom/>
      <diagonal/>
    </border>
    <border>
      <left/>
      <right style="thin">
        <color indexed="64"/>
      </right>
      <top style="thin">
        <color auto="1"/>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indexed="64"/>
      </right>
      <top style="thin">
        <color auto="1"/>
      </top>
      <bottom/>
      <diagonal/>
    </border>
    <border>
      <left/>
      <right/>
      <top style="thin">
        <color auto="1"/>
      </top>
      <bottom style="thin">
        <color auto="1"/>
      </bottom>
      <diagonal/>
    </border>
    <border>
      <left/>
      <right/>
      <top style="thin">
        <color auto="1"/>
      </top>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indexed="64"/>
      </right>
      <top style="thin">
        <color indexed="64"/>
      </top>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style="thin">
        <color rgb="FFA6A6A6"/>
      </right>
      <top style="thin">
        <color rgb="FFA6A6A6"/>
      </top>
      <bottom style="thin">
        <color rgb="FFA6A6A6"/>
      </bottom>
      <diagonal/>
    </border>
    <border>
      <left style="thin">
        <color rgb="FFA6A6A6"/>
      </left>
      <right style="thin">
        <color rgb="FFA6A6A6"/>
      </right>
      <top style="thin">
        <color rgb="FFA6A6A6"/>
      </top>
      <bottom/>
      <diagonal/>
    </border>
    <border>
      <left style="medium">
        <color indexed="64"/>
      </left>
      <right style="thin">
        <color rgb="FFA6A6A6"/>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rgb="FFA6A6A6"/>
      </right>
      <top style="thin">
        <color rgb="FFA6A6A6"/>
      </top>
      <bottom style="thin">
        <color rgb="FFA6A6A6"/>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right style="thin">
        <color rgb="FFA6A6A6"/>
      </right>
      <top/>
      <bottom style="thin">
        <color rgb="FFA6A6A6"/>
      </bottom>
      <diagonal/>
    </border>
    <border>
      <left style="thin">
        <color rgb="FFA6A6A6"/>
      </left>
      <right style="thin">
        <color rgb="FFA6A6A6"/>
      </right>
      <top/>
      <bottom style="thin">
        <color rgb="FFA6A6A6"/>
      </bottom>
      <diagonal/>
    </border>
    <border>
      <left style="thin">
        <color rgb="FFA6A6A6"/>
      </left>
      <right/>
      <top style="thin">
        <color indexed="64"/>
      </top>
      <bottom style="thin">
        <color rgb="FFA6A6A6"/>
      </bottom>
      <diagonal/>
    </border>
    <border>
      <left/>
      <right/>
      <top style="thin">
        <color indexed="64"/>
      </top>
      <bottom style="thin">
        <color rgb="FFA6A6A6"/>
      </bottom>
      <diagonal/>
    </border>
    <border>
      <left/>
      <right style="thin">
        <color rgb="FFA6A6A6"/>
      </right>
      <top style="thin">
        <color indexed="64"/>
      </top>
      <bottom style="thin">
        <color rgb="FFA6A6A6"/>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style="thin">
        <color auto="1"/>
      </top>
      <bottom/>
      <diagonal/>
    </border>
    <border>
      <left style="thin">
        <color rgb="FFA6A6A6"/>
      </left>
      <right style="thin">
        <color rgb="FFA6A6A6"/>
      </right>
      <top/>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auto="1"/>
      </top>
      <bottom/>
      <diagonal/>
    </border>
    <border>
      <left/>
      <right style="thin">
        <color indexed="64"/>
      </right>
      <top style="thin">
        <color auto="1"/>
      </top>
      <bottom/>
      <diagonal/>
    </border>
    <border>
      <left/>
      <right/>
      <top style="thin">
        <color auto="1"/>
      </top>
      <bottom/>
      <diagonal/>
    </border>
    <border>
      <left/>
      <right style="thin">
        <color auto="1"/>
      </right>
      <top style="thin">
        <color auto="1"/>
      </top>
      <bottom style="thin">
        <color auto="1"/>
      </bottom>
      <diagonal/>
    </border>
    <border>
      <left/>
      <right style="thin">
        <color indexed="64"/>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indexed="64"/>
      </bottom>
      <diagonal/>
    </border>
    <border>
      <left/>
      <right style="thin">
        <color indexed="64"/>
      </right>
      <top style="thin">
        <color auto="1"/>
      </top>
      <bottom/>
      <diagonal/>
    </border>
    <border>
      <left/>
      <right/>
      <top style="thin">
        <color auto="1"/>
      </top>
      <bottom/>
      <diagonal/>
    </border>
    <border>
      <left style="thin">
        <color auto="1"/>
      </left>
      <right/>
      <top style="thin">
        <color auto="1"/>
      </top>
      <bottom/>
      <diagonal/>
    </border>
    <border>
      <left/>
      <right style="thin">
        <color indexed="64"/>
      </right>
      <top style="thin">
        <color indexed="64"/>
      </top>
      <bottom/>
      <diagonal/>
    </border>
    <border>
      <left/>
      <right/>
      <top style="thin">
        <color auto="1"/>
      </top>
      <bottom/>
      <diagonal/>
    </border>
    <border>
      <left/>
      <right style="thin">
        <color indexed="64"/>
      </right>
      <top style="thin">
        <color indexed="64"/>
      </top>
      <bottom/>
      <diagonal/>
    </border>
    <border>
      <left/>
      <right/>
      <top style="hair">
        <color auto="1"/>
      </top>
      <bottom/>
      <diagonal/>
    </border>
    <border>
      <left/>
      <right/>
      <top/>
      <bottom style="hair">
        <color auto="1"/>
      </bottom>
      <diagonal/>
    </border>
    <border>
      <left/>
      <right style="thin">
        <color indexed="64"/>
      </right>
      <top style="thin">
        <color auto="1"/>
      </top>
      <bottom/>
      <diagonal/>
    </border>
  </borders>
  <cellStyleXfs count="20455">
    <xf numFmtId="0" fontId="0" fillId="0" borderId="0"/>
    <xf numFmtId="43" fontId="21" fillId="0" borderId="0" applyFont="0" applyFill="0" applyBorder="0" applyAlignment="0" applyProtection="0"/>
    <xf numFmtId="9" fontId="21" fillId="0" borderId="0" applyFont="0" applyFill="0" applyBorder="0" applyAlignment="0" applyProtection="0"/>
    <xf numFmtId="44" fontId="21" fillId="0" borderId="0" applyFont="0" applyFill="0" applyBorder="0" applyAlignment="0" applyProtection="0"/>
    <xf numFmtId="9" fontId="24" fillId="0" borderId="0">
      <alignment horizontal="right"/>
    </xf>
    <xf numFmtId="37" fontId="25" fillId="0" borderId="0">
      <alignment horizontal="fill"/>
    </xf>
    <xf numFmtId="0" fontId="26" fillId="0" borderId="0"/>
    <xf numFmtId="0" fontId="26" fillId="0" borderId="0"/>
    <xf numFmtId="0" fontId="26" fillId="0" borderId="0"/>
    <xf numFmtId="0" fontId="26" fillId="0" borderId="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2" fontId="28"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172" fontId="28" fillId="0" borderId="0" applyFont="0" applyFill="0" applyBorder="0" applyAlignment="0" applyProtection="0"/>
    <xf numFmtId="172" fontId="28" fillId="0" borderId="0" applyFont="0" applyFill="0" applyBorder="0" applyAlignment="0" applyProtection="0"/>
    <xf numFmtId="172" fontId="28"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0" fontId="27"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0"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0"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173" fontId="29" fillId="0" borderId="0" applyNumberFormat="0" applyFill="0" applyBorder="0" applyAlignment="0" applyProtection="0"/>
    <xf numFmtId="0" fontId="26" fillId="0" borderId="0" applyNumberFormat="0" applyFill="0" applyBorder="0" applyAlignment="0" applyProtection="0"/>
    <xf numFmtId="0" fontId="26" fillId="0" borderId="0"/>
    <xf numFmtId="0" fontId="28" fillId="0" borderId="0" applyFont="0" applyFill="0" applyBorder="0" applyAlignment="0" applyProtection="0"/>
    <xf numFmtId="0" fontId="30" fillId="0" borderId="0"/>
    <xf numFmtId="0" fontId="30" fillId="0" borderId="0"/>
    <xf numFmtId="0" fontId="26" fillId="0" borderId="0"/>
    <xf numFmtId="0" fontId="30" fillId="0" borderId="0"/>
    <xf numFmtId="0" fontId="30" fillId="0" borderId="0"/>
    <xf numFmtId="0" fontId="30" fillId="0" borderId="0"/>
    <xf numFmtId="174" fontId="31" fillId="0" borderId="0" applyFont="0" applyFill="0" applyBorder="0" applyAlignment="0" applyProtection="0"/>
    <xf numFmtId="175" fontId="31" fillId="0" borderId="0" applyFont="0" applyFill="0" applyBorder="0" applyAlignment="0" applyProtection="0"/>
    <xf numFmtId="3" fontId="32" fillId="0" borderId="0" applyFont="0" applyFill="0" applyBorder="0" applyAlignment="0" applyProtection="0"/>
    <xf numFmtId="174" fontId="31" fillId="0" borderId="0" applyFont="0" applyFill="0" applyBorder="0" applyAlignment="0" applyProtection="0"/>
    <xf numFmtId="174" fontId="31" fillId="0" borderId="0" applyFont="0" applyFill="0" applyBorder="0" applyAlignment="0" applyProtection="0"/>
    <xf numFmtId="174" fontId="31" fillId="0" borderId="0" applyFont="0" applyFill="0" applyBorder="0" applyAlignment="0" applyProtection="0"/>
    <xf numFmtId="174" fontId="31" fillId="0" borderId="0" applyFont="0" applyFill="0" applyBorder="0" applyAlignment="0" applyProtection="0"/>
    <xf numFmtId="174" fontId="31" fillId="0" borderId="0" applyFont="0" applyFill="0" applyBorder="0" applyAlignment="0" applyProtection="0"/>
    <xf numFmtId="5" fontId="33" fillId="0" borderId="0" applyFont="0" applyFill="0" applyBorder="0" applyAlignment="0" applyProtection="0"/>
    <xf numFmtId="176" fontId="31" fillId="0" borderId="0" applyFont="0" applyFill="0" applyBorder="0" applyAlignment="0" applyProtection="0"/>
    <xf numFmtId="8" fontId="33" fillId="0" borderId="0" applyFont="0" applyFill="0" applyBorder="0" applyAlignment="0" applyProtection="0"/>
    <xf numFmtId="0" fontId="30" fillId="0" borderId="0"/>
    <xf numFmtId="177" fontId="30" fillId="0" borderId="0">
      <alignment horizontal="right"/>
    </xf>
    <xf numFmtId="177" fontId="26" fillId="0" borderId="0">
      <alignment horizontal="right"/>
    </xf>
    <xf numFmtId="178" fontId="26" fillId="0" borderId="0" applyFont="0" applyFill="0" applyBorder="0" applyAlignment="0" applyProtection="0"/>
    <xf numFmtId="179" fontId="26" fillId="0" borderId="0"/>
    <xf numFmtId="180" fontId="26" fillId="0" borderId="0" applyFont="0" applyFill="0" applyBorder="0" applyAlignment="0" applyProtection="0"/>
    <xf numFmtId="0" fontId="26" fillId="0" borderId="0"/>
    <xf numFmtId="181" fontId="31" fillId="0" borderId="0" applyFont="0" applyFill="0" applyBorder="0" applyAlignment="0" applyProtection="0"/>
    <xf numFmtId="182" fontId="26" fillId="0" borderId="0" applyFont="0" applyFill="0" applyBorder="0" applyAlignment="0" applyProtection="0"/>
    <xf numFmtId="9" fontId="34" fillId="31" borderId="17">
      <alignment horizontal="right" vertical="center"/>
    </xf>
    <xf numFmtId="9" fontId="26" fillId="0" borderId="0">
      <alignment horizontal="right" vertical="center"/>
    </xf>
    <xf numFmtId="183" fontId="35" fillId="0" borderId="0" applyBorder="0"/>
    <xf numFmtId="183" fontId="35" fillId="0" borderId="0" applyBorder="0"/>
    <xf numFmtId="183" fontId="26" fillId="0" borderId="0" applyBorder="0"/>
    <xf numFmtId="183" fontId="35" fillId="0" borderId="0" applyBorder="0"/>
    <xf numFmtId="183" fontId="35" fillId="0" borderId="0" applyBorder="0"/>
    <xf numFmtId="183" fontId="35" fillId="0" borderId="0" applyBorder="0"/>
    <xf numFmtId="10" fontId="33" fillId="0" borderId="0" applyFont="0" applyFill="0" applyBorder="0" applyAlignment="0" applyProtection="0"/>
    <xf numFmtId="0" fontId="36" fillId="0" borderId="0"/>
    <xf numFmtId="0" fontId="36" fillId="0" borderId="0"/>
    <xf numFmtId="0" fontId="37" fillId="0" borderId="0" applyNumberFormat="0" applyFont="0" applyFill="0" applyBorder="0" applyAlignment="0" applyProtection="0"/>
    <xf numFmtId="0" fontId="26" fillId="0" borderId="0" applyNumberFormat="0" applyFont="0" applyFill="0" applyBorder="0" applyAlignment="0" applyProtection="0"/>
    <xf numFmtId="184" fontId="30" fillId="0" borderId="0" applyFont="0" applyFill="0" applyBorder="0" applyAlignment="0"/>
    <xf numFmtId="184" fontId="30" fillId="0" borderId="0" applyFont="0" applyFill="0" applyBorder="0" applyAlignment="0"/>
    <xf numFmtId="184" fontId="26" fillId="0" borderId="0" applyFont="0" applyFill="0" applyBorder="0" applyAlignment="0"/>
    <xf numFmtId="184" fontId="30" fillId="0" borderId="0" applyFont="0" applyFill="0" applyBorder="0" applyAlignment="0"/>
    <xf numFmtId="184" fontId="30" fillId="0" borderId="0" applyFont="0" applyFill="0" applyBorder="0" applyAlignment="0"/>
    <xf numFmtId="184" fontId="30" fillId="0" borderId="0" applyFont="0" applyFill="0" applyBorder="0" applyAlignment="0"/>
    <xf numFmtId="186" fontId="26" fillId="0" borderId="0" applyFont="0" applyFill="0" applyBorder="0" applyAlignment="0" applyProtection="0"/>
    <xf numFmtId="9" fontId="26" fillId="0" borderId="0" applyFont="0" applyFill="0" applyBorder="0" applyAlignment="0" applyProtection="0"/>
    <xf numFmtId="187" fontId="38" fillId="0" borderId="0" applyFont="0" applyFill="0" applyBorder="0" applyProtection="0">
      <alignment horizontal="right"/>
    </xf>
    <xf numFmtId="187" fontId="26" fillId="0" borderId="0" applyFont="0" applyFill="0" applyBorder="0" applyProtection="0">
      <alignment horizontal="right"/>
    </xf>
    <xf numFmtId="188" fontId="39" fillId="0" borderId="0" applyFont="0" applyFill="0" applyBorder="0" applyAlignment="0" applyProtection="0"/>
    <xf numFmtId="189" fontId="39" fillId="0" borderId="0" applyFont="0" applyFill="0" applyBorder="0" applyAlignment="0" applyProtection="0"/>
    <xf numFmtId="43" fontId="30" fillId="0" borderId="0" applyFont="0" applyFill="0" applyBorder="0" applyAlignment="0" applyProtection="0"/>
    <xf numFmtId="43" fontId="30" fillId="0" borderId="0" applyFont="0" applyFill="0" applyBorder="0" applyAlignment="0" applyProtection="0"/>
    <xf numFmtId="43" fontId="26" fillId="0" borderId="0" applyFont="0" applyFill="0" applyBorder="0" applyAlignment="0" applyProtection="0"/>
    <xf numFmtId="43" fontId="30" fillId="0" borderId="0" applyFont="0" applyFill="0" applyBorder="0" applyAlignment="0" applyProtection="0"/>
    <xf numFmtId="43" fontId="30" fillId="0" borderId="0" applyFont="0" applyFill="0" applyBorder="0" applyAlignment="0" applyProtection="0"/>
    <xf numFmtId="43" fontId="30" fillId="0" borderId="0" applyFont="0" applyFill="0" applyBorder="0" applyAlignment="0" applyProtection="0"/>
    <xf numFmtId="190" fontId="38" fillId="0" borderId="0" applyFont="0" applyFill="0" applyBorder="0" applyProtection="0">
      <alignment horizontal="right"/>
    </xf>
    <xf numFmtId="190" fontId="26" fillId="0" borderId="0" applyFont="0" applyFill="0" applyBorder="0" applyProtection="0">
      <alignment horizontal="right"/>
    </xf>
    <xf numFmtId="0" fontId="26" fillId="0" borderId="0" applyFont="0" applyFill="0" applyBorder="0" applyAlignment="0" applyProtection="0"/>
    <xf numFmtId="191" fontId="40" fillId="0" borderId="0"/>
    <xf numFmtId="191" fontId="40" fillId="0" borderId="0"/>
    <xf numFmtId="9" fontId="24" fillId="0" borderId="0">
      <alignment horizontal="right"/>
    </xf>
    <xf numFmtId="9" fontId="24" fillId="0" borderId="0">
      <alignment horizontal="right"/>
    </xf>
    <xf numFmtId="174" fontId="39" fillId="0" borderId="0" applyFont="0" applyFill="0" applyBorder="0" applyAlignment="0" applyProtection="0"/>
    <xf numFmtId="192" fontId="38" fillId="0" borderId="0" applyFont="0" applyFill="0" applyBorder="0" applyAlignment="0" applyProtection="0"/>
    <xf numFmtId="192" fontId="38"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92" fontId="26" fillId="0" borderId="0" applyFont="0" applyFill="0" applyBorder="0" applyAlignment="0" applyProtection="0"/>
    <xf numFmtId="174" fontId="41"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42"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93" fontId="39" fillId="0" borderId="0" applyFont="0" applyFill="0" applyBorder="0" applyAlignment="0" applyProtection="0"/>
    <xf numFmtId="194" fontId="38" fillId="0" borderId="0" applyFont="0" applyFill="0" applyBorder="0" applyAlignment="0" applyProtection="0"/>
    <xf numFmtId="194" fontId="38" fillId="0" borderId="0" applyFont="0" applyFill="0" applyBorder="0" applyAlignment="0" applyProtection="0"/>
    <xf numFmtId="195" fontId="26" fillId="0" borderId="0" applyFont="0" applyFill="0" applyBorder="0" applyAlignment="0" applyProtection="0"/>
    <xf numFmtId="196" fontId="26" fillId="0" borderId="0" applyFont="0" applyFill="0" applyBorder="0" applyAlignment="0" applyProtection="0"/>
    <xf numFmtId="196" fontId="26" fillId="0" borderId="0" applyFont="0" applyFill="0" applyBorder="0" applyAlignment="0" applyProtection="0"/>
    <xf numFmtId="194" fontId="26" fillId="0" borderId="0" applyFont="0" applyFill="0" applyBorder="0" applyAlignment="0" applyProtection="0"/>
    <xf numFmtId="197" fontId="26" fillId="0" borderId="0" applyFont="0" applyFill="0" applyBorder="0" applyAlignment="0" applyProtection="0"/>
    <xf numFmtId="198" fontId="26" fillId="0" borderId="0" applyFont="0" applyFill="0" applyBorder="0" applyAlignment="0" applyProtection="0"/>
    <xf numFmtId="194" fontId="26" fillId="0" borderId="0" applyFont="0" applyFill="0" applyBorder="0" applyAlignment="0" applyProtection="0"/>
    <xf numFmtId="196" fontId="26" fillId="0" borderId="0" applyFont="0" applyFill="0" applyBorder="0" applyAlignment="0" applyProtection="0"/>
    <xf numFmtId="193" fontId="26" fillId="0" borderId="0" applyFont="0" applyFill="0" applyBorder="0" applyAlignment="0" applyProtection="0"/>
    <xf numFmtId="194" fontId="26" fillId="0" borderId="0" applyFont="0" applyFill="0" applyBorder="0" applyAlignment="0" applyProtection="0"/>
    <xf numFmtId="195" fontId="26" fillId="0" borderId="0" applyFont="0" applyFill="0" applyBorder="0" applyAlignment="0" applyProtection="0"/>
    <xf numFmtId="195" fontId="42" fillId="0" borderId="0" applyFont="0" applyFill="0" applyBorder="0" applyAlignment="0" applyProtection="0"/>
    <xf numFmtId="195" fontId="42" fillId="0" borderId="0" applyFont="0" applyFill="0" applyBorder="0" applyAlignment="0" applyProtection="0"/>
    <xf numFmtId="193" fontId="41" fillId="0" borderId="0" applyFont="0" applyFill="0" applyBorder="0" applyAlignment="0" applyProtection="0"/>
    <xf numFmtId="193" fontId="26" fillId="0" borderId="0" applyFont="0" applyFill="0" applyBorder="0" applyAlignment="0" applyProtection="0"/>
    <xf numFmtId="193" fontId="26" fillId="0" borderId="0" applyFont="0" applyFill="0" applyBorder="0" applyAlignment="0" applyProtection="0"/>
    <xf numFmtId="193" fontId="26" fillId="0" borderId="0" applyFont="0" applyFill="0" applyBorder="0" applyAlignment="0" applyProtection="0"/>
    <xf numFmtId="194" fontId="26" fillId="0" borderId="0" applyFont="0" applyFill="0" applyBorder="0" applyAlignment="0" applyProtection="0"/>
    <xf numFmtId="194" fontId="42" fillId="0" borderId="0" applyFont="0" applyFill="0" applyBorder="0" applyAlignment="0" applyProtection="0"/>
    <xf numFmtId="195" fontId="42" fillId="0" borderId="0" applyFont="0" applyFill="0" applyBorder="0" applyAlignment="0" applyProtection="0"/>
    <xf numFmtId="195" fontId="42" fillId="0" borderId="0" applyFont="0" applyFill="0" applyBorder="0" applyAlignment="0" applyProtection="0"/>
    <xf numFmtId="197" fontId="26" fillId="0" borderId="0" applyFont="0" applyFill="0" applyBorder="0" applyAlignment="0" applyProtection="0"/>
    <xf numFmtId="198" fontId="42" fillId="0" borderId="0" applyFont="0" applyFill="0" applyBorder="0" applyAlignment="0" applyProtection="0"/>
    <xf numFmtId="195" fontId="26" fillId="0" borderId="0" applyFont="0" applyFill="0" applyBorder="0" applyAlignment="0" applyProtection="0"/>
    <xf numFmtId="193" fontId="26" fillId="0" borderId="0" applyFont="0" applyFill="0" applyBorder="0" applyAlignment="0" applyProtection="0"/>
    <xf numFmtId="198" fontId="26" fillId="0" borderId="0" applyFont="0" applyFill="0" applyBorder="0" applyAlignment="0" applyProtection="0"/>
    <xf numFmtId="0" fontId="26" fillId="0" borderId="0" applyFont="0" applyFill="0" applyBorder="0" applyAlignment="0" applyProtection="0"/>
    <xf numFmtId="199" fontId="26" fillId="0" borderId="0" applyFont="0" applyFill="0" applyBorder="0" applyAlignment="0" applyProtection="0"/>
    <xf numFmtId="193" fontId="26" fillId="0" borderId="0" applyFont="0" applyFill="0" applyBorder="0" applyAlignment="0" applyProtection="0"/>
    <xf numFmtId="195" fontId="26" fillId="0" borderId="0" applyFont="0" applyFill="0" applyBorder="0" applyAlignment="0" applyProtection="0"/>
    <xf numFmtId="198" fontId="26" fillId="0" borderId="0" applyFont="0" applyFill="0" applyBorder="0" applyAlignment="0" applyProtection="0"/>
    <xf numFmtId="193" fontId="26" fillId="0" borderId="0" applyFont="0" applyFill="0" applyBorder="0" applyAlignment="0" applyProtection="0"/>
    <xf numFmtId="200" fontId="39" fillId="0" borderId="0" applyFont="0" applyFill="0" applyBorder="0" applyAlignment="0" applyProtection="0"/>
    <xf numFmtId="39" fontId="38" fillId="0" borderId="0" applyFont="0" applyFill="0" applyBorder="0" applyAlignment="0" applyProtection="0"/>
    <xf numFmtId="39" fontId="38"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39" fontId="26" fillId="0" borderId="0" applyFont="0" applyFill="0" applyBorder="0" applyAlignment="0" applyProtection="0"/>
    <xf numFmtId="200" fontId="41"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42"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14" fontId="43" fillId="0" borderId="0" applyFill="0" applyBorder="0" applyProtection="0"/>
    <xf numFmtId="14" fontId="26" fillId="0" borderId="0" applyFill="0" applyBorder="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0" fontId="37" fillId="0" borderId="0" applyNumberFormat="0" applyFill="0" applyBorder="0" applyAlignment="0" applyProtection="0"/>
    <xf numFmtId="202" fontId="39" fillId="0" borderId="0" applyFont="0" applyFill="0" applyBorder="0" applyAlignment="0" applyProtection="0"/>
    <xf numFmtId="202" fontId="38" fillId="0" borderId="0" applyFont="0" applyFill="0" applyBorder="0" applyProtection="0">
      <alignment horizontal="right"/>
    </xf>
    <xf numFmtId="202" fontId="26" fillId="0" borderId="0" applyFont="0" applyFill="0" applyBorder="0" applyProtection="0">
      <alignment horizontal="right"/>
    </xf>
    <xf numFmtId="202" fontId="38" fillId="0" borderId="0" applyFont="0" applyFill="0" applyBorder="0" applyProtection="0">
      <alignment horizontal="right"/>
    </xf>
    <xf numFmtId="202" fontId="38" fillId="0" borderId="0" applyFont="0" applyFill="0" applyBorder="0" applyProtection="0">
      <alignment horizontal="right"/>
    </xf>
    <xf numFmtId="202" fontId="38" fillId="0" borderId="0" applyFont="0" applyFill="0" applyBorder="0" applyProtection="0">
      <alignment horizontal="right"/>
    </xf>
    <xf numFmtId="202" fontId="38" fillId="0" borderId="0" applyFont="0" applyFill="0" applyBorder="0" applyAlignment="0" applyProtection="0"/>
    <xf numFmtId="202" fontId="38" fillId="0" borderId="0" applyFont="0" applyFill="0" applyBorder="0" applyAlignment="0" applyProtection="0"/>
    <xf numFmtId="202" fontId="26" fillId="0" borderId="0" applyFont="0" applyFill="0" applyBorder="0" applyAlignment="0" applyProtection="0"/>
    <xf numFmtId="202" fontId="38" fillId="0" borderId="0" applyFont="0" applyFill="0" applyBorder="0" applyAlignment="0" applyProtection="0"/>
    <xf numFmtId="202" fontId="38" fillId="0" borderId="0" applyFont="0" applyFill="0" applyBorder="0" applyAlignment="0" applyProtection="0"/>
    <xf numFmtId="202" fontId="38" fillId="0" borderId="0" applyFont="0" applyFill="0" applyBorder="0" applyAlignment="0" applyProtection="0"/>
    <xf numFmtId="202" fontId="26" fillId="0" borderId="0" applyFont="0" applyFill="0" applyBorder="0" applyAlignment="0" applyProtection="0"/>
    <xf numFmtId="202" fontId="26" fillId="0" borderId="0" applyFont="0" applyFill="0" applyBorder="0" applyAlignment="0" applyProtection="0"/>
    <xf numFmtId="0" fontId="44" fillId="0" borderId="0">
      <alignment vertical="center"/>
    </xf>
    <xf numFmtId="203" fontId="45" fillId="0" borderId="18" applyFont="0" applyFill="0" applyBorder="0" applyAlignment="0" applyProtection="0"/>
    <xf numFmtId="203" fontId="26" fillId="0" borderId="0" applyFont="0" applyFill="0" applyBorder="0" applyAlignment="0" applyProtection="0"/>
    <xf numFmtId="0" fontId="46" fillId="32" borderId="19" applyBorder="0">
      <alignment horizontal="center"/>
    </xf>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39" fillId="33" borderId="0" applyNumberFormat="0" applyFont="0" applyAlignment="0" applyProtection="0"/>
    <xf numFmtId="0" fontId="26" fillId="0" borderId="0" applyNumberFormat="0" applyFont="0" applyAlignment="0" applyProtection="0"/>
    <xf numFmtId="204" fontId="48" fillId="0" borderId="0" applyFont="0" applyFill="0" applyBorder="0" applyProtection="0">
      <alignment horizontal="right"/>
    </xf>
    <xf numFmtId="204" fontId="26" fillId="0" borderId="0" applyFont="0" applyFill="0" applyBorder="0" applyProtection="0">
      <alignment horizontal="right"/>
    </xf>
    <xf numFmtId="205" fontId="48" fillId="0" borderId="0" applyFont="0" applyFill="0" applyBorder="0" applyProtection="0">
      <alignment horizontal="right"/>
    </xf>
    <xf numFmtId="205" fontId="26" fillId="0" borderId="0" applyFont="0" applyFill="0" applyBorder="0" applyProtection="0">
      <alignment horizontal="right"/>
    </xf>
    <xf numFmtId="205" fontId="48" fillId="0" borderId="0" applyFont="0" applyFill="0" applyBorder="0" applyProtection="0">
      <alignment horizontal="right"/>
    </xf>
    <xf numFmtId="205" fontId="26" fillId="0" borderId="0" applyFont="0" applyFill="0" applyBorder="0" applyProtection="0">
      <alignment horizontal="right"/>
    </xf>
    <xf numFmtId="0" fontId="40" fillId="0" borderId="0">
      <alignment vertical="center"/>
    </xf>
    <xf numFmtId="0" fontId="40" fillId="0" borderId="0">
      <alignment vertical="center"/>
    </xf>
    <xf numFmtId="0" fontId="40" fillId="0" borderId="0">
      <alignment vertical="center"/>
    </xf>
    <xf numFmtId="0" fontId="49" fillId="34" borderId="0">
      <alignment horizontal="centerContinuous" vertical="center"/>
    </xf>
    <xf numFmtId="0" fontId="26" fillId="0" borderId="0">
      <alignment horizontal="centerContinuous" vertical="center"/>
    </xf>
    <xf numFmtId="0" fontId="50" fillId="29" borderId="0">
      <alignment horizontal="centerContinuous" vertical="center"/>
    </xf>
    <xf numFmtId="0" fontId="26" fillId="0" borderId="0">
      <alignment horizontal="centerContinuous" vertical="center"/>
    </xf>
    <xf numFmtId="9" fontId="24" fillId="0" borderId="0">
      <alignment horizontal="right"/>
    </xf>
    <xf numFmtId="9" fontId="24" fillId="0" borderId="0">
      <alignment horizontal="right"/>
    </xf>
    <xf numFmtId="9" fontId="24" fillId="0" borderId="0">
      <alignment horizontal="right"/>
    </xf>
    <xf numFmtId="9" fontId="24" fillId="0" borderId="0">
      <alignment horizontal="right"/>
    </xf>
    <xf numFmtId="0" fontId="26" fillId="0" borderId="0">
      <alignment horizontal="left" wrapText="1"/>
    </xf>
    <xf numFmtId="0" fontId="26" fillId="0" borderId="0">
      <alignment horizontal="left" wrapText="1"/>
    </xf>
    <xf numFmtId="206" fontId="39" fillId="0" borderId="0" applyFont="0" applyFill="0" applyBorder="0" applyAlignment="0" applyProtection="0"/>
    <xf numFmtId="207" fontId="38" fillId="0" borderId="0" applyFont="0" applyFill="0" applyBorder="0" applyAlignment="0" applyProtection="0"/>
    <xf numFmtId="207" fontId="38" fillId="0" borderId="0" applyFont="0" applyFill="0" applyBorder="0" applyAlignment="0" applyProtection="0"/>
    <xf numFmtId="208" fontId="26" fillId="0" borderId="0" applyFont="0" applyFill="0" applyBorder="0" applyProtection="0">
      <alignment horizontal="right"/>
    </xf>
    <xf numFmtId="209" fontId="26" fillId="0" borderId="0" applyFont="0" applyFill="0" applyBorder="0" applyAlignment="0" applyProtection="0"/>
    <xf numFmtId="206" fontId="26" fillId="0" borderId="0" applyFont="0" applyFill="0" applyBorder="0" applyAlignment="0" applyProtection="0"/>
    <xf numFmtId="210" fontId="26" fillId="0" borderId="0" applyFont="0" applyFill="0" applyBorder="0" applyProtection="0">
      <alignment horizontal="right"/>
    </xf>
    <xf numFmtId="206" fontId="26" fillId="0" borderId="0" applyFont="0" applyFill="0" applyBorder="0" applyAlignment="0" applyProtection="0"/>
    <xf numFmtId="207" fontId="26" fillId="0" borderId="0" applyFont="0" applyFill="0" applyBorder="0" applyAlignment="0" applyProtection="0"/>
    <xf numFmtId="206" fontId="41" fillId="0" borderId="0" applyFont="0" applyFill="0" applyBorder="0" applyAlignment="0" applyProtection="0"/>
    <xf numFmtId="206" fontId="26" fillId="0" borderId="0" applyFont="0" applyFill="0" applyBorder="0" applyAlignment="0" applyProtection="0"/>
    <xf numFmtId="210" fontId="26" fillId="0" borderId="0" applyFont="0" applyFill="0" applyBorder="0" applyProtection="0">
      <alignment horizontal="right"/>
    </xf>
    <xf numFmtId="210" fontId="26" fillId="0" borderId="0" applyFont="0" applyFill="0" applyBorder="0" applyProtection="0">
      <alignment horizontal="right"/>
    </xf>
    <xf numFmtId="206" fontId="26" fillId="0" borderId="0" applyFont="0" applyFill="0" applyBorder="0" applyAlignment="0" applyProtection="0"/>
    <xf numFmtId="206" fontId="42" fillId="0" borderId="0" applyFont="0" applyFill="0" applyBorder="0" applyAlignment="0" applyProtection="0"/>
    <xf numFmtId="210" fontId="26" fillId="0" borderId="0" applyFont="0" applyFill="0" applyBorder="0" applyProtection="0">
      <alignment horizontal="right"/>
    </xf>
    <xf numFmtId="209" fontId="26" fillId="0" borderId="0" applyFont="0" applyFill="0" applyBorder="0" applyAlignment="0" applyProtection="0"/>
    <xf numFmtId="206" fontId="26" fillId="0" borderId="0" applyFont="0" applyFill="0" applyBorder="0" applyAlignment="0" applyProtection="0"/>
    <xf numFmtId="210" fontId="26" fillId="0" borderId="0" applyFont="0" applyFill="0" applyBorder="0" applyProtection="0">
      <alignment horizontal="right"/>
    </xf>
    <xf numFmtId="210" fontId="26" fillId="0" borderId="0" applyFont="0" applyFill="0" applyBorder="0" applyProtection="0">
      <alignment horizontal="right"/>
    </xf>
    <xf numFmtId="211" fontId="26" fillId="0" borderId="0" applyFont="0" applyFill="0" applyBorder="0" applyProtection="0">
      <alignment horizontal="right"/>
    </xf>
    <xf numFmtId="212" fontId="39" fillId="0" borderId="0" applyFont="0" applyFill="0" applyBorder="0" applyProtection="0">
      <alignment horizontal="right"/>
    </xf>
    <xf numFmtId="213" fontId="38" fillId="0" borderId="0" applyFont="0" applyFill="0" applyBorder="0" applyAlignment="0" applyProtection="0"/>
    <xf numFmtId="213" fontId="38" fillId="0" borderId="0" applyFont="0" applyFill="0" applyBorder="0" applyAlignment="0" applyProtection="0"/>
    <xf numFmtId="214" fontId="26" fillId="0" borderId="0" applyFont="0" applyFill="0" applyBorder="0" applyAlignment="0" applyProtection="0"/>
    <xf numFmtId="212" fontId="26" fillId="0" borderId="0" applyFont="0" applyFill="0" applyBorder="0" applyProtection="0">
      <alignment horizontal="right"/>
    </xf>
    <xf numFmtId="212" fontId="26" fillId="0" borderId="0" applyFont="0" applyFill="0" applyBorder="0" applyProtection="0">
      <alignment horizontal="right"/>
    </xf>
    <xf numFmtId="213" fontId="26" fillId="0" borderId="0" applyFont="0" applyFill="0" applyBorder="0" applyAlignment="0" applyProtection="0"/>
    <xf numFmtId="212" fontId="41" fillId="0" borderId="0" applyFont="0" applyFill="0" applyBorder="0" applyProtection="0">
      <alignment horizontal="right"/>
    </xf>
    <xf numFmtId="212" fontId="26" fillId="0" borderId="0" applyFont="0" applyFill="0" applyBorder="0" applyProtection="0">
      <alignment horizontal="right"/>
    </xf>
    <xf numFmtId="212" fontId="26" fillId="0" borderId="0" applyFont="0" applyFill="0" applyBorder="0" applyProtection="0">
      <alignment horizontal="right"/>
    </xf>
    <xf numFmtId="212" fontId="26" fillId="0" borderId="0" applyFont="0" applyFill="0" applyBorder="0" applyProtection="0">
      <alignment horizontal="right"/>
    </xf>
    <xf numFmtId="212" fontId="26" fillId="0" borderId="0" applyFont="0" applyFill="0" applyBorder="0" applyProtection="0">
      <alignment horizontal="right"/>
    </xf>
    <xf numFmtId="212" fontId="42" fillId="0" borderId="0" applyFont="0" applyFill="0" applyBorder="0" applyProtection="0">
      <alignment horizontal="right"/>
    </xf>
    <xf numFmtId="212" fontId="26" fillId="0" borderId="0" applyFont="0" applyFill="0" applyBorder="0" applyProtection="0">
      <alignment horizontal="right"/>
    </xf>
    <xf numFmtId="214" fontId="26" fillId="0" borderId="0" applyFont="0" applyFill="0" applyBorder="0" applyAlignment="0" applyProtection="0"/>
    <xf numFmtId="212" fontId="26" fillId="0" borderId="0" applyFont="0" applyFill="0" applyBorder="0" applyProtection="0">
      <alignment horizontal="right"/>
    </xf>
    <xf numFmtId="212" fontId="26" fillId="0" borderId="0" applyFont="0" applyFill="0" applyBorder="0" applyProtection="0">
      <alignment horizontal="right"/>
    </xf>
    <xf numFmtId="0" fontId="26" fillId="0" borderId="0"/>
    <xf numFmtId="215" fontId="38" fillId="0" borderId="0" applyFont="0" applyFill="0" applyBorder="0" applyAlignment="0" applyProtection="0"/>
    <xf numFmtId="188" fontId="26" fillId="0" borderId="0" applyFont="0" applyFill="0" applyBorder="0" applyAlignment="0" applyProtection="0"/>
    <xf numFmtId="188" fontId="26" fillId="0" borderId="0" applyFont="0" applyFill="0" applyBorder="0" applyAlignment="0" applyProtection="0"/>
    <xf numFmtId="216" fontId="51" fillId="0" borderId="20" applyFont="0" applyFill="0" applyBorder="0" applyProtection="0">
      <alignment horizontal="right"/>
    </xf>
    <xf numFmtId="216" fontId="26" fillId="0" borderId="0" applyFont="0" applyFill="0" applyBorder="0" applyProtection="0">
      <alignment horizontal="right"/>
    </xf>
    <xf numFmtId="217" fontId="51" fillId="0" borderId="20" applyFont="0" applyFill="0" applyBorder="0" applyProtection="0">
      <alignment horizontal="right"/>
    </xf>
    <xf numFmtId="217" fontId="26" fillId="0" borderId="0" applyFont="0" applyFill="0" applyBorder="0" applyProtection="0">
      <alignment horizontal="right"/>
    </xf>
    <xf numFmtId="217" fontId="51" fillId="0" borderId="20" applyFont="0" applyFill="0" applyBorder="0" applyProtection="0">
      <alignment horizontal="right"/>
    </xf>
    <xf numFmtId="217" fontId="26" fillId="0" borderId="0" applyFont="0" applyFill="0" applyBorder="0" applyProtection="0">
      <alignment horizontal="right"/>
    </xf>
    <xf numFmtId="217" fontId="51" fillId="0" borderId="20" applyFont="0" applyFill="0" applyBorder="0" applyProtection="0">
      <alignment horizontal="right"/>
    </xf>
    <xf numFmtId="217" fontId="26" fillId="0" borderId="0" applyFont="0" applyFill="0" applyBorder="0" applyProtection="0">
      <alignment horizontal="right"/>
    </xf>
    <xf numFmtId="217" fontId="51" fillId="0" borderId="20" applyFont="0" applyFill="0" applyBorder="0" applyProtection="0">
      <alignment horizontal="right"/>
    </xf>
    <xf numFmtId="217" fontId="26" fillId="0" borderId="0" applyFont="0" applyFill="0" applyBorder="0" applyProtection="0">
      <alignment horizontal="right"/>
    </xf>
    <xf numFmtId="217" fontId="51" fillId="0" borderId="20" applyFont="0" applyFill="0" applyBorder="0" applyProtection="0">
      <alignment horizontal="right"/>
    </xf>
    <xf numFmtId="217" fontId="26" fillId="0" borderId="0" applyFont="0" applyFill="0" applyBorder="0" applyProtection="0">
      <alignment horizontal="right"/>
    </xf>
    <xf numFmtId="218" fontId="38" fillId="0" borderId="0" applyFont="0" applyFill="0" applyBorder="0" applyAlignment="0" applyProtection="0"/>
    <xf numFmtId="189" fontId="26" fillId="0" borderId="0" applyFont="0" applyFill="0" applyBorder="0" applyAlignment="0" applyProtection="0"/>
    <xf numFmtId="189" fontId="26" fillId="0" borderId="0" applyFont="0" applyFill="0" applyBorder="0" applyAlignment="0" applyProtection="0"/>
    <xf numFmtId="0" fontId="52" fillId="0" borderId="0" applyNumberFormat="0" applyFill="0" applyBorder="0" applyAlignment="0" applyProtection="0"/>
    <xf numFmtId="0" fontId="26" fillId="0" borderId="0"/>
    <xf numFmtId="0" fontId="26" fillId="0" borderId="0"/>
    <xf numFmtId="0" fontId="53" fillId="0" borderId="0">
      <alignment horizontal="center" wrapText="1"/>
    </xf>
    <xf numFmtId="0" fontId="54" fillId="32" borderId="16">
      <alignment horizontal="center"/>
    </xf>
    <xf numFmtId="0" fontId="55" fillId="35" borderId="16">
      <alignment horizontal="center" vertical="center"/>
    </xf>
    <xf numFmtId="3" fontId="56" fillId="0" borderId="16"/>
    <xf numFmtId="4" fontId="56" fillId="0" borderId="16"/>
    <xf numFmtId="219" fontId="26" fillId="0" borderId="16">
      <alignment horizontal="center" vertical="center"/>
    </xf>
    <xf numFmtId="0" fontId="57" fillId="0" borderId="16">
      <alignment horizontal="center"/>
    </xf>
    <xf numFmtId="0" fontId="58" fillId="36" borderId="16">
      <alignment horizontal="center"/>
    </xf>
    <xf numFmtId="0" fontId="53" fillId="0" borderId="0"/>
    <xf numFmtId="0" fontId="54" fillId="32" borderId="16"/>
    <xf numFmtId="0" fontId="55" fillId="35" borderId="16">
      <alignment horizontal="center" vertical="center"/>
    </xf>
    <xf numFmtId="0" fontId="59" fillId="0" borderId="0"/>
    <xf numFmtId="0" fontId="52" fillId="0" borderId="0" applyNumberFormat="0" applyFill="0" applyBorder="0" applyAlignment="0" applyProtection="0"/>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Alignment="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51" fillId="0" borderId="20" applyNumberFormat="0" applyFill="0" applyAlignment="0" applyProtection="0"/>
    <xf numFmtId="0" fontId="26" fillId="0" borderId="0" applyNumberFormat="0" applyFill="0" applyAlignment="0" applyProtection="0"/>
    <xf numFmtId="0" fontId="51" fillId="0" borderId="21" applyNumberFormat="0" applyFill="0" applyAlignment="0" applyProtection="0"/>
    <xf numFmtId="0" fontId="51" fillId="0" borderId="21" applyNumberFormat="0" applyFill="0" applyAlignment="0" applyProtection="0"/>
    <xf numFmtId="0" fontId="51" fillId="0" borderId="21" applyNumberFormat="0" applyFill="0" applyAlignment="0" applyProtection="0"/>
    <xf numFmtId="0" fontId="51" fillId="0" borderId="21" applyNumberFormat="0" applyFill="0" applyAlignment="0" applyProtection="0"/>
    <xf numFmtId="0" fontId="51" fillId="0" borderId="20" applyNumberFormat="0" applyFill="0" applyAlignment="0" applyProtection="0"/>
    <xf numFmtId="0" fontId="51" fillId="0" borderId="20" applyNumberFormat="0" applyFill="0" applyAlignment="0" applyProtection="0"/>
    <xf numFmtId="0" fontId="51" fillId="0" borderId="20" applyNumberFormat="0" applyFill="0" applyAlignment="0" applyProtection="0"/>
    <xf numFmtId="0" fontId="51" fillId="0" borderId="20" applyNumberFormat="0" applyFill="0" applyAlignment="0" applyProtection="0"/>
    <xf numFmtId="0" fontId="61" fillId="0" borderId="22" applyNumberFormat="0" applyFill="0" applyProtection="0">
      <alignment horizontal="center"/>
    </xf>
    <xf numFmtId="0" fontId="26" fillId="0" borderId="0" applyNumberFormat="0" applyFill="0" applyProtection="0">
      <alignment horizontal="center"/>
    </xf>
    <xf numFmtId="0" fontId="62" fillId="0" borderId="23" applyNumberFormat="0" applyFill="0" applyProtection="0">
      <alignment horizontal="center"/>
    </xf>
    <xf numFmtId="0" fontId="26" fillId="0" borderId="0" applyNumberFormat="0" applyFill="0" applyProtection="0">
      <alignment horizontal="center"/>
    </xf>
    <xf numFmtId="0" fontId="61" fillId="0" borderId="22" applyNumberFormat="0" applyFill="0" applyProtection="0">
      <alignment horizontal="center"/>
    </xf>
    <xf numFmtId="0" fontId="26" fillId="0" borderId="0" applyNumberFormat="0" applyFill="0" applyProtection="0">
      <alignment horizontal="center"/>
    </xf>
    <xf numFmtId="0" fontId="61" fillId="0" borderId="22" applyNumberFormat="0" applyFill="0" applyProtection="0">
      <alignment horizontal="center"/>
    </xf>
    <xf numFmtId="0" fontId="26" fillId="0" borderId="0" applyNumberFormat="0" applyFill="0" applyProtection="0">
      <alignment horizontal="center"/>
    </xf>
    <xf numFmtId="0" fontId="63" fillId="0" borderId="23" applyNumberFormat="0" applyFill="0" applyProtection="0">
      <alignment horizontal="center"/>
    </xf>
    <xf numFmtId="0" fontId="26" fillId="0" borderId="0" applyNumberFormat="0" applyFill="0" applyProtection="0">
      <alignment horizontal="center"/>
    </xf>
    <xf numFmtId="0" fontId="61" fillId="0" borderId="0" applyNumberFormat="0" applyFill="0" applyBorder="0" applyProtection="0">
      <alignment horizontal="left"/>
    </xf>
    <xf numFmtId="0" fontId="26" fillId="0" borderId="0" applyNumberFormat="0" applyFill="0" applyBorder="0" applyProtection="0">
      <alignment horizontal="left"/>
    </xf>
    <xf numFmtId="0" fontId="61" fillId="0" borderId="0" applyNumberFormat="0" applyFill="0" applyBorder="0" applyProtection="0">
      <alignment horizontal="left"/>
    </xf>
    <xf numFmtId="0" fontId="26" fillId="0" borderId="0" applyNumberFormat="0" applyFill="0" applyBorder="0" applyProtection="0">
      <alignment horizontal="left"/>
    </xf>
    <xf numFmtId="0" fontId="61" fillId="0" borderId="0" applyNumberFormat="0" applyFill="0" applyBorder="0" applyProtection="0">
      <alignment horizontal="left"/>
    </xf>
    <xf numFmtId="0" fontId="26" fillId="0" borderId="0" applyNumberFormat="0" applyFill="0" applyBorder="0" applyProtection="0">
      <alignment horizontal="left"/>
    </xf>
    <xf numFmtId="0" fontId="64" fillId="0" borderId="0" applyNumberFormat="0" applyFill="0" applyBorder="0" applyProtection="0">
      <alignment horizontal="centerContinuous"/>
    </xf>
    <xf numFmtId="0" fontId="26" fillId="0" borderId="0" applyNumberFormat="0" applyFill="0" applyBorder="0" applyProtection="0">
      <alignment horizontal="centerContinuous"/>
    </xf>
    <xf numFmtId="0" fontId="64" fillId="0" borderId="0" applyNumberFormat="0" applyFill="0" applyProtection="0">
      <alignment horizontal="centerContinuous"/>
    </xf>
    <xf numFmtId="0" fontId="64" fillId="0" borderId="0" applyNumberFormat="0" applyFill="0" applyProtection="0">
      <alignment horizontal="centerContinuous"/>
    </xf>
    <xf numFmtId="0" fontId="64" fillId="0" borderId="0" applyNumberFormat="0" applyFill="0" applyBorder="0" applyProtection="0">
      <alignment horizontal="centerContinuous"/>
    </xf>
    <xf numFmtId="0" fontId="65" fillId="0" borderId="0" applyNumberFormat="0" applyFill="0" applyBorder="0" applyProtection="0">
      <alignment horizontal="centerContinuous"/>
    </xf>
    <xf numFmtId="0" fontId="26" fillId="0" borderId="0" applyNumberFormat="0" applyFill="0" applyBorder="0" applyProtection="0">
      <alignment horizontal="centerContinuous"/>
    </xf>
    <xf numFmtId="0" fontId="64" fillId="0" borderId="0" applyNumberFormat="0" applyFill="0" applyBorder="0" applyProtection="0">
      <alignment horizontal="centerContinuous"/>
    </xf>
    <xf numFmtId="0" fontId="64" fillId="0" borderId="0" applyNumberFormat="0" applyFill="0" applyBorder="0" applyProtection="0">
      <alignment horizontal="centerContinuous"/>
    </xf>
    <xf numFmtId="0" fontId="26" fillId="0" borderId="0" applyNumberFormat="0" applyFill="0" applyBorder="0" applyProtection="0">
      <alignment horizontal="centerContinuous"/>
    </xf>
    <xf numFmtId="0" fontId="64" fillId="0" borderId="0" applyNumberFormat="0" applyFill="0" applyBorder="0" applyProtection="0">
      <alignment horizontal="centerContinuous"/>
    </xf>
    <xf numFmtId="0" fontId="64" fillId="0" borderId="0" applyNumberFormat="0" applyFill="0" applyBorder="0" applyProtection="0">
      <alignment horizontal="centerContinuous"/>
    </xf>
    <xf numFmtId="0" fontId="64" fillId="0" borderId="0" applyNumberFormat="0" applyFill="0" applyBorder="0" applyProtection="0">
      <alignment horizontal="centerContinuous"/>
    </xf>
    <xf numFmtId="0" fontId="26" fillId="0" borderId="0" applyNumberFormat="0" applyFill="0" applyBorder="0" applyProtection="0">
      <alignment horizontal="centerContinuous"/>
    </xf>
    <xf numFmtId="0" fontId="65" fillId="0" borderId="0" applyNumberFormat="0" applyFill="0" applyBorder="0" applyProtection="0">
      <alignment horizontal="centerContinuous"/>
    </xf>
    <xf numFmtId="0" fontId="26" fillId="0" borderId="0" applyNumberFormat="0" applyFill="0" applyBorder="0" applyProtection="0">
      <alignment horizontal="centerContinuous"/>
    </xf>
    <xf numFmtId="0" fontId="52" fillId="0" borderId="0" applyNumberFormat="0" applyFill="0" applyBorder="0" applyAlignment="0" applyProtection="0"/>
    <xf numFmtId="0" fontId="26" fillId="0" borderId="0"/>
    <xf numFmtId="0" fontId="26" fillId="0" borderId="0"/>
    <xf numFmtId="0" fontId="26" fillId="0" borderId="0"/>
    <xf numFmtId="0" fontId="26" fillId="0" borderId="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220" fontId="26" fillId="0" borderId="0">
      <alignment horizontal="left" wrapText="1"/>
    </xf>
    <xf numFmtId="220" fontId="26" fillId="0" borderId="0">
      <alignment horizontal="left" wrapText="1"/>
    </xf>
    <xf numFmtId="0" fontId="26" fillId="0" borderId="0"/>
    <xf numFmtId="0" fontId="67" fillId="0" borderId="0"/>
    <xf numFmtId="0" fontId="67" fillId="0" borderId="0"/>
    <xf numFmtId="0" fontId="36" fillId="0" borderId="0"/>
    <xf numFmtId="0" fontId="36" fillId="0" borderId="0"/>
    <xf numFmtId="0" fontId="68" fillId="0" borderId="0">
      <alignment horizontal="right"/>
    </xf>
    <xf numFmtId="0" fontId="68" fillId="0" borderId="0">
      <alignment horizontal="right"/>
    </xf>
    <xf numFmtId="221" fontId="52" fillId="0" borderId="0" applyFont="0" applyFill="0" applyBorder="0" applyAlignment="0" applyProtection="0"/>
    <xf numFmtId="221" fontId="52" fillId="0" borderId="0" applyFont="0" applyFill="0" applyBorder="0" applyAlignment="0" applyProtection="0"/>
    <xf numFmtId="222" fontId="69" fillId="0" borderId="0" applyFont="0" applyFill="0" applyBorder="0" applyAlignment="0" applyProtection="0"/>
    <xf numFmtId="222" fontId="26" fillId="0" borderId="0" applyFont="0" applyFill="0" applyBorder="0" applyAlignment="0" applyProtection="0"/>
    <xf numFmtId="223" fontId="69" fillId="0" borderId="0" applyFont="0" applyFill="0" applyBorder="0" applyAlignment="0" applyProtection="0"/>
    <xf numFmtId="223" fontId="26" fillId="0" borderId="0" applyFont="0" applyFill="0" applyBorder="0" applyAlignment="0" applyProtection="0"/>
    <xf numFmtId="224" fontId="69" fillId="0" borderId="0" applyFont="0" applyFill="0" applyBorder="0" applyAlignment="0" applyProtection="0"/>
    <xf numFmtId="224" fontId="26" fillId="0" borderId="0" applyFont="0" applyFill="0" applyBorder="0" applyAlignment="0" applyProtection="0"/>
    <xf numFmtId="225" fontId="69" fillId="0" borderId="0" applyFont="0" applyFill="0" applyBorder="0" applyAlignment="0" applyProtection="0"/>
    <xf numFmtId="225" fontId="26" fillId="0" borderId="0" applyFont="0" applyFill="0" applyBorder="0" applyAlignment="0" applyProtection="0"/>
    <xf numFmtId="226" fontId="69" fillId="0" borderId="0" applyFont="0" applyFill="0" applyBorder="0" applyAlignment="0" applyProtection="0"/>
    <xf numFmtId="226" fontId="26" fillId="0" borderId="0" applyFont="0" applyFill="0" applyBorder="0" applyAlignment="0" applyProtection="0"/>
    <xf numFmtId="227" fontId="70" fillId="0" borderId="0" applyFont="0" applyFill="0" applyBorder="0" applyAlignment="0" applyProtection="0"/>
    <xf numFmtId="227" fontId="26" fillId="0" borderId="0" applyFont="0" applyFill="0" applyBorder="0" applyAlignment="0" applyProtection="0"/>
    <xf numFmtId="0" fontId="26" fillId="0" borderId="0"/>
    <xf numFmtId="41" fontId="26" fillId="0" borderId="0" applyFont="0" applyFill="0" applyBorder="0" applyAlignment="0" applyProtection="0"/>
    <xf numFmtId="43" fontId="26" fillId="0" borderId="0" applyFont="0" applyFill="0" applyBorder="0" applyAlignment="0" applyProtection="0"/>
    <xf numFmtId="228" fontId="52" fillId="0" borderId="0" applyFont="0" applyFill="0" applyBorder="0" applyAlignment="0" applyProtection="0"/>
    <xf numFmtId="228" fontId="52" fillId="0" borderId="0" applyFont="0" applyFill="0" applyBorder="0" applyAlignment="0" applyProtection="0"/>
    <xf numFmtId="0" fontId="38" fillId="0" borderId="0">
      <alignment vertical="top"/>
    </xf>
    <xf numFmtId="0" fontId="71" fillId="0" borderId="0"/>
    <xf numFmtId="0" fontId="72" fillId="0" borderId="0"/>
    <xf numFmtId="0" fontId="71" fillId="0" borderId="0"/>
    <xf numFmtId="0" fontId="73" fillId="0" borderId="0" applyNumberFormat="0" applyFill="0" applyBorder="0" applyAlignment="0" applyProtection="0">
      <alignment vertical="top"/>
      <protection locked="0"/>
    </xf>
    <xf numFmtId="43" fontId="30" fillId="0" borderId="0" applyFont="0" applyFill="0" applyBorder="0" applyAlignment="0" applyProtection="0"/>
    <xf numFmtId="0" fontId="71" fillId="0" borderId="0"/>
    <xf numFmtId="229" fontId="41" fillId="0" borderId="0"/>
    <xf numFmtId="1" fontId="26" fillId="0" borderId="0"/>
    <xf numFmtId="9" fontId="26" fillId="0" borderId="0"/>
    <xf numFmtId="230" fontId="74" fillId="0" borderId="0">
      <alignment horizontal="center"/>
    </xf>
    <xf numFmtId="231" fontId="74" fillId="0" borderId="0">
      <alignment horizontal="center"/>
    </xf>
    <xf numFmtId="232" fontId="74" fillId="0" borderId="0">
      <alignment horizontal="center"/>
    </xf>
    <xf numFmtId="233" fontId="52" fillId="0" borderId="0">
      <alignment horizontal="center"/>
    </xf>
    <xf numFmtId="234" fontId="74" fillId="0" borderId="0">
      <alignment horizontal="center"/>
    </xf>
    <xf numFmtId="235" fontId="74" fillId="0" borderId="0">
      <alignment horizontal="center"/>
    </xf>
    <xf numFmtId="191" fontId="41" fillId="0" borderId="0"/>
    <xf numFmtId="236" fontId="75" fillId="0" borderId="0">
      <alignment horizontal="left"/>
      <protection locked="0"/>
    </xf>
    <xf numFmtId="165" fontId="41" fillId="0" borderId="0"/>
    <xf numFmtId="2" fontId="41" fillId="0" borderId="0"/>
    <xf numFmtId="10" fontId="41" fillId="0" borderId="0"/>
    <xf numFmtId="2" fontId="41" fillId="0" borderId="0"/>
    <xf numFmtId="1" fontId="76" fillId="0" borderId="0"/>
    <xf numFmtId="1" fontId="26" fillId="0" borderId="0"/>
    <xf numFmtId="229" fontId="41" fillId="0" borderId="0"/>
    <xf numFmtId="229"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237" fontId="74" fillId="0" borderId="0">
      <alignment horizontal="center"/>
    </xf>
    <xf numFmtId="238" fontId="74" fillId="0" borderId="0">
      <alignment horizontal="center"/>
    </xf>
    <xf numFmtId="230" fontId="74" fillId="0" borderId="0">
      <alignment horizontal="center"/>
    </xf>
    <xf numFmtId="239" fontId="52" fillId="0" borderId="0">
      <alignment horizontal="center"/>
    </xf>
    <xf numFmtId="240" fontId="77" fillId="0" borderId="0">
      <alignment horizontal="left"/>
    </xf>
    <xf numFmtId="0" fontId="78" fillId="0" borderId="0">
      <alignment horizontal="left"/>
    </xf>
    <xf numFmtId="192" fontId="26" fillId="0" borderId="0"/>
    <xf numFmtId="241" fontId="26" fillId="0" borderId="0" applyFont="0" applyFill="0" applyBorder="0" applyAlignment="0" applyProtection="0"/>
    <xf numFmtId="191" fontId="35" fillId="0" borderId="0"/>
    <xf numFmtId="191" fontId="35" fillId="0" borderId="0"/>
    <xf numFmtId="191" fontId="26" fillId="0" borderId="0"/>
    <xf numFmtId="191" fontId="35" fillId="0" borderId="0"/>
    <xf numFmtId="191" fontId="35" fillId="0" borderId="0"/>
    <xf numFmtId="191" fontId="35" fillId="0" borderId="0"/>
    <xf numFmtId="242" fontId="26" fillId="0" borderId="0" applyFont="0" applyFill="0" applyBorder="0" applyAlignment="0" applyProtection="0"/>
    <xf numFmtId="180" fontId="26" fillId="0" borderId="0" applyFont="0" applyFill="0" applyBorder="0" applyAlignment="0" applyProtection="0"/>
    <xf numFmtId="243" fontId="25" fillId="0" borderId="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79" fillId="37" borderId="0" applyNumberFormat="0" applyBorder="0" applyAlignment="0" applyProtection="0"/>
    <xf numFmtId="0" fontId="79" fillId="38" borderId="0" applyNumberFormat="0" applyBorder="0" applyAlignment="0" applyProtection="0"/>
    <xf numFmtId="0" fontId="79" fillId="39" borderId="0" applyNumberFormat="0" applyBorder="0" applyAlignment="0" applyProtection="0"/>
    <xf numFmtId="0" fontId="79" fillId="40" borderId="0" applyNumberFormat="0" applyBorder="0" applyAlignment="0" applyProtection="0"/>
    <xf numFmtId="0" fontId="79" fillId="41" borderId="0" applyNumberFormat="0" applyBorder="0" applyAlignment="0" applyProtection="0"/>
    <xf numFmtId="0" fontId="79" fillId="42" borderId="0" applyNumberFormat="0" applyBorder="0" applyAlignment="0" applyProtection="0"/>
    <xf numFmtId="0" fontId="80" fillId="43" borderId="0" applyNumberFormat="0" applyBorder="0" applyAlignment="0" applyProtection="0"/>
    <xf numFmtId="0" fontId="80" fillId="42" borderId="0" applyNumberFormat="0" applyBorder="0" applyAlignment="0" applyProtection="0"/>
    <xf numFmtId="0" fontId="80" fillId="44" borderId="0" applyNumberFormat="0" applyBorder="0" applyAlignment="0" applyProtection="0"/>
    <xf numFmtId="0" fontId="80" fillId="43" borderId="0" applyNumberFormat="0" applyBorder="0" applyAlignment="0" applyProtection="0"/>
    <xf numFmtId="0" fontId="80" fillId="41" borderId="0" applyNumberFormat="0" applyBorder="0" applyAlignment="0" applyProtection="0"/>
    <xf numFmtId="0" fontId="80" fillId="42" borderId="0" applyNumberFormat="0" applyBorder="0" applyAlignment="0" applyProtection="0"/>
    <xf numFmtId="0" fontId="81" fillId="37" borderId="0" applyNumberFormat="0" applyBorder="0" applyAlignment="0" applyProtection="0"/>
    <xf numFmtId="0" fontId="26" fillId="0" borderId="0" applyNumberFormat="0" applyBorder="0" applyAlignment="0" applyProtection="0"/>
    <xf numFmtId="0" fontId="81" fillId="38" borderId="0" applyNumberFormat="0" applyBorder="0" applyAlignment="0" applyProtection="0"/>
    <xf numFmtId="0" fontId="26" fillId="0" borderId="0" applyNumberFormat="0" applyBorder="0" applyAlignment="0" applyProtection="0"/>
    <xf numFmtId="0" fontId="81" fillId="39" borderId="0" applyNumberFormat="0" applyBorder="0" applyAlignment="0" applyProtection="0"/>
    <xf numFmtId="0" fontId="26" fillId="0" borderId="0" applyNumberFormat="0" applyBorder="0" applyAlignment="0" applyProtection="0"/>
    <xf numFmtId="0" fontId="81" fillId="40" borderId="0" applyNumberFormat="0" applyBorder="0" applyAlignment="0" applyProtection="0"/>
    <xf numFmtId="0" fontId="26" fillId="0" borderId="0" applyNumberFormat="0" applyBorder="0" applyAlignment="0" applyProtection="0"/>
    <xf numFmtId="0" fontId="81" fillId="41" borderId="0" applyNumberFormat="0" applyBorder="0" applyAlignment="0" applyProtection="0"/>
    <xf numFmtId="0" fontId="26" fillId="0" borderId="0" applyNumberFormat="0" applyBorder="0" applyAlignment="0" applyProtection="0"/>
    <xf numFmtId="0" fontId="81" fillId="42" borderId="0" applyNumberFormat="0" applyBorder="0" applyAlignment="0" applyProtection="0"/>
    <xf numFmtId="0" fontId="26" fillId="0" borderId="0" applyNumberFormat="0" applyBorder="0" applyAlignment="0" applyProtection="0"/>
    <xf numFmtId="244" fontId="35" fillId="0" borderId="0"/>
    <xf numFmtId="244" fontId="35" fillId="0" borderId="0"/>
    <xf numFmtId="244" fontId="26" fillId="0" borderId="0"/>
    <xf numFmtId="244" fontId="35" fillId="0" borderId="0"/>
    <xf numFmtId="244" fontId="35" fillId="0" borderId="0"/>
    <xf numFmtId="244" fontId="35" fillId="0" borderId="0"/>
    <xf numFmtId="40" fontId="35" fillId="0" borderId="0"/>
    <xf numFmtId="40" fontId="35" fillId="0" borderId="0"/>
    <xf numFmtId="40" fontId="26" fillId="0" borderId="0"/>
    <xf numFmtId="40" fontId="35" fillId="0" borderId="0"/>
    <xf numFmtId="40" fontId="35" fillId="0" borderId="0"/>
    <xf numFmtId="40" fontId="35" fillId="0" borderId="0"/>
    <xf numFmtId="245" fontId="25" fillId="0" borderId="0" applyBorder="0"/>
    <xf numFmtId="42" fontId="26" fillId="0" borderId="0" applyFont="0" applyFill="0" applyBorder="0" applyAlignment="0" applyProtection="0"/>
    <xf numFmtId="44" fontId="26" fillId="0" borderId="0" applyFont="0" applyFill="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22"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26" borderId="0" applyNumberFormat="0" applyBorder="0" applyAlignment="0" applyProtection="0"/>
    <xf numFmtId="0" fontId="21" fillId="26" borderId="0" applyNumberFormat="0" applyBorder="0" applyAlignment="0" applyProtection="0"/>
    <xf numFmtId="0" fontId="21" fillId="26" borderId="0" applyNumberFormat="0" applyBorder="0" applyAlignment="0" applyProtection="0"/>
    <xf numFmtId="0" fontId="21" fillId="26"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1" fillId="45" borderId="0" applyNumberFormat="0" applyBorder="0" applyAlignment="0" applyProtection="0"/>
    <xf numFmtId="0" fontId="26" fillId="0" borderId="0" applyNumberFormat="0" applyBorder="0" applyAlignment="0" applyProtection="0"/>
    <xf numFmtId="0" fontId="81" fillId="46" borderId="0" applyNumberFormat="0" applyBorder="0" applyAlignment="0" applyProtection="0"/>
    <xf numFmtId="0" fontId="26" fillId="0" borderId="0" applyNumberFormat="0" applyBorder="0" applyAlignment="0" applyProtection="0"/>
    <xf numFmtId="0" fontId="81" fillId="47" borderId="0" applyNumberFormat="0" applyBorder="0" applyAlignment="0" applyProtection="0"/>
    <xf numFmtId="0" fontId="26" fillId="0" borderId="0" applyNumberFormat="0" applyBorder="0" applyAlignment="0" applyProtection="0"/>
    <xf numFmtId="0" fontId="81" fillId="40" borderId="0" applyNumberFormat="0" applyBorder="0" applyAlignment="0" applyProtection="0"/>
    <xf numFmtId="0" fontId="26" fillId="0" borderId="0" applyNumberFormat="0" applyBorder="0" applyAlignment="0" applyProtection="0"/>
    <xf numFmtId="0" fontId="81" fillId="45" borderId="0" applyNumberFormat="0" applyBorder="0" applyAlignment="0" applyProtection="0"/>
    <xf numFmtId="0" fontId="26" fillId="0" borderId="0" applyNumberFormat="0" applyBorder="0" applyAlignment="0" applyProtection="0"/>
    <xf numFmtId="0" fontId="81" fillId="48" borderId="0" applyNumberFormat="0" applyBorder="0" applyAlignment="0" applyProtection="0"/>
    <xf numFmtId="0" fontId="26" fillId="0" borderId="0" applyNumberFormat="0" applyBorder="0" applyAlignment="0" applyProtection="0"/>
    <xf numFmtId="0" fontId="26" fillId="0" borderId="0"/>
    <xf numFmtId="0" fontId="26" fillId="0" borderId="0"/>
    <xf numFmtId="0" fontId="26" fillId="0" borderId="0"/>
    <xf numFmtId="0" fontId="26" fillId="0" borderId="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26" fillId="0" borderId="0"/>
    <xf numFmtId="0"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246"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246"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0" fontId="26" fillId="0" borderId="0"/>
    <xf numFmtId="246"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246" fontId="83" fillId="49" borderId="0" applyNumberFormat="0" applyBorder="0" applyAlignment="0" applyProtection="0"/>
    <xf numFmtId="0" fontId="83" fillId="49" borderId="0" applyNumberFormat="0" applyBorder="0" applyAlignment="0" applyProtection="0"/>
    <xf numFmtId="0" fontId="26" fillId="0" borderId="0"/>
    <xf numFmtId="246" fontId="83" fillId="49"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246" fontId="83" fillId="49" borderId="0" applyNumberFormat="0" applyBorder="0" applyAlignment="0" applyProtection="0"/>
    <xf numFmtId="0" fontId="82" fillId="7" borderId="0" applyNumberFormat="0" applyBorder="0" applyAlignment="0" applyProtection="0"/>
    <xf numFmtId="0" fontId="26" fillId="0" borderId="0"/>
    <xf numFmtId="246" fontId="83" fillId="49"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246" fontId="83" fillId="49" borderId="0" applyNumberFormat="0" applyBorder="0" applyAlignment="0" applyProtection="0"/>
    <xf numFmtId="0" fontId="82" fillId="7" borderId="0" applyNumberFormat="0" applyBorder="0" applyAlignment="0" applyProtection="0"/>
    <xf numFmtId="0" fontId="26" fillId="0" borderId="0"/>
    <xf numFmtId="0" fontId="83" fillId="49" borderId="0" applyNumberFormat="0" applyBorder="0" applyAlignment="0" applyProtection="0"/>
    <xf numFmtId="0" fontId="83" fillId="49"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26" fillId="0" borderId="0"/>
    <xf numFmtId="0"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246"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246"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0" fontId="26" fillId="0" borderId="0"/>
    <xf numFmtId="246"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246" fontId="83" fillId="46" borderId="0" applyNumberFormat="0" applyBorder="0" applyAlignment="0" applyProtection="0"/>
    <xf numFmtId="0" fontId="83" fillId="46" borderId="0" applyNumberFormat="0" applyBorder="0" applyAlignment="0" applyProtection="0"/>
    <xf numFmtId="0" fontId="26" fillId="0" borderId="0"/>
    <xf numFmtId="246" fontId="83" fillId="46"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246" fontId="83" fillId="46" borderId="0" applyNumberFormat="0" applyBorder="0" applyAlignment="0" applyProtection="0"/>
    <xf numFmtId="0" fontId="82" fillId="11" borderId="0" applyNumberFormat="0" applyBorder="0" applyAlignment="0" applyProtection="0"/>
    <xf numFmtId="0" fontId="26" fillId="0" borderId="0"/>
    <xf numFmtId="246" fontId="83" fillId="46"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246" fontId="83" fillId="46" borderId="0" applyNumberFormat="0" applyBorder="0" applyAlignment="0" applyProtection="0"/>
    <xf numFmtId="0" fontId="82" fillId="11" borderId="0" applyNumberFormat="0" applyBorder="0" applyAlignment="0" applyProtection="0"/>
    <xf numFmtId="0" fontId="26" fillId="0" borderId="0"/>
    <xf numFmtId="0" fontId="83" fillId="46" borderId="0" applyNumberFormat="0" applyBorder="0" applyAlignment="0" applyProtection="0"/>
    <xf numFmtId="0" fontId="83" fillId="46"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26" fillId="0" borderId="0"/>
    <xf numFmtId="0"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246"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246"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0" fontId="26" fillId="0" borderId="0"/>
    <xf numFmtId="246"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246" fontId="83" fillId="47" borderId="0" applyNumberFormat="0" applyBorder="0" applyAlignment="0" applyProtection="0"/>
    <xf numFmtId="0" fontId="83" fillId="47" borderId="0" applyNumberFormat="0" applyBorder="0" applyAlignment="0" applyProtection="0"/>
    <xf numFmtId="0" fontId="26" fillId="0" borderId="0"/>
    <xf numFmtId="246" fontId="83" fillId="47"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246" fontId="83" fillId="47" borderId="0" applyNumberFormat="0" applyBorder="0" applyAlignment="0" applyProtection="0"/>
    <xf numFmtId="0" fontId="82" fillId="15" borderId="0" applyNumberFormat="0" applyBorder="0" applyAlignment="0" applyProtection="0"/>
    <xf numFmtId="0" fontId="26" fillId="0" borderId="0"/>
    <xf numFmtId="246" fontId="83" fillId="47"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246" fontId="83" fillId="47" borderId="0" applyNumberFormat="0" applyBorder="0" applyAlignment="0" applyProtection="0"/>
    <xf numFmtId="0" fontId="82" fillId="15" borderId="0" applyNumberFormat="0" applyBorder="0" applyAlignment="0" applyProtection="0"/>
    <xf numFmtId="0" fontId="26" fillId="0" borderId="0"/>
    <xf numFmtId="0" fontId="83" fillId="47" borderId="0" applyNumberFormat="0" applyBorder="0" applyAlignment="0" applyProtection="0"/>
    <xf numFmtId="0" fontId="83" fillId="47"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26" fillId="0" borderId="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6"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6"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26" fillId="0" borderId="0"/>
    <xf numFmtId="246"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6" fontId="83" fillId="50" borderId="0" applyNumberFormat="0" applyBorder="0" applyAlignment="0" applyProtection="0"/>
    <xf numFmtId="0" fontId="83" fillId="50" borderId="0" applyNumberFormat="0" applyBorder="0" applyAlignment="0" applyProtection="0"/>
    <xf numFmtId="0" fontId="26" fillId="0" borderId="0"/>
    <xf numFmtId="246" fontId="83" fillId="50"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246" fontId="83" fillId="50" borderId="0" applyNumberFormat="0" applyBorder="0" applyAlignment="0" applyProtection="0"/>
    <xf numFmtId="0" fontId="82" fillId="19" borderId="0" applyNumberFormat="0" applyBorder="0" applyAlignment="0" applyProtection="0"/>
    <xf numFmtId="0" fontId="26" fillId="0" borderId="0"/>
    <xf numFmtId="246" fontId="83" fillId="50"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246" fontId="83" fillId="50" borderId="0" applyNumberFormat="0" applyBorder="0" applyAlignment="0" applyProtection="0"/>
    <xf numFmtId="0" fontId="82" fillId="19" borderId="0" applyNumberFormat="0" applyBorder="0" applyAlignment="0" applyProtection="0"/>
    <xf numFmtId="0" fontId="26" fillId="0" borderId="0"/>
    <xf numFmtId="0" fontId="83" fillId="50" borderId="0" applyNumberFormat="0" applyBorder="0" applyAlignment="0" applyProtection="0"/>
    <xf numFmtId="0" fontId="83" fillId="50"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26" fillId="0" borderId="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6"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6"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26" fillId="0" borderId="0"/>
    <xf numFmtId="246"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6" fontId="83" fillId="51" borderId="0" applyNumberFormat="0" applyBorder="0" applyAlignment="0" applyProtection="0"/>
    <xf numFmtId="0" fontId="83" fillId="51" borderId="0" applyNumberFormat="0" applyBorder="0" applyAlignment="0" applyProtection="0"/>
    <xf numFmtId="0" fontId="26" fillId="0" borderId="0"/>
    <xf numFmtId="246" fontId="83" fillId="51"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246" fontId="83" fillId="51" borderId="0" applyNumberFormat="0" applyBorder="0" applyAlignment="0" applyProtection="0"/>
    <xf numFmtId="0" fontId="82" fillId="23" borderId="0" applyNumberFormat="0" applyBorder="0" applyAlignment="0" applyProtection="0"/>
    <xf numFmtId="0" fontId="26" fillId="0" borderId="0"/>
    <xf numFmtId="246" fontId="83" fillId="51"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246" fontId="83" fillId="51" borderId="0" applyNumberFormat="0" applyBorder="0" applyAlignment="0" applyProtection="0"/>
    <xf numFmtId="0" fontId="82" fillId="23" borderId="0" applyNumberFormat="0" applyBorder="0" applyAlignment="0" applyProtection="0"/>
    <xf numFmtId="0" fontId="26" fillId="0" borderId="0"/>
    <xf numFmtId="0" fontId="83" fillId="51" borderId="0" applyNumberFormat="0" applyBorder="0" applyAlignment="0" applyProtection="0"/>
    <xf numFmtId="0" fontId="83" fillId="51"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26" fillId="0" borderId="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246"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246"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26" fillId="0" borderId="0"/>
    <xf numFmtId="246"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246" fontId="83" fillId="52" borderId="0" applyNumberFormat="0" applyBorder="0" applyAlignment="0" applyProtection="0"/>
    <xf numFmtId="0" fontId="83" fillId="52" borderId="0" applyNumberFormat="0" applyBorder="0" applyAlignment="0" applyProtection="0"/>
    <xf numFmtId="0" fontId="26" fillId="0" borderId="0"/>
    <xf numFmtId="246"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246" fontId="83" fillId="52" borderId="0" applyNumberFormat="0" applyBorder="0" applyAlignment="0" applyProtection="0"/>
    <xf numFmtId="0" fontId="82" fillId="27" borderId="0" applyNumberFormat="0" applyBorder="0" applyAlignment="0" applyProtection="0"/>
    <xf numFmtId="0" fontId="26" fillId="0" borderId="0"/>
    <xf numFmtId="246"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246" fontId="83" fillId="52" borderId="0" applyNumberFormat="0" applyBorder="0" applyAlignment="0" applyProtection="0"/>
    <xf numFmtId="0" fontId="82" fillId="27" borderId="0" applyNumberFormat="0" applyBorder="0" applyAlignment="0" applyProtection="0"/>
    <xf numFmtId="0" fontId="26" fillId="0" borderId="0"/>
    <xf numFmtId="0" fontId="83" fillId="52" borderId="0" applyNumberFormat="0" applyBorder="0" applyAlignment="0" applyProtection="0"/>
    <xf numFmtId="0" fontId="83" fillId="52"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4" fillId="49" borderId="0" applyNumberFormat="0" applyBorder="0" applyAlignment="0" applyProtection="0"/>
    <xf numFmtId="0" fontId="26" fillId="0" borderId="0" applyNumberFormat="0" applyBorder="0" applyAlignment="0" applyProtection="0"/>
    <xf numFmtId="0" fontId="84" fillId="46" borderId="0" applyNumberFormat="0" applyBorder="0" applyAlignment="0" applyProtection="0"/>
    <xf numFmtId="0" fontId="26" fillId="0" borderId="0" applyNumberFormat="0" applyBorder="0" applyAlignment="0" applyProtection="0"/>
    <xf numFmtId="0" fontId="84" fillId="47" borderId="0" applyNumberFormat="0" applyBorder="0" applyAlignment="0" applyProtection="0"/>
    <xf numFmtId="0" fontId="26" fillId="0" borderId="0" applyNumberFormat="0" applyBorder="0" applyAlignment="0" applyProtection="0"/>
    <xf numFmtId="0" fontId="84" fillId="50" borderId="0" applyNumberFormat="0" applyBorder="0" applyAlignment="0" applyProtection="0"/>
    <xf numFmtId="0" fontId="26" fillId="0" borderId="0" applyNumberFormat="0" applyBorder="0" applyAlignment="0" applyProtection="0"/>
    <xf numFmtId="0" fontId="84" fillId="51" borderId="0" applyNumberFormat="0" applyBorder="0" applyAlignment="0" applyProtection="0"/>
    <xf numFmtId="0" fontId="26" fillId="0" borderId="0" applyNumberFormat="0" applyBorder="0" applyAlignment="0" applyProtection="0"/>
    <xf numFmtId="0" fontId="84" fillId="52" borderId="0" applyNumberFormat="0" applyBorder="0" applyAlignment="0" applyProtection="0"/>
    <xf numFmtId="0" fontId="26" fillId="0"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26" fillId="0" borderId="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246"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246"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26" fillId="0" borderId="0"/>
    <xf numFmtId="246"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246" fontId="83" fillId="53" borderId="0" applyNumberFormat="0" applyBorder="0" applyAlignment="0" applyProtection="0"/>
    <xf numFmtId="0" fontId="83" fillId="53" borderId="0" applyNumberFormat="0" applyBorder="0" applyAlignment="0" applyProtection="0"/>
    <xf numFmtId="0" fontId="26" fillId="0" borderId="0"/>
    <xf numFmtId="246"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246" fontId="83" fillId="53" borderId="0" applyNumberFormat="0" applyBorder="0" applyAlignment="0" applyProtection="0"/>
    <xf numFmtId="0" fontId="82" fillId="4" borderId="0" applyNumberFormat="0" applyBorder="0" applyAlignment="0" applyProtection="0"/>
    <xf numFmtId="0" fontId="26" fillId="0" borderId="0"/>
    <xf numFmtId="246"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246" fontId="83" fillId="53" borderId="0" applyNumberFormat="0" applyBorder="0" applyAlignment="0" applyProtection="0"/>
    <xf numFmtId="0" fontId="82" fillId="4" borderId="0" applyNumberFormat="0" applyBorder="0" applyAlignment="0" applyProtection="0"/>
    <xf numFmtId="0" fontId="26" fillId="0" borderId="0"/>
    <xf numFmtId="0" fontId="83" fillId="53" borderId="0" applyNumberFormat="0" applyBorder="0" applyAlignment="0" applyProtection="0"/>
    <xf numFmtId="0" fontId="83" fillId="53"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26" fillId="0" borderId="0"/>
    <xf numFmtId="0"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246"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246"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0" fontId="26" fillId="0" borderId="0"/>
    <xf numFmtId="246"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246" fontId="83" fillId="54" borderId="0" applyNumberFormat="0" applyBorder="0" applyAlignment="0" applyProtection="0"/>
    <xf numFmtId="0" fontId="83" fillId="54" borderId="0" applyNumberFormat="0" applyBorder="0" applyAlignment="0" applyProtection="0"/>
    <xf numFmtId="0" fontId="26" fillId="0" borderId="0"/>
    <xf numFmtId="246" fontId="83" fillId="54"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246" fontId="83" fillId="54" borderId="0" applyNumberFormat="0" applyBorder="0" applyAlignment="0" applyProtection="0"/>
    <xf numFmtId="0" fontId="82" fillId="8" borderId="0" applyNumberFormat="0" applyBorder="0" applyAlignment="0" applyProtection="0"/>
    <xf numFmtId="0" fontId="26" fillId="0" borderId="0"/>
    <xf numFmtId="246" fontId="83" fillId="54"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246" fontId="83" fillId="54" borderId="0" applyNumberFormat="0" applyBorder="0" applyAlignment="0" applyProtection="0"/>
    <xf numFmtId="0" fontId="82" fillId="8" borderId="0" applyNumberFormat="0" applyBorder="0" applyAlignment="0" applyProtection="0"/>
    <xf numFmtId="0" fontId="26" fillId="0" borderId="0"/>
    <xf numFmtId="0" fontId="83" fillId="54" borderId="0" applyNumberFormat="0" applyBorder="0" applyAlignment="0" applyProtection="0"/>
    <xf numFmtId="0" fontId="83" fillId="54"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26" fillId="0" borderId="0"/>
    <xf numFmtId="0"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246"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246"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0" fontId="26" fillId="0" borderId="0"/>
    <xf numFmtId="246"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246" fontId="83" fillId="55" borderId="0" applyNumberFormat="0" applyBorder="0" applyAlignment="0" applyProtection="0"/>
    <xf numFmtId="0" fontId="83" fillId="55" borderId="0" applyNumberFormat="0" applyBorder="0" applyAlignment="0" applyProtection="0"/>
    <xf numFmtId="0" fontId="26" fillId="0" borderId="0"/>
    <xf numFmtId="246" fontId="83" fillId="55"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246" fontId="83" fillId="55" borderId="0" applyNumberFormat="0" applyBorder="0" applyAlignment="0" applyProtection="0"/>
    <xf numFmtId="0" fontId="82" fillId="12" borderId="0" applyNumberFormat="0" applyBorder="0" applyAlignment="0" applyProtection="0"/>
    <xf numFmtId="0" fontId="26" fillId="0" borderId="0"/>
    <xf numFmtId="246" fontId="83" fillId="55"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246" fontId="83" fillId="55" borderId="0" applyNumberFormat="0" applyBorder="0" applyAlignment="0" applyProtection="0"/>
    <xf numFmtId="0" fontId="82" fillId="12" borderId="0" applyNumberFormat="0" applyBorder="0" applyAlignment="0" applyProtection="0"/>
    <xf numFmtId="0" fontId="26" fillId="0" borderId="0"/>
    <xf numFmtId="0" fontId="83" fillId="55" borderId="0" applyNumberFormat="0" applyBorder="0" applyAlignment="0" applyProtection="0"/>
    <xf numFmtId="0" fontId="83" fillId="55"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26" fillId="0" borderId="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6"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6"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26" fillId="0" borderId="0"/>
    <xf numFmtId="246"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6" fontId="83" fillId="50" borderId="0" applyNumberFormat="0" applyBorder="0" applyAlignment="0" applyProtection="0"/>
    <xf numFmtId="0" fontId="83" fillId="50" borderId="0" applyNumberFormat="0" applyBorder="0" applyAlignment="0" applyProtection="0"/>
    <xf numFmtId="0" fontId="26" fillId="0" borderId="0"/>
    <xf numFmtId="246" fontId="83" fillId="50"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246" fontId="83" fillId="50" borderId="0" applyNumberFormat="0" applyBorder="0" applyAlignment="0" applyProtection="0"/>
    <xf numFmtId="0" fontId="82" fillId="16" borderId="0" applyNumberFormat="0" applyBorder="0" applyAlignment="0" applyProtection="0"/>
    <xf numFmtId="0" fontId="26" fillId="0" borderId="0"/>
    <xf numFmtId="246" fontId="83" fillId="50"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246" fontId="83" fillId="50" borderId="0" applyNumberFormat="0" applyBorder="0" applyAlignment="0" applyProtection="0"/>
    <xf numFmtId="0" fontId="82" fillId="16" borderId="0" applyNumberFormat="0" applyBorder="0" applyAlignment="0" applyProtection="0"/>
    <xf numFmtId="0" fontId="26" fillId="0" borderId="0"/>
    <xf numFmtId="0" fontId="83" fillId="50" borderId="0" applyNumberFormat="0" applyBorder="0" applyAlignment="0" applyProtection="0"/>
    <xf numFmtId="0" fontId="83" fillId="50"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26" fillId="0" borderId="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6"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6"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26" fillId="0" borderId="0"/>
    <xf numFmtId="246"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6" fontId="83" fillId="51" borderId="0" applyNumberFormat="0" applyBorder="0" applyAlignment="0" applyProtection="0"/>
    <xf numFmtId="0" fontId="83" fillId="51" borderId="0" applyNumberFormat="0" applyBorder="0" applyAlignment="0" applyProtection="0"/>
    <xf numFmtId="0" fontId="26" fillId="0" borderId="0"/>
    <xf numFmtId="246" fontId="83" fillId="51"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246" fontId="83" fillId="51" borderId="0" applyNumberFormat="0" applyBorder="0" applyAlignment="0" applyProtection="0"/>
    <xf numFmtId="0" fontId="82" fillId="20" borderId="0" applyNumberFormat="0" applyBorder="0" applyAlignment="0" applyProtection="0"/>
    <xf numFmtId="0" fontId="26" fillId="0" borderId="0"/>
    <xf numFmtId="246" fontId="83" fillId="51"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246" fontId="83" fillId="51" borderId="0" applyNumberFormat="0" applyBorder="0" applyAlignment="0" applyProtection="0"/>
    <xf numFmtId="0" fontId="82" fillId="20" borderId="0" applyNumberFormat="0" applyBorder="0" applyAlignment="0" applyProtection="0"/>
    <xf numFmtId="0" fontId="26" fillId="0" borderId="0"/>
    <xf numFmtId="0" fontId="83" fillId="51" borderId="0" applyNumberFormat="0" applyBorder="0" applyAlignment="0" applyProtection="0"/>
    <xf numFmtId="0" fontId="83" fillId="51"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26" fillId="0" borderId="0"/>
    <xf numFmtId="0"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246"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246"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0" fontId="26" fillId="0" borderId="0"/>
    <xf numFmtId="246"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246" fontId="83" fillId="56" borderId="0" applyNumberFormat="0" applyBorder="0" applyAlignment="0" applyProtection="0"/>
    <xf numFmtId="0" fontId="83" fillId="56" borderId="0" applyNumberFormat="0" applyBorder="0" applyAlignment="0" applyProtection="0"/>
    <xf numFmtId="0" fontId="26" fillId="0" borderId="0"/>
    <xf numFmtId="246" fontId="83" fillId="56"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246" fontId="83" fillId="56" borderId="0" applyNumberFormat="0" applyBorder="0" applyAlignment="0" applyProtection="0"/>
    <xf numFmtId="0" fontId="82" fillId="24" borderId="0" applyNumberFormat="0" applyBorder="0" applyAlignment="0" applyProtection="0"/>
    <xf numFmtId="0" fontId="26" fillId="0" borderId="0"/>
    <xf numFmtId="246" fontId="83" fillId="56"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246" fontId="83" fillId="56" borderId="0" applyNumberFormat="0" applyBorder="0" applyAlignment="0" applyProtection="0"/>
    <xf numFmtId="0" fontId="82" fillId="24" borderId="0" applyNumberFormat="0" applyBorder="0" applyAlignment="0" applyProtection="0"/>
    <xf numFmtId="0" fontId="26" fillId="0" borderId="0"/>
    <xf numFmtId="0" fontId="83" fillId="56" borderId="0" applyNumberFormat="0" applyBorder="0" applyAlignment="0" applyProtection="0"/>
    <xf numFmtId="0" fontId="83" fillId="56" borderId="0" applyNumberFormat="0" applyBorder="0" applyAlignment="0" applyProtection="0"/>
    <xf numFmtId="0" fontId="26" fillId="0" borderId="0"/>
    <xf numFmtId="0" fontId="26" fillId="0" borderId="0"/>
    <xf numFmtId="0" fontId="26" fillId="0" borderId="0"/>
    <xf numFmtId="247" fontId="30" fillId="0" borderId="3"/>
    <xf numFmtId="247" fontId="30" fillId="0" borderId="3"/>
    <xf numFmtId="247" fontId="26" fillId="0" borderId="0"/>
    <xf numFmtId="247" fontId="30" fillId="0" borderId="3"/>
    <xf numFmtId="247" fontId="30" fillId="0" borderId="3"/>
    <xf numFmtId="247" fontId="30" fillId="0" borderId="3"/>
    <xf numFmtId="42" fontId="85" fillId="0" borderId="0" applyFont="0"/>
    <xf numFmtId="42" fontId="85" fillId="0" borderId="14" applyFont="0"/>
    <xf numFmtId="41" fontId="85" fillId="0" borderId="0" applyFont="0"/>
    <xf numFmtId="0" fontId="56" fillId="0" borderId="0" applyNumberFormat="0" applyAlignment="0"/>
    <xf numFmtId="0" fontId="56" fillId="0" borderId="0" applyNumberFormat="0" applyAlignment="0"/>
    <xf numFmtId="0" fontId="26" fillId="0" borderId="0" applyNumberFormat="0" applyAlignment="0"/>
    <xf numFmtId="0" fontId="56" fillId="0" borderId="0" applyNumberFormat="0" applyAlignment="0"/>
    <xf numFmtId="0" fontId="56" fillId="0" borderId="0" applyNumberFormat="0" applyAlignment="0"/>
    <xf numFmtId="0" fontId="56" fillId="0" borderId="0" applyNumberFormat="0" applyAlignment="0"/>
    <xf numFmtId="0" fontId="26" fillId="0" borderId="0"/>
    <xf numFmtId="246"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6" fontId="56" fillId="57" borderId="0" applyNumberFormat="0" applyFont="0" applyBorder="0" applyAlignment="0" applyProtection="0"/>
    <xf numFmtId="246"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6"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6"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6"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8" fontId="30" fillId="0" borderId="13"/>
    <xf numFmtId="0" fontId="26" fillId="0" borderId="0"/>
    <xf numFmtId="249" fontId="30" fillId="0" borderId="3"/>
    <xf numFmtId="249" fontId="30" fillId="0" borderId="3"/>
    <xf numFmtId="249" fontId="26" fillId="0" borderId="0"/>
    <xf numFmtId="249" fontId="30" fillId="0" borderId="3"/>
    <xf numFmtId="249" fontId="30" fillId="0" borderId="3"/>
    <xf numFmtId="249" fontId="30" fillId="0" borderId="3"/>
    <xf numFmtId="0" fontId="26" fillId="0" borderId="0"/>
    <xf numFmtId="0" fontId="86" fillId="0" borderId="0"/>
    <xf numFmtId="0" fontId="26" fillId="0" borderId="0"/>
    <xf numFmtId="0" fontId="86" fillId="0" borderId="0"/>
    <xf numFmtId="0" fontId="86" fillId="0" borderId="0"/>
    <xf numFmtId="249" fontId="30" fillId="0" borderId="10" applyBorder="0"/>
    <xf numFmtId="249" fontId="30" fillId="0" borderId="10" applyBorder="0"/>
    <xf numFmtId="249" fontId="26" fillId="0" borderId="0" applyBorder="0"/>
    <xf numFmtId="249" fontId="30" fillId="0" borderId="10" applyBorder="0"/>
    <xf numFmtId="249" fontId="30" fillId="0" borderId="10" applyBorder="0"/>
    <xf numFmtId="249" fontId="30" fillId="0" borderId="10" applyBorder="0"/>
    <xf numFmtId="0" fontId="36" fillId="0" borderId="0"/>
    <xf numFmtId="37" fontId="55" fillId="1" borderId="8">
      <alignment horizontal="centerContinuous" vertical="center"/>
    </xf>
    <xf numFmtId="37" fontId="55" fillId="1" borderId="8">
      <alignment horizontal="centerContinuous" vertical="center"/>
    </xf>
    <xf numFmtId="0" fontId="26" fillId="0" borderId="0"/>
    <xf numFmtId="0" fontId="26" fillId="0" borderId="0"/>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250" fontId="26" fillId="0" borderId="0" applyFont="0" applyFill="0" applyBorder="0" applyAlignment="0" applyProtection="0"/>
    <xf numFmtId="0" fontId="26" fillId="0" borderId="0"/>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6"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26" fillId="0" borderId="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0" fontId="26" fillId="0" borderId="0" applyNumberFormat="0" applyFill="0" applyBorder="0" applyAlignment="0" applyProtection="0"/>
    <xf numFmtId="246"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246"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0" fontId="26" fillId="0" borderId="0" applyNumberFormat="0" applyFill="0" applyBorder="0" applyAlignment="0" applyProtection="0"/>
    <xf numFmtId="246" fontId="26" fillId="0" borderId="0" applyNumberFormat="0" applyFill="0" applyBorder="0" applyAlignment="0" applyProtection="0"/>
    <xf numFmtId="0"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0"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246" fontId="26" fillId="0" borderId="0" applyNumberFormat="0" applyFill="0" applyBorder="0" applyAlignment="0" applyProtection="0"/>
    <xf numFmtId="0" fontId="26" fillId="0" borderId="0"/>
    <xf numFmtId="246" fontId="29" fillId="0" borderId="0" applyNumberFormat="0" applyFill="0" applyBorder="0" applyAlignment="0" applyProtection="0"/>
    <xf numFmtId="0" fontId="29" fillId="0" borderId="0" applyNumberFormat="0" applyFill="0" applyBorder="0" applyAlignment="0" applyProtection="0"/>
    <xf numFmtId="246" fontId="29" fillId="0" borderId="0" applyNumberFormat="0" applyFill="0" applyBorder="0" applyAlignment="0" applyProtection="0"/>
    <xf numFmtId="246"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88" fillId="0" borderId="0" applyNumberFormat="0" applyAlignment="0"/>
    <xf numFmtId="0" fontId="26" fillId="0" borderId="0" applyNumberFormat="0" applyAlignment="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89"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90"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57" fillId="0" borderId="24" applyNumberFormat="0" applyFill="0" applyBorder="0" applyAlignment="0" applyProtection="0"/>
    <xf numFmtId="0" fontId="26" fillId="0" borderId="0"/>
    <xf numFmtId="0" fontId="26" fillId="0" borderId="0"/>
    <xf numFmtId="0" fontId="56" fillId="0" borderId="24" applyNumberFormat="0" applyFill="0" applyAlignment="0" applyProtection="0"/>
    <xf numFmtId="0" fontId="56" fillId="0" borderId="24" applyNumberFormat="0" applyFill="0" applyAlignment="0" applyProtection="0"/>
    <xf numFmtId="0" fontId="56" fillId="0" borderId="24" applyNumberFormat="0" applyFill="0" applyAlignment="0" applyProtection="0"/>
    <xf numFmtId="0" fontId="56" fillId="0" borderId="24" applyNumberFormat="0" applyFill="0" applyAlignment="0" applyProtection="0"/>
    <xf numFmtId="0" fontId="56" fillId="0" borderId="24" applyNumberFormat="0" applyFill="0" applyAlignment="0" applyProtection="0"/>
    <xf numFmtId="0" fontId="56" fillId="0" borderId="24" applyNumberFormat="0" applyFill="0" applyAlignment="0" applyProtection="0"/>
    <xf numFmtId="0" fontId="56" fillId="0" borderId="24" applyNumberFormat="0" applyFill="0" applyAlignment="0" applyProtection="0"/>
    <xf numFmtId="0" fontId="56" fillId="0" borderId="24" applyNumberFormat="0" applyFill="0" applyAlignment="0" applyProtection="0"/>
    <xf numFmtId="0" fontId="26" fillId="0" borderId="0"/>
    <xf numFmtId="0" fontId="26" fillId="0" borderId="0"/>
    <xf numFmtId="0" fontId="68" fillId="0" borderId="0">
      <alignment horizontal="right"/>
    </xf>
    <xf numFmtId="0" fontId="68" fillId="0" borderId="0">
      <alignment horizontal="right"/>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26" fillId="0" borderId="0"/>
    <xf numFmtId="0"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246"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246"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0" fontId="26" fillId="0" borderId="0"/>
    <xf numFmtId="246"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246" fontId="92" fillId="38" borderId="0" applyNumberFormat="0" applyBorder="0" applyAlignment="0" applyProtection="0"/>
    <xf numFmtId="0" fontId="92" fillId="38" borderId="0" applyNumberFormat="0" applyBorder="0" applyAlignment="0" applyProtection="0"/>
    <xf numFmtId="0" fontId="26" fillId="0" borderId="0"/>
    <xf numFmtId="246" fontId="92" fillId="38"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246" fontId="92" fillId="38" borderId="0" applyNumberFormat="0" applyBorder="0" applyAlignment="0" applyProtection="0"/>
    <xf numFmtId="0" fontId="91" fillId="2" borderId="0" applyNumberFormat="0" applyBorder="0" applyAlignment="0" applyProtection="0"/>
    <xf numFmtId="0" fontId="26" fillId="0" borderId="0"/>
    <xf numFmtId="246" fontId="92" fillId="38"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246" fontId="92" fillId="38" borderId="0" applyNumberFormat="0" applyBorder="0" applyAlignment="0" applyProtection="0"/>
    <xf numFmtId="0" fontId="91" fillId="2" borderId="0" applyNumberFormat="0" applyBorder="0" applyAlignment="0" applyProtection="0"/>
    <xf numFmtId="0" fontId="26" fillId="0" borderId="0"/>
    <xf numFmtId="0" fontId="92" fillId="38" borderId="0" applyNumberFormat="0" applyBorder="0" applyAlignment="0" applyProtection="0"/>
    <xf numFmtId="0" fontId="92" fillId="38" borderId="0" applyNumberFormat="0" applyBorder="0" applyAlignment="0" applyProtection="0"/>
    <xf numFmtId="0" fontId="26" fillId="0" borderId="0"/>
    <xf numFmtId="0" fontId="26" fillId="0" borderId="0"/>
    <xf numFmtId="0" fontId="26" fillId="0" borderId="0"/>
    <xf numFmtId="164" fontId="93" fillId="59" borderId="0" applyNumberFormat="0" applyBorder="0" applyAlignment="0" applyProtection="0">
      <alignment horizontal="center" vertical="center" wrapText="1"/>
    </xf>
    <xf numFmtId="0" fontId="26" fillId="0" borderId="0"/>
    <xf numFmtId="0" fontId="26" fillId="0" borderId="0"/>
    <xf numFmtId="0" fontId="69" fillId="0" borderId="0" applyNumberFormat="0" applyFill="0" applyBorder="0" applyAlignment="0" applyProtection="0"/>
    <xf numFmtId="0" fontId="69" fillId="0" borderId="0" applyNumberFormat="0" applyFill="0" applyBorder="0" applyAlignment="0" applyProtection="0"/>
    <xf numFmtId="0" fontId="26"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94" fillId="0" borderId="0"/>
    <xf numFmtId="0" fontId="26" fillId="0" borderId="0"/>
    <xf numFmtId="192" fontId="35" fillId="0" borderId="0"/>
    <xf numFmtId="192" fontId="35" fillId="0" borderId="0"/>
    <xf numFmtId="192" fontId="26" fillId="0" borderId="0"/>
    <xf numFmtId="192" fontId="35" fillId="0" borderId="0"/>
    <xf numFmtId="192" fontId="35" fillId="0" borderId="0"/>
    <xf numFmtId="192" fontId="35" fillId="0" borderId="0"/>
    <xf numFmtId="177" fontId="35" fillId="0" borderId="8"/>
    <xf numFmtId="177" fontId="35" fillId="0" borderId="8"/>
    <xf numFmtId="177" fontId="26" fillId="0" borderId="0"/>
    <xf numFmtId="177" fontId="35" fillId="0" borderId="8"/>
    <xf numFmtId="177" fontId="35" fillId="0" borderId="8"/>
    <xf numFmtId="177" fontId="35" fillId="0" borderId="8"/>
    <xf numFmtId="251" fontId="94" fillId="0" borderId="0"/>
    <xf numFmtId="251" fontId="26" fillId="0" borderId="0"/>
    <xf numFmtId="0" fontId="94" fillId="0" borderId="0"/>
    <xf numFmtId="0" fontId="26" fillId="0" borderId="0"/>
    <xf numFmtId="252" fontId="94" fillId="0" borderId="0"/>
    <xf numFmtId="252" fontId="26" fillId="0" borderId="0"/>
    <xf numFmtId="0" fontId="35" fillId="0" borderId="0">
      <alignment horizontal="right"/>
    </xf>
    <xf numFmtId="0" fontId="35" fillId="0" borderId="0">
      <alignment horizontal="right"/>
    </xf>
    <xf numFmtId="0" fontId="26" fillId="0" borderId="0">
      <alignment horizontal="right"/>
    </xf>
    <xf numFmtId="0" fontId="35" fillId="0" borderId="0">
      <alignment horizontal="right"/>
    </xf>
    <xf numFmtId="0" fontId="35" fillId="0" borderId="0">
      <alignment horizontal="right"/>
    </xf>
    <xf numFmtId="0" fontId="35" fillId="0" borderId="0">
      <alignment horizontal="right"/>
    </xf>
    <xf numFmtId="253" fontId="94" fillId="0" borderId="0">
      <alignment horizontal="right"/>
    </xf>
    <xf numFmtId="253" fontId="26" fillId="0" borderId="0">
      <alignment horizontal="right"/>
    </xf>
    <xf numFmtId="254" fontId="94" fillId="0" borderId="0">
      <alignment horizontal="right"/>
    </xf>
    <xf numFmtId="254" fontId="26" fillId="0" borderId="0">
      <alignment horizontal="right"/>
    </xf>
    <xf numFmtId="0" fontId="35" fillId="0" borderId="0">
      <alignment horizontal="right"/>
    </xf>
    <xf numFmtId="255" fontId="35" fillId="0" borderId="0">
      <alignment horizontal="right"/>
    </xf>
    <xf numFmtId="255" fontId="35" fillId="0" borderId="0">
      <alignment horizontal="right"/>
    </xf>
    <xf numFmtId="255" fontId="26" fillId="0" borderId="0">
      <alignment horizontal="right"/>
    </xf>
    <xf numFmtId="255" fontId="35" fillId="0" borderId="0">
      <alignment horizontal="right"/>
    </xf>
    <xf numFmtId="255" fontId="35" fillId="0" borderId="0">
      <alignment horizontal="right"/>
    </xf>
    <xf numFmtId="255" fontId="35" fillId="0" borderId="0">
      <alignment horizontal="right"/>
    </xf>
    <xf numFmtId="0" fontId="69" fillId="0" borderId="0" applyNumberForma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applyNumberFormat="0" applyFill="0" applyBorder="0" applyAlignment="0" applyProtection="0"/>
    <xf numFmtId="256" fontId="94" fillId="0" borderId="0"/>
    <xf numFmtId="256" fontId="26" fillId="0" borderId="0"/>
    <xf numFmtId="257" fontId="94" fillId="0" borderId="0"/>
    <xf numFmtId="257" fontId="26" fillId="0" borderId="0"/>
    <xf numFmtId="0" fontId="94" fillId="0" borderId="0"/>
    <xf numFmtId="0" fontId="26" fillId="0" borderId="0"/>
    <xf numFmtId="164" fontId="93" fillId="60" borderId="3">
      <alignment horizontal="center" vertical="center" wrapText="1"/>
    </xf>
    <xf numFmtId="164" fontId="93" fillId="60" borderId="3">
      <alignment horizontal="center" vertical="center" wrapText="1"/>
    </xf>
    <xf numFmtId="164" fontId="93" fillId="60" borderId="3">
      <alignment horizontal="center" vertical="center" wrapText="1"/>
    </xf>
    <xf numFmtId="1" fontId="46" fillId="32" borderId="25">
      <alignment horizontal="center"/>
    </xf>
    <xf numFmtId="1" fontId="26" fillId="0" borderId="0">
      <alignment horizontal="center"/>
    </xf>
    <xf numFmtId="0" fontId="94" fillId="0" borderId="0"/>
    <xf numFmtId="0" fontId="26" fillId="0" borderId="0"/>
    <xf numFmtId="0" fontId="46" fillId="32" borderId="26">
      <alignment horizontal="center"/>
    </xf>
    <xf numFmtId="0" fontId="46" fillId="32" borderId="26">
      <alignment horizontal="center"/>
    </xf>
    <xf numFmtId="0" fontId="26" fillId="0" borderId="0">
      <alignment horizontal="center"/>
    </xf>
    <xf numFmtId="0" fontId="46" fillId="32" borderId="26">
      <alignment horizontal="center"/>
    </xf>
    <xf numFmtId="0" fontId="46" fillId="32" borderId="26">
      <alignment horizontal="center"/>
    </xf>
    <xf numFmtId="0" fontId="46" fillId="32" borderId="26">
      <alignment horizontal="center"/>
    </xf>
    <xf numFmtId="0" fontId="94" fillId="0" borderId="0"/>
    <xf numFmtId="0" fontId="26" fillId="0" borderId="0"/>
    <xf numFmtId="0" fontId="95" fillId="0" borderId="0" applyNumberFormat="0" applyFill="0" applyBorder="0" applyAlignment="0" applyProtection="0"/>
    <xf numFmtId="0" fontId="26" fillId="0" borderId="0"/>
    <xf numFmtId="0" fontId="26" fillId="0" borderId="0" applyNumberFormat="0" applyFill="0" applyBorder="0" applyAlignment="0" applyProtection="0"/>
    <xf numFmtId="0" fontId="26" fillId="0" borderId="0"/>
    <xf numFmtId="0" fontId="26" fillId="0" borderId="0" applyBorder="0">
      <alignment horizontal="left" vertical="center" indent="1"/>
    </xf>
    <xf numFmtId="258" fontId="30" fillId="0" borderId="0"/>
    <xf numFmtId="37" fontId="96" fillId="0" borderId="0" applyNumberFormat="0" applyFill="0" applyBorder="0" applyAlignment="0" applyProtection="0">
      <protection locked="0"/>
    </xf>
    <xf numFmtId="37" fontId="26" fillId="0" borderId="0" applyNumberFormat="0" applyFill="0" applyBorder="0" applyAlignment="0" applyProtection="0">
      <protection locked="0"/>
    </xf>
    <xf numFmtId="0" fontId="97" fillId="0" borderId="27">
      <alignment horizontal="centerContinuous"/>
    </xf>
    <xf numFmtId="0" fontId="97" fillId="0" borderId="27">
      <alignment horizontal="centerContinuous"/>
    </xf>
    <xf numFmtId="259" fontId="98" fillId="0" borderId="0" applyAlignment="0">
      <alignment horizontal="right"/>
    </xf>
    <xf numFmtId="0" fontId="99" fillId="0" borderId="0" applyAlignment="0"/>
    <xf numFmtId="165" fontId="99" fillId="0" borderId="0"/>
    <xf numFmtId="0" fontId="99" fillId="0" borderId="27" applyAlignment="0"/>
    <xf numFmtId="0" fontId="99" fillId="0" borderId="27" applyAlignment="0"/>
    <xf numFmtId="0" fontId="99" fillId="0" borderId="0" applyAlignment="0"/>
    <xf numFmtId="0" fontId="26" fillId="0" borderId="0"/>
    <xf numFmtId="0" fontId="26" fillId="0" borderId="0"/>
    <xf numFmtId="0" fontId="100" fillId="0" borderId="3" applyNumberFormat="0" applyFill="0" applyAlignment="0" applyProtection="0"/>
    <xf numFmtId="37" fontId="96" fillId="0" borderId="0" applyNumberFormat="0" applyFill="0" applyBorder="0" applyAlignment="0" applyProtection="0">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5" fontId="66" fillId="0" borderId="8" applyAlignment="0" applyProtection="0"/>
    <xf numFmtId="0" fontId="26" fillId="0" borderId="0"/>
    <xf numFmtId="260" fontId="71" fillId="0" borderId="18" applyNumberFormat="0" applyFill="0" applyAlignment="0" applyProtection="0">
      <alignment horizontal="center"/>
    </xf>
    <xf numFmtId="260" fontId="26" fillId="0" borderId="0" applyNumberFormat="0" applyFill="0" applyAlignment="0" applyProtection="0">
      <alignment horizontal="center"/>
    </xf>
    <xf numFmtId="260" fontId="71" fillId="0" borderId="18" applyNumberFormat="0" applyFill="0" applyAlignment="0" applyProtection="0">
      <alignment horizontal="center"/>
    </xf>
    <xf numFmtId="260" fontId="71" fillId="0" borderId="18" applyNumberFormat="0" applyFill="0" applyAlignment="0" applyProtection="0">
      <alignment horizontal="center"/>
    </xf>
    <xf numFmtId="260" fontId="71" fillId="0" borderId="18" applyNumberFormat="0" applyFill="0" applyAlignment="0" applyProtection="0">
      <alignment horizontal="center"/>
    </xf>
    <xf numFmtId="0" fontId="26" fillId="0" borderId="0"/>
    <xf numFmtId="0" fontId="26" fillId="0" borderId="0"/>
    <xf numFmtId="0" fontId="26" fillId="0" borderId="0"/>
    <xf numFmtId="261" fontId="71" fillId="0" borderId="3" applyFill="0" applyAlignment="0" applyProtection="0">
      <alignment horizontal="center"/>
    </xf>
    <xf numFmtId="261" fontId="26" fillId="0" borderId="0" applyFill="0" applyAlignment="0" applyProtection="0">
      <alignment horizontal="center"/>
    </xf>
    <xf numFmtId="261" fontId="71" fillId="0" borderId="3" applyFill="0" applyAlignment="0" applyProtection="0">
      <alignment horizontal="center"/>
    </xf>
    <xf numFmtId="261" fontId="71" fillId="0" borderId="3" applyFill="0" applyAlignment="0" applyProtection="0">
      <alignment horizontal="center"/>
    </xf>
    <xf numFmtId="261" fontId="71" fillId="0" borderId="3" applyFill="0" applyAlignment="0" applyProtection="0">
      <alignment horizontal="center"/>
    </xf>
    <xf numFmtId="0" fontId="26" fillId="0" borderId="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0"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0"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0"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0"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0"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0"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46"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262" fontId="26" fillId="0" borderId="0" applyFont="0" applyFill="0" applyBorder="0" applyAlignment="0" applyProtection="0"/>
    <xf numFmtId="0" fontId="30" fillId="0" borderId="0"/>
    <xf numFmtId="0" fontId="30" fillId="0" borderId="0"/>
    <xf numFmtId="0" fontId="26" fillId="0" borderId="0"/>
    <xf numFmtId="0" fontId="30" fillId="0" borderId="0"/>
    <xf numFmtId="0" fontId="30" fillId="0" borderId="0"/>
    <xf numFmtId="0" fontId="3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246" fontId="26" fillId="0" borderId="0" applyFill="0" applyBorder="0" applyAlignment="0"/>
    <xf numFmtId="263"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3" fontId="26" fillId="0" borderId="0" applyFill="0" applyBorder="0" applyAlignment="0"/>
    <xf numFmtId="0" fontId="26" fillId="0" borderId="0" applyFill="0" applyBorder="0" applyAlignment="0"/>
    <xf numFmtId="0" fontId="26" fillId="0" borderId="0" applyFill="0" applyBorder="0" applyAlignment="0"/>
    <xf numFmtId="263"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263" fontId="26" fillId="0" borderId="0" applyFill="0" applyBorder="0" applyAlignment="0"/>
    <xf numFmtId="0" fontId="26" fillId="0" borderId="0"/>
    <xf numFmtId="192" fontId="101" fillId="0" borderId="0" applyFill="0" applyBorder="0" applyAlignment="0"/>
    <xf numFmtId="192" fontId="101" fillId="0" borderId="0" applyFill="0" applyBorder="0" applyAlignment="0"/>
    <xf numFmtId="246"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192"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6" fontId="101"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0" fontId="101" fillId="0" borderId="0" applyFill="0" applyBorder="0" applyAlignment="0"/>
    <xf numFmtId="246"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0" fontId="101" fillId="0" borderId="0" applyFill="0" applyBorder="0" applyAlignment="0"/>
    <xf numFmtId="246"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0"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192" fontId="101" fillId="0" borderId="0" applyFill="0" applyBorder="0" applyAlignment="0"/>
    <xf numFmtId="0" fontId="26" fillId="0" borderId="0"/>
    <xf numFmtId="264" fontId="101" fillId="0" borderId="0" applyFill="0" applyBorder="0" applyAlignment="0"/>
    <xf numFmtId="264" fontId="101" fillId="0" borderId="0" applyFill="0" applyBorder="0" applyAlignment="0"/>
    <xf numFmtId="246"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64"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46" fontId="101"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101" fillId="0" borderId="0" applyFill="0" applyBorder="0" applyAlignment="0"/>
    <xf numFmtId="246"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0" fontId="101" fillId="0" borderId="0" applyFill="0" applyBorder="0" applyAlignment="0"/>
    <xf numFmtId="246"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0"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64"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46" fontId="101" fillId="0" borderId="0" applyFill="0" applyBorder="0" applyAlignment="0"/>
    <xf numFmtId="264" fontId="101" fillId="0" borderId="0" applyFill="0" applyBorder="0" applyAlignment="0"/>
    <xf numFmtId="0" fontId="26" fillId="0" borderId="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246" fontId="26" fillId="0" borderId="0" applyFill="0" applyBorder="0" applyAlignment="0"/>
    <xf numFmtId="26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6" fontId="26" fillId="0" borderId="0" applyFill="0" applyBorder="0" applyAlignment="0"/>
    <xf numFmtId="0" fontId="26" fillId="0" borderId="0" applyFill="0" applyBorder="0" applyAlignment="0"/>
    <xf numFmtId="0" fontId="26" fillId="0" borderId="0" applyFill="0" applyBorder="0" applyAlignment="0"/>
    <xf numFmtId="266"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4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266" fontId="26" fillId="0" borderId="0" applyFill="0" applyBorder="0" applyAlignment="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02" fillId="43" borderId="28" applyNumberFormat="0" applyAlignment="0" applyProtection="0"/>
    <xf numFmtId="0" fontId="102" fillId="43" borderId="28" applyNumberFormat="0" applyAlignment="0" applyProtection="0"/>
    <xf numFmtId="0" fontId="26" fillId="0" borderId="0"/>
    <xf numFmtId="0" fontId="102" fillId="43" borderId="28" applyNumberFormat="0" applyAlignment="0" applyProtection="0"/>
    <xf numFmtId="0" fontId="102" fillId="43" borderId="28" applyNumberFormat="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67" fontId="26" fillId="0" borderId="0" applyNumberFormat="0" applyFont="0" applyBorder="0" applyAlignment="0">
      <protection locked="0"/>
    </xf>
    <xf numFmtId="268" fontId="35" fillId="0" borderId="0" applyFill="0" applyBorder="0" applyProtection="0"/>
    <xf numFmtId="268" fontId="35" fillId="0" borderId="0" applyFill="0" applyBorder="0" applyProtection="0"/>
    <xf numFmtId="268" fontId="26" fillId="0" borderId="0" applyFill="0" applyBorder="0" applyProtection="0"/>
    <xf numFmtId="268" fontId="35" fillId="0" borderId="0" applyFill="0" applyBorder="0" applyProtection="0"/>
    <xf numFmtId="268" fontId="35" fillId="0" borderId="0" applyFill="0" applyBorder="0" applyProtection="0"/>
    <xf numFmtId="268" fontId="35" fillId="0" borderId="0" applyFill="0" applyBorder="0" applyProtection="0"/>
    <xf numFmtId="0" fontId="26" fillId="0" borderId="0"/>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103" fillId="61" borderId="29"/>
    <xf numFmtId="0" fontId="26" fillId="0" borderId="0"/>
    <xf numFmtId="0" fontId="26" fillId="0" borderId="0"/>
    <xf numFmtId="0" fontId="26" fillId="0" borderId="0"/>
    <xf numFmtId="0" fontId="26" fillId="0" borderId="0"/>
    <xf numFmtId="0" fontId="30" fillId="0" borderId="3" applyBorder="0">
      <alignment horizontal="centerContinuous"/>
    </xf>
    <xf numFmtId="0" fontId="30" fillId="0" borderId="3" applyBorder="0">
      <alignment horizontal="centerContinuous"/>
    </xf>
    <xf numFmtId="0" fontId="30" fillId="0" borderId="3" applyBorder="0">
      <alignment horizontal="centerContinuous"/>
    </xf>
    <xf numFmtId="0" fontId="26" fillId="0" borderId="0"/>
    <xf numFmtId="0" fontId="26" fillId="0" borderId="0"/>
    <xf numFmtId="0" fontId="26" fillId="0" borderId="0" applyFill="0" applyBorder="0" applyProtection="0">
      <alignment horizontal="center"/>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04" fillId="0" borderId="0" applyAlignment="0"/>
    <xf numFmtId="0" fontId="26" fillId="0" borderId="0"/>
    <xf numFmtId="0" fontId="26" fillId="0" borderId="0"/>
    <xf numFmtId="0" fontId="26" fillId="0" borderId="0" applyNumberFormat="0" applyFill="0" applyBorder="0" applyAlignment="0" applyProtection="0"/>
    <xf numFmtId="0" fontId="26" fillId="0" borderId="0"/>
    <xf numFmtId="0" fontId="26" fillId="0" borderId="0"/>
    <xf numFmtId="0" fontId="26" fillId="0" borderId="0"/>
    <xf numFmtId="0" fontId="26" fillId="0" borderId="0"/>
    <xf numFmtId="38" fontId="105" fillId="0" borderId="30"/>
    <xf numFmtId="38" fontId="26" fillId="0" borderId="0"/>
    <xf numFmtId="0" fontId="106" fillId="0" borderId="18">
      <alignment horizontal="center"/>
    </xf>
    <xf numFmtId="0" fontId="26" fillId="0" borderId="0">
      <alignment horizontal="center"/>
    </xf>
    <xf numFmtId="0" fontId="26" fillId="0" borderId="0"/>
    <xf numFmtId="0" fontId="90" fillId="0" borderId="31">
      <alignment horizontal="center"/>
    </xf>
    <xf numFmtId="0" fontId="26" fillId="0" borderId="0"/>
    <xf numFmtId="0" fontId="26" fillId="0" borderId="0" applyNumberFormat="0" applyFill="0" applyBorder="0" applyProtection="0">
      <alignment wrapText="1"/>
    </xf>
    <xf numFmtId="0" fontId="26" fillId="0" borderId="0"/>
    <xf numFmtId="0" fontId="26" fillId="0" borderId="0" applyNumberFormat="0" applyFill="0" applyBorder="0" applyProtection="0"/>
    <xf numFmtId="0" fontId="26" fillId="0" borderId="0"/>
    <xf numFmtId="0" fontId="107" fillId="0" borderId="0" applyNumberFormat="0" applyFill="0" applyBorder="0" applyProtection="0">
      <alignment horizontal="center" wrapText="1"/>
    </xf>
    <xf numFmtId="0" fontId="26" fillId="0" borderId="0" applyNumberFormat="0" applyFill="0" applyBorder="0" applyProtection="0">
      <alignment horizontal="center" wrapText="1"/>
    </xf>
    <xf numFmtId="0" fontId="107" fillId="0" borderId="0" applyNumberFormat="0" applyFill="0" applyBorder="0" applyProtection="0">
      <alignment horizontal="center" wrapText="1"/>
    </xf>
    <xf numFmtId="0" fontId="107" fillId="0" borderId="0" applyNumberFormat="0" applyFill="0" applyBorder="0" applyProtection="0">
      <alignment horizontal="center" wrapText="1"/>
    </xf>
    <xf numFmtId="0" fontId="107" fillId="0" borderId="0" applyNumberFormat="0" applyFill="0" applyBorder="0" applyProtection="0">
      <alignment horizontal="center" wrapText="1"/>
    </xf>
    <xf numFmtId="0" fontId="26" fillId="0" borderId="0"/>
    <xf numFmtId="0" fontId="26" fillId="0" borderId="0"/>
    <xf numFmtId="0" fontId="90" fillId="0" borderId="3" applyNumberFormat="0" applyFill="0" applyProtection="0">
      <alignment horizontal="right" wrapText="1"/>
    </xf>
    <xf numFmtId="0" fontId="26" fillId="0" borderId="0"/>
    <xf numFmtId="0" fontId="26" fillId="0" borderId="0"/>
    <xf numFmtId="0" fontId="90" fillId="0" borderId="3" applyNumberFormat="0" applyFill="0" applyProtection="0">
      <alignment horizontal="left" wrapText="1"/>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69" fontId="26" fillId="0" borderId="0" applyFont="0" applyFill="0" applyBorder="0" applyAlignment="0" applyProtection="0"/>
    <xf numFmtId="184" fontId="30" fillId="0" borderId="0"/>
    <xf numFmtId="184" fontId="30" fillId="0" borderId="0"/>
    <xf numFmtId="184" fontId="26" fillId="0" borderId="0"/>
    <xf numFmtId="184" fontId="30" fillId="0" borderId="0"/>
    <xf numFmtId="184" fontId="30" fillId="0" borderId="0"/>
    <xf numFmtId="184" fontId="30" fillId="0" borderId="0"/>
    <xf numFmtId="0" fontId="26" fillId="0" borderId="0"/>
    <xf numFmtId="0" fontId="26" fillId="0" borderId="0"/>
    <xf numFmtId="41" fontId="26" fillId="0" borderId="0" applyFont="0" applyFill="0" applyBorder="0" applyAlignment="0" applyProtection="0"/>
    <xf numFmtId="270" fontId="108" fillId="0" borderId="0" applyFont="0" applyFill="0" applyBorder="0" applyAlignment="0" applyProtection="0"/>
    <xf numFmtId="270" fontId="26" fillId="0" borderId="0" applyFont="0" applyFill="0" applyBorder="0" applyAlignment="0" applyProtection="0"/>
    <xf numFmtId="271" fontId="26" fillId="0" borderId="0" applyFont="0" applyFill="0" applyBorder="0" applyAlignment="0" applyProtection="0">
      <alignment vertical="center"/>
    </xf>
    <xf numFmtId="243" fontId="26" fillId="0" borderId="0" applyFont="0" applyFill="0" applyBorder="0" applyAlignment="0" applyProtection="0">
      <alignment vertical="center"/>
    </xf>
    <xf numFmtId="0" fontId="26" fillId="0" borderId="0"/>
    <xf numFmtId="0" fontId="26" fillId="0" borderId="0"/>
    <xf numFmtId="38" fontId="26" fillId="0" borderId="0">
      <alignment horizontal="center"/>
      <protection locked="0"/>
    </xf>
    <xf numFmtId="0" fontId="26" fillId="0" borderId="0"/>
    <xf numFmtId="40" fontId="26" fillId="0" borderId="0" applyFont="0" applyFill="0" applyBorder="0" applyAlignment="0" applyProtection="0">
      <alignment horizontal="center"/>
    </xf>
    <xf numFmtId="0" fontId="26" fillId="0" borderId="0"/>
    <xf numFmtId="272" fontId="26" fillId="0" borderId="0" applyFont="0" applyFill="0" applyBorder="0" applyAlignment="0" applyProtection="0">
      <alignment horizontal="center"/>
    </xf>
    <xf numFmtId="0" fontId="26" fillId="0" borderId="0"/>
    <xf numFmtId="0" fontId="26" fillId="0" borderId="0"/>
    <xf numFmtId="0" fontId="26" fillId="0" borderId="0"/>
    <xf numFmtId="273" fontId="26" fillId="0" borderId="0" applyFont="0" applyFill="0" applyBorder="0" applyAlignment="0" applyProtection="0"/>
    <xf numFmtId="274" fontId="33" fillId="0" borderId="0" applyFont="0" applyFill="0" applyBorder="0" applyAlignment="0" applyProtection="0"/>
    <xf numFmtId="274" fontId="26" fillId="0" borderId="0" applyFont="0" applyFill="0" applyBorder="0" applyAlignment="0" applyProtection="0"/>
    <xf numFmtId="275" fontId="33" fillId="0" borderId="0" applyFont="0" applyFill="0" applyBorder="0" applyAlignment="0" applyProtection="0"/>
    <xf numFmtId="275" fontId="26" fillId="0" borderId="0" applyFont="0" applyFill="0" applyBorder="0" applyAlignment="0" applyProtection="0"/>
    <xf numFmtId="276" fontId="30" fillId="0" borderId="0" applyFont="0" applyFill="0" applyBorder="0" applyAlignment="0" applyProtection="0"/>
    <xf numFmtId="276" fontId="26" fillId="0" borderId="0" applyFont="0" applyFill="0" applyBorder="0" applyAlignment="0" applyProtection="0"/>
    <xf numFmtId="277" fontId="33" fillId="0" borderId="0" applyFont="0" applyFill="0" applyBorder="0" applyAlignment="0" applyProtection="0"/>
    <xf numFmtId="277" fontId="26" fillId="0" borderId="0" applyFont="0" applyFill="0" applyBorder="0" applyAlignment="0" applyProtection="0"/>
    <xf numFmtId="278" fontId="33" fillId="0" borderId="0" applyFont="0" applyFill="0" applyBorder="0" applyAlignment="0" applyProtection="0"/>
    <xf numFmtId="185" fontId="30" fillId="0" borderId="0" applyFont="0" applyFill="0" applyBorder="0" applyAlignment="0" applyProtection="0"/>
    <xf numFmtId="185" fontId="26" fillId="0" borderId="0" applyFont="0" applyFill="0" applyBorder="0" applyAlignment="0" applyProtection="0"/>
    <xf numFmtId="279" fontId="33" fillId="0" borderId="0" applyFont="0" applyFill="0" applyBorder="0" applyAlignment="0" applyProtection="0"/>
    <xf numFmtId="279" fontId="26" fillId="0" borderId="0" applyFont="0" applyFill="0" applyBorder="0" applyAlignment="0" applyProtection="0"/>
    <xf numFmtId="280" fontId="33" fillId="0" borderId="0" applyFont="0" applyFill="0" applyBorder="0" applyAlignment="0" applyProtection="0"/>
    <xf numFmtId="0" fontId="26" fillId="0" borderId="0"/>
    <xf numFmtId="0" fontId="26" fillId="0" borderId="0"/>
    <xf numFmtId="0" fontId="26" fillId="0" borderId="0"/>
    <xf numFmtId="0" fontId="26" fillId="0" borderId="0"/>
    <xf numFmtId="43" fontId="109" fillId="0" borderId="0" applyFont="0" applyFill="0" applyBorder="0" applyAlignment="0" applyProtection="0"/>
    <xf numFmtId="43" fontId="26" fillId="0" borderId="0" applyFont="0" applyFill="0" applyBorder="0" applyAlignment="0" applyProtection="0"/>
    <xf numFmtId="0" fontId="26" fillId="0" borderId="0"/>
    <xf numFmtId="43" fontId="26" fillId="0" borderId="0" applyFont="0" applyFill="0" applyBorder="0" applyAlignment="0" applyProtection="0"/>
    <xf numFmtId="0" fontId="26" fillId="0" borderId="0"/>
    <xf numFmtId="43" fontId="26" fillId="0" borderId="0" applyFont="0" applyFill="0" applyBorder="0" applyAlignment="0" applyProtection="0"/>
    <xf numFmtId="43" fontId="21" fillId="0" borderId="0" applyFont="0" applyFill="0" applyBorder="0" applyAlignment="0" applyProtection="0"/>
    <xf numFmtId="0" fontId="26" fillId="0" borderId="0"/>
    <xf numFmtId="43" fontId="26" fillId="0" borderId="0" applyFont="0" applyFill="0" applyBorder="0" applyAlignment="0" applyProtection="0"/>
    <xf numFmtId="0" fontId="26" fillId="0" borderId="0"/>
    <xf numFmtId="43" fontId="26" fillId="0" borderId="0" applyFont="0" applyFill="0" applyBorder="0" applyAlignment="0" applyProtection="0"/>
    <xf numFmtId="43" fontId="26" fillId="0" borderId="0" applyFont="0" applyFill="0" applyBorder="0" applyAlignment="0" applyProtection="0"/>
    <xf numFmtId="0" fontId="26" fillId="0" borderId="0"/>
    <xf numFmtId="281" fontId="26" fillId="0" borderId="0" applyFont="0" applyFill="0" applyBorder="0" applyAlignment="0" applyProtection="0"/>
    <xf numFmtId="43" fontId="30" fillId="0" borderId="0" applyFont="0" applyFill="0" applyBorder="0" applyAlignment="0" applyProtection="0"/>
    <xf numFmtId="43" fontId="21" fillId="0" borderId="0" applyFont="0" applyFill="0" applyBorder="0" applyAlignment="0" applyProtection="0"/>
    <xf numFmtId="0" fontId="26" fillId="0" borderId="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0" fontId="26" fillId="0" borderId="0"/>
    <xf numFmtId="0" fontId="26" fillId="0" borderId="0"/>
    <xf numFmtId="43" fontId="110" fillId="0" borderId="0" applyFont="0" applyFill="0" applyBorder="0" applyAlignment="0" applyProtection="0"/>
    <xf numFmtId="0" fontId="26" fillId="0" borderId="0"/>
    <xf numFmtId="43" fontId="26" fillId="0" borderId="0" applyFont="0" applyFill="0" applyBorder="0" applyAlignment="0" applyProtection="0"/>
    <xf numFmtId="0" fontId="26" fillId="0" borderId="0"/>
    <xf numFmtId="43" fontId="21" fillId="0" borderId="0" applyFont="0" applyFill="0" applyBorder="0" applyAlignment="0" applyProtection="0"/>
    <xf numFmtId="43" fontId="26" fillId="0" borderId="0" applyFont="0" applyFill="0" applyBorder="0" applyAlignment="0" applyProtection="0"/>
    <xf numFmtId="0" fontId="26" fillId="0" borderId="0"/>
    <xf numFmtId="43" fontId="21" fillId="0" borderId="0" applyFont="0" applyFill="0" applyBorder="0" applyAlignment="0" applyProtection="0"/>
    <xf numFmtId="43" fontId="21" fillId="0" borderId="0" applyFont="0" applyFill="0" applyBorder="0" applyAlignment="0" applyProtection="0"/>
    <xf numFmtId="0" fontId="26" fillId="0" borderId="0"/>
    <xf numFmtId="0" fontId="26" fillId="0" borderId="0"/>
    <xf numFmtId="0" fontId="26" fillId="0" borderId="0"/>
    <xf numFmtId="37" fontId="35" fillId="0" borderId="0" applyFill="0" applyBorder="0" applyAlignment="0" applyProtection="0"/>
    <xf numFmtId="37" fontId="26" fillId="0" borderId="0" applyFill="0" applyBorder="0" applyAlignment="0" applyProtection="0"/>
    <xf numFmtId="37" fontId="35" fillId="0" borderId="0" applyFill="0" applyBorder="0" applyAlignment="0" applyProtection="0"/>
    <xf numFmtId="37" fontId="35" fillId="0" borderId="0" applyFill="0" applyBorder="0" applyAlignment="0" applyProtection="0"/>
    <xf numFmtId="37" fontId="35" fillId="0" borderId="0" applyFill="0" applyBorder="0" applyAlignment="0" applyProtection="0"/>
    <xf numFmtId="0" fontId="26" fillId="0" borderId="0"/>
    <xf numFmtId="0" fontId="26" fillId="0" borderId="0"/>
    <xf numFmtId="0" fontId="26" fillId="0" borderId="0"/>
    <xf numFmtId="0" fontId="111" fillId="0" borderId="0"/>
    <xf numFmtId="0" fontId="26" fillId="0" borderId="0"/>
    <xf numFmtId="0" fontId="26" fillId="0" borderId="0"/>
    <xf numFmtId="0" fontId="26" fillId="0" borderId="0"/>
    <xf numFmtId="0" fontId="26" fillId="0" borderId="0"/>
    <xf numFmtId="0" fontId="26" fillId="0" borderId="0"/>
    <xf numFmtId="0" fontId="26" fillId="0" borderId="0"/>
    <xf numFmtId="38" fontId="26" fillId="0" borderId="0" applyFont="0" applyFill="0" applyBorder="0" applyAlignment="0" applyProtection="0"/>
    <xf numFmtId="0" fontId="26" fillId="0" borderId="0"/>
    <xf numFmtId="192" fontId="112" fillId="0" borderId="0" applyFont="0" applyFill="0" applyBorder="0" applyAlignment="0" applyProtection="0"/>
    <xf numFmtId="0" fontId="111" fillId="0" borderId="0"/>
    <xf numFmtId="0" fontId="26" fillId="0" borderId="0"/>
    <xf numFmtId="0" fontId="101" fillId="0" borderId="0"/>
    <xf numFmtId="0" fontId="26" fillId="0" borderId="0"/>
    <xf numFmtId="192" fontId="26" fillId="0" borderId="0" applyFont="0" applyFill="0" applyBorder="0" applyAlignment="0" applyProtection="0"/>
    <xf numFmtId="39" fontId="112" fillId="0" borderId="0" applyFont="0" applyFill="0" applyBorder="0" applyAlignment="0" applyProtection="0"/>
    <xf numFmtId="39" fontId="26" fillId="0" borderId="0" applyFont="0" applyFill="0" applyBorder="0" applyAlignment="0" applyProtection="0"/>
    <xf numFmtId="0" fontId="26" fillId="0" borderId="0"/>
    <xf numFmtId="0" fontId="113" fillId="62" borderId="0">
      <alignment horizontal="center" vertical="center" wrapText="1"/>
    </xf>
    <xf numFmtId="0" fontId="26" fillId="0" borderId="0">
      <alignment horizontal="center" vertical="center" wrapText="1"/>
    </xf>
    <xf numFmtId="0" fontId="26" fillId="0" borderId="0"/>
    <xf numFmtId="0" fontId="26" fillId="0" borderId="0" applyFill="0" applyBorder="0" applyAlignment="0" applyProtection="0">
      <protection locked="0"/>
    </xf>
    <xf numFmtId="0" fontId="113" fillId="62" borderId="0">
      <alignment horizontal="center" vertical="center" wrapText="1"/>
    </xf>
    <xf numFmtId="0" fontId="26" fillId="0" borderId="0"/>
    <xf numFmtId="282" fontId="26" fillId="0" borderId="0" applyFill="0" applyBorder="0">
      <alignment horizontal="left"/>
    </xf>
    <xf numFmtId="0" fontId="26" fillId="0" borderId="0"/>
    <xf numFmtId="0" fontId="26" fillId="0" borderId="0"/>
    <xf numFmtId="0" fontId="26" fillId="0" borderId="0" applyNumberFormat="0" applyAlignment="0">
      <alignment horizontal="left"/>
    </xf>
    <xf numFmtId="0" fontId="26" fillId="0" borderId="0"/>
    <xf numFmtId="0" fontId="26" fillId="0" borderId="0"/>
    <xf numFmtId="283" fontId="33" fillId="0" borderId="0" applyFill="0" applyBorder="0" applyProtection="0"/>
    <xf numFmtId="283" fontId="26" fillId="0" borderId="0" applyFill="0" applyBorder="0" applyProtection="0"/>
    <xf numFmtId="284" fontId="33" fillId="0" borderId="0" applyFont="0" applyFill="0" applyBorder="0" applyAlignment="0" applyProtection="0"/>
    <xf numFmtId="284"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85" fontId="26" fillId="0" borderId="0" applyFill="0" applyBorder="0">
      <alignment horizontal="right"/>
      <protection locked="0"/>
    </xf>
    <xf numFmtId="0" fontId="111" fillId="0" borderId="0"/>
    <xf numFmtId="0" fontId="26" fillId="0" borderId="0"/>
    <xf numFmtId="0" fontId="26" fillId="0" borderId="0"/>
    <xf numFmtId="286" fontId="33" fillId="0" borderId="0" applyFont="0" applyFill="0" applyBorder="0" applyAlignment="0" applyProtection="0"/>
    <xf numFmtId="286" fontId="26" fillId="0" borderId="0" applyFont="0" applyFill="0" applyBorder="0" applyAlignment="0" applyProtection="0"/>
    <xf numFmtId="0" fontId="26" fillId="0" borderId="0"/>
    <xf numFmtId="0" fontId="26" fillId="0" borderId="0"/>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0" fontId="114" fillId="0" borderId="29"/>
    <xf numFmtId="42" fontId="79" fillId="0" borderId="0" applyFont="0" applyFill="0" applyBorder="0" applyAlignment="0" applyProtection="0"/>
    <xf numFmtId="42" fontId="26" fillId="0" borderId="0" applyFont="0" applyFill="0" applyBorder="0" applyAlignment="0" applyProtection="0"/>
    <xf numFmtId="0" fontId="26" fillId="0" borderId="0"/>
    <xf numFmtId="0" fontId="26" fillId="0" borderId="0"/>
    <xf numFmtId="287" fontId="56" fillId="0" borderId="0" applyFont="0" applyFill="0" applyBorder="0" applyAlignment="0"/>
    <xf numFmtId="287" fontId="26" fillId="0" borderId="0" applyFont="0" applyFill="0" applyBorder="0" applyAlignment="0"/>
    <xf numFmtId="287" fontId="56" fillId="0" borderId="0" applyFont="0" applyFill="0" applyBorder="0" applyAlignment="0"/>
    <xf numFmtId="287" fontId="56" fillId="0" borderId="0" applyFont="0" applyFill="0" applyBorder="0" applyAlignment="0"/>
    <xf numFmtId="287" fontId="56" fillId="0" borderId="0" applyFont="0" applyFill="0" applyBorder="0" applyAlignment="0"/>
    <xf numFmtId="0" fontId="26" fillId="0" borderId="0"/>
    <xf numFmtId="0" fontId="26" fillId="0" borderId="0"/>
    <xf numFmtId="177" fontId="26" fillId="0" borderId="0" applyFont="0" applyFill="0" applyBorder="0" applyAlignment="0" applyProtection="0"/>
    <xf numFmtId="0" fontId="26" fillId="0" borderId="0"/>
    <xf numFmtId="0" fontId="26" fillId="0" borderId="0"/>
    <xf numFmtId="288" fontId="26" fillId="0" borderId="0" applyFont="0" applyFill="0" applyBorder="0" applyAlignment="0" applyProtection="0">
      <alignment horizontal="right"/>
    </xf>
    <xf numFmtId="289" fontId="26" fillId="0" borderId="0" applyFont="0" applyFill="0" applyBorder="0" applyAlignment="0" applyProtection="0"/>
    <xf numFmtId="290" fontId="33" fillId="0" borderId="0" applyFont="0" applyFill="0" applyBorder="0" applyAlignment="0" applyProtection="0"/>
    <xf numFmtId="290" fontId="26" fillId="0" borderId="0" applyFont="0" applyFill="0" applyBorder="0" applyAlignment="0" applyProtection="0"/>
    <xf numFmtId="291" fontId="26" fillId="0" borderId="0" applyFont="0" applyFill="0" applyBorder="0" applyAlignment="0" applyProtection="0"/>
    <xf numFmtId="292" fontId="33" fillId="0" borderId="0" applyFont="0" applyFill="0" applyBorder="0" applyAlignment="0" applyProtection="0"/>
    <xf numFmtId="292" fontId="26" fillId="0" borderId="0" applyFont="0" applyFill="0" applyBorder="0" applyAlignment="0" applyProtection="0"/>
    <xf numFmtId="293" fontId="26" fillId="0" borderId="0" applyFont="0" applyFill="0" applyBorder="0" applyAlignment="0" applyProtection="0"/>
    <xf numFmtId="294" fontId="33" fillId="0" borderId="0" applyFont="0" applyFill="0" applyBorder="0" applyAlignment="0" applyProtection="0"/>
    <xf numFmtId="294" fontId="26" fillId="0" borderId="0" applyFont="0" applyFill="0" applyBorder="0" applyAlignment="0" applyProtection="0"/>
    <xf numFmtId="0" fontId="26" fillId="0" borderId="0"/>
    <xf numFmtId="44" fontId="26"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26" fillId="0" borderId="0"/>
    <xf numFmtId="44" fontId="26" fillId="0" borderId="0" applyFont="0" applyFill="0" applyBorder="0" applyAlignment="0" applyProtection="0"/>
    <xf numFmtId="0" fontId="26" fillId="0" borderId="0"/>
    <xf numFmtId="44" fontId="26" fillId="0" borderId="0" applyFont="0" applyFill="0" applyBorder="0" applyAlignment="0" applyProtection="0"/>
    <xf numFmtId="44" fontId="26" fillId="0" borderId="0" applyFont="0" applyFill="0" applyBorder="0" applyAlignment="0" applyProtection="0"/>
    <xf numFmtId="44" fontId="26" fillId="0" borderId="0" applyFont="0" applyFill="0" applyBorder="0" applyAlignment="0" applyProtection="0"/>
    <xf numFmtId="44" fontId="26" fillId="0" borderId="0" applyFont="0" applyFill="0" applyBorder="0" applyAlignment="0" applyProtection="0"/>
    <xf numFmtId="0" fontId="26" fillId="0" borderId="0"/>
    <xf numFmtId="44" fontId="81" fillId="0" borderId="0" applyFont="0" applyFill="0" applyBorder="0" applyAlignment="0" applyProtection="0"/>
    <xf numFmtId="0" fontId="26" fillId="0" borderId="0"/>
    <xf numFmtId="8" fontId="32" fillId="0" borderId="0" applyFont="0" applyFill="0" applyBorder="0" applyAlignment="0" applyProtection="0"/>
    <xf numFmtId="0" fontId="26" fillId="0" borderId="0"/>
    <xf numFmtId="183" fontId="26" fillId="0" borderId="0" applyFont="0" applyFill="0" applyBorder="0" applyAlignment="0" applyProtection="0"/>
    <xf numFmtId="0" fontId="26" fillId="0" borderId="0"/>
    <xf numFmtId="44" fontId="115" fillId="0" borderId="0" applyFont="0" applyFill="0" applyBorder="0" applyAlignment="0" applyProtection="0">
      <alignment vertical="top"/>
    </xf>
    <xf numFmtId="44" fontId="21" fillId="0" borderId="0" applyFont="0" applyFill="0" applyBorder="0" applyAlignment="0" applyProtection="0"/>
    <xf numFmtId="44" fontId="21" fillId="0" borderId="0" applyFont="0" applyFill="0" applyBorder="0" applyAlignment="0" applyProtection="0"/>
    <xf numFmtId="0" fontId="26" fillId="0" borderId="0"/>
    <xf numFmtId="44" fontId="21" fillId="0" borderId="0" applyFont="0" applyFill="0" applyBorder="0" applyAlignment="0" applyProtection="0"/>
    <xf numFmtId="0" fontId="26" fillId="0" borderId="0"/>
    <xf numFmtId="8" fontId="26" fillId="0" borderId="0">
      <alignment horizontal="right"/>
    </xf>
    <xf numFmtId="0" fontId="26" fillId="0" borderId="0"/>
    <xf numFmtId="0" fontId="26" fillId="0" borderId="0"/>
    <xf numFmtId="6" fontId="26" fillId="0" borderId="0" applyFont="0" applyFill="0" applyBorder="0" applyAlignment="0" applyProtection="0"/>
    <xf numFmtId="0" fontId="26" fillId="0" borderId="0"/>
    <xf numFmtId="0" fontId="26" fillId="0" borderId="0"/>
    <xf numFmtId="0" fontId="26" fillId="0" borderId="0"/>
    <xf numFmtId="272" fontId="30" fillId="29" borderId="0" applyFont="0" applyBorder="0"/>
    <xf numFmtId="0" fontId="26" fillId="0" borderId="0"/>
    <xf numFmtId="14" fontId="26" fillId="0" borderId="0" applyFont="0" applyFill="0" applyBorder="0" applyAlignment="0" applyProtection="0">
      <alignment horizontal="center"/>
    </xf>
    <xf numFmtId="0" fontId="26" fillId="0" borderId="0"/>
    <xf numFmtId="192" fontId="116" fillId="0" borderId="0"/>
    <xf numFmtId="0" fontId="26" fillId="0" borderId="0"/>
    <xf numFmtId="192" fontId="26" fillId="0" borderId="0" applyNumberFormat="0" applyAlignment="0">
      <alignment horizontal="left"/>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5" fontId="90" fillId="0" borderId="0" applyFill="0" applyBorder="0" applyAlignment="0"/>
    <xf numFmtId="295" fontId="90" fillId="36" borderId="0" applyFont="0" applyFill="0" applyBorder="0" applyAlignment="0" applyProtection="0"/>
    <xf numFmtId="296" fontId="24" fillId="36" borderId="32" applyFont="0" applyFill="0" applyBorder="0" applyAlignment="0" applyProtection="0"/>
    <xf numFmtId="296" fontId="24" fillId="36" borderId="32" applyFont="0" applyFill="0" applyBorder="0" applyAlignment="0" applyProtection="0"/>
    <xf numFmtId="295" fontId="56" fillId="36"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297" fontId="26" fillId="0" borderId="0" applyFont="0" applyFill="0" applyBorder="0" applyAlignment="0" applyProtection="0">
      <alignment horizontal="center"/>
    </xf>
    <xf numFmtId="298" fontId="33"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17" fontId="26" fillId="0" borderId="0" applyFont="0" applyFill="0" applyBorder="0" applyAlignment="0" applyProtection="0">
      <alignment horizontal="center"/>
    </xf>
    <xf numFmtId="0" fontId="26" fillId="0" borderId="0"/>
    <xf numFmtId="0" fontId="26" fillId="0" borderId="0"/>
    <xf numFmtId="0" fontId="26" fillId="0" borderId="0"/>
    <xf numFmtId="299" fontId="96" fillId="0" borderId="0" applyFont="0" applyFill="0" applyBorder="0" applyAlignment="0" applyProtection="0">
      <alignment horizontal="center"/>
    </xf>
    <xf numFmtId="300" fontId="96" fillId="0" borderId="33" applyFont="0" applyFill="0" applyBorder="0" applyAlignment="0" applyProtection="0">
      <alignment horizontal="center"/>
    </xf>
    <xf numFmtId="300" fontId="96" fillId="0" borderId="33" applyFont="0" applyFill="0" applyBorder="0" applyAlignment="0" applyProtection="0">
      <alignment horizontal="center"/>
    </xf>
    <xf numFmtId="300" fontId="96" fillId="0" borderId="33" applyFont="0" applyFill="0" applyBorder="0" applyAlignment="0" applyProtection="0">
      <alignment horizontal="center"/>
    </xf>
    <xf numFmtId="300" fontId="96" fillId="0" borderId="33" applyFont="0" applyFill="0" applyBorder="0" applyAlignment="0" applyProtection="0">
      <alignment horizontal="center"/>
    </xf>
    <xf numFmtId="300" fontId="96" fillId="0" borderId="33" applyFont="0" applyFill="0" applyBorder="0" applyAlignment="0" applyProtection="0">
      <alignment horizontal="center"/>
    </xf>
    <xf numFmtId="300" fontId="96" fillId="0" borderId="33" applyFont="0" applyFill="0" applyBorder="0" applyAlignment="0" applyProtection="0">
      <alignment horizontal="center"/>
    </xf>
    <xf numFmtId="186" fontId="56" fillId="0" borderId="33" applyFont="0" applyFill="0" applyBorder="0" applyAlignment="0" applyProtection="0">
      <alignment horizontal="center"/>
    </xf>
    <xf numFmtId="186" fontId="56" fillId="0" borderId="33" applyFont="0" applyFill="0" applyBorder="0" applyAlignment="0" applyProtection="0">
      <alignment horizontal="center"/>
    </xf>
    <xf numFmtId="186" fontId="56" fillId="0" borderId="33" applyFont="0" applyFill="0" applyBorder="0" applyAlignment="0" applyProtection="0">
      <alignment horizontal="center"/>
    </xf>
    <xf numFmtId="186" fontId="56" fillId="0" borderId="33" applyFont="0" applyFill="0" applyBorder="0" applyAlignment="0" applyProtection="0">
      <alignment horizontal="center"/>
    </xf>
    <xf numFmtId="186" fontId="56" fillId="0" borderId="33" applyFont="0" applyFill="0" applyBorder="0" applyAlignment="0" applyProtection="0">
      <alignment horizontal="center"/>
    </xf>
    <xf numFmtId="186" fontId="56" fillId="0" borderId="33" applyFont="0" applyFill="0" applyBorder="0" applyAlignment="0" applyProtection="0">
      <alignment horizontal="center"/>
    </xf>
    <xf numFmtId="14" fontId="117" fillId="0" borderId="0" applyFont="0" applyFill="0" applyBorder="0"/>
    <xf numFmtId="15" fontId="74" fillId="0" borderId="0" applyFont="0" applyFill="0" applyBorder="0" applyAlignment="0" applyProtection="0">
      <alignment horizontal="center"/>
    </xf>
    <xf numFmtId="268" fontId="26" fillId="0" borderId="0" applyFont="0" applyFill="0" applyBorder="0" applyAlignment="0" applyProtection="0">
      <alignment horizontal="center"/>
    </xf>
    <xf numFmtId="268" fontId="118" fillId="0" borderId="0" applyFont="0" applyFill="0" applyBorder="0" applyAlignment="0" applyProtection="0">
      <alignment horizontal="center"/>
    </xf>
    <xf numFmtId="0" fontId="38" fillId="0" borderId="0"/>
    <xf numFmtId="0" fontId="119" fillId="0" borderId="0">
      <protection locked="0"/>
    </xf>
    <xf numFmtId="0" fontId="120" fillId="0" borderId="0">
      <protection locked="0"/>
    </xf>
    <xf numFmtId="0" fontId="120" fillId="0" borderId="0">
      <protection locked="0"/>
    </xf>
    <xf numFmtId="0" fontId="26" fillId="0" borderId="0"/>
    <xf numFmtId="186" fontId="26" fillId="0" borderId="0" applyFont="0" applyFill="0" applyBorder="0" applyAlignment="0" applyProtection="0"/>
    <xf numFmtId="4" fontId="101"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7" fontId="56" fillId="0" borderId="0"/>
    <xf numFmtId="4" fontId="52" fillId="0" borderId="0" applyFont="0" applyFill="0" applyBorder="0" applyAlignment="0" applyProtection="0"/>
    <xf numFmtId="7" fontId="56" fillId="0" borderId="0"/>
    <xf numFmtId="0" fontId="26" fillId="0" borderId="0"/>
    <xf numFmtId="6" fontId="35" fillId="0" borderId="0" applyFont="0" applyFill="0" applyBorder="0" applyAlignment="0" applyProtection="0"/>
    <xf numFmtId="0" fontId="26" fillId="0" borderId="0"/>
    <xf numFmtId="0" fontId="26" fillId="0" borderId="0"/>
    <xf numFmtId="0" fontId="26" fillId="0" borderId="0"/>
    <xf numFmtId="38" fontId="56" fillId="29" borderId="0" applyNumberFormat="0" applyFon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66" fontId="12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301" fontId="26" fillId="36" borderId="0" applyFont="0" applyFill="0" applyBorder="0" applyAlignment="0"/>
    <xf numFmtId="2" fontId="26" fillId="0" borderId="0" applyFont="0" applyFill="0" applyBorder="0" applyAlignment="0" applyProtection="0"/>
    <xf numFmtId="302" fontId="26" fillId="0" borderId="0" applyFont="0" applyFill="0" applyBorder="0" applyAlignment="0"/>
    <xf numFmtId="0" fontId="26" fillId="0" borderId="0"/>
    <xf numFmtId="0" fontId="26" fillId="0" borderId="0"/>
    <xf numFmtId="0" fontId="26" fillId="0" borderId="0"/>
    <xf numFmtId="0" fontId="26" fillId="0" borderId="0"/>
    <xf numFmtId="0" fontId="122" fillId="0" borderId="0">
      <protection locked="0"/>
    </xf>
    <xf numFmtId="0" fontId="26" fillId="0" borderId="0"/>
    <xf numFmtId="303" fontId="26" fillId="63" borderId="0">
      <alignment horizontal="center"/>
      <protection locked="0"/>
    </xf>
    <xf numFmtId="304" fontId="71" fillId="0" borderId="0">
      <alignment horizontal="right"/>
    </xf>
    <xf numFmtId="0" fontId="26" fillId="0" borderId="0"/>
    <xf numFmtId="0" fontId="26" fillId="0" borderId="0"/>
    <xf numFmtId="0" fontId="26" fillId="0" borderId="0"/>
    <xf numFmtId="0" fontId="26" fillId="0" borderId="0"/>
    <xf numFmtId="0" fontId="26" fillId="0" borderId="0"/>
    <xf numFmtId="2" fontId="26" fillId="36" borderId="34" applyFill="0" applyBorder="0" applyProtection="0">
      <alignment horizontal="center"/>
    </xf>
    <xf numFmtId="2" fontId="26" fillId="36" borderId="34" applyFill="0" applyBorder="0" applyProtection="0">
      <alignment horizontal="center"/>
    </xf>
    <xf numFmtId="2" fontId="26" fillId="36" borderId="34" applyFill="0" applyBorder="0" applyProtection="0">
      <alignment horizontal="center"/>
    </xf>
    <xf numFmtId="2" fontId="26" fillId="36" borderId="34" applyFill="0" applyBorder="0" applyProtection="0">
      <alignment horizontal="center"/>
    </xf>
    <xf numFmtId="2" fontId="26" fillId="36" borderId="34" applyFill="0" applyBorder="0" applyProtection="0">
      <alignment horizontal="center"/>
    </xf>
    <xf numFmtId="2" fontId="26" fillId="36" borderId="34" applyFill="0" applyBorder="0" applyProtection="0">
      <alignment horizont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72" fontId="56" fillId="0" borderId="0" applyFill="0" applyBorder="0" applyAlignment="0" applyProtection="0">
      <alignment horizontal="right"/>
    </xf>
    <xf numFmtId="172" fontId="56" fillId="0" borderId="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23" fillId="0" borderId="0">
      <protection locked="0"/>
    </xf>
    <xf numFmtId="0" fontId="26" fillId="0" borderId="0"/>
    <xf numFmtId="0" fontId="26" fillId="0" borderId="0"/>
    <xf numFmtId="0" fontId="124" fillId="0" borderId="35">
      <alignment horizontal="left" vertical="center"/>
    </xf>
    <xf numFmtId="0" fontId="124" fillId="0" borderId="35">
      <alignment horizontal="left" vertical="center"/>
    </xf>
    <xf numFmtId="0" fontId="124" fillId="0" borderId="35">
      <alignment horizontal="left" vertical="center"/>
    </xf>
    <xf numFmtId="0" fontId="124" fillId="0" borderId="35">
      <alignment horizontal="left" vertical="center"/>
    </xf>
    <xf numFmtId="0" fontId="26" fillId="0" borderId="0"/>
    <xf numFmtId="0" fontId="125" fillId="58" borderId="36" applyNumberFormat="0" applyBorder="0">
      <alignment horizontal="left" vertical="center" indent="1"/>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49" fontId="126" fillId="0" borderId="0">
      <alignment horizontal="centerContinuous"/>
    </xf>
    <xf numFmtId="0" fontId="26" fillId="0" borderId="0"/>
    <xf numFmtId="0" fontId="127" fillId="0" borderId="3" applyFill="0" applyAlignment="0" applyProtection="0">
      <protection locked="0"/>
    </xf>
    <xf numFmtId="0" fontId="127" fillId="0" borderId="3" applyFill="0" applyAlignment="0" applyProtection="0">
      <protection locked="0"/>
    </xf>
    <xf numFmtId="0" fontId="127" fillId="0" borderId="3" applyFill="0" applyAlignment="0" applyProtection="0">
      <protection locked="0"/>
    </xf>
    <xf numFmtId="0" fontId="26" fillId="0" borderId="0"/>
    <xf numFmtId="0" fontId="26" fillId="0" borderId="0"/>
    <xf numFmtId="0" fontId="26" fillId="0" borderId="0"/>
    <xf numFmtId="0" fontId="26" fillId="0" borderId="0"/>
    <xf numFmtId="0" fontId="128" fillId="64" borderId="37">
      <alignment horizontal="left" vertical="center"/>
    </xf>
    <xf numFmtId="0" fontId="128" fillId="64" borderId="37">
      <alignment horizontal="left" vertical="center"/>
    </xf>
    <xf numFmtId="0" fontId="128" fillId="64" borderId="37">
      <alignment horizontal="left" vertical="center"/>
    </xf>
    <xf numFmtId="0" fontId="128" fillId="64" borderId="37">
      <alignment horizontal="left" vertical="center"/>
    </xf>
    <xf numFmtId="0" fontId="128" fillId="64" borderId="37">
      <alignment horizontal="left" vertical="center"/>
    </xf>
    <xf numFmtId="0" fontId="128" fillId="64" borderId="37">
      <alignment horizontal="left" vertical="center"/>
    </xf>
    <xf numFmtId="0" fontId="128" fillId="64" borderId="38" applyBorder="0">
      <alignment horizontal="center" vertical="center" wrapText="1"/>
    </xf>
    <xf numFmtId="0" fontId="128" fillId="64" borderId="38" applyBorder="0">
      <alignment horizontal="center" vertical="center" wrapText="1"/>
    </xf>
    <xf numFmtId="0" fontId="128" fillId="64" borderId="38" applyBorder="0">
      <alignment horizontal="center" vertical="center" wrapText="1"/>
    </xf>
    <xf numFmtId="0" fontId="128" fillId="64" borderId="38" applyBorder="0">
      <alignment horizontal="center" vertical="center" wrapText="1"/>
    </xf>
    <xf numFmtId="0" fontId="128" fillId="64" borderId="38" applyBorder="0">
      <alignment horizontal="center" vertical="center" wrapText="1"/>
    </xf>
    <xf numFmtId="0" fontId="128" fillId="64" borderId="38" applyBorder="0">
      <alignment horizontal="center" vertical="center" wrapText="1"/>
    </xf>
    <xf numFmtId="0" fontId="26" fillId="0" borderId="0"/>
    <xf numFmtId="0" fontId="26" fillId="0" borderId="0"/>
    <xf numFmtId="0" fontId="26" fillId="0" borderId="0"/>
    <xf numFmtId="0" fontId="26" fillId="0" borderId="0"/>
    <xf numFmtId="0" fontId="26" fillId="0" borderId="0"/>
    <xf numFmtId="0" fontId="129" fillId="0" borderId="0" applyNumberFormat="0" applyFill="0" applyBorder="0" applyAlignment="0" applyProtection="0">
      <alignment vertical="top"/>
      <protection locked="0"/>
    </xf>
    <xf numFmtId="0" fontId="130" fillId="0" borderId="0"/>
    <xf numFmtId="0" fontId="41" fillId="0" borderId="0"/>
    <xf numFmtId="268" fontId="35" fillId="0" borderId="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8" fontId="56" fillId="36" borderId="0" applyFont="0" applyBorder="0" applyAlignment="0" applyProtection="0">
      <protection locked="0"/>
    </xf>
    <xf numFmtId="296" fontId="56" fillId="36" borderId="0" applyFont="0" applyBorder="0" applyAlignment="0" applyProtection="0">
      <protection locked="0"/>
    </xf>
    <xf numFmtId="301" fontId="56" fillId="36" borderId="0" applyFont="0" applyBorder="0" applyAlignment="0">
      <protection locked="0"/>
    </xf>
    <xf numFmtId="268" fontId="56" fillId="36" borderId="0">
      <protection locked="0"/>
    </xf>
    <xf numFmtId="305" fontId="56" fillId="36" borderId="0" applyFont="0" applyBorder="0" applyAlignment="0">
      <protection locked="0"/>
    </xf>
    <xf numFmtId="10" fontId="56" fillId="36" borderId="0">
      <protection locked="0"/>
    </xf>
    <xf numFmtId="268" fontId="131" fillId="36" borderId="0" applyNumberFormat="0" applyBorder="0" applyAlignment="0">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32" fillId="0" borderId="0" applyNumberFormat="0" applyFill="0" applyBorder="0" applyAlignment="0">
      <protection locked="0"/>
    </xf>
    <xf numFmtId="8" fontId="133" fillId="0" borderId="31" applyNumberFormat="0" applyFill="0" applyBorder="0" applyAlignment="0" applyProtection="0"/>
    <xf numFmtId="8" fontId="133" fillId="0" borderId="31" applyNumberFormat="0" applyFill="0" applyBorder="0" applyAlignment="0" applyProtection="0"/>
    <xf numFmtId="8" fontId="133" fillId="0" borderId="31" applyNumberFormat="0" applyFill="0" applyBorder="0" applyAlignment="0" applyProtection="0"/>
    <xf numFmtId="8" fontId="133" fillId="0" borderId="31" applyNumberFormat="0" applyFill="0" applyBorder="0" applyAlignment="0" applyProtection="0"/>
    <xf numFmtId="8" fontId="133" fillId="0" borderId="31" applyNumberFormat="0" applyFill="0" applyBorder="0" applyAlignment="0" applyProtection="0"/>
    <xf numFmtId="8" fontId="133" fillId="0" borderId="31" applyNumberFormat="0" applyFill="0" applyBorder="0" applyAlignment="0" applyProtection="0"/>
    <xf numFmtId="268" fontId="56" fillId="36" borderId="0" applyNumberFormat="0" applyFont="0" applyBorder="0" applyAlignment="0" applyProtection="0">
      <alignment horizontal="center"/>
      <protection locked="0"/>
    </xf>
    <xf numFmtId="0" fontId="134" fillId="0" borderId="0" applyNumberFormat="0" applyFill="0" applyBorder="0" applyAlignment="0">
      <protection locked="0"/>
    </xf>
    <xf numFmtId="306" fontId="26" fillId="0" borderId="0" applyFill="0" applyBorder="0" applyAlignment="0">
      <protection locked="0"/>
    </xf>
    <xf numFmtId="0" fontId="26" fillId="0" borderId="0"/>
    <xf numFmtId="0" fontId="26" fillId="0" borderId="0"/>
    <xf numFmtId="0" fontId="26" fillId="0" borderId="0"/>
    <xf numFmtId="0" fontId="26" fillId="0" borderId="0"/>
    <xf numFmtId="307" fontId="26" fillId="0" borderId="0" applyFill="0" applyBorder="0">
      <alignment horizontal="right"/>
      <protection locked="0"/>
    </xf>
    <xf numFmtId="0" fontId="50" fillId="65" borderId="37">
      <alignment horizontal="left" vertical="center" wrapText="1"/>
    </xf>
    <xf numFmtId="0" fontId="50" fillId="65" borderId="37">
      <alignment horizontal="left" vertical="center" wrapText="1"/>
    </xf>
    <xf numFmtId="0" fontId="50" fillId="65" borderId="37">
      <alignment horizontal="left" vertical="center" wrapText="1"/>
    </xf>
    <xf numFmtId="0" fontId="50" fillId="65" borderId="37">
      <alignment horizontal="left" vertical="center" wrapText="1"/>
    </xf>
    <xf numFmtId="0" fontId="50" fillId="65" borderId="37">
      <alignment horizontal="left" vertical="center" wrapText="1"/>
    </xf>
    <xf numFmtId="0" fontId="50" fillId="65" borderId="37">
      <alignment horizontal="left" vertical="center" wrapText="1"/>
    </xf>
    <xf numFmtId="0" fontId="26" fillId="0" borderId="0"/>
    <xf numFmtId="0" fontId="26" fillId="0" borderId="0"/>
    <xf numFmtId="0" fontId="26" fillId="0" borderId="0"/>
    <xf numFmtId="0" fontId="26" fillId="0" borderId="0"/>
    <xf numFmtId="0" fontId="26" fillId="0" borderId="0" applyFont="0" applyFill="0" applyBorder="0" applyAlignment="0" applyProtection="0"/>
    <xf numFmtId="177" fontId="29" fillId="29" borderId="0" applyFont="0">
      <alignment horizont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0" fillId="0" borderId="0" applyNumberFormat="0" applyFont="0" applyFill="0" applyBorder="0" applyProtection="0">
      <alignment horizontal="left" vertical="center"/>
    </xf>
    <xf numFmtId="0" fontId="26" fillId="0" borderId="0"/>
    <xf numFmtId="0" fontId="26" fillId="0" borderId="0"/>
    <xf numFmtId="0" fontId="26" fillId="0" borderId="0"/>
    <xf numFmtId="0" fontId="26" fillId="0" borderId="0"/>
    <xf numFmtId="0" fontId="135" fillId="0" borderId="0" applyNumberFormat="0" applyFill="0" applyBorder="0" applyAlignment="0" applyProtection="0">
      <alignment vertical="top"/>
      <protection locked="0"/>
    </xf>
    <xf numFmtId="1" fontId="56" fillId="0" borderId="3" applyNumberFormat="0" applyFont="0" applyFill="0" applyAlignment="0" applyProtection="0">
      <alignment horizontal="center"/>
    </xf>
    <xf numFmtId="1" fontId="56" fillId="0" borderId="3" applyNumberFormat="0" applyFont="0" applyFill="0" applyAlignment="0" applyProtection="0">
      <alignment horizontal="center"/>
    </xf>
    <xf numFmtId="1" fontId="56" fillId="0" borderId="3" applyNumberFormat="0" applyFont="0" applyFill="0" applyAlignment="0" applyProtection="0">
      <alignment horizontal="center"/>
    </xf>
    <xf numFmtId="0" fontId="26" fillId="0" borderId="0"/>
    <xf numFmtId="2" fontId="26" fillId="0" borderId="0" applyNumberFormat="0" applyBorder="0">
      <alignment horizontal="left"/>
    </xf>
    <xf numFmtId="1" fontId="56" fillId="0" borderId="33" applyNumberFormat="0" applyFont="0" applyFill="0" applyProtection="0">
      <alignment horizontal="center"/>
    </xf>
    <xf numFmtId="1" fontId="56" fillId="0" borderId="33" applyNumberFormat="0" applyFont="0" applyFill="0" applyProtection="0">
      <alignment horizontal="center"/>
    </xf>
    <xf numFmtId="1" fontId="56" fillId="0" borderId="33" applyNumberFormat="0" applyFont="0" applyFill="0" applyProtection="0">
      <alignment horizontal="center"/>
    </xf>
    <xf numFmtId="1" fontId="56" fillId="0" borderId="33" applyNumberFormat="0" applyFont="0" applyFill="0" applyProtection="0">
      <alignment horizontal="center"/>
    </xf>
    <xf numFmtId="1" fontId="56" fillId="0" borderId="33" applyNumberFormat="0" applyFont="0" applyFill="0" applyProtection="0">
      <alignment horizontal="center"/>
    </xf>
    <xf numFmtId="1" fontId="56" fillId="0" borderId="33" applyNumberFormat="0" applyFont="0" applyFill="0" applyProtection="0">
      <alignment horizont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7" fontId="30" fillId="0" borderId="0"/>
    <xf numFmtId="308" fontId="124" fillId="66" borderId="39" applyBorder="0">
      <protection locked="0"/>
    </xf>
    <xf numFmtId="0" fontId="30" fillId="0" borderId="0" applyNumberFormat="0" applyFill="0" applyBorder="0" applyAlignment="0" applyProtection="0"/>
    <xf numFmtId="0" fontId="30" fillId="0" borderId="0" applyNumberFormat="0" applyFill="0" applyBorder="0" applyAlignment="0" applyProtection="0"/>
    <xf numFmtId="0" fontId="136" fillId="0" borderId="0" applyNumberFormat="0" applyFill="0" applyBorder="0" applyAlignment="0" applyProtection="0"/>
    <xf numFmtId="268" fontId="56" fillId="0" borderId="0" applyFill="0" applyBorder="0" applyAlignment="0" applyProtection="0"/>
    <xf numFmtId="0" fontId="26" fillId="0" borderId="0"/>
    <xf numFmtId="0" fontId="26" fillId="0" borderId="0"/>
    <xf numFmtId="0" fontId="30" fillId="0" borderId="0"/>
    <xf numFmtId="309"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310" fontId="26" fillId="0" borderId="3" applyFont="0" applyFill="0" applyBorder="0" applyAlignment="0" applyProtection="0">
      <protection locked="0"/>
    </xf>
    <xf numFmtId="310" fontId="26" fillId="0" borderId="3" applyFont="0" applyFill="0" applyBorder="0" applyAlignment="0" applyProtection="0">
      <protection locked="0"/>
    </xf>
    <xf numFmtId="310" fontId="26" fillId="0" borderId="3" applyFont="0" applyFill="0" applyBorder="0" applyAlignment="0" applyProtection="0">
      <protection locked="0"/>
    </xf>
    <xf numFmtId="0" fontId="26" fillId="0" borderId="0"/>
    <xf numFmtId="0" fontId="26" fillId="0" borderId="0"/>
    <xf numFmtId="0" fontId="26" fillId="0" borderId="0"/>
    <xf numFmtId="242" fontId="26" fillId="0" borderId="0" applyFont="0" applyFill="0" applyBorder="0" applyAlignment="0" applyProtection="0"/>
    <xf numFmtId="242" fontId="26" fillId="0" borderId="0" applyFont="0" applyFill="0" applyBorder="0" applyAlignment="0" applyProtection="0"/>
    <xf numFmtId="311" fontId="26" fillId="0" borderId="0" applyFont="0" applyFill="0" applyBorder="0" applyAlignment="0" applyProtection="0"/>
    <xf numFmtId="276" fontId="26" fillId="0" borderId="0" applyFont="0" applyFill="0" applyBorder="0" applyAlignment="0" applyProtection="0"/>
    <xf numFmtId="312"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7" fontId="117" fillId="0" borderId="0" applyFont="0" applyFill="0" applyBorder="0">
      <alignment horizontal="right"/>
    </xf>
    <xf numFmtId="17" fontId="74" fillId="0" borderId="0" applyFont="0" applyFill="0" applyBorder="0" applyAlignment="0" applyProtection="0">
      <alignment horizontal="center"/>
    </xf>
    <xf numFmtId="313" fontId="30" fillId="0" borderId="3" applyFont="0" applyFill="0" applyBorder="0" applyProtection="0"/>
    <xf numFmtId="313" fontId="30" fillId="0" borderId="3" applyFont="0" applyFill="0" applyBorder="0" applyProtection="0"/>
    <xf numFmtId="313" fontId="30" fillId="0" borderId="3" applyFont="0" applyFill="0" applyBorder="0" applyProtection="0"/>
    <xf numFmtId="314" fontId="30" fillId="0" borderId="3" applyFont="0" applyFill="0" applyBorder="0" applyAlignment="0" applyProtection="0"/>
    <xf numFmtId="314" fontId="30" fillId="0" borderId="3" applyFont="0" applyFill="0" applyBorder="0" applyAlignment="0" applyProtection="0"/>
    <xf numFmtId="314" fontId="30" fillId="0" borderId="3" applyFont="0" applyFill="0" applyBorder="0" applyAlignment="0" applyProtection="0"/>
    <xf numFmtId="0" fontId="26" fillId="0" borderId="0"/>
    <xf numFmtId="313" fontId="30" fillId="0" borderId="0" applyFont="0" applyFill="0" applyBorder="0" applyAlignment="0" applyProtection="0"/>
    <xf numFmtId="314" fontId="30" fillId="0" borderId="0" applyFont="0" applyFill="0" applyBorder="0" applyAlignment="0" applyProtection="0"/>
    <xf numFmtId="315" fontId="52" fillId="0" borderId="0" applyFont="0" applyFill="0" applyBorder="0" applyAlignment="0" applyProtection="0"/>
    <xf numFmtId="316" fontId="35" fillId="0" borderId="0" applyFont="0" applyFill="0" applyBorder="0" applyAlignment="0" applyProtection="0"/>
    <xf numFmtId="317" fontId="52" fillId="0" borderId="0" applyFont="0" applyFill="0" applyBorder="0" applyAlignment="0" applyProtection="0"/>
    <xf numFmtId="0" fontId="26" fillId="0" borderId="0"/>
    <xf numFmtId="318" fontId="52"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167" fontId="56" fillId="29" borderId="0" applyFont="0" applyBorder="0" applyAlignment="0" applyProtection="0">
      <alignment horizontal="right"/>
      <protection hidden="1"/>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40" fontId="50" fillId="0" borderId="0" applyFont="0" applyFill="0" applyBorder="0" applyAlignment="0" applyProtection="0">
      <alignment horizontal="center"/>
    </xf>
    <xf numFmtId="0" fontId="26" fillId="0" borderId="0"/>
    <xf numFmtId="319" fontId="30" fillId="0" borderId="0"/>
    <xf numFmtId="0" fontId="26" fillId="0" borderId="0"/>
    <xf numFmtId="0" fontId="26" fillId="0" borderId="0"/>
    <xf numFmtId="0" fontId="71" fillId="0" borderId="0" applyNumberFormat="0" applyFill="0" applyAlignment="0" applyProtection="0"/>
    <xf numFmtId="0" fontId="26" fillId="0" borderId="0"/>
    <xf numFmtId="0" fontId="26" fillId="0" borderId="0"/>
    <xf numFmtId="320" fontId="26" fillId="0" borderId="0"/>
    <xf numFmtId="0" fontId="26" fillId="0" borderId="0"/>
    <xf numFmtId="0" fontId="37"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38" fontId="56" fillId="0" borderId="0" applyFont="0" applyFill="0" applyBorder="0" applyAlignment="0"/>
    <xf numFmtId="268" fontId="26" fillId="0" borderId="0" applyFont="0" applyFill="0" applyBorder="0" applyAlignment="0"/>
    <xf numFmtId="40" fontId="56" fillId="0" borderId="0" applyFont="0" applyFill="0" applyBorder="0" applyAlignment="0"/>
    <xf numFmtId="272" fontId="56" fillId="0" borderId="0" applyFont="0" applyFill="0" applyBorder="0" applyAlignment="0"/>
    <xf numFmtId="0" fontId="26" fillId="0" borderId="0"/>
    <xf numFmtId="0" fontId="2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0" borderId="0"/>
    <xf numFmtId="0" fontId="26" fillId="0" borderId="0"/>
    <xf numFmtId="0" fontId="26" fillId="0" borderId="0"/>
    <xf numFmtId="0" fontId="26" fillId="0" borderId="0"/>
    <xf numFmtId="0" fontId="21" fillId="0" borderId="0"/>
    <xf numFmtId="0" fontId="26" fillId="0" borderId="0"/>
    <xf numFmtId="0" fontId="21" fillId="0" borderId="0"/>
    <xf numFmtId="0" fontId="26" fillId="0" borderId="0"/>
    <xf numFmtId="0" fontId="21" fillId="0" borderId="0"/>
    <xf numFmtId="0" fontId="26" fillId="0" borderId="0"/>
    <xf numFmtId="0" fontId="21" fillId="0" borderId="0"/>
    <xf numFmtId="0" fontId="26" fillId="0" borderId="0"/>
    <xf numFmtId="0" fontId="26" fillId="0" borderId="0"/>
    <xf numFmtId="0" fontId="21" fillId="0" borderId="0"/>
    <xf numFmtId="0" fontId="26" fillId="0" borderId="0"/>
    <xf numFmtId="0" fontId="21" fillId="0" borderId="0"/>
    <xf numFmtId="0" fontId="21" fillId="0" borderId="0"/>
    <xf numFmtId="0" fontId="26" fillId="0" borderId="0"/>
    <xf numFmtId="0" fontId="26" fillId="0" borderId="0"/>
    <xf numFmtId="0" fontId="26" fillId="0" borderId="0"/>
    <xf numFmtId="0" fontId="26" fillId="0" borderId="0"/>
    <xf numFmtId="0" fontId="26" fillId="0" borderId="0"/>
    <xf numFmtId="0" fontId="109" fillId="0" borderId="0"/>
    <xf numFmtId="0" fontId="26" fillId="0" borderId="0"/>
    <xf numFmtId="0" fontId="26" fillId="0" borderId="0"/>
    <xf numFmtId="0" fontId="29"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46" fontId="2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0" borderId="0"/>
    <xf numFmtId="0" fontId="109" fillId="0" borderId="0"/>
    <xf numFmtId="0" fontId="109"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09" fillId="0" borderId="0"/>
    <xf numFmtId="0" fontId="109" fillId="0" borderId="0"/>
    <xf numFmtId="0" fontId="2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2"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0" borderId="0"/>
    <xf numFmtId="0" fontId="26" fillId="0" borderId="0"/>
    <xf numFmtId="0" fontId="21" fillId="0" borderId="0"/>
    <xf numFmtId="0" fontId="26" fillId="0" borderId="0"/>
    <xf numFmtId="321" fontId="42" fillId="0" borderId="0">
      <alignment horizontal="right"/>
    </xf>
    <xf numFmtId="321" fontId="42" fillId="0" borderId="0">
      <alignment horizontal="right"/>
    </xf>
    <xf numFmtId="0" fontId="26" fillId="0" borderId="0"/>
    <xf numFmtId="1" fontId="74" fillId="0" borderId="0" applyFont="0" applyFill="0" applyBorder="0" applyAlignment="0" applyProtection="0">
      <alignment horizontal="center"/>
    </xf>
    <xf numFmtId="322" fontId="56" fillId="0" borderId="0" applyFont="0" applyFill="0" applyBorder="0" applyAlignment="0" applyProtection="0"/>
    <xf numFmtId="41" fontId="137" fillId="0" borderId="0"/>
    <xf numFmtId="268" fontId="26" fillId="0" borderId="0">
      <alignment horizontal="right"/>
    </xf>
    <xf numFmtId="268" fontId="56" fillId="0" borderId="0"/>
    <xf numFmtId="0" fontId="26" fillId="0" borderId="0"/>
    <xf numFmtId="40" fontId="56" fillId="0" borderId="0"/>
    <xf numFmtId="323" fontId="26" fillId="0" borderId="0"/>
    <xf numFmtId="38" fontId="26" fillId="0" borderId="0"/>
    <xf numFmtId="0" fontId="26" fillId="0" borderId="0"/>
    <xf numFmtId="0" fontId="26" fillId="0" borderId="0"/>
    <xf numFmtId="0" fontId="26" fillId="0" borderId="0"/>
    <xf numFmtId="0" fontId="26" fillId="0" borderId="0"/>
    <xf numFmtId="267" fontId="138" fillId="0" borderId="0">
      <alignment horizontal="right"/>
    </xf>
    <xf numFmtId="0" fontId="26" fillId="0" borderId="0"/>
    <xf numFmtId="0" fontId="26" fillId="0" borderId="0"/>
    <xf numFmtId="0" fontId="26" fillId="0" borderId="0"/>
    <xf numFmtId="39" fontId="56" fillId="0" borderId="0"/>
    <xf numFmtId="0" fontId="26" fillId="0" borderId="0"/>
    <xf numFmtId="40" fontId="26" fillId="0" borderId="0" applyBorder="0">
      <alignment horizontal="right"/>
    </xf>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6" fillId="0" borderId="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268" fontId="5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40" fontId="26" fillId="0" borderId="0" applyFont="0" applyFill="0" applyBorder="0" applyAlignment="0" applyProtection="0">
      <alignment horizontal="center"/>
    </xf>
    <xf numFmtId="0" fontId="26" fillId="0" borderId="0"/>
    <xf numFmtId="0" fontId="26" fillId="0" borderId="0"/>
    <xf numFmtId="0" fontId="26" fillId="0" borderId="0"/>
    <xf numFmtId="0" fontId="26" fillId="0" borderId="0"/>
    <xf numFmtId="43" fontId="30" fillId="0" borderId="0" applyFont="0" applyFill="0" applyBorder="0" applyAlignment="0" applyProtection="0"/>
    <xf numFmtId="0" fontId="26" fillId="0" borderId="0"/>
    <xf numFmtId="0" fontId="26" fillId="0" borderId="0"/>
    <xf numFmtId="0" fontId="26" fillId="0" borderId="0"/>
    <xf numFmtId="0" fontId="139" fillId="0" borderId="0">
      <alignment horizontal="left" vertical="top"/>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40" fillId="0" borderId="3" applyNumberFormat="0" applyFill="0" applyBorder="0" applyAlignment="0">
      <protection locked="0"/>
    </xf>
    <xf numFmtId="0" fontId="140" fillId="0" borderId="3" applyNumberFormat="0" applyFill="0" applyBorder="0" applyAlignment="0">
      <protection locked="0"/>
    </xf>
    <xf numFmtId="0" fontId="140" fillId="0" borderId="3" applyNumberFormat="0" applyFill="0" applyBorder="0" applyAlignment="0">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74" fillId="0" borderId="0" applyNumberFormat="0" applyFill="0" applyBorder="0" applyAlignment="0" applyProtection="0"/>
    <xf numFmtId="324" fontId="56" fillId="0" borderId="0"/>
    <xf numFmtId="0" fontId="26" fillId="0" borderId="0"/>
    <xf numFmtId="0" fontId="26" fillId="0" borderId="0"/>
    <xf numFmtId="0" fontId="26" fillId="0" borderId="0"/>
    <xf numFmtId="0" fontId="26" fillId="0" borderId="0"/>
    <xf numFmtId="0" fontId="111" fillId="0" borderId="0"/>
    <xf numFmtId="325" fontId="26" fillId="0" borderId="0" applyFont="0" applyFill="0" applyBorder="0" applyAlignment="0" applyProtection="0"/>
    <xf numFmtId="326"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327" fontId="52" fillId="0" borderId="0" applyFont="0" applyFill="0" applyBorder="0" applyAlignment="0" applyProtection="0"/>
    <xf numFmtId="165" fontId="141" fillId="0" borderId="0" applyFont="0" applyFill="0" applyBorder="0" applyAlignment="0" applyProtection="0"/>
    <xf numFmtId="0" fontId="26" fillId="0" borderId="0"/>
    <xf numFmtId="0" fontId="26" fillId="0" borderId="0"/>
    <xf numFmtId="0" fontId="26" fillId="0" borderId="0"/>
    <xf numFmtId="328" fontId="26" fillId="0" borderId="0" applyFont="0" applyFill="0" applyBorder="0" applyAlignment="0" applyProtection="0"/>
    <xf numFmtId="329" fontId="26" fillId="0" borderId="0" applyFont="0" applyFill="0" applyBorder="0" applyAlignment="0" applyProtection="0"/>
    <xf numFmtId="274" fontId="26" fillId="0" borderId="0" applyFont="0" applyFill="0" applyBorder="0" applyAlignment="0" applyProtection="0"/>
    <xf numFmtId="276" fontId="30" fillId="0" borderId="0" applyFont="0" applyFill="0" applyBorder="0" applyAlignment="0" applyProtection="0"/>
    <xf numFmtId="185" fontId="30" fillId="0" borderId="0" applyFont="0" applyFill="0" applyBorder="0" applyAlignment="0" applyProtection="0"/>
    <xf numFmtId="330" fontId="30" fillId="0" borderId="0" applyFont="0" applyFill="0" applyBorder="0" applyAlignment="0" applyProtection="0"/>
    <xf numFmtId="280" fontId="26" fillId="0" borderId="0" applyFont="0" applyFill="0" applyBorder="0" applyAlignment="0" applyProtection="0"/>
    <xf numFmtId="0" fontId="26" fillId="0" borderId="0"/>
    <xf numFmtId="0" fontId="26" fillId="0" borderId="0"/>
    <xf numFmtId="0" fontId="26" fillId="0" borderId="0"/>
    <xf numFmtId="9" fontId="21" fillId="0" borderId="0" applyFont="0" applyFill="0" applyBorder="0" applyAlignment="0" applyProtection="0"/>
    <xf numFmtId="9" fontId="109" fillId="0" borderId="0" applyFont="0" applyFill="0" applyBorder="0" applyAlignment="0" applyProtection="0"/>
    <xf numFmtId="9" fontId="26" fillId="0" borderId="0" applyFont="0" applyFill="0" applyBorder="0" applyAlignment="0" applyProtection="0"/>
    <xf numFmtId="9" fontId="21"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9" fontId="26" fillId="0" borderId="0" applyFont="0" applyFill="0" applyBorder="0" applyAlignment="0" applyProtection="0"/>
    <xf numFmtId="9" fontId="26" fillId="0" borderId="0" applyFont="0" applyFill="0" applyBorder="0" applyAlignment="0" applyProtection="0"/>
    <xf numFmtId="0" fontId="26" fillId="0" borderId="0"/>
    <xf numFmtId="9" fontId="26" fillId="0" borderId="0" applyFont="0" applyFill="0" applyBorder="0" applyAlignment="0" applyProtection="0"/>
    <xf numFmtId="9" fontId="32"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9" fontId="88" fillId="0" borderId="0" applyFont="0" applyFill="0" applyBorder="0" applyAlignment="0" applyProtection="0"/>
    <xf numFmtId="0" fontId="26" fillId="0" borderId="0"/>
    <xf numFmtId="0" fontId="26" fillId="0" borderId="0"/>
    <xf numFmtId="0" fontId="26" fillId="0" borderId="0"/>
    <xf numFmtId="9" fontId="26" fillId="0" borderId="0" applyFont="0" applyFill="0" applyBorder="0" applyAlignment="0" applyProtection="0"/>
    <xf numFmtId="0" fontId="26" fillId="0" borderId="0"/>
    <xf numFmtId="0" fontId="26" fillId="0" borderId="0"/>
    <xf numFmtId="305" fontId="74" fillId="0" borderId="0" applyFont="0" applyFill="0" applyBorder="0" applyAlignment="0" applyProtection="0">
      <alignment horizont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331" fontId="26" fillId="0" borderId="0" applyFill="0" applyBorder="0">
      <alignment horizontal="right"/>
      <protection locked="0"/>
    </xf>
    <xf numFmtId="332" fontId="142" fillId="0" borderId="0" applyFont="0" applyFill="0" applyBorder="0" applyAlignment="0" applyProtection="0">
      <protection locked="0"/>
    </xf>
    <xf numFmtId="0" fontId="26" fillId="0" borderId="0"/>
    <xf numFmtId="0" fontId="26" fillId="0" borderId="0"/>
    <xf numFmtId="333" fontId="56" fillId="0" borderId="0" applyFont="0" applyFill="0" applyBorder="0" applyAlignment="0" applyProtection="0"/>
    <xf numFmtId="334" fontId="56" fillId="0" borderId="0" applyFont="0" applyFill="0" applyBorder="0" applyAlignment="0" applyProtection="0"/>
    <xf numFmtId="0" fontId="26" fillId="0" borderId="0"/>
    <xf numFmtId="0" fontId="26" fillId="0" borderId="0"/>
    <xf numFmtId="0" fontId="26" fillId="0" borderId="0"/>
    <xf numFmtId="0" fontId="26" fillId="0" borderId="0"/>
    <xf numFmtId="335" fontId="3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8" fontId="143" fillId="0" borderId="40">
      <alignment horizontal="right"/>
    </xf>
    <xf numFmtId="0" fontId="26" fillId="0" borderId="0"/>
    <xf numFmtId="0" fontId="26" fillId="0" borderId="0"/>
    <xf numFmtId="0" fontId="26" fillId="0" borderId="0"/>
    <xf numFmtId="0" fontId="26" fillId="0" borderId="0"/>
    <xf numFmtId="0" fontId="144" fillId="0" borderId="0"/>
    <xf numFmtId="0" fontId="144" fillId="0" borderId="41">
      <alignment horizontal="right"/>
    </xf>
    <xf numFmtId="0" fontId="14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45" fillId="0" borderId="0"/>
    <xf numFmtId="0" fontId="26" fillId="0" borderId="0"/>
    <xf numFmtId="0" fontId="26" fillId="0" borderId="0"/>
    <xf numFmtId="0" fontId="26" fillId="0" borderId="0"/>
    <xf numFmtId="336" fontId="26" fillId="0" borderId="0">
      <alignment horizontal="right"/>
      <protection locked="0"/>
    </xf>
    <xf numFmtId="0" fontId="26" fillId="0" borderId="0"/>
    <xf numFmtId="0" fontId="26" fillId="0" borderId="0"/>
    <xf numFmtId="0" fontId="26" fillId="0" borderId="0"/>
    <xf numFmtId="0" fontId="26" fillId="0" borderId="0"/>
    <xf numFmtId="0" fontId="26" fillId="0" borderId="0"/>
    <xf numFmtId="268" fontId="146" fillId="0" borderId="0" applyNumberFormat="0" applyFill="0" applyBorder="0" applyAlignment="0" applyProtection="0">
      <alignment horizontal="left"/>
    </xf>
    <xf numFmtId="0" fontId="26" fillId="0" borderId="0"/>
    <xf numFmtId="0" fontId="26" fillId="0" borderId="0"/>
    <xf numFmtId="192" fontId="30" fillId="0" borderId="0">
      <alignment horizontal="right"/>
    </xf>
    <xf numFmtId="0" fontId="26" fillId="0" borderId="0"/>
    <xf numFmtId="337" fontId="26" fillId="0" borderId="42" applyBorder="0">
      <alignment horizontal="right"/>
    </xf>
    <xf numFmtId="337" fontId="26" fillId="0" borderId="42" applyBorder="0">
      <alignment horizontal="right"/>
    </xf>
    <xf numFmtId="337" fontId="26" fillId="0" borderId="42" applyBorder="0">
      <alignment horizontal="right"/>
    </xf>
    <xf numFmtId="337" fontId="26" fillId="0" borderId="42" applyBorder="0">
      <alignment horizontal="right"/>
    </xf>
    <xf numFmtId="0" fontId="26" fillId="0" borderId="0"/>
    <xf numFmtId="0" fontId="26" fillId="0" borderId="0"/>
    <xf numFmtId="0" fontId="26" fillId="0" borderId="0"/>
    <xf numFmtId="0" fontId="26" fillId="0" borderId="0"/>
    <xf numFmtId="0" fontId="26" fillId="0" borderId="0"/>
    <xf numFmtId="0" fontId="26" fillId="0" borderId="0"/>
    <xf numFmtId="0" fontId="147" fillId="0" borderId="0">
      <alignment horizontal="right"/>
    </xf>
    <xf numFmtId="0" fontId="148" fillId="0" borderId="0">
      <alignment horizontal="right"/>
    </xf>
    <xf numFmtId="0" fontId="4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49" fillId="0" borderId="43"/>
    <xf numFmtId="0" fontId="149" fillId="0" borderId="43"/>
    <xf numFmtId="0" fontId="149" fillId="0" borderId="43"/>
    <xf numFmtId="0" fontId="149" fillId="0" borderId="43"/>
    <xf numFmtId="0" fontId="149" fillId="0" borderId="43"/>
    <xf numFmtId="0" fontId="149" fillId="0" borderId="43"/>
    <xf numFmtId="0" fontId="26" fillId="0" borderId="0"/>
    <xf numFmtId="0" fontId="124" fillId="62" borderId="29">
      <alignment horizontal="center" vertical="center" wrapText="1"/>
      <protection hidden="1"/>
    </xf>
    <xf numFmtId="0" fontId="124" fillId="62" borderId="29">
      <alignment horizontal="center" vertical="center" wrapText="1"/>
      <protection hidden="1"/>
    </xf>
    <xf numFmtId="0" fontId="124" fillId="62" borderId="29">
      <alignment horizontal="center" vertical="center" wrapText="1"/>
      <protection hidden="1"/>
    </xf>
    <xf numFmtId="0" fontId="124" fillId="62" borderId="29">
      <alignment horizontal="center" vertical="center" wrapText="1"/>
      <protection hidden="1"/>
    </xf>
    <xf numFmtId="0" fontId="124" fillId="62" borderId="29">
      <alignment horizontal="center" vertical="center" wrapText="1"/>
      <protection hidden="1"/>
    </xf>
    <xf numFmtId="0" fontId="124" fillId="62" borderId="29">
      <alignment horizontal="center" vertical="center" wrapText="1"/>
      <protection hidden="1"/>
    </xf>
    <xf numFmtId="338" fontId="30" fillId="0" borderId="0" applyFont="0" applyFill="0" applyBorder="0" applyAlignment="0" applyProtection="0">
      <alignment vertical="center"/>
    </xf>
    <xf numFmtId="0" fontId="26" fillId="0" borderId="0"/>
    <xf numFmtId="0" fontId="26" fillId="0" borderId="0"/>
    <xf numFmtId="0" fontId="150" fillId="1" borderId="35" applyNumberFormat="0" applyFont="0" applyAlignment="0">
      <alignment horizontal="center"/>
    </xf>
    <xf numFmtId="0" fontId="150" fillId="1" borderId="35" applyNumberFormat="0" applyFont="0" applyAlignment="0">
      <alignment horizontal="center"/>
    </xf>
    <xf numFmtId="0" fontId="150" fillId="1" borderId="35" applyNumberFormat="0" applyFont="0" applyAlignment="0">
      <alignment horizontal="center"/>
    </xf>
    <xf numFmtId="0" fontId="150" fillId="1" borderId="35" applyNumberFormat="0" applyFont="0" applyAlignment="0">
      <alignment horizontal="center"/>
    </xf>
    <xf numFmtId="0" fontId="26" fillId="0" borderId="0"/>
    <xf numFmtId="272" fontId="35" fillId="0" borderId="0" applyFont="0" applyFill="0" applyBorder="0" applyAlignment="0" applyProtection="0"/>
    <xf numFmtId="37" fontId="26" fillId="0" borderId="29" applyBorder="0">
      <alignment horizontal="right"/>
      <protection locked="0"/>
    </xf>
    <xf numFmtId="37" fontId="26" fillId="0" borderId="29" applyBorder="0">
      <alignment horizontal="right"/>
      <protection locked="0"/>
    </xf>
    <xf numFmtId="37" fontId="26" fillId="0" borderId="29" applyBorder="0">
      <alignment horizontal="right"/>
      <protection locked="0"/>
    </xf>
    <xf numFmtId="37" fontId="26" fillId="0" borderId="29" applyBorder="0">
      <alignment horizontal="right"/>
      <protection locked="0"/>
    </xf>
    <xf numFmtId="37" fontId="26" fillId="0" borderId="29" applyBorder="0">
      <alignment horizontal="right"/>
      <protection locked="0"/>
    </xf>
    <xf numFmtId="37" fontId="26" fillId="0" borderId="29" applyBorder="0">
      <alignment horizontal="right"/>
      <protection locked="0"/>
    </xf>
    <xf numFmtId="0" fontId="26" fillId="0" borderId="0"/>
    <xf numFmtId="1" fontId="26" fillId="0" borderId="0"/>
    <xf numFmtId="0" fontId="26" fillId="0" borderId="0"/>
    <xf numFmtId="0" fontId="26" fillId="0" borderId="0"/>
    <xf numFmtId="0" fontId="71" fillId="0" borderId="3" applyNumberFormat="0" applyFill="0" applyAlignment="0" applyProtection="0"/>
    <xf numFmtId="0" fontId="71" fillId="0" borderId="3" applyNumberFormat="0" applyFill="0" applyAlignment="0" applyProtection="0"/>
    <xf numFmtId="0" fontId="71" fillId="0" borderId="3" applyNumberFormat="0" applyFill="0" applyAlignment="0" applyProtection="0"/>
    <xf numFmtId="1" fontId="26" fillId="0" borderId="0" applyNumberFormat="0" applyFill="0" applyBorder="0" applyAlignment="0" applyProtection="0">
      <alignment horizontal="center"/>
    </xf>
    <xf numFmtId="1" fontId="29" fillId="0" borderId="0" applyNumberFormat="0" applyFill="0" applyBorder="0" applyAlignment="0" applyProtection="0">
      <alignment horizontal="center"/>
    </xf>
    <xf numFmtId="0" fontId="26" fillId="0" borderId="0"/>
    <xf numFmtId="0" fontId="26" fillId="0" borderId="0"/>
    <xf numFmtId="0" fontId="26" fillId="0" borderId="0"/>
    <xf numFmtId="287" fontId="30" fillId="0" borderId="0">
      <alignment horizontal="center"/>
    </xf>
    <xf numFmtId="6" fontId="34" fillId="0" borderId="0">
      <alignment horizontal="right" vertical="center"/>
    </xf>
    <xf numFmtId="37" fontId="34" fillId="31" borderId="17">
      <alignment horizontal="right" vertical="center"/>
    </xf>
    <xf numFmtId="38" fontId="34" fillId="0" borderId="0">
      <alignment horizontal="right" vertical="center"/>
    </xf>
    <xf numFmtId="9" fontId="34" fillId="0" borderId="0">
      <alignment horizontal="right" vertical="center"/>
    </xf>
    <xf numFmtId="0" fontId="34" fillId="0" borderId="0"/>
    <xf numFmtId="268" fontId="56" fillId="66" borderId="0" applyNumberFormat="0" applyFont="0" applyBorder="0" applyAlignment="0">
      <protection hidden="1"/>
    </xf>
    <xf numFmtId="0" fontId="26" fillId="0" borderId="0"/>
    <xf numFmtId="0" fontId="52" fillId="0" borderId="44"/>
    <xf numFmtId="0" fontId="52" fillId="0" borderId="44"/>
    <xf numFmtId="0" fontId="26" fillId="0" borderId="0"/>
    <xf numFmtId="0" fontId="26" fillId="0" borderId="0">
      <alignment vertical="top"/>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8" fillId="0" borderId="0">
      <alignment vertical="top"/>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alignment vertical="top"/>
    </xf>
    <xf numFmtId="0" fontId="26" fillId="0" borderId="0"/>
    <xf numFmtId="0" fontId="26" fillId="0" borderId="0"/>
    <xf numFmtId="0" fontId="26" fillId="0" borderId="0"/>
    <xf numFmtId="0" fontId="90" fillId="0" borderId="45" applyNumberFormat="0" applyFill="0" applyProtection="0">
      <alignment horizontal="right" wrapText="1"/>
    </xf>
    <xf numFmtId="0" fontId="90" fillId="0" borderId="45" applyNumberFormat="0" applyFill="0" applyProtection="0">
      <alignment horizontal="right" wrapText="1"/>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56" fillId="0" borderId="0" applyNumberFormat="0" applyFill="0" applyBorder="0" applyAlignment="0" applyProtection="0"/>
    <xf numFmtId="0" fontId="56" fillId="0" borderId="0" applyNumberFormat="0" applyFill="0" applyBorder="0" applyAlignment="0" applyProtection="0"/>
    <xf numFmtId="0" fontId="26" fillId="0" borderId="0"/>
    <xf numFmtId="0" fontId="56" fillId="0" borderId="0" applyNumberFormat="0" applyFill="0" applyBorder="0" applyAlignment="0" applyProtection="0"/>
    <xf numFmtId="0" fontId="56" fillId="0" borderId="0" applyNumberForma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51" fillId="0" borderId="0"/>
    <xf numFmtId="268" fontId="35" fillId="0" borderId="0" applyFill="0" applyBorder="0" applyAlignment="0" applyProtection="0"/>
    <xf numFmtId="0" fontId="26" fillId="0" borderId="0"/>
    <xf numFmtId="0" fontId="45" fillId="0" borderId="46"/>
    <xf numFmtId="0" fontId="152"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339" fontId="153" fillId="0" borderId="45" applyBorder="0" applyProtection="0">
      <alignment horizontal="right" vertical="center"/>
    </xf>
    <xf numFmtId="339" fontId="153" fillId="0" borderId="45" applyBorder="0" applyProtection="0">
      <alignment horizontal="right" vertical="center"/>
    </xf>
    <xf numFmtId="0" fontId="26" fillId="0" borderId="0"/>
    <xf numFmtId="0" fontId="26" fillId="0" borderId="0"/>
    <xf numFmtId="0" fontId="154" fillId="34" borderId="45" applyBorder="0" applyProtection="0">
      <alignment horizontal="centerContinuous" vertical="center"/>
    </xf>
    <xf numFmtId="0" fontId="154" fillId="34" borderId="45" applyBorder="0" applyProtection="0">
      <alignment horizontal="centerContinuous"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47" applyAlignment="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5" fontId="155" fillId="0" borderId="0"/>
    <xf numFmtId="268" fontId="26" fillId="67" borderId="0" applyNumberFormat="0" applyFon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63" fontId="26" fillId="0" borderId="0" applyFont="0" applyFill="0" applyBorder="0" applyAlignment="0" applyProtection="0">
      <alignment horizontal="center"/>
    </xf>
    <xf numFmtId="0" fontId="156" fillId="0" borderId="2" applyNumberFormat="0" applyFill="0" applyAlignment="0" applyProtection="0"/>
    <xf numFmtId="0" fontId="157" fillId="0" borderId="0" applyNumberFormat="0" applyFill="0" applyBorder="0" applyAlignment="0" applyProtection="0"/>
    <xf numFmtId="0" fontId="165" fillId="0" borderId="0"/>
    <xf numFmtId="9" fontId="180" fillId="0" borderId="0" applyFont="0" applyFill="0" applyBorder="0" applyAlignment="0" applyProtection="0"/>
    <xf numFmtId="44" fontId="200" fillId="0" borderId="0" applyFont="0" applyFill="0" applyBorder="0" applyAlignment="0" applyProtection="0"/>
    <xf numFmtId="9" fontId="200" fillId="0" borderId="0" applyFont="0" applyFill="0" applyBorder="0" applyAlignment="0" applyProtection="0"/>
    <xf numFmtId="43" fontId="200" fillId="0" borderId="0" applyFont="0" applyFill="0" applyBorder="0" applyAlignment="0" applyProtection="0"/>
    <xf numFmtId="43" fontId="180" fillId="0" borderId="0" applyFont="0" applyFill="0" applyBorder="0" applyAlignment="0" applyProtection="0"/>
    <xf numFmtId="43" fontId="180" fillId="0" borderId="0" applyFont="0" applyFill="0" applyBorder="0" applyAlignment="0" applyProtection="0"/>
    <xf numFmtId="43" fontId="20" fillId="0" borderId="0" applyFont="0" applyFill="0" applyBorder="0" applyAlignment="0" applyProtection="0"/>
    <xf numFmtId="9" fontId="20" fillId="0" borderId="0" applyFont="0" applyFill="0" applyBorder="0" applyAlignment="0" applyProtection="0"/>
    <xf numFmtId="44" fontId="20" fillId="0" borderId="0" applyFont="0" applyFill="0" applyBorder="0" applyAlignment="0" applyProtection="0"/>
    <xf numFmtId="0" fontId="54" fillId="32" borderId="66">
      <alignment horizontal="center"/>
    </xf>
    <xf numFmtId="0" fontId="55" fillId="35" borderId="66">
      <alignment horizontal="center" vertical="center"/>
    </xf>
    <xf numFmtId="3" fontId="56" fillId="0" borderId="66"/>
    <xf numFmtId="4" fontId="56" fillId="0" borderId="66"/>
    <xf numFmtId="219" fontId="26" fillId="0" borderId="66">
      <alignment horizontal="center" vertical="center"/>
    </xf>
    <xf numFmtId="0" fontId="57" fillId="0" borderId="66">
      <alignment horizontal="center"/>
    </xf>
    <xf numFmtId="0" fontId="58" fillId="36" borderId="66">
      <alignment horizontal="center"/>
    </xf>
    <xf numFmtId="0" fontId="54" fillId="32" borderId="66"/>
    <xf numFmtId="0" fontId="55" fillId="35" borderId="66">
      <alignment horizontal="center" vertical="center"/>
    </xf>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37" fontId="55" fillId="1" borderId="67">
      <alignment horizontal="centerContinuous" vertical="center"/>
    </xf>
    <xf numFmtId="37" fontId="55" fillId="1" borderId="67">
      <alignment horizontal="centerContinuous"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37" fontId="87" fillId="58" borderId="62" applyBorder="0" applyProtection="0">
      <alignment vertical="center"/>
    </xf>
    <xf numFmtId="177" fontId="35" fillId="0" borderId="67"/>
    <xf numFmtId="177" fontId="35" fillId="0" borderId="67"/>
    <xf numFmtId="177" fontId="35" fillId="0" borderId="67"/>
    <xf numFmtId="177" fontId="35" fillId="0" borderId="67"/>
    <xf numFmtId="177" fontId="35" fillId="0" borderId="67"/>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5" fontId="66" fillId="0" borderId="67" applyAlignment="0" applyProtection="0"/>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0" fontId="103" fillId="61" borderId="66"/>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0" fontId="114" fillId="0" borderId="66"/>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300" fontId="96" fillId="0" borderId="67" applyFont="0" applyFill="0" applyBorder="0" applyAlignment="0" applyProtection="0">
      <alignment horizontal="center"/>
    </xf>
    <xf numFmtId="300" fontId="96" fillId="0" borderId="67" applyFont="0" applyFill="0" applyBorder="0" applyAlignment="0" applyProtection="0">
      <alignment horizontal="center"/>
    </xf>
    <xf numFmtId="300" fontId="96" fillId="0" borderId="67" applyFont="0" applyFill="0" applyBorder="0" applyAlignment="0" applyProtection="0">
      <alignment horizontal="center"/>
    </xf>
    <xf numFmtId="300" fontId="96" fillId="0" borderId="67" applyFont="0" applyFill="0" applyBorder="0" applyAlignment="0" applyProtection="0">
      <alignment horizontal="center"/>
    </xf>
    <xf numFmtId="300" fontId="96" fillId="0" borderId="67" applyFont="0" applyFill="0" applyBorder="0" applyAlignment="0" applyProtection="0">
      <alignment horizontal="center"/>
    </xf>
    <xf numFmtId="300" fontId="96" fillId="0" borderId="67" applyFont="0" applyFill="0" applyBorder="0" applyAlignment="0" applyProtection="0">
      <alignment horizontal="center"/>
    </xf>
    <xf numFmtId="186" fontId="56" fillId="0" borderId="67" applyFont="0" applyFill="0" applyBorder="0" applyAlignment="0" applyProtection="0">
      <alignment horizontal="center"/>
    </xf>
    <xf numFmtId="186" fontId="56" fillId="0" borderId="67" applyFont="0" applyFill="0" applyBorder="0" applyAlignment="0" applyProtection="0">
      <alignment horizontal="center"/>
    </xf>
    <xf numFmtId="186" fontId="56" fillId="0" borderId="67" applyFont="0" applyFill="0" applyBorder="0" applyAlignment="0" applyProtection="0">
      <alignment horizontal="center"/>
    </xf>
    <xf numFmtId="186" fontId="56" fillId="0" borderId="67" applyFont="0" applyFill="0" applyBorder="0" applyAlignment="0" applyProtection="0">
      <alignment horizontal="center"/>
    </xf>
    <xf numFmtId="186" fontId="56" fillId="0" borderId="67" applyFont="0" applyFill="0" applyBorder="0" applyAlignment="0" applyProtection="0">
      <alignment horizontal="center"/>
    </xf>
    <xf numFmtId="186" fontId="56" fillId="0" borderId="67" applyFont="0" applyFill="0" applyBorder="0" applyAlignment="0" applyProtection="0">
      <alignment horizontal="center"/>
    </xf>
    <xf numFmtId="2" fontId="26" fillId="36" borderId="62" applyFill="0" applyBorder="0" applyProtection="0">
      <alignment horizontal="center"/>
    </xf>
    <xf numFmtId="2" fontId="26" fillId="36" borderId="62" applyFill="0" applyBorder="0" applyProtection="0">
      <alignment horizontal="center"/>
    </xf>
    <xf numFmtId="2" fontId="26" fillId="36" borderId="62" applyFill="0" applyBorder="0" applyProtection="0">
      <alignment horizontal="center"/>
    </xf>
    <xf numFmtId="2" fontId="26" fillId="36" borderId="62" applyFill="0" applyBorder="0" applyProtection="0">
      <alignment horizontal="center"/>
    </xf>
    <xf numFmtId="2" fontId="26" fillId="36" borderId="62" applyFill="0" applyBorder="0" applyProtection="0">
      <alignment horizontal="center"/>
    </xf>
    <xf numFmtId="2" fontId="26" fillId="36" borderId="62" applyFill="0" applyBorder="0" applyProtection="0">
      <alignment horizontal="center"/>
    </xf>
    <xf numFmtId="0" fontId="124" fillId="0" borderId="68">
      <alignment horizontal="left" vertical="center"/>
    </xf>
    <xf numFmtId="0" fontId="124" fillId="0" borderId="68">
      <alignment horizontal="left" vertical="center"/>
    </xf>
    <xf numFmtId="0" fontId="124" fillId="0" borderId="68">
      <alignment horizontal="left" vertical="center"/>
    </xf>
    <xf numFmtId="0" fontId="124" fillId="0" borderId="68">
      <alignment horizontal="left" vertical="center"/>
    </xf>
    <xf numFmtId="1" fontId="56" fillId="0" borderId="67" applyNumberFormat="0" applyFont="0" applyFill="0" applyProtection="0">
      <alignment horizontal="center"/>
    </xf>
    <xf numFmtId="1" fontId="56" fillId="0" borderId="67" applyNumberFormat="0" applyFont="0" applyFill="0" applyProtection="0">
      <alignment horizontal="center"/>
    </xf>
    <xf numFmtId="1" fontId="56" fillId="0" borderId="67" applyNumberFormat="0" applyFont="0" applyFill="0" applyProtection="0">
      <alignment horizontal="center"/>
    </xf>
    <xf numFmtId="1" fontId="56" fillId="0" borderId="67" applyNumberFormat="0" applyFont="0" applyFill="0" applyProtection="0">
      <alignment horizontal="center"/>
    </xf>
    <xf numFmtId="1" fontId="56" fillId="0" borderId="67" applyNumberFormat="0" applyFont="0" applyFill="0" applyProtection="0">
      <alignment horizontal="center"/>
    </xf>
    <xf numFmtId="1" fontId="56" fillId="0" borderId="67" applyNumberFormat="0" applyFont="0" applyFill="0" applyProtection="0">
      <alignment horizontal="center"/>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246" fontId="20" fillId="0" borderId="0"/>
    <xf numFmtId="0" fontId="20" fillId="0" borderId="0"/>
    <xf numFmtId="0" fontId="20" fillId="0" borderId="0"/>
    <xf numFmtId="0" fontId="20" fillId="0" borderId="0"/>
    <xf numFmtId="0" fontId="20" fillId="0" borderId="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337" fontId="26" fillId="0" borderId="63" applyBorder="0">
      <alignment horizontal="right"/>
    </xf>
    <xf numFmtId="337" fontId="26" fillId="0" borderId="63" applyBorder="0">
      <alignment horizontal="right"/>
    </xf>
    <xf numFmtId="337" fontId="26" fillId="0" borderId="63" applyBorder="0">
      <alignment horizontal="right"/>
    </xf>
    <xf numFmtId="337" fontId="26" fillId="0" borderId="63" applyBorder="0">
      <alignment horizontal="right"/>
    </xf>
    <xf numFmtId="0" fontId="124" fillId="62" borderId="66">
      <alignment horizontal="center" vertical="center" wrapText="1"/>
      <protection hidden="1"/>
    </xf>
    <xf numFmtId="0" fontId="124" fillId="62" borderId="66">
      <alignment horizontal="center" vertical="center" wrapText="1"/>
      <protection hidden="1"/>
    </xf>
    <xf numFmtId="0" fontId="124" fillId="62" borderId="66">
      <alignment horizontal="center" vertical="center" wrapText="1"/>
      <protection hidden="1"/>
    </xf>
    <xf numFmtId="0" fontId="124" fillId="62" borderId="66">
      <alignment horizontal="center" vertical="center" wrapText="1"/>
      <protection hidden="1"/>
    </xf>
    <xf numFmtId="0" fontId="124" fillId="62" borderId="66">
      <alignment horizontal="center" vertical="center" wrapText="1"/>
      <protection hidden="1"/>
    </xf>
    <xf numFmtId="0" fontId="124" fillId="62" borderId="66">
      <alignment horizontal="center" vertical="center" wrapText="1"/>
      <protection hidden="1"/>
    </xf>
    <xf numFmtId="0" fontId="150" fillId="1" borderId="68" applyNumberFormat="0" applyFont="0" applyAlignment="0">
      <alignment horizontal="center"/>
    </xf>
    <xf numFmtId="0" fontId="150" fillId="1" borderId="68" applyNumberFormat="0" applyFont="0" applyAlignment="0">
      <alignment horizontal="center"/>
    </xf>
    <xf numFmtId="0" fontId="150" fillId="1" borderId="68" applyNumberFormat="0" applyFont="0" applyAlignment="0">
      <alignment horizontal="center"/>
    </xf>
    <xf numFmtId="0" fontId="150" fillId="1" borderId="68" applyNumberFormat="0" applyFont="0" applyAlignment="0">
      <alignment horizontal="center"/>
    </xf>
    <xf numFmtId="37" fontId="26" fillId="0" borderId="66" applyBorder="0">
      <alignment horizontal="right"/>
      <protection locked="0"/>
    </xf>
    <xf numFmtId="37" fontId="26" fillId="0" borderId="66" applyBorder="0">
      <alignment horizontal="right"/>
      <protection locked="0"/>
    </xf>
    <xf numFmtId="37" fontId="26" fillId="0" borderId="66" applyBorder="0">
      <alignment horizontal="right"/>
      <protection locked="0"/>
    </xf>
    <xf numFmtId="37" fontId="26" fillId="0" borderId="66" applyBorder="0">
      <alignment horizontal="right"/>
      <protection locked="0"/>
    </xf>
    <xf numFmtId="37" fontId="26" fillId="0" borderId="66" applyBorder="0">
      <alignment horizontal="right"/>
      <protection locked="0"/>
    </xf>
    <xf numFmtId="37" fontId="26" fillId="0" borderId="66" applyBorder="0">
      <alignment horizontal="right"/>
      <protection locked="0"/>
    </xf>
    <xf numFmtId="0" fontId="203" fillId="0" borderId="0"/>
    <xf numFmtId="43" fontId="203" fillId="0" borderId="0" applyFont="0" applyFill="0" applyBorder="0" applyAlignment="0" applyProtection="0"/>
    <xf numFmtId="44" fontId="203" fillId="0" borderId="0" applyFont="0" applyFill="0" applyBorder="0" applyAlignment="0" applyProtection="0"/>
    <xf numFmtId="0" fontId="20" fillId="0" borderId="0"/>
    <xf numFmtId="0" fontId="52" fillId="0" borderId="0"/>
    <xf numFmtId="0" fontId="35" fillId="0" borderId="0">
      <alignment horizontal="right"/>
    </xf>
    <xf numFmtId="343" fontId="204" fillId="0" borderId="0">
      <alignment horizontal="right"/>
    </xf>
    <xf numFmtId="0" fontId="205" fillId="0" borderId="0"/>
    <xf numFmtId="0" fontId="26" fillId="0" borderId="0"/>
    <xf numFmtId="0" fontId="205" fillId="0" borderId="0"/>
    <xf numFmtId="0" fontId="26" fillId="0" borderId="0"/>
    <xf numFmtId="0" fontId="26" fillId="0" borderId="0"/>
    <xf numFmtId="0" fontId="26" fillId="0" borderId="0"/>
    <xf numFmtId="0" fontId="205" fillId="0" borderId="0"/>
    <xf numFmtId="0" fontId="205" fillId="0" borderId="0"/>
    <xf numFmtId="0" fontId="26" fillId="0" borderId="0"/>
    <xf numFmtId="0" fontId="26" fillId="0" borderId="0"/>
    <xf numFmtId="0" fontId="30" fillId="0" borderId="0">
      <alignment horizontal="right"/>
    </xf>
    <xf numFmtId="0" fontId="30" fillId="29" borderId="0"/>
    <xf numFmtId="0" fontId="26" fillId="29" borderId="0"/>
    <xf numFmtId="0" fontId="206" fillId="29" borderId="0"/>
    <xf numFmtId="0" fontId="206" fillId="29" borderId="0"/>
    <xf numFmtId="0" fontId="30" fillId="29" borderId="0">
      <alignment horizontal="right"/>
    </xf>
    <xf numFmtId="7" fontId="26" fillId="0" borderId="0">
      <alignment horizontal="right"/>
    </xf>
    <xf numFmtId="9" fontId="33" fillId="0" borderId="0" applyFont="0" applyFill="0" applyBorder="0" applyAlignment="0" applyProtection="0"/>
    <xf numFmtId="9" fontId="26" fillId="0" borderId="0"/>
    <xf numFmtId="0" fontId="79" fillId="37" borderId="0" applyNumberFormat="0" applyBorder="0" applyAlignment="0" applyProtection="0"/>
    <xf numFmtId="0" fontId="79" fillId="38" borderId="0" applyNumberFormat="0" applyBorder="0" applyAlignment="0" applyProtection="0"/>
    <xf numFmtId="0" fontId="79" fillId="39" borderId="0" applyNumberFormat="0" applyBorder="0" applyAlignment="0" applyProtection="0"/>
    <xf numFmtId="0" fontId="79" fillId="40" borderId="0" applyNumberFormat="0" applyBorder="0" applyAlignment="0" applyProtection="0"/>
    <xf numFmtId="0" fontId="79" fillId="41" borderId="0" applyNumberFormat="0" applyBorder="0" applyAlignment="0" applyProtection="0"/>
    <xf numFmtId="0" fontId="79" fillId="42" borderId="0" applyNumberFormat="0" applyBorder="0" applyAlignment="0" applyProtection="0"/>
    <xf numFmtId="0" fontId="79" fillId="45" borderId="0" applyNumberFormat="0" applyBorder="0" applyAlignment="0" applyProtection="0"/>
    <xf numFmtId="0" fontId="79" fillId="46" borderId="0" applyNumberFormat="0" applyBorder="0" applyAlignment="0" applyProtection="0"/>
    <xf numFmtId="0" fontId="79" fillId="47" borderId="0" applyNumberFormat="0" applyBorder="0" applyAlignment="0" applyProtection="0"/>
    <xf numFmtId="0" fontId="79" fillId="40" borderId="0" applyNumberFormat="0" applyBorder="0" applyAlignment="0" applyProtection="0"/>
    <xf numFmtId="0" fontId="79" fillId="45" borderId="0" applyNumberFormat="0" applyBorder="0" applyAlignment="0" applyProtection="0"/>
    <xf numFmtId="0" fontId="79" fillId="48" borderId="0" applyNumberFormat="0" applyBorder="0" applyAlignment="0" applyProtection="0"/>
    <xf numFmtId="0" fontId="83" fillId="49" borderId="0" applyNumberFormat="0" applyBorder="0" applyAlignment="0" applyProtection="0"/>
    <xf numFmtId="0" fontId="83" fillId="46" borderId="0" applyNumberFormat="0" applyBorder="0" applyAlignment="0" applyProtection="0"/>
    <xf numFmtId="0" fontId="83" fillId="47" borderId="0" applyNumberFormat="0" applyBorder="0" applyAlignment="0" applyProtection="0"/>
    <xf numFmtId="0" fontId="83" fillId="50" borderId="0" applyNumberFormat="0" applyBorder="0" applyAlignment="0" applyProtection="0"/>
    <xf numFmtId="0" fontId="83" fillId="51" borderId="0" applyNumberFormat="0" applyBorder="0" applyAlignment="0" applyProtection="0"/>
    <xf numFmtId="0" fontId="83" fillId="52" borderId="0" applyNumberFormat="0" applyBorder="0" applyAlignment="0" applyProtection="0"/>
    <xf numFmtId="39" fontId="26" fillId="0" borderId="0" applyFont="0" applyFill="0" applyBorder="0" applyAlignment="0" applyProtection="0"/>
    <xf numFmtId="38" fontId="26" fillId="0" borderId="0"/>
    <xf numFmtId="344" fontId="26" fillId="0" borderId="0" applyFont="0" applyFill="0" applyBorder="0" applyAlignment="0" applyProtection="0"/>
    <xf numFmtId="0" fontId="26" fillId="0" borderId="0"/>
    <xf numFmtId="0" fontId="56" fillId="0" borderId="0"/>
    <xf numFmtId="345" fontId="26" fillId="0" borderId="0" applyFont="0" applyFill="0" applyBorder="0" applyAlignment="0" applyProtection="0"/>
    <xf numFmtId="346" fontId="26" fillId="0" borderId="0" applyFont="0" applyFill="0" applyBorder="0" applyAlignment="0" applyProtection="0"/>
    <xf numFmtId="268" fontId="56" fillId="0" borderId="0"/>
    <xf numFmtId="0" fontId="40" fillId="0" borderId="0">
      <alignment vertical="center"/>
    </xf>
    <xf numFmtId="0" fontId="26" fillId="0" borderId="0" applyNumberFormat="0" applyFill="0" applyBorder="0" applyAlignment="0" applyProtection="0"/>
    <xf numFmtId="0" fontId="207" fillId="0" borderId="0"/>
    <xf numFmtId="0" fontId="26" fillId="0" borderId="0"/>
    <xf numFmtId="0" fontId="208" fillId="0" borderId="0"/>
    <xf numFmtId="0" fontId="26" fillId="0" borderId="0">
      <alignment horizontal="left" wrapText="1"/>
    </xf>
    <xf numFmtId="0" fontId="30" fillId="0" borderId="0" applyFont="0" applyFill="0" applyBorder="0" applyAlignment="0" applyProtection="0"/>
    <xf numFmtId="0" fontId="56" fillId="0" borderId="0" applyFont="0" applyFill="0" applyBorder="0" applyAlignment="0" applyProtection="0"/>
    <xf numFmtId="0" fontId="101" fillId="0" borderId="0"/>
    <xf numFmtId="0" fontId="30" fillId="0" borderId="0"/>
    <xf numFmtId="0" fontId="26" fillId="29" borderId="0"/>
    <xf numFmtId="0" fontId="209" fillId="77" borderId="0"/>
    <xf numFmtId="0" fontId="210" fillId="78" borderId="0"/>
    <xf numFmtId="0" fontId="211" fillId="79" borderId="0"/>
    <xf numFmtId="0" fontId="212" fillId="0" borderId="0"/>
    <xf numFmtId="0" fontId="45" fillId="0" borderId="0"/>
    <xf numFmtId="0" fontId="30" fillId="0" borderId="0"/>
    <xf numFmtId="0" fontId="52" fillId="0" borderId="0" applyFont="0" applyFill="0" applyBorder="0" applyAlignment="0" applyProtection="0"/>
    <xf numFmtId="347" fontId="26" fillId="0" borderId="0" applyFont="0" applyFill="0" applyBorder="0" applyAlignment="0" applyProtection="0"/>
    <xf numFmtId="192" fontId="26" fillId="0" borderId="0" applyFont="0" applyFill="0" applyBorder="0" applyAlignment="0" applyProtection="0"/>
    <xf numFmtId="39" fontId="26" fillId="0" borderId="0" applyFont="0" applyFill="0" applyBorder="0" applyAlignment="0" applyProtection="0"/>
    <xf numFmtId="39" fontId="26" fillId="0" borderId="0" applyFont="0" applyFill="0" applyBorder="0" applyAlignment="0" applyProtection="0"/>
    <xf numFmtId="192" fontId="26" fillId="0" borderId="0" applyFont="0" applyFill="0" applyBorder="0" applyAlignment="0" applyProtection="0"/>
    <xf numFmtId="39" fontId="26" fillId="0" borderId="0" applyFont="0" applyFill="0" applyBorder="0" applyAlignment="0" applyProtection="0"/>
    <xf numFmtId="4" fontId="26" fillId="36" borderId="0"/>
    <xf numFmtId="0" fontId="26" fillId="0" borderId="0" applyFont="0" applyFill="0" applyBorder="0" applyAlignment="0" applyProtection="0"/>
    <xf numFmtId="192" fontId="26" fillId="0" borderId="0" applyFont="0" applyFill="0" applyBorder="0" applyAlignment="0" applyProtection="0"/>
    <xf numFmtId="344" fontId="26" fillId="0" borderId="0" applyFont="0" applyFill="0" applyBorder="0" applyAlignment="0" applyProtection="0"/>
    <xf numFmtId="0" fontId="26" fillId="0" borderId="0">
      <alignment horizontal="right"/>
    </xf>
    <xf numFmtId="0" fontId="26" fillId="0" borderId="0"/>
    <xf numFmtId="184" fontId="30" fillId="0" borderId="0" applyFont="0" applyFill="0" applyBorder="0" applyAlignment="0"/>
    <xf numFmtId="0" fontId="26" fillId="0" borderId="0"/>
    <xf numFmtId="344" fontId="26" fillId="0" borderId="0" applyFont="0" applyFill="0" applyBorder="0" applyAlignment="0" applyProtection="0"/>
    <xf numFmtId="192" fontId="26" fillId="0" borderId="0" applyFont="0" applyFill="0" applyBorder="0" applyAlignment="0" applyProtection="0"/>
    <xf numFmtId="0" fontId="26" fillId="0" borderId="0">
      <alignment horizontal="right"/>
    </xf>
    <xf numFmtId="330" fontId="26" fillId="0" borderId="0" applyFont="0" applyFill="0" applyBorder="0" applyAlignment="0" applyProtection="0"/>
    <xf numFmtId="0" fontId="59" fillId="80" borderId="0"/>
    <xf numFmtId="0" fontId="47" fillId="0" borderId="0" applyNumberFormat="0" applyFill="0" applyBorder="0" applyAlignment="0" applyProtection="0"/>
    <xf numFmtId="0" fontId="47" fillId="0" borderId="0" applyNumberFormat="0" applyFill="0" applyBorder="0" applyAlignment="0" applyProtection="0"/>
    <xf numFmtId="0" fontId="213" fillId="0" borderId="0" applyFont="0" applyFill="0" applyBorder="0" applyAlignment="0" applyProtection="0"/>
    <xf numFmtId="0" fontId="114" fillId="0" borderId="0" applyFont="0" applyFill="0" applyBorder="0" applyAlignment="0" applyProtection="0"/>
    <xf numFmtId="165" fontId="26" fillId="0" borderId="0" applyFont="0" applyFill="0" applyBorder="0" applyAlignment="0" applyProtection="0"/>
    <xf numFmtId="0" fontId="32" fillId="0" borderId="0"/>
    <xf numFmtId="342"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13" fontId="26" fillId="0" borderId="0" applyFont="0" applyFill="0" applyBorder="0" applyAlignment="0" applyProtection="0"/>
    <xf numFmtId="0" fontId="26" fillId="0" borderId="0" applyFont="0" applyFill="0" applyBorder="0" applyProtection="0">
      <alignment horizontal="right"/>
    </xf>
    <xf numFmtId="0" fontId="41" fillId="0" borderId="0" applyFont="0" applyFill="0" applyBorder="0" applyProtection="0">
      <alignment horizontal="right"/>
    </xf>
    <xf numFmtId="0" fontId="26" fillId="0" borderId="0">
      <alignment horizontal="left" wrapText="1"/>
    </xf>
    <xf numFmtId="0" fontId="26" fillId="0" borderId="0">
      <alignment horizontal="left" wrapText="1"/>
    </xf>
    <xf numFmtId="220" fontId="26" fillId="0" borderId="0">
      <alignment horizontal="left" wrapText="1"/>
    </xf>
    <xf numFmtId="0" fontId="52" fillId="0" borderId="0"/>
    <xf numFmtId="184" fontId="30" fillId="0" borderId="0" applyFont="0" applyFill="0" applyBorder="0" applyAlignment="0"/>
    <xf numFmtId="0" fontId="26" fillId="0" borderId="0"/>
    <xf numFmtId="344" fontId="26" fillId="0" borderId="0" applyFont="0" applyFill="0" applyBorder="0" applyAlignment="0" applyProtection="0"/>
    <xf numFmtId="192" fontId="26" fillId="0" borderId="0" applyFont="0" applyFill="0" applyBorder="0" applyAlignment="0" applyProtection="0"/>
    <xf numFmtId="0" fontId="26" fillId="0" borderId="0">
      <alignment horizontal="right"/>
    </xf>
    <xf numFmtId="0" fontId="61" fillId="0" borderId="22" applyNumberFormat="0" applyFill="0" applyProtection="0">
      <alignment horizontal="center"/>
    </xf>
    <xf numFmtId="0" fontId="26" fillId="0" borderId="44" applyNumberFormat="0" applyFont="0" applyFill="0" applyAlignment="0" applyProtection="0"/>
    <xf numFmtId="0" fontId="61" fillId="0" borderId="0" applyNumberFormat="0" applyFill="0" applyBorder="0" applyProtection="0">
      <alignment horizontal="left"/>
    </xf>
    <xf numFmtId="0" fontId="64" fillId="0" borderId="0" applyNumberFormat="0" applyFill="0" applyBorder="0" applyProtection="0">
      <alignment horizontal="centerContinuous"/>
    </xf>
    <xf numFmtId="0" fontId="51" fillId="0" borderId="0" applyNumberFormat="0" applyFill="0" applyBorder="0" applyAlignment="0" applyProtection="0"/>
    <xf numFmtId="348" fontId="26" fillId="0" borderId="0"/>
    <xf numFmtId="349" fontId="26" fillId="0" borderId="0"/>
    <xf numFmtId="0" fontId="26" fillId="0" borderId="0"/>
    <xf numFmtId="350" fontId="26" fillId="0" borderId="0"/>
    <xf numFmtId="351" fontId="26" fillId="0" borderId="0"/>
    <xf numFmtId="191" fontId="25" fillId="0" borderId="0">
      <alignment horizontal="right"/>
    </xf>
    <xf numFmtId="165" fontId="25" fillId="0" borderId="0"/>
    <xf numFmtId="352" fontId="30" fillId="0" borderId="0"/>
    <xf numFmtId="2" fontId="214" fillId="0" borderId="0" applyNumberFormat="0" applyFill="0" applyBorder="0" applyAlignment="0" applyProtection="0"/>
    <xf numFmtId="2" fontId="215" fillId="0" borderId="0" applyNumberFormat="0" applyFill="0" applyBorder="0" applyAlignment="0" applyProtection="0"/>
    <xf numFmtId="0" fontId="205" fillId="0" borderId="0"/>
    <xf numFmtId="9" fontId="213" fillId="0" borderId="0" applyFont="0" applyFill="0" applyBorder="0" applyAlignment="0" applyProtection="0"/>
    <xf numFmtId="0" fontId="41" fillId="81" borderId="0"/>
    <xf numFmtId="0" fontId="216" fillId="0" borderId="69" applyNumberFormat="0" applyFont="0" applyFill="0" applyAlignment="0" applyProtection="0">
      <alignment horizontal="left"/>
      <protection locked="0"/>
    </xf>
    <xf numFmtId="353" fontId="217" fillId="0" borderId="0"/>
    <xf numFmtId="0" fontId="52" fillId="0" borderId="0" applyBorder="0">
      <alignment horizontal="right"/>
    </xf>
    <xf numFmtId="6" fontId="216" fillId="0" borderId="70" applyNumberFormat="0" applyFont="0" applyFill="0" applyAlignment="0" applyProtection="0">
      <alignment horizontal="left"/>
      <protection locked="0"/>
    </xf>
    <xf numFmtId="0" fontId="218" fillId="0" borderId="30" applyNumberFormat="0" applyFont="0" applyBorder="0" applyAlignment="0" applyProtection="0">
      <alignment horizontal="right"/>
    </xf>
    <xf numFmtId="354" fontId="38" fillId="0" borderId="0" applyFill="0" applyProtection="0"/>
    <xf numFmtId="355" fontId="45" fillId="0" borderId="0"/>
    <xf numFmtId="270" fontId="38" fillId="0" borderId="0" applyFont="0" applyFill="0" applyBorder="0" applyProtection="0"/>
    <xf numFmtId="0" fontId="38" fillId="0" borderId="0" applyFill="0" applyProtection="0"/>
    <xf numFmtId="0" fontId="132" fillId="0" borderId="0" applyFont="0" applyFill="0" applyBorder="0" applyAlignment="0" applyProtection="0"/>
    <xf numFmtId="0" fontId="219" fillId="0" borderId="0" applyNumberFormat="0" applyFill="0" applyBorder="0" applyAlignment="0" applyProtection="0"/>
    <xf numFmtId="0" fontId="220" fillId="0" borderId="0" applyNumberFormat="0" applyFont="0" applyFill="0" applyBorder="0" applyProtection="0">
      <alignment horizontal="centerContinuous"/>
    </xf>
    <xf numFmtId="37" fontId="221" fillId="30" borderId="0" applyNumberFormat="0" applyFont="0" applyBorder="0" applyAlignment="0"/>
    <xf numFmtId="0" fontId="222" fillId="0" borderId="0" applyNumberFormat="0" applyFill="0" applyBorder="0" applyAlignment="0" applyProtection="0"/>
    <xf numFmtId="0" fontId="223" fillId="0" borderId="0"/>
    <xf numFmtId="0" fontId="224" fillId="0" borderId="0" applyNumberFormat="0" applyProtection="0"/>
    <xf numFmtId="356" fontId="26" fillId="82" borderId="0" applyNumberFormat="0" applyFont="0" applyBorder="0" applyAlignment="0" applyProtection="0"/>
    <xf numFmtId="357" fontId="26" fillId="0" borderId="0" applyFont="0" applyFill="0" applyBorder="0" applyAlignment="0" applyProtection="0"/>
    <xf numFmtId="358" fontId="114" fillId="0" borderId="0" applyFont="0" applyFill="0" applyBorder="0" applyAlignment="0" applyProtection="0"/>
    <xf numFmtId="2" fontId="225" fillId="83" borderId="0" applyNumberFormat="0" applyFont="0" applyBorder="0" applyAlignment="0" applyProtection="0"/>
    <xf numFmtId="2" fontId="225" fillId="84" borderId="0" applyNumberFormat="0" applyFont="0" applyBorder="0" applyAlignment="0" applyProtection="0"/>
    <xf numFmtId="0" fontId="66" fillId="0" borderId="0" applyNumberFormat="0" applyFill="0" applyBorder="0" applyAlignment="0" applyProtection="0"/>
    <xf numFmtId="0" fontId="226" fillId="0" borderId="71" applyNumberFormat="0" applyFill="0" applyAlignment="0" applyProtection="0"/>
    <xf numFmtId="0" fontId="35" fillId="0" borderId="0" applyFont="0" applyFill="0" applyBorder="0" applyAlignment="0" applyProtection="0"/>
    <xf numFmtId="359" fontId="26" fillId="0" borderId="0"/>
    <xf numFmtId="0" fontId="227" fillId="85" borderId="0" applyNumberFormat="0">
      <alignment horizontal="left"/>
    </xf>
    <xf numFmtId="0" fontId="142" fillId="0" borderId="0" applyFont="0" applyFill="0" applyBorder="0" applyAlignment="0" applyProtection="0"/>
    <xf numFmtId="330" fontId="142" fillId="0" borderId="0" applyFont="0" applyFill="0" applyBorder="0" applyAlignment="0" applyProtection="0"/>
    <xf numFmtId="0" fontId="142" fillId="0" borderId="0" applyFont="0" applyFill="0" applyBorder="0" applyAlignment="0" applyProtection="0">
      <alignment horizontal="right"/>
    </xf>
    <xf numFmtId="0" fontId="228" fillId="0" borderId="72" applyNumberFormat="0" applyFill="0" applyAlignment="0" applyProtection="0"/>
    <xf numFmtId="0" fontId="229" fillId="0" borderId="73" applyNumberFormat="0" applyFill="0" applyAlignment="0" applyProtection="0"/>
    <xf numFmtId="0" fontId="230" fillId="0" borderId="74" applyNumberFormat="0" applyFill="0" applyAlignment="0" applyProtection="0"/>
    <xf numFmtId="0" fontId="230" fillId="0" borderId="0" applyNumberFormat="0" applyFill="0" applyBorder="0" applyAlignment="0" applyProtection="0"/>
    <xf numFmtId="0" fontId="231" fillId="0" borderId="0">
      <alignment horizontal="left"/>
    </xf>
    <xf numFmtId="0" fontId="232" fillId="0" borderId="0">
      <alignment horizontal="left" wrapText="1"/>
    </xf>
    <xf numFmtId="0" fontId="35" fillId="0" borderId="67" applyFont="0" applyFill="0" applyBorder="0" applyAlignment="0" applyProtection="0">
      <alignment horizontal="right"/>
    </xf>
    <xf numFmtId="0" fontId="35" fillId="0" borderId="0" applyFont="0" applyFill="0" applyBorder="0" applyAlignment="0" applyProtection="0"/>
    <xf numFmtId="0" fontId="73" fillId="0" borderId="0" applyNumberFormat="0" applyFill="0" applyBorder="0" applyAlignment="0" applyProtection="0">
      <alignment vertical="top"/>
      <protection locked="0"/>
    </xf>
    <xf numFmtId="0" fontId="20" fillId="0" borderId="0"/>
    <xf numFmtId="0" fontId="56" fillId="0" borderId="0"/>
    <xf numFmtId="43" fontId="19" fillId="0" borderId="0" applyFont="0" applyFill="0" applyBorder="0" applyAlignment="0" applyProtection="0"/>
    <xf numFmtId="9" fontId="19" fillId="0" borderId="0" applyFont="0" applyFill="0" applyBorder="0" applyAlignment="0" applyProtection="0"/>
    <xf numFmtId="44" fontId="19" fillId="0" borderId="0" applyFont="0" applyFill="0" applyBorder="0" applyAlignment="0" applyProtection="0"/>
    <xf numFmtId="0" fontId="51" fillId="0" borderId="79" applyNumberFormat="0" applyFill="0" applyAlignment="0" applyProtection="0"/>
    <xf numFmtId="0" fontId="51" fillId="0" borderId="79" applyNumberFormat="0" applyFill="0" applyAlignment="0" applyProtection="0"/>
    <xf numFmtId="0" fontId="51" fillId="0" borderId="79" applyNumberFormat="0" applyFill="0" applyAlignment="0" applyProtection="0"/>
    <xf numFmtId="0" fontId="51" fillId="0" borderId="79" applyNumberFormat="0" applyFill="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37" fontId="55" fillId="1" borderId="78">
      <alignment horizontal="centerContinuous" vertical="center"/>
    </xf>
    <xf numFmtId="37" fontId="55" fillId="1" borderId="78">
      <alignment horizontal="centerContinuous"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37" fontId="87" fillId="58" borderId="76" applyBorder="0" applyProtection="0">
      <alignment vertical="center"/>
    </xf>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89"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90"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7" fillId="0" borderId="80" applyNumberFormat="0" applyFill="0" applyBorder="0" applyAlignment="0" applyProtection="0"/>
    <xf numFmtId="0" fontId="56" fillId="0" borderId="80" applyNumberFormat="0" applyFill="0" applyAlignment="0" applyProtection="0"/>
    <xf numFmtId="0" fontId="56" fillId="0" borderId="80" applyNumberFormat="0" applyFill="0" applyAlignment="0" applyProtection="0"/>
    <xf numFmtId="0" fontId="56" fillId="0" borderId="80" applyNumberFormat="0" applyFill="0" applyAlignment="0" applyProtection="0"/>
    <xf numFmtId="0" fontId="56" fillId="0" borderId="80" applyNumberFormat="0" applyFill="0" applyAlignment="0" applyProtection="0"/>
    <xf numFmtId="0" fontId="56" fillId="0" borderId="80" applyNumberFormat="0" applyFill="0" applyAlignment="0" applyProtection="0"/>
    <xf numFmtId="0" fontId="56" fillId="0" borderId="80" applyNumberFormat="0" applyFill="0" applyAlignment="0" applyProtection="0"/>
    <xf numFmtId="0" fontId="56" fillId="0" borderId="80" applyNumberFormat="0" applyFill="0" applyAlignment="0" applyProtection="0"/>
    <xf numFmtId="0" fontId="56" fillId="0" borderId="80" applyNumberFormat="0" applyFill="0" applyAlignment="0" applyProtection="0"/>
    <xf numFmtId="177" fontId="35" fillId="0" borderId="78"/>
    <xf numFmtId="177" fontId="35" fillId="0" borderId="78"/>
    <xf numFmtId="177" fontId="35" fillId="0" borderId="78"/>
    <xf numFmtId="177" fontId="35" fillId="0" borderId="78"/>
    <xf numFmtId="177" fontId="35" fillId="0" borderId="78"/>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5" fontId="66" fillId="0" borderId="78" applyAlignment="0" applyProtection="0"/>
    <xf numFmtId="0" fontId="102" fillId="43" borderId="81" applyNumberFormat="0" applyAlignment="0" applyProtection="0"/>
    <xf numFmtId="0" fontId="102" fillId="43" borderId="81" applyNumberFormat="0" applyAlignment="0" applyProtection="0"/>
    <xf numFmtId="0" fontId="102" fillId="43" borderId="81" applyNumberFormat="0" applyAlignment="0" applyProtection="0"/>
    <xf numFmtId="0" fontId="102" fillId="43" borderId="81" applyNumberFormat="0" applyAlignment="0" applyProtection="0"/>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0" fontId="103" fillId="61" borderId="82"/>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0" fontId="114" fillId="0" borderId="82"/>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300" fontId="96" fillId="0" borderId="84" applyFont="0" applyFill="0" applyBorder="0" applyAlignment="0" applyProtection="0">
      <alignment horizontal="center"/>
    </xf>
    <xf numFmtId="300" fontId="96" fillId="0" borderId="84" applyFont="0" applyFill="0" applyBorder="0" applyAlignment="0" applyProtection="0">
      <alignment horizontal="center"/>
    </xf>
    <xf numFmtId="300" fontId="96" fillId="0" borderId="84" applyFont="0" applyFill="0" applyBorder="0" applyAlignment="0" applyProtection="0">
      <alignment horizontal="center"/>
    </xf>
    <xf numFmtId="300" fontId="96" fillId="0" borderId="84" applyFont="0" applyFill="0" applyBorder="0" applyAlignment="0" applyProtection="0">
      <alignment horizontal="center"/>
    </xf>
    <xf numFmtId="300" fontId="96" fillId="0" borderId="84" applyFont="0" applyFill="0" applyBorder="0" applyAlignment="0" applyProtection="0">
      <alignment horizontal="center"/>
    </xf>
    <xf numFmtId="300" fontId="96" fillId="0" borderId="84" applyFont="0" applyFill="0" applyBorder="0" applyAlignment="0" applyProtection="0">
      <alignment horizontal="center"/>
    </xf>
    <xf numFmtId="186" fontId="56" fillId="0" borderId="84" applyFont="0" applyFill="0" applyBorder="0" applyAlignment="0" applyProtection="0">
      <alignment horizontal="center"/>
    </xf>
    <xf numFmtId="186" fontId="56" fillId="0" borderId="84" applyFont="0" applyFill="0" applyBorder="0" applyAlignment="0" applyProtection="0">
      <alignment horizontal="center"/>
    </xf>
    <xf numFmtId="186" fontId="56" fillId="0" borderId="84" applyFont="0" applyFill="0" applyBorder="0" applyAlignment="0" applyProtection="0">
      <alignment horizontal="center"/>
    </xf>
    <xf numFmtId="186" fontId="56" fillId="0" borderId="84" applyFont="0" applyFill="0" applyBorder="0" applyAlignment="0" applyProtection="0">
      <alignment horizontal="center"/>
    </xf>
    <xf numFmtId="186" fontId="56" fillId="0" borderId="84" applyFont="0" applyFill="0" applyBorder="0" applyAlignment="0" applyProtection="0">
      <alignment horizontal="center"/>
    </xf>
    <xf numFmtId="186" fontId="56" fillId="0" borderId="84" applyFont="0" applyFill="0" applyBorder="0" applyAlignment="0" applyProtection="0">
      <alignment horizontal="center"/>
    </xf>
    <xf numFmtId="2" fontId="26" fillId="36" borderId="85" applyFill="0" applyBorder="0" applyProtection="0">
      <alignment horizontal="center"/>
    </xf>
    <xf numFmtId="2" fontId="26" fillId="36" borderId="85" applyFill="0" applyBorder="0" applyProtection="0">
      <alignment horizontal="center"/>
    </xf>
    <xf numFmtId="2" fontId="26" fillId="36" borderId="85" applyFill="0" applyBorder="0" applyProtection="0">
      <alignment horizontal="center"/>
    </xf>
    <xf numFmtId="2" fontId="26" fillId="36" borderId="85" applyFill="0" applyBorder="0" applyProtection="0">
      <alignment horizontal="center"/>
    </xf>
    <xf numFmtId="2" fontId="26" fillId="36" borderId="85" applyFill="0" applyBorder="0" applyProtection="0">
      <alignment horizontal="center"/>
    </xf>
    <xf numFmtId="2" fontId="26" fillId="36" borderId="85" applyFill="0" applyBorder="0" applyProtection="0">
      <alignment horizontal="center"/>
    </xf>
    <xf numFmtId="0" fontId="124" fillId="0" borderId="86">
      <alignment horizontal="left" vertical="center"/>
    </xf>
    <xf numFmtId="0" fontId="124" fillId="0" borderId="86">
      <alignment horizontal="left" vertical="center"/>
    </xf>
    <xf numFmtId="0" fontId="124" fillId="0" borderId="86">
      <alignment horizontal="left" vertical="center"/>
    </xf>
    <xf numFmtId="0" fontId="124" fillId="0" borderId="86">
      <alignment horizontal="left" vertical="center"/>
    </xf>
    <xf numFmtId="0" fontId="128" fillId="64" borderId="87">
      <alignment horizontal="left" vertical="center"/>
    </xf>
    <xf numFmtId="0" fontId="128" fillId="64" borderId="87">
      <alignment horizontal="left" vertical="center"/>
    </xf>
    <xf numFmtId="0" fontId="128" fillId="64" borderId="87">
      <alignment horizontal="left" vertical="center"/>
    </xf>
    <xf numFmtId="0" fontId="128" fillId="64" borderId="87">
      <alignment horizontal="left" vertical="center"/>
    </xf>
    <xf numFmtId="0" fontId="128" fillId="64" borderId="87">
      <alignment horizontal="left" vertical="center"/>
    </xf>
    <xf numFmtId="0" fontId="128" fillId="64" borderId="87">
      <alignment horizontal="left" vertical="center"/>
    </xf>
    <xf numFmtId="0" fontId="128" fillId="64" borderId="88" applyBorder="0">
      <alignment horizontal="center" vertical="center" wrapText="1"/>
    </xf>
    <xf numFmtId="0" fontId="128" fillId="64" borderId="88" applyBorder="0">
      <alignment horizontal="center" vertical="center" wrapText="1"/>
    </xf>
    <xf numFmtId="0" fontId="128" fillId="64" borderId="88" applyBorder="0">
      <alignment horizontal="center" vertical="center" wrapText="1"/>
    </xf>
    <xf numFmtId="0" fontId="128" fillId="64" borderId="88" applyBorder="0">
      <alignment horizontal="center" vertical="center" wrapText="1"/>
    </xf>
    <xf numFmtId="0" fontId="128" fillId="64" borderId="88" applyBorder="0">
      <alignment horizontal="center" vertical="center" wrapText="1"/>
    </xf>
    <xf numFmtId="0" fontId="128" fillId="64" borderId="88" applyBorder="0">
      <alignment horizontal="center" vertical="center" wrapText="1"/>
    </xf>
    <xf numFmtId="8" fontId="133" fillId="0" borderId="83" applyNumberFormat="0" applyFill="0" applyBorder="0" applyAlignment="0" applyProtection="0"/>
    <xf numFmtId="8" fontId="133" fillId="0" borderId="83" applyNumberFormat="0" applyFill="0" applyBorder="0" applyAlignment="0" applyProtection="0"/>
    <xf numFmtId="8" fontId="133" fillId="0" borderId="83" applyNumberFormat="0" applyFill="0" applyBorder="0" applyAlignment="0" applyProtection="0"/>
    <xf numFmtId="8" fontId="133" fillId="0" borderId="83" applyNumberFormat="0" applyFill="0" applyBorder="0" applyAlignment="0" applyProtection="0"/>
    <xf numFmtId="8" fontId="133" fillId="0" borderId="83" applyNumberFormat="0" applyFill="0" applyBorder="0" applyAlignment="0" applyProtection="0"/>
    <xf numFmtId="8" fontId="133" fillId="0" borderId="83" applyNumberFormat="0" applyFill="0" applyBorder="0" applyAlignment="0" applyProtection="0"/>
    <xf numFmtId="0" fontId="50" fillId="65" borderId="87">
      <alignment horizontal="left" vertical="center" wrapText="1"/>
    </xf>
    <xf numFmtId="0" fontId="50" fillId="65" borderId="87">
      <alignment horizontal="left" vertical="center" wrapText="1"/>
    </xf>
    <xf numFmtId="0" fontId="50" fillId="65" borderId="87">
      <alignment horizontal="left" vertical="center" wrapText="1"/>
    </xf>
    <xf numFmtId="0" fontId="50" fillId="65" borderId="87">
      <alignment horizontal="left" vertical="center" wrapText="1"/>
    </xf>
    <xf numFmtId="0" fontId="50" fillId="65" borderId="87">
      <alignment horizontal="left" vertical="center" wrapText="1"/>
    </xf>
    <xf numFmtId="0" fontId="50" fillId="65" borderId="87">
      <alignment horizontal="left" vertical="center" wrapText="1"/>
    </xf>
    <xf numFmtId="1" fontId="56" fillId="0" borderId="84" applyNumberFormat="0" applyFont="0" applyFill="0" applyProtection="0">
      <alignment horizontal="center"/>
    </xf>
    <xf numFmtId="1" fontId="56" fillId="0" borderId="84" applyNumberFormat="0" applyFont="0" applyFill="0" applyProtection="0">
      <alignment horizontal="center"/>
    </xf>
    <xf numFmtId="1" fontId="56" fillId="0" borderId="84" applyNumberFormat="0" applyFont="0" applyFill="0" applyProtection="0">
      <alignment horizontal="center"/>
    </xf>
    <xf numFmtId="1" fontId="56" fillId="0" borderId="84" applyNumberFormat="0" applyFont="0" applyFill="0" applyProtection="0">
      <alignment horizontal="center"/>
    </xf>
    <xf numFmtId="1" fontId="56" fillId="0" borderId="84" applyNumberFormat="0" applyFont="0" applyFill="0" applyProtection="0">
      <alignment horizontal="center"/>
    </xf>
    <xf numFmtId="1" fontId="56" fillId="0" borderId="84" applyNumberFormat="0" applyFont="0" applyFill="0" applyProtection="0">
      <alignment horizont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246" fontId="19" fillId="0" borderId="0"/>
    <xf numFmtId="0" fontId="19" fillId="0" borderId="0"/>
    <xf numFmtId="0" fontId="19" fillId="0" borderId="0"/>
    <xf numFmtId="0" fontId="19" fillId="0" borderId="0"/>
    <xf numFmtId="0" fontId="19" fillId="0" borderId="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9" fontId="19" fillId="0" borderId="0" applyFont="0" applyFill="0" applyBorder="0" applyAlignment="0" applyProtection="0"/>
    <xf numFmtId="9" fontId="19" fillId="0" borderId="0" applyFont="0" applyFill="0" applyBorder="0" applyAlignment="0" applyProtection="0"/>
    <xf numFmtId="337" fontId="26" fillId="0" borderId="89" applyBorder="0">
      <alignment horizontal="right"/>
    </xf>
    <xf numFmtId="337" fontId="26" fillId="0" borderId="89" applyBorder="0">
      <alignment horizontal="right"/>
    </xf>
    <xf numFmtId="337" fontId="26" fillId="0" borderId="89" applyBorder="0">
      <alignment horizontal="right"/>
    </xf>
    <xf numFmtId="337" fontId="26" fillId="0" borderId="89" applyBorder="0">
      <alignment horizontal="right"/>
    </xf>
    <xf numFmtId="0" fontId="149" fillId="0" borderId="90"/>
    <xf numFmtId="0" fontId="149" fillId="0" borderId="90"/>
    <xf numFmtId="0" fontId="149" fillId="0" borderId="90"/>
    <xf numFmtId="0" fontId="149" fillId="0" borderId="90"/>
    <xf numFmtId="0" fontId="149" fillId="0" borderId="90"/>
    <xf numFmtId="0" fontId="149" fillId="0" borderId="90"/>
    <xf numFmtId="0" fontId="124" fillId="62" borderId="82">
      <alignment horizontal="center" vertical="center" wrapText="1"/>
      <protection hidden="1"/>
    </xf>
    <xf numFmtId="0" fontId="124" fillId="62" borderId="82">
      <alignment horizontal="center" vertical="center" wrapText="1"/>
      <protection hidden="1"/>
    </xf>
    <xf numFmtId="0" fontId="124" fillId="62" borderId="82">
      <alignment horizontal="center" vertical="center" wrapText="1"/>
      <protection hidden="1"/>
    </xf>
    <xf numFmtId="0" fontId="124" fillId="62" borderId="82">
      <alignment horizontal="center" vertical="center" wrapText="1"/>
      <protection hidden="1"/>
    </xf>
    <xf numFmtId="0" fontId="124" fillId="62" borderId="82">
      <alignment horizontal="center" vertical="center" wrapText="1"/>
      <protection hidden="1"/>
    </xf>
    <xf numFmtId="0" fontId="124" fillId="62" borderId="82">
      <alignment horizontal="center" vertical="center" wrapText="1"/>
      <protection hidden="1"/>
    </xf>
    <xf numFmtId="0" fontId="150" fillId="1" borderId="86" applyNumberFormat="0" applyFont="0" applyAlignment="0">
      <alignment horizontal="center"/>
    </xf>
    <xf numFmtId="0" fontId="150" fillId="1" borderId="86" applyNumberFormat="0" applyFont="0" applyAlignment="0">
      <alignment horizontal="center"/>
    </xf>
    <xf numFmtId="0" fontId="150" fillId="1" borderId="86" applyNumberFormat="0" applyFont="0" applyAlignment="0">
      <alignment horizontal="center"/>
    </xf>
    <xf numFmtId="0" fontId="150" fillId="1" borderId="86" applyNumberFormat="0" applyFont="0" applyAlignment="0">
      <alignment horizontal="center"/>
    </xf>
    <xf numFmtId="37" fontId="26" fillId="0" borderId="82" applyBorder="0">
      <alignment horizontal="right"/>
      <protection locked="0"/>
    </xf>
    <xf numFmtId="37" fontId="26" fillId="0" borderId="82" applyBorder="0">
      <alignment horizontal="right"/>
      <protection locked="0"/>
    </xf>
    <xf numFmtId="37" fontId="26" fillId="0" borderId="82" applyBorder="0">
      <alignment horizontal="right"/>
      <protection locked="0"/>
    </xf>
    <xf numFmtId="37" fontId="26" fillId="0" borderId="82" applyBorder="0">
      <alignment horizontal="right"/>
      <protection locked="0"/>
    </xf>
    <xf numFmtId="37" fontId="26" fillId="0" borderId="82" applyBorder="0">
      <alignment horizontal="right"/>
      <protection locked="0"/>
    </xf>
    <xf numFmtId="37" fontId="26" fillId="0" borderId="82" applyBorder="0">
      <alignment horizontal="right"/>
      <protection locked="0"/>
    </xf>
    <xf numFmtId="247" fontId="30" fillId="0" borderId="45"/>
    <xf numFmtId="247" fontId="30" fillId="0" borderId="45"/>
    <xf numFmtId="247" fontId="30" fillId="0" borderId="45"/>
    <xf numFmtId="247" fontId="30" fillId="0" borderId="45"/>
    <xf numFmtId="247" fontId="30" fillId="0" borderId="45"/>
    <xf numFmtId="249" fontId="30" fillId="0" borderId="45"/>
    <xf numFmtId="249" fontId="30" fillId="0" borderId="45"/>
    <xf numFmtId="249" fontId="30" fillId="0" borderId="45"/>
    <xf numFmtId="249" fontId="30" fillId="0" borderId="45"/>
    <xf numFmtId="249" fontId="30" fillId="0" borderId="45"/>
    <xf numFmtId="164" fontId="93" fillId="60" borderId="45">
      <alignment horizontal="center" vertical="center" wrapText="1"/>
    </xf>
    <xf numFmtId="164" fontId="93" fillId="60" borderId="45">
      <alignment horizontal="center" vertical="center" wrapText="1"/>
    </xf>
    <xf numFmtId="164" fontId="93" fillId="60" borderId="45">
      <alignment horizontal="center" vertical="center" wrapText="1"/>
    </xf>
    <xf numFmtId="0" fontId="100" fillId="0" borderId="45" applyNumberFormat="0" applyFill="0" applyAlignment="0" applyProtection="0"/>
    <xf numFmtId="261" fontId="71" fillId="0" borderId="45" applyFill="0" applyAlignment="0" applyProtection="0">
      <alignment horizontal="center"/>
    </xf>
    <xf numFmtId="261" fontId="71" fillId="0" borderId="45" applyFill="0" applyAlignment="0" applyProtection="0">
      <alignment horizontal="center"/>
    </xf>
    <xf numFmtId="261" fontId="71" fillId="0" borderId="45" applyFill="0" applyAlignment="0" applyProtection="0">
      <alignment horizontal="center"/>
    </xf>
    <xf numFmtId="261" fontId="71" fillId="0" borderId="45" applyFill="0" applyAlignment="0" applyProtection="0">
      <alignment horizontal="center"/>
    </xf>
    <xf numFmtId="0" fontId="30" fillId="0" borderId="45" applyBorder="0">
      <alignment horizontal="centerContinuous"/>
    </xf>
    <xf numFmtId="0" fontId="30" fillId="0" borderId="45" applyBorder="0">
      <alignment horizontal="centerContinuous"/>
    </xf>
    <xf numFmtId="0" fontId="30" fillId="0" borderId="45" applyBorder="0">
      <alignment horizontal="centerContinuous"/>
    </xf>
    <xf numFmtId="0" fontId="90" fillId="0" borderId="45" applyNumberFormat="0" applyFill="0" applyProtection="0">
      <alignment horizontal="right" wrapText="1"/>
    </xf>
    <xf numFmtId="0" fontId="90" fillId="0" borderId="45" applyNumberFormat="0" applyFill="0" applyProtection="0">
      <alignment horizontal="left" wrapText="1"/>
    </xf>
    <xf numFmtId="43" fontId="26"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79"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0" fontId="127" fillId="0" borderId="45" applyFill="0" applyAlignment="0" applyProtection="0">
      <protection locked="0"/>
    </xf>
    <xf numFmtId="0" fontId="127" fillId="0" borderId="45" applyFill="0" applyAlignment="0" applyProtection="0">
      <protection locked="0"/>
    </xf>
    <xf numFmtId="0" fontId="127" fillId="0" borderId="45" applyFill="0" applyAlignment="0" applyProtection="0">
      <protection locked="0"/>
    </xf>
    <xf numFmtId="1" fontId="56" fillId="0" borderId="45" applyNumberFormat="0" applyFont="0" applyFill="0" applyAlignment="0" applyProtection="0">
      <alignment horizontal="center"/>
    </xf>
    <xf numFmtId="1" fontId="56" fillId="0" borderId="45" applyNumberFormat="0" applyFont="0" applyFill="0" applyAlignment="0" applyProtection="0">
      <alignment horizontal="center"/>
    </xf>
    <xf numFmtId="1" fontId="56" fillId="0" borderId="45" applyNumberFormat="0" applyFont="0" applyFill="0" applyAlignment="0" applyProtection="0">
      <alignment horizontal="center"/>
    </xf>
    <xf numFmtId="310" fontId="26" fillId="0" borderId="45" applyFont="0" applyFill="0" applyBorder="0" applyAlignment="0" applyProtection="0">
      <protection locked="0"/>
    </xf>
    <xf numFmtId="310" fontId="26" fillId="0" borderId="45" applyFont="0" applyFill="0" applyBorder="0" applyAlignment="0" applyProtection="0">
      <protection locked="0"/>
    </xf>
    <xf numFmtId="310" fontId="26" fillId="0" borderId="45" applyFont="0" applyFill="0" applyBorder="0" applyAlignment="0" applyProtection="0">
      <protection locked="0"/>
    </xf>
    <xf numFmtId="313" fontId="30" fillId="0" borderId="45" applyFont="0" applyFill="0" applyBorder="0" applyProtection="0"/>
    <xf numFmtId="313" fontId="30" fillId="0" borderId="45" applyFont="0" applyFill="0" applyBorder="0" applyProtection="0"/>
    <xf numFmtId="313" fontId="30" fillId="0" borderId="45" applyFont="0" applyFill="0" applyBorder="0" applyProtection="0"/>
    <xf numFmtId="314" fontId="30" fillId="0" borderId="45" applyFont="0" applyFill="0" applyBorder="0" applyAlignment="0" applyProtection="0"/>
    <xf numFmtId="314" fontId="30" fillId="0" borderId="45" applyFont="0" applyFill="0" applyBorder="0" applyAlignment="0" applyProtection="0"/>
    <xf numFmtId="314" fontId="30" fillId="0" borderId="45" applyFont="0" applyFill="0" applyBorder="0" applyAlignment="0" applyProtection="0"/>
    <xf numFmtId="0" fontId="234" fillId="0" borderId="0">
      <alignment wrapText="1"/>
    </xf>
    <xf numFmtId="0" fontId="18" fillId="0" borderId="0"/>
    <xf numFmtId="0" fontId="18" fillId="0" borderId="0"/>
    <xf numFmtId="0" fontId="235" fillId="0" borderId="0"/>
    <xf numFmtId="0" fontId="18" fillId="0" borderId="0"/>
    <xf numFmtId="0" fontId="18" fillId="0" borderId="0"/>
    <xf numFmtId="0" fontId="140" fillId="0" borderId="45" applyNumberFormat="0" applyFill="0" applyBorder="0" applyAlignment="0">
      <protection locked="0"/>
    </xf>
    <xf numFmtId="0" fontId="140" fillId="0" borderId="45" applyNumberFormat="0" applyFill="0" applyBorder="0" applyAlignment="0">
      <protection locked="0"/>
    </xf>
    <xf numFmtId="0" fontId="140" fillId="0" borderId="45" applyNumberFormat="0" applyFill="0" applyBorder="0" applyAlignment="0">
      <protection locked="0"/>
    </xf>
    <xf numFmtId="9" fontId="79" fillId="0" borderId="0" applyFont="0" applyFill="0" applyBorder="0" applyAlignment="0" applyProtection="0"/>
    <xf numFmtId="0" fontId="71" fillId="0" borderId="45" applyNumberFormat="0" applyFill="0" applyAlignment="0" applyProtection="0"/>
    <xf numFmtId="0" fontId="71" fillId="0" borderId="45" applyNumberFormat="0" applyFill="0" applyAlignment="0" applyProtection="0"/>
    <xf numFmtId="0" fontId="71" fillId="0" borderId="45" applyNumberFormat="0" applyFill="0" applyAlignment="0" applyProtection="0"/>
    <xf numFmtId="0" fontId="236" fillId="0" borderId="0" applyAlignment="0"/>
    <xf numFmtId="0" fontId="222" fillId="0" borderId="0" applyNumberFormat="0" applyFill="0" applyBorder="0" applyAlignment="0" applyProtection="0"/>
    <xf numFmtId="44" fontId="180" fillId="0" borderId="0" applyFont="0" applyFill="0" applyBorder="0" applyAlignment="0" applyProtection="0"/>
    <xf numFmtId="0" fontId="200" fillId="0" borderId="0"/>
    <xf numFmtId="0" fontId="17" fillId="0" borderId="0"/>
    <xf numFmtId="0" fontId="56" fillId="0" borderId="0"/>
    <xf numFmtId="9" fontId="26" fillId="0" borderId="0" applyFont="0" applyFill="0" applyBorder="0" applyAlignment="0" applyProtection="0"/>
    <xf numFmtId="0" fontId="17" fillId="0" borderId="0"/>
    <xf numFmtId="44" fontId="17" fillId="0" borderId="0" applyFont="0" applyFill="0" applyBorder="0" applyAlignment="0" applyProtection="0"/>
    <xf numFmtId="15" fontId="90" fillId="0" borderId="0" applyFill="0" applyBorder="0" applyAlignment="0"/>
    <xf numFmtId="295" fontId="90" fillId="36" borderId="0" applyFont="0" applyFill="0" applyBorder="0" applyAlignment="0" applyProtection="0"/>
    <xf numFmtId="17" fontId="90" fillId="0" borderId="0" applyFill="0" applyBorder="0">
      <alignment horizontal="right"/>
    </xf>
    <xf numFmtId="14" fontId="115" fillId="0" borderId="0" applyFill="0" applyBorder="0" applyAlignment="0"/>
    <xf numFmtId="17" fontId="26" fillId="0" borderId="0" applyFont="0" applyFill="0" applyBorder="0" applyAlignment="0" applyProtection="0">
      <alignment horizontal="center"/>
    </xf>
    <xf numFmtId="8" fontId="35" fillId="0" borderId="0" applyFill="0" applyBorder="0" applyProtection="0"/>
    <xf numFmtId="7" fontId="56" fillId="0" borderId="0"/>
    <xf numFmtId="7" fontId="56" fillId="0" borderId="0"/>
    <xf numFmtId="6" fontId="35" fillId="0" borderId="0" applyFont="0" applyFill="0" applyBorder="0" applyAlignment="0" applyProtection="0"/>
    <xf numFmtId="38" fontId="56" fillId="29" borderId="0" applyNumberFormat="0" applyFont="0" applyBorder="0" applyAlignment="0" applyProtection="0"/>
    <xf numFmtId="361" fontId="56" fillId="0" borderId="0">
      <alignment horizontal="left"/>
    </xf>
    <xf numFmtId="0" fontId="29" fillId="0" borderId="0" applyNumberFormat="0" applyFill="0" applyBorder="0" applyProtection="0">
      <alignment wrapText="1"/>
    </xf>
    <xf numFmtId="172" fontId="56" fillId="0" borderId="0" applyFill="0" applyBorder="0" applyAlignment="0" applyProtection="0">
      <alignment horizontal="right"/>
    </xf>
    <xf numFmtId="172" fontId="56" fillId="0" borderId="0" applyFill="0" applyBorder="0" applyAlignment="0" applyProtection="0"/>
    <xf numFmtId="37" fontId="243" fillId="34" borderId="61" applyBorder="0">
      <alignment horizontal="left" vertical="center" indent="1"/>
    </xf>
    <xf numFmtId="0" fontId="124" fillId="0" borderId="97" applyNumberFormat="0" applyAlignment="0" applyProtection="0">
      <alignment horizontal="left" vertical="center"/>
    </xf>
    <xf numFmtId="184" fontId="35" fillId="43" borderId="0" applyFont="0" applyFill="0" applyBorder="0" applyAlignment="0" applyProtection="0">
      <alignment horizontal="left"/>
    </xf>
    <xf numFmtId="268" fontId="35" fillId="0" borderId="0" applyFill="0" applyBorder="0" applyAlignment="0" applyProtection="0"/>
    <xf numFmtId="8" fontId="56" fillId="36" borderId="0" applyFont="0" applyBorder="0" applyAlignment="0" applyProtection="0">
      <protection locked="0"/>
    </xf>
    <xf numFmtId="296" fontId="56" fillId="36" borderId="0" applyFont="0" applyBorder="0" applyAlignment="0" applyProtection="0">
      <protection locked="0"/>
    </xf>
    <xf numFmtId="301" fontId="56" fillId="36" borderId="0" applyFont="0" applyBorder="0" applyAlignment="0">
      <protection locked="0"/>
    </xf>
    <xf numFmtId="268" fontId="56" fillId="36" borderId="0">
      <protection locked="0"/>
    </xf>
    <xf numFmtId="10" fontId="56" fillId="36" borderId="0">
      <protection locked="0"/>
    </xf>
    <xf numFmtId="305" fontId="56" fillId="36" borderId="0" applyFont="0" applyBorder="0" applyAlignment="0">
      <protection locked="0"/>
    </xf>
    <xf numFmtId="305" fontId="56" fillId="36" borderId="0" applyFont="0" applyBorder="0" applyAlignment="0">
      <protection locked="0"/>
    </xf>
    <xf numFmtId="268" fontId="56" fillId="36" borderId="0" applyNumberFormat="0" applyFont="0" applyBorder="0" applyAlignment="0" applyProtection="0">
      <alignment horizontal="center"/>
      <protection locked="0"/>
    </xf>
    <xf numFmtId="177" fontId="29" fillId="29" borderId="0" applyFont="0">
      <alignment horizontal="center"/>
    </xf>
    <xf numFmtId="0" fontId="30" fillId="0" borderId="0" applyNumberFormat="0" applyFont="0" applyFill="0" applyBorder="0" applyProtection="0">
      <alignment horizontal="left" vertical="center"/>
    </xf>
    <xf numFmtId="2" fontId="26" fillId="0" borderId="0" applyNumberFormat="0" applyBorder="0">
      <alignment horizontal="left"/>
    </xf>
    <xf numFmtId="308" fontId="124" fillId="66" borderId="39" applyBorder="0">
      <protection locked="0"/>
    </xf>
    <xf numFmtId="268" fontId="56" fillId="0" borderId="0" applyFill="0" applyBorder="0" applyAlignment="0" applyProtection="0"/>
    <xf numFmtId="167" fontId="56" fillId="29" borderId="0" applyFont="0" applyBorder="0" applyAlignment="0" applyProtection="0">
      <alignment horizontal="right"/>
      <protection hidden="1"/>
    </xf>
    <xf numFmtId="319" fontId="30" fillId="0" borderId="0"/>
    <xf numFmtId="0" fontId="46" fillId="86" borderId="0"/>
    <xf numFmtId="0" fontId="71" fillId="0" borderId="0" applyNumberFormat="0" applyFill="0" applyAlignment="0" applyProtection="0"/>
    <xf numFmtId="0" fontId="37" fillId="0" borderId="0"/>
    <xf numFmtId="38" fontId="56" fillId="0" borderId="0" applyFont="0" applyFill="0" applyBorder="0" applyAlignment="0"/>
    <xf numFmtId="40" fontId="56" fillId="0" borderId="0" applyFont="0" applyFill="0" applyBorder="0" applyAlignment="0"/>
    <xf numFmtId="272" fontId="56" fillId="0" borderId="0" applyFont="0" applyFill="0" applyBorder="0" applyAlignment="0"/>
    <xf numFmtId="0" fontId="26" fillId="0" borderId="0"/>
    <xf numFmtId="268" fontId="90" fillId="0" borderId="0" applyNumberFormat="0" applyFill="0" applyBorder="0" applyAlignment="0" applyProtection="0"/>
    <xf numFmtId="322" fontId="56" fillId="0" borderId="0" applyFont="0" applyFill="0" applyBorder="0" applyAlignment="0" applyProtection="0"/>
    <xf numFmtId="268" fontId="26" fillId="0" borderId="0">
      <alignment horizontal="right"/>
    </xf>
    <xf numFmtId="268" fontId="56" fillId="0" borderId="0"/>
    <xf numFmtId="40" fontId="56" fillId="0" borderId="0"/>
    <xf numFmtId="40" fontId="90" fillId="0" borderId="0">
      <alignment horizontal="left"/>
    </xf>
    <xf numFmtId="0" fontId="74" fillId="0" borderId="0"/>
    <xf numFmtId="40" fontId="26" fillId="0" borderId="0" applyBorder="0">
      <alignment horizontal="right"/>
    </xf>
    <xf numFmtId="268" fontId="56" fillId="0" borderId="0" applyFont="0" applyFill="0" applyBorder="0" applyAlignment="0" applyProtection="0"/>
    <xf numFmtId="362" fontId="71" fillId="0" borderId="0" applyFill="0" applyBorder="0" applyProtection="0">
      <alignment horizontal="center"/>
    </xf>
    <xf numFmtId="40" fontId="26" fillId="0" borderId="0" applyFont="0" applyFill="0" applyBorder="0" applyAlignment="0" applyProtection="0">
      <alignment horizontal="center"/>
    </xf>
    <xf numFmtId="324" fontId="56" fillId="0" borderId="0"/>
    <xf numFmtId="14" fontId="35" fillId="0" borderId="0">
      <alignment horizontal="center" wrapText="1"/>
      <protection locked="0"/>
    </xf>
    <xf numFmtId="305" fontId="56" fillId="0" borderId="0" applyFont="0" applyFill="0" applyBorder="0" applyAlignment="0"/>
    <xf numFmtId="9" fontId="17" fillId="0" borderId="0" applyFont="0" applyFill="0" applyBorder="0" applyAlignment="0" applyProtection="0"/>
    <xf numFmtId="363" fontId="35" fillId="0" borderId="0" applyFont="0" applyFill="0" applyBorder="0" applyProtection="0">
      <alignment horizontal="right"/>
    </xf>
    <xf numFmtId="0" fontId="35" fillId="0" borderId="0" applyFill="0" applyBorder="0" applyAlignment="0" applyProtection="0"/>
    <xf numFmtId="333" fontId="56" fillId="0" borderId="0" applyFont="0" applyFill="0" applyBorder="0" applyAlignment="0" applyProtection="0"/>
    <xf numFmtId="335" fontId="30" fillId="0" borderId="0"/>
    <xf numFmtId="0" fontId="66" fillId="0" borderId="18">
      <alignment horizontal="center"/>
    </xf>
    <xf numFmtId="338" fontId="30" fillId="0" borderId="0" applyFont="0" applyFill="0" applyBorder="0" applyAlignment="0" applyProtection="0">
      <alignment vertical="center"/>
    </xf>
    <xf numFmtId="272" fontId="35" fillId="0" borderId="0" applyFont="0" applyFill="0" applyBorder="0" applyAlignment="0" applyProtection="0"/>
    <xf numFmtId="1" fontId="26" fillId="0" borderId="0" applyNumberFormat="0" applyFill="0" applyBorder="0" applyAlignment="0" applyProtection="0">
      <alignment horizontal="center"/>
    </xf>
    <xf numFmtId="1" fontId="29" fillId="0" borderId="0" applyNumberFormat="0" applyFill="0" applyBorder="0" applyAlignment="0" applyProtection="0">
      <alignment horizontal="center"/>
    </xf>
    <xf numFmtId="268" fontId="56" fillId="66" borderId="0" applyNumberFormat="0" applyFont="0" applyBorder="0" applyAlignment="0">
      <protection hidden="1"/>
    </xf>
    <xf numFmtId="364" fontId="131" fillId="0" borderId="0" applyFill="0" applyBorder="0" applyProtection="0">
      <alignment horizontal="center" wrapText="1"/>
    </xf>
    <xf numFmtId="365" fontId="131" fillId="0" borderId="0" applyFill="0" applyBorder="0" applyProtection="0">
      <alignment horizontal="right" wrapText="1"/>
    </xf>
    <xf numFmtId="0" fontId="26" fillId="0" borderId="0"/>
    <xf numFmtId="0" fontId="16" fillId="0" borderId="0"/>
    <xf numFmtId="0" fontId="16" fillId="0" borderId="0"/>
    <xf numFmtId="0" fontId="180" fillId="0" borderId="0"/>
    <xf numFmtId="9" fontId="180" fillId="0" borderId="0" applyFont="0" applyFill="0" applyBorder="0" applyAlignment="0" applyProtection="0"/>
    <xf numFmtId="9" fontId="26" fillId="0" borderId="0"/>
    <xf numFmtId="0" fontId="250" fillId="0" borderId="0" applyNumberFormat="0" applyFill="0" applyBorder="0" applyAlignment="0" applyProtection="0"/>
    <xf numFmtId="0" fontId="15" fillId="0" borderId="0"/>
    <xf numFmtId="43" fontId="15" fillId="0" borderId="0" applyFont="0" applyFill="0" applyBorder="0" applyAlignment="0" applyProtection="0"/>
    <xf numFmtId="0" fontId="15" fillId="0" borderId="0"/>
    <xf numFmtId="0" fontId="14" fillId="0" borderId="0"/>
    <xf numFmtId="0" fontId="14" fillId="0" borderId="0"/>
    <xf numFmtId="0" fontId="13" fillId="0" borderId="0"/>
    <xf numFmtId="43" fontId="79" fillId="0" borderId="0" applyFont="0" applyFill="0" applyBorder="0" applyAlignment="0" applyProtection="0"/>
    <xf numFmtId="43" fontId="259" fillId="0" borderId="0" applyFont="0" applyFill="0" applyBorder="0" applyAlignment="0" applyProtection="0"/>
    <xf numFmtId="44" fontId="13" fillId="0" borderId="0" applyFont="0" applyFill="0" applyBorder="0" applyAlignment="0" applyProtection="0"/>
    <xf numFmtId="0" fontId="12" fillId="0" borderId="0"/>
    <xf numFmtId="43" fontId="12" fillId="0" borderId="0" applyFont="0" applyFill="0" applyBorder="0" applyAlignment="0" applyProtection="0"/>
    <xf numFmtId="0" fontId="12" fillId="0" borderId="0"/>
    <xf numFmtId="43" fontId="12" fillId="0" borderId="0" applyFont="0" applyFill="0" applyBorder="0" applyAlignment="0" applyProtection="0"/>
    <xf numFmtId="44" fontId="12" fillId="0" borderId="0" applyFont="0" applyFill="0" applyBorder="0" applyAlignment="0" applyProtection="0"/>
    <xf numFmtId="0" fontId="180" fillId="0" borderId="0"/>
    <xf numFmtId="0" fontId="11" fillId="0" borderId="0"/>
    <xf numFmtId="0" fontId="11" fillId="0" borderId="0"/>
    <xf numFmtId="43" fontId="11" fillId="0" borderId="0" applyFont="0" applyFill="0" applyBorder="0" applyAlignment="0" applyProtection="0"/>
    <xf numFmtId="0" fontId="10" fillId="0" borderId="0"/>
    <xf numFmtId="44"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0" fontId="10" fillId="0" borderId="0"/>
    <xf numFmtId="0" fontId="267" fillId="0" borderId="0"/>
    <xf numFmtId="0" fontId="110" fillId="0" borderId="0"/>
    <xf numFmtId="43" fontId="110" fillId="0" borderId="0" applyFont="0" applyFill="0" applyBorder="0" applyAlignment="0" applyProtection="0"/>
    <xf numFmtId="0" fontId="10" fillId="0" borderId="0"/>
    <xf numFmtId="0" fontId="9" fillId="0" borderId="0"/>
    <xf numFmtId="43"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43" fontId="9"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7" fillId="0" borderId="0"/>
    <xf numFmtId="0" fontId="7" fillId="0" borderId="0"/>
    <xf numFmtId="43" fontId="7" fillId="0" borderId="0" applyFont="0" applyFill="0" applyBorder="0" applyAlignment="0" applyProtection="0"/>
    <xf numFmtId="0" fontId="26" fillId="0" borderId="0"/>
    <xf numFmtId="43" fontId="180" fillId="0" borderId="0" applyFont="0" applyFill="0" applyBorder="0" applyAlignment="0" applyProtection="0"/>
    <xf numFmtId="43" fontId="6" fillId="0" borderId="0" applyFont="0" applyFill="0" applyBorder="0" applyAlignment="0" applyProtection="0"/>
    <xf numFmtId="0" fontId="279" fillId="0" borderId="0"/>
    <xf numFmtId="0" fontId="6" fillId="0" borderId="0"/>
    <xf numFmtId="0" fontId="6" fillId="0" borderId="0"/>
    <xf numFmtId="43" fontId="6" fillId="0" borderId="0" applyFont="0" applyFill="0" applyBorder="0" applyAlignment="0" applyProtection="0"/>
    <xf numFmtId="44" fontId="180" fillId="0" borderId="0" applyFont="0" applyFill="0" applyBorder="0" applyAlignment="0" applyProtection="0"/>
    <xf numFmtId="43" fontId="5" fillId="0" borderId="0" applyFont="0" applyFill="0" applyBorder="0" applyAlignment="0" applyProtection="0"/>
    <xf numFmtId="0" fontId="4" fillId="0" borderId="0"/>
    <xf numFmtId="43" fontId="4" fillId="0" borderId="0" applyFont="0" applyFill="0" applyBorder="0" applyAlignment="0" applyProtection="0"/>
    <xf numFmtId="0" fontId="3" fillId="0" borderId="0"/>
    <xf numFmtId="9" fontId="3" fillId="0" borderId="0" applyFont="0" applyFill="0" applyBorder="0" applyAlignment="0" applyProtection="0"/>
    <xf numFmtId="0" fontId="180" fillId="0" borderId="0"/>
    <xf numFmtId="0" fontId="3" fillId="0" borderId="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9" fontId="110" fillId="0" borderId="0" applyFont="0" applyFill="0" applyBorder="0" applyAlignment="0" applyProtection="0"/>
    <xf numFmtId="43" fontId="1" fillId="0" borderId="0" applyFont="0" applyFill="0" applyBorder="0" applyAlignment="0" applyProtection="0"/>
    <xf numFmtId="0" fontId="180" fillId="0" borderId="0"/>
    <xf numFmtId="0" fontId="1" fillId="0" borderId="0"/>
  </cellStyleXfs>
  <cellXfs count="3309">
    <xf numFmtId="0" fontId="0" fillId="0" borderId="0" xfId="0"/>
    <xf numFmtId="0" fontId="160" fillId="0" borderId="0" xfId="0" applyFont="1"/>
    <xf numFmtId="0" fontId="158" fillId="0" borderId="0" xfId="0" applyFont="1" applyAlignment="1">
      <alignment horizontal="left" indent="1"/>
    </xf>
    <xf numFmtId="0" fontId="158" fillId="0" borderId="0" xfId="0" quotePrefix="1" applyFont="1" applyAlignment="1">
      <alignment horizontal="center"/>
    </xf>
    <xf numFmtId="169" fontId="162" fillId="0" borderId="0" xfId="0" applyNumberFormat="1" applyFont="1"/>
    <xf numFmtId="0" fontId="158" fillId="0" borderId="45" xfId="0" applyFont="1" applyBorder="1"/>
    <xf numFmtId="0" fontId="158" fillId="0" borderId="0" xfId="0" applyFont="1" applyAlignment="1">
      <alignment wrapText="1"/>
    </xf>
    <xf numFmtId="8" fontId="158" fillId="0" borderId="0" xfId="0" applyNumberFormat="1" applyFont="1"/>
    <xf numFmtId="0" fontId="163" fillId="0" borderId="0" xfId="0" applyFont="1"/>
    <xf numFmtId="0" fontId="158" fillId="65" borderId="0" xfId="0" quotePrefix="1" applyFont="1" applyFill="1" applyAlignment="1">
      <alignment horizontal="left" indent="1"/>
    </xf>
    <xf numFmtId="43" fontId="164" fillId="68" borderId="56" xfId="11155" applyFont="1" applyFill="1" applyBorder="1" applyAlignment="1"/>
    <xf numFmtId="43" fontId="164" fillId="68" borderId="0" xfId="11155" applyFont="1" applyFill="1" applyBorder="1" applyAlignment="1"/>
    <xf numFmtId="43" fontId="164" fillId="68" borderId="57" xfId="11155" applyFont="1" applyFill="1" applyBorder="1" applyAlignment="1"/>
    <xf numFmtId="43" fontId="164" fillId="68" borderId="57" xfId="11155" applyFont="1" applyFill="1" applyBorder="1" applyAlignment="1">
      <alignment horizontal="right"/>
    </xf>
    <xf numFmtId="0" fontId="166" fillId="69" borderId="56" xfId="12421" applyFont="1" applyFill="1" applyBorder="1"/>
    <xf numFmtId="0" fontId="167" fillId="0" borderId="0" xfId="0" applyFont="1"/>
    <xf numFmtId="0" fontId="158" fillId="0" borderId="0" xfId="0" applyFont="1" applyBorder="1"/>
    <xf numFmtId="0" fontId="158" fillId="0" borderId="0" xfId="0" applyFont="1" applyAlignment="1">
      <alignment horizontal="left"/>
    </xf>
    <xf numFmtId="10" fontId="158" fillId="0" borderId="0" xfId="0" applyNumberFormat="1" applyFont="1"/>
    <xf numFmtId="10" fontId="158" fillId="0" borderId="45" xfId="0" applyNumberFormat="1" applyFont="1" applyBorder="1"/>
    <xf numFmtId="0" fontId="160" fillId="0" borderId="35" xfId="0" applyFont="1" applyBorder="1"/>
    <xf numFmtId="0" fontId="30" fillId="0" borderId="0" xfId="0" applyFont="1" applyFill="1"/>
    <xf numFmtId="0" fontId="30" fillId="0" borderId="0" xfId="0" quotePrefix="1" applyFont="1" applyFill="1" applyAlignment="1">
      <alignment horizontal="center"/>
    </xf>
    <xf numFmtId="0" fontId="30" fillId="0" borderId="0" xfId="0" applyFont="1" applyFill="1" applyAlignment="1">
      <alignment horizontal="center"/>
    </xf>
    <xf numFmtId="0" fontId="30" fillId="0" borderId="0" xfId="0" quotePrefix="1" applyFont="1" applyFill="1" applyAlignment="1">
      <alignment horizontal="left" indent="1"/>
    </xf>
    <xf numFmtId="0" fontId="30" fillId="65" borderId="0" xfId="0" quotePrefix="1" applyFont="1" applyFill="1" applyAlignment="1">
      <alignment horizontal="left" indent="1"/>
    </xf>
    <xf numFmtId="0" fontId="160" fillId="0" borderId="0" xfId="0" applyFont="1" applyBorder="1"/>
    <xf numFmtId="165" fontId="168" fillId="0" borderId="0" xfId="0" applyNumberFormat="1" applyFont="1" applyBorder="1"/>
    <xf numFmtId="0" fontId="158" fillId="0" borderId="0" xfId="0" quotePrefix="1" applyFont="1" applyFill="1" applyAlignment="1">
      <alignment horizontal="center"/>
    </xf>
    <xf numFmtId="0" fontId="160" fillId="71" borderId="34" xfId="0" applyFont="1" applyFill="1" applyBorder="1"/>
    <xf numFmtId="0" fontId="160" fillId="71" borderId="35" xfId="0" applyFont="1" applyFill="1" applyBorder="1"/>
    <xf numFmtId="0" fontId="160" fillId="71" borderId="42" xfId="0" applyFont="1" applyFill="1" applyBorder="1"/>
    <xf numFmtId="0" fontId="170" fillId="72" borderId="29" xfId="0" applyFont="1" applyFill="1" applyBorder="1" applyAlignment="1">
      <alignment horizontal="center"/>
    </xf>
    <xf numFmtId="0" fontId="170" fillId="72" borderId="29" xfId="0" applyFont="1" applyFill="1" applyBorder="1" applyAlignment="1">
      <alignment horizontal="left"/>
    </xf>
    <xf numFmtId="0" fontId="171" fillId="0" borderId="0" xfId="0" applyFont="1"/>
    <xf numFmtId="0" fontId="170" fillId="72" borderId="34" xfId="0" applyFont="1" applyFill="1" applyBorder="1" applyAlignment="1">
      <alignment horizontal="centerContinuous"/>
    </xf>
    <xf numFmtId="0" fontId="170" fillId="72" borderId="35" xfId="0" applyFont="1" applyFill="1" applyBorder="1" applyAlignment="1">
      <alignment horizontal="centerContinuous"/>
    </xf>
    <xf numFmtId="0" fontId="170" fillId="72" borderId="42" xfId="0" applyFont="1" applyFill="1" applyBorder="1" applyAlignment="1">
      <alignment horizontal="centerContinuous"/>
    </xf>
    <xf numFmtId="169" fontId="160" fillId="0" borderId="0" xfId="0" applyNumberFormat="1" applyFont="1"/>
    <xf numFmtId="0" fontId="163" fillId="0" borderId="0" xfId="0" applyFont="1" applyAlignment="1">
      <alignment horizontal="left" indent="1"/>
    </xf>
    <xf numFmtId="165" fontId="163" fillId="0" borderId="0" xfId="0" applyNumberFormat="1" applyFont="1" applyAlignment="1">
      <alignment horizontal="right"/>
    </xf>
    <xf numFmtId="0" fontId="160" fillId="0" borderId="0" xfId="0" applyFont="1" applyAlignment="1">
      <alignment horizontal="left"/>
    </xf>
    <xf numFmtId="169" fontId="30" fillId="0" borderId="0" xfId="0" applyNumberFormat="1" applyFont="1" applyFill="1"/>
    <xf numFmtId="169" fontId="132" fillId="0" borderId="0" xfId="0" applyNumberFormat="1" applyFont="1"/>
    <xf numFmtId="168" fontId="158" fillId="0" borderId="0" xfId="0" applyNumberFormat="1" applyFont="1"/>
    <xf numFmtId="165" fontId="30" fillId="0" borderId="0" xfId="0" applyNumberFormat="1" applyFont="1" applyFill="1"/>
    <xf numFmtId="0" fontId="160" fillId="0" borderId="0" xfId="0" applyFont="1" applyBorder="1" applyAlignment="1">
      <alignment horizontal="centerContinuous"/>
    </xf>
    <xf numFmtId="169" fontId="158" fillId="0" borderId="13" xfId="0" applyNumberFormat="1" applyFont="1" applyBorder="1"/>
    <xf numFmtId="169" fontId="158" fillId="0" borderId="0" xfId="0" applyNumberFormat="1" applyFont="1" applyBorder="1"/>
    <xf numFmtId="0" fontId="161" fillId="0" borderId="0" xfId="0" applyFont="1" applyFill="1" applyBorder="1"/>
    <xf numFmtId="270" fontId="158" fillId="0" borderId="0" xfId="0" applyNumberFormat="1" applyFont="1"/>
    <xf numFmtId="0" fontId="158" fillId="65" borderId="0" xfId="0" applyFont="1" applyFill="1"/>
    <xf numFmtId="0" fontId="175" fillId="0" borderId="0" xfId="0" applyFont="1"/>
    <xf numFmtId="0" fontId="158" fillId="0" borderId="0" xfId="0" applyFont="1" applyFill="1" applyBorder="1" applyAlignment="1">
      <alignment horizontal="left" indent="1"/>
    </xf>
    <xf numFmtId="164" fontId="158" fillId="0" borderId="0" xfId="0" applyNumberFormat="1" applyFont="1" applyAlignment="1">
      <alignment horizontal="center"/>
    </xf>
    <xf numFmtId="0" fontId="132" fillId="0" borderId="0" xfId="0" applyFont="1" applyAlignment="1">
      <alignment horizontal="center"/>
    </xf>
    <xf numFmtId="165" fontId="158" fillId="0" borderId="0" xfId="0" applyNumberFormat="1" applyFont="1" applyAlignment="1">
      <alignment horizontal="right"/>
    </xf>
    <xf numFmtId="0" fontId="158" fillId="0" borderId="45" xfId="0" applyFont="1" applyBorder="1" applyAlignment="1">
      <alignment horizontal="left" indent="1"/>
    </xf>
    <xf numFmtId="0" fontId="30" fillId="0" borderId="0" xfId="0" applyFont="1" applyFill="1" applyBorder="1"/>
    <xf numFmtId="0" fontId="158" fillId="0" borderId="0" xfId="0" applyFont="1" applyBorder="1" applyAlignment="1">
      <alignment horizontal="left" indent="1"/>
    </xf>
    <xf numFmtId="0" fontId="30" fillId="0" borderId="45" xfId="0" applyFont="1" applyFill="1" applyBorder="1" applyAlignment="1">
      <alignment horizontal="left" indent="1"/>
    </xf>
    <xf numFmtId="0" fontId="30" fillId="0" borderId="45" xfId="0" applyFont="1" applyFill="1" applyBorder="1"/>
    <xf numFmtId="169" fontId="30" fillId="0" borderId="45" xfId="0" applyNumberFormat="1" applyFont="1" applyFill="1" applyBorder="1"/>
    <xf numFmtId="0" fontId="160" fillId="0" borderId="34" xfId="0" applyFont="1" applyFill="1" applyBorder="1"/>
    <xf numFmtId="0" fontId="160" fillId="0" borderId="35" xfId="0" applyFont="1" applyFill="1" applyBorder="1"/>
    <xf numFmtId="0" fontId="160" fillId="0" borderId="42" xfId="0" applyFont="1" applyFill="1" applyBorder="1"/>
    <xf numFmtId="0" fontId="158" fillId="71" borderId="0" xfId="0" applyFont="1" applyFill="1" applyBorder="1"/>
    <xf numFmtId="169" fontId="158" fillId="71" borderId="0" xfId="0" applyNumberFormat="1" applyFont="1" applyFill="1" applyBorder="1"/>
    <xf numFmtId="0" fontId="158" fillId="71" borderId="54" xfId="0" applyFont="1" applyFill="1" applyBorder="1"/>
    <xf numFmtId="0" fontId="158" fillId="71" borderId="12" xfId="0" applyFont="1" applyFill="1" applyBorder="1" applyAlignment="1">
      <alignment horizontal="left" indent="1"/>
    </xf>
    <xf numFmtId="0" fontId="158" fillId="71" borderId="12" xfId="0" applyFont="1" applyFill="1" applyBorder="1"/>
    <xf numFmtId="0" fontId="158" fillId="71" borderId="13" xfId="0" applyFont="1" applyFill="1" applyBorder="1"/>
    <xf numFmtId="0" fontId="160" fillId="71" borderId="45" xfId="0" applyFont="1" applyFill="1" applyBorder="1"/>
    <xf numFmtId="0" fontId="160" fillId="71" borderId="49" xfId="0" applyFont="1" applyFill="1" applyBorder="1"/>
    <xf numFmtId="0" fontId="160" fillId="71" borderId="33" xfId="0" applyFont="1" applyFill="1" applyBorder="1"/>
    <xf numFmtId="169" fontId="160" fillId="71" borderId="45" xfId="0" applyNumberFormat="1" applyFont="1" applyFill="1" applyBorder="1"/>
    <xf numFmtId="0" fontId="30" fillId="0" borderId="0" xfId="0" applyFont="1" applyFill="1" applyAlignment="1">
      <alignment wrapText="1"/>
    </xf>
    <xf numFmtId="0" fontId="170" fillId="72" borderId="34" xfId="0" applyFont="1" applyFill="1" applyBorder="1"/>
    <xf numFmtId="0" fontId="158" fillId="0" borderId="0" xfId="0" applyFont="1" applyFill="1"/>
    <xf numFmtId="0" fontId="160" fillId="71" borderId="0" xfId="0" applyFont="1" applyFill="1" applyBorder="1"/>
    <xf numFmtId="165" fontId="161" fillId="71" borderId="42" xfId="0" applyNumberFormat="1" applyFont="1" applyFill="1" applyBorder="1"/>
    <xf numFmtId="0" fontId="160" fillId="0" borderId="0" xfId="0" applyFont="1" applyFill="1"/>
    <xf numFmtId="0" fontId="158" fillId="0" borderId="10" xfId="0" applyFont="1" applyBorder="1"/>
    <xf numFmtId="165" fontId="162" fillId="0" borderId="0" xfId="0" applyNumberFormat="1" applyFont="1"/>
    <xf numFmtId="0" fontId="159" fillId="28" borderId="34" xfId="0" applyFont="1" applyFill="1" applyBorder="1" applyAlignment="1">
      <alignment horizontal="center" wrapText="1"/>
    </xf>
    <xf numFmtId="0" fontId="159" fillId="28" borderId="35" xfId="0" applyFont="1" applyFill="1" applyBorder="1" applyAlignment="1">
      <alignment horizontal="center" wrapText="1"/>
    </xf>
    <xf numFmtId="0" fontId="159" fillId="28" borderId="42" xfId="0" applyFont="1" applyFill="1" applyBorder="1" applyAlignment="1">
      <alignment horizontal="center" wrapText="1"/>
    </xf>
    <xf numFmtId="0" fontId="161" fillId="0" borderId="0" xfId="0" applyFont="1" applyFill="1" applyAlignment="1">
      <alignment horizontal="center" wrapText="1"/>
    </xf>
    <xf numFmtId="0" fontId="160" fillId="0" borderId="0" xfId="0" applyFont="1" applyAlignment="1">
      <alignment horizontal="center" wrapText="1"/>
    </xf>
    <xf numFmtId="0" fontId="160" fillId="0" borderId="0" xfId="0" applyFont="1" applyAlignment="1">
      <alignment wrapText="1"/>
    </xf>
    <xf numFmtId="234" fontId="158" fillId="0" borderId="0" xfId="0" applyNumberFormat="1" applyFont="1" applyAlignment="1">
      <alignment horizontal="right"/>
    </xf>
    <xf numFmtId="234" fontId="158" fillId="0" borderId="0" xfId="0" quotePrefix="1" applyNumberFormat="1" applyFont="1" applyAlignment="1">
      <alignment horizontal="right"/>
    </xf>
    <xf numFmtId="169" fontId="158" fillId="0" borderId="0" xfId="0" applyNumberFormat="1" applyFont="1" applyAlignment="1">
      <alignment horizontal="right"/>
    </xf>
    <xf numFmtId="0" fontId="162" fillId="0" borderId="0" xfId="0" applyFont="1"/>
    <xf numFmtId="169" fontId="172" fillId="0" borderId="0" xfId="0" applyNumberFormat="1" applyFont="1"/>
    <xf numFmtId="0" fontId="132" fillId="0" borderId="0" xfId="0" applyFont="1"/>
    <xf numFmtId="0" fontId="160" fillId="71" borderId="7" xfId="0" applyFont="1" applyFill="1" applyBorder="1"/>
    <xf numFmtId="0" fontId="160" fillId="71" borderId="8" xfId="0" applyFont="1" applyFill="1" applyBorder="1"/>
    <xf numFmtId="234" fontId="160" fillId="71" borderId="33" xfId="0" applyNumberFormat="1" applyFont="1" applyFill="1" applyBorder="1"/>
    <xf numFmtId="0" fontId="160" fillId="71" borderId="12" xfId="0" applyFont="1" applyFill="1" applyBorder="1"/>
    <xf numFmtId="234" fontId="160" fillId="71" borderId="0" xfId="0" applyNumberFormat="1" applyFont="1" applyFill="1" applyBorder="1"/>
    <xf numFmtId="169" fontId="160" fillId="71" borderId="0" xfId="0" applyNumberFormat="1" applyFont="1" applyFill="1" applyBorder="1"/>
    <xf numFmtId="169" fontId="160" fillId="71" borderId="13" xfId="0" applyNumberFormat="1" applyFont="1" applyFill="1" applyBorder="1"/>
    <xf numFmtId="0" fontId="160" fillId="71" borderId="10" xfId="0" applyFont="1" applyFill="1" applyBorder="1"/>
    <xf numFmtId="0" fontId="160" fillId="71" borderId="3" xfId="0" applyFont="1" applyFill="1" applyBorder="1"/>
    <xf numFmtId="234" fontId="160" fillId="71" borderId="45" xfId="0" applyNumberFormat="1" applyFont="1" applyFill="1" applyBorder="1"/>
    <xf numFmtId="0" fontId="158" fillId="30" borderId="0" xfId="0" applyFont="1" applyFill="1"/>
    <xf numFmtId="0" fontId="161" fillId="0" borderId="35" xfId="0" applyFont="1" applyFill="1" applyBorder="1"/>
    <xf numFmtId="0" fontId="161" fillId="0" borderId="10" xfId="0" applyFont="1" applyFill="1" applyBorder="1" applyAlignment="1">
      <alignment horizontal="center" wrapText="1"/>
    </xf>
    <xf numFmtId="0" fontId="161" fillId="0" borderId="5" xfId="0" applyFont="1" applyFill="1" applyBorder="1" applyAlignment="1">
      <alignment horizontal="center" wrapText="1"/>
    </xf>
    <xf numFmtId="0" fontId="161" fillId="0" borderId="6" xfId="0" applyFont="1" applyFill="1" applyBorder="1" applyAlignment="1">
      <alignment horizontal="center" wrapText="1"/>
    </xf>
    <xf numFmtId="0" fontId="161" fillId="0" borderId="45" xfId="0" applyFont="1" applyFill="1" applyBorder="1"/>
    <xf numFmtId="0" fontId="161" fillId="0" borderId="34" xfId="0" applyFont="1" applyFill="1" applyBorder="1" applyAlignment="1">
      <alignment horizontal="centerContinuous"/>
    </xf>
    <xf numFmtId="0" fontId="161" fillId="0" borderId="35" xfId="0" applyFont="1" applyFill="1" applyBorder="1" applyAlignment="1">
      <alignment horizontal="centerContinuous"/>
    </xf>
    <xf numFmtId="0" fontId="161" fillId="0" borderId="32" xfId="0" applyFont="1" applyFill="1" applyBorder="1" applyAlignment="1">
      <alignment horizontal="center" wrapText="1"/>
    </xf>
    <xf numFmtId="0" fontId="161" fillId="0" borderId="29" xfId="0" applyFont="1" applyFill="1" applyBorder="1" applyAlignment="1">
      <alignment horizontal="center" wrapText="1"/>
    </xf>
    <xf numFmtId="0" fontId="158" fillId="0" borderId="35" xfId="0" applyFont="1" applyFill="1" applyBorder="1"/>
    <xf numFmtId="0" fontId="158" fillId="72" borderId="45" xfId="0" applyFont="1" applyFill="1" applyBorder="1"/>
    <xf numFmtId="164" fontId="162" fillId="0" borderId="45" xfId="0" applyNumberFormat="1" applyFont="1" applyFill="1" applyBorder="1" applyAlignment="1">
      <alignment horizontal="center"/>
    </xf>
    <xf numFmtId="0" fontId="161" fillId="0" borderId="0" xfId="0" applyFont="1" applyFill="1" applyBorder="1" applyAlignment="1">
      <alignment horizontal="center" wrapText="1"/>
    </xf>
    <xf numFmtId="0" fontId="161" fillId="0" borderId="52" xfId="0" applyFont="1" applyFill="1" applyBorder="1" applyAlignment="1">
      <alignment horizontal="center" wrapText="1"/>
    </xf>
    <xf numFmtId="0" fontId="159" fillId="72" borderId="53" xfId="0" applyFont="1" applyFill="1" applyBorder="1" applyAlignment="1">
      <alignment horizontal="centerContinuous"/>
    </xf>
    <xf numFmtId="0" fontId="159" fillId="72" borderId="54" xfId="0" applyFont="1" applyFill="1" applyBorder="1" applyAlignment="1">
      <alignment horizontal="centerContinuous"/>
    </xf>
    <xf numFmtId="0" fontId="159" fillId="72" borderId="55" xfId="0" applyFont="1" applyFill="1" applyBorder="1" applyAlignment="1">
      <alignment horizontal="centerContinuous"/>
    </xf>
    <xf numFmtId="0" fontId="161" fillId="72" borderId="54" xfId="0" applyFont="1" applyFill="1" applyBorder="1" applyAlignment="1">
      <alignment horizontal="centerContinuous"/>
    </xf>
    <xf numFmtId="0" fontId="161" fillId="72" borderId="55" xfId="0" applyFont="1" applyFill="1" applyBorder="1" applyAlignment="1">
      <alignment horizontal="centerContinuous"/>
    </xf>
    <xf numFmtId="0" fontId="161" fillId="0" borderId="35" xfId="0" applyFont="1" applyFill="1" applyBorder="1" applyAlignment="1">
      <alignment horizontal="center" wrapText="1"/>
    </xf>
    <xf numFmtId="0" fontId="161" fillId="0" borderId="42" xfId="0" applyFont="1" applyFill="1" applyBorder="1" applyAlignment="1">
      <alignment horizontal="center" wrapText="1"/>
    </xf>
    <xf numFmtId="0" fontId="161" fillId="0" borderId="34" xfId="0" applyFont="1" applyFill="1" applyBorder="1" applyAlignment="1">
      <alignment horizontal="center" wrapText="1"/>
    </xf>
    <xf numFmtId="169" fontId="160" fillId="71" borderId="33" xfId="0" applyNumberFormat="1" applyFont="1" applyFill="1" applyBorder="1"/>
    <xf numFmtId="41" fontId="160" fillId="71" borderId="33" xfId="0" applyNumberFormat="1" applyFont="1" applyFill="1" applyBorder="1"/>
    <xf numFmtId="234" fontId="160" fillId="71" borderId="50" xfId="0" applyNumberFormat="1" applyFont="1" applyFill="1" applyBorder="1"/>
    <xf numFmtId="41" fontId="160" fillId="71" borderId="0" xfId="0" applyNumberFormat="1" applyFont="1" applyFill="1" applyBorder="1"/>
    <xf numFmtId="234" fontId="160" fillId="71" borderId="13" xfId="0" applyNumberFormat="1" applyFont="1" applyFill="1" applyBorder="1"/>
    <xf numFmtId="41" fontId="160" fillId="71" borderId="45" xfId="0" applyNumberFormat="1" applyFont="1" applyFill="1" applyBorder="1"/>
    <xf numFmtId="234" fontId="160" fillId="71" borderId="11" xfId="0" applyNumberFormat="1" applyFont="1" applyFill="1" applyBorder="1"/>
    <xf numFmtId="169" fontId="161" fillId="0" borderId="0" xfId="0" applyNumberFormat="1" applyFont="1" applyFill="1" applyBorder="1"/>
    <xf numFmtId="41" fontId="30" fillId="0" borderId="0" xfId="0" applyNumberFormat="1" applyFont="1" applyFill="1" applyAlignment="1">
      <alignment horizontal="right"/>
    </xf>
    <xf numFmtId="0" fontId="160" fillId="0" borderId="34" xfId="0" applyFont="1" applyBorder="1" applyAlignment="1">
      <alignment horizontal="centerContinuous"/>
    </xf>
    <xf numFmtId="0" fontId="158" fillId="0" borderId="35" xfId="0" applyFont="1" applyBorder="1" applyAlignment="1">
      <alignment horizontal="centerContinuous"/>
    </xf>
    <xf numFmtId="0" fontId="158" fillId="0" borderId="42" xfId="0" applyFont="1" applyBorder="1" applyAlignment="1">
      <alignment horizontal="centerContinuous"/>
    </xf>
    <xf numFmtId="165" fontId="160" fillId="71" borderId="33" xfId="0" applyNumberFormat="1" applyFont="1" applyFill="1" applyBorder="1"/>
    <xf numFmtId="165" fontId="160" fillId="71" borderId="50" xfId="0" applyNumberFormat="1" applyFont="1" applyFill="1" applyBorder="1"/>
    <xf numFmtId="165" fontId="160" fillId="71" borderId="0" xfId="0" applyNumberFormat="1" applyFont="1" applyFill="1" applyBorder="1"/>
    <xf numFmtId="165" fontId="160" fillId="71" borderId="13" xfId="0" applyNumberFormat="1" applyFont="1" applyFill="1" applyBorder="1"/>
    <xf numFmtId="165" fontId="160" fillId="71" borderId="45" xfId="0" applyNumberFormat="1" applyFont="1" applyFill="1" applyBorder="1"/>
    <xf numFmtId="165" fontId="160" fillId="71" borderId="11" xfId="0" applyNumberFormat="1" applyFont="1" applyFill="1" applyBorder="1"/>
    <xf numFmtId="0" fontId="158" fillId="0" borderId="0" xfId="0" applyFont="1" applyAlignment="1">
      <alignment horizontal="justify" vertical="top" wrapText="1"/>
    </xf>
    <xf numFmtId="164" fontId="158" fillId="0" borderId="0" xfId="0" applyNumberFormat="1" applyFont="1" applyAlignment="1">
      <alignment horizontal="center" vertical="top" wrapText="1"/>
    </xf>
    <xf numFmtId="0" fontId="158" fillId="0" borderId="0" xfId="0" applyFont="1" applyAlignment="1">
      <alignment vertical="top" wrapText="1"/>
    </xf>
    <xf numFmtId="165" fontId="158" fillId="0" borderId="0" xfId="0" applyNumberFormat="1" applyFont="1" applyAlignment="1">
      <alignment horizontal="center" vertical="top" wrapText="1"/>
    </xf>
    <xf numFmtId="0" fontId="158" fillId="0" borderId="0" xfId="0" applyFont="1" applyAlignment="1">
      <alignment horizontal="center" vertical="top" wrapText="1"/>
    </xf>
    <xf numFmtId="169" fontId="158" fillId="0" borderId="0" xfId="0" applyNumberFormat="1" applyFont="1" applyAlignment="1">
      <alignment horizontal="right" vertical="top"/>
    </xf>
    <xf numFmtId="0" fontId="158" fillId="0" borderId="0" xfId="0" applyFont="1" applyAlignment="1">
      <alignment horizontal="right" vertical="top"/>
    </xf>
    <xf numFmtId="234" fontId="158" fillId="0" borderId="0" xfId="0" applyNumberFormat="1" applyFont="1" applyAlignment="1">
      <alignment horizontal="right" vertical="top"/>
    </xf>
    <xf numFmtId="165" fontId="158" fillId="0" borderId="0" xfId="0" applyNumberFormat="1" applyFont="1" applyAlignment="1">
      <alignment vertical="top" wrapText="1"/>
    </xf>
    <xf numFmtId="0" fontId="158" fillId="71" borderId="33" xfId="0" applyFont="1" applyFill="1" applyBorder="1"/>
    <xf numFmtId="0" fontId="158" fillId="71" borderId="45" xfId="0" applyFont="1" applyFill="1" applyBorder="1"/>
    <xf numFmtId="0" fontId="170" fillId="72" borderId="35" xfId="0" applyFont="1" applyFill="1" applyBorder="1"/>
    <xf numFmtId="169" fontId="162" fillId="0" borderId="0" xfId="0" applyNumberFormat="1" applyFont="1" applyAlignment="1">
      <alignment horizontal="right"/>
    </xf>
    <xf numFmtId="169" fontId="132" fillId="0" borderId="0" xfId="0" applyNumberFormat="1" applyFont="1" applyAlignment="1">
      <alignment horizontal="right"/>
    </xf>
    <xf numFmtId="10" fontId="162" fillId="0" borderId="0" xfId="0" applyNumberFormat="1" applyFont="1" applyAlignment="1">
      <alignment horizontal="right"/>
    </xf>
    <xf numFmtId="10" fontId="132" fillId="0" borderId="0" xfId="0" applyNumberFormat="1" applyFont="1" applyAlignment="1">
      <alignment horizontal="right"/>
    </xf>
    <xf numFmtId="0" fontId="170" fillId="72" borderId="29" xfId="0" applyFont="1" applyFill="1" applyBorder="1"/>
    <xf numFmtId="0" fontId="30" fillId="0" borderId="0" xfId="0" applyFont="1" applyFill="1" applyAlignment="1">
      <alignment horizontal="left" indent="1"/>
    </xf>
    <xf numFmtId="0" fontId="158" fillId="0" borderId="0" xfId="0" applyFont="1" applyFill="1" applyAlignment="1">
      <alignment horizontal="left" indent="1"/>
    </xf>
    <xf numFmtId="0" fontId="170" fillId="72" borderId="35" xfId="0" applyFont="1" applyFill="1" applyBorder="1" applyAlignment="1">
      <alignment horizontal="center"/>
    </xf>
    <xf numFmtId="8" fontId="158" fillId="0" borderId="0" xfId="0" applyNumberFormat="1" applyFont="1" applyAlignment="1">
      <alignment horizontal="right"/>
    </xf>
    <xf numFmtId="0" fontId="158" fillId="29" borderId="0" xfId="0" applyFont="1" applyFill="1" applyAlignment="1">
      <alignment horizontal="right"/>
    </xf>
    <xf numFmtId="0" fontId="30" fillId="0" borderId="0" xfId="0" applyFont="1" applyFill="1" applyAlignment="1">
      <alignment horizontal="right"/>
    </xf>
    <xf numFmtId="169" fontId="158" fillId="0" borderId="45" xfId="0" applyNumberFormat="1" applyFont="1" applyBorder="1" applyAlignment="1">
      <alignment horizontal="right"/>
    </xf>
    <xf numFmtId="0" fontId="158" fillId="0" borderId="45" xfId="0" applyFont="1" applyBorder="1" applyAlignment="1">
      <alignment horizontal="right"/>
    </xf>
    <xf numFmtId="169" fontId="160" fillId="0" borderId="0" xfId="0" applyNumberFormat="1" applyFont="1" applyAlignment="1">
      <alignment horizontal="right"/>
    </xf>
    <xf numFmtId="0" fontId="158" fillId="0" borderId="0" xfId="0" applyFont="1" applyAlignment="1">
      <alignment horizontal="right"/>
    </xf>
    <xf numFmtId="0" fontId="161" fillId="0" borderId="42" xfId="0" applyFont="1" applyFill="1" applyBorder="1"/>
    <xf numFmtId="0" fontId="158" fillId="0" borderId="48" xfId="0" applyFont="1" applyBorder="1"/>
    <xf numFmtId="169" fontId="160" fillId="0" borderId="48" xfId="0" applyNumberFormat="1" applyFont="1" applyBorder="1"/>
    <xf numFmtId="169" fontId="158" fillId="65" borderId="0" xfId="0" applyNumberFormat="1" applyFont="1" applyFill="1"/>
    <xf numFmtId="0" fontId="161" fillId="0" borderId="0" xfId="0" applyFont="1" applyFill="1" applyAlignment="1">
      <alignment horizontal="left"/>
    </xf>
    <xf numFmtId="8" fontId="160" fillId="0" borderId="0" xfId="0" applyNumberFormat="1" applyFont="1" applyAlignment="1">
      <alignment horizontal="right"/>
    </xf>
    <xf numFmtId="165" fontId="158" fillId="0" borderId="0" xfId="0" applyNumberFormat="1" applyFont="1"/>
    <xf numFmtId="0" fontId="160" fillId="0" borderId="31" xfId="0" applyFont="1" applyBorder="1"/>
    <xf numFmtId="8" fontId="160" fillId="0" borderId="32" xfId="0" applyNumberFormat="1" applyFont="1" applyBorder="1"/>
    <xf numFmtId="41" fontId="158" fillId="0" borderId="0" xfId="0" applyNumberFormat="1" applyFont="1"/>
    <xf numFmtId="0" fontId="161" fillId="0" borderId="53" xfId="0" applyFont="1" applyFill="1" applyBorder="1"/>
    <xf numFmtId="0" fontId="161" fillId="0" borderId="54" xfId="0" applyFont="1" applyFill="1" applyBorder="1"/>
    <xf numFmtId="0" fontId="161" fillId="0" borderId="54" xfId="0" applyFont="1" applyFill="1" applyBorder="1" applyAlignment="1">
      <alignment horizontal="center"/>
    </xf>
    <xf numFmtId="0" fontId="161" fillId="0" borderId="55" xfId="0" applyFont="1" applyFill="1" applyBorder="1" applyAlignment="1">
      <alignment horizontal="center"/>
    </xf>
    <xf numFmtId="0" fontId="161" fillId="0" borderId="10" xfId="0" applyFont="1" applyFill="1" applyBorder="1"/>
    <xf numFmtId="8" fontId="161" fillId="0" borderId="11" xfId="0" applyNumberFormat="1" applyFont="1" applyFill="1" applyBorder="1"/>
    <xf numFmtId="0" fontId="175" fillId="0" borderId="0" xfId="0" applyFont="1" applyFill="1"/>
    <xf numFmtId="0" fontId="161" fillId="0" borderId="0" xfId="0" applyFont="1" applyFill="1"/>
    <xf numFmtId="234" fontId="178" fillId="0" borderId="0" xfId="0" applyNumberFormat="1" applyFont="1" applyAlignment="1">
      <alignment horizontal="right" vertical="top"/>
    </xf>
    <xf numFmtId="0" fontId="179" fillId="0" borderId="0" xfId="0" applyFont="1" applyBorder="1" applyAlignment="1">
      <alignment horizontal="right"/>
    </xf>
    <xf numFmtId="0" fontId="158" fillId="0" borderId="42" xfId="0" applyFont="1" applyFill="1" applyBorder="1"/>
    <xf numFmtId="234" fontId="132" fillId="0" borderId="0" xfId="0" applyNumberFormat="1" applyFont="1" applyAlignment="1">
      <alignment horizontal="right" vertical="top"/>
    </xf>
    <xf numFmtId="0" fontId="132" fillId="0" borderId="0" xfId="0" applyNumberFormat="1" applyFont="1" applyAlignment="1">
      <alignment horizontal="right"/>
    </xf>
    <xf numFmtId="0" fontId="132" fillId="0" borderId="0" xfId="0" applyFont="1" applyAlignment="1">
      <alignment horizontal="right"/>
    </xf>
    <xf numFmtId="0" fontId="170" fillId="72" borderId="4" xfId="0" applyFont="1" applyFill="1" applyBorder="1" applyAlignment="1">
      <alignment horizontal="centerContinuous"/>
    </xf>
    <xf numFmtId="0" fontId="170" fillId="72" borderId="5" xfId="0" applyFont="1" applyFill="1" applyBorder="1" applyAlignment="1">
      <alignment horizontal="centerContinuous"/>
    </xf>
    <xf numFmtId="0" fontId="170" fillId="72" borderId="6" xfId="0" applyFont="1" applyFill="1" applyBorder="1" applyAlignment="1">
      <alignment horizontal="centerContinuous"/>
    </xf>
    <xf numFmtId="0" fontId="158" fillId="0" borderId="12" xfId="0" applyFont="1" applyBorder="1"/>
    <xf numFmtId="10" fontId="132" fillId="0" borderId="13" xfId="0" applyNumberFormat="1" applyFont="1" applyBorder="1"/>
    <xf numFmtId="0" fontId="158" fillId="0" borderId="0" xfId="0" applyFont="1" applyFill="1" applyBorder="1"/>
    <xf numFmtId="0" fontId="158" fillId="0" borderId="13" xfId="0" applyFont="1" applyBorder="1"/>
    <xf numFmtId="168" fontId="158" fillId="0" borderId="13" xfId="0" applyNumberFormat="1" applyFont="1" applyBorder="1"/>
    <xf numFmtId="170" fontId="158" fillId="0" borderId="13" xfId="0" applyNumberFormat="1" applyFont="1" applyBorder="1"/>
    <xf numFmtId="8" fontId="158" fillId="0" borderId="13" xfId="0" applyNumberFormat="1" applyFont="1" applyBorder="1"/>
    <xf numFmtId="10" fontId="158" fillId="0" borderId="13" xfId="0" applyNumberFormat="1" applyFont="1" applyBorder="1"/>
    <xf numFmtId="0" fontId="158" fillId="0" borderId="3" xfId="0" applyFont="1" applyBorder="1"/>
    <xf numFmtId="169" fontId="162" fillId="0" borderId="0" xfId="0" applyNumberFormat="1" applyFont="1" applyFill="1" applyAlignment="1">
      <alignment horizontal="right"/>
    </xf>
    <xf numFmtId="10" fontId="162" fillId="0" borderId="0" xfId="0" applyNumberFormat="1" applyFont="1" applyFill="1" applyAlignment="1">
      <alignment horizontal="right"/>
    </xf>
    <xf numFmtId="169" fontId="162" fillId="0" borderId="0" xfId="0" applyNumberFormat="1" applyFont="1" applyFill="1"/>
    <xf numFmtId="10" fontId="170" fillId="72" borderId="5" xfId="0" applyNumberFormat="1" applyFont="1" applyFill="1" applyBorder="1" applyAlignment="1">
      <alignment horizontal="centerContinuous"/>
    </xf>
    <xf numFmtId="10" fontId="158" fillId="0" borderId="0" xfId="0" applyNumberFormat="1" applyFont="1" applyAlignment="1">
      <alignment horizontal="right"/>
    </xf>
    <xf numFmtId="10" fontId="30" fillId="0" borderId="0" xfId="0" applyNumberFormat="1" applyFont="1" applyFill="1"/>
    <xf numFmtId="165" fontId="30" fillId="0" borderId="0" xfId="0" applyNumberFormat="1" applyFont="1" applyFill="1" applyAlignment="1">
      <alignment horizontal="right"/>
    </xf>
    <xf numFmtId="168" fontId="158" fillId="0" borderId="0" xfId="0" applyNumberFormat="1" applyFont="1" applyAlignment="1">
      <alignment horizontal="right"/>
    </xf>
    <xf numFmtId="168" fontId="30" fillId="0" borderId="0" xfId="0" applyNumberFormat="1" applyFont="1" applyFill="1" applyAlignment="1">
      <alignment horizontal="right"/>
    </xf>
    <xf numFmtId="10" fontId="160" fillId="71" borderId="0" xfId="0" applyNumberFormat="1" applyFont="1" applyFill="1" applyBorder="1"/>
    <xf numFmtId="10" fontId="161" fillId="71" borderId="0" xfId="0" applyNumberFormat="1" applyFont="1" applyFill="1" applyBorder="1"/>
    <xf numFmtId="165" fontId="161" fillId="71" borderId="0" xfId="0" applyNumberFormat="1" applyFont="1" applyFill="1" applyBorder="1"/>
    <xf numFmtId="0" fontId="161" fillId="71" borderId="0" xfId="0" applyFont="1" applyFill="1" applyBorder="1"/>
    <xf numFmtId="168" fontId="160" fillId="71" borderId="0" xfId="0" applyNumberFormat="1" applyFont="1" applyFill="1" applyBorder="1" applyAlignment="1">
      <alignment horizontal="right"/>
    </xf>
    <xf numFmtId="168" fontId="161" fillId="71" borderId="0" xfId="0" applyNumberFormat="1" applyFont="1" applyFill="1" applyBorder="1" applyAlignment="1">
      <alignment horizontal="right"/>
    </xf>
    <xf numFmtId="165" fontId="161" fillId="71" borderId="13" xfId="0" applyNumberFormat="1" applyFont="1" applyFill="1" applyBorder="1" applyAlignment="1">
      <alignment horizontal="right"/>
    </xf>
    <xf numFmtId="0" fontId="160" fillId="71" borderId="4" xfId="0" applyFont="1" applyFill="1" applyBorder="1" applyAlignment="1">
      <alignment horizontal="left"/>
    </xf>
    <xf numFmtId="0" fontId="160" fillId="71" borderId="5" xfId="0" applyFont="1" applyFill="1" applyBorder="1"/>
    <xf numFmtId="169" fontId="168" fillId="71" borderId="5" xfId="0" applyNumberFormat="1" applyFont="1" applyFill="1" applyBorder="1"/>
    <xf numFmtId="165" fontId="168" fillId="71" borderId="5" xfId="0" applyNumberFormat="1" applyFont="1" applyFill="1" applyBorder="1"/>
    <xf numFmtId="169" fontId="160" fillId="71" borderId="5" xfId="0" applyNumberFormat="1" applyFont="1" applyFill="1" applyBorder="1"/>
    <xf numFmtId="10" fontId="160" fillId="71" borderId="5" xfId="0" applyNumberFormat="1" applyFont="1" applyFill="1" applyBorder="1"/>
    <xf numFmtId="0" fontId="161" fillId="71" borderId="5" xfId="0" applyFont="1" applyFill="1" applyBorder="1"/>
    <xf numFmtId="165" fontId="174" fillId="71" borderId="35" xfId="0" applyNumberFormat="1" applyFont="1" applyFill="1" applyBorder="1"/>
    <xf numFmtId="168" fontId="160" fillId="71" borderId="5" xfId="0" applyNumberFormat="1" applyFont="1" applyFill="1" applyBorder="1" applyAlignment="1">
      <alignment horizontal="right"/>
    </xf>
    <xf numFmtId="168" fontId="161" fillId="71" borderId="5" xfId="0" applyNumberFormat="1" applyFont="1" applyFill="1" applyBorder="1" applyAlignment="1">
      <alignment horizontal="right"/>
    </xf>
    <xf numFmtId="165" fontId="161" fillId="71" borderId="6" xfId="0" applyNumberFormat="1" applyFont="1" applyFill="1" applyBorder="1" applyAlignment="1">
      <alignment horizontal="right"/>
    </xf>
    <xf numFmtId="169" fontId="161" fillId="71" borderId="5" xfId="0" applyNumberFormat="1" applyFont="1" applyFill="1" applyBorder="1"/>
    <xf numFmtId="165" fontId="161" fillId="71" borderId="5" xfId="0" applyNumberFormat="1" applyFont="1" applyFill="1" applyBorder="1"/>
    <xf numFmtId="0" fontId="160" fillId="0" borderId="0" xfId="0" applyFont="1" applyAlignment="1">
      <alignment horizontal="centerContinuous"/>
    </xf>
    <xf numFmtId="0" fontId="158" fillId="0" borderId="4" xfId="0" applyFont="1" applyBorder="1"/>
    <xf numFmtId="164" fontId="162" fillId="0" borderId="6" xfId="0" applyNumberFormat="1" applyFont="1" applyFill="1" applyBorder="1" applyAlignment="1">
      <alignment horizontal="center"/>
    </xf>
    <xf numFmtId="0" fontId="162" fillId="0" borderId="0" xfId="0" applyFont="1" applyFill="1"/>
    <xf numFmtId="0" fontId="158" fillId="71" borderId="8" xfId="0" applyFont="1" applyFill="1" applyBorder="1"/>
    <xf numFmtId="165" fontId="160" fillId="71" borderId="9" xfId="0" applyNumberFormat="1" applyFont="1" applyFill="1" applyBorder="1"/>
    <xf numFmtId="168" fontId="30" fillId="0" borderId="0" xfId="0" applyNumberFormat="1" applyFont="1" applyFill="1"/>
    <xf numFmtId="168" fontId="158" fillId="29" borderId="0" xfId="0" applyNumberFormat="1" applyFont="1" applyFill="1"/>
    <xf numFmtId="0" fontId="170" fillId="72" borderId="16" xfId="0" applyFont="1" applyFill="1" applyBorder="1" applyAlignment="1">
      <alignment wrapText="1"/>
    </xf>
    <xf numFmtId="0" fontId="158" fillId="71" borderId="9" xfId="0" applyFont="1" applyFill="1" applyBorder="1"/>
    <xf numFmtId="10" fontId="158" fillId="71" borderId="13" xfId="0" applyNumberFormat="1" applyFont="1" applyFill="1" applyBorder="1" applyAlignment="1">
      <alignment horizontal="right"/>
    </xf>
    <xf numFmtId="10" fontId="158" fillId="71" borderId="13" xfId="0" applyNumberFormat="1" applyFont="1" applyFill="1" applyBorder="1"/>
    <xf numFmtId="10" fontId="160" fillId="71" borderId="11" xfId="0" applyNumberFormat="1" applyFont="1" applyFill="1" applyBorder="1" applyAlignment="1">
      <alignment horizontal="right"/>
    </xf>
    <xf numFmtId="43" fontId="164" fillId="0" borderId="0" xfId="11155" applyFont="1" applyFill="1" applyBorder="1" applyAlignment="1"/>
    <xf numFmtId="0" fontId="161" fillId="0" borderId="4" xfId="0" applyFont="1" applyFill="1" applyBorder="1" applyAlignment="1">
      <alignment wrapText="1"/>
    </xf>
    <xf numFmtId="0" fontId="161" fillId="0" borderId="4" xfId="0" applyFont="1" applyFill="1" applyBorder="1" applyAlignment="1">
      <alignment horizontal="left" wrapText="1"/>
    </xf>
    <xf numFmtId="0" fontId="161" fillId="0" borderId="5" xfId="0" applyFont="1" applyFill="1" applyBorder="1" applyAlignment="1">
      <alignment horizontal="centerContinuous" wrapText="1"/>
    </xf>
    <xf numFmtId="0" fontId="161" fillId="0" borderId="6" xfId="0" applyFont="1" applyFill="1" applyBorder="1" applyAlignment="1">
      <alignment horizontal="centerContinuous" wrapText="1"/>
    </xf>
    <xf numFmtId="0" fontId="170" fillId="72" borderId="7" xfId="0" applyFont="1" applyFill="1" applyBorder="1" applyAlignment="1">
      <alignment horizontal="left"/>
    </xf>
    <xf numFmtId="0" fontId="170" fillId="72" borderId="8" xfId="0" applyFont="1" applyFill="1" applyBorder="1" applyAlignment="1">
      <alignment horizontal="centerContinuous"/>
    </xf>
    <xf numFmtId="0" fontId="170" fillId="72" borderId="9" xfId="0" applyFont="1" applyFill="1" applyBorder="1" applyAlignment="1">
      <alignment horizontal="right"/>
    </xf>
    <xf numFmtId="0" fontId="160" fillId="0" borderId="12" xfId="0" applyFont="1" applyBorder="1"/>
    <xf numFmtId="43" fontId="158" fillId="0" borderId="0" xfId="1" applyFont="1" applyBorder="1"/>
    <xf numFmtId="165" fontId="158" fillId="0" borderId="0" xfId="2" applyNumberFormat="1" applyFont="1" applyBorder="1"/>
    <xf numFmtId="165" fontId="158" fillId="0" borderId="13" xfId="2" applyNumberFormat="1" applyFont="1" applyBorder="1"/>
    <xf numFmtId="166" fontId="158" fillId="0" borderId="0" xfId="3" applyNumberFormat="1" applyFont="1" applyBorder="1"/>
    <xf numFmtId="167" fontId="158" fillId="0" borderId="0" xfId="1" applyNumberFormat="1" applyFont="1" applyBorder="1"/>
    <xf numFmtId="165" fontId="158" fillId="0" borderId="13" xfId="2" applyNumberFormat="1" applyFont="1" applyBorder="1" applyAlignment="1">
      <alignment horizontal="right"/>
    </xf>
    <xf numFmtId="165" fontId="158" fillId="0" borderId="3" xfId="2" applyNumberFormat="1" applyFont="1" applyBorder="1"/>
    <xf numFmtId="165" fontId="158" fillId="0" borderId="11" xfId="2" applyNumberFormat="1" applyFont="1" applyBorder="1"/>
    <xf numFmtId="0" fontId="160" fillId="0" borderId="12" xfId="0" applyFont="1" applyBorder="1" applyAlignment="1">
      <alignment horizontal="left" indent="7"/>
    </xf>
    <xf numFmtId="165" fontId="160" fillId="0" borderId="14" xfId="2" applyNumberFormat="1" applyFont="1" applyBorder="1"/>
    <xf numFmtId="0" fontId="160" fillId="0" borderId="0" xfId="0" applyFont="1" applyBorder="1" applyAlignment="1">
      <alignment horizontal="left" indent="7"/>
    </xf>
    <xf numFmtId="165" fontId="160" fillId="0" borderId="15" xfId="2" applyNumberFormat="1" applyFont="1" applyBorder="1"/>
    <xf numFmtId="0" fontId="158" fillId="0" borderId="11" xfId="0" applyFont="1" applyBorder="1"/>
    <xf numFmtId="169" fontId="158" fillId="0" borderId="0" xfId="0" applyNumberFormat="1" applyFont="1" applyFill="1"/>
    <xf numFmtId="10" fontId="160" fillId="0" borderId="35" xfId="0" applyNumberFormat="1" applyFont="1" applyFill="1" applyBorder="1"/>
    <xf numFmtId="0" fontId="176" fillId="72" borderId="34" xfId="0" applyFont="1" applyFill="1" applyBorder="1"/>
    <xf numFmtId="0" fontId="173" fillId="72" borderId="35" xfId="0" applyFont="1" applyFill="1" applyBorder="1"/>
    <xf numFmtId="0" fontId="176" fillId="72" borderId="42" xfId="0" applyFont="1" applyFill="1" applyBorder="1" applyAlignment="1">
      <alignment horizontal="centerContinuous" wrapText="1"/>
    </xf>
    <xf numFmtId="0" fontId="176" fillId="72" borderId="29" xfId="0" applyFont="1" applyFill="1" applyBorder="1"/>
    <xf numFmtId="0" fontId="176" fillId="72" borderId="34" xfId="0" applyFont="1" applyFill="1" applyBorder="1" applyAlignment="1">
      <alignment horizontal="center" wrapText="1"/>
    </xf>
    <xf numFmtId="0" fontId="176" fillId="72" borderId="35" xfId="0" applyFont="1" applyFill="1" applyBorder="1" applyAlignment="1">
      <alignment horizontal="center" wrapText="1"/>
    </xf>
    <xf numFmtId="0" fontId="166" fillId="0" borderId="0" xfId="12421" applyFont="1" applyBorder="1"/>
    <xf numFmtId="0" fontId="166" fillId="0" borderId="0" xfId="12421" applyFont="1" applyBorder="1" applyAlignment="1">
      <alignment horizontal="center"/>
    </xf>
    <xf numFmtId="0" fontId="166" fillId="69" borderId="0" xfId="12421" applyFont="1" applyFill="1" applyBorder="1"/>
    <xf numFmtId="0" fontId="181" fillId="69" borderId="0" xfId="12421" applyFont="1" applyFill="1" applyBorder="1" applyAlignment="1">
      <alignment horizontal="center"/>
    </xf>
    <xf numFmtId="0" fontId="166" fillId="69" borderId="57" xfId="12421" applyFont="1" applyFill="1" applyBorder="1"/>
    <xf numFmtId="0" fontId="182" fillId="0" borderId="0" xfId="12421" applyFont="1" applyBorder="1" applyAlignment="1">
      <alignment horizontal="center"/>
    </xf>
    <xf numFmtId="341" fontId="183" fillId="0" borderId="0" xfId="12421" applyNumberFormat="1" applyFont="1" applyAlignment="1">
      <alignment horizontal="center"/>
    </xf>
    <xf numFmtId="0" fontId="184" fillId="0" borderId="0" xfId="12421" applyFont="1" applyAlignment="1">
      <alignment horizontal="center"/>
    </xf>
    <xf numFmtId="0" fontId="185" fillId="0" borderId="0" xfId="12421" applyFont="1" applyAlignment="1">
      <alignment horizontal="center" wrapText="1"/>
    </xf>
    <xf numFmtId="0" fontId="186" fillId="0" borderId="0" xfId="12421" applyFont="1"/>
    <xf numFmtId="0" fontId="186" fillId="0" borderId="0" xfId="12421" applyFont="1" applyAlignment="1">
      <alignment horizontal="center"/>
    </xf>
    <xf numFmtId="0" fontId="186" fillId="0" borderId="0" xfId="12421" applyFont="1" applyBorder="1"/>
    <xf numFmtId="0" fontId="186" fillId="69" borderId="56" xfId="12421" applyFont="1" applyFill="1" applyBorder="1"/>
    <xf numFmtId="0" fontId="187" fillId="69" borderId="56" xfId="12421" applyFont="1" applyFill="1" applyBorder="1" applyAlignment="1">
      <alignment horizontal="center"/>
    </xf>
    <xf numFmtId="0" fontId="188" fillId="0" borderId="0" xfId="12421" applyFont="1"/>
    <xf numFmtId="0" fontId="189" fillId="69" borderId="0" xfId="12421" applyFont="1" applyFill="1" applyBorder="1"/>
    <xf numFmtId="0" fontId="188" fillId="69" borderId="0" xfId="12421" applyFont="1" applyFill="1" applyBorder="1"/>
    <xf numFmtId="0" fontId="190" fillId="69" borderId="0" xfId="12421" applyFont="1" applyFill="1" applyBorder="1" applyAlignment="1">
      <alignment horizontal="center"/>
    </xf>
    <xf numFmtId="0" fontId="186" fillId="69" borderId="0" xfId="12421" applyFont="1" applyFill="1" applyBorder="1"/>
    <xf numFmtId="0" fontId="186" fillId="69" borderId="57" xfId="12421" applyFont="1" applyFill="1" applyBorder="1"/>
    <xf numFmtId="0" fontId="187" fillId="69" borderId="57" xfId="12421" applyFont="1" applyFill="1" applyBorder="1" applyAlignment="1">
      <alignment horizontal="center"/>
    </xf>
    <xf numFmtId="0" fontId="158" fillId="0" borderId="53" xfId="0" applyFont="1" applyBorder="1"/>
    <xf numFmtId="14" fontId="158" fillId="0" borderId="55" xfId="0" applyNumberFormat="1" applyFont="1" applyBorder="1" applyAlignment="1">
      <alignment horizontal="right"/>
    </xf>
    <xf numFmtId="0" fontId="191" fillId="0" borderId="13" xfId="0" applyFont="1" applyBorder="1" applyAlignment="1">
      <alignment horizontal="right"/>
    </xf>
    <xf numFmtId="0" fontId="191" fillId="0" borderId="11" xfId="0" applyFont="1" applyBorder="1" applyAlignment="1">
      <alignment horizontal="right"/>
    </xf>
    <xf numFmtId="0" fontId="158" fillId="0" borderId="11" xfId="0" applyFont="1" applyBorder="1" applyAlignment="1">
      <alignment horizontal="right"/>
    </xf>
    <xf numFmtId="0" fontId="158" fillId="0" borderId="13" xfId="0" applyFont="1" applyBorder="1" applyAlignment="1">
      <alignment horizontal="right"/>
    </xf>
    <xf numFmtId="0" fontId="170" fillId="72" borderId="52" xfId="0" applyFont="1" applyFill="1" applyBorder="1" applyAlignment="1">
      <alignment horizontal="centerContinuous"/>
    </xf>
    <xf numFmtId="0" fontId="192" fillId="0" borderId="0" xfId="0" applyFont="1" applyFill="1" applyBorder="1"/>
    <xf numFmtId="169" fontId="160" fillId="0" borderId="0" xfId="0" applyNumberFormat="1" applyFont="1" applyFill="1" applyBorder="1"/>
    <xf numFmtId="0" fontId="160" fillId="0" borderId="0" xfId="0" applyFont="1" applyFill="1" applyBorder="1"/>
    <xf numFmtId="169" fontId="160" fillId="71" borderId="54" xfId="0" applyNumberFormat="1" applyFont="1" applyFill="1" applyBorder="1"/>
    <xf numFmtId="43" fontId="158" fillId="0" borderId="0" xfId="0" applyNumberFormat="1" applyFont="1" applyAlignment="1">
      <alignment horizontal="center"/>
    </xf>
    <xf numFmtId="14" fontId="186" fillId="0" borderId="0" xfId="12421" applyNumberFormat="1" applyFont="1"/>
    <xf numFmtId="0" fontId="193" fillId="69" borderId="0" xfId="12421" applyFont="1" applyFill="1" applyBorder="1" applyAlignment="1">
      <alignment horizontal="center"/>
    </xf>
    <xf numFmtId="0" fontId="194" fillId="69" borderId="0" xfId="12421" applyFont="1" applyFill="1" applyBorder="1" applyAlignment="1">
      <alignment horizontal="center"/>
    </xf>
    <xf numFmtId="0" fontId="195" fillId="69" borderId="0" xfId="12421" applyFont="1" applyFill="1" applyBorder="1" applyAlignment="1">
      <alignment horizontal="center"/>
    </xf>
    <xf numFmtId="0" fontId="179" fillId="0" borderId="0" xfId="0" applyFont="1" applyBorder="1" applyAlignment="1">
      <alignment horizontal="left"/>
    </xf>
    <xf numFmtId="8" fontId="132" fillId="0" borderId="45" xfId="0" applyNumberFormat="1" applyFont="1" applyFill="1" applyBorder="1"/>
    <xf numFmtId="169" fontId="132" fillId="0" borderId="45" xfId="0" applyNumberFormat="1" applyFont="1" applyBorder="1" applyAlignment="1">
      <alignment horizontal="right"/>
    </xf>
    <xf numFmtId="0" fontId="179" fillId="0" borderId="0" xfId="0" applyFont="1" applyAlignment="1">
      <alignment horizontal="right"/>
    </xf>
    <xf numFmtId="0" fontId="158" fillId="0" borderId="0" xfId="0" quotePrefix="1" applyFont="1" applyBorder="1"/>
    <xf numFmtId="0" fontId="158" fillId="0" borderId="0" xfId="0" applyFont="1" applyBorder="1" applyAlignment="1">
      <alignment horizontal="right"/>
    </xf>
    <xf numFmtId="0" fontId="191" fillId="0" borderId="0" xfId="0" applyFont="1"/>
    <xf numFmtId="0" fontId="132" fillId="0" borderId="0" xfId="0" applyFont="1" applyAlignment="1">
      <alignment horizontal="right" wrapText="1"/>
    </xf>
    <xf numFmtId="340" fontId="158" fillId="0" borderId="0" xfId="0" applyNumberFormat="1" applyFont="1" applyAlignment="1">
      <alignment horizontal="right"/>
    </xf>
    <xf numFmtId="287" fontId="158" fillId="0" borderId="0" xfId="0" applyNumberFormat="1" applyFont="1" applyAlignment="1">
      <alignment horizontal="right"/>
    </xf>
    <xf numFmtId="8" fontId="158" fillId="0" borderId="0" xfId="0" applyNumberFormat="1" applyFont="1" applyFill="1" applyAlignment="1">
      <alignment horizontal="left" indent="1"/>
    </xf>
    <xf numFmtId="0" fontId="158" fillId="0" borderId="0" xfId="0" applyFont="1" applyAlignment="1">
      <alignment horizontal="right" wrapText="1"/>
    </xf>
    <xf numFmtId="168" fontId="172" fillId="0" borderId="0" xfId="0" applyNumberFormat="1" applyFont="1" applyAlignment="1">
      <alignment horizontal="right"/>
    </xf>
    <xf numFmtId="0" fontId="169" fillId="0" borderId="0" xfId="0" applyFont="1"/>
    <xf numFmtId="0" fontId="169" fillId="0" borderId="0" xfId="0" applyFont="1" applyAlignment="1">
      <alignment horizontal="right"/>
    </xf>
    <xf numFmtId="0" fontId="158" fillId="0" borderId="51" xfId="0" applyFont="1" applyBorder="1"/>
    <xf numFmtId="0" fontId="191" fillId="70" borderId="0" xfId="0" applyFont="1" applyFill="1" applyAlignment="1">
      <alignment horizontal="right"/>
    </xf>
    <xf numFmtId="165" fontId="191" fillId="70" borderId="0" xfId="12422" applyNumberFormat="1" applyFont="1" applyFill="1" applyAlignment="1">
      <alignment horizontal="right"/>
    </xf>
    <xf numFmtId="0" fontId="160" fillId="0" borderId="34" xfId="0" applyFont="1" applyBorder="1" applyAlignment="1">
      <alignment horizontal="center"/>
    </xf>
    <xf numFmtId="0" fontId="160" fillId="0" borderId="35" xfId="0" applyFont="1" applyBorder="1" applyAlignment="1">
      <alignment horizontal="left"/>
    </xf>
    <xf numFmtId="0" fontId="158" fillId="0" borderId="42" xfId="0" applyFont="1" applyBorder="1" applyAlignment="1">
      <alignment horizontal="right"/>
    </xf>
    <xf numFmtId="0" fontId="132" fillId="70" borderId="0" xfId="0" applyFont="1" applyFill="1" applyBorder="1"/>
    <xf numFmtId="0" fontId="158" fillId="73" borderId="0" xfId="0" applyFont="1" applyFill="1" applyBorder="1" applyAlignment="1">
      <alignment horizontal="center"/>
    </xf>
    <xf numFmtId="340" fontId="158" fillId="73" borderId="13" xfId="0" applyNumberFormat="1" applyFont="1" applyFill="1" applyBorder="1" applyAlignment="1">
      <alignment horizontal="right"/>
    </xf>
    <xf numFmtId="0" fontId="158" fillId="0" borderId="10" xfId="0" applyFont="1" applyBorder="1" applyAlignment="1">
      <alignment horizontal="center"/>
    </xf>
    <xf numFmtId="0" fontId="161" fillId="0" borderId="0" xfId="0" applyFont="1" applyFill="1" applyBorder="1" applyAlignment="1">
      <alignment horizontal="center"/>
    </xf>
    <xf numFmtId="0" fontId="158" fillId="0" borderId="0" xfId="0" applyFont="1" applyFill="1" applyBorder="1" applyAlignment="1">
      <alignment horizontal="center"/>
    </xf>
    <xf numFmtId="165" fontId="158" fillId="0" borderId="0" xfId="0" applyNumberFormat="1" applyFont="1" applyFill="1" applyBorder="1" applyAlignment="1">
      <alignment horizontal="center"/>
    </xf>
    <xf numFmtId="0" fontId="160" fillId="0" borderId="0" xfId="0" applyFont="1" applyFill="1" applyBorder="1" applyAlignment="1">
      <alignment horizontal="center"/>
    </xf>
    <xf numFmtId="165" fontId="158" fillId="0" borderId="0" xfId="0" applyNumberFormat="1" applyFont="1" applyFill="1" applyBorder="1" applyAlignment="1"/>
    <xf numFmtId="165" fontId="158" fillId="0" borderId="0" xfId="0" applyNumberFormat="1" applyFont="1" applyFill="1" applyBorder="1" applyAlignment="1">
      <alignment horizontal="right"/>
    </xf>
    <xf numFmtId="165" fontId="160" fillId="0" borderId="0" xfId="0" applyNumberFormat="1" applyFont="1" applyFill="1" applyBorder="1" applyAlignment="1"/>
    <xf numFmtId="0" fontId="160" fillId="0" borderId="0" xfId="0" applyFont="1" applyFill="1" applyBorder="1" applyAlignment="1"/>
    <xf numFmtId="0" fontId="158" fillId="0" borderId="0" xfId="0" quotePrefix="1" applyFont="1" applyFill="1" applyBorder="1" applyAlignment="1">
      <alignment horizontal="left" indent="1"/>
    </xf>
    <xf numFmtId="0" fontId="158" fillId="0" borderId="0" xfId="0" applyFont="1" applyFill="1" applyBorder="1" applyAlignment="1">
      <alignment horizontal="right"/>
    </xf>
    <xf numFmtId="165" fontId="158" fillId="0" borderId="0" xfId="0" applyNumberFormat="1" applyFont="1" applyFill="1" applyAlignment="1">
      <alignment horizontal="center"/>
    </xf>
    <xf numFmtId="165" fontId="191" fillId="0" borderId="0" xfId="0" applyNumberFormat="1" applyFont="1" applyFill="1" applyBorder="1" applyAlignment="1">
      <alignment horizontal="center"/>
    </xf>
    <xf numFmtId="0" fontId="177" fillId="0" borderId="0" xfId="0" applyFont="1"/>
    <xf numFmtId="0" fontId="170" fillId="72" borderId="58" xfId="0" applyFont="1" applyFill="1" applyBorder="1" applyAlignment="1">
      <alignment horizontal="centerContinuous"/>
    </xf>
    <xf numFmtId="0" fontId="170" fillId="72" borderId="58" xfId="0" applyFont="1" applyFill="1" applyBorder="1" applyAlignment="1">
      <alignment horizontal="center"/>
    </xf>
    <xf numFmtId="165" fontId="158" fillId="0" borderId="0" xfId="0" applyNumberFormat="1" applyFont="1" applyBorder="1" applyAlignment="1">
      <alignment horizontal="center"/>
    </xf>
    <xf numFmtId="165" fontId="191" fillId="0" borderId="0" xfId="0" applyNumberFormat="1" applyFont="1" applyFill="1" applyAlignment="1">
      <alignment horizontal="center"/>
    </xf>
    <xf numFmtId="165" fontId="191" fillId="0" borderId="0" xfId="0" applyNumberFormat="1" applyFont="1" applyBorder="1" applyAlignment="1">
      <alignment horizontal="center"/>
    </xf>
    <xf numFmtId="0" fontId="158" fillId="0" borderId="61" xfId="0" applyFont="1" applyBorder="1"/>
    <xf numFmtId="169" fontId="191" fillId="0" borderId="0" xfId="0" applyNumberFormat="1" applyFont="1"/>
    <xf numFmtId="0" fontId="170" fillId="72" borderId="59" xfId="0" applyFont="1" applyFill="1" applyBorder="1" applyAlignment="1">
      <alignment horizontal="centerContinuous"/>
    </xf>
    <xf numFmtId="0" fontId="170" fillId="72" borderId="60" xfId="0" applyFont="1" applyFill="1" applyBorder="1" applyAlignment="1">
      <alignment horizontal="centerContinuous"/>
    </xf>
    <xf numFmtId="0" fontId="160" fillId="71" borderId="61" xfId="0" applyFont="1" applyFill="1" applyBorder="1"/>
    <xf numFmtId="0" fontId="30" fillId="0" borderId="0" xfId="0" applyFont="1" applyFill="1" applyBorder="1" applyAlignment="1">
      <alignment horizontal="right"/>
    </xf>
    <xf numFmtId="0" fontId="158" fillId="0" borderId="0" xfId="0" applyFont="1" applyAlignment="1">
      <alignment horizontal="centerContinuous"/>
    </xf>
    <xf numFmtId="0" fontId="160" fillId="0" borderId="0" xfId="0" applyFont="1" applyAlignment="1">
      <alignment horizontal="center"/>
    </xf>
    <xf numFmtId="165" fontId="191" fillId="0" borderId="0" xfId="12422" applyNumberFormat="1" applyFont="1" applyAlignment="1">
      <alignment horizontal="right"/>
    </xf>
    <xf numFmtId="0" fontId="158" fillId="0" borderId="0" xfId="0" applyFont="1" applyBorder="1" applyAlignment="1">
      <alignment horizontal="center"/>
    </xf>
    <xf numFmtId="43" fontId="164" fillId="68" borderId="56" xfId="11155" applyFont="1" applyFill="1" applyBorder="1" applyAlignment="1">
      <alignment horizontal="center"/>
    </xf>
    <xf numFmtId="43" fontId="164" fillId="68" borderId="57" xfId="11155" applyFont="1" applyFill="1" applyBorder="1" applyAlignment="1">
      <alignment horizontal="center"/>
    </xf>
    <xf numFmtId="0" fontId="170" fillId="72" borderId="59" xfId="0" applyFont="1" applyFill="1" applyBorder="1" applyAlignment="1">
      <alignment horizontal="center"/>
    </xf>
    <xf numFmtId="0" fontId="170" fillId="72" borderId="60" xfId="0" applyFont="1" applyFill="1" applyBorder="1" applyAlignment="1">
      <alignment horizontal="center"/>
    </xf>
    <xf numFmtId="0" fontId="160" fillId="0" borderId="4" xfId="0" applyFont="1" applyFill="1" applyBorder="1" applyAlignment="1">
      <alignment horizontal="center" wrapText="1"/>
    </xf>
    <xf numFmtId="0" fontId="160" fillId="0" borderId="5" xfId="0" applyFont="1" applyFill="1" applyBorder="1" applyAlignment="1">
      <alignment horizontal="center" wrapText="1"/>
    </xf>
    <xf numFmtId="0" fontId="160" fillId="0" borderId="6" xfId="0" applyFont="1" applyFill="1" applyBorder="1" applyAlignment="1">
      <alignment horizontal="center" wrapText="1"/>
    </xf>
    <xf numFmtId="0" fontId="191" fillId="0" borderId="0" xfId="0" applyFont="1" applyAlignment="1">
      <alignment horizontal="right" wrapText="1"/>
    </xf>
    <xf numFmtId="0" fontId="201" fillId="0" borderId="0" xfId="0" applyFont="1"/>
    <xf numFmtId="165" fontId="158" fillId="0" borderId="0" xfId="12422" applyNumberFormat="1" applyFont="1" applyAlignment="1">
      <alignment horizontal="right"/>
    </xf>
    <xf numFmtId="165" fontId="196" fillId="0" borderId="52" xfId="12422" applyNumberFormat="1" applyFont="1" applyBorder="1"/>
    <xf numFmtId="0" fontId="160" fillId="0" borderId="0" xfId="0" applyFont="1" applyAlignment="1">
      <alignment horizontal="center" vertical="center"/>
    </xf>
    <xf numFmtId="43" fontId="158" fillId="0" borderId="0" xfId="0" applyNumberFormat="1" applyFont="1" applyAlignment="1">
      <alignment horizontal="center" vertical="center"/>
    </xf>
    <xf numFmtId="191" fontId="158" fillId="0" borderId="0" xfId="0" applyNumberFormat="1" applyFont="1" applyAlignment="1">
      <alignment horizontal="right"/>
    </xf>
    <xf numFmtId="0" fontId="158" fillId="0" borderId="66" xfId="0" applyFont="1" applyBorder="1"/>
    <xf numFmtId="169" fontId="30" fillId="0" borderId="0" xfId="0" applyNumberFormat="1" applyFont="1"/>
    <xf numFmtId="165" fontId="30" fillId="0" borderId="0" xfId="0" applyNumberFormat="1" applyFont="1"/>
    <xf numFmtId="0" fontId="30" fillId="65" borderId="0" xfId="0" quotePrefix="1" applyFont="1" applyFill="1" applyAlignment="1"/>
    <xf numFmtId="0" fontId="30" fillId="0" borderId="0" xfId="0" quotePrefix="1" applyFont="1" applyFill="1" applyAlignment="1">
      <alignment vertical="top"/>
    </xf>
    <xf numFmtId="0" fontId="158" fillId="0" borderId="0" xfId="0" applyFont="1" applyFill="1" applyAlignment="1">
      <alignment vertical="top"/>
    </xf>
    <xf numFmtId="0" fontId="158" fillId="0" borderId="0" xfId="0" applyFont="1" applyFill="1" applyAlignment="1">
      <alignment horizontal="center" vertical="top"/>
    </xf>
    <xf numFmtId="8" fontId="160" fillId="71" borderId="42" xfId="0" applyNumberFormat="1" applyFont="1" applyFill="1" applyBorder="1"/>
    <xf numFmtId="43" fontId="158" fillId="0" borderId="0" xfId="0" applyNumberFormat="1" applyFont="1" applyFill="1" applyAlignment="1">
      <alignment horizontal="center"/>
    </xf>
    <xf numFmtId="0" fontId="199" fillId="0" borderId="64" xfId="0" applyFont="1" applyBorder="1"/>
    <xf numFmtId="0" fontId="186" fillId="0" borderId="65" xfId="0" applyFont="1" applyBorder="1"/>
    <xf numFmtId="0" fontId="186" fillId="0" borderId="66" xfId="0" applyFont="1" applyBorder="1"/>
    <xf numFmtId="167" fontId="198" fillId="0" borderId="66" xfId="12426" applyNumberFormat="1" applyFont="1" applyBorder="1"/>
    <xf numFmtId="43" fontId="164" fillId="68" borderId="57" xfId="11155" quotePrefix="1" applyFont="1" applyFill="1" applyBorder="1" applyAlignment="1">
      <alignment horizontal="center"/>
    </xf>
    <xf numFmtId="167" fontId="177" fillId="0" borderId="52" xfId="12427" applyNumberFormat="1" applyFont="1" applyBorder="1"/>
    <xf numFmtId="167" fontId="177" fillId="0" borderId="52" xfId="0" applyNumberFormat="1" applyFont="1" applyBorder="1"/>
    <xf numFmtId="167" fontId="161" fillId="0" borderId="45" xfId="12427" applyNumberFormat="1" applyFont="1" applyFill="1" applyBorder="1"/>
    <xf numFmtId="167" fontId="158" fillId="0" borderId="0" xfId="12427" applyNumberFormat="1" applyFont="1" applyAlignment="1">
      <alignment horizontal="right"/>
    </xf>
    <xf numFmtId="0" fontId="197" fillId="0" borderId="17" xfId="0" applyFont="1" applyBorder="1"/>
    <xf numFmtId="0" fontId="158" fillId="0" borderId="0" xfId="0" applyFont="1"/>
    <xf numFmtId="169" fontId="158" fillId="0" borderId="0" xfId="0" applyNumberFormat="1" applyFont="1"/>
    <xf numFmtId="167" fontId="158" fillId="0" borderId="0" xfId="12427" applyNumberFormat="1" applyFont="1"/>
    <xf numFmtId="0" fontId="170" fillId="72" borderId="75" xfId="0" applyFont="1" applyFill="1" applyBorder="1" applyAlignment="1">
      <alignment horizontal="centerContinuous"/>
    </xf>
    <xf numFmtId="0" fontId="170" fillId="72" borderId="77" xfId="0" applyFont="1" applyFill="1" applyBorder="1" applyAlignment="1">
      <alignment horizontal="centerContinuous"/>
    </xf>
    <xf numFmtId="0" fontId="160" fillId="0" borderId="0" xfId="0" applyFont="1" applyAlignment="1">
      <alignment horizontal="right"/>
    </xf>
    <xf numFmtId="0" fontId="158" fillId="0" borderId="0" xfId="0" applyFont="1" applyAlignment="1">
      <alignment horizontal="center"/>
    </xf>
    <xf numFmtId="165" fontId="158" fillId="0" borderId="0" xfId="12422" applyNumberFormat="1" applyFont="1"/>
    <xf numFmtId="165" fontId="160" fillId="0" borderId="35" xfId="0" applyNumberFormat="1" applyFont="1" applyFill="1" applyBorder="1"/>
    <xf numFmtId="0" fontId="170" fillId="72" borderId="76" xfId="0" applyFont="1" applyFill="1" applyBorder="1" applyAlignment="1">
      <alignment horizontal="centerContinuous"/>
    </xf>
    <xf numFmtId="0" fontId="170" fillId="72" borderId="63" xfId="0" applyFont="1" applyFill="1" applyBorder="1" applyAlignment="1">
      <alignment horizontal="centerContinuous"/>
    </xf>
    <xf numFmtId="0" fontId="161" fillId="0" borderId="63" xfId="0" applyFont="1" applyFill="1" applyBorder="1" applyAlignment="1">
      <alignment horizontal="center" wrapText="1"/>
    </xf>
    <xf numFmtId="169" fontId="160" fillId="71" borderId="93" xfId="0" applyNumberFormat="1" applyFont="1" applyFill="1" applyBorder="1"/>
    <xf numFmtId="165" fontId="160" fillId="71" borderId="93" xfId="0" applyNumberFormat="1" applyFont="1" applyFill="1" applyBorder="1"/>
    <xf numFmtId="0" fontId="158" fillId="71" borderId="92" xfId="0" applyFont="1" applyFill="1" applyBorder="1"/>
    <xf numFmtId="0" fontId="158" fillId="71" borderId="93" xfId="0" applyFont="1" applyFill="1" applyBorder="1"/>
    <xf numFmtId="165" fontId="158" fillId="0" borderId="13" xfId="0" applyNumberFormat="1" applyFont="1" applyBorder="1"/>
    <xf numFmtId="0" fontId="158" fillId="0" borderId="91" xfId="0" applyFont="1" applyBorder="1"/>
    <xf numFmtId="14" fontId="158" fillId="0" borderId="92" xfId="0" applyNumberFormat="1" applyFont="1" applyBorder="1" applyAlignment="1">
      <alignment horizontal="right"/>
    </xf>
    <xf numFmtId="0" fontId="191" fillId="0" borderId="93" xfId="0" applyFont="1" applyBorder="1" applyAlignment="1">
      <alignment horizontal="right"/>
    </xf>
    <xf numFmtId="0" fontId="170" fillId="72" borderId="94" xfId="0" applyFont="1" applyFill="1" applyBorder="1" applyAlignment="1">
      <alignment horizontal="centerContinuous"/>
    </xf>
    <xf numFmtId="0" fontId="170" fillId="72" borderId="95" xfId="0" applyFont="1" applyFill="1" applyBorder="1" applyAlignment="1">
      <alignment horizontal="centerContinuous"/>
    </xf>
    <xf numFmtId="0" fontId="170" fillId="72" borderId="96" xfId="0" applyFont="1" applyFill="1" applyBorder="1" applyAlignment="1">
      <alignment horizontal="centerContinuous"/>
    </xf>
    <xf numFmtId="0" fontId="160" fillId="71" borderId="94" xfId="0" applyFont="1" applyFill="1" applyBorder="1"/>
    <xf numFmtId="169" fontId="160" fillId="71" borderId="95" xfId="0" applyNumberFormat="1" applyFont="1" applyFill="1" applyBorder="1"/>
    <xf numFmtId="0" fontId="160" fillId="71" borderId="95" xfId="0" applyFont="1" applyFill="1" applyBorder="1"/>
    <xf numFmtId="165" fontId="160" fillId="71" borderId="95" xfId="12422" applyNumberFormat="1" applyFont="1" applyFill="1" applyBorder="1"/>
    <xf numFmtId="165" fontId="160" fillId="71" borderId="0" xfId="12422" applyNumberFormat="1" applyFont="1" applyFill="1" applyBorder="1"/>
    <xf numFmtId="43" fontId="158" fillId="0" borderId="0" xfId="0" applyNumberFormat="1" applyFont="1" applyFill="1" applyAlignment="1">
      <alignment horizontal="centerContinuous"/>
    </xf>
    <xf numFmtId="43" fontId="158" fillId="0" borderId="0" xfId="0" applyNumberFormat="1" applyFont="1" applyFill="1"/>
    <xf numFmtId="0" fontId="158" fillId="74" borderId="0" xfId="0" applyFont="1" applyFill="1"/>
    <xf numFmtId="0" fontId="132" fillId="0" borderId="0" xfId="0" applyNumberFormat="1" applyFont="1" applyAlignment="1">
      <alignment horizontal="center" vertical="center" wrapText="1"/>
    </xf>
    <xf numFmtId="169" fontId="132" fillId="74" borderId="0" xfId="0" applyNumberFormat="1" applyFont="1" applyFill="1"/>
    <xf numFmtId="234" fontId="30" fillId="0" borderId="0" xfId="0" applyNumberFormat="1" applyFont="1" applyAlignment="1">
      <alignment horizontal="right"/>
    </xf>
    <xf numFmtId="0" fontId="160" fillId="0" borderId="48" xfId="0" applyFont="1" applyFill="1" applyBorder="1"/>
    <xf numFmtId="0" fontId="158" fillId="74" borderId="0" xfId="0" quotePrefix="1" applyFont="1" applyFill="1" applyBorder="1" applyAlignment="1">
      <alignment horizontal="center"/>
    </xf>
    <xf numFmtId="0" fontId="197" fillId="0" borderId="0" xfId="0" applyFont="1"/>
    <xf numFmtId="165" fontId="160" fillId="0" borderId="0" xfId="0" applyNumberFormat="1" applyFont="1" applyAlignment="1">
      <alignment horizontal="right"/>
    </xf>
    <xf numFmtId="0" fontId="158" fillId="0" borderId="0" xfId="0" applyFont="1" applyBorder="1" applyAlignment="1">
      <alignment horizontal="centerContinuous"/>
    </xf>
    <xf numFmtId="0" fontId="170" fillId="0" borderId="61" xfId="0" applyFont="1" applyFill="1" applyBorder="1" applyAlignment="1"/>
    <xf numFmtId="0" fontId="170" fillId="0" borderId="0" xfId="0" applyFont="1" applyFill="1" applyBorder="1" applyAlignment="1"/>
    <xf numFmtId="0" fontId="170" fillId="72" borderId="0" xfId="0" applyFont="1" applyFill="1" applyBorder="1" applyAlignment="1">
      <alignment horizontal="centerContinuous"/>
    </xf>
    <xf numFmtId="0" fontId="158" fillId="0" borderId="96" xfId="0" applyFont="1" applyBorder="1"/>
    <xf numFmtId="0" fontId="158" fillId="0" borderId="93" xfId="0" applyFont="1" applyBorder="1"/>
    <xf numFmtId="169" fontId="239" fillId="0" borderId="0" xfId="0" applyNumberFormat="1" applyFont="1"/>
    <xf numFmtId="165" fontId="239" fillId="0" borderId="0" xfId="0" applyNumberFormat="1" applyFont="1" applyFill="1" applyAlignment="1">
      <alignment horizontal="center"/>
    </xf>
    <xf numFmtId="165" fontId="239" fillId="0" borderId="0" xfId="0" applyNumberFormat="1" applyFont="1" applyAlignment="1">
      <alignment horizontal="right"/>
    </xf>
    <xf numFmtId="169" fontId="239" fillId="0" borderId="0" xfId="0" applyNumberFormat="1" applyFont="1" applyAlignment="1">
      <alignment horizontal="right"/>
    </xf>
    <xf numFmtId="10" fontId="239" fillId="0" borderId="0" xfId="0" applyNumberFormat="1" applyFont="1" applyAlignment="1">
      <alignment horizontal="right"/>
    </xf>
    <xf numFmtId="167" fontId="239" fillId="0" borderId="0" xfId="12427" applyNumberFormat="1" applyFont="1"/>
    <xf numFmtId="0" fontId="176" fillId="72" borderId="75" xfId="0" applyFont="1" applyFill="1" applyBorder="1" applyAlignment="1">
      <alignment horizontal="centerContinuous"/>
    </xf>
    <xf numFmtId="0" fontId="176" fillId="72" borderId="75" xfId="0" applyFont="1" applyFill="1" applyBorder="1" applyAlignment="1">
      <alignment horizontal="left"/>
    </xf>
    <xf numFmtId="0" fontId="159" fillId="0" borderId="61" xfId="0" applyFont="1" applyFill="1" applyBorder="1" applyAlignment="1">
      <alignment horizontal="centerContinuous"/>
    </xf>
    <xf numFmtId="0" fontId="159" fillId="0" borderId="0" xfId="0" applyFont="1" applyFill="1" applyBorder="1" applyAlignment="1"/>
    <xf numFmtId="0" fontId="170" fillId="72" borderId="76" xfId="0" applyFont="1" applyFill="1" applyBorder="1" applyAlignment="1">
      <alignment horizontal="left"/>
    </xf>
    <xf numFmtId="43" fontId="240" fillId="68" borderId="57" xfId="11155" quotePrefix="1" applyFont="1" applyFill="1" applyBorder="1" applyAlignment="1">
      <alignment horizontal="center"/>
    </xf>
    <xf numFmtId="0" fontId="240" fillId="68" borderId="57" xfId="11155" quotePrefix="1" applyNumberFormat="1" applyFont="1" applyFill="1" applyBorder="1" applyAlignment="1">
      <alignment horizontal="center"/>
    </xf>
    <xf numFmtId="0" fontId="158" fillId="0" borderId="0" xfId="0" quotePrefix="1" applyFont="1"/>
    <xf numFmtId="0" fontId="160" fillId="0" borderId="64" xfId="0" applyFont="1" applyBorder="1" applyAlignment="1">
      <alignment horizontal="centerContinuous"/>
    </xf>
    <xf numFmtId="0" fontId="160" fillId="0" borderId="95" xfId="0" applyFont="1" applyBorder="1" applyAlignment="1">
      <alignment horizontal="centerContinuous"/>
    </xf>
    <xf numFmtId="0" fontId="160" fillId="0" borderId="76" xfId="0" applyFont="1" applyBorder="1" applyAlignment="1">
      <alignment horizontal="centerContinuous"/>
    </xf>
    <xf numFmtId="0" fontId="158" fillId="0" borderId="77" xfId="0" applyFont="1" applyBorder="1" applyAlignment="1">
      <alignment horizontal="centerContinuous"/>
    </xf>
    <xf numFmtId="0" fontId="160" fillId="0" borderId="77" xfId="0" applyFont="1" applyBorder="1" applyAlignment="1">
      <alignment horizontal="centerContinuous"/>
    </xf>
    <xf numFmtId="0" fontId="160" fillId="0" borderId="63" xfId="0" applyFont="1" applyBorder="1" applyAlignment="1">
      <alignment horizontal="centerContinuous"/>
    </xf>
    <xf numFmtId="0" fontId="170" fillId="72" borderId="61" xfId="0" applyFont="1" applyFill="1" applyBorder="1" applyAlignment="1">
      <alignment horizontal="centerContinuous"/>
    </xf>
    <xf numFmtId="0" fontId="170" fillId="72" borderId="13" xfId="0" applyFont="1" applyFill="1" applyBorder="1" applyAlignment="1">
      <alignment horizontal="centerContinuous"/>
    </xf>
    <xf numFmtId="0" fontId="158" fillId="0" borderId="0" xfId="0" applyFont="1" applyFill="1" applyBorder="1" applyAlignment="1"/>
    <xf numFmtId="0" fontId="158" fillId="0" borderId="95" xfId="0" applyFont="1" applyBorder="1" applyAlignment="1">
      <alignment horizontal="centerContinuous"/>
    </xf>
    <xf numFmtId="165" fontId="191" fillId="0" borderId="0" xfId="12422" applyNumberFormat="1" applyFont="1" applyFill="1" applyBorder="1"/>
    <xf numFmtId="14" fontId="170" fillId="72" borderId="94" xfId="0" applyNumberFormat="1" applyFont="1" applyFill="1" applyBorder="1" applyAlignment="1">
      <alignment horizontal="centerContinuous"/>
    </xf>
    <xf numFmtId="0" fontId="161" fillId="0" borderId="76" xfId="0" applyFont="1" applyFill="1" applyBorder="1" applyAlignment="1">
      <alignment horizontal="left" wrapText="1"/>
    </xf>
    <xf numFmtId="0" fontId="161" fillId="0" borderId="75" xfId="0" applyFont="1" applyFill="1" applyBorder="1" applyAlignment="1">
      <alignment horizontal="left" wrapText="1"/>
    </xf>
    <xf numFmtId="165" fontId="239" fillId="0" borderId="0" xfId="0" applyNumberFormat="1" applyFont="1"/>
    <xf numFmtId="0" fontId="191" fillId="0" borderId="0" xfId="0" applyFont="1" applyAlignment="1">
      <alignment horizontal="center" vertical="top" wrapText="1"/>
    </xf>
    <xf numFmtId="167" fontId="158" fillId="0" borderId="0" xfId="0" applyNumberFormat="1" applyFont="1" applyAlignment="1">
      <alignment horizontal="right"/>
    </xf>
    <xf numFmtId="0" fontId="158" fillId="71" borderId="5" xfId="0" quotePrefix="1" applyFont="1" applyFill="1" applyBorder="1" applyAlignment="1">
      <alignment horizontal="center"/>
    </xf>
    <xf numFmtId="0" fontId="161" fillId="0" borderId="16" xfId="0" applyFont="1" applyFill="1" applyBorder="1" applyAlignment="1">
      <alignment horizontal="left" wrapText="1"/>
    </xf>
    <xf numFmtId="0" fontId="160" fillId="0" borderId="35" xfId="0" applyFont="1" applyFill="1" applyBorder="1" applyAlignment="1">
      <alignment horizontal="right"/>
    </xf>
    <xf numFmtId="0" fontId="160" fillId="0" borderId="42" xfId="0" applyFont="1" applyFill="1" applyBorder="1" applyAlignment="1">
      <alignment horizontal="right"/>
    </xf>
    <xf numFmtId="8" fontId="239" fillId="0" borderId="0" xfId="0" applyNumberFormat="1" applyFont="1"/>
    <xf numFmtId="165" fontId="239" fillId="0" borderId="0" xfId="12422" applyNumberFormat="1" applyFont="1"/>
    <xf numFmtId="234" fontId="239" fillId="0" borderId="0" xfId="0" applyNumberFormat="1" applyFont="1" applyFill="1" applyBorder="1"/>
    <xf numFmtId="10" fontId="239" fillId="0" borderId="0" xfId="0" applyNumberFormat="1" applyFont="1"/>
    <xf numFmtId="0" fontId="35" fillId="76" borderId="0" xfId="11828" applyFont="1" applyFill="1"/>
    <xf numFmtId="0" fontId="35" fillId="76" borderId="0" xfId="11828" applyFont="1" applyFill="1" applyAlignment="1">
      <alignment horizontal="right"/>
    </xf>
    <xf numFmtId="0" fontId="241" fillId="76" borderId="0" xfId="11828" applyFont="1" applyFill="1" applyAlignment="1">
      <alignment horizontal="right"/>
    </xf>
    <xf numFmtId="0" fontId="35" fillId="0" borderId="0" xfId="11828" applyFont="1"/>
    <xf numFmtId="0" fontId="35" fillId="0" borderId="0" xfId="11828" applyFont="1" applyAlignment="1">
      <alignment horizontal="right"/>
    </xf>
    <xf numFmtId="0" fontId="35" fillId="0" borderId="0" xfId="11828" applyFont="1" applyFill="1" applyAlignment="1">
      <alignment horizontal="right"/>
    </xf>
    <xf numFmtId="14" fontId="35" fillId="0" borderId="0" xfId="11828" applyNumberFormat="1" applyFont="1" applyAlignment="1">
      <alignment horizontal="right"/>
    </xf>
    <xf numFmtId="0" fontId="35" fillId="0" borderId="0" xfId="11828" applyFont="1" applyFill="1"/>
    <xf numFmtId="165" fontId="35" fillId="0" borderId="0" xfId="12424" applyNumberFormat="1" applyFont="1" applyAlignment="1">
      <alignment horizontal="right"/>
    </xf>
    <xf numFmtId="360" fontId="35" fillId="0" borderId="0" xfId="11828" applyNumberFormat="1" applyFont="1" applyAlignment="1">
      <alignment horizontal="right"/>
    </xf>
    <xf numFmtId="10" fontId="30" fillId="0" borderId="10" xfId="20309" applyNumberFormat="1" applyFont="1" applyFill="1" applyBorder="1" applyAlignment="1">
      <alignment horizontal="right"/>
    </xf>
    <xf numFmtId="0" fontId="30" fillId="0" borderId="0" xfId="0" applyFont="1"/>
    <xf numFmtId="0" fontId="30" fillId="0" borderId="0" xfId="0" applyFont="1" applyAlignment="1">
      <alignment horizontal="right"/>
    </xf>
    <xf numFmtId="0" fontId="170" fillId="74" borderId="59" xfId="0" applyFont="1" applyFill="1" applyBorder="1" applyAlignment="1">
      <alignment horizontal="centerContinuous"/>
    </xf>
    <xf numFmtId="0" fontId="160" fillId="74" borderId="5" xfId="0" applyFont="1" applyFill="1" applyBorder="1" applyAlignment="1">
      <alignment horizontal="center" wrapText="1"/>
    </xf>
    <xf numFmtId="169" fontId="158" fillId="74" borderId="0" xfId="0" applyNumberFormat="1" applyFont="1" applyFill="1"/>
    <xf numFmtId="43" fontId="164" fillId="0" borderId="56" xfId="11155" applyFont="1" applyFill="1" applyBorder="1" applyAlignment="1"/>
    <xf numFmtId="43" fontId="164" fillId="0" borderId="57" xfId="11155" applyFont="1" applyFill="1" applyBorder="1" applyAlignment="1">
      <alignment horizontal="right"/>
    </xf>
    <xf numFmtId="0" fontId="158" fillId="0" borderId="0" xfId="0" applyFont="1" applyFill="1" applyAlignment="1">
      <alignment vertical="top" wrapText="1"/>
    </xf>
    <xf numFmtId="0" fontId="158" fillId="0" borderId="45" xfId="0" applyFont="1" applyFill="1" applyBorder="1"/>
    <xf numFmtId="164" fontId="158" fillId="0" borderId="0" xfId="0" applyNumberFormat="1" applyFont="1" applyFill="1" applyAlignment="1">
      <alignment horizontal="center" vertical="top" wrapText="1"/>
    </xf>
    <xf numFmtId="0" fontId="158" fillId="0" borderId="0" xfId="0" applyFont="1" applyFill="1" applyAlignment="1">
      <alignment horizontal="right" vertical="top"/>
    </xf>
    <xf numFmtId="234" fontId="158" fillId="0" borderId="0" xfId="0" applyNumberFormat="1" applyFont="1" applyFill="1" applyAlignment="1">
      <alignment horizontal="right" vertical="top"/>
    </xf>
    <xf numFmtId="0" fontId="191" fillId="0" borderId="0" xfId="0" applyFont="1" applyFill="1"/>
    <xf numFmtId="0" fontId="191" fillId="0" borderId="0" xfId="0" applyFont="1" applyFill="1" applyAlignment="1">
      <alignment horizontal="center" vertical="top" wrapText="1"/>
    </xf>
    <xf numFmtId="10" fontId="158" fillId="71" borderId="0" xfId="0" applyNumberFormat="1" applyFont="1" applyFill="1" applyBorder="1"/>
    <xf numFmtId="165" fontId="158" fillId="0" borderId="0" xfId="0" applyNumberFormat="1" applyFont="1" applyFill="1" applyAlignment="1">
      <alignment horizontal="center" vertical="top" wrapText="1"/>
    </xf>
    <xf numFmtId="0" fontId="238" fillId="0" borderId="0" xfId="0" applyFont="1"/>
    <xf numFmtId="0" fontId="158" fillId="0" borderId="95" xfId="0" applyFont="1" applyBorder="1"/>
    <xf numFmtId="0" fontId="158" fillId="0" borderId="86" xfId="0" applyFont="1" applyBorder="1"/>
    <xf numFmtId="0" fontId="158" fillId="0" borderId="94" xfId="0" applyFont="1" applyBorder="1"/>
    <xf numFmtId="0" fontId="158" fillId="0" borderId="45" xfId="0" applyFont="1" applyBorder="1" applyAlignment="1">
      <alignment wrapText="1"/>
    </xf>
    <xf numFmtId="10" fontId="158" fillId="0" borderId="93" xfId="12422" applyNumberFormat="1" applyFont="1" applyBorder="1"/>
    <xf numFmtId="10" fontId="30" fillId="0" borderId="61" xfId="20309" applyNumberFormat="1" applyFont="1" applyFill="1" applyBorder="1" applyAlignment="1">
      <alignment horizontal="right"/>
    </xf>
    <xf numFmtId="0" fontId="192" fillId="0" borderId="98" xfId="0" applyFont="1" applyFill="1" applyBorder="1" applyAlignment="1">
      <alignment horizontal="centerContinuous"/>
    </xf>
    <xf numFmtId="169" fontId="160" fillId="0" borderId="99" xfId="0" applyNumberFormat="1" applyFont="1" applyFill="1" applyBorder="1" applyAlignment="1">
      <alignment horizontal="centerContinuous"/>
    </xf>
    <xf numFmtId="0" fontId="192" fillId="0" borderId="99" xfId="0" applyFont="1" applyFill="1" applyBorder="1" applyAlignment="1">
      <alignment horizontal="centerContinuous"/>
    </xf>
    <xf numFmtId="169" fontId="160" fillId="0" borderId="100" xfId="0" applyNumberFormat="1" applyFont="1" applyFill="1" applyBorder="1" applyAlignment="1">
      <alignment horizontal="centerContinuous"/>
    </xf>
    <xf numFmtId="0" fontId="245" fillId="0" borderId="35" xfId="0" applyFont="1" applyBorder="1" applyAlignment="1">
      <alignment horizontal="center"/>
    </xf>
    <xf numFmtId="0" fontId="245" fillId="0" borderId="0" xfId="0" applyFont="1"/>
    <xf numFmtId="0" fontId="246" fillId="0" borderId="0" xfId="0" applyFont="1" applyAlignment="1">
      <alignment horizontal="center" wrapText="1"/>
    </xf>
    <xf numFmtId="14" fontId="35" fillId="0" borderId="0" xfId="11828" applyNumberFormat="1" applyFont="1" applyFill="1" applyAlignment="1">
      <alignment horizontal="left"/>
    </xf>
    <xf numFmtId="14" fontId="35" fillId="0" borderId="0" xfId="11828" applyNumberFormat="1" applyFont="1" applyFill="1"/>
    <xf numFmtId="0" fontId="35" fillId="0" borderId="101" xfId="11828" applyFont="1" applyFill="1" applyBorder="1" applyAlignment="1">
      <alignment horizontal="right"/>
    </xf>
    <xf numFmtId="14" fontId="35" fillId="0" borderId="102" xfId="11828" applyNumberFormat="1" applyFont="1" applyFill="1" applyBorder="1" applyAlignment="1">
      <alignment horizontal="right"/>
    </xf>
    <xf numFmtId="0" fontId="35" fillId="0" borderId="61" xfId="11828" applyFont="1" applyFill="1" applyBorder="1" applyAlignment="1">
      <alignment horizontal="right"/>
    </xf>
    <xf numFmtId="0" fontId="35" fillId="0" borderId="13" xfId="11828" applyFont="1" applyFill="1" applyBorder="1" applyAlignment="1">
      <alignment horizontal="right"/>
    </xf>
    <xf numFmtId="0" fontId="35" fillId="0" borderId="10" xfId="11828" applyFont="1" applyFill="1" applyBorder="1" applyAlignment="1">
      <alignment horizontal="right"/>
    </xf>
    <xf numFmtId="0" fontId="35" fillId="0" borderId="93" xfId="11828" applyFont="1" applyFill="1" applyBorder="1" applyAlignment="1">
      <alignment horizontal="right"/>
    </xf>
    <xf numFmtId="0" fontId="35" fillId="0" borderId="0" xfId="11828" applyFont="1" applyFill="1" applyBorder="1" applyAlignment="1">
      <alignment horizontal="right"/>
    </xf>
    <xf numFmtId="0" fontId="247" fillId="0" borderId="0" xfId="11828" applyFont="1" applyFill="1" applyBorder="1" applyAlignment="1">
      <alignment horizontal="right"/>
    </xf>
    <xf numFmtId="0" fontId="242" fillId="0" borderId="0" xfId="11828" applyFont="1" applyFill="1"/>
    <xf numFmtId="14" fontId="35" fillId="0" borderId="0" xfId="11828" applyNumberFormat="1" applyFont="1" applyFill="1" applyAlignment="1">
      <alignment horizontal="right"/>
    </xf>
    <xf numFmtId="0" fontId="35" fillId="0" borderId="0" xfId="11828" applyNumberFormat="1" applyFont="1" applyFill="1" applyAlignment="1">
      <alignment horizontal="right"/>
    </xf>
    <xf numFmtId="167" fontId="35" fillId="0" borderId="0" xfId="12425" applyNumberFormat="1" applyFont="1" applyFill="1" applyAlignment="1">
      <alignment horizontal="right"/>
    </xf>
    <xf numFmtId="165" fontId="35" fillId="0" borderId="0" xfId="12424" applyNumberFormat="1" applyFont="1" applyFill="1" applyAlignment="1">
      <alignment horizontal="right"/>
    </xf>
    <xf numFmtId="0" fontId="35" fillId="0" borderId="0" xfId="11828" applyFont="1" applyFill="1" applyAlignment="1"/>
    <xf numFmtId="253" fontId="35" fillId="0" borderId="0" xfId="11828" applyNumberFormat="1" applyFont="1" applyFill="1" applyAlignment="1">
      <alignment horizontal="right"/>
    </xf>
    <xf numFmtId="165" fontId="35" fillId="74" borderId="0" xfId="12424" applyNumberFormat="1" applyFont="1" applyFill="1" applyAlignment="1">
      <alignment horizontal="right"/>
    </xf>
    <xf numFmtId="14" fontId="35" fillId="0" borderId="0" xfId="11828" applyNumberFormat="1" applyFont="1"/>
    <xf numFmtId="0" fontId="161" fillId="0" borderId="75" xfId="11826" applyFont="1" applyFill="1" applyBorder="1" applyAlignment="1">
      <alignment horizontal="left"/>
    </xf>
    <xf numFmtId="0" fontId="161" fillId="0" borderId="75" xfId="11826" applyFont="1" applyFill="1" applyBorder="1" applyAlignment="1">
      <alignment horizontal="right"/>
    </xf>
    <xf numFmtId="0" fontId="161" fillId="0" borderId="98" xfId="11826" applyFont="1" applyFill="1" applyBorder="1" applyAlignment="1">
      <alignment horizontal="right"/>
    </xf>
    <xf numFmtId="0" fontId="161" fillId="0" borderId="98" xfId="11826" applyFont="1" applyFill="1" applyBorder="1" applyAlignment="1">
      <alignment horizontal="centerContinuous"/>
    </xf>
    <xf numFmtId="0" fontId="161" fillId="0" borderId="99" xfId="11826" applyFont="1" applyFill="1" applyBorder="1" applyAlignment="1">
      <alignment horizontal="centerContinuous"/>
    </xf>
    <xf numFmtId="0" fontId="35" fillId="0" borderId="99" xfId="11828" applyFont="1" applyFill="1" applyBorder="1" applyAlignment="1">
      <alignment horizontal="centerContinuous"/>
    </xf>
    <xf numFmtId="0" fontId="35" fillId="0" borderId="100" xfId="11828" applyFont="1" applyFill="1" applyBorder="1" applyAlignment="1">
      <alignment horizontal="centerContinuous"/>
    </xf>
    <xf numFmtId="0" fontId="30" fillId="0" borderId="103" xfId="20308" applyFont="1" applyFill="1" applyBorder="1" applyAlignment="1">
      <alignment horizontal="left"/>
    </xf>
    <xf numFmtId="2" fontId="30" fillId="0" borderId="103" xfId="11826" applyNumberFormat="1" applyFont="1" applyFill="1" applyBorder="1" applyAlignment="1">
      <alignment horizontal="right"/>
    </xf>
    <xf numFmtId="10" fontId="30" fillId="0" borderId="101" xfId="20309" applyNumberFormat="1" applyFont="1" applyFill="1" applyBorder="1" applyAlignment="1">
      <alignment horizontal="right"/>
    </xf>
    <xf numFmtId="0" fontId="30" fillId="0" borderId="61" xfId="11826" applyFont="1" applyFill="1" applyBorder="1" applyAlignment="1">
      <alignment horizontal="centerContinuous"/>
    </xf>
    <xf numFmtId="0" fontId="30" fillId="0" borderId="0" xfId="11826" applyFont="1" applyFill="1" applyBorder="1" applyAlignment="1">
      <alignment horizontal="centerContinuous"/>
    </xf>
    <xf numFmtId="0" fontId="35" fillId="0" borderId="0" xfId="11828" applyFont="1" applyFill="1" applyBorder="1" applyAlignment="1">
      <alignment horizontal="centerContinuous"/>
    </xf>
    <xf numFmtId="0" fontId="35" fillId="0" borderId="13" xfId="11828" applyFont="1" applyFill="1" applyBorder="1" applyAlignment="1">
      <alignment horizontal="centerContinuous"/>
    </xf>
    <xf numFmtId="14" fontId="158" fillId="0" borderId="51" xfId="16168" applyNumberFormat="1" applyFont="1" applyFill="1" applyBorder="1" applyAlignment="1">
      <alignment horizontal="left"/>
    </xf>
    <xf numFmtId="2" fontId="30" fillId="0" borderId="51" xfId="11826" applyNumberFormat="1" applyFont="1" applyFill="1" applyBorder="1" applyAlignment="1">
      <alignment horizontal="right"/>
    </xf>
    <xf numFmtId="14" fontId="158" fillId="0" borderId="32" xfId="16168" applyNumberFormat="1" applyFont="1" applyFill="1" applyBorder="1" applyAlignment="1">
      <alignment horizontal="left"/>
    </xf>
    <xf numFmtId="2" fontId="30" fillId="0" borderId="32" xfId="11826" applyNumberFormat="1" applyFont="1" applyFill="1" applyBorder="1" applyAlignment="1">
      <alignment horizontal="right"/>
    </xf>
    <xf numFmtId="0" fontId="30" fillId="0" borderId="10" xfId="11826" applyFont="1" applyFill="1" applyBorder="1" applyAlignment="1">
      <alignment horizontal="centerContinuous"/>
    </xf>
    <xf numFmtId="0" fontId="30" fillId="0" borderId="45" xfId="11826" applyFont="1" applyFill="1" applyBorder="1" applyAlignment="1">
      <alignment horizontal="centerContinuous"/>
    </xf>
    <xf numFmtId="0" fontId="35" fillId="0" borderId="45" xfId="11828" applyFont="1" applyFill="1" applyBorder="1" applyAlignment="1">
      <alignment horizontal="centerContinuous"/>
    </xf>
    <xf numFmtId="0" fontId="35" fillId="0" borderId="93" xfId="11828" applyFont="1" applyFill="1" applyBorder="1" applyAlignment="1">
      <alignment horizontal="centerContinuous"/>
    </xf>
    <xf numFmtId="0" fontId="96" fillId="0" borderId="0" xfId="11828" applyFont="1" applyFill="1"/>
    <xf numFmtId="14" fontId="158" fillId="0" borderId="75" xfId="16168" applyNumberFormat="1" applyFont="1" applyFill="1" applyBorder="1" applyAlignment="1">
      <alignment horizontal="left"/>
    </xf>
    <xf numFmtId="10" fontId="35" fillId="0" borderId="75" xfId="12424" applyNumberFormat="1" applyFont="1" applyFill="1" applyBorder="1" applyAlignment="1">
      <alignment horizontal="right"/>
    </xf>
    <xf numFmtId="0" fontId="35" fillId="0" borderId="99" xfId="11828" applyFont="1" applyFill="1" applyBorder="1" applyAlignment="1">
      <alignment horizontal="left"/>
    </xf>
    <xf numFmtId="0" fontId="35" fillId="0" borderId="99" xfId="11828" applyFont="1" applyFill="1" applyBorder="1" applyAlignment="1">
      <alignment horizontal="right"/>
    </xf>
    <xf numFmtId="0" fontId="35" fillId="0" borderId="100" xfId="11828" applyFont="1" applyFill="1" applyBorder="1" applyAlignment="1">
      <alignment horizontal="right"/>
    </xf>
    <xf numFmtId="164" fontId="158" fillId="0" borderId="0" xfId="0" applyNumberFormat="1" applyFont="1" applyAlignment="1">
      <alignment horizontal="right"/>
    </xf>
    <xf numFmtId="164" fontId="30" fillId="0" borderId="0" xfId="0" applyNumberFormat="1" applyFont="1" applyAlignment="1">
      <alignment horizontal="right"/>
    </xf>
    <xf numFmtId="165" fontId="158" fillId="0" borderId="0" xfId="0" applyNumberFormat="1" applyFont="1" applyAlignment="1">
      <alignment horizontal="center"/>
    </xf>
    <xf numFmtId="0" fontId="158" fillId="0" borderId="107" xfId="0" applyFont="1" applyBorder="1"/>
    <xf numFmtId="0" fontId="170" fillId="72" borderId="35" xfId="0" applyFont="1" applyFill="1" applyBorder="1" applyAlignment="1">
      <alignment horizontal="right"/>
    </xf>
    <xf numFmtId="0" fontId="170" fillId="72" borderId="42" xfId="0" applyFont="1" applyFill="1" applyBorder="1" applyAlignment="1">
      <alignment horizontal="right"/>
    </xf>
    <xf numFmtId="0" fontId="170" fillId="72" borderId="34" xfId="0" applyFont="1" applyFill="1" applyBorder="1" applyAlignment="1">
      <alignment horizontal="left"/>
    </xf>
    <xf numFmtId="0" fontId="170" fillId="72" borderId="34" xfId="0" applyFont="1" applyFill="1" applyBorder="1" applyAlignment="1">
      <alignment horizontal="right" wrapText="1"/>
    </xf>
    <xf numFmtId="0" fontId="170" fillId="72" borderId="35" xfId="0" applyFont="1" applyFill="1" applyBorder="1" applyAlignment="1">
      <alignment horizontal="right" wrapText="1"/>
    </xf>
    <xf numFmtId="0" fontId="170" fillId="72" borderId="29" xfId="0" applyFont="1" applyFill="1" applyBorder="1" applyAlignment="1">
      <alignment horizontal="right"/>
    </xf>
    <xf numFmtId="164" fontId="30" fillId="0" borderId="0" xfId="0" applyNumberFormat="1" applyFont="1" applyFill="1" applyBorder="1" applyAlignment="1">
      <alignment horizontal="right"/>
    </xf>
    <xf numFmtId="164" fontId="161" fillId="0" borderId="75" xfId="0" applyNumberFormat="1" applyFont="1" applyFill="1" applyBorder="1" applyAlignment="1">
      <alignment horizontal="right"/>
    </xf>
    <xf numFmtId="0" fontId="176" fillId="72" borderId="76" xfId="0" applyFont="1" applyFill="1" applyBorder="1" applyAlignment="1">
      <alignment horizontal="right"/>
    </xf>
    <xf numFmtId="0" fontId="176" fillId="72" borderId="77" xfId="0" applyFont="1" applyFill="1" applyBorder="1" applyAlignment="1">
      <alignment horizontal="right"/>
    </xf>
    <xf numFmtId="0" fontId="176" fillId="72" borderId="63" xfId="0" applyFont="1" applyFill="1" applyBorder="1" applyAlignment="1">
      <alignment horizontal="right"/>
    </xf>
    <xf numFmtId="0" fontId="161" fillId="0" borderId="34" xfId="0" applyFont="1" applyFill="1" applyBorder="1" applyAlignment="1">
      <alignment horizontal="right" wrapText="1"/>
    </xf>
    <xf numFmtId="0" fontId="161" fillId="0" borderId="35" xfId="0" applyFont="1" applyFill="1" applyBorder="1" applyAlignment="1">
      <alignment horizontal="right" wrapText="1"/>
    </xf>
    <xf numFmtId="0" fontId="158" fillId="0" borderId="35" xfId="0" applyFont="1" applyBorder="1" applyAlignment="1">
      <alignment horizontal="right" wrapText="1"/>
    </xf>
    <xf numFmtId="0" fontId="161" fillId="0" borderId="42" xfId="0" applyFont="1" applyFill="1" applyBorder="1" applyAlignment="1">
      <alignment horizontal="right" wrapText="1"/>
    </xf>
    <xf numFmtId="0" fontId="161" fillId="0" borderId="32" xfId="0" applyFont="1" applyFill="1" applyBorder="1" applyAlignment="1">
      <alignment horizontal="right" wrapText="1"/>
    </xf>
    <xf numFmtId="0" fontId="161" fillId="0" borderId="10" xfId="0" applyFont="1" applyFill="1" applyBorder="1" applyAlignment="1">
      <alignment horizontal="right" wrapText="1"/>
    </xf>
    <xf numFmtId="0" fontId="161" fillId="0" borderId="45" xfId="0" applyFont="1" applyFill="1" applyBorder="1" applyAlignment="1">
      <alignment horizontal="right" wrapText="1"/>
    </xf>
    <xf numFmtId="0" fontId="161" fillId="0" borderId="75" xfId="0" applyFont="1" applyFill="1" applyBorder="1" applyAlignment="1">
      <alignment horizontal="right" wrapText="1"/>
    </xf>
    <xf numFmtId="0" fontId="161" fillId="0" borderId="0" xfId="0" applyFont="1" applyFill="1" applyBorder="1" applyAlignment="1">
      <alignment horizontal="right" wrapText="1"/>
    </xf>
    <xf numFmtId="0" fontId="161" fillId="0" borderId="10" xfId="0" applyNumberFormat="1" applyFont="1" applyFill="1" applyBorder="1" applyAlignment="1">
      <alignment horizontal="right" wrapText="1"/>
    </xf>
    <xf numFmtId="0" fontId="161" fillId="0" borderId="45" xfId="0" applyNumberFormat="1" applyFont="1" applyFill="1" applyBorder="1" applyAlignment="1">
      <alignment horizontal="right" wrapText="1"/>
    </xf>
    <xf numFmtId="0" fontId="161" fillId="0" borderId="76" xfId="0" applyNumberFormat="1" applyFont="1" applyFill="1" applyBorder="1" applyAlignment="1">
      <alignment horizontal="right" wrapText="1"/>
    </xf>
    <xf numFmtId="0" fontId="161" fillId="0" borderId="77" xfId="0" applyNumberFormat="1" applyFont="1" applyFill="1" applyBorder="1" applyAlignment="1">
      <alignment horizontal="right" wrapText="1"/>
    </xf>
    <xf numFmtId="0" fontId="161" fillId="0" borderId="63" xfId="0" applyNumberFormat="1" applyFont="1" applyFill="1" applyBorder="1" applyAlignment="1">
      <alignment horizontal="right" wrapText="1"/>
    </xf>
    <xf numFmtId="0" fontId="161" fillId="0" borderId="93" xfId="0" applyFont="1" applyFill="1" applyBorder="1" applyAlignment="1">
      <alignment horizontal="right" wrapText="1"/>
    </xf>
    <xf numFmtId="0" fontId="161" fillId="0" borderId="93" xfId="0" applyNumberFormat="1" applyFont="1" applyFill="1" applyBorder="1" applyAlignment="1">
      <alignment horizontal="right" wrapText="1"/>
    </xf>
    <xf numFmtId="1" fontId="161" fillId="0" borderId="63" xfId="0" applyNumberFormat="1" applyFont="1" applyFill="1" applyBorder="1" applyAlignment="1">
      <alignment horizontal="right" wrapText="1"/>
    </xf>
    <xf numFmtId="0" fontId="158" fillId="0" borderId="0" xfId="0" applyFont="1" applyBorder="1" applyAlignment="1">
      <alignment horizontal="right" wrapText="1"/>
    </xf>
    <xf numFmtId="0" fontId="161" fillId="0" borderId="11" xfId="0" applyFont="1" applyFill="1" applyBorder="1" applyAlignment="1">
      <alignment horizontal="right" wrapText="1"/>
    </xf>
    <xf numFmtId="0" fontId="161" fillId="0" borderId="63" xfId="0" applyFont="1" applyFill="1" applyBorder="1" applyAlignment="1">
      <alignment horizontal="right" wrapText="1"/>
    </xf>
    <xf numFmtId="0" fontId="158" fillId="0" borderId="0" xfId="0" applyFont="1" applyFill="1" applyAlignment="1">
      <alignment horizontal="right" wrapText="1"/>
    </xf>
    <xf numFmtId="0" fontId="161" fillId="0" borderId="4" xfId="0" applyFont="1" applyFill="1" applyBorder="1" applyAlignment="1">
      <alignment horizontal="right" wrapText="1"/>
    </xf>
    <xf numFmtId="0" fontId="161" fillId="0" borderId="5" xfId="0" applyFont="1" applyFill="1" applyBorder="1" applyAlignment="1">
      <alignment horizontal="right" wrapText="1"/>
    </xf>
    <xf numFmtId="0" fontId="161" fillId="0" borderId="6" xfId="0" applyFont="1" applyFill="1" applyBorder="1" applyAlignment="1">
      <alignment horizontal="right" wrapText="1"/>
    </xf>
    <xf numFmtId="0" fontId="161" fillId="0" borderId="16" xfId="0" applyFont="1" applyFill="1" applyBorder="1" applyAlignment="1">
      <alignment horizontal="right" wrapText="1"/>
    </xf>
    <xf numFmtId="0" fontId="161" fillId="0" borderId="76" xfId="0" applyFont="1" applyFill="1" applyBorder="1" applyAlignment="1">
      <alignment horizontal="right" wrapText="1"/>
    </xf>
    <xf numFmtId="0" fontId="170" fillId="72" borderId="4" xfId="0" applyFont="1" applyFill="1" applyBorder="1" applyAlignment="1">
      <alignment horizontal="right" wrapText="1"/>
    </xf>
    <xf numFmtId="0" fontId="170" fillId="72" borderId="6" xfId="0" applyFont="1" applyFill="1" applyBorder="1" applyAlignment="1">
      <alignment horizontal="right" wrapText="1"/>
    </xf>
    <xf numFmtId="0" fontId="161" fillId="0" borderId="76" xfId="0" applyFont="1" applyFill="1" applyBorder="1" applyAlignment="1">
      <alignment horizontal="right"/>
    </xf>
    <xf numFmtId="0" fontId="160" fillId="0" borderId="77" xfId="0" applyFont="1" applyFill="1" applyBorder="1" applyAlignment="1">
      <alignment horizontal="right" wrapText="1"/>
    </xf>
    <xf numFmtId="0" fontId="160" fillId="0" borderId="63" xfId="0" applyFont="1" applyFill="1" applyBorder="1" applyAlignment="1">
      <alignment horizontal="right" wrapText="1"/>
    </xf>
    <xf numFmtId="0" fontId="158" fillId="0" borderId="51" xfId="0" applyFont="1" applyBorder="1" applyAlignment="1">
      <alignment horizontal="right" wrapText="1"/>
    </xf>
    <xf numFmtId="0" fontId="35" fillId="0" borderId="107" xfId="11828" applyFont="1" applyFill="1" applyBorder="1" applyAlignment="1">
      <alignment horizontal="right"/>
    </xf>
    <xf numFmtId="14" fontId="35" fillId="0" borderId="108" xfId="11828" applyNumberFormat="1" applyFont="1" applyFill="1" applyBorder="1" applyAlignment="1">
      <alignment horizontal="right"/>
    </xf>
    <xf numFmtId="0" fontId="30" fillId="0" borderId="0" xfId="20306" applyFont="1" applyFill="1"/>
    <xf numFmtId="0" fontId="30" fillId="0" borderId="0" xfId="20306" applyFont="1" applyFill="1" applyAlignment="1">
      <alignment horizontal="right"/>
    </xf>
    <xf numFmtId="0" fontId="30" fillId="0" borderId="0" xfId="20306" applyFont="1" applyAlignment="1">
      <alignment horizontal="right"/>
    </xf>
    <xf numFmtId="0" fontId="30" fillId="0" borderId="0" xfId="20306" applyFont="1"/>
    <xf numFmtId="0" fontId="35" fillId="0" borderId="104" xfId="11828" applyFont="1" applyFill="1" applyBorder="1" applyAlignment="1">
      <alignment horizontal="centerContinuous"/>
    </xf>
    <xf numFmtId="0" fontId="35" fillId="0" borderId="105" xfId="11828" applyFont="1" applyFill="1" applyBorder="1" applyAlignment="1">
      <alignment horizontal="centerContinuous"/>
    </xf>
    <xf numFmtId="0" fontId="35" fillId="0" borderId="106" xfId="11828" applyFont="1" applyFill="1" applyBorder="1" applyAlignment="1">
      <alignment horizontal="centerContinuous"/>
    </xf>
    <xf numFmtId="0" fontId="132" fillId="0" borderId="0" xfId="20306" applyFont="1" applyAlignment="1">
      <alignment horizontal="center"/>
    </xf>
    <xf numFmtId="0" fontId="161" fillId="0" borderId="75" xfId="20380" applyFont="1" applyFill="1" applyBorder="1" applyAlignment="1">
      <alignment horizontal="left"/>
    </xf>
    <xf numFmtId="0" fontId="161" fillId="0" borderId="75" xfId="20380" applyFont="1" applyFill="1" applyBorder="1" applyAlignment="1">
      <alignment horizontal="right"/>
    </xf>
    <xf numFmtId="0" fontId="161" fillId="0" borderId="104" xfId="20380" applyFont="1" applyFill="1" applyBorder="1" applyAlignment="1">
      <alignment horizontal="right"/>
    </xf>
    <xf numFmtId="0" fontId="161" fillId="0" borderId="104" xfId="20380" applyFont="1" applyFill="1" applyBorder="1" applyAlignment="1">
      <alignment horizontal="centerContinuous"/>
    </xf>
    <xf numFmtId="0" fontId="161" fillId="0" borderId="105" xfId="20380" applyFont="1" applyFill="1" applyBorder="1" applyAlignment="1">
      <alignment horizontal="centerContinuous"/>
    </xf>
    <xf numFmtId="2" fontId="30" fillId="0" borderId="103" xfId="20380" applyNumberFormat="1" applyFont="1" applyFill="1" applyBorder="1" applyAlignment="1">
      <alignment horizontal="right"/>
    </xf>
    <xf numFmtId="10" fontId="30" fillId="0" borderId="107" xfId="20309" applyNumberFormat="1" applyFont="1" applyFill="1" applyBorder="1" applyAlignment="1">
      <alignment horizontal="right"/>
    </xf>
    <xf numFmtId="0" fontId="30" fillId="0" borderId="61" xfId="20380" applyFont="1" applyFill="1" applyBorder="1" applyAlignment="1">
      <alignment horizontal="centerContinuous"/>
    </xf>
    <xf numFmtId="0" fontId="30" fillId="0" borderId="0" xfId="20380" applyFont="1" applyFill="1" applyBorder="1" applyAlignment="1">
      <alignment horizontal="centerContinuous"/>
    </xf>
    <xf numFmtId="14" fontId="158" fillId="0" borderId="51" xfId="20381" applyNumberFormat="1" applyFont="1" applyFill="1" applyBorder="1" applyAlignment="1">
      <alignment horizontal="left"/>
    </xf>
    <xf numFmtId="2" fontId="30" fillId="0" borderId="51" xfId="20380" applyNumberFormat="1" applyFont="1" applyFill="1" applyBorder="1" applyAlignment="1">
      <alignment horizontal="right"/>
    </xf>
    <xf numFmtId="14" fontId="158" fillId="0" borderId="32" xfId="20381" applyNumberFormat="1" applyFont="1" applyFill="1" applyBorder="1" applyAlignment="1">
      <alignment horizontal="left"/>
    </xf>
    <xf numFmtId="2" fontId="30" fillId="0" borderId="32" xfId="20380" applyNumberFormat="1" applyFont="1" applyFill="1" applyBorder="1" applyAlignment="1">
      <alignment horizontal="right"/>
    </xf>
    <xf numFmtId="0" fontId="30" fillId="0" borderId="10" xfId="20380" applyFont="1" applyFill="1" applyBorder="1" applyAlignment="1">
      <alignment horizontal="centerContinuous"/>
    </xf>
    <xf numFmtId="0" fontId="30" fillId="0" borderId="45" xfId="20380" applyFont="1" applyFill="1" applyBorder="1" applyAlignment="1">
      <alignment horizontal="centerContinuous"/>
    </xf>
    <xf numFmtId="14" fontId="158" fillId="0" borderId="75" xfId="20381" applyNumberFormat="1" applyFont="1" applyFill="1" applyBorder="1" applyAlignment="1">
      <alignment horizontal="left"/>
    </xf>
    <xf numFmtId="0" fontId="35" fillId="0" borderId="105" xfId="11828" applyFont="1" applyFill="1" applyBorder="1" applyAlignment="1">
      <alignment horizontal="left"/>
    </xf>
    <xf numFmtId="0" fontId="35" fillId="0" borderId="105" xfId="11828" applyFont="1" applyFill="1" applyBorder="1" applyAlignment="1">
      <alignment horizontal="right"/>
    </xf>
    <xf numFmtId="0" fontId="35" fillId="0" borderId="106" xfId="11828" applyFont="1" applyFill="1" applyBorder="1" applyAlignment="1">
      <alignment horizontal="right"/>
    </xf>
    <xf numFmtId="0" fontId="158" fillId="0" borderId="109" xfId="0" applyFont="1" applyBorder="1"/>
    <xf numFmtId="0" fontId="158" fillId="0" borderId="110" xfId="0" applyFont="1" applyBorder="1"/>
    <xf numFmtId="0" fontId="158" fillId="0" borderId="61" xfId="0" applyFont="1" applyBorder="1" applyAlignment="1">
      <alignment horizontal="left"/>
    </xf>
    <xf numFmtId="167" fontId="158" fillId="0" borderId="0" xfId="12427" applyNumberFormat="1" applyFont="1" applyBorder="1"/>
    <xf numFmtId="0" fontId="158" fillId="0" borderId="10" xfId="0" applyFont="1" applyBorder="1" applyAlignment="1">
      <alignment horizontal="left"/>
    </xf>
    <xf numFmtId="167" fontId="158" fillId="0" borderId="45" xfId="12427" applyNumberFormat="1" applyFont="1" applyBorder="1"/>
    <xf numFmtId="14" fontId="158" fillId="0" borderId="110" xfId="0" applyNumberFormat="1" applyFont="1" applyBorder="1" applyAlignment="1">
      <alignment horizontal="right"/>
    </xf>
    <xf numFmtId="0" fontId="158" fillId="0" borderId="93" xfId="0" applyFont="1" applyBorder="1" applyAlignment="1">
      <alignment horizontal="right"/>
    </xf>
    <xf numFmtId="0" fontId="158" fillId="0" borderId="0" xfId="20306" applyFont="1"/>
    <xf numFmtId="0" fontId="238" fillId="0" borderId="0" xfId="20306" applyFont="1"/>
    <xf numFmtId="0" fontId="170" fillId="72" borderId="104" xfId="20306" applyFont="1" applyFill="1" applyBorder="1" applyAlignment="1">
      <alignment horizontal="centerContinuous"/>
    </xf>
    <xf numFmtId="0" fontId="170" fillId="72" borderId="106" xfId="20306" applyFont="1" applyFill="1" applyBorder="1" applyAlignment="1">
      <alignment horizontal="centerContinuous"/>
    </xf>
    <xf numFmtId="0" fontId="170" fillId="72" borderId="105" xfId="20306" applyFont="1" applyFill="1" applyBorder="1" applyAlignment="1">
      <alignment horizontal="centerContinuous"/>
    </xf>
    <xf numFmtId="0" fontId="170" fillId="72" borderId="75" xfId="20306" applyFont="1" applyFill="1" applyBorder="1" applyAlignment="1">
      <alignment horizontal="centerContinuous"/>
    </xf>
    <xf numFmtId="0" fontId="161" fillId="0" borderId="104" xfId="20306" applyFont="1" applyFill="1" applyBorder="1" applyAlignment="1">
      <alignment horizontal="center" wrapText="1"/>
    </xf>
    <xf numFmtId="0" fontId="161" fillId="0" borderId="105" xfId="20306" applyFont="1" applyFill="1" applyBorder="1" applyAlignment="1">
      <alignment horizontal="center" wrapText="1"/>
    </xf>
    <xf numFmtId="0" fontId="161" fillId="0" borderId="106" xfId="20306" applyFont="1" applyFill="1" applyBorder="1" applyAlignment="1">
      <alignment horizontal="center" wrapText="1"/>
    </xf>
    <xf numFmtId="0" fontId="158" fillId="0" borderId="0" xfId="20306" applyFont="1" applyAlignment="1">
      <alignment wrapText="1"/>
    </xf>
    <xf numFmtId="0" fontId="161" fillId="0" borderId="0" xfId="20306" applyFont="1" applyFill="1" applyBorder="1" applyAlignment="1">
      <alignment horizontal="center" wrapText="1"/>
    </xf>
    <xf numFmtId="0" fontId="161" fillId="0" borderId="10" xfId="20306" applyFont="1" applyFill="1" applyBorder="1" applyAlignment="1">
      <alignment horizontal="center" wrapText="1"/>
    </xf>
    <xf numFmtId="0" fontId="161" fillId="0" borderId="32" xfId="20306" applyFont="1" applyFill="1" applyBorder="1" applyAlignment="1">
      <alignment horizontal="center" wrapText="1"/>
    </xf>
    <xf numFmtId="0" fontId="160" fillId="0" borderId="0" xfId="20306" applyFont="1" applyAlignment="1">
      <alignment horizontal="center" wrapText="1"/>
    </xf>
    <xf numFmtId="164" fontId="158" fillId="0" borderId="0" xfId="20306" applyNumberFormat="1" applyFont="1" applyAlignment="1">
      <alignment horizontal="center" vertical="top" wrapText="1"/>
    </xf>
    <xf numFmtId="0" fontId="158" fillId="0" borderId="0" xfId="20306" applyFont="1" applyAlignment="1">
      <alignment vertical="top" wrapText="1"/>
    </xf>
    <xf numFmtId="165" fontId="158" fillId="0" borderId="0" xfId="20306" applyNumberFormat="1" applyFont="1" applyAlignment="1">
      <alignment horizontal="center" vertical="top" wrapText="1"/>
    </xf>
    <xf numFmtId="0" fontId="158" fillId="0" borderId="0" xfId="20306" applyFont="1" applyAlignment="1">
      <alignment horizontal="center" vertical="top" wrapText="1"/>
    </xf>
    <xf numFmtId="169" fontId="158" fillId="0" borderId="0" xfId="20306" applyNumberFormat="1" applyFont="1" applyAlignment="1">
      <alignment horizontal="right" vertical="top"/>
    </xf>
    <xf numFmtId="0" fontId="158" fillId="0" borderId="0" xfId="20306" applyFont="1" applyAlignment="1">
      <alignment horizontal="right" vertical="top"/>
    </xf>
    <xf numFmtId="234" fontId="158" fillId="0" borderId="0" xfId="20306" applyNumberFormat="1" applyFont="1" applyAlignment="1">
      <alignment horizontal="right" vertical="top"/>
    </xf>
    <xf numFmtId="165" fontId="158" fillId="0" borderId="0" xfId="20306" applyNumberFormat="1" applyFont="1" applyAlignment="1">
      <alignment vertical="top" wrapText="1"/>
    </xf>
    <xf numFmtId="0" fontId="191" fillId="0" borderId="0" xfId="20306" applyFont="1"/>
    <xf numFmtId="0" fontId="160" fillId="71" borderId="107" xfId="20306" applyFont="1" applyFill="1" applyBorder="1"/>
    <xf numFmtId="0" fontId="158" fillId="71" borderId="109" xfId="20306" applyFont="1" applyFill="1" applyBorder="1"/>
    <xf numFmtId="169" fontId="160" fillId="71" borderId="109" xfId="20306" applyNumberFormat="1" applyFont="1" applyFill="1" applyBorder="1"/>
    <xf numFmtId="0" fontId="158" fillId="71" borderId="110" xfId="20306" applyFont="1" applyFill="1" applyBorder="1"/>
    <xf numFmtId="234" fontId="160" fillId="71" borderId="109" xfId="20306" applyNumberFormat="1" applyFont="1" applyFill="1" applyBorder="1"/>
    <xf numFmtId="165" fontId="160" fillId="71" borderId="109" xfId="20306" applyNumberFormat="1" applyFont="1" applyFill="1" applyBorder="1"/>
    <xf numFmtId="165" fontId="160" fillId="71" borderId="110" xfId="20306" applyNumberFormat="1" applyFont="1" applyFill="1" applyBorder="1"/>
    <xf numFmtId="0" fontId="160" fillId="71" borderId="61" xfId="20306" applyFont="1" applyFill="1" applyBorder="1"/>
    <xf numFmtId="0" fontId="158" fillId="71" borderId="0" xfId="20306" applyFont="1" applyFill="1" applyBorder="1"/>
    <xf numFmtId="169" fontId="160" fillId="71" borderId="0" xfId="20306" applyNumberFormat="1" applyFont="1" applyFill="1" applyBorder="1"/>
    <xf numFmtId="0" fontId="158" fillId="71" borderId="13" xfId="20306" applyFont="1" applyFill="1" applyBorder="1"/>
    <xf numFmtId="234" fontId="160" fillId="71" borderId="0" xfId="20306" applyNumberFormat="1" applyFont="1" applyFill="1" applyBorder="1"/>
    <xf numFmtId="165" fontId="160" fillId="71" borderId="0" xfId="20306" applyNumberFormat="1" applyFont="1" applyFill="1" applyBorder="1"/>
    <xf numFmtId="165" fontId="160" fillId="71" borderId="13" xfId="20306" applyNumberFormat="1" applyFont="1" applyFill="1" applyBorder="1"/>
    <xf numFmtId="0" fontId="160" fillId="71" borderId="10" xfId="20306" applyFont="1" applyFill="1" applyBorder="1"/>
    <xf numFmtId="0" fontId="158" fillId="71" borderId="45" xfId="20306" applyFont="1" applyFill="1" applyBorder="1"/>
    <xf numFmtId="169" fontId="160" fillId="71" borderId="45" xfId="20306" applyNumberFormat="1" applyFont="1" applyFill="1" applyBorder="1"/>
    <xf numFmtId="0" fontId="158" fillId="71" borderId="93" xfId="20306" applyFont="1" applyFill="1" applyBorder="1"/>
    <xf numFmtId="234" fontId="160" fillId="71" borderId="45" xfId="20306" applyNumberFormat="1" applyFont="1" applyFill="1" applyBorder="1"/>
    <xf numFmtId="165" fontId="160" fillId="71" borderId="45" xfId="20306" applyNumberFormat="1" applyFont="1" applyFill="1" applyBorder="1"/>
    <xf numFmtId="165" fontId="160" fillId="71" borderId="93" xfId="20306" applyNumberFormat="1" applyFont="1" applyFill="1" applyBorder="1"/>
    <xf numFmtId="0" fontId="163" fillId="0" borderId="0" xfId="20306" applyFont="1"/>
    <xf numFmtId="0" fontId="158" fillId="0" borderId="61" xfId="0" applyFont="1" applyBorder="1" applyAlignment="1">
      <alignment horizontal="center"/>
    </xf>
    <xf numFmtId="0" fontId="158" fillId="0" borderId="13" xfId="0" applyFont="1" applyBorder="1" applyAlignment="1">
      <alignment horizontal="center"/>
    </xf>
    <xf numFmtId="164" fontId="30" fillId="0" borderId="0" xfId="0" applyNumberFormat="1" applyFont="1"/>
    <xf numFmtId="0" fontId="158" fillId="0" borderId="45" xfId="0" applyFont="1" applyFill="1" applyBorder="1" applyAlignment="1">
      <alignment horizontal="center"/>
    </xf>
    <xf numFmtId="164" fontId="248" fillId="0" borderId="0" xfId="0" applyNumberFormat="1" applyFont="1" applyAlignment="1">
      <alignment horizontal="right"/>
    </xf>
    <xf numFmtId="0" fontId="170" fillId="0" borderId="0" xfId="0" applyFont="1" applyFill="1" applyBorder="1" applyAlignment="1">
      <alignment horizontal="left"/>
    </xf>
    <xf numFmtId="8" fontId="30" fillId="0" borderId="0" xfId="0" applyNumberFormat="1" applyFont="1" applyFill="1" applyBorder="1"/>
    <xf numFmtId="8" fontId="191" fillId="0" borderId="0" xfId="0" applyNumberFormat="1" applyFont="1" applyAlignment="1">
      <alignment horizontal="right"/>
    </xf>
    <xf numFmtId="165" fontId="196" fillId="71" borderId="42" xfId="0" applyNumberFormat="1" applyFont="1" applyFill="1" applyBorder="1" applyAlignment="1">
      <alignment horizontal="center"/>
    </xf>
    <xf numFmtId="165" fontId="71" fillId="0" borderId="66" xfId="12049" applyNumberFormat="1" applyFont="1" applyBorder="1" applyAlignment="1">
      <alignment horizontal="right"/>
    </xf>
    <xf numFmtId="165" fontId="249" fillId="0" borderId="66" xfId="12049" applyNumberFormat="1" applyFont="1" applyBorder="1" applyAlignment="1">
      <alignment horizontal="right"/>
    </xf>
    <xf numFmtId="164" fontId="160" fillId="73" borderId="0" xfId="0" applyNumberFormat="1" applyFont="1" applyFill="1" applyProtection="1"/>
    <xf numFmtId="164" fontId="191" fillId="70" borderId="0" xfId="0" applyNumberFormat="1" applyFont="1" applyFill="1" applyAlignment="1">
      <alignment horizontal="right"/>
    </xf>
    <xf numFmtId="0" fontId="158" fillId="0" borderId="0" xfId="0" quotePrefix="1" applyFont="1" applyAlignment="1">
      <alignment horizontal="right"/>
    </xf>
    <xf numFmtId="0" fontId="158" fillId="0" borderId="0" xfId="0" quotePrefix="1" applyFont="1" applyFill="1" applyAlignment="1">
      <alignment horizontal="right"/>
    </xf>
    <xf numFmtId="0" fontId="158" fillId="0" borderId="0" xfId="20382" applyFont="1"/>
    <xf numFmtId="0" fontId="177" fillId="0" borderId="0" xfId="20382" applyFont="1"/>
    <xf numFmtId="0" fontId="158" fillId="0" borderId="0" xfId="20382" applyFont="1" applyAlignment="1">
      <alignment horizontal="center"/>
    </xf>
    <xf numFmtId="165" fontId="191" fillId="0" borderId="0" xfId="20382" applyNumberFormat="1" applyFont="1" applyFill="1" applyAlignment="1">
      <alignment horizontal="center"/>
    </xf>
    <xf numFmtId="165" fontId="158" fillId="0" borderId="0" xfId="20382" applyNumberFormat="1" applyFont="1" applyFill="1" applyAlignment="1">
      <alignment horizontal="center"/>
    </xf>
    <xf numFmtId="0" fontId="160" fillId="0" borderId="0" xfId="20382" applyFont="1" applyFill="1" applyBorder="1"/>
    <xf numFmtId="0" fontId="160" fillId="0" borderId="0" xfId="20382" applyFont="1" applyFill="1" applyBorder="1" applyAlignment="1">
      <alignment horizontal="center"/>
    </xf>
    <xf numFmtId="0" fontId="177" fillId="0" borderId="0" xfId="20382" applyFont="1" applyFill="1" applyBorder="1" applyAlignment="1">
      <alignment horizontal="left"/>
    </xf>
    <xf numFmtId="0" fontId="160" fillId="0" borderId="0" xfId="20382" applyFont="1" applyFill="1" applyBorder="1" applyAlignment="1">
      <alignment horizontal="center" wrapText="1"/>
    </xf>
    <xf numFmtId="165" fontId="191" fillId="0" borderId="0" xfId="20382" applyNumberFormat="1" applyFont="1" applyAlignment="1">
      <alignment horizontal="center"/>
    </xf>
    <xf numFmtId="0" fontId="177" fillId="0" borderId="0" xfId="20382" applyFont="1" applyFill="1"/>
    <xf numFmtId="165" fontId="158" fillId="0" borderId="0" xfId="20382" applyNumberFormat="1" applyFont="1"/>
    <xf numFmtId="165" fontId="158" fillId="0" borderId="0" xfId="20382" applyNumberFormat="1" applyFont="1" applyAlignment="1">
      <alignment horizontal="center"/>
    </xf>
    <xf numFmtId="165" fontId="191" fillId="0" borderId="0" xfId="20382" applyNumberFormat="1" applyFont="1" applyFill="1" applyBorder="1" applyAlignment="1">
      <alignment horizontal="center"/>
    </xf>
    <xf numFmtId="165" fontId="191" fillId="0" borderId="0" xfId="20382" applyNumberFormat="1" applyFont="1" applyBorder="1" applyAlignment="1">
      <alignment horizontal="center"/>
    </xf>
    <xf numFmtId="165" fontId="191" fillId="0" borderId="0" xfId="20383" applyNumberFormat="1" applyFont="1" applyFill="1" applyAlignment="1">
      <alignment horizontal="center"/>
    </xf>
    <xf numFmtId="165" fontId="158" fillId="0" borderId="0" xfId="20382" applyNumberFormat="1" applyFont="1" applyBorder="1" applyAlignment="1">
      <alignment horizontal="center"/>
    </xf>
    <xf numFmtId="0" fontId="163" fillId="0" borderId="0" xfId="20382" applyFont="1"/>
    <xf numFmtId="0" fontId="158" fillId="0" borderId="107" xfId="0" applyFont="1" applyBorder="1" applyAlignment="1">
      <alignment horizontal="center"/>
    </xf>
    <xf numFmtId="0" fontId="132" fillId="70" borderId="109" xfId="0" applyFont="1" applyFill="1" applyBorder="1"/>
    <xf numFmtId="0" fontId="158" fillId="73" borderId="109" xfId="0" applyFont="1" applyFill="1" applyBorder="1" applyAlignment="1">
      <alignment horizontal="center"/>
    </xf>
    <xf numFmtId="340" fontId="158" fillId="73" borderId="110" xfId="0" applyNumberFormat="1" applyFont="1" applyFill="1" applyBorder="1" applyAlignment="1">
      <alignment horizontal="right"/>
    </xf>
    <xf numFmtId="0" fontId="132" fillId="70" borderId="45" xfId="0" applyFont="1" applyFill="1" applyBorder="1"/>
    <xf numFmtId="0" fontId="158" fillId="73" borderId="45" xfId="0" applyFont="1" applyFill="1" applyBorder="1" applyAlignment="1">
      <alignment horizontal="center"/>
    </xf>
    <xf numFmtId="340" fontId="158" fillId="73" borderId="93" xfId="0" applyNumberFormat="1" applyFont="1" applyFill="1" applyBorder="1" applyAlignment="1">
      <alignment horizontal="right"/>
    </xf>
    <xf numFmtId="165" fontId="160" fillId="71" borderId="13" xfId="12422" applyNumberFormat="1" applyFont="1" applyFill="1" applyBorder="1"/>
    <xf numFmtId="0" fontId="160" fillId="71" borderId="111" xfId="0" applyFont="1" applyFill="1" applyBorder="1"/>
    <xf numFmtId="0" fontId="161" fillId="0" borderId="0" xfId="0" applyFont="1" applyFill="1" applyBorder="1" applyAlignment="1">
      <alignment horizontal="left"/>
    </xf>
    <xf numFmtId="0" fontId="161" fillId="0" borderId="112" xfId="0" applyFont="1" applyFill="1" applyBorder="1" applyAlignment="1">
      <alignment horizontal="left"/>
    </xf>
    <xf numFmtId="0" fontId="161" fillId="0" borderId="113" xfId="0" applyFont="1" applyFill="1" applyBorder="1" applyAlignment="1">
      <alignment horizontal="right"/>
    </xf>
    <xf numFmtId="165" fontId="160" fillId="71" borderId="115" xfId="12422" applyNumberFormat="1" applyFont="1" applyFill="1" applyBorder="1"/>
    <xf numFmtId="0" fontId="30" fillId="0" borderId="0" xfId="0" quotePrefix="1" applyFont="1" applyFill="1" applyAlignment="1">
      <alignment horizontal="right"/>
    </xf>
    <xf numFmtId="0" fontId="30" fillId="0" borderId="0" xfId="0" quotePrefix="1" applyFont="1" applyFill="1" applyAlignment="1">
      <alignment horizontal="right" vertical="top"/>
    </xf>
    <xf numFmtId="0" fontId="30" fillId="0" borderId="0" xfId="0" quotePrefix="1" applyFont="1" applyFill="1" applyAlignment="1">
      <alignment horizontal="left"/>
    </xf>
    <xf numFmtId="0" fontId="158" fillId="0" borderId="113" xfId="0" applyFont="1" applyBorder="1"/>
    <xf numFmtId="234" fontId="191" fillId="0" borderId="114" xfId="0" applyNumberFormat="1" applyFont="1" applyBorder="1" applyAlignment="1">
      <alignment horizontal="right"/>
    </xf>
    <xf numFmtId="164" fontId="239" fillId="0" borderId="0" xfId="0" applyNumberFormat="1" applyFont="1" applyAlignment="1">
      <alignment horizontal="right"/>
    </xf>
    <xf numFmtId="192" fontId="239" fillId="0" borderId="0" xfId="0" applyNumberFormat="1" applyFont="1" applyAlignment="1">
      <alignment horizontal="right"/>
    </xf>
    <xf numFmtId="340" fontId="239" fillId="0" borderId="0" xfId="0" applyNumberFormat="1" applyFont="1" applyAlignment="1">
      <alignment horizontal="right"/>
    </xf>
    <xf numFmtId="165" fontId="239" fillId="0" borderId="0" xfId="12422" applyNumberFormat="1" applyFont="1" applyAlignment="1">
      <alignment horizontal="right"/>
    </xf>
    <xf numFmtId="191" fontId="239" fillId="0" borderId="0" xfId="0" applyNumberFormat="1" applyFont="1" applyAlignment="1">
      <alignment horizontal="right"/>
    </xf>
    <xf numFmtId="167" fontId="239" fillId="0" borderId="0" xfId="12427" applyNumberFormat="1" applyFont="1" applyAlignment="1">
      <alignment horizontal="right"/>
    </xf>
    <xf numFmtId="0" fontId="158" fillId="0" borderId="0" xfId="20382" quotePrefix="1" applyFont="1" applyAlignment="1">
      <alignment horizontal="right"/>
    </xf>
    <xf numFmtId="0" fontId="158" fillId="0" borderId="0" xfId="20382" quotePrefix="1" applyFont="1" applyAlignment="1">
      <alignment horizontal="right" vertical="top"/>
    </xf>
    <xf numFmtId="0" fontId="158" fillId="0" borderId="0" xfId="0" quotePrefix="1" applyFont="1" applyAlignment="1">
      <alignment horizontal="left"/>
    </xf>
    <xf numFmtId="0" fontId="30" fillId="0" borderId="0" xfId="11846" applyFont="1" applyFill="1" applyBorder="1" applyAlignment="1">
      <alignment horizontal="left" indent="1"/>
    </xf>
    <xf numFmtId="0" fontId="160" fillId="71" borderId="118" xfId="0" applyFont="1" applyFill="1" applyBorder="1"/>
    <xf numFmtId="0" fontId="158" fillId="71" borderId="119" xfId="0" applyFont="1" applyFill="1" applyBorder="1"/>
    <xf numFmtId="165" fontId="160" fillId="71" borderId="120" xfId="0" applyNumberFormat="1" applyFont="1" applyFill="1" applyBorder="1"/>
    <xf numFmtId="167" fontId="160" fillId="71" borderId="0" xfId="12427" applyNumberFormat="1" applyFont="1" applyFill="1" applyBorder="1"/>
    <xf numFmtId="167" fontId="160" fillId="71" borderId="45" xfId="12427" applyNumberFormat="1" applyFont="1" applyFill="1" applyBorder="1"/>
    <xf numFmtId="43" fontId="251" fillId="68" borderId="56" xfId="11155" applyFont="1" applyFill="1" applyBorder="1" applyAlignment="1"/>
    <xf numFmtId="43" fontId="238" fillId="0" borderId="0" xfId="12427" applyFont="1"/>
    <xf numFmtId="43" fontId="251" fillId="68" borderId="0" xfId="11155" applyFont="1" applyFill="1" applyBorder="1" applyAlignment="1"/>
    <xf numFmtId="43" fontId="251" fillId="68" borderId="57" xfId="11155" applyFont="1" applyFill="1" applyBorder="1" applyAlignment="1"/>
    <xf numFmtId="242" fontId="158" fillId="0" borderId="0" xfId="0" applyNumberFormat="1" applyFont="1" applyFill="1" applyAlignment="1">
      <alignment horizontal="right"/>
    </xf>
    <xf numFmtId="0" fontId="160" fillId="71" borderId="61" xfId="11807" applyFont="1" applyFill="1" applyBorder="1"/>
    <xf numFmtId="0" fontId="158" fillId="71" borderId="0" xfId="11807" applyFont="1" applyFill="1" applyBorder="1"/>
    <xf numFmtId="167" fontId="160" fillId="71" borderId="13" xfId="12427" applyNumberFormat="1" applyFont="1" applyFill="1" applyBorder="1"/>
    <xf numFmtId="0" fontId="158" fillId="71" borderId="45" xfId="11807" applyFont="1" applyFill="1" applyBorder="1"/>
    <xf numFmtId="167" fontId="160" fillId="71" borderId="93" xfId="12427" applyNumberFormat="1" applyFont="1" applyFill="1" applyBorder="1"/>
    <xf numFmtId="169" fontId="160" fillId="71" borderId="119" xfId="0" applyNumberFormat="1" applyFont="1" applyFill="1" applyBorder="1"/>
    <xf numFmtId="0" fontId="160" fillId="71" borderId="119" xfId="0" applyFont="1" applyFill="1" applyBorder="1"/>
    <xf numFmtId="169" fontId="160" fillId="71" borderId="120" xfId="0" applyNumberFormat="1" applyFont="1" applyFill="1" applyBorder="1"/>
    <xf numFmtId="0" fontId="158" fillId="0" borderId="116" xfId="0" applyFont="1" applyBorder="1"/>
    <xf numFmtId="234" fontId="191" fillId="0" borderId="117" xfId="0" applyNumberFormat="1" applyFont="1" applyBorder="1" applyAlignment="1">
      <alignment horizontal="right"/>
    </xf>
    <xf numFmtId="165" fontId="160" fillId="71" borderId="119" xfId="0" applyNumberFormat="1" applyFont="1" applyFill="1" applyBorder="1"/>
    <xf numFmtId="234" fontId="160" fillId="71" borderId="119" xfId="0" applyNumberFormat="1" applyFont="1" applyFill="1" applyBorder="1"/>
    <xf numFmtId="10" fontId="160" fillId="71" borderId="119" xfId="0" applyNumberFormat="1" applyFont="1" applyFill="1" applyBorder="1"/>
    <xf numFmtId="10" fontId="161" fillId="71" borderId="119" xfId="0" applyNumberFormat="1" applyFont="1" applyFill="1" applyBorder="1"/>
    <xf numFmtId="165" fontId="161" fillId="71" borderId="119" xfId="0" applyNumberFormat="1" applyFont="1" applyFill="1" applyBorder="1"/>
    <xf numFmtId="0" fontId="161" fillId="71" borderId="119" xfId="0" applyFont="1" applyFill="1" applyBorder="1"/>
    <xf numFmtId="168" fontId="160" fillId="71" borderId="119" xfId="0" applyNumberFormat="1" applyFont="1" applyFill="1" applyBorder="1" applyAlignment="1">
      <alignment horizontal="right"/>
    </xf>
    <xf numFmtId="168" fontId="161" fillId="71" borderId="119" xfId="0" applyNumberFormat="1" applyFont="1" applyFill="1" applyBorder="1" applyAlignment="1">
      <alignment horizontal="right"/>
    </xf>
    <xf numFmtId="165" fontId="161" fillId="71" borderId="120" xfId="0" applyNumberFormat="1" applyFont="1" applyFill="1" applyBorder="1" applyAlignment="1">
      <alignment horizontal="right"/>
    </xf>
    <xf numFmtId="10" fontId="160" fillId="71" borderId="45" xfId="0" applyNumberFormat="1" applyFont="1" applyFill="1" applyBorder="1"/>
    <xf numFmtId="10" fontId="161" fillId="71" borderId="45" xfId="0" applyNumberFormat="1" applyFont="1" applyFill="1" applyBorder="1"/>
    <xf numFmtId="165" fontId="161" fillId="71" borderId="45" xfId="0" applyNumberFormat="1" applyFont="1" applyFill="1" applyBorder="1"/>
    <xf numFmtId="0" fontId="161" fillId="71" borderId="45" xfId="0" applyFont="1" applyFill="1" applyBorder="1"/>
    <xf numFmtId="168" fontId="160" fillId="71" borderId="45" xfId="0" applyNumberFormat="1" applyFont="1" applyFill="1" applyBorder="1" applyAlignment="1">
      <alignment horizontal="right"/>
    </xf>
    <xf numFmtId="168" fontId="161" fillId="71" borderId="45" xfId="0" applyNumberFormat="1" applyFont="1" applyFill="1" applyBorder="1" applyAlignment="1">
      <alignment horizontal="right"/>
    </xf>
    <xf numFmtId="165" fontId="161" fillId="71" borderId="93" xfId="0" applyNumberFormat="1" applyFont="1" applyFill="1" applyBorder="1" applyAlignment="1">
      <alignment horizontal="right"/>
    </xf>
    <xf numFmtId="169" fontId="191" fillId="0" borderId="0" xfId="0" applyNumberFormat="1" applyFont="1" applyAlignment="1">
      <alignment horizontal="right"/>
    </xf>
    <xf numFmtId="0" fontId="158" fillId="0" borderId="120" xfId="0" applyFont="1" applyBorder="1"/>
    <xf numFmtId="8" fontId="239" fillId="0" borderId="13" xfId="0" applyNumberFormat="1" applyFont="1" applyBorder="1"/>
    <xf numFmtId="167" fontId="191" fillId="0" borderId="93" xfId="12427" applyNumberFormat="1" applyFont="1" applyBorder="1"/>
    <xf numFmtId="0" fontId="238" fillId="0" borderId="118" xfId="0" applyFont="1" applyBorder="1"/>
    <xf numFmtId="0" fontId="238" fillId="0" borderId="120" xfId="0" applyFont="1" applyBorder="1"/>
    <xf numFmtId="8" fontId="158" fillId="0" borderId="117" xfId="0" applyNumberFormat="1" applyFont="1" applyBorder="1"/>
    <xf numFmtId="0" fontId="177" fillId="0" borderId="45" xfId="0" applyFont="1" applyFill="1" applyBorder="1" applyAlignment="1">
      <alignment horizontal="left"/>
    </xf>
    <xf numFmtId="0" fontId="160" fillId="0" borderId="45" xfId="0" applyFont="1" applyFill="1" applyBorder="1" applyAlignment="1">
      <alignment horizontal="center" wrapText="1"/>
    </xf>
    <xf numFmtId="165" fontId="160" fillId="0" borderId="0" xfId="0" applyNumberFormat="1" applyFont="1" applyFill="1" applyBorder="1" applyAlignment="1">
      <alignment horizontal="right"/>
    </xf>
    <xf numFmtId="169" fontId="30" fillId="0" borderId="0" xfId="0" applyNumberFormat="1" applyFont="1" applyAlignment="1">
      <alignment horizontal="right"/>
    </xf>
    <xf numFmtId="234" fontId="158" fillId="0" borderId="0" xfId="20306" applyNumberFormat="1" applyFont="1" applyFill="1" applyAlignment="1">
      <alignment horizontal="right" vertical="top"/>
    </xf>
    <xf numFmtId="165" fontId="158" fillId="0" borderId="13" xfId="12422" applyNumberFormat="1" applyFont="1" applyBorder="1" applyAlignment="1">
      <alignment horizontal="center"/>
    </xf>
    <xf numFmtId="165" fontId="158" fillId="0" borderId="93" xfId="12422" applyNumberFormat="1" applyFont="1" applyBorder="1" applyAlignment="1">
      <alignment horizontal="center"/>
    </xf>
    <xf numFmtId="165" fontId="161" fillId="0" borderId="93" xfId="0" applyNumberFormat="1" applyFont="1" applyFill="1" applyBorder="1" applyAlignment="1">
      <alignment horizontal="center"/>
    </xf>
    <xf numFmtId="0" fontId="160" fillId="0" borderId="0" xfId="0" applyFont="1" applyFill="1" applyBorder="1" applyAlignment="1">
      <alignment horizontal="left"/>
    </xf>
    <xf numFmtId="165" fontId="238" fillId="0" borderId="0" xfId="20382" applyNumberFormat="1" applyFont="1" applyBorder="1" applyAlignment="1">
      <alignment horizontal="left"/>
    </xf>
    <xf numFmtId="0" fontId="160" fillId="0" borderId="75" xfId="0" applyFont="1" applyBorder="1"/>
    <xf numFmtId="0" fontId="158" fillId="0" borderId="75" xfId="0" applyFont="1" applyBorder="1"/>
    <xf numFmtId="164" fontId="158" fillId="0" borderId="75" xfId="0" applyNumberFormat="1" applyFont="1" applyBorder="1"/>
    <xf numFmtId="0" fontId="158" fillId="0" borderId="75" xfId="0" applyFont="1" applyBorder="1" applyAlignment="1">
      <alignment wrapText="1"/>
    </xf>
    <xf numFmtId="14" fontId="158" fillId="0" borderId="75" xfId="0" applyNumberFormat="1" applyFont="1" applyBorder="1"/>
    <xf numFmtId="0" fontId="158" fillId="0" borderId="0" xfId="0" quotePrefix="1" applyFont="1" applyAlignment="1">
      <alignment horizontal="right" vertical="top"/>
    </xf>
    <xf numFmtId="165" fontId="158" fillId="0" borderId="118" xfId="12422" applyNumberFormat="1" applyFont="1" applyBorder="1"/>
    <xf numFmtId="0" fontId="158" fillId="0" borderId="119" xfId="0" applyFont="1" applyBorder="1"/>
    <xf numFmtId="165" fontId="158" fillId="0" borderId="61" xfId="12422" applyNumberFormat="1" applyFont="1" applyBorder="1"/>
    <xf numFmtId="0" fontId="252" fillId="0" borderId="13" xfId="0" applyFont="1" applyBorder="1"/>
    <xf numFmtId="0" fontId="238" fillId="0" borderId="61" xfId="0" applyFont="1" applyBorder="1"/>
    <xf numFmtId="0" fontId="238" fillId="0" borderId="10" xfId="0" applyFont="1" applyBorder="1"/>
    <xf numFmtId="22" fontId="158" fillId="0" borderId="0" xfId="0" applyNumberFormat="1" applyFont="1" applyAlignment="1">
      <alignment horizontal="left"/>
    </xf>
    <xf numFmtId="0" fontId="161" fillId="0" borderId="85" xfId="20379" applyFont="1" applyFill="1" applyBorder="1" applyAlignment="1" applyProtection="1">
      <alignment horizontal="left"/>
      <protection locked="0"/>
    </xf>
    <xf numFmtId="0" fontId="161" fillId="0" borderId="86" xfId="20379" applyFont="1" applyFill="1" applyBorder="1" applyAlignment="1" applyProtection="1">
      <alignment horizontal="center"/>
      <protection locked="0"/>
    </xf>
    <xf numFmtId="0" fontId="161" fillId="0" borderId="86" xfId="20379" applyFont="1" applyFill="1" applyBorder="1" applyAlignment="1" applyProtection="1">
      <alignment horizontal="right"/>
      <protection locked="0"/>
    </xf>
    <xf numFmtId="0" fontId="161" fillId="0" borderId="89" xfId="20379" applyFont="1" applyFill="1" applyBorder="1" applyAlignment="1" applyProtection="1">
      <alignment horizontal="right"/>
      <protection locked="0"/>
    </xf>
    <xf numFmtId="0" fontId="30" fillId="0" borderId="61" xfId="20379" applyFont="1" applyFill="1" applyBorder="1" applyProtection="1">
      <protection locked="0"/>
    </xf>
    <xf numFmtId="0" fontId="30" fillId="0" borderId="0" xfId="20379" applyFont="1" applyFill="1" applyBorder="1" applyProtection="1">
      <protection locked="0"/>
    </xf>
    <xf numFmtId="366" fontId="30" fillId="0" borderId="0" xfId="11155" applyNumberFormat="1" applyFont="1" applyFill="1" applyBorder="1" applyProtection="1">
      <protection locked="0"/>
    </xf>
    <xf numFmtId="10" fontId="30" fillId="0" borderId="13" xfId="12074" applyNumberFormat="1" applyFont="1" applyFill="1" applyBorder="1" applyAlignment="1" applyProtection="1">
      <alignment horizontal="right"/>
      <protection locked="0"/>
    </xf>
    <xf numFmtId="0" fontId="30" fillId="0" borderId="13" xfId="20379" applyFont="1" applyFill="1" applyBorder="1" applyAlignment="1" applyProtection="1">
      <alignment horizontal="right"/>
      <protection locked="0"/>
    </xf>
    <xf numFmtId="0" fontId="30" fillId="0" borderId="10" xfId="20379" applyFont="1" applyFill="1" applyBorder="1" applyProtection="1">
      <protection locked="0"/>
    </xf>
    <xf numFmtId="0" fontId="30" fillId="0" borderId="45" xfId="20379" applyFont="1" applyFill="1" applyBorder="1" applyProtection="1">
      <protection locked="0"/>
    </xf>
    <xf numFmtId="366" fontId="30" fillId="0" borderId="45" xfId="11155" applyNumberFormat="1" applyFont="1" applyFill="1" applyBorder="1" applyProtection="1">
      <protection locked="0"/>
    </xf>
    <xf numFmtId="10" fontId="30" fillId="0" borderId="93" xfId="12074" applyNumberFormat="1" applyFont="1" applyFill="1" applyBorder="1" applyAlignment="1" applyProtection="1">
      <alignment horizontal="right"/>
      <protection locked="0"/>
    </xf>
    <xf numFmtId="0" fontId="30" fillId="0" borderId="61" xfId="0" applyFont="1" applyFill="1" applyBorder="1"/>
    <xf numFmtId="165" fontId="30" fillId="0" borderId="0" xfId="0" applyNumberFormat="1" applyFont="1" applyFill="1" applyBorder="1" applyAlignment="1">
      <alignment horizontal="center"/>
    </xf>
    <xf numFmtId="8" fontId="239" fillId="0" borderId="51" xfId="0" applyNumberFormat="1" applyFont="1" applyBorder="1"/>
    <xf numFmtId="0" fontId="30" fillId="0" borderId="45" xfId="0" applyFont="1" applyBorder="1"/>
    <xf numFmtId="0" fontId="30" fillId="0" borderId="0" xfId="0" applyFont="1" applyBorder="1"/>
    <xf numFmtId="0" fontId="30" fillId="0" borderId="0" xfId="0" applyNumberFormat="1" applyFont="1"/>
    <xf numFmtId="169" fontId="161" fillId="0" borderId="0" xfId="0" applyNumberFormat="1" applyFont="1"/>
    <xf numFmtId="169" fontId="30" fillId="74" borderId="0" xfId="0" applyNumberFormat="1" applyFont="1" applyFill="1" applyBorder="1"/>
    <xf numFmtId="0" fontId="158" fillId="76" borderId="0" xfId="0" applyFont="1" applyFill="1" applyAlignment="1">
      <alignment horizontal="right"/>
    </xf>
    <xf numFmtId="0" fontId="158" fillId="0" borderId="0" xfId="0" applyFont="1" applyFill="1" applyAlignment="1">
      <alignment horizontal="right"/>
    </xf>
    <xf numFmtId="165" fontId="132" fillId="0" borderId="0" xfId="0" applyNumberFormat="1" applyFont="1" applyAlignment="1">
      <alignment horizontal="right"/>
    </xf>
    <xf numFmtId="0" fontId="239" fillId="0" borderId="0" xfId="0" applyFont="1" applyAlignment="1">
      <alignment horizontal="right"/>
    </xf>
    <xf numFmtId="0" fontId="170" fillId="72" borderId="118" xfId="0" applyFont="1" applyFill="1" applyBorder="1" applyAlignment="1">
      <alignment horizontal="centerContinuous"/>
    </xf>
    <xf numFmtId="0" fontId="170" fillId="72" borderId="103" xfId="0" applyFont="1" applyFill="1" applyBorder="1" applyAlignment="1">
      <alignment horizontal="centerContinuous"/>
    </xf>
    <xf numFmtId="0" fontId="161" fillId="0" borderId="116" xfId="0" applyFont="1" applyFill="1" applyBorder="1" applyAlignment="1">
      <alignment horizontal="right" wrapText="1"/>
    </xf>
    <xf numFmtId="0" fontId="161" fillId="0" borderId="121" xfId="0" applyFont="1" applyFill="1" applyBorder="1" applyAlignment="1">
      <alignment horizontal="right" wrapText="1"/>
    </xf>
    <xf numFmtId="8" fontId="239" fillId="0" borderId="0" xfId="0" applyNumberFormat="1" applyFont="1" applyAlignment="1">
      <alignment horizontal="right"/>
    </xf>
    <xf numFmtId="10" fontId="158" fillId="0" borderId="0" xfId="12422" applyNumberFormat="1" applyFont="1"/>
    <xf numFmtId="0" fontId="30" fillId="0" borderId="0" xfId="0" applyFont="1" applyAlignment="1">
      <alignment horizontal="right" wrapText="1"/>
    </xf>
    <xf numFmtId="192" fontId="30" fillId="0" borderId="0" xfId="0" applyNumberFormat="1" applyFont="1" applyAlignment="1">
      <alignment horizontal="right"/>
    </xf>
    <xf numFmtId="165" fontId="30" fillId="0" borderId="0" xfId="12422" applyNumberFormat="1" applyFont="1" applyAlignment="1">
      <alignment horizontal="right"/>
    </xf>
    <xf numFmtId="167" fontId="30" fillId="0" borderId="0" xfId="12427" applyNumberFormat="1" applyFont="1" applyAlignment="1">
      <alignment horizontal="right"/>
    </xf>
    <xf numFmtId="0" fontId="253" fillId="0" borderId="0" xfId="12421" applyFont="1" applyAlignment="1">
      <alignment horizontal="center"/>
    </xf>
    <xf numFmtId="0" fontId="30" fillId="0" borderId="0" xfId="11807" applyFont="1" applyFill="1"/>
    <xf numFmtId="0" fontId="245" fillId="0" borderId="4" xfId="0" applyFont="1" applyBorder="1" applyAlignment="1">
      <alignment wrapText="1"/>
    </xf>
    <xf numFmtId="0" fontId="158" fillId="0" borderId="5" xfId="0" applyFont="1" applyBorder="1" applyAlignment="1">
      <alignment wrapText="1"/>
    </xf>
    <xf numFmtId="0" fontId="132" fillId="0" borderId="5" xfId="0" applyFont="1" applyBorder="1" applyAlignment="1">
      <alignment wrapText="1"/>
    </xf>
    <xf numFmtId="0" fontId="132" fillId="0" borderId="6" xfId="0" applyFont="1" applyBorder="1" applyAlignment="1">
      <alignment wrapText="1"/>
    </xf>
    <xf numFmtId="0" fontId="254" fillId="0" borderId="0" xfId="0" applyFont="1" applyAlignment="1">
      <alignment horizontal="left" indent="2"/>
    </xf>
    <xf numFmtId="0" fontId="158" fillId="0" borderId="34" xfId="0" applyFont="1" applyBorder="1" applyAlignment="1">
      <alignment wrapText="1"/>
    </xf>
    <xf numFmtId="0" fontId="158" fillId="0" borderId="35" xfId="0" applyFont="1" applyBorder="1" applyAlignment="1">
      <alignment wrapText="1"/>
    </xf>
    <xf numFmtId="0" fontId="132" fillId="0" borderId="35" xfId="0" applyFont="1" applyBorder="1" applyAlignment="1">
      <alignment wrapText="1"/>
    </xf>
    <xf numFmtId="0" fontId="132" fillId="0" borderId="42" xfId="0" applyFont="1" applyBorder="1" applyAlignment="1">
      <alignment wrapText="1"/>
    </xf>
    <xf numFmtId="0" fontId="160" fillId="0" borderId="34" xfId="0" applyFont="1" applyBorder="1"/>
    <xf numFmtId="169" fontId="255" fillId="0" borderId="35" xfId="0" applyNumberFormat="1" applyFont="1" applyBorder="1"/>
    <xf numFmtId="169" fontId="255" fillId="0" borderId="42" xfId="0" applyNumberFormat="1" applyFont="1" applyBorder="1"/>
    <xf numFmtId="270" fontId="158" fillId="0" borderId="0" xfId="0" applyNumberFormat="1" applyFont="1" applyBorder="1"/>
    <xf numFmtId="167" fontId="158" fillId="0" borderId="0" xfId="0" applyNumberFormat="1" applyFont="1"/>
    <xf numFmtId="8" fontId="158" fillId="0" borderId="0" xfId="0" applyNumberFormat="1" applyFont="1" applyBorder="1"/>
    <xf numFmtId="165" fontId="197" fillId="0" borderId="0" xfId="12422" applyNumberFormat="1" applyFont="1"/>
    <xf numFmtId="167" fontId="158" fillId="0" borderId="122" xfId="0" applyNumberFormat="1" applyFont="1" applyBorder="1"/>
    <xf numFmtId="165" fontId="158" fillId="0" borderId="122" xfId="12422" applyNumberFormat="1" applyFont="1" applyBorder="1"/>
    <xf numFmtId="0" fontId="239" fillId="0" borderId="0" xfId="20382" applyFont="1"/>
    <xf numFmtId="0" fontId="191" fillId="0" borderId="0" xfId="20382" applyFont="1"/>
    <xf numFmtId="165" fontId="191" fillId="0" borderId="0" xfId="0" applyNumberFormat="1" applyFont="1" applyFill="1" applyAlignment="1">
      <alignment horizontal="right" vertical="center"/>
    </xf>
    <xf numFmtId="165" fontId="30" fillId="0" borderId="0" xfId="0" applyNumberFormat="1" applyFont="1" applyFill="1" applyAlignment="1">
      <alignment horizontal="right" vertical="center"/>
    </xf>
    <xf numFmtId="165" fontId="158" fillId="0" borderId="0" xfId="0" applyNumberFormat="1" applyFont="1" applyFill="1" applyAlignment="1">
      <alignment horizontal="right" vertical="center"/>
    </xf>
    <xf numFmtId="165" fontId="132" fillId="0" borderId="0" xfId="0" applyNumberFormat="1" applyFont="1" applyFill="1" applyAlignment="1">
      <alignment horizontal="right"/>
    </xf>
    <xf numFmtId="0" fontId="170" fillId="0" borderId="0" xfId="0" applyFont="1" applyFill="1" applyBorder="1" applyAlignment="1">
      <alignment horizontal="left" vertical="center" wrapText="1"/>
    </xf>
    <xf numFmtId="0" fontId="170" fillId="0" borderId="0" xfId="0" applyFont="1" applyFill="1" applyBorder="1" applyAlignment="1">
      <alignment horizontal="right" vertical="center" wrapText="1"/>
    </xf>
    <xf numFmtId="0" fontId="160" fillId="0" borderId="0" xfId="0" applyFont="1" applyFill="1" applyBorder="1" applyAlignment="1">
      <alignment horizontal="center" wrapText="1"/>
    </xf>
    <xf numFmtId="165" fontId="158" fillId="29" borderId="0" xfId="0" applyNumberFormat="1" applyFont="1" applyFill="1" applyBorder="1" applyAlignment="1"/>
    <xf numFmtId="0" fontId="158" fillId="0" borderId="0" xfId="0" applyFont="1" applyFill="1" applyBorder="1" applyAlignment="1">
      <alignment horizontal="left"/>
    </xf>
    <xf numFmtId="1" fontId="191" fillId="0" borderId="0" xfId="0" applyNumberFormat="1" applyFont="1" applyFill="1" applyBorder="1" applyAlignment="1">
      <alignment horizontal="center"/>
    </xf>
    <xf numFmtId="165" fontId="158" fillId="0" borderId="0" xfId="0" applyNumberFormat="1" applyFont="1" applyFill="1" applyBorder="1"/>
    <xf numFmtId="0" fontId="177" fillId="0" borderId="0" xfId="0" applyFont="1" applyFill="1" applyBorder="1" applyAlignment="1">
      <alignment horizontal="left"/>
    </xf>
    <xf numFmtId="0" fontId="160" fillId="0" borderId="0" xfId="0" applyFont="1" applyFill="1" applyBorder="1" applyAlignment="1">
      <alignment horizontal="right"/>
    </xf>
    <xf numFmtId="0" fontId="163" fillId="0" borderId="0" xfId="0" applyFont="1" applyFill="1" applyBorder="1"/>
    <xf numFmtId="0" fontId="158" fillId="0" borderId="0" xfId="0" quotePrefix="1" applyFont="1" applyFill="1" applyBorder="1"/>
    <xf numFmtId="165" fontId="158" fillId="0" borderId="0" xfId="0" applyNumberFormat="1" applyFont="1" applyBorder="1"/>
    <xf numFmtId="0" fontId="177" fillId="0" borderId="0" xfId="0" applyFont="1" applyBorder="1"/>
    <xf numFmtId="0" fontId="158" fillId="0" borderId="123" xfId="0" applyFont="1" applyBorder="1"/>
    <xf numFmtId="0" fontId="238" fillId="0" borderId="0" xfId="0" applyFont="1" applyFill="1"/>
    <xf numFmtId="167" fontId="239" fillId="0" borderId="0" xfId="12427" applyNumberFormat="1" applyFont="1" applyFill="1" applyBorder="1" applyAlignment="1">
      <alignment horizontal="right"/>
    </xf>
    <xf numFmtId="167" fontId="239" fillId="0" borderId="0" xfId="12427" applyNumberFormat="1" applyFont="1" applyFill="1" applyBorder="1"/>
    <xf numFmtId="0" fontId="163" fillId="0" borderId="0" xfId="0" applyFont="1" applyFill="1"/>
    <xf numFmtId="0" fontId="158" fillId="0" borderId="61" xfId="0" applyFont="1" applyBorder="1" applyAlignment="1">
      <alignment horizontal="right"/>
    </xf>
    <xf numFmtId="0" fontId="158" fillId="0" borderId="123" xfId="0" applyFont="1" applyBorder="1" applyAlignment="1">
      <alignment horizontal="right"/>
    </xf>
    <xf numFmtId="0" fontId="233" fillId="0" borderId="76" xfId="0" applyFont="1" applyBorder="1" applyAlignment="1">
      <alignment horizontal="centerContinuous"/>
    </xf>
    <xf numFmtId="0" fontId="158" fillId="0" borderId="125" xfId="0" applyFont="1" applyBorder="1" applyAlignment="1">
      <alignment horizontal="centerContinuous"/>
    </xf>
    <xf numFmtId="8" fontId="160" fillId="0" borderId="13" xfId="0" applyNumberFormat="1" applyFont="1" applyBorder="1" applyAlignment="1">
      <alignment horizontal="right"/>
    </xf>
    <xf numFmtId="8" fontId="160" fillId="0" borderId="93" xfId="0" applyNumberFormat="1" applyFont="1" applyBorder="1" applyAlignment="1">
      <alignment horizontal="right"/>
    </xf>
    <xf numFmtId="0" fontId="158" fillId="0" borderId="76" xfId="0" applyFont="1" applyBorder="1" applyAlignment="1">
      <alignment horizontal="centerContinuous"/>
    </xf>
    <xf numFmtId="9" fontId="191" fillId="0" borderId="114" xfId="12422" applyFont="1" applyBorder="1" applyAlignment="1">
      <alignment horizontal="right"/>
    </xf>
    <xf numFmtId="167" fontId="158" fillId="0" borderId="0" xfId="12427" applyNumberFormat="1" applyFont="1" applyFill="1" applyBorder="1" applyAlignment="1">
      <alignment horizontal="center" wrapText="1"/>
    </xf>
    <xf numFmtId="242" fontId="158" fillId="0" borderId="51" xfId="0" applyNumberFormat="1" applyFont="1" applyFill="1" applyBorder="1" applyAlignment="1">
      <alignment horizontal="right"/>
    </xf>
    <xf numFmtId="0" fontId="160" fillId="71" borderId="123" xfId="11807" applyFont="1" applyFill="1" applyBorder="1"/>
    <xf numFmtId="242" fontId="158" fillId="0" borderId="124" xfId="0" applyNumberFormat="1" applyFont="1" applyFill="1" applyBorder="1" applyAlignment="1">
      <alignment horizontal="right"/>
    </xf>
    <xf numFmtId="242" fontId="158" fillId="0" borderId="124" xfId="16218" applyNumberFormat="1" applyFont="1" applyBorder="1" applyAlignment="1">
      <alignment horizontal="right"/>
    </xf>
    <xf numFmtId="0" fontId="158" fillId="0" borderId="0" xfId="0" applyFont="1" applyAlignment="1">
      <alignment horizontal="center" wrapText="1"/>
    </xf>
    <xf numFmtId="14" fontId="239" fillId="0" borderId="0" xfId="0" applyNumberFormat="1" applyFont="1" applyAlignment="1">
      <alignment horizontal="center"/>
    </xf>
    <xf numFmtId="8" fontId="191" fillId="0" borderId="0" xfId="0" applyNumberFormat="1" applyFont="1" applyBorder="1"/>
    <xf numFmtId="0" fontId="191" fillId="0" borderId="0" xfId="0" applyFont="1" applyBorder="1"/>
    <xf numFmtId="167" fontId="191" fillId="0" borderId="0" xfId="12427" applyNumberFormat="1" applyFont="1" applyBorder="1"/>
    <xf numFmtId="0" fontId="170" fillId="72" borderId="126" xfId="0" applyFont="1" applyFill="1" applyBorder="1" applyAlignment="1">
      <alignment horizontal="centerContinuous"/>
    </xf>
    <xf numFmtId="0" fontId="170" fillId="72" borderId="127" xfId="0" applyFont="1" applyFill="1" applyBorder="1" applyAlignment="1">
      <alignment horizontal="centerContinuous"/>
    </xf>
    <xf numFmtId="0" fontId="170" fillId="72" borderId="128" xfId="0" applyFont="1" applyFill="1" applyBorder="1" applyAlignment="1">
      <alignment horizontal="centerContinuous"/>
    </xf>
    <xf numFmtId="0" fontId="158" fillId="0" borderId="61" xfId="0" applyFont="1" applyFill="1" applyBorder="1"/>
    <xf numFmtId="0" fontId="160" fillId="0" borderId="123" xfId="0" applyFont="1" applyBorder="1"/>
    <xf numFmtId="0" fontId="160" fillId="0" borderId="45" xfId="0" applyFont="1" applyBorder="1"/>
    <xf numFmtId="165" fontId="160" fillId="0" borderId="93" xfId="0" applyNumberFormat="1" applyFont="1" applyBorder="1"/>
    <xf numFmtId="0" fontId="238" fillId="0" borderId="0" xfId="0" applyFont="1" applyBorder="1"/>
    <xf numFmtId="43" fontId="158" fillId="0" borderId="0" xfId="0" applyNumberFormat="1" applyFont="1" applyBorder="1"/>
    <xf numFmtId="0" fontId="0" fillId="0" borderId="0" xfId="0" applyBorder="1"/>
    <xf numFmtId="10" fontId="158" fillId="0" borderId="0" xfId="0" applyNumberFormat="1" applyFont="1" applyBorder="1"/>
    <xf numFmtId="168" fontId="158" fillId="0" borderId="0" xfId="0" applyNumberFormat="1" applyFont="1" applyBorder="1"/>
    <xf numFmtId="165" fontId="160" fillId="0" borderId="45" xfId="0" applyNumberFormat="1" applyFont="1" applyBorder="1"/>
    <xf numFmtId="10" fontId="132" fillId="0" borderId="0" xfId="0" applyNumberFormat="1" applyFont="1" applyBorder="1"/>
    <xf numFmtId="170" fontId="158" fillId="0" borderId="0" xfId="0" applyNumberFormat="1" applyFont="1" applyBorder="1"/>
    <xf numFmtId="43" fontId="30" fillId="0" borderId="0" xfId="0" applyNumberFormat="1" applyFont="1" applyFill="1" applyAlignment="1">
      <alignment horizontal="center"/>
    </xf>
    <xf numFmtId="0" fontId="132" fillId="0" borderId="0" xfId="0" applyFont="1" applyBorder="1" applyAlignment="1">
      <alignment wrapText="1"/>
    </xf>
    <xf numFmtId="168" fontId="161" fillId="0" borderId="126" xfId="0" applyNumberFormat="1" applyFont="1" applyFill="1" applyBorder="1" applyAlignment="1">
      <alignment horizontal="center"/>
    </xf>
    <xf numFmtId="168" fontId="161" fillId="0" borderId="127" xfId="0" applyNumberFormat="1" applyFont="1" applyFill="1" applyBorder="1" applyAlignment="1">
      <alignment horizontal="center"/>
    </xf>
    <xf numFmtId="168" fontId="161" fillId="0" borderId="128" xfId="0" applyNumberFormat="1" applyFont="1" applyFill="1" applyBorder="1" applyAlignment="1">
      <alignment horizontal="center"/>
    </xf>
    <xf numFmtId="0" fontId="260" fillId="0" borderId="0" xfId="12421" applyFont="1"/>
    <xf numFmtId="0" fontId="160" fillId="0" borderId="130" xfId="0" applyFont="1" applyBorder="1"/>
    <xf numFmtId="0" fontId="160" fillId="0" borderId="126" xfId="0" applyFont="1" applyBorder="1" applyAlignment="1">
      <alignment horizontal="center"/>
    </xf>
    <xf numFmtId="0" fontId="160" fillId="0" borderId="127" xfId="0" applyFont="1" applyBorder="1" applyAlignment="1">
      <alignment horizontal="center"/>
    </xf>
    <xf numFmtId="0" fontId="160" fillId="0" borderId="128" xfId="0" applyFont="1" applyBorder="1" applyAlignment="1">
      <alignment horizontal="right"/>
    </xf>
    <xf numFmtId="43" fontId="160" fillId="0" borderId="0" xfId="0" applyNumberFormat="1" applyFont="1" applyAlignment="1">
      <alignment horizontal="center" vertical="center"/>
    </xf>
    <xf numFmtId="0" fontId="30" fillId="0" borderId="0" xfId="0" applyFont="1" applyBorder="1" applyAlignment="1">
      <alignment horizontal="center"/>
    </xf>
    <xf numFmtId="0" fontId="238" fillId="0" borderId="130" xfId="0" applyFont="1" applyBorder="1"/>
    <xf numFmtId="43" fontId="238" fillId="0" borderId="0" xfId="0" applyNumberFormat="1" applyFont="1" applyAlignment="1">
      <alignment horizontal="center" vertical="center"/>
    </xf>
    <xf numFmtId="0" fontId="233" fillId="0" borderId="130" xfId="0" applyFont="1" applyBorder="1"/>
    <xf numFmtId="0" fontId="233" fillId="0" borderId="130" xfId="0" applyFont="1" applyBorder="1" applyAlignment="1">
      <alignment wrapText="1"/>
    </xf>
    <xf numFmtId="0" fontId="158" fillId="0" borderId="0" xfId="0" quotePrefix="1" applyFont="1" applyFill="1" applyBorder="1" applyAlignment="1">
      <alignment horizontal="left"/>
    </xf>
    <xf numFmtId="0" fontId="170" fillId="0" borderId="0" xfId="0" applyFont="1" applyFill="1" applyBorder="1" applyAlignment="1">
      <alignment horizontal="center"/>
    </xf>
    <xf numFmtId="169" fontId="162" fillId="0" borderId="0" xfId="0" applyNumberFormat="1" applyFont="1" applyBorder="1"/>
    <xf numFmtId="165" fontId="239" fillId="74" borderId="0" xfId="0" applyNumberFormat="1" applyFont="1" applyFill="1"/>
    <xf numFmtId="165" fontId="239" fillId="0" borderId="13" xfId="0" applyNumberFormat="1" applyFont="1" applyFill="1" applyBorder="1"/>
    <xf numFmtId="165" fontId="239" fillId="0" borderId="0" xfId="0" applyNumberFormat="1" applyFont="1" applyFill="1" applyBorder="1"/>
    <xf numFmtId="43" fontId="30" fillId="0" borderId="0" xfId="0" quotePrefix="1" applyNumberFormat="1" applyFont="1" applyFill="1" applyAlignment="1">
      <alignment horizontal="center"/>
    </xf>
    <xf numFmtId="10" fontId="239" fillId="0" borderId="0" xfId="0" applyNumberFormat="1" applyFont="1" applyBorder="1"/>
    <xf numFmtId="10" fontId="239" fillId="0" borderId="13" xfId="0" applyNumberFormat="1" applyFont="1" applyBorder="1"/>
    <xf numFmtId="247" fontId="30" fillId="0" borderId="0" xfId="12427" applyNumberFormat="1" applyFont="1" applyFill="1" applyBorder="1" applyAlignment="1">
      <alignment horizontal="right"/>
    </xf>
    <xf numFmtId="247" fontId="158" fillId="0" borderId="0" xfId="12427" applyNumberFormat="1" applyFont="1" applyAlignment="1">
      <alignment horizontal="right"/>
    </xf>
    <xf numFmtId="0" fontId="262" fillId="74" borderId="0" xfId="12421" applyFont="1" applyFill="1"/>
    <xf numFmtId="0" fontId="158" fillId="0" borderId="128" xfId="0" applyFont="1" applyBorder="1"/>
    <xf numFmtId="0" fontId="158" fillId="0" borderId="126" xfId="0" applyFont="1" applyBorder="1" applyAlignment="1">
      <alignment horizontal="right"/>
    </xf>
    <xf numFmtId="8" fontId="158" fillId="0" borderId="128" xfId="0" applyNumberFormat="1" applyFont="1" applyBorder="1"/>
    <xf numFmtId="167" fontId="158" fillId="0" borderId="0" xfId="12427" applyNumberFormat="1" applyFont="1" applyFill="1" applyBorder="1" applyAlignment="1">
      <alignment horizontal="right" wrapText="1"/>
    </xf>
    <xf numFmtId="247" fontId="158" fillId="0" borderId="0" xfId="12427" applyNumberFormat="1" applyFont="1" applyAlignment="1">
      <alignment horizontal="center"/>
    </xf>
    <xf numFmtId="247" fontId="30" fillId="0" borderId="0" xfId="12427" applyNumberFormat="1" applyFont="1" applyAlignment="1">
      <alignment horizontal="right"/>
    </xf>
    <xf numFmtId="0" fontId="161" fillId="0" borderId="127" xfId="0" applyFont="1" applyFill="1" applyBorder="1" applyAlignment="1">
      <alignment horizontal="center" wrapText="1"/>
    </xf>
    <xf numFmtId="169" fontId="160" fillId="71" borderId="131" xfId="0" applyNumberFormat="1" applyFont="1" applyFill="1" applyBorder="1"/>
    <xf numFmtId="0" fontId="158" fillId="71" borderId="131" xfId="0" applyFont="1" applyFill="1" applyBorder="1"/>
    <xf numFmtId="234" fontId="160" fillId="71" borderId="131" xfId="0" applyNumberFormat="1" applyFont="1" applyFill="1" applyBorder="1"/>
    <xf numFmtId="0" fontId="161" fillId="0" borderId="127" xfId="0" applyFont="1" applyFill="1" applyBorder="1" applyAlignment="1">
      <alignment horizontal="right" wrapText="1"/>
    </xf>
    <xf numFmtId="0" fontId="170" fillId="72" borderId="127" xfId="20306" applyFont="1" applyFill="1" applyBorder="1" applyAlignment="1">
      <alignment horizontal="centerContinuous"/>
    </xf>
    <xf numFmtId="0" fontId="161" fillId="0" borderId="127" xfId="20306" applyFont="1" applyFill="1" applyBorder="1" applyAlignment="1">
      <alignment horizontal="center" wrapText="1"/>
    </xf>
    <xf numFmtId="169" fontId="160" fillId="71" borderId="131" xfId="20306" applyNumberFormat="1" applyFont="1" applyFill="1" applyBorder="1"/>
    <xf numFmtId="0" fontId="170" fillId="72" borderId="4" xfId="0" applyFont="1" applyFill="1" applyBorder="1" applyAlignment="1">
      <alignment horizontal="centerContinuous" wrapText="1"/>
    </xf>
    <xf numFmtId="0" fontId="170" fillId="72" borderId="6" xfId="0" applyFont="1" applyFill="1" applyBorder="1" applyAlignment="1">
      <alignment horizontal="centerContinuous" wrapText="1"/>
    </xf>
    <xf numFmtId="0" fontId="158" fillId="0" borderId="132" xfId="0" applyFont="1" applyBorder="1"/>
    <xf numFmtId="0" fontId="160" fillId="71" borderId="135" xfId="0" applyFont="1" applyFill="1" applyBorder="1"/>
    <xf numFmtId="0" fontId="161" fillId="0" borderId="134" xfId="0" applyFont="1" applyFill="1" applyBorder="1" applyAlignment="1">
      <alignment horizontal="right" wrapText="1"/>
    </xf>
    <xf numFmtId="0" fontId="161" fillId="0" borderId="132" xfId="0" applyFont="1" applyFill="1" applyBorder="1" applyAlignment="1">
      <alignment horizontal="right" wrapText="1"/>
    </xf>
    <xf numFmtId="0" fontId="160" fillId="0" borderId="135" xfId="0" applyFont="1" applyBorder="1"/>
    <xf numFmtId="169" fontId="161" fillId="0" borderId="135" xfId="0" applyNumberFormat="1" applyFont="1" applyBorder="1"/>
    <xf numFmtId="9" fontId="191" fillId="0" borderId="134" xfId="0" applyNumberFormat="1" applyFont="1" applyBorder="1" applyAlignment="1">
      <alignment horizontal="right"/>
    </xf>
    <xf numFmtId="8" fontId="237" fillId="0" borderId="0" xfId="0" applyNumberFormat="1" applyFont="1" applyAlignment="1">
      <alignment horizontal="right"/>
    </xf>
    <xf numFmtId="43" fontId="158" fillId="0" borderId="0" xfId="0" applyNumberFormat="1" applyFont="1"/>
    <xf numFmtId="43" fontId="176" fillId="87" borderId="133" xfId="0" applyNumberFormat="1" applyFont="1" applyFill="1" applyBorder="1"/>
    <xf numFmtId="355" fontId="160" fillId="0" borderId="0" xfId="0" applyNumberFormat="1" applyFont="1"/>
    <xf numFmtId="0" fontId="201" fillId="0" borderId="0" xfId="0" applyFont="1" applyAlignment="1">
      <alignment horizontal="center"/>
    </xf>
    <xf numFmtId="355" fontId="158" fillId="0" borderId="0" xfId="12427" applyNumberFormat="1" applyFont="1"/>
    <xf numFmtId="355" fontId="160" fillId="0" borderId="0" xfId="12427" applyNumberFormat="1" applyFont="1"/>
    <xf numFmtId="355" fontId="158" fillId="0" borderId="0" xfId="0" applyNumberFormat="1" applyFont="1"/>
    <xf numFmtId="0" fontId="176" fillId="72" borderId="136" xfId="0" applyFont="1" applyFill="1" applyBorder="1"/>
    <xf numFmtId="0" fontId="176" fillId="72" borderId="137" xfId="0" applyFont="1" applyFill="1" applyBorder="1" applyAlignment="1">
      <alignment horizontal="center" wrapText="1"/>
    </xf>
    <xf numFmtId="0" fontId="176" fillId="72" borderId="138" xfId="0" applyFont="1" applyFill="1" applyBorder="1" applyAlignment="1">
      <alignment horizontal="center" wrapText="1"/>
    </xf>
    <xf numFmtId="242" fontId="158" fillId="0" borderId="0" xfId="12422" applyNumberFormat="1" applyFont="1"/>
    <xf numFmtId="165" fontId="191" fillId="0" borderId="0" xfId="0" applyNumberFormat="1" applyFont="1" applyBorder="1"/>
    <xf numFmtId="10" fontId="191" fillId="0" borderId="0" xfId="0" applyNumberFormat="1" applyFont="1" applyBorder="1"/>
    <xf numFmtId="0" fontId="170" fillId="0" borderId="13" xfId="0" applyFont="1" applyFill="1" applyBorder="1" applyAlignment="1">
      <alignment horizontal="centerContinuous"/>
    </xf>
    <xf numFmtId="0" fontId="161" fillId="0" borderId="0" xfId="0" applyFont="1" applyBorder="1"/>
    <xf numFmtId="169" fontId="30" fillId="0" borderId="0" xfId="0" applyNumberFormat="1" applyFont="1" applyFill="1" applyBorder="1"/>
    <xf numFmtId="43" fontId="240" fillId="68" borderId="57" xfId="11155" quotePrefix="1" applyFont="1" applyFill="1" applyBorder="1" applyAlignment="1">
      <alignment horizontal="left"/>
    </xf>
    <xf numFmtId="43" fontId="158" fillId="0" borderId="0" xfId="0" quotePrefix="1" applyNumberFormat="1" applyFont="1" applyAlignment="1">
      <alignment horizontal="center"/>
    </xf>
    <xf numFmtId="0" fontId="158" fillId="0" borderId="143" xfId="0" applyFont="1" applyBorder="1"/>
    <xf numFmtId="0" fontId="170" fillId="72" borderId="139" xfId="0" applyFont="1" applyFill="1" applyBorder="1" applyAlignment="1">
      <alignment horizontal="left"/>
    </xf>
    <xf numFmtId="0" fontId="170" fillId="72" borderId="145" xfId="0" applyFont="1" applyFill="1" applyBorder="1" applyAlignment="1">
      <alignment horizontal="centerContinuous"/>
    </xf>
    <xf numFmtId="0" fontId="170" fillId="72" borderId="146" xfId="0" applyFont="1" applyFill="1" applyBorder="1" applyAlignment="1">
      <alignment horizontal="centerContinuous"/>
    </xf>
    <xf numFmtId="0" fontId="170" fillId="72" borderId="147" xfId="0" applyFont="1" applyFill="1" applyBorder="1" applyAlignment="1">
      <alignment horizontal="right"/>
    </xf>
    <xf numFmtId="1" fontId="161" fillId="0" borderId="139" xfId="0" applyNumberFormat="1" applyFont="1" applyFill="1" applyBorder="1" applyAlignment="1">
      <alignment horizontal="right"/>
    </xf>
    <xf numFmtId="1" fontId="161" fillId="0" borderId="140" xfId="0" applyNumberFormat="1" applyFont="1" applyFill="1" applyBorder="1" applyAlignment="1">
      <alignment horizontal="right"/>
    </xf>
    <xf numFmtId="164" fontId="30" fillId="0" borderId="140" xfId="0" applyNumberFormat="1" applyFont="1" applyFill="1" applyBorder="1" applyAlignment="1">
      <alignment horizontal="right"/>
    </xf>
    <xf numFmtId="0" fontId="30" fillId="0" borderId="143" xfId="0" applyFont="1" applyBorder="1"/>
    <xf numFmtId="0" fontId="161" fillId="0" borderId="139" xfId="0" applyFont="1" applyFill="1" applyBorder="1"/>
    <xf numFmtId="0" fontId="158" fillId="0" borderId="140" xfId="0" applyFont="1" applyBorder="1"/>
    <xf numFmtId="270" fontId="30" fillId="0" borderId="0" xfId="0" applyNumberFormat="1" applyFont="1" applyBorder="1"/>
    <xf numFmtId="0" fontId="0" fillId="0" borderId="148" xfId="0" applyFill="1" applyBorder="1" applyAlignment="1">
      <alignment vertical="top" wrapText="1"/>
    </xf>
    <xf numFmtId="1" fontId="263" fillId="0" borderId="148" xfId="0" applyNumberFormat="1" applyFont="1" applyFill="1" applyBorder="1" applyAlignment="1">
      <alignment vertical="center" shrinkToFit="1"/>
    </xf>
    <xf numFmtId="0" fontId="264" fillId="0" borderId="0" xfId="0" applyFont="1" applyFill="1" applyBorder="1" applyAlignment="1">
      <alignment vertical="top" wrapText="1"/>
    </xf>
    <xf numFmtId="0" fontId="0" fillId="0" borderId="0" xfId="0" applyFill="1" applyBorder="1" applyAlignment="1">
      <alignment vertical="center" wrapText="1"/>
    </xf>
    <xf numFmtId="0" fontId="263" fillId="0" borderId="0" xfId="0" applyNumberFormat="1" applyFont="1" applyFill="1" applyBorder="1" applyAlignment="1">
      <alignment vertical="top" shrinkToFit="1"/>
    </xf>
    <xf numFmtId="3" fontId="263" fillId="0" borderId="0" xfId="0" applyNumberFormat="1" applyFont="1" applyFill="1" applyBorder="1" applyAlignment="1">
      <alignment vertical="top" shrinkToFit="1"/>
    </xf>
    <xf numFmtId="0" fontId="264" fillId="0" borderId="0" xfId="0" applyFont="1" applyFill="1" applyBorder="1" applyAlignment="1">
      <alignment vertical="center" wrapText="1"/>
    </xf>
    <xf numFmtId="0" fontId="0" fillId="0" borderId="149" xfId="0" applyFill="1" applyBorder="1" applyAlignment="1">
      <alignment vertical="top" wrapText="1"/>
    </xf>
    <xf numFmtId="0" fontId="0" fillId="0" borderId="0" xfId="0" applyFill="1" applyBorder="1" applyAlignment="1">
      <alignment vertical="top" wrapText="1"/>
    </xf>
    <xf numFmtId="0" fontId="0" fillId="0" borderId="13" xfId="0" applyFill="1" applyBorder="1" applyAlignment="1">
      <alignment vertical="center" wrapText="1"/>
    </xf>
    <xf numFmtId="0" fontId="264" fillId="0" borderId="61" xfId="0" applyFont="1" applyFill="1" applyBorder="1" applyAlignment="1">
      <alignment horizontal="left" vertical="top" wrapText="1"/>
    </xf>
    <xf numFmtId="0" fontId="264" fillId="0" borderId="61" xfId="0" applyFont="1" applyFill="1" applyBorder="1" applyAlignment="1">
      <alignment horizontal="left" vertical="center" wrapText="1"/>
    </xf>
    <xf numFmtId="0" fontId="160" fillId="0" borderId="143" xfId="0" applyFont="1" applyBorder="1"/>
    <xf numFmtId="169" fontId="161" fillId="0" borderId="143" xfId="0" applyNumberFormat="1" applyFont="1" applyBorder="1"/>
    <xf numFmtId="0" fontId="170" fillId="72" borderId="142" xfId="0" applyFont="1" applyFill="1" applyBorder="1" applyAlignment="1">
      <alignment horizontal="centerContinuous"/>
    </xf>
    <xf numFmtId="0" fontId="170" fillId="72" borderId="144" xfId="0" applyFont="1" applyFill="1" applyBorder="1" applyAlignment="1">
      <alignment horizontal="centerContinuous"/>
    </xf>
    <xf numFmtId="1" fontId="161" fillId="0" borderId="141" xfId="0" applyNumberFormat="1" applyFont="1" applyFill="1" applyBorder="1" applyAlignment="1">
      <alignment horizontal="right"/>
    </xf>
    <xf numFmtId="169" fontId="30" fillId="0" borderId="143" xfId="0" applyNumberFormat="1" applyFont="1" applyBorder="1"/>
    <xf numFmtId="0" fontId="161" fillId="0" borderId="143" xfId="0" applyFont="1" applyBorder="1"/>
    <xf numFmtId="169" fontId="161" fillId="0" borderId="0" xfId="0" applyNumberFormat="1" applyFont="1" applyBorder="1"/>
    <xf numFmtId="0" fontId="238" fillId="0" borderId="0" xfId="0" applyFont="1" applyFill="1" applyBorder="1"/>
    <xf numFmtId="0" fontId="170" fillId="72" borderId="139" xfId="0" applyFont="1" applyFill="1" applyBorder="1" applyAlignment="1">
      <alignment horizontal="centerContinuous"/>
    </xf>
    <xf numFmtId="0" fontId="170" fillId="72" borderId="141" xfId="0" applyFont="1" applyFill="1" applyBorder="1" applyAlignment="1">
      <alignment horizontal="centerContinuous"/>
    </xf>
    <xf numFmtId="0" fontId="170" fillId="0" borderId="0" xfId="0" applyFont="1" applyFill="1" applyBorder="1" applyAlignment="1">
      <alignment horizontal="centerContinuous"/>
    </xf>
    <xf numFmtId="0" fontId="30" fillId="0" borderId="0" xfId="0" applyFont="1" applyFill="1" applyBorder="1" applyAlignment="1">
      <alignment horizontal="left"/>
    </xf>
    <xf numFmtId="164" fontId="239" fillId="0" borderId="0" xfId="0" applyNumberFormat="1" applyFont="1" applyFill="1" applyBorder="1"/>
    <xf numFmtId="43" fontId="158" fillId="0" borderId="0" xfId="12427" applyFont="1" applyFill="1" applyBorder="1"/>
    <xf numFmtId="0" fontId="160" fillId="0" borderId="139" xfId="0" applyFont="1" applyFill="1" applyBorder="1" applyAlignment="1">
      <alignment horizontal="right" wrapText="1"/>
    </xf>
    <xf numFmtId="0" fontId="160" fillId="0" borderId="139" xfId="0" applyFont="1" applyFill="1" applyBorder="1" applyAlignment="1">
      <alignment horizontal="centerContinuous"/>
    </xf>
    <xf numFmtId="0" fontId="160" fillId="0" borderId="141" xfId="0" applyFont="1" applyFill="1" applyBorder="1" applyAlignment="1">
      <alignment horizontal="centerContinuous"/>
    </xf>
    <xf numFmtId="0" fontId="160" fillId="0" borderId="0" xfId="0" applyFont="1" applyFill="1" applyBorder="1" applyAlignment="1">
      <alignment horizontal="centerContinuous"/>
    </xf>
    <xf numFmtId="164" fontId="191" fillId="0" borderId="0" xfId="0" applyNumberFormat="1" applyFont="1" applyFill="1" applyBorder="1"/>
    <xf numFmtId="1" fontId="160" fillId="0" borderId="123" xfId="0" applyNumberFormat="1" applyFont="1" applyFill="1" applyBorder="1" applyAlignment="1">
      <alignment horizontal="right"/>
    </xf>
    <xf numFmtId="1" fontId="160" fillId="0" borderId="93" xfId="0" applyNumberFormat="1" applyFont="1" applyFill="1" applyBorder="1" applyAlignment="1">
      <alignment horizontal="right"/>
    </xf>
    <xf numFmtId="0" fontId="161" fillId="0" borderId="0" xfId="0" applyFont="1" applyFill="1" applyBorder="1" applyAlignment="1">
      <alignment horizontal="right"/>
    </xf>
    <xf numFmtId="1" fontId="161" fillId="0" borderId="0" xfId="0" applyNumberFormat="1" applyFont="1" applyFill="1" applyBorder="1" applyAlignment="1">
      <alignment horizontal="right"/>
    </xf>
    <xf numFmtId="169" fontId="191" fillId="0" borderId="0" xfId="0" applyNumberFormat="1" applyFont="1" applyFill="1" applyBorder="1"/>
    <xf numFmtId="167" fontId="160" fillId="0" borderId="0" xfId="12427" applyNumberFormat="1" applyFont="1"/>
    <xf numFmtId="0" fontId="160" fillId="0" borderId="150" xfId="0" applyFont="1" applyBorder="1"/>
    <xf numFmtId="0" fontId="158" fillId="0" borderId="150" xfId="0" applyFont="1" applyBorder="1"/>
    <xf numFmtId="167" fontId="160" fillId="0" borderId="150" xfId="12427" applyNumberFormat="1" applyFont="1" applyBorder="1"/>
    <xf numFmtId="270" fontId="160" fillId="0" borderId="0" xfId="0" applyNumberFormat="1" applyFont="1" applyFill="1" applyBorder="1"/>
    <xf numFmtId="0" fontId="160" fillId="0" borderId="139" xfId="0" applyFont="1" applyBorder="1"/>
    <xf numFmtId="167" fontId="191" fillId="0" borderId="0" xfId="12427" applyNumberFormat="1" applyFont="1"/>
    <xf numFmtId="165" fontId="163" fillId="0" borderId="0" xfId="0" applyNumberFormat="1" applyFont="1" applyFill="1" applyBorder="1" applyAlignment="1">
      <alignment horizontal="right"/>
    </xf>
    <xf numFmtId="169" fontId="196" fillId="0" borderId="0" xfId="0" applyNumberFormat="1" applyFont="1" applyFill="1" applyBorder="1"/>
    <xf numFmtId="0" fontId="158" fillId="0" borderId="0" xfId="0" quotePrefix="1" applyFont="1" applyFill="1" applyAlignment="1">
      <alignment horizontal="left"/>
    </xf>
    <xf numFmtId="0" fontId="10" fillId="0" borderId="0" xfId="20404"/>
    <xf numFmtId="0" fontId="156" fillId="0" borderId="0" xfId="20404" applyFont="1" applyAlignment="1">
      <alignment horizontal="center"/>
    </xf>
    <xf numFmtId="0" fontId="156" fillId="0" borderId="0" xfId="20404" applyFont="1" applyFill="1" applyAlignment="1">
      <alignment horizontal="center"/>
    </xf>
    <xf numFmtId="0" fontId="156" fillId="69" borderId="0" xfId="20404" applyFont="1" applyFill="1" applyAlignment="1">
      <alignment horizontal="center"/>
    </xf>
    <xf numFmtId="0" fontId="156" fillId="75" borderId="0" xfId="20404" applyFont="1" applyFill="1" applyAlignment="1">
      <alignment horizontal="center"/>
    </xf>
    <xf numFmtId="0" fontId="265" fillId="0" borderId="0" xfId="20404" applyFont="1"/>
    <xf numFmtId="0" fontId="156" fillId="0" borderId="0" xfId="20404" applyFont="1"/>
    <xf numFmtId="0" fontId="10" fillId="0" borderId="0" xfId="20404" applyFill="1"/>
    <xf numFmtId="0" fontId="10" fillId="69" borderId="0" xfId="20404" applyFill="1"/>
    <xf numFmtId="0" fontId="10" fillId="75" borderId="0" xfId="20404" applyFill="1"/>
    <xf numFmtId="0" fontId="0" fillId="0" borderId="0" xfId="20405" applyNumberFormat="1" applyFont="1" applyFill="1"/>
    <xf numFmtId="0" fontId="0" fillId="69" borderId="0" xfId="20405" applyNumberFormat="1" applyFont="1" applyFill="1"/>
    <xf numFmtId="0" fontId="0" fillId="75" borderId="0" xfId="20405" applyNumberFormat="1" applyFont="1" applyFill="1"/>
    <xf numFmtId="247" fontId="0" fillId="0" borderId="0" xfId="20406" applyNumberFormat="1" applyFont="1" applyFill="1"/>
    <xf numFmtId="247" fontId="0" fillId="69" borderId="0" xfId="20406" applyNumberFormat="1" applyFont="1" applyFill="1"/>
    <xf numFmtId="247" fontId="0" fillId="75" borderId="0" xfId="20406" applyNumberFormat="1" applyFont="1" applyFill="1"/>
    <xf numFmtId="0" fontId="10" fillId="0" borderId="0" xfId="20404" applyFont="1" applyFill="1" applyAlignment="1">
      <alignment horizontal="left" indent="1"/>
    </xf>
    <xf numFmtId="247" fontId="0" fillId="0" borderId="150" xfId="20406" applyNumberFormat="1" applyFont="1" applyFill="1" applyBorder="1"/>
    <xf numFmtId="247" fontId="0" fillId="69" borderId="150" xfId="20406" applyNumberFormat="1" applyFont="1" applyFill="1" applyBorder="1"/>
    <xf numFmtId="247" fontId="0" fillId="75" borderId="150" xfId="20406" applyNumberFormat="1" applyFont="1" applyFill="1" applyBorder="1"/>
    <xf numFmtId="247" fontId="0" fillId="0" borderId="151" xfId="20406" applyNumberFormat="1" applyFont="1" applyFill="1" applyBorder="1"/>
    <xf numFmtId="247" fontId="0" fillId="69" borderId="151" xfId="20406" applyNumberFormat="1" applyFont="1" applyFill="1" applyBorder="1"/>
    <xf numFmtId="247" fontId="0" fillId="75" borderId="151" xfId="20406" applyNumberFormat="1" applyFont="1" applyFill="1" applyBorder="1"/>
    <xf numFmtId="0" fontId="0" fillId="0" borderId="14" xfId="20405" applyNumberFormat="1" applyFont="1" applyFill="1" applyBorder="1"/>
    <xf numFmtId="0" fontId="0" fillId="69" borderId="14" xfId="20405" applyNumberFormat="1" applyFont="1" applyFill="1" applyBorder="1"/>
    <xf numFmtId="0" fontId="0" fillId="75" borderId="14" xfId="20405" applyNumberFormat="1" applyFont="1" applyFill="1" applyBorder="1"/>
    <xf numFmtId="271" fontId="0" fillId="0" borderId="0" xfId="20407" applyNumberFormat="1" applyFont="1" applyFill="1"/>
    <xf numFmtId="0" fontId="10" fillId="0" borderId="0" xfId="20404" applyFont="1" applyAlignment="1">
      <alignment horizontal="left" indent="1"/>
    </xf>
    <xf numFmtId="247" fontId="0" fillId="0" borderId="146" xfId="20406" applyNumberFormat="1" applyFont="1" applyFill="1" applyBorder="1"/>
    <xf numFmtId="247" fontId="0" fillId="69" borderId="146" xfId="20406" applyNumberFormat="1" applyFont="1" applyFill="1" applyBorder="1"/>
    <xf numFmtId="247" fontId="0" fillId="75" borderId="146" xfId="20406" applyNumberFormat="1" applyFont="1" applyFill="1" applyBorder="1"/>
    <xf numFmtId="0" fontId="10" fillId="0" borderId="0" xfId="20404" applyFont="1" applyFill="1"/>
    <xf numFmtId="247" fontId="0" fillId="0" borderId="140" xfId="20406" applyNumberFormat="1" applyFont="1" applyFill="1" applyBorder="1"/>
    <xf numFmtId="247" fontId="0" fillId="69" borderId="140" xfId="20406" applyNumberFormat="1" applyFont="1" applyFill="1" applyBorder="1"/>
    <xf numFmtId="247" fontId="0" fillId="75" borderId="140" xfId="20406" applyNumberFormat="1" applyFont="1" applyFill="1" applyBorder="1"/>
    <xf numFmtId="247" fontId="266" fillId="0" borderId="0" xfId="20406" applyNumberFormat="1" applyFont="1" applyFill="1" applyAlignment="1">
      <alignment horizontal="center"/>
    </xf>
    <xf numFmtId="247" fontId="266" fillId="69" borderId="0" xfId="20406" applyNumberFormat="1" applyFont="1" applyFill="1" applyAlignment="1">
      <alignment horizontal="center"/>
    </xf>
    <xf numFmtId="247" fontId="266" fillId="75" borderId="0" xfId="20406" applyNumberFormat="1" applyFont="1" applyFill="1" applyAlignment="1">
      <alignment horizontal="center"/>
    </xf>
    <xf numFmtId="0" fontId="10" fillId="0" borderId="0" xfId="20404" applyNumberFormat="1" applyFill="1"/>
    <xf numFmtId="0" fontId="10" fillId="0" borderId="0" xfId="20404" applyAlignment="1">
      <alignment horizontal="left"/>
    </xf>
    <xf numFmtId="0" fontId="10" fillId="0" borderId="0" xfId="20404" applyAlignment="1">
      <alignment horizontal="left" indent="1"/>
    </xf>
    <xf numFmtId="0" fontId="10" fillId="0" borderId="0" xfId="20404" applyFill="1" applyAlignment="1">
      <alignment horizontal="left" indent="1"/>
    </xf>
    <xf numFmtId="0" fontId="156" fillId="0" borderId="0" xfId="20404" applyFont="1" applyAlignment="1">
      <alignment horizontal="left"/>
    </xf>
    <xf numFmtId="0" fontId="10" fillId="0" borderId="0" xfId="20404" applyFont="1"/>
    <xf numFmtId="0" fontId="10" fillId="0" borderId="0" xfId="20404" applyNumberFormat="1"/>
    <xf numFmtId="247" fontId="10" fillId="0" borderId="0" xfId="20404" applyNumberFormat="1" applyFill="1"/>
    <xf numFmtId="247" fontId="10" fillId="0" borderId="0" xfId="20404" applyNumberFormat="1"/>
    <xf numFmtId="0" fontId="30" fillId="0" borderId="123" xfId="0" applyFont="1" applyFill="1" applyBorder="1"/>
    <xf numFmtId="0" fontId="170" fillId="72" borderId="151" xfId="0" applyFont="1" applyFill="1" applyBorder="1" applyAlignment="1">
      <alignment horizontal="center" wrapText="1"/>
    </xf>
    <xf numFmtId="0" fontId="170" fillId="72" borderId="152" xfId="0" applyFont="1" applyFill="1" applyBorder="1" applyAlignment="1">
      <alignment horizontal="right" wrapText="1"/>
    </xf>
    <xf numFmtId="164" fontId="30" fillId="0" borderId="0" xfId="0" applyNumberFormat="1" applyFont="1" applyFill="1" applyBorder="1" applyAlignment="1">
      <alignment horizontal="center"/>
    </xf>
    <xf numFmtId="165" fontId="158" fillId="0" borderId="0" xfId="12422" applyNumberFormat="1" applyFont="1" applyFill="1" applyBorder="1" applyAlignment="1">
      <alignment horizontal="center"/>
    </xf>
    <xf numFmtId="164" fontId="158" fillId="0" borderId="0" xfId="0" applyNumberFormat="1" applyFont="1" applyFill="1" applyBorder="1" applyAlignment="1">
      <alignment horizontal="center"/>
    </xf>
    <xf numFmtId="164" fontId="158" fillId="0" borderId="45" xfId="0" applyNumberFormat="1" applyFont="1" applyFill="1" applyBorder="1" applyAlignment="1">
      <alignment horizontal="center"/>
    </xf>
    <xf numFmtId="165" fontId="158" fillId="0" borderId="45" xfId="12422" applyNumberFormat="1" applyFont="1" applyFill="1" applyBorder="1" applyAlignment="1">
      <alignment horizontal="center"/>
    </xf>
    <xf numFmtId="0" fontId="238" fillId="0" borderId="0" xfId="0" applyFont="1" applyFill="1" applyAlignment="1">
      <alignment horizontal="center" wrapText="1"/>
    </xf>
    <xf numFmtId="0" fontId="170" fillId="72" borderId="139" xfId="20408" applyFont="1" applyFill="1" applyBorder="1" applyAlignment="1">
      <alignment horizontal="right" wrapText="1"/>
    </xf>
    <xf numFmtId="0" fontId="170" fillId="72" borderId="151" xfId="20408" applyFont="1" applyFill="1" applyBorder="1" applyAlignment="1">
      <alignment horizontal="right" wrapText="1"/>
    </xf>
    <xf numFmtId="0" fontId="170" fillId="72" borderId="152" xfId="20408" applyFont="1" applyFill="1" applyBorder="1" applyAlignment="1">
      <alignment horizontal="right" wrapText="1"/>
    </xf>
    <xf numFmtId="0" fontId="160" fillId="0" borderId="0" xfId="0" applyFont="1" applyFill="1" applyBorder="1" applyAlignment="1">
      <alignment horizontal="centerContinuous" wrapText="1"/>
    </xf>
    <xf numFmtId="0" fontId="158" fillId="0" borderId="0" xfId="0" applyFont="1" applyFill="1" applyBorder="1" applyAlignment="1">
      <alignment horizontal="centerContinuous"/>
    </xf>
    <xf numFmtId="0" fontId="160" fillId="0" borderId="0" xfId="20408" applyFont="1" applyFill="1" applyAlignment="1">
      <alignment vertical="center"/>
    </xf>
    <xf numFmtId="165" fontId="239" fillId="0" borderId="0" xfId="20408" applyNumberFormat="1" applyFont="1" applyFill="1" applyAlignment="1">
      <alignment vertical="center"/>
    </xf>
    <xf numFmtId="0" fontId="158" fillId="0" borderId="0" xfId="20408" applyFont="1" applyAlignment="1">
      <alignment horizontal="left" vertical="center"/>
    </xf>
    <xf numFmtId="165" fontId="158" fillId="0" borderId="0" xfId="12422" applyNumberFormat="1" applyFont="1" applyFill="1" applyAlignment="1">
      <alignment vertical="center"/>
    </xf>
    <xf numFmtId="165" fontId="191" fillId="0" borderId="0" xfId="20408" applyNumberFormat="1" applyFont="1" applyFill="1" applyAlignment="1">
      <alignment horizontal="right" vertical="center"/>
    </xf>
    <xf numFmtId="271" fontId="158" fillId="0" borderId="0" xfId="0" applyNumberFormat="1" applyFont="1" applyFill="1" applyBorder="1" applyAlignment="1">
      <alignment horizontal="center"/>
    </xf>
    <xf numFmtId="165" fontId="158" fillId="0" borderId="0" xfId="20408" applyNumberFormat="1" applyFont="1" applyFill="1" applyAlignment="1">
      <alignment vertical="center"/>
    </xf>
    <xf numFmtId="165" fontId="158" fillId="0" borderId="0" xfId="20408" applyNumberFormat="1" applyFont="1" applyFill="1" applyAlignment="1">
      <alignment horizontal="right" vertical="center"/>
    </xf>
    <xf numFmtId="165" fontId="161" fillId="0" borderId="0" xfId="0" applyNumberFormat="1" applyFont="1" applyFill="1" applyBorder="1" applyAlignment="1">
      <alignment horizontal="center"/>
    </xf>
    <xf numFmtId="0" fontId="158" fillId="0" borderId="0" xfId="20408" applyFont="1" applyAlignment="1">
      <alignment vertical="center"/>
    </xf>
    <xf numFmtId="165" fontId="239" fillId="0" borderId="0" xfId="20382" applyNumberFormat="1" applyFont="1"/>
    <xf numFmtId="165" fontId="191" fillId="0" borderId="0" xfId="20408" applyNumberFormat="1" applyFont="1" applyFill="1" applyAlignment="1">
      <alignment vertical="center"/>
    </xf>
    <xf numFmtId="165" fontId="30" fillId="0" borderId="0" xfId="20408" applyNumberFormat="1" applyFont="1" applyFill="1" applyAlignment="1">
      <alignment vertical="center"/>
    </xf>
    <xf numFmtId="0" fontId="238" fillId="0" borderId="0" xfId="0" applyFont="1" applyAlignment="1">
      <alignment horizontal="centerContinuous"/>
    </xf>
    <xf numFmtId="0" fontId="160" fillId="0" borderId="139" xfId="0" applyFont="1" applyBorder="1" applyAlignment="1">
      <alignment horizontal="centerContinuous" wrapText="1"/>
    </xf>
    <xf numFmtId="0" fontId="158" fillId="0" borderId="152" xfId="0" applyFont="1" applyBorder="1" applyAlignment="1">
      <alignment horizontal="centerContinuous"/>
    </xf>
    <xf numFmtId="271" fontId="191" fillId="0" borderId="0" xfId="20382" applyNumberFormat="1" applyFont="1"/>
    <xf numFmtId="0" fontId="158" fillId="0" borderId="153" xfId="0" applyFont="1" applyBorder="1"/>
    <xf numFmtId="0" fontId="158" fillId="0" borderId="154" xfId="0" applyFont="1" applyBorder="1"/>
    <xf numFmtId="165" fontId="191" fillId="0" borderId="154" xfId="12422" applyNumberFormat="1" applyFont="1" applyBorder="1" applyAlignment="1">
      <alignment horizontal="center"/>
    </xf>
    <xf numFmtId="0" fontId="176" fillId="92" borderId="139" xfId="0" applyFont="1" applyFill="1" applyBorder="1" applyAlignment="1">
      <alignment horizontal="left" wrapText="1"/>
    </xf>
    <xf numFmtId="165" fontId="176" fillId="92" borderId="151" xfId="0" applyNumberFormat="1" applyFont="1" applyFill="1" applyBorder="1" applyAlignment="1">
      <alignment horizontal="right" wrapText="1"/>
    </xf>
    <xf numFmtId="0" fontId="176" fillId="92" borderId="152" xfId="0" applyFont="1" applyFill="1" applyBorder="1" applyAlignment="1">
      <alignment horizontal="right" wrapText="1"/>
    </xf>
    <xf numFmtId="165" fontId="191" fillId="0" borderId="13" xfId="12422" applyNumberFormat="1" applyFont="1" applyBorder="1" applyAlignment="1">
      <alignment horizontal="center"/>
    </xf>
    <xf numFmtId="165" fontId="191" fillId="0" borderId="0" xfId="12422" applyNumberFormat="1" applyFont="1" applyFill="1" applyBorder="1" applyAlignment="1">
      <alignment horizontal="right" wrapText="1"/>
    </xf>
    <xf numFmtId="165" fontId="158" fillId="0" borderId="0" xfId="12422" applyNumberFormat="1" applyFont="1" applyFill="1" applyBorder="1" applyAlignment="1">
      <alignment horizontal="right" wrapText="1"/>
    </xf>
    <xf numFmtId="164" fontId="191" fillId="0" borderId="0" xfId="0" applyNumberFormat="1" applyFont="1" applyFill="1" applyBorder="1" applyAlignment="1">
      <alignment horizontal="right" wrapText="1"/>
    </xf>
    <xf numFmtId="165" fontId="191" fillId="0" borderId="93" xfId="12422" applyNumberFormat="1" applyFont="1" applyBorder="1" applyAlignment="1">
      <alignment horizontal="center"/>
    </xf>
    <xf numFmtId="9" fontId="158" fillId="0" borderId="0" xfId="12422" applyFont="1" applyFill="1" applyBorder="1" applyAlignment="1">
      <alignment horizontal="right" wrapText="1"/>
    </xf>
    <xf numFmtId="164" fontId="158" fillId="0" borderId="0" xfId="0" applyNumberFormat="1" applyFont="1" applyFill="1" applyBorder="1" applyAlignment="1">
      <alignment horizontal="center" wrapText="1"/>
    </xf>
    <xf numFmtId="167" fontId="239" fillId="0" borderId="13" xfId="12427" applyNumberFormat="1" applyFont="1" applyFill="1" applyBorder="1" applyAlignment="1">
      <alignment horizontal="right"/>
    </xf>
    <xf numFmtId="167" fontId="239" fillId="0" borderId="93" xfId="12427" applyNumberFormat="1" applyFont="1" applyFill="1" applyBorder="1" applyAlignment="1">
      <alignment horizontal="right"/>
    </xf>
    <xf numFmtId="165" fontId="158" fillId="0" borderId="154" xfId="12422" applyNumberFormat="1" applyFont="1" applyBorder="1" applyAlignment="1">
      <alignment horizontal="center"/>
    </xf>
    <xf numFmtId="0" fontId="197" fillId="0" borderId="0" xfId="0" applyFont="1" applyFill="1"/>
    <xf numFmtId="0" fontId="160" fillId="0" borderId="0" xfId="0" quotePrefix="1" applyFont="1" applyFill="1" applyBorder="1" applyAlignment="1">
      <alignment horizontal="left"/>
    </xf>
    <xf numFmtId="165" fontId="160" fillId="0" borderId="0" xfId="12422" applyNumberFormat="1" applyFont="1" applyFill="1" applyBorder="1" applyAlignment="1">
      <alignment horizontal="center"/>
    </xf>
    <xf numFmtId="0" fontId="177" fillId="0" borderId="0" xfId="0" applyFont="1" applyFill="1" applyBorder="1"/>
    <xf numFmtId="0" fontId="158" fillId="0" borderId="0" xfId="20382" applyFont="1" applyBorder="1"/>
    <xf numFmtId="0" fontId="170" fillId="72" borderId="0" xfId="20409" applyFont="1" applyFill="1" applyBorder="1" applyAlignment="1">
      <alignment horizontal="right" wrapText="1"/>
    </xf>
    <xf numFmtId="0" fontId="160" fillId="0" borderId="0" xfId="20409" applyFont="1" applyFill="1" applyBorder="1" applyAlignment="1">
      <alignment vertical="center"/>
    </xf>
    <xf numFmtId="165" fontId="191" fillId="0" borderId="0" xfId="20409" applyNumberFormat="1" applyFont="1" applyFill="1" applyBorder="1" applyAlignment="1">
      <alignment vertical="center"/>
    </xf>
    <xf numFmtId="0" fontId="158" fillId="0" borderId="0" xfId="20409" applyFont="1" applyBorder="1" applyAlignment="1">
      <alignment horizontal="left" vertical="center"/>
    </xf>
    <xf numFmtId="165" fontId="158" fillId="0" borderId="0" xfId="20409" applyNumberFormat="1" applyFont="1" applyFill="1" applyBorder="1" applyAlignment="1">
      <alignment vertical="center"/>
    </xf>
    <xf numFmtId="0" fontId="256" fillId="0" borderId="0" xfId="20382" applyFont="1" applyBorder="1" applyAlignment="1">
      <alignment horizontal="right"/>
    </xf>
    <xf numFmtId="165" fontId="158" fillId="0" borderId="0" xfId="20409" applyNumberFormat="1" applyFont="1" applyFill="1" applyBorder="1" applyAlignment="1">
      <alignment horizontal="right" vertical="center"/>
    </xf>
    <xf numFmtId="165" fontId="191" fillId="0" borderId="0" xfId="20382" applyNumberFormat="1" applyFont="1" applyFill="1" applyBorder="1"/>
    <xf numFmtId="0" fontId="158" fillId="0" borderId="0" xfId="20382" applyFont="1" applyBorder="1" applyAlignment="1">
      <alignment horizontal="right"/>
    </xf>
    <xf numFmtId="0" fontId="191" fillId="0" borderId="0" xfId="20382" applyFont="1" applyBorder="1"/>
    <xf numFmtId="0" fontId="158" fillId="0" borderId="0" xfId="20409" applyFont="1" applyBorder="1" applyAlignment="1">
      <alignment vertical="center"/>
    </xf>
    <xf numFmtId="0" fontId="239" fillId="0" borderId="0" xfId="20382" applyFont="1" applyBorder="1"/>
    <xf numFmtId="165" fontId="256" fillId="0" borderId="0" xfId="20409" applyNumberFormat="1" applyFont="1" applyFill="1" applyBorder="1" applyAlignment="1">
      <alignment vertical="center"/>
    </xf>
    <xf numFmtId="0" fontId="170" fillId="72" borderId="0" xfId="20408" applyFont="1" applyFill="1" applyBorder="1" applyAlignment="1">
      <alignment horizontal="right" wrapText="1"/>
    </xf>
    <xf numFmtId="0" fontId="170" fillId="72" borderId="0" xfId="20408" applyFont="1" applyFill="1" applyBorder="1" applyAlignment="1">
      <alignment horizontal="right"/>
    </xf>
    <xf numFmtId="0" fontId="160" fillId="0" borderId="0" xfId="20408" applyFont="1" applyFill="1" applyBorder="1" applyAlignment="1">
      <alignment vertical="center"/>
    </xf>
    <xf numFmtId="165" fontId="191" fillId="0" borderId="0" xfId="20408" applyNumberFormat="1" applyFont="1" applyFill="1" applyBorder="1" applyAlignment="1">
      <alignment vertical="center"/>
    </xf>
    <xf numFmtId="0" fontId="158" fillId="0" borderId="0" xfId="20408" applyFont="1" applyBorder="1" applyAlignment="1">
      <alignment horizontal="left" vertical="center"/>
    </xf>
    <xf numFmtId="165" fontId="158" fillId="0" borderId="0" xfId="20408" applyNumberFormat="1" applyFont="1" applyFill="1" applyBorder="1" applyAlignment="1">
      <alignment vertical="center"/>
    </xf>
    <xf numFmtId="165" fontId="191" fillId="0" borderId="0" xfId="20408" applyNumberFormat="1" applyFont="1" applyFill="1" applyBorder="1" applyAlignment="1">
      <alignment horizontal="right" vertical="center"/>
    </xf>
    <xf numFmtId="165" fontId="191" fillId="0" borderId="0" xfId="0" applyNumberFormat="1" applyFont="1" applyFill="1" applyBorder="1" applyAlignment="1">
      <alignment horizontal="right" vertical="center"/>
    </xf>
    <xf numFmtId="165" fontId="30" fillId="0" borderId="0" xfId="0" applyNumberFormat="1" applyFont="1" applyFill="1" applyBorder="1" applyAlignment="1">
      <alignment horizontal="right" vertical="center"/>
    </xf>
    <xf numFmtId="165" fontId="158" fillId="0" borderId="0" xfId="20408" applyNumberFormat="1" applyFont="1" applyFill="1" applyBorder="1" applyAlignment="1">
      <alignment horizontal="right" vertical="center"/>
    </xf>
    <xf numFmtId="165" fontId="158" fillId="0" borderId="0" xfId="0" applyNumberFormat="1" applyFont="1" applyFill="1" applyBorder="1" applyAlignment="1">
      <alignment horizontal="right" vertical="center"/>
    </xf>
    <xf numFmtId="0" fontId="158" fillId="0" borderId="0" xfId="20408" applyFont="1" applyBorder="1" applyAlignment="1">
      <alignment vertical="center"/>
    </xf>
    <xf numFmtId="165" fontId="158" fillId="0" borderId="0" xfId="20382" applyNumberFormat="1" applyFont="1" applyBorder="1"/>
    <xf numFmtId="165" fontId="30" fillId="0" borderId="0" xfId="20408" applyNumberFormat="1" applyFont="1" applyFill="1" applyBorder="1" applyAlignment="1">
      <alignment vertical="center"/>
    </xf>
    <xf numFmtId="0" fontId="170" fillId="72" borderId="0" xfId="0" applyFont="1" applyFill="1" applyBorder="1" applyAlignment="1">
      <alignment horizontal="left" vertical="center" wrapText="1"/>
    </xf>
    <xf numFmtId="0" fontId="170" fillId="72" borderId="0" xfId="0" applyFont="1" applyFill="1" applyBorder="1" applyAlignment="1">
      <alignment horizontal="right" vertical="center" wrapText="1"/>
    </xf>
    <xf numFmtId="165" fontId="191" fillId="0" borderId="0" xfId="0" applyNumberFormat="1" applyFont="1" applyFill="1" applyBorder="1" applyAlignment="1"/>
    <xf numFmtId="165" fontId="132" fillId="0" borderId="0" xfId="0" applyNumberFormat="1" applyFont="1" applyFill="1" applyBorder="1" applyAlignment="1">
      <alignment horizontal="right"/>
    </xf>
    <xf numFmtId="164" fontId="191" fillId="0" borderId="0" xfId="0" applyNumberFormat="1" applyFont="1" applyFill="1" applyBorder="1" applyAlignment="1">
      <alignment horizontal="right"/>
    </xf>
    <xf numFmtId="165" fontId="132" fillId="0" borderId="0" xfId="0" applyNumberFormat="1" applyFont="1" applyFill="1" applyBorder="1" applyAlignment="1"/>
    <xf numFmtId="165" fontId="30" fillId="0" borderId="0" xfId="0" applyNumberFormat="1" applyFont="1" applyFill="1" applyBorder="1" applyAlignment="1"/>
    <xf numFmtId="271" fontId="158" fillId="0" borderId="0" xfId="0" applyNumberFormat="1" applyFont="1" applyBorder="1"/>
    <xf numFmtId="0" fontId="160" fillId="0" borderId="0" xfId="0" applyNumberFormat="1" applyFont="1" applyFill="1" applyBorder="1" applyAlignment="1">
      <alignment horizontal="center"/>
    </xf>
    <xf numFmtId="0" fontId="158" fillId="0" borderId="0" xfId="0" applyFont="1" applyBorder="1" applyAlignment="1">
      <alignment vertical="center"/>
    </xf>
    <xf numFmtId="165" fontId="132" fillId="0" borderId="0" xfId="0" applyNumberFormat="1" applyFont="1" applyFill="1" applyBorder="1" applyAlignment="1">
      <alignment horizontal="right" vertical="center"/>
    </xf>
    <xf numFmtId="0" fontId="177" fillId="0" borderId="0" xfId="0" applyFont="1" applyFill="1" applyBorder="1" applyAlignment="1">
      <alignment horizontal="centerContinuous"/>
    </xf>
    <xf numFmtId="0" fontId="170" fillId="72" borderId="0" xfId="0" applyFont="1" applyFill="1" applyBorder="1" applyAlignment="1">
      <alignment horizontal="centerContinuous" vertical="center" wrapText="1"/>
    </xf>
    <xf numFmtId="0" fontId="170" fillId="72" borderId="0" xfId="0" applyFont="1" applyFill="1" applyBorder="1" applyAlignment="1">
      <alignment horizontal="centerContinuous" wrapText="1"/>
    </xf>
    <xf numFmtId="165" fontId="160" fillId="0" borderId="0" xfId="0" applyNumberFormat="1" applyFont="1" applyFill="1" applyBorder="1" applyAlignment="1">
      <alignment horizontal="center"/>
    </xf>
    <xf numFmtId="165" fontId="160" fillId="0" borderId="0" xfId="0" applyNumberFormat="1" applyFont="1" applyFill="1" applyBorder="1" applyAlignment="1">
      <alignment horizontal="left"/>
    </xf>
    <xf numFmtId="165" fontId="160" fillId="0" borderId="0" xfId="12422" applyNumberFormat="1" applyFont="1" applyFill="1" applyBorder="1"/>
    <xf numFmtId="165" fontId="158" fillId="0" borderId="0" xfId="12422" applyNumberFormat="1" applyFont="1" applyFill="1" applyBorder="1"/>
    <xf numFmtId="165" fontId="30" fillId="0" borderId="0" xfId="12422" applyNumberFormat="1" applyFont="1" applyFill="1" applyBorder="1"/>
    <xf numFmtId="165" fontId="177" fillId="0" borderId="0" xfId="12422" applyNumberFormat="1" applyFont="1" applyFill="1" applyBorder="1"/>
    <xf numFmtId="0" fontId="170" fillId="72" borderId="139" xfId="0" applyFont="1" applyFill="1" applyBorder="1" applyAlignment="1">
      <alignment horizontal="center" wrapText="1"/>
    </xf>
    <xf numFmtId="0" fontId="170" fillId="72" borderId="152" xfId="0" applyFont="1" applyFill="1" applyBorder="1" applyAlignment="1">
      <alignment horizontal="center" wrapText="1"/>
    </xf>
    <xf numFmtId="0" fontId="161" fillId="0" borderId="151" xfId="0" applyFont="1" applyFill="1" applyBorder="1"/>
    <xf numFmtId="0" fontId="158" fillId="0" borderId="152" xfId="0" applyFont="1" applyBorder="1"/>
    <xf numFmtId="0" fontId="161" fillId="0" borderId="150" xfId="0" applyFont="1" applyFill="1" applyBorder="1"/>
    <xf numFmtId="0" fontId="158" fillId="0" borderId="151" xfId="0" applyFont="1" applyBorder="1"/>
    <xf numFmtId="43" fontId="238" fillId="0" borderId="0" xfId="12427" applyFont="1" applyBorder="1"/>
    <xf numFmtId="0" fontId="238" fillId="0" borderId="151" xfId="0" applyFont="1" applyFill="1" applyBorder="1"/>
    <xf numFmtId="0" fontId="170" fillId="72" borderId="136" xfId="0" applyFont="1" applyFill="1" applyBorder="1" applyAlignment="1">
      <alignment wrapText="1"/>
    </xf>
    <xf numFmtId="0" fontId="170" fillId="72" borderId="139" xfId="0" applyFont="1" applyFill="1" applyBorder="1" applyAlignment="1">
      <alignment horizontal="right" wrapText="1"/>
    </xf>
    <xf numFmtId="0" fontId="170" fillId="72" borderId="151" xfId="0" applyFont="1" applyFill="1" applyBorder="1" applyAlignment="1">
      <alignment horizontal="right" wrapText="1"/>
    </xf>
    <xf numFmtId="0" fontId="170" fillId="72" borderId="136" xfId="0" applyFont="1" applyFill="1" applyBorder="1" applyAlignment="1">
      <alignment horizontal="right" wrapText="1"/>
    </xf>
    <xf numFmtId="167" fontId="191" fillId="0" borderId="0" xfId="12427" applyNumberFormat="1" applyFont="1" applyFill="1"/>
    <xf numFmtId="167" fontId="158" fillId="0" borderId="0" xfId="12427" applyNumberFormat="1" applyFont="1" applyFill="1"/>
    <xf numFmtId="0" fontId="160" fillId="71" borderId="139" xfId="0" applyFont="1" applyFill="1" applyBorder="1"/>
    <xf numFmtId="0" fontId="160" fillId="71" borderId="151" xfId="0" applyFont="1" applyFill="1" applyBorder="1"/>
    <xf numFmtId="169" fontId="160" fillId="71" borderId="151" xfId="0" applyNumberFormat="1" applyFont="1" applyFill="1" applyBorder="1"/>
    <xf numFmtId="169" fontId="160" fillId="71" borderId="152" xfId="0" applyNumberFormat="1" applyFont="1" applyFill="1" applyBorder="1"/>
    <xf numFmtId="169" fontId="160" fillId="71" borderId="136" xfId="0" applyNumberFormat="1" applyFont="1" applyFill="1" applyBorder="1"/>
    <xf numFmtId="0" fontId="170" fillId="72" borderId="139" xfId="0" applyFont="1" applyFill="1" applyBorder="1" applyAlignment="1">
      <alignment wrapText="1"/>
    </xf>
    <xf numFmtId="0" fontId="170" fillId="72" borderId="151" xfId="0" applyFont="1" applyFill="1" applyBorder="1" applyAlignment="1">
      <alignment wrapText="1"/>
    </xf>
    <xf numFmtId="0" fontId="170" fillId="72" borderId="152" xfId="0" applyFont="1" applyFill="1" applyBorder="1" applyAlignment="1">
      <alignment wrapText="1"/>
    </xf>
    <xf numFmtId="167" fontId="191" fillId="0" borderId="0" xfId="12427" applyNumberFormat="1" applyFont="1" applyFill="1" applyBorder="1" applyAlignment="1">
      <alignment horizontal="right"/>
    </xf>
    <xf numFmtId="242" fontId="191" fillId="0" borderId="0" xfId="20305" applyNumberFormat="1" applyFont="1" applyAlignment="1">
      <alignment horizontal="right"/>
    </xf>
    <xf numFmtId="323" fontId="160" fillId="0" borderId="0" xfId="20305" applyNumberFormat="1" applyFont="1"/>
    <xf numFmtId="247" fontId="160" fillId="0" borderId="0" xfId="12427" applyNumberFormat="1" applyFont="1"/>
    <xf numFmtId="247" fontId="160" fillId="0" borderId="0" xfId="0" applyNumberFormat="1" applyFont="1"/>
    <xf numFmtId="323" fontId="158" fillId="0" borderId="0" xfId="20305" applyNumberFormat="1" applyFont="1"/>
    <xf numFmtId="242" fontId="239" fillId="0" borderId="0" xfId="0" applyNumberFormat="1" applyFont="1" applyAlignment="1">
      <alignment horizontal="right"/>
    </xf>
    <xf numFmtId="8" fontId="158" fillId="0" borderId="0" xfId="0" applyNumberFormat="1" applyFont="1" applyFill="1" applyBorder="1"/>
    <xf numFmtId="167" fontId="160" fillId="0" borderId="0" xfId="0" applyNumberFormat="1" applyFont="1"/>
    <xf numFmtId="0" fontId="158" fillId="0" borderId="139" xfId="0" applyFont="1" applyBorder="1"/>
    <xf numFmtId="0" fontId="158" fillId="0" borderId="136" xfId="0" applyFont="1" applyBorder="1"/>
    <xf numFmtId="8" fontId="30" fillId="0" borderId="0" xfId="0" applyNumberFormat="1" applyFont="1"/>
    <xf numFmtId="0" fontId="30" fillId="0" borderId="0" xfId="11807" applyFont="1"/>
    <xf numFmtId="247" fontId="30" fillId="0" borderId="0" xfId="20268" applyNumberFormat="1" applyFont="1"/>
    <xf numFmtId="165" fontId="30" fillId="0" borderId="0" xfId="20268" applyNumberFormat="1" applyFont="1"/>
    <xf numFmtId="0" fontId="160" fillId="0" borderId="139" xfId="0" applyFont="1" applyFill="1" applyBorder="1"/>
    <xf numFmtId="0" fontId="158" fillId="0" borderId="151" xfId="0" applyFont="1" applyFill="1" applyBorder="1"/>
    <xf numFmtId="0" fontId="158" fillId="0" borderId="152" xfId="0" applyFont="1" applyFill="1" applyBorder="1"/>
    <xf numFmtId="164" fontId="132" fillId="0" borderId="0" xfId="0" applyNumberFormat="1" applyFont="1" applyFill="1" applyAlignment="1">
      <alignment horizontal="right"/>
    </xf>
    <xf numFmtId="167" fontId="158" fillId="0" borderId="0" xfId="12427" applyNumberFormat="1" applyFont="1" applyFill="1" applyAlignment="1">
      <alignment horizontal="right"/>
    </xf>
    <xf numFmtId="0" fontId="132" fillId="0" borderId="0" xfId="0" applyNumberFormat="1" applyFont="1" applyFill="1" applyAlignment="1">
      <alignment horizontal="right"/>
    </xf>
    <xf numFmtId="165" fontId="191" fillId="0" borderId="0" xfId="0" applyNumberFormat="1" applyFont="1"/>
    <xf numFmtId="242" fontId="191" fillId="0" borderId="152" xfId="0" applyNumberFormat="1" applyFont="1" applyBorder="1"/>
    <xf numFmtId="242" fontId="191" fillId="0" borderId="0" xfId="0" applyNumberFormat="1" applyFont="1" applyBorder="1"/>
    <xf numFmtId="0" fontId="161" fillId="0" borderId="0" xfId="20410" applyFont="1"/>
    <xf numFmtId="0" fontId="30" fillId="0" borderId="0" xfId="20410" applyFont="1"/>
    <xf numFmtId="0" fontId="30" fillId="0" borderId="0" xfId="20410" applyFont="1" applyBorder="1"/>
    <xf numFmtId="0" fontId="26" fillId="0" borderId="0" xfId="20410" applyFont="1"/>
    <xf numFmtId="341" fontId="161" fillId="0" borderId="0" xfId="20410" quotePrefix="1" applyNumberFormat="1" applyFont="1" applyAlignment="1">
      <alignment horizontal="left"/>
    </xf>
    <xf numFmtId="0" fontId="161" fillId="0" borderId="0" xfId="20410" applyFont="1" applyBorder="1" applyAlignment="1">
      <alignment wrapText="1"/>
    </xf>
    <xf numFmtId="0" fontId="161" fillId="0" borderId="0" xfId="20410" applyFont="1" applyBorder="1"/>
    <xf numFmtId="0" fontId="161" fillId="0" borderId="18" xfId="20410" applyFont="1" applyBorder="1" applyAlignment="1">
      <alignment horizontal="center" wrapText="1"/>
    </xf>
    <xf numFmtId="0" fontId="161" fillId="0" borderId="18" xfId="20410" applyFont="1" applyBorder="1" applyAlignment="1">
      <alignment horizontal="center"/>
    </xf>
    <xf numFmtId="0" fontId="161" fillId="0" borderId="0" xfId="20410" applyFont="1" applyBorder="1" applyAlignment="1">
      <alignment horizontal="center"/>
    </xf>
    <xf numFmtId="0" fontId="30" fillId="0" borderId="0" xfId="20410" applyFont="1" applyBorder="1" applyAlignment="1">
      <alignment horizontal="center" wrapText="1"/>
    </xf>
    <xf numFmtId="0" fontId="155" fillId="0" borderId="0" xfId="20410" applyFont="1"/>
    <xf numFmtId="247" fontId="30" fillId="0" borderId="0" xfId="20268" applyNumberFormat="1" applyFont="1" applyBorder="1"/>
    <xf numFmtId="0" fontId="158" fillId="0" borderId="0" xfId="20411" applyFont="1" applyFill="1" applyBorder="1" applyAlignment="1">
      <alignment horizontal="left" vertical="center" wrapText="1"/>
    </xf>
    <xf numFmtId="247" fontId="30" fillId="0" borderId="0" xfId="20268" applyNumberFormat="1" applyFont="1" applyFill="1"/>
    <xf numFmtId="165" fontId="30" fillId="0" borderId="0" xfId="12053" applyNumberFormat="1" applyFont="1"/>
    <xf numFmtId="0" fontId="158" fillId="0" borderId="0" xfId="20411" applyFont="1" applyFill="1" applyBorder="1" applyAlignment="1">
      <alignment horizontal="left" vertical="top"/>
    </xf>
    <xf numFmtId="247" fontId="30" fillId="0" borderId="0" xfId="20268" applyNumberFormat="1" applyFont="1" applyFill="1" applyBorder="1"/>
    <xf numFmtId="165" fontId="30" fillId="0" borderId="0" xfId="12053" applyNumberFormat="1" applyFont="1" applyBorder="1"/>
    <xf numFmtId="247" fontId="30" fillId="0" borderId="151" xfId="20268" applyNumberFormat="1" applyFont="1" applyFill="1" applyBorder="1"/>
    <xf numFmtId="165" fontId="30" fillId="0" borderId="151" xfId="12053" applyNumberFormat="1" applyFont="1" applyBorder="1"/>
    <xf numFmtId="0" fontId="26" fillId="0" borderId="0" xfId="20410" applyFont="1" applyBorder="1"/>
    <xf numFmtId="247" fontId="30" fillId="0" borderId="0" xfId="20410" applyNumberFormat="1" applyFont="1"/>
    <xf numFmtId="247" fontId="30" fillId="0" borderId="45" xfId="20268" applyNumberFormat="1" applyFont="1" applyBorder="1"/>
    <xf numFmtId="165" fontId="30" fillId="0" borderId="45" xfId="12053" applyNumberFormat="1" applyFont="1" applyBorder="1"/>
    <xf numFmtId="0" fontId="158" fillId="0" borderId="0" xfId="20411" quotePrefix="1" applyFont="1" applyFill="1" applyBorder="1" applyAlignment="1">
      <alignment horizontal="left" vertical="center" wrapText="1"/>
    </xf>
    <xf numFmtId="0" fontId="158" fillId="0" borderId="0" xfId="20411" applyFont="1"/>
    <xf numFmtId="0" fontId="158" fillId="0" borderId="0" xfId="20411" applyFont="1" applyBorder="1"/>
    <xf numFmtId="247" fontId="30" fillId="0" borderId="14" xfId="20268" applyNumberFormat="1" applyFont="1" applyBorder="1"/>
    <xf numFmtId="165" fontId="30" fillId="0" borderId="14" xfId="12053" applyNumberFormat="1" applyFont="1" applyBorder="1"/>
    <xf numFmtId="0" fontId="267" fillId="0" borderId="0" xfId="20410"/>
    <xf numFmtId="247" fontId="158" fillId="0" borderId="0" xfId="20411" applyNumberFormat="1" applyFont="1" applyBorder="1"/>
    <xf numFmtId="247" fontId="26" fillId="0" borderId="0" xfId="20410" applyNumberFormat="1" applyFont="1"/>
    <xf numFmtId="0" fontId="30" fillId="0" borderId="0" xfId="20410" applyFont="1" applyFill="1"/>
    <xf numFmtId="165" fontId="30" fillId="0" borderId="0" xfId="12053" applyNumberFormat="1" applyFont="1" applyFill="1"/>
    <xf numFmtId="44" fontId="30" fillId="0" borderId="0" xfId="20410" applyNumberFormat="1" applyFont="1" applyBorder="1"/>
    <xf numFmtId="43" fontId="30" fillId="0" borderId="0" xfId="20268" applyFont="1" applyBorder="1"/>
    <xf numFmtId="9" fontId="30" fillId="0" borderId="0" xfId="20410" applyNumberFormat="1" applyFont="1" applyBorder="1"/>
    <xf numFmtId="247" fontId="30" fillId="0" borderId="0" xfId="20410" applyNumberFormat="1" applyFont="1" applyBorder="1"/>
    <xf numFmtId="0" fontId="30" fillId="0" borderId="0" xfId="12053" applyNumberFormat="1" applyFont="1" applyBorder="1"/>
    <xf numFmtId="247" fontId="30" fillId="0" borderId="30" xfId="20268" applyNumberFormat="1" applyFont="1" applyBorder="1"/>
    <xf numFmtId="165" fontId="30" fillId="0" borderId="30" xfId="12053" applyNumberFormat="1" applyFont="1" applyBorder="1"/>
    <xf numFmtId="10" fontId="30" fillId="0" borderId="0" xfId="12053" applyNumberFormat="1" applyFont="1"/>
    <xf numFmtId="9" fontId="30" fillId="0" borderId="0" xfId="12053" applyNumberFormat="1" applyFont="1"/>
    <xf numFmtId="9" fontId="30" fillId="0" borderId="0" xfId="12053" applyFont="1"/>
    <xf numFmtId="0" fontId="161" fillId="0" borderId="0" xfId="20410" applyFont="1" applyFill="1" applyBorder="1" applyAlignment="1"/>
    <xf numFmtId="0" fontId="30" fillId="0" borderId="0" xfId="20410" applyFont="1" applyFill="1" applyBorder="1" applyAlignment="1"/>
    <xf numFmtId="0" fontId="30" fillId="0" borderId="0" xfId="20410" applyFont="1" applyFill="1" applyBorder="1"/>
    <xf numFmtId="0" fontId="267" fillId="0" borderId="0" xfId="20410" applyFill="1" applyBorder="1"/>
    <xf numFmtId="14" fontId="161" fillId="0" borderId="0" xfId="20410" quotePrefix="1" applyNumberFormat="1" applyFont="1" applyFill="1" applyBorder="1" applyAlignment="1">
      <alignment horizontal="left"/>
    </xf>
    <xf numFmtId="0" fontId="161" fillId="0" borderId="0" xfId="20410" applyFont="1" applyFill="1" applyBorder="1" applyAlignment="1">
      <alignment horizontal="center"/>
    </xf>
    <xf numFmtId="0" fontId="30" fillId="0" borderId="0" xfId="20410" applyFont="1" applyFill="1" applyBorder="1" applyAlignment="1">
      <alignment horizontal="center"/>
    </xf>
    <xf numFmtId="0" fontId="173" fillId="0" borderId="0" xfId="20410" applyFont="1" applyFill="1"/>
    <xf numFmtId="247" fontId="173" fillId="0" borderId="0" xfId="20268" applyNumberFormat="1" applyFont="1" applyFill="1"/>
    <xf numFmtId="0" fontId="173" fillId="0" borderId="0" xfId="20410" applyNumberFormat="1" applyFont="1" applyFill="1" applyAlignment="1">
      <alignment horizontal="center"/>
    </xf>
    <xf numFmtId="247" fontId="173" fillId="0" borderId="0" xfId="20268" applyNumberFormat="1" applyFont="1" applyFill="1" applyAlignment="1">
      <alignment horizontal="right"/>
    </xf>
    <xf numFmtId="0" fontId="173" fillId="0" borderId="0" xfId="20410" applyNumberFormat="1" applyFont="1" applyFill="1" applyAlignment="1">
      <alignment horizontal="right"/>
    </xf>
    <xf numFmtId="247" fontId="173" fillId="0" borderId="0" xfId="20268" applyNumberFormat="1" applyFont="1" applyFill="1" applyAlignment="1">
      <alignment horizontal="center"/>
    </xf>
    <xf numFmtId="3" fontId="173" fillId="0" borderId="0" xfId="20410" applyNumberFormat="1" applyFont="1" applyFill="1" applyAlignment="1">
      <alignment horizontal="center"/>
    </xf>
    <xf numFmtId="10" fontId="173" fillId="0" borderId="0" xfId="20410" applyNumberFormat="1" applyFont="1" applyFill="1" applyAlignment="1">
      <alignment horizontal="center"/>
    </xf>
    <xf numFmtId="10" fontId="173" fillId="0" borderId="0" xfId="12053" applyNumberFormat="1" applyFont="1" applyFill="1"/>
    <xf numFmtId="10" fontId="173" fillId="0" borderId="0" xfId="20410" applyNumberFormat="1" applyFont="1" applyFill="1"/>
    <xf numFmtId="0" fontId="268" fillId="0" borderId="0" xfId="20410" applyFont="1" applyFill="1"/>
    <xf numFmtId="0" fontId="161" fillId="0" borderId="45" xfId="20410" applyFont="1" applyFill="1" applyBorder="1" applyAlignment="1"/>
    <xf numFmtId="247" fontId="161" fillId="0" borderId="45" xfId="20268" applyNumberFormat="1" applyFont="1" applyFill="1" applyBorder="1" applyAlignment="1">
      <alignment horizontal="center" wrapText="1"/>
    </xf>
    <xf numFmtId="0" fontId="161" fillId="0" borderId="45" xfId="20410" applyFont="1" applyFill="1" applyBorder="1" applyAlignment="1">
      <alignment horizontal="center" wrapText="1"/>
    </xf>
    <xf numFmtId="0" fontId="30" fillId="0" borderId="0" xfId="20410" applyFont="1" applyFill="1" applyAlignment="1">
      <alignment horizontal="center"/>
    </xf>
    <xf numFmtId="0" fontId="161" fillId="0" borderId="45" xfId="20410" applyNumberFormat="1" applyFont="1" applyFill="1" applyBorder="1" applyAlignment="1">
      <alignment horizontal="center" wrapText="1"/>
    </xf>
    <xf numFmtId="3" fontId="161" fillId="0" borderId="45" xfId="20410" applyNumberFormat="1" applyFont="1" applyFill="1" applyBorder="1" applyAlignment="1">
      <alignment horizontal="center" wrapText="1"/>
    </xf>
    <xf numFmtId="10" fontId="161" fillId="0" borderId="45" xfId="20410" applyNumberFormat="1" applyFont="1" applyFill="1" applyBorder="1" applyAlignment="1">
      <alignment horizontal="center" wrapText="1"/>
    </xf>
    <xf numFmtId="0" fontId="42" fillId="0" borderId="0" xfId="20410" applyFont="1" applyFill="1"/>
    <xf numFmtId="247" fontId="30" fillId="0" borderId="0" xfId="20268" applyNumberFormat="1" applyFont="1" applyFill="1" applyBorder="1" applyAlignment="1">
      <alignment horizontal="center" wrapText="1"/>
    </xf>
    <xf numFmtId="0" fontId="30" fillId="0" borderId="0" xfId="20410" applyFont="1" applyFill="1" applyBorder="1" applyAlignment="1">
      <alignment horizontal="center" wrapText="1"/>
    </xf>
    <xf numFmtId="0" fontId="30" fillId="0" borderId="0" xfId="20410" applyNumberFormat="1" applyFont="1" applyFill="1" applyBorder="1" applyAlignment="1">
      <alignment horizontal="center" wrapText="1"/>
    </xf>
    <xf numFmtId="247" fontId="30" fillId="0" borderId="0" xfId="20268" applyNumberFormat="1" applyFont="1" applyFill="1" applyBorder="1" applyAlignment="1">
      <alignment horizontal="right" wrapText="1"/>
    </xf>
    <xf numFmtId="0" fontId="30" fillId="0" borderId="0" xfId="20410" applyFont="1" applyFill="1" applyBorder="1" applyAlignment="1">
      <alignment horizontal="right" wrapText="1"/>
    </xf>
    <xf numFmtId="3" fontId="30" fillId="0" borderId="0" xfId="20410" applyNumberFormat="1" applyFont="1" applyFill="1" applyBorder="1" applyAlignment="1">
      <alignment horizontal="center" wrapText="1"/>
    </xf>
    <xf numFmtId="10" fontId="30" fillId="0" borderId="0" xfId="12053" applyNumberFormat="1" applyFont="1" applyFill="1" applyBorder="1" applyAlignment="1">
      <alignment horizontal="center" wrapText="1"/>
    </xf>
    <xf numFmtId="3" fontId="161" fillId="0" borderId="0" xfId="20410" applyNumberFormat="1" applyFont="1" applyFill="1" applyBorder="1" applyAlignment="1">
      <alignment horizontal="center" wrapText="1"/>
    </xf>
    <xf numFmtId="10" fontId="161" fillId="0" borderId="0" xfId="20410" applyNumberFormat="1" applyFont="1" applyFill="1" applyBorder="1" applyAlignment="1">
      <alignment horizontal="center" wrapText="1"/>
    </xf>
    <xf numFmtId="0" fontId="161" fillId="0" borderId="0" xfId="20410" applyFont="1" applyFill="1" applyBorder="1" applyAlignment="1">
      <alignment horizontal="center" wrapText="1"/>
    </xf>
    <xf numFmtId="0" fontId="155" fillId="0" borderId="0" xfId="20410" applyFont="1" applyFill="1" applyBorder="1" applyAlignment="1"/>
    <xf numFmtId="0" fontId="177" fillId="0" borderId="0" xfId="20410" applyFont="1" applyFill="1"/>
    <xf numFmtId="0" fontId="158" fillId="0" borderId="0" xfId="20410" applyFont="1"/>
    <xf numFmtId="165" fontId="30" fillId="0" borderId="0" xfId="12053" applyNumberFormat="1" applyFont="1" applyFill="1" applyBorder="1" applyAlignment="1">
      <alignment horizontal="right" wrapText="1"/>
    </xf>
    <xf numFmtId="165" fontId="30" fillId="0" borderId="0" xfId="12053" applyNumberFormat="1" applyFont="1" applyFill="1" applyBorder="1"/>
    <xf numFmtId="165" fontId="30" fillId="0" borderId="0" xfId="12053" applyNumberFormat="1" applyFont="1" applyFill="1" applyAlignment="1">
      <alignment horizontal="right"/>
    </xf>
    <xf numFmtId="0" fontId="158" fillId="0" borderId="0" xfId="20410" applyFont="1" applyFill="1"/>
    <xf numFmtId="0" fontId="158" fillId="0" borderId="0" xfId="20410" applyFont="1" applyBorder="1" applyAlignment="1">
      <alignment vertical="center" wrapText="1"/>
    </xf>
    <xf numFmtId="3" fontId="30" fillId="0" borderId="0" xfId="20410" applyNumberFormat="1" applyFont="1" applyFill="1"/>
    <xf numFmtId="3" fontId="30" fillId="0" borderId="0" xfId="12053" applyNumberFormat="1" applyFont="1" applyFill="1" applyAlignment="1">
      <alignment horizontal="right"/>
    </xf>
    <xf numFmtId="41" fontId="30" fillId="0" borderId="0" xfId="20410" applyNumberFormat="1" applyFont="1" applyFill="1"/>
    <xf numFmtId="10" fontId="30" fillId="0" borderId="0" xfId="12053" applyNumberFormat="1" applyFont="1" applyFill="1" applyAlignment="1">
      <alignment horizontal="right"/>
    </xf>
    <xf numFmtId="10" fontId="30" fillId="0" borderId="0" xfId="20410" applyNumberFormat="1" applyFont="1" applyFill="1"/>
    <xf numFmtId="0" fontId="158" fillId="0" borderId="0" xfId="20411" applyFont="1" applyFill="1" applyBorder="1" applyAlignment="1">
      <alignment vertical="center" wrapText="1"/>
    </xf>
    <xf numFmtId="247" fontId="0" fillId="0" borderId="0" xfId="20268" applyNumberFormat="1" applyFont="1"/>
    <xf numFmtId="0" fontId="267" fillId="0" borderId="0" xfId="20410" applyFill="1"/>
    <xf numFmtId="247" fontId="0" fillId="0" borderId="0" xfId="20268" applyNumberFormat="1" applyFont="1" applyFill="1" applyAlignment="1">
      <alignment horizontal="right"/>
    </xf>
    <xf numFmtId="0" fontId="267" fillId="0" borderId="0" xfId="20410" applyFill="1" applyAlignment="1">
      <alignment horizontal="right"/>
    </xf>
    <xf numFmtId="3" fontId="267" fillId="0" borderId="0" xfId="20410" applyNumberFormat="1"/>
    <xf numFmtId="10" fontId="267" fillId="0" borderId="0" xfId="20410" applyNumberFormat="1"/>
    <xf numFmtId="10" fontId="0" fillId="0" borderId="0" xfId="12053" applyNumberFormat="1" applyFont="1"/>
    <xf numFmtId="247" fontId="30" fillId="0" borderId="0" xfId="20268" applyNumberFormat="1" applyFont="1" applyFill="1" applyAlignment="1">
      <alignment horizontal="right"/>
    </xf>
    <xf numFmtId="10" fontId="30" fillId="0" borderId="0" xfId="12053" applyNumberFormat="1" applyFont="1" applyFill="1"/>
    <xf numFmtId="0" fontId="269" fillId="0" borderId="0" xfId="20410" applyFont="1"/>
    <xf numFmtId="165" fontId="30" fillId="0" borderId="151" xfId="12053" applyNumberFormat="1" applyFont="1" applyFill="1" applyBorder="1"/>
    <xf numFmtId="3" fontId="30" fillId="0" borderId="0" xfId="20410" applyNumberFormat="1" applyFont="1" applyFill="1" applyAlignment="1">
      <alignment horizontal="right"/>
    </xf>
    <xf numFmtId="165" fontId="30" fillId="0" borderId="0" xfId="20410" applyNumberFormat="1" applyFont="1" applyFill="1" applyAlignment="1">
      <alignment horizontal="right"/>
    </xf>
    <xf numFmtId="10" fontId="30" fillId="0" borderId="0" xfId="20410" applyNumberFormat="1" applyFont="1" applyFill="1" applyAlignment="1">
      <alignment horizontal="right"/>
    </xf>
    <xf numFmtId="0" fontId="171" fillId="0" borderId="0" xfId="20411" applyFont="1" applyFill="1" applyBorder="1" applyAlignment="1">
      <alignment horizontal="left" vertical="center" wrapText="1"/>
    </xf>
    <xf numFmtId="165" fontId="30" fillId="0" borderId="151" xfId="12053" applyNumberFormat="1" applyFont="1" applyFill="1" applyBorder="1" applyAlignment="1">
      <alignment horizontal="right"/>
    </xf>
    <xf numFmtId="247" fontId="30" fillId="0" borderId="14" xfId="20268" applyNumberFormat="1" applyFont="1" applyFill="1" applyBorder="1"/>
    <xf numFmtId="3" fontId="161" fillId="0" borderId="0" xfId="20410" applyNumberFormat="1" applyFont="1" applyFill="1"/>
    <xf numFmtId="165" fontId="30" fillId="0" borderId="14" xfId="12053" applyNumberFormat="1" applyFont="1" applyFill="1" applyBorder="1" applyAlignment="1">
      <alignment horizontal="right"/>
    </xf>
    <xf numFmtId="247" fontId="30" fillId="0" borderId="14" xfId="20268" applyNumberFormat="1" applyFont="1" applyFill="1" applyBorder="1" applyAlignment="1">
      <alignment horizontal="right"/>
    </xf>
    <xf numFmtId="247" fontId="161" fillId="0" borderId="14" xfId="20268" applyNumberFormat="1" applyFont="1" applyFill="1" applyBorder="1"/>
    <xf numFmtId="3" fontId="161" fillId="0" borderId="0" xfId="12053" applyNumberFormat="1" applyFont="1" applyFill="1"/>
    <xf numFmtId="165" fontId="161" fillId="0" borderId="0" xfId="12053" applyNumberFormat="1" applyFont="1" applyFill="1"/>
    <xf numFmtId="10" fontId="161" fillId="0" borderId="0" xfId="12053" applyNumberFormat="1" applyFont="1" applyFill="1"/>
    <xf numFmtId="10" fontId="161" fillId="0" borderId="0" xfId="20410" applyNumberFormat="1" applyFont="1" applyFill="1"/>
    <xf numFmtId="0" fontId="30" fillId="0" borderId="0" xfId="20410" applyFont="1" applyFill="1" applyAlignment="1">
      <alignment horizontal="right"/>
    </xf>
    <xf numFmtId="165" fontId="30" fillId="0" borderId="0" xfId="12053" applyNumberFormat="1" applyFont="1" applyFill="1" applyAlignment="1">
      <alignment horizontal="center"/>
    </xf>
    <xf numFmtId="247" fontId="30" fillId="0" borderId="0" xfId="20410" applyNumberFormat="1" applyFont="1" applyFill="1" applyAlignment="1">
      <alignment horizontal="right"/>
    </xf>
    <xf numFmtId="247" fontId="30" fillId="74" borderId="0" xfId="20268" applyNumberFormat="1" applyFont="1" applyFill="1"/>
    <xf numFmtId="3" fontId="30" fillId="0" borderId="0" xfId="20410" applyNumberFormat="1" applyFont="1"/>
    <xf numFmtId="10" fontId="30" fillId="0" borderId="0" xfId="20410" applyNumberFormat="1" applyFont="1"/>
    <xf numFmtId="44" fontId="30" fillId="0" borderId="0" xfId="20410" applyNumberFormat="1" applyFont="1"/>
    <xf numFmtId="0" fontId="30" fillId="0" borderId="0" xfId="20410" applyNumberFormat="1" applyFont="1"/>
    <xf numFmtId="44" fontId="161" fillId="0" borderId="0" xfId="11310" applyFont="1" applyAlignment="1">
      <alignment horizontal="center"/>
    </xf>
    <xf numFmtId="44" fontId="161" fillId="0" borderId="0" xfId="20410" applyNumberFormat="1" applyFont="1" applyAlignment="1">
      <alignment horizontal="center" wrapText="1"/>
    </xf>
    <xf numFmtId="247" fontId="161" fillId="0" borderId="0" xfId="20268" applyNumberFormat="1" applyFont="1" applyBorder="1" applyAlignment="1">
      <alignment horizontal="center" vertical="top"/>
    </xf>
    <xf numFmtId="0" fontId="161" fillId="0" borderId="0" xfId="20410" applyNumberFormat="1" applyFont="1" applyBorder="1" applyAlignment="1">
      <alignment horizontal="center"/>
    </xf>
    <xf numFmtId="44" fontId="161" fillId="0" borderId="0" xfId="11310" applyFont="1" applyBorder="1" applyAlignment="1">
      <alignment horizontal="center"/>
    </xf>
    <xf numFmtId="247" fontId="161" fillId="0" borderId="0" xfId="20268" applyNumberFormat="1" applyFont="1" applyBorder="1" applyAlignment="1">
      <alignment horizontal="center"/>
    </xf>
    <xf numFmtId="247" fontId="161" fillId="0" borderId="45" xfId="20268" applyNumberFormat="1" applyFont="1" applyBorder="1" applyAlignment="1">
      <alignment horizontal="center" vertical="top"/>
    </xf>
    <xf numFmtId="0" fontId="161" fillId="0" borderId="45" xfId="20268" applyNumberFormat="1" applyFont="1" applyBorder="1" applyAlignment="1">
      <alignment horizontal="center" vertical="top"/>
    </xf>
    <xf numFmtId="44" fontId="161" fillId="0" borderId="45" xfId="11310" applyFont="1" applyBorder="1" applyAlignment="1">
      <alignment horizontal="center" vertical="top"/>
    </xf>
    <xf numFmtId="44" fontId="161" fillId="0" borderId="18" xfId="20410" applyNumberFormat="1" applyFont="1" applyBorder="1" applyAlignment="1">
      <alignment horizontal="center"/>
    </xf>
    <xf numFmtId="14" fontId="30" fillId="0" borderId="0" xfId="20410" applyNumberFormat="1" applyFont="1"/>
    <xf numFmtId="44" fontId="30" fillId="0" borderId="0" xfId="11310" applyFont="1"/>
    <xf numFmtId="44" fontId="30" fillId="0" borderId="0" xfId="11310" applyNumberFormat="1" applyFont="1"/>
    <xf numFmtId="44" fontId="30" fillId="0" borderId="0" xfId="20268" applyNumberFormat="1" applyFont="1"/>
    <xf numFmtId="247" fontId="30" fillId="0" borderId="151" xfId="20268" applyNumberFormat="1" applyFont="1" applyBorder="1"/>
    <xf numFmtId="44" fontId="30" fillId="0" borderId="151" xfId="20268" applyNumberFormat="1" applyFont="1" applyBorder="1"/>
    <xf numFmtId="44" fontId="30" fillId="0" borderId="0" xfId="20268" applyNumberFormat="1" applyFont="1" applyBorder="1"/>
    <xf numFmtId="0" fontId="158" fillId="0" borderId="0" xfId="20410" applyFont="1" applyFill="1" applyBorder="1"/>
    <xf numFmtId="0" fontId="155" fillId="0" borderId="0" xfId="20410" applyFont="1" applyFill="1"/>
    <xf numFmtId="44" fontId="30" fillId="0" borderId="45" xfId="20268" applyNumberFormat="1" applyFont="1" applyBorder="1"/>
    <xf numFmtId="44" fontId="30" fillId="0" borderId="30" xfId="20268" applyNumberFormat="1" applyFont="1" applyBorder="1"/>
    <xf numFmtId="44" fontId="30" fillId="0" borderId="14" xfId="20268" applyNumberFormat="1" applyFont="1" applyBorder="1"/>
    <xf numFmtId="44" fontId="30" fillId="74" borderId="0" xfId="20268" applyNumberFormat="1" applyFont="1" applyFill="1"/>
    <xf numFmtId="0" fontId="161" fillId="0" borderId="45" xfId="20410" applyFont="1" applyBorder="1" applyAlignment="1">
      <alignment horizontal="center"/>
    </xf>
    <xf numFmtId="43" fontId="30" fillId="0" borderId="151" xfId="20268" applyFont="1" applyBorder="1"/>
    <xf numFmtId="44" fontId="30" fillId="74" borderId="151" xfId="20410" applyNumberFormat="1" applyFont="1" applyFill="1" applyBorder="1"/>
    <xf numFmtId="0" fontId="38" fillId="0" borderId="0" xfId="20410" applyFont="1"/>
    <xf numFmtId="0" fontId="38" fillId="0" borderId="0" xfId="20410" applyFont="1" applyAlignment="1">
      <alignment horizontal="center"/>
    </xf>
    <xf numFmtId="40" fontId="38" fillId="0" borderId="0" xfId="20410" applyNumberFormat="1" applyFont="1"/>
    <xf numFmtId="40" fontId="38" fillId="0" borderId="45" xfId="20410" applyNumberFormat="1" applyFont="1" applyBorder="1"/>
    <xf numFmtId="43" fontId="270" fillId="0" borderId="0" xfId="20268" applyFont="1" applyAlignment="1">
      <alignment vertical="center" wrapText="1"/>
    </xf>
    <xf numFmtId="44" fontId="30" fillId="74" borderId="0" xfId="20410" applyNumberFormat="1" applyFont="1" applyFill="1"/>
    <xf numFmtId="0" fontId="270" fillId="0" borderId="0" xfId="20410" applyFont="1" applyAlignment="1">
      <alignment vertical="center" wrapText="1"/>
    </xf>
    <xf numFmtId="0" fontId="161" fillId="0" borderId="0" xfId="20410" applyFont="1" applyAlignment="1"/>
    <xf numFmtId="247" fontId="161" fillId="0" borderId="0" xfId="20268" applyNumberFormat="1" applyFont="1" applyAlignment="1"/>
    <xf numFmtId="0" fontId="155" fillId="0" borderId="0" xfId="20410" applyFont="1" applyAlignment="1"/>
    <xf numFmtId="0" fontId="155" fillId="0" borderId="0" xfId="20410" applyFont="1" applyAlignment="1">
      <alignment horizontal="center"/>
    </xf>
    <xf numFmtId="0" fontId="30" fillId="0" borderId="0" xfId="20410" applyFont="1" applyAlignment="1">
      <alignment horizontal="center"/>
    </xf>
    <xf numFmtId="0" fontId="30" fillId="0" borderId="0" xfId="20410" applyFont="1" applyAlignment="1" applyProtection="1">
      <alignment vertical="top" wrapText="1"/>
    </xf>
    <xf numFmtId="14" fontId="30" fillId="0" borderId="0" xfId="20410" applyNumberFormat="1" applyFont="1" applyAlignment="1" applyProtection="1">
      <alignment vertical="top"/>
    </xf>
    <xf numFmtId="247" fontId="161" fillId="0" borderId="0" xfId="20268" applyNumberFormat="1" applyFont="1" applyAlignment="1" applyProtection="1">
      <alignment horizontal="center" vertical="top"/>
    </xf>
    <xf numFmtId="0" fontId="30" fillId="0" borderId="0" xfId="20410" applyFont="1" applyAlignment="1" applyProtection="1">
      <alignment vertical="top"/>
    </xf>
    <xf numFmtId="0" fontId="161" fillId="0" borderId="0" xfId="20410" applyFont="1" applyAlignment="1">
      <alignment horizontal="center"/>
    </xf>
    <xf numFmtId="0" fontId="30" fillId="0" borderId="0" xfId="20410" applyFont="1" applyBorder="1" applyAlignment="1" applyProtection="1">
      <alignment vertical="top"/>
    </xf>
    <xf numFmtId="0" fontId="30" fillId="0" borderId="0" xfId="20410" applyFont="1" applyAlignment="1" applyProtection="1">
      <alignment horizontal="center" vertical="top"/>
    </xf>
    <xf numFmtId="0" fontId="161" fillId="0" borderId="0" xfId="20410" applyFont="1" applyAlignment="1" applyProtection="1">
      <alignment horizontal="center" vertical="top" wrapText="1"/>
    </xf>
    <xf numFmtId="0" fontId="161" fillId="0" borderId="0" xfId="20410" applyFont="1" applyAlignment="1" applyProtection="1">
      <alignment horizontal="center" vertical="top"/>
    </xf>
    <xf numFmtId="0" fontId="161" fillId="0" borderId="0" xfId="20410" applyFont="1" applyBorder="1" applyAlignment="1" applyProtection="1">
      <alignment horizontal="center" vertical="top"/>
    </xf>
    <xf numFmtId="14" fontId="161" fillId="74" borderId="17" xfId="20410" applyNumberFormat="1" applyFont="1" applyFill="1" applyBorder="1" applyAlignment="1" applyProtection="1">
      <alignment vertical="top"/>
    </xf>
    <xf numFmtId="0" fontId="161" fillId="0" borderId="0" xfId="20410" applyFont="1" applyAlignment="1" applyProtection="1">
      <alignment vertical="top"/>
    </xf>
    <xf numFmtId="0" fontId="161" fillId="70" borderId="0" xfId="20410" applyFont="1" applyFill="1" applyAlignment="1">
      <alignment horizontal="center"/>
    </xf>
    <xf numFmtId="247" fontId="161" fillId="0" borderId="18" xfId="20268" applyNumberFormat="1" applyFont="1" applyBorder="1" applyAlignment="1" applyProtection="1">
      <alignment horizontal="center" vertical="top" wrapText="1"/>
    </xf>
    <xf numFmtId="247" fontId="161" fillId="0" borderId="18" xfId="20268" applyNumberFormat="1" applyFont="1" applyBorder="1" applyAlignment="1" applyProtection="1">
      <alignment horizontal="center" vertical="top"/>
    </xf>
    <xf numFmtId="247" fontId="161" fillId="0" borderId="18" xfId="20268" applyNumberFormat="1" applyFont="1" applyBorder="1" applyAlignment="1">
      <alignment horizontal="center" vertical="top"/>
    </xf>
    <xf numFmtId="247" fontId="161" fillId="0" borderId="0" xfId="20268" applyNumberFormat="1" applyFont="1" applyBorder="1" applyAlignment="1" applyProtection="1">
      <alignment horizontal="center" vertical="top"/>
    </xf>
    <xf numFmtId="247" fontId="271" fillId="0" borderId="0" xfId="20268" applyNumberFormat="1" applyFont="1" applyBorder="1" applyAlignment="1" applyProtection="1">
      <alignment horizontal="center" vertical="top"/>
    </xf>
    <xf numFmtId="0" fontId="161" fillId="0" borderId="45" xfId="20410" applyFont="1" applyBorder="1" applyAlignment="1" applyProtection="1">
      <alignment horizontal="center" vertical="top"/>
    </xf>
    <xf numFmtId="0" fontId="161" fillId="0" borderId="45" xfId="20410" applyFont="1" applyBorder="1" applyAlignment="1" applyProtection="1">
      <alignment horizontal="center"/>
    </xf>
    <xf numFmtId="0" fontId="161" fillId="70" borderId="45" xfId="20410" applyFont="1" applyFill="1" applyBorder="1" applyAlignment="1">
      <alignment horizontal="center"/>
    </xf>
    <xf numFmtId="247" fontId="161" fillId="0" borderId="0" xfId="20268" applyNumberFormat="1" applyFont="1" applyBorder="1" applyAlignment="1" applyProtection="1">
      <alignment horizontal="center" vertical="top" wrapText="1"/>
    </xf>
    <xf numFmtId="247" fontId="158" fillId="0" borderId="0" xfId="20412" applyNumberFormat="1" applyFont="1" applyFill="1" applyBorder="1"/>
    <xf numFmtId="0" fontId="30" fillId="74" borderId="0" xfId="20410" applyFont="1" applyFill="1"/>
    <xf numFmtId="14" fontId="30" fillId="0" borderId="0" xfId="20410" applyNumberFormat="1" applyFont="1" applyBorder="1"/>
    <xf numFmtId="0" fontId="30" fillId="0" borderId="0" xfId="11310" applyNumberFormat="1" applyFont="1"/>
    <xf numFmtId="247" fontId="158" fillId="0" borderId="0" xfId="20412" applyNumberFormat="1" applyFont="1" applyFill="1" applyBorder="1" applyAlignment="1">
      <alignment horizontal="center"/>
    </xf>
    <xf numFmtId="43" fontId="258" fillId="0" borderId="0" xfId="20268" applyFont="1" applyFill="1"/>
    <xf numFmtId="43" fontId="30" fillId="0" borderId="0" xfId="20410" applyNumberFormat="1" applyFont="1" applyFill="1"/>
    <xf numFmtId="247" fontId="30" fillId="0" borderId="0" xfId="20410" applyNumberFormat="1" applyFont="1" applyFill="1"/>
    <xf numFmtId="44" fontId="30" fillId="0" borderId="0" xfId="11310" applyFont="1" applyFill="1"/>
    <xf numFmtId="43" fontId="30" fillId="0" borderId="0" xfId="20268" applyFont="1" applyFill="1"/>
    <xf numFmtId="0" fontId="258" fillId="0" borderId="0" xfId="20410" applyFont="1"/>
    <xf numFmtId="14" fontId="30" fillId="74" borderId="0" xfId="20410" applyNumberFormat="1" applyFont="1" applyFill="1"/>
    <xf numFmtId="49" fontId="110" fillId="0" borderId="0" xfId="20411" applyNumberFormat="1" applyFill="1" applyAlignment="1">
      <alignment horizontal="center"/>
    </xf>
    <xf numFmtId="247" fontId="158" fillId="0" borderId="151" xfId="20412" applyNumberFormat="1" applyFont="1" applyFill="1" applyBorder="1"/>
    <xf numFmtId="44" fontId="158" fillId="0" borderId="151" xfId="11310" applyFont="1" applyFill="1" applyBorder="1"/>
    <xf numFmtId="49" fontId="110" fillId="0" borderId="0" xfId="20411" applyNumberFormat="1" applyFill="1" applyBorder="1" applyAlignment="1">
      <alignment horizontal="center"/>
    </xf>
    <xf numFmtId="247" fontId="30" fillId="0" borderId="0" xfId="20410" applyNumberFormat="1" applyFont="1" applyFill="1" applyBorder="1"/>
    <xf numFmtId="352" fontId="158" fillId="0" borderId="0" xfId="20412" applyNumberFormat="1" applyFont="1" applyFill="1" applyBorder="1" applyAlignment="1">
      <alignment horizontal="center"/>
    </xf>
    <xf numFmtId="14" fontId="30" fillId="0" borderId="0" xfId="20410" applyNumberFormat="1" applyFont="1" applyFill="1"/>
    <xf numFmtId="0" fontId="30" fillId="74" borderId="0" xfId="20410" applyFont="1" applyFill="1" applyBorder="1"/>
    <xf numFmtId="0" fontId="30" fillId="0" borderId="0" xfId="11310" applyNumberFormat="1" applyFont="1" applyBorder="1"/>
    <xf numFmtId="44" fontId="30" fillId="0" borderId="0" xfId="11310" applyFont="1" applyBorder="1"/>
    <xf numFmtId="44" fontId="0" fillId="0" borderId="0" xfId="11310" applyFont="1"/>
    <xf numFmtId="247" fontId="30" fillId="0" borderId="150" xfId="20268" applyNumberFormat="1" applyFont="1" applyBorder="1"/>
    <xf numFmtId="44" fontId="30" fillId="0" borderId="150" xfId="11310" applyFont="1" applyBorder="1"/>
    <xf numFmtId="44" fontId="30" fillId="0" borderId="151" xfId="11310" applyFont="1" applyBorder="1"/>
    <xf numFmtId="44" fontId="30" fillId="0" borderId="151" xfId="11310" applyFont="1" applyFill="1" applyBorder="1"/>
    <xf numFmtId="164" fontId="30" fillId="0" borderId="0" xfId="20410" applyNumberFormat="1" applyFont="1" applyAlignment="1">
      <alignment horizontal="center"/>
    </xf>
    <xf numFmtId="0" fontId="30" fillId="0" borderId="0" xfId="20410" quotePrefix="1" applyFont="1" applyFill="1" applyAlignment="1">
      <alignment horizontal="center"/>
    </xf>
    <xf numFmtId="164" fontId="30" fillId="0" borderId="0" xfId="20410" applyNumberFormat="1" applyFont="1" applyFill="1" applyAlignment="1">
      <alignment horizontal="center"/>
    </xf>
    <xf numFmtId="49" fontId="158" fillId="0" borderId="0" xfId="20411" quotePrefix="1" applyNumberFormat="1" applyFont="1" applyFill="1" applyAlignment="1">
      <alignment horizontal="center"/>
    </xf>
    <xf numFmtId="43" fontId="30" fillId="70" borderId="0" xfId="20410" applyNumberFormat="1" applyFont="1" applyFill="1"/>
    <xf numFmtId="43" fontId="30" fillId="74" borderId="0" xfId="20268" applyFont="1" applyFill="1"/>
    <xf numFmtId="43" fontId="30" fillId="74" borderId="0" xfId="20410" applyNumberFormat="1" applyFont="1" applyFill="1"/>
    <xf numFmtId="247" fontId="30" fillId="74" borderId="0" xfId="20410" applyNumberFormat="1" applyFont="1" applyFill="1"/>
    <xf numFmtId="44" fontId="30" fillId="74" borderId="0" xfId="11310" applyFont="1" applyFill="1"/>
    <xf numFmtId="44" fontId="30" fillId="0" borderId="151" xfId="20410" applyNumberFormat="1" applyFont="1" applyBorder="1"/>
    <xf numFmtId="247" fontId="30" fillId="0" borderId="0" xfId="20268" applyNumberFormat="1" applyFont="1" applyFill="1" applyAlignment="1">
      <alignment horizontal="center"/>
    </xf>
    <xf numFmtId="0" fontId="30" fillId="0" borderId="0" xfId="20410" applyFont="1" applyBorder="1" applyAlignment="1">
      <alignment horizontal="center"/>
    </xf>
    <xf numFmtId="44" fontId="30" fillId="0" borderId="30" xfId="11310" applyFont="1" applyBorder="1"/>
    <xf numFmtId="43" fontId="30" fillId="0" borderId="0" xfId="20268" applyNumberFormat="1" applyFont="1"/>
    <xf numFmtId="43" fontId="30" fillId="74" borderId="0" xfId="20410" applyNumberFormat="1" applyFont="1" applyFill="1" applyBorder="1"/>
    <xf numFmtId="0" fontId="257" fillId="0" borderId="0" xfId="20410" applyFont="1"/>
    <xf numFmtId="0" fontId="0" fillId="0" borderId="0" xfId="11310" applyNumberFormat="1" applyFont="1"/>
    <xf numFmtId="0" fontId="267" fillId="0" borderId="0" xfId="20410" applyAlignment="1">
      <alignment horizontal="center"/>
    </xf>
    <xf numFmtId="0" fontId="267" fillId="0" borderId="0" xfId="20410" applyNumberFormat="1"/>
    <xf numFmtId="247" fontId="0" fillId="0" borderId="0" xfId="20268" applyNumberFormat="1" applyFont="1" applyAlignment="1">
      <alignment horizontal="center"/>
    </xf>
    <xf numFmtId="0" fontId="30" fillId="0" borderId="0" xfId="20410" applyFont="1" applyAlignment="1">
      <alignment horizontal="left" wrapText="1"/>
    </xf>
    <xf numFmtId="247" fontId="30" fillId="0" borderId="0" xfId="20268" applyNumberFormat="1" applyFont="1" applyAlignment="1">
      <alignment horizontal="center"/>
    </xf>
    <xf numFmtId="49" fontId="158" fillId="0" borderId="0" xfId="20411" applyNumberFormat="1" applyFont="1" applyFill="1" applyAlignment="1">
      <alignment vertical="top"/>
    </xf>
    <xf numFmtId="0" fontId="158" fillId="0" borderId="0" xfId="20411" applyNumberFormat="1" applyFont="1" applyFill="1" applyAlignment="1">
      <alignment vertical="top"/>
    </xf>
    <xf numFmtId="0" fontId="267" fillId="0" borderId="0" xfId="20410" applyBorder="1"/>
    <xf numFmtId="14" fontId="30" fillId="0" borderId="0" xfId="20268" applyNumberFormat="1" applyFont="1"/>
    <xf numFmtId="0" fontId="161" fillId="0" borderId="0" xfId="20410" quotePrefix="1" applyFont="1" applyFill="1" applyBorder="1" applyAlignment="1"/>
    <xf numFmtId="0" fontId="30" fillId="0" borderId="0" xfId="11310" applyNumberFormat="1" applyFont="1" applyFill="1"/>
    <xf numFmtId="247" fontId="161" fillId="0" borderId="0" xfId="20268" applyNumberFormat="1" applyFont="1" applyAlignment="1">
      <alignment horizontal="center"/>
    </xf>
    <xf numFmtId="0" fontId="161" fillId="0" borderId="0" xfId="11310" applyNumberFormat="1" applyFont="1" applyAlignment="1">
      <alignment horizontal="center"/>
    </xf>
    <xf numFmtId="0" fontId="161" fillId="0" borderId="0" xfId="20410" applyNumberFormat="1" applyFont="1" applyAlignment="1">
      <alignment horizontal="center"/>
    </xf>
    <xf numFmtId="247" fontId="161" fillId="0" borderId="18" xfId="20268" applyNumberFormat="1" applyFont="1" applyBorder="1" applyAlignment="1">
      <alignment horizontal="center"/>
    </xf>
    <xf numFmtId="247" fontId="161" fillId="0" borderId="0" xfId="20268" applyNumberFormat="1" applyFont="1" applyBorder="1" applyAlignment="1">
      <alignment horizontal="left"/>
    </xf>
    <xf numFmtId="0" fontId="161" fillId="0" borderId="18" xfId="11310" applyNumberFormat="1" applyFont="1" applyBorder="1" applyAlignment="1">
      <alignment horizontal="center" wrapText="1"/>
    </xf>
    <xf numFmtId="247" fontId="161" fillId="0" borderId="18" xfId="20268" applyNumberFormat="1" applyFont="1" applyBorder="1" applyAlignment="1">
      <alignment horizontal="center" wrapText="1"/>
    </xf>
    <xf numFmtId="0" fontId="161" fillId="0" borderId="18" xfId="20268" applyNumberFormat="1" applyFont="1" applyBorder="1" applyAlignment="1">
      <alignment horizontal="center"/>
    </xf>
    <xf numFmtId="0" fontId="161" fillId="0" borderId="45" xfId="20410" applyFont="1" applyBorder="1" applyAlignment="1">
      <alignment horizontal="center" wrapText="1"/>
    </xf>
    <xf numFmtId="0" fontId="197" fillId="0" borderId="0" xfId="20410" applyFont="1" applyFill="1" applyAlignment="1">
      <alignment horizontal="center"/>
    </xf>
    <xf numFmtId="0" fontId="158" fillId="0" borderId="0" xfId="12053" applyNumberFormat="1" applyFont="1" applyFill="1" applyBorder="1" applyAlignment="1">
      <alignment horizontal="center"/>
    </xf>
    <xf numFmtId="242" fontId="30" fillId="0" borderId="0" xfId="20410" applyNumberFormat="1" applyFont="1" applyFill="1" applyAlignment="1">
      <alignment horizontal="center"/>
    </xf>
    <xf numFmtId="3" fontId="30" fillId="0" borderId="0" xfId="20410" applyNumberFormat="1" applyFont="1" applyAlignment="1">
      <alignment horizontal="center"/>
    </xf>
    <xf numFmtId="43" fontId="30" fillId="0" borderId="0" xfId="20410" applyNumberFormat="1" applyFont="1"/>
    <xf numFmtId="247" fontId="0" fillId="0" borderId="0" xfId="20268" applyNumberFormat="1" applyFont="1" applyFill="1"/>
    <xf numFmtId="0" fontId="30" fillId="0" borderId="0" xfId="20410" applyFont="1" applyFill="1" applyAlignment="1">
      <alignment horizontal="left"/>
    </xf>
    <xf numFmtId="3" fontId="30" fillId="0" borderId="0" xfId="20410" applyNumberFormat="1" applyFont="1" applyAlignment="1">
      <alignment horizontal="right"/>
    </xf>
    <xf numFmtId="242" fontId="30" fillId="0" borderId="0" xfId="20410" applyNumberFormat="1" applyFont="1" applyAlignment="1">
      <alignment horizontal="center"/>
    </xf>
    <xf numFmtId="0" fontId="272" fillId="0" borderId="0" xfId="20410" applyFont="1" applyFill="1" applyAlignment="1">
      <alignment horizontal="left" vertical="center" readingOrder="1"/>
    </xf>
    <xf numFmtId="0" fontId="30" fillId="0" borderId="0" xfId="20410" applyNumberFormat="1" applyFont="1" applyAlignment="1">
      <alignment horizontal="center"/>
    </xf>
    <xf numFmtId="0" fontId="30" fillId="0" borderId="0" xfId="20410" applyNumberFormat="1" applyFont="1" applyFill="1" applyAlignment="1">
      <alignment horizontal="center"/>
    </xf>
    <xf numFmtId="0" fontId="272" fillId="0" borderId="0" xfId="20410" applyFont="1" applyAlignment="1">
      <alignment horizontal="left" vertical="center" readingOrder="1"/>
    </xf>
    <xf numFmtId="0" fontId="30" fillId="0" borderId="0" xfId="20410" applyNumberFormat="1" applyFont="1" applyFill="1"/>
    <xf numFmtId="0" fontId="30" fillId="0" borderId="0" xfId="20410" applyFont="1" applyFill="1" applyAlignment="1"/>
    <xf numFmtId="43" fontId="30" fillId="0" borderId="0" xfId="20268" applyFont="1"/>
    <xf numFmtId="0" fontId="30" fillId="0" borderId="0" xfId="20410" applyFont="1" applyAlignment="1">
      <alignment horizontal="right"/>
    </xf>
    <xf numFmtId="247" fontId="30" fillId="0" borderId="0" xfId="20410" applyNumberFormat="1" applyFont="1" applyAlignment="1">
      <alignment horizontal="center"/>
    </xf>
    <xf numFmtId="0" fontId="110" fillId="0" borderId="0" xfId="20411" applyFill="1" applyAlignment="1">
      <alignment vertical="top" wrapText="1"/>
    </xf>
    <xf numFmtId="49" fontId="110" fillId="0" borderId="0" xfId="20411" applyNumberFormat="1" applyFill="1" applyAlignment="1">
      <alignment vertical="top" wrapText="1"/>
    </xf>
    <xf numFmtId="9" fontId="0" fillId="0" borderId="0" xfId="12053" applyFont="1"/>
    <xf numFmtId="164" fontId="156" fillId="0" borderId="0" xfId="20413" applyNumberFormat="1" applyFont="1" applyAlignment="1">
      <alignment horizontal="left"/>
    </xf>
    <xf numFmtId="0" fontId="10" fillId="0" borderId="0" xfId="20410" applyFont="1"/>
    <xf numFmtId="0" fontId="156" fillId="0" borderId="0" xfId="20410" applyFont="1" applyBorder="1" applyAlignment="1">
      <alignment horizontal="center"/>
    </xf>
    <xf numFmtId="0" fontId="156" fillId="0" borderId="0" xfId="20410" applyFont="1" applyAlignment="1">
      <alignment horizontal="center"/>
    </xf>
    <xf numFmtId="0" fontId="10" fillId="0" borderId="0" xfId="20410" applyFont="1" applyAlignment="1">
      <alignment wrapText="1"/>
    </xf>
    <xf numFmtId="0" fontId="156" fillId="0" borderId="45" xfId="20410" applyFont="1" applyBorder="1" applyAlignment="1">
      <alignment horizontal="center" wrapText="1"/>
    </xf>
    <xf numFmtId="0" fontId="156" fillId="0" borderId="0" xfId="20410" applyFont="1" applyBorder="1" applyAlignment="1">
      <alignment horizontal="center" wrapText="1"/>
    </xf>
    <xf numFmtId="0" fontId="156" fillId="0" borderId="0" xfId="20410" applyFont="1" applyFill="1" applyBorder="1" applyAlignment="1">
      <alignment horizontal="center" wrapText="1"/>
    </xf>
    <xf numFmtId="0" fontId="156" fillId="0" borderId="45" xfId="20410" applyFont="1" applyFill="1" applyBorder="1" applyAlignment="1">
      <alignment horizontal="center" wrapText="1"/>
    </xf>
    <xf numFmtId="0" fontId="156" fillId="0" borderId="0" xfId="20410" applyFont="1"/>
    <xf numFmtId="43" fontId="156" fillId="0" borderId="0" xfId="20412" applyFont="1" applyBorder="1" applyAlignment="1">
      <alignment horizontal="center"/>
    </xf>
    <xf numFmtId="0" fontId="156" fillId="0" borderId="0" xfId="20410" applyFont="1" applyFill="1" applyBorder="1" applyAlignment="1">
      <alignment horizontal="center"/>
    </xf>
    <xf numFmtId="0" fontId="10" fillId="0" borderId="0" xfId="20410" applyFont="1" applyBorder="1" applyAlignment="1">
      <alignment horizontal="center"/>
    </xf>
    <xf numFmtId="43" fontId="10" fillId="0" borderId="0" xfId="20412" applyFont="1" applyBorder="1" applyAlignment="1">
      <alignment horizontal="center"/>
    </xf>
    <xf numFmtId="247" fontId="10" fillId="0" borderId="0" xfId="20412" applyNumberFormat="1" applyFont="1" applyBorder="1" applyAlignment="1">
      <alignment horizontal="center"/>
    </xf>
    <xf numFmtId="44" fontId="10" fillId="0" borderId="0" xfId="11310" applyFont="1" applyBorder="1" applyAlignment="1">
      <alignment horizontal="center"/>
    </xf>
    <xf numFmtId="44" fontId="10" fillId="0" borderId="0" xfId="11310" applyFont="1"/>
    <xf numFmtId="0" fontId="267" fillId="0" borderId="0" xfId="20410" applyFont="1"/>
    <xf numFmtId="44" fontId="156" fillId="0" borderId="0" xfId="11310" applyFont="1" applyBorder="1" applyAlignment="1">
      <alignment horizontal="center"/>
    </xf>
    <xf numFmtId="44" fontId="156" fillId="0" borderId="0" xfId="11310" applyFont="1" applyFill="1" applyBorder="1" applyAlignment="1">
      <alignment horizontal="center"/>
    </xf>
    <xf numFmtId="14" fontId="10" fillId="0" borderId="0" xfId="20410" applyNumberFormat="1" applyFont="1" applyAlignment="1"/>
    <xf numFmtId="14" fontId="10" fillId="0" borderId="0" xfId="20410" applyNumberFormat="1" applyFont="1"/>
    <xf numFmtId="247" fontId="10" fillId="0" borderId="151" xfId="20412" applyNumberFormat="1" applyFont="1" applyBorder="1"/>
    <xf numFmtId="44" fontId="10" fillId="0" borderId="151" xfId="11310" applyFont="1" applyBorder="1"/>
    <xf numFmtId="44" fontId="10" fillId="0" borderId="0" xfId="11310" applyFont="1" applyBorder="1"/>
    <xf numFmtId="43" fontId="10" fillId="0" borderId="0" xfId="20410" applyNumberFormat="1" applyFont="1"/>
    <xf numFmtId="247" fontId="10" fillId="0" borderId="0" xfId="20412" applyNumberFormat="1" applyFont="1"/>
    <xf numFmtId="43" fontId="10" fillId="0" borderId="0" xfId="20412" applyFont="1"/>
    <xf numFmtId="14" fontId="10" fillId="0" borderId="0" xfId="20410" applyNumberFormat="1" applyFont="1" applyAlignment="1">
      <alignment horizontal="center"/>
    </xf>
    <xf numFmtId="264" fontId="10" fillId="0" borderId="0" xfId="20412" applyNumberFormat="1" applyFont="1"/>
    <xf numFmtId="247" fontId="10" fillId="0" borderId="0" xfId="20412" applyNumberFormat="1" applyFont="1" applyFill="1"/>
    <xf numFmtId="44" fontId="10" fillId="0" borderId="0" xfId="11310" applyFont="1" applyFill="1"/>
    <xf numFmtId="2" fontId="10" fillId="0" borderId="0" xfId="20410" applyNumberFormat="1" applyFont="1"/>
    <xf numFmtId="43" fontId="10" fillId="0" borderId="0" xfId="20410" applyNumberFormat="1" applyFont="1" applyBorder="1"/>
    <xf numFmtId="247" fontId="10" fillId="0" borderId="48" xfId="20412" applyNumberFormat="1" applyFont="1" applyBorder="1"/>
    <xf numFmtId="44" fontId="10" fillId="0" borderId="48" xfId="11310" applyFont="1" applyBorder="1"/>
    <xf numFmtId="0" fontId="10" fillId="0" borderId="0" xfId="20410" applyFont="1" applyBorder="1"/>
    <xf numFmtId="247" fontId="10" fillId="0" borderId="0" xfId="20268" applyNumberFormat="1" applyFont="1"/>
    <xf numFmtId="247" fontId="10" fillId="0" borderId="0" xfId="20410" applyNumberFormat="1" applyFont="1"/>
    <xf numFmtId="0" fontId="10" fillId="0" borderId="0" xfId="20410" applyNumberFormat="1" applyFont="1"/>
    <xf numFmtId="44" fontId="10" fillId="0" borderId="0" xfId="20410" applyNumberFormat="1" applyFont="1"/>
    <xf numFmtId="247" fontId="10" fillId="0" borderId="0" xfId="20412" applyNumberFormat="1" applyFont="1" applyBorder="1"/>
    <xf numFmtId="247" fontId="10" fillId="75" borderId="0" xfId="20412" applyNumberFormat="1" applyFont="1" applyFill="1" applyBorder="1"/>
    <xf numFmtId="44" fontId="10" fillId="75" borderId="0" xfId="11310" applyFont="1" applyFill="1" applyBorder="1"/>
    <xf numFmtId="44" fontId="10" fillId="75" borderId="0" xfId="11310" applyFont="1" applyFill="1"/>
    <xf numFmtId="0" fontId="10" fillId="75" borderId="0" xfId="20410" applyFont="1" applyFill="1"/>
    <xf numFmtId="44" fontId="10" fillId="75" borderId="0" xfId="20410" applyNumberFormat="1" applyFont="1" applyFill="1"/>
    <xf numFmtId="247" fontId="10" fillId="0" borderId="48" xfId="20410" applyNumberFormat="1" applyFont="1" applyBorder="1"/>
    <xf numFmtId="43" fontId="10" fillId="0" borderId="48" xfId="20410" applyNumberFormat="1" applyFont="1" applyBorder="1"/>
    <xf numFmtId="247" fontId="10" fillId="0" borderId="48" xfId="20268" applyNumberFormat="1" applyFont="1" applyBorder="1"/>
    <xf numFmtId="39" fontId="10" fillId="0" borderId="0" xfId="20410" applyNumberFormat="1" applyFont="1"/>
    <xf numFmtId="44" fontId="10" fillId="0" borderId="150" xfId="20410" applyNumberFormat="1" applyFont="1" applyBorder="1"/>
    <xf numFmtId="44" fontId="10" fillId="0" borderId="0" xfId="20410" applyNumberFormat="1" applyFont="1" applyBorder="1"/>
    <xf numFmtId="44" fontId="10" fillId="75" borderId="150" xfId="11310" applyFont="1" applyFill="1" applyBorder="1"/>
    <xf numFmtId="44" fontId="10" fillId="0" borderId="150" xfId="11310" applyFont="1" applyBorder="1"/>
    <xf numFmtId="44" fontId="10" fillId="74" borderId="0" xfId="20410" applyNumberFormat="1" applyFont="1" applyFill="1"/>
    <xf numFmtId="44" fontId="10" fillId="0" borderId="0" xfId="20410" applyNumberFormat="1" applyFont="1" applyFill="1"/>
    <xf numFmtId="0" fontId="10" fillId="0" borderId="0" xfId="20410" applyFont="1" applyFill="1"/>
    <xf numFmtId="0" fontId="10" fillId="74" borderId="0" xfId="20410" applyFont="1" applyFill="1"/>
    <xf numFmtId="0" fontId="109" fillId="0" borderId="0" xfId="20410" applyFont="1" applyBorder="1"/>
    <xf numFmtId="0" fontId="109" fillId="0" borderId="158" xfId="20410" applyFont="1" applyBorder="1"/>
    <xf numFmtId="0" fontId="109" fillId="0" borderId="40" xfId="20410" applyFont="1" applyBorder="1"/>
    <xf numFmtId="44" fontId="109" fillId="0" borderId="40" xfId="20410" applyNumberFormat="1" applyFont="1" applyBorder="1"/>
    <xf numFmtId="0" fontId="109" fillId="0" borderId="159" xfId="20410" applyFont="1" applyBorder="1"/>
    <xf numFmtId="44" fontId="109" fillId="0" borderId="0" xfId="11310" applyFont="1" applyBorder="1"/>
    <xf numFmtId="0" fontId="109" fillId="0" borderId="160" xfId="20410" applyFont="1" applyBorder="1"/>
    <xf numFmtId="247" fontId="109" fillId="0" borderId="0" xfId="20412" applyNumberFormat="1" applyFont="1" applyBorder="1"/>
    <xf numFmtId="44" fontId="109" fillId="0" borderId="161" xfId="11310" applyFont="1" applyBorder="1"/>
    <xf numFmtId="43" fontId="10" fillId="0" borderId="0" xfId="20268" applyFont="1"/>
    <xf numFmtId="247" fontId="109" fillId="0" borderId="14" xfId="20412" applyNumberFormat="1" applyFont="1" applyBorder="1"/>
    <xf numFmtId="44" fontId="109" fillId="0" borderId="14" xfId="11310" applyFont="1" applyBorder="1"/>
    <xf numFmtId="44" fontId="109" fillId="0" borderId="162" xfId="11310" applyFont="1" applyBorder="1"/>
    <xf numFmtId="247" fontId="26" fillId="0" borderId="0" xfId="20410" applyNumberFormat="1" applyFont="1" applyBorder="1"/>
    <xf numFmtId="44" fontId="26" fillId="0" borderId="0" xfId="11310" applyFont="1" applyBorder="1"/>
    <xf numFmtId="44" fontId="26" fillId="0" borderId="161" xfId="11310" applyFont="1" applyBorder="1"/>
    <xf numFmtId="43" fontId="26" fillId="0" borderId="0" xfId="20412" applyFont="1" applyBorder="1"/>
    <xf numFmtId="43" fontId="26" fillId="0" borderId="161" xfId="20412" applyFont="1" applyBorder="1"/>
    <xf numFmtId="247" fontId="26" fillId="0" borderId="14" xfId="20410" applyNumberFormat="1" applyFont="1" applyBorder="1"/>
    <xf numFmtId="0" fontId="156" fillId="0" borderId="0" xfId="20410" applyFont="1" applyBorder="1"/>
    <xf numFmtId="14" fontId="10" fillId="0" borderId="0" xfId="20410" applyNumberFormat="1" applyFont="1" applyBorder="1"/>
    <xf numFmtId="0" fontId="109" fillId="0" borderId="163" xfId="20410" applyFont="1" applyBorder="1"/>
    <xf numFmtId="0" fontId="109" fillId="0" borderId="18" xfId="20410" applyFont="1" applyBorder="1"/>
    <xf numFmtId="0" fontId="109" fillId="0" borderId="164" xfId="20410" applyFont="1" applyBorder="1"/>
    <xf numFmtId="0" fontId="10" fillId="0" borderId="0" xfId="20410" quotePrefix="1" applyFont="1" applyBorder="1"/>
    <xf numFmtId="0" fontId="10" fillId="0" borderId="0" xfId="20410" applyFont="1" applyBorder="1" applyAlignment="1"/>
    <xf numFmtId="0" fontId="156" fillId="0" borderId="158" xfId="20410" applyFont="1" applyBorder="1"/>
    <xf numFmtId="0" fontId="156" fillId="0" borderId="40" xfId="20410" applyFont="1" applyBorder="1"/>
    <xf numFmtId="0" fontId="10" fillId="0" borderId="40" xfId="20410" applyFont="1" applyBorder="1"/>
    <xf numFmtId="0" fontId="10" fillId="0" borderId="159" xfId="20410" applyFont="1" applyBorder="1"/>
    <xf numFmtId="0" fontId="10" fillId="0" borderId="160" xfId="20410" applyFont="1" applyBorder="1"/>
    <xf numFmtId="0" fontId="10" fillId="0" borderId="161" xfId="20410" applyFont="1" applyBorder="1"/>
    <xf numFmtId="14" fontId="10" fillId="0" borderId="160" xfId="20410" applyNumberFormat="1" applyFont="1" applyBorder="1"/>
    <xf numFmtId="247" fontId="10" fillId="0" borderId="0" xfId="20410" applyNumberFormat="1" applyFont="1" applyBorder="1"/>
    <xf numFmtId="44" fontId="10" fillId="0" borderId="161" xfId="20410" applyNumberFormat="1" applyFont="1" applyBorder="1"/>
    <xf numFmtId="0" fontId="10" fillId="0" borderId="160" xfId="20410" quotePrefix="1" applyFont="1" applyBorder="1"/>
    <xf numFmtId="247" fontId="10" fillId="0" borderId="0" xfId="20410" applyNumberFormat="1" applyFont="1" applyFill="1" applyBorder="1"/>
    <xf numFmtId="44" fontId="10" fillId="0" borderId="0" xfId="20410" applyNumberFormat="1" applyFont="1" applyFill="1" applyBorder="1"/>
    <xf numFmtId="247" fontId="10" fillId="0" borderId="45" xfId="20410" applyNumberFormat="1" applyFont="1" applyBorder="1"/>
    <xf numFmtId="44" fontId="10" fillId="0" borderId="45" xfId="20410" applyNumberFormat="1" applyFont="1" applyBorder="1"/>
    <xf numFmtId="44" fontId="10" fillId="0" borderId="165" xfId="20410" applyNumberFormat="1" applyFont="1" applyBorder="1"/>
    <xf numFmtId="0" fontId="10" fillId="0" borderId="163" xfId="20410" applyFont="1" applyBorder="1"/>
    <xf numFmtId="0" fontId="10" fillId="0" borderId="18" xfId="20410" applyFont="1" applyBorder="1"/>
    <xf numFmtId="0" fontId="10" fillId="0" borderId="164" xfId="20410" applyFont="1" applyBorder="1"/>
    <xf numFmtId="14" fontId="161" fillId="0" borderId="0" xfId="20410" quotePrefix="1" applyNumberFormat="1" applyFont="1" applyAlignment="1">
      <alignment horizontal="left"/>
    </xf>
    <xf numFmtId="247" fontId="30" fillId="0" borderId="48" xfId="20268" applyNumberFormat="1" applyFont="1" applyBorder="1"/>
    <xf numFmtId="44" fontId="30" fillId="0" borderId="14" xfId="11310" applyFont="1" applyBorder="1"/>
    <xf numFmtId="242" fontId="30" fillId="0" borderId="153" xfId="20410" applyNumberFormat="1" applyFont="1" applyFill="1" applyBorder="1" applyAlignment="1">
      <alignment horizontal="center"/>
    </xf>
    <xf numFmtId="0" fontId="30" fillId="0" borderId="154" xfId="20410" applyFont="1" applyBorder="1" applyAlignment="1">
      <alignment horizontal="center"/>
    </xf>
    <xf numFmtId="242" fontId="30" fillId="0" borderId="61" xfId="20410" applyNumberFormat="1" applyFont="1" applyFill="1" applyBorder="1" applyAlignment="1">
      <alignment horizontal="center"/>
    </xf>
    <xf numFmtId="0" fontId="30" fillId="0" borderId="13" xfId="20410" applyFont="1" applyBorder="1" applyAlignment="1">
      <alignment horizontal="center"/>
    </xf>
    <xf numFmtId="242" fontId="30" fillId="0" borderId="123" xfId="20410" applyNumberFormat="1" applyFont="1" applyFill="1" applyBorder="1" applyAlignment="1">
      <alignment horizontal="center"/>
    </xf>
    <xf numFmtId="0" fontId="30" fillId="0" borderId="93" xfId="20410" applyFont="1" applyBorder="1" applyAlignment="1">
      <alignment horizontal="center"/>
    </xf>
    <xf numFmtId="0" fontId="30" fillId="0" borderId="61" xfId="20410" applyFont="1" applyBorder="1"/>
    <xf numFmtId="0" fontId="238" fillId="0" borderId="123" xfId="20410" applyFont="1" applyBorder="1" applyAlignment="1">
      <alignment horizontal="center"/>
    </xf>
    <xf numFmtId="247" fontId="30" fillId="0" borderId="93" xfId="20268" applyNumberFormat="1" applyFont="1" applyBorder="1"/>
    <xf numFmtId="169" fontId="196" fillId="0" borderId="150" xfId="0" applyNumberFormat="1" applyFont="1" applyFill="1" applyBorder="1"/>
    <xf numFmtId="169" fontId="160" fillId="0" borderId="150" xfId="0" applyNumberFormat="1" applyFont="1" applyFill="1" applyBorder="1"/>
    <xf numFmtId="0" fontId="132" fillId="0" borderId="0" xfId="0" applyFont="1" applyFill="1" applyAlignment="1">
      <alignment horizontal="center" wrapText="1"/>
    </xf>
    <xf numFmtId="169" fontId="238" fillId="0" borderId="0" xfId="0" applyNumberFormat="1" applyFont="1" applyFill="1"/>
    <xf numFmtId="164" fontId="249" fillId="0" borderId="136" xfId="0" applyNumberFormat="1" applyFont="1" applyBorder="1"/>
    <xf numFmtId="169" fontId="160" fillId="0" borderId="150" xfId="0" applyNumberFormat="1" applyFont="1" applyBorder="1"/>
    <xf numFmtId="169" fontId="158" fillId="73" borderId="0" xfId="0" applyNumberFormat="1" applyFont="1" applyFill="1"/>
    <xf numFmtId="242" fontId="158" fillId="0" borderId="0" xfId="0" applyNumberFormat="1" applyFont="1"/>
    <xf numFmtId="8" fontId="239" fillId="0" borderId="166" xfId="0" applyNumberFormat="1" applyFont="1" applyBorder="1"/>
    <xf numFmtId="8" fontId="239" fillId="0" borderId="124" xfId="0" applyNumberFormat="1" applyFont="1" applyBorder="1"/>
    <xf numFmtId="8" fontId="162" fillId="0" borderId="0" xfId="0" applyNumberFormat="1" applyFont="1" applyFill="1" applyBorder="1"/>
    <xf numFmtId="9" fontId="158" fillId="0" borderId="0" xfId="0" applyNumberFormat="1" applyFont="1"/>
    <xf numFmtId="9" fontId="158" fillId="0" borderId="45" xfId="0" applyNumberFormat="1" applyFont="1" applyBorder="1"/>
    <xf numFmtId="234" fontId="158" fillId="0" borderId="0" xfId="0" applyNumberFormat="1" applyFont="1" applyFill="1"/>
    <xf numFmtId="242" fontId="239" fillId="0" borderId="166" xfId="20305" applyNumberFormat="1" applyFont="1" applyBorder="1" applyAlignment="1">
      <alignment horizontal="right"/>
    </xf>
    <xf numFmtId="242" fontId="239" fillId="0" borderId="51" xfId="20305" applyNumberFormat="1" applyFont="1" applyBorder="1" applyAlignment="1">
      <alignment horizontal="right"/>
    </xf>
    <xf numFmtId="242" fontId="239" fillId="0" borderId="124" xfId="20305" applyNumberFormat="1" applyFont="1" applyBorder="1" applyAlignment="1">
      <alignment horizontal="right"/>
    </xf>
    <xf numFmtId="0" fontId="170" fillId="72" borderId="151" xfId="0" applyFont="1" applyFill="1" applyBorder="1" applyAlignment="1">
      <alignment horizontal="centerContinuous"/>
    </xf>
    <xf numFmtId="0" fontId="170" fillId="72" borderId="151" xfId="0" applyFont="1" applyFill="1" applyBorder="1" applyAlignment="1">
      <alignment horizontal="centerContinuous" wrapText="1"/>
    </xf>
    <xf numFmtId="0" fontId="170" fillId="72" borderId="152" xfId="0" applyFont="1" applyFill="1" applyBorder="1" applyAlignment="1">
      <alignment horizontal="centerContinuous" wrapText="1"/>
    </xf>
    <xf numFmtId="0" fontId="170" fillId="72" borderId="136" xfId="0" applyFont="1" applyFill="1" applyBorder="1" applyAlignment="1">
      <alignment horizontal="center"/>
    </xf>
    <xf numFmtId="167" fontId="158" fillId="0" borderId="150" xfId="12427" applyNumberFormat="1" applyFont="1" applyBorder="1"/>
    <xf numFmtId="167" fontId="158" fillId="0" borderId="154" xfId="12427" applyNumberFormat="1" applyFont="1" applyBorder="1"/>
    <xf numFmtId="8" fontId="158" fillId="0" borderId="150" xfId="0" applyNumberFormat="1" applyFont="1" applyBorder="1"/>
    <xf numFmtId="8" fontId="158" fillId="0" borderId="154" xfId="0" applyNumberFormat="1" applyFont="1" applyBorder="1"/>
    <xf numFmtId="169" fontId="158" fillId="0" borderId="150" xfId="0" applyNumberFormat="1" applyFont="1" applyBorder="1"/>
    <xf numFmtId="169" fontId="158" fillId="0" borderId="154" xfId="0" applyNumberFormat="1" applyFont="1" applyBorder="1"/>
    <xf numFmtId="165" fontId="161" fillId="71" borderId="151" xfId="12422" applyNumberFormat="1" applyFont="1" applyFill="1" applyBorder="1"/>
    <xf numFmtId="165" fontId="161" fillId="71" borderId="152" xfId="12422" applyNumberFormat="1" applyFont="1" applyFill="1" applyBorder="1"/>
    <xf numFmtId="165" fontId="161" fillId="0" borderId="0" xfId="12422" applyNumberFormat="1" applyFont="1" applyFill="1" applyBorder="1"/>
    <xf numFmtId="165" fontId="196" fillId="71" borderId="151" xfId="12422" applyNumberFormat="1" applyFont="1" applyFill="1" applyBorder="1"/>
    <xf numFmtId="165" fontId="196" fillId="71" borderId="152" xfId="12422" applyNumberFormat="1" applyFont="1" applyFill="1" applyBorder="1"/>
    <xf numFmtId="165" fontId="158" fillId="0" borderId="0" xfId="0" applyNumberFormat="1" applyFont="1" applyFill="1"/>
    <xf numFmtId="43" fontId="158" fillId="0" borderId="0" xfId="0" applyNumberFormat="1" applyFont="1" applyFill="1" applyAlignment="1">
      <alignment horizontal="right"/>
    </xf>
    <xf numFmtId="165" fontId="239" fillId="0" borderId="0" xfId="0" applyNumberFormat="1" applyFont="1" applyFill="1"/>
    <xf numFmtId="0" fontId="170" fillId="72" borderId="152" xfId="0" applyFont="1" applyFill="1" applyBorder="1" applyAlignment="1">
      <alignment horizontal="centerContinuous"/>
    </xf>
    <xf numFmtId="0" fontId="161" fillId="0" borderId="139" xfId="0" applyFont="1" applyFill="1" applyBorder="1" applyAlignment="1">
      <alignment horizontal="left"/>
    </xf>
    <xf numFmtId="0" fontId="161" fillId="0" borderId="151" xfId="0" applyFont="1" applyFill="1" applyBorder="1" applyAlignment="1">
      <alignment horizontal="centerContinuous"/>
    </xf>
    <xf numFmtId="0" fontId="161" fillId="0" borderId="151" xfId="0" applyFont="1" applyFill="1" applyBorder="1" applyAlignment="1">
      <alignment horizontal="right"/>
    </xf>
    <xf numFmtId="0" fontId="161" fillId="0" borderId="152" xfId="0" applyFont="1" applyFill="1" applyBorder="1" applyAlignment="1">
      <alignment horizontal="right"/>
    </xf>
    <xf numFmtId="191" fontId="191" fillId="0" borderId="0" xfId="12427" applyNumberFormat="1" applyFont="1" applyBorder="1" applyAlignment="1">
      <alignment horizontal="right"/>
    </xf>
    <xf numFmtId="191" fontId="158" fillId="0" borderId="0" xfId="12427" applyNumberFormat="1" applyFont="1" applyBorder="1"/>
    <xf numFmtId="2" fontId="158" fillId="0" borderId="0" xfId="0" applyNumberFormat="1" applyFont="1" applyBorder="1"/>
    <xf numFmtId="165" fontId="191" fillId="0" borderId="0" xfId="12422" applyNumberFormat="1" applyFont="1" applyBorder="1"/>
    <xf numFmtId="0" fontId="30" fillId="0" borderId="0" xfId="0" quotePrefix="1" applyFont="1" applyBorder="1" applyAlignment="1">
      <alignment horizontal="center"/>
    </xf>
    <xf numFmtId="43" fontId="158" fillId="0" borderId="136" xfId="12427" applyFont="1" applyBorder="1"/>
    <xf numFmtId="191" fontId="158" fillId="0" borderId="0" xfId="0" applyNumberFormat="1" applyFont="1" applyBorder="1"/>
    <xf numFmtId="340" fontId="158" fillId="0" borderId="0" xfId="0" applyNumberFormat="1" applyFont="1" applyBorder="1"/>
    <xf numFmtId="0" fontId="158" fillId="0" borderId="150" xfId="0" quotePrefix="1" applyFont="1" applyBorder="1"/>
    <xf numFmtId="165" fontId="158" fillId="0" borderId="93" xfId="12422" applyNumberFormat="1" applyFont="1" applyFill="1" applyBorder="1"/>
    <xf numFmtId="165" fontId="158" fillId="0" borderId="151" xfId="12422" applyNumberFormat="1" applyFont="1" applyFill="1" applyBorder="1"/>
    <xf numFmtId="165" fontId="196" fillId="0" borderId="152" xfId="12422" applyNumberFormat="1" applyFont="1" applyFill="1" applyBorder="1"/>
    <xf numFmtId="0" fontId="158" fillId="0" borderId="0" xfId="0" quotePrefix="1" applyFont="1" applyAlignment="1">
      <alignment horizontal="justify" vertical="top" wrapText="1"/>
    </xf>
    <xf numFmtId="0" fontId="159" fillId="72" borderId="139" xfId="0" applyFont="1" applyFill="1" applyBorder="1" applyAlignment="1">
      <alignment horizontal="left"/>
    </xf>
    <xf numFmtId="0" fontId="159" fillId="72" borderId="139" xfId="0" applyFont="1" applyFill="1" applyBorder="1" applyAlignment="1">
      <alignment horizontal="center"/>
    </xf>
    <xf numFmtId="0" fontId="159" fillId="72" borderId="151" xfId="0" applyFont="1" applyFill="1" applyBorder="1" applyAlignment="1">
      <alignment horizontal="center"/>
    </xf>
    <xf numFmtId="0" fontId="159" fillId="72" borderId="152" xfId="0" applyFont="1" applyFill="1" applyBorder="1" applyAlignment="1">
      <alignment horizontal="center"/>
    </xf>
    <xf numFmtId="0" fontId="159" fillId="72" borderId="139" xfId="0" applyFont="1" applyFill="1" applyBorder="1" applyAlignment="1">
      <alignment horizontal="centerContinuous"/>
    </xf>
    <xf numFmtId="0" fontId="159" fillId="72" borderId="136" xfId="0" applyFont="1" applyFill="1" applyBorder="1" applyAlignment="1">
      <alignment horizontal="centerContinuous"/>
    </xf>
    <xf numFmtId="0" fontId="161" fillId="71" borderId="139" xfId="0" applyFont="1" applyFill="1" applyBorder="1"/>
    <xf numFmtId="0" fontId="30" fillId="71" borderId="151" xfId="0" applyFont="1" applyFill="1" applyBorder="1"/>
    <xf numFmtId="0" fontId="30" fillId="71" borderId="151" xfId="0" applyFont="1" applyFill="1" applyBorder="1" applyAlignment="1">
      <alignment horizontal="right"/>
    </xf>
    <xf numFmtId="169" fontId="161" fillId="71" borderId="151" xfId="0" applyNumberFormat="1" applyFont="1" applyFill="1" applyBorder="1" applyAlignment="1">
      <alignment horizontal="right"/>
    </xf>
    <xf numFmtId="0" fontId="161" fillId="71" borderId="151" xfId="0" applyFont="1" applyFill="1" applyBorder="1" applyAlignment="1">
      <alignment horizontal="right"/>
    </xf>
    <xf numFmtId="165" fontId="161" fillId="71" borderId="152" xfId="0" applyNumberFormat="1" applyFont="1" applyFill="1" applyBorder="1" applyAlignment="1">
      <alignment horizontal="right"/>
    </xf>
    <xf numFmtId="165" fontId="191" fillId="0" borderId="136" xfId="12422" applyNumberFormat="1" applyFont="1" applyBorder="1"/>
    <xf numFmtId="0" fontId="160" fillId="71" borderId="151" xfId="0" applyFont="1" applyFill="1" applyBorder="1" applyAlignment="1">
      <alignment horizontal="right"/>
    </xf>
    <xf numFmtId="165" fontId="174" fillId="71" borderId="152" xfId="0" applyNumberFormat="1" applyFont="1" applyFill="1" applyBorder="1" applyAlignment="1">
      <alignment horizontal="right"/>
    </xf>
    <xf numFmtId="0" fontId="158" fillId="0" borderId="0" xfId="0" quotePrefix="1" applyFont="1" applyFill="1" applyAlignment="1">
      <alignment horizontal="right" vertical="top"/>
    </xf>
    <xf numFmtId="165" fontId="248" fillId="0" borderId="0" xfId="0" applyNumberFormat="1" applyFont="1" applyFill="1"/>
    <xf numFmtId="165" fontId="160" fillId="0" borderId="0" xfId="0" applyNumberFormat="1" applyFont="1" applyFill="1"/>
    <xf numFmtId="167" fontId="161" fillId="0" borderId="0" xfId="12427" applyNumberFormat="1" applyFont="1" applyFill="1" applyBorder="1"/>
    <xf numFmtId="8" fontId="161" fillId="0" borderId="0" xfId="0" applyNumberFormat="1" applyFont="1" applyFill="1" applyBorder="1"/>
    <xf numFmtId="0" fontId="160" fillId="0" borderId="151" xfId="0" applyFont="1" applyFill="1" applyBorder="1"/>
    <xf numFmtId="0" fontId="160" fillId="0" borderId="152" xfId="0" applyFont="1" applyFill="1" applyBorder="1"/>
    <xf numFmtId="167" fontId="177" fillId="0" borderId="136" xfId="0" applyNumberFormat="1" applyFont="1" applyBorder="1"/>
    <xf numFmtId="0" fontId="161" fillId="0" borderId="153" xfId="0" applyFont="1" applyFill="1" applyBorder="1"/>
    <xf numFmtId="0" fontId="161" fillId="0" borderId="150" xfId="0" applyFont="1" applyFill="1" applyBorder="1" applyAlignment="1">
      <alignment horizontal="center"/>
    </xf>
    <xf numFmtId="0" fontId="161" fillId="0" borderId="154" xfId="0" applyFont="1" applyFill="1" applyBorder="1" applyAlignment="1">
      <alignment horizontal="center"/>
    </xf>
    <xf numFmtId="0" fontId="161" fillId="0" borderId="123" xfId="0" applyFont="1" applyFill="1" applyBorder="1"/>
    <xf numFmtId="169" fontId="248" fillId="0" borderId="45" xfId="0" applyNumberFormat="1" applyFont="1" applyFill="1" applyBorder="1"/>
    <xf numFmtId="8" fontId="161" fillId="0" borderId="93" xfId="0" applyNumberFormat="1" applyFont="1" applyFill="1" applyBorder="1"/>
    <xf numFmtId="0" fontId="30" fillId="0" borderId="0" xfId="0" quotePrefix="1" applyFont="1" applyFill="1"/>
    <xf numFmtId="167" fontId="177" fillId="0" borderId="0" xfId="0" applyNumberFormat="1" applyFont="1" applyBorder="1"/>
    <xf numFmtId="0" fontId="158" fillId="0" borderId="0" xfId="0" applyFont="1" applyAlignment="1">
      <alignment horizontal="left" vertical="top" wrapText="1" indent="1"/>
    </xf>
    <xf numFmtId="0" fontId="158" fillId="0" borderId="0" xfId="0" applyFont="1" applyFill="1" applyAlignment="1">
      <alignment horizontal="center" vertical="top" wrapText="1"/>
    </xf>
    <xf numFmtId="169" fontId="158" fillId="0" borderId="0" xfId="0" applyNumberFormat="1" applyFont="1" applyFill="1" applyAlignment="1">
      <alignment horizontal="right" vertical="top"/>
    </xf>
    <xf numFmtId="165" fontId="158" fillId="0" borderId="0" xfId="0" applyNumberFormat="1" applyFont="1" applyFill="1" applyAlignment="1">
      <alignment vertical="top" wrapText="1"/>
    </xf>
    <xf numFmtId="0" fontId="160" fillId="71" borderId="153" xfId="0" applyFont="1" applyFill="1" applyBorder="1"/>
    <xf numFmtId="0" fontId="158" fillId="0" borderId="167" xfId="0" applyFont="1" applyBorder="1" applyAlignment="1">
      <alignment horizontal="right"/>
    </xf>
    <xf numFmtId="0" fontId="158" fillId="0" borderId="168" xfId="0" applyFont="1" applyBorder="1" applyAlignment="1">
      <alignment horizontal="right"/>
    </xf>
    <xf numFmtId="0" fontId="158" fillId="0" borderId="169" xfId="0" applyFont="1" applyBorder="1" applyAlignment="1">
      <alignment horizontal="right"/>
    </xf>
    <xf numFmtId="165" fontId="239" fillId="0" borderId="0" xfId="12422" applyNumberFormat="1" applyFont="1" applyBorder="1" applyAlignment="1">
      <alignment horizontal="right"/>
    </xf>
    <xf numFmtId="43" fontId="158" fillId="0" borderId="0" xfId="12427" applyFont="1" applyAlignment="1">
      <alignment horizontal="right"/>
    </xf>
    <xf numFmtId="0" fontId="273" fillId="0" borderId="0" xfId="0" applyFont="1" applyAlignment="1">
      <alignment horizontal="left"/>
    </xf>
    <xf numFmtId="43" fontId="274" fillId="0" borderId="0" xfId="12427" applyFont="1" applyBorder="1" applyAlignment="1">
      <alignment horizontal="left"/>
    </xf>
    <xf numFmtId="167" fontId="239" fillId="0" borderId="123" xfId="12427" applyNumberFormat="1" applyFont="1" applyBorder="1" applyAlignment="1">
      <alignment horizontal="right"/>
    </xf>
    <xf numFmtId="167" fontId="239" fillId="0" borderId="45" xfId="12427" applyNumberFormat="1" applyFont="1" applyBorder="1" applyAlignment="1">
      <alignment horizontal="right"/>
    </xf>
    <xf numFmtId="167" fontId="239" fillId="0" borderId="93" xfId="12427" applyNumberFormat="1" applyFont="1" applyBorder="1" applyAlignment="1">
      <alignment horizontal="right"/>
    </xf>
    <xf numFmtId="0" fontId="158" fillId="0" borderId="0" xfId="0" applyFont="1" applyFill="1" applyAlignment="1">
      <alignment horizontal="left"/>
    </xf>
    <xf numFmtId="191" fontId="160" fillId="71" borderId="5" xfId="0" applyNumberFormat="1" applyFont="1" applyFill="1" applyBorder="1"/>
    <xf numFmtId="191" fontId="248" fillId="71" borderId="5" xfId="0" applyNumberFormat="1" applyFont="1" applyFill="1" applyBorder="1"/>
    <xf numFmtId="0" fontId="160" fillId="0" borderId="0" xfId="20414" applyFont="1" applyBorder="1" applyAlignment="1">
      <alignment vertical="top"/>
    </xf>
    <xf numFmtId="0" fontId="158" fillId="0" borderId="0" xfId="20414" applyFont="1"/>
    <xf numFmtId="0" fontId="158" fillId="0" borderId="0" xfId="20414" applyFont="1" applyAlignment="1">
      <alignment horizontal="right" vertical="top"/>
    </xf>
    <xf numFmtId="0" fontId="158" fillId="0" borderId="0" xfId="20414" applyFont="1" applyAlignment="1">
      <alignment horizontal="right"/>
    </xf>
    <xf numFmtId="0" fontId="161" fillId="0" borderId="0" xfId="20414" applyFont="1" applyBorder="1"/>
    <xf numFmtId="14" fontId="158" fillId="0" borderId="0" xfId="20414" applyNumberFormat="1" applyFont="1" applyFill="1" applyBorder="1" applyAlignment="1">
      <alignment horizontal="center"/>
    </xf>
    <xf numFmtId="0" fontId="158" fillId="0" borderId="0" xfId="20414" applyFont="1" applyBorder="1" applyAlignment="1">
      <alignment horizontal="left"/>
    </xf>
    <xf numFmtId="247" fontId="158" fillId="0" borderId="0" xfId="20415" applyNumberFormat="1" applyFont="1" applyBorder="1" applyAlignment="1">
      <alignment horizontal="right"/>
    </xf>
    <xf numFmtId="43" fontId="161" fillId="0" borderId="0" xfId="20414" applyNumberFormat="1" applyFont="1" applyBorder="1"/>
    <xf numFmtId="164" fontId="161" fillId="0" borderId="0" xfId="20414" applyNumberFormat="1" applyFont="1" applyBorder="1"/>
    <xf numFmtId="43" fontId="238" fillId="0" borderId="0" xfId="20414" applyNumberFormat="1" applyFont="1" applyBorder="1"/>
    <xf numFmtId="0" fontId="238" fillId="0" borderId="0" xfId="20414" applyFont="1" applyBorder="1"/>
    <xf numFmtId="0" fontId="158" fillId="0" borderId="0" xfId="20414" applyFont="1" applyFill="1"/>
    <xf numFmtId="0" fontId="158" fillId="0" borderId="0" xfId="20414" applyFont="1" applyFill="1" applyAlignment="1">
      <alignment horizontal="left"/>
    </xf>
    <xf numFmtId="0" fontId="158" fillId="0" borderId="0" xfId="20414" applyFont="1" applyFill="1" applyBorder="1" applyAlignment="1">
      <alignment horizontal="left"/>
    </xf>
    <xf numFmtId="0" fontId="158" fillId="0" borderId="0" xfId="20414" applyFont="1" applyFill="1" applyAlignment="1">
      <alignment horizontal="right" vertical="top"/>
    </xf>
    <xf numFmtId="0" fontId="158" fillId="0" borderId="0" xfId="20414" applyFont="1" applyFill="1" applyAlignment="1">
      <alignment horizontal="right"/>
    </xf>
    <xf numFmtId="247" fontId="158" fillId="0" borderId="0" xfId="20415" applyNumberFormat="1" applyFont="1" applyFill="1" applyBorder="1" applyAlignment="1">
      <alignment horizontal="right"/>
    </xf>
    <xf numFmtId="0" fontId="158" fillId="0" borderId="0" xfId="20416" applyFont="1"/>
    <xf numFmtId="0" fontId="170" fillId="72" borderId="170" xfId="0" applyFont="1" applyFill="1" applyBorder="1" applyAlignment="1">
      <alignment horizontal="left"/>
    </xf>
    <xf numFmtId="0" fontId="170" fillId="72" borderId="171" xfId="0" applyFont="1" applyFill="1" applyBorder="1" applyAlignment="1">
      <alignment horizontal="center"/>
    </xf>
    <xf numFmtId="0" fontId="170" fillId="72" borderId="172" xfId="0" applyFont="1" applyFill="1" applyBorder="1" applyAlignment="1">
      <alignment horizontal="center"/>
    </xf>
    <xf numFmtId="247" fontId="158" fillId="0" borderId="0" xfId="20417" applyNumberFormat="1" applyFont="1" applyBorder="1" applyAlignment="1">
      <alignment horizontal="right"/>
    </xf>
    <xf numFmtId="0" fontId="176" fillId="89" borderId="0" xfId="20416" applyFont="1" applyFill="1" applyBorder="1"/>
    <xf numFmtId="0" fontId="158" fillId="0" borderId="0" xfId="20416" applyFont="1" applyBorder="1" applyAlignment="1">
      <alignment horizontal="center" wrapText="1"/>
    </xf>
    <xf numFmtId="0" fontId="160" fillId="90" borderId="173" xfId="20416" applyFont="1" applyFill="1" applyBorder="1" applyAlignment="1">
      <alignment horizontal="center" wrapText="1"/>
    </xf>
    <xf numFmtId="0" fontId="160" fillId="90" borderId="174" xfId="20416" applyFont="1" applyFill="1" applyBorder="1" applyAlignment="1">
      <alignment horizontal="center" wrapText="1"/>
    </xf>
    <xf numFmtId="0" fontId="160" fillId="90" borderId="0" xfId="20416" applyFont="1" applyFill="1" applyBorder="1" applyAlignment="1">
      <alignment horizontal="center" wrapText="1"/>
    </xf>
    <xf numFmtId="0" fontId="160" fillId="90" borderId="123" xfId="20416" applyFont="1" applyFill="1" applyBorder="1" applyAlignment="1">
      <alignment horizontal="left" wrapText="1"/>
    </xf>
    <xf numFmtId="0" fontId="160" fillId="90" borderId="45" xfId="20416" applyFont="1" applyFill="1" applyBorder="1" applyAlignment="1">
      <alignment horizontal="center" wrapText="1"/>
    </xf>
    <xf numFmtId="0" fontId="160" fillId="90" borderId="45" xfId="20416" applyFont="1" applyFill="1" applyBorder="1" applyAlignment="1">
      <alignment horizontal="right" wrapText="1"/>
    </xf>
    <xf numFmtId="247" fontId="160" fillId="0" borderId="0" xfId="20417" applyNumberFormat="1" applyFont="1" applyBorder="1" applyAlignment="1">
      <alignment horizontal="right"/>
    </xf>
    <xf numFmtId="0" fontId="160" fillId="0" borderId="0" xfId="20416" applyFont="1" applyBorder="1" applyAlignment="1">
      <alignment horizontal="center" wrapText="1"/>
    </xf>
    <xf numFmtId="0" fontId="158" fillId="0" borderId="0" xfId="20416" applyFont="1" applyAlignment="1">
      <alignment horizontal="center" wrapText="1"/>
    </xf>
    <xf numFmtId="0" fontId="160" fillId="0" borderId="0" xfId="20416" applyFont="1" applyFill="1" applyBorder="1" applyAlignment="1">
      <alignment horizontal="center" wrapText="1"/>
    </xf>
    <xf numFmtId="0" fontId="160" fillId="91" borderId="0" xfId="20416" applyFont="1" applyFill="1" applyBorder="1" applyAlignment="1">
      <alignment horizontal="center" wrapText="1"/>
    </xf>
    <xf numFmtId="0" fontId="160" fillId="0" borderId="0" xfId="20416" applyFont="1" applyAlignment="1">
      <alignment horizontal="center" wrapText="1"/>
    </xf>
    <xf numFmtId="0" fontId="160" fillId="0" borderId="0" xfId="20416" applyFont="1" applyFill="1" applyBorder="1" applyAlignment="1">
      <alignment horizontal="left" wrapText="1"/>
    </xf>
    <xf numFmtId="0" fontId="160" fillId="0" borderId="0" xfId="20416" applyFont="1" applyFill="1" applyBorder="1" applyAlignment="1">
      <alignment horizontal="left"/>
    </xf>
    <xf numFmtId="0" fontId="158" fillId="0" borderId="0" xfId="20416" applyFont="1" applyFill="1" applyBorder="1"/>
    <xf numFmtId="0" fontId="191" fillId="0" borderId="0" xfId="20418" applyFont="1" applyBorder="1" applyAlignment="1">
      <alignment horizontal="center"/>
    </xf>
    <xf numFmtId="0" fontId="158" fillId="0" borderId="0" xfId="20418" applyFont="1" applyFill="1" applyBorder="1" applyAlignment="1">
      <alignment horizontal="center"/>
    </xf>
    <xf numFmtId="0" fontId="191" fillId="0" borderId="0" xfId="20418" applyFont="1" applyFill="1" applyBorder="1" applyAlignment="1">
      <alignment horizontal="center"/>
    </xf>
    <xf numFmtId="164" fontId="158" fillId="0" borderId="0" xfId="20416" applyNumberFormat="1" applyFont="1" applyFill="1" applyBorder="1" applyAlignment="1">
      <alignment horizontal="center"/>
    </xf>
    <xf numFmtId="247" fontId="158" fillId="0" borderId="0" xfId="20417" applyNumberFormat="1" applyFont="1" applyFill="1" applyBorder="1" applyAlignment="1">
      <alignment horizontal="right"/>
    </xf>
    <xf numFmtId="247" fontId="30" fillId="0" borderId="0" xfId="20417" applyNumberFormat="1" applyFont="1" applyFill="1" applyBorder="1" applyAlignment="1">
      <alignment horizontal="right"/>
    </xf>
    <xf numFmtId="43" fontId="158" fillId="74" borderId="0" xfId="20417" applyNumberFormat="1" applyFont="1" applyFill="1" applyBorder="1" applyAlignment="1">
      <alignment horizontal="right"/>
    </xf>
    <xf numFmtId="165" fontId="158" fillId="74" borderId="0" xfId="20417" applyNumberFormat="1" applyFont="1" applyFill="1" applyBorder="1" applyAlignment="1">
      <alignment horizontal="right"/>
    </xf>
    <xf numFmtId="247" fontId="158" fillId="0" borderId="0" xfId="20416" applyNumberFormat="1" applyFont="1"/>
    <xf numFmtId="0" fontId="158" fillId="0" borderId="0" xfId="20416" applyFont="1" applyAlignment="1">
      <alignment horizontal="left"/>
    </xf>
    <xf numFmtId="247" fontId="158" fillId="0" borderId="0" xfId="20416" applyNumberFormat="1" applyFont="1" applyAlignment="1">
      <alignment horizontal="center" wrapText="1"/>
    </xf>
    <xf numFmtId="247" fontId="30" fillId="0" borderId="0" xfId="20416" applyNumberFormat="1" applyFont="1" applyAlignment="1">
      <alignment horizontal="center" wrapText="1"/>
    </xf>
    <xf numFmtId="247" fontId="158" fillId="0" borderId="0" xfId="20416" applyNumberFormat="1" applyFont="1" applyAlignment="1">
      <alignment horizontal="right" wrapText="1"/>
    </xf>
    <xf numFmtId="247" fontId="30" fillId="74" borderId="0" xfId="20417" applyNumberFormat="1" applyFont="1" applyFill="1" applyBorder="1" applyAlignment="1">
      <alignment horizontal="right"/>
    </xf>
    <xf numFmtId="0" fontId="158" fillId="0" borderId="0" xfId="20416" applyFont="1" applyFill="1" applyAlignment="1">
      <alignment horizontal="center" wrapText="1"/>
    </xf>
    <xf numFmtId="242" fontId="158" fillId="0" borderId="0" xfId="20417" applyNumberFormat="1" applyFont="1" applyFill="1" applyBorder="1" applyAlignment="1">
      <alignment horizontal="right"/>
    </xf>
    <xf numFmtId="247" fontId="158" fillId="74" borderId="0" xfId="20416" applyNumberFormat="1" applyFont="1" applyFill="1"/>
    <xf numFmtId="0" fontId="158" fillId="74" borderId="0" xfId="20416" applyFont="1" applyFill="1" applyAlignment="1">
      <alignment horizontal="center" wrapText="1"/>
    </xf>
    <xf numFmtId="0" fontId="191" fillId="74" borderId="0" xfId="20418" applyFont="1" applyFill="1" applyBorder="1" applyAlignment="1">
      <alignment horizontal="center"/>
    </xf>
    <xf numFmtId="247" fontId="158" fillId="88" borderId="0" xfId="20416" applyNumberFormat="1" applyFont="1" applyFill="1"/>
    <xf numFmtId="0" fontId="158" fillId="88" borderId="0" xfId="20416" applyFont="1" applyFill="1"/>
    <xf numFmtId="247" fontId="30" fillId="88" borderId="0" xfId="20417" applyNumberFormat="1" applyFont="1" applyFill="1" applyBorder="1" applyAlignment="1">
      <alignment horizontal="right"/>
    </xf>
    <xf numFmtId="234" fontId="158" fillId="88" borderId="0" xfId="20418" applyNumberFormat="1" applyFont="1" applyFill="1" applyBorder="1" applyAlignment="1">
      <alignment horizontal="right"/>
    </xf>
    <xf numFmtId="14" fontId="158" fillId="88" borderId="0" xfId="20416" applyNumberFormat="1" applyFont="1" applyFill="1" applyAlignment="1">
      <alignment horizontal="left"/>
    </xf>
    <xf numFmtId="247" fontId="158" fillId="88" borderId="0" xfId="20417" applyNumberFormat="1" applyFont="1" applyFill="1" applyAlignment="1">
      <alignment horizontal="center" wrapText="1"/>
    </xf>
    <xf numFmtId="242" fontId="158" fillId="0" borderId="0" xfId="20417" applyNumberFormat="1" applyFont="1" applyFill="1" applyBorder="1" applyAlignment="1"/>
    <xf numFmtId="247" fontId="158" fillId="0" borderId="0" xfId="20417" applyNumberFormat="1" applyFont="1" applyFill="1" applyBorder="1" applyAlignment="1">
      <alignment horizontal="center"/>
    </xf>
    <xf numFmtId="0" fontId="160" fillId="71" borderId="173" xfId="11807" applyFont="1" applyFill="1" applyBorder="1"/>
    <xf numFmtId="0" fontId="158" fillId="71" borderId="174" xfId="11807" applyFont="1" applyFill="1" applyBorder="1"/>
    <xf numFmtId="167" fontId="160" fillId="71" borderId="174" xfId="12427" applyNumberFormat="1" applyFont="1" applyFill="1" applyBorder="1"/>
    <xf numFmtId="167" fontId="160" fillId="71" borderId="175" xfId="12427" applyNumberFormat="1" applyFont="1" applyFill="1" applyBorder="1"/>
    <xf numFmtId="242" fontId="158" fillId="0" borderId="176" xfId="0" applyNumberFormat="1" applyFont="1" applyFill="1" applyBorder="1" applyAlignment="1">
      <alignment horizontal="right"/>
    </xf>
    <xf numFmtId="0" fontId="160" fillId="0" borderId="0" xfId="20416" applyFont="1" applyFill="1" applyBorder="1"/>
    <xf numFmtId="247" fontId="30" fillId="0" borderId="0" xfId="20419" applyNumberFormat="1" applyFont="1" applyAlignment="1">
      <alignment horizontal="center" wrapText="1"/>
    </xf>
    <xf numFmtId="0" fontId="158" fillId="88" borderId="0" xfId="20419" applyFont="1" applyFill="1"/>
    <xf numFmtId="247" fontId="158" fillId="0" borderId="0" xfId="20419" applyNumberFormat="1" applyFont="1" applyAlignment="1">
      <alignment horizontal="right" wrapText="1"/>
    </xf>
    <xf numFmtId="0" fontId="158" fillId="0" borderId="0" xfId="20419" applyFont="1" applyFill="1" applyAlignment="1">
      <alignment horizontal="center" wrapText="1"/>
    </xf>
    <xf numFmtId="0" fontId="158" fillId="0" borderId="0" xfId="20419" applyFont="1" applyFill="1" applyBorder="1"/>
    <xf numFmtId="0" fontId="191" fillId="0" borderId="0" xfId="20420" applyFont="1" applyFill="1" applyBorder="1" applyAlignment="1">
      <alignment horizontal="center"/>
    </xf>
    <xf numFmtId="0" fontId="158" fillId="0" borderId="0" xfId="20420" applyFont="1" applyFill="1" applyBorder="1" applyAlignment="1">
      <alignment horizontal="center"/>
    </xf>
    <xf numFmtId="247" fontId="158" fillId="0" borderId="0" xfId="20421" applyNumberFormat="1" applyFont="1" applyFill="1" applyBorder="1" applyAlignment="1">
      <alignment horizontal="right"/>
    </xf>
    <xf numFmtId="247" fontId="158" fillId="0" borderId="0" xfId="20419" applyNumberFormat="1" applyFont="1"/>
    <xf numFmtId="0" fontId="158" fillId="0" borderId="0" xfId="20419" applyFont="1" applyAlignment="1">
      <alignment horizontal="left"/>
    </xf>
    <xf numFmtId="247" fontId="158" fillId="0" borderId="0" xfId="20419" applyNumberFormat="1" applyFont="1" applyAlignment="1">
      <alignment horizontal="center" wrapText="1"/>
    </xf>
    <xf numFmtId="247" fontId="30" fillId="74" borderId="0" xfId="20421" applyNumberFormat="1" applyFont="1" applyFill="1" applyBorder="1" applyAlignment="1">
      <alignment horizontal="right"/>
    </xf>
    <xf numFmtId="0" fontId="158" fillId="0" borderId="0" xfId="20419" applyFont="1"/>
    <xf numFmtId="0" fontId="158" fillId="0" borderId="0" xfId="20416" applyFont="1" applyFill="1"/>
    <xf numFmtId="0" fontId="158" fillId="0" borderId="0" xfId="20416" quotePrefix="1" applyFont="1" applyFill="1" applyAlignment="1">
      <alignment horizontal="right" wrapText="1"/>
    </xf>
    <xf numFmtId="0" fontId="158" fillId="0" borderId="0" xfId="20416" applyFont="1" applyFill="1" applyBorder="1" applyAlignment="1">
      <alignment horizontal="left" vertical="center" wrapText="1"/>
    </xf>
    <xf numFmtId="0" fontId="158" fillId="0" borderId="0" xfId="20416" applyFont="1" applyBorder="1"/>
    <xf numFmtId="0" fontId="158" fillId="88" borderId="0" xfId="20416" applyFont="1" applyFill="1" applyBorder="1"/>
    <xf numFmtId="43" fontId="158" fillId="0" borderId="0" xfId="20417" applyNumberFormat="1" applyFont="1" applyFill="1" applyBorder="1" applyAlignment="1">
      <alignment horizontal="right"/>
    </xf>
    <xf numFmtId="165" fontId="158" fillId="0" borderId="0" xfId="20417" applyNumberFormat="1" applyFont="1" applyFill="1" applyBorder="1" applyAlignment="1">
      <alignment horizontal="right"/>
    </xf>
    <xf numFmtId="0" fontId="158" fillId="0" borderId="0" xfId="20416" applyFont="1" applyFill="1" applyAlignment="1">
      <alignment horizontal="left"/>
    </xf>
    <xf numFmtId="0" fontId="163" fillId="0" borderId="0" xfId="20416" applyFont="1" applyAlignment="1">
      <alignment horizontal="left"/>
    </xf>
    <xf numFmtId="247" fontId="158" fillId="0" borderId="0" xfId="20416" applyNumberFormat="1" applyFont="1" applyFill="1"/>
    <xf numFmtId="247" fontId="158" fillId="0" borderId="0" xfId="20416" applyNumberFormat="1" applyFont="1" applyFill="1" applyAlignment="1">
      <alignment horizontal="center" wrapText="1"/>
    </xf>
    <xf numFmtId="247" fontId="158" fillId="88" borderId="0" xfId="20417" applyNumberFormat="1" applyFont="1" applyFill="1" applyBorder="1" applyAlignment="1">
      <alignment horizontal="center"/>
    </xf>
    <xf numFmtId="0" fontId="158" fillId="0" borderId="0" xfId="20416" applyFont="1" applyFill="1" applyBorder="1" applyAlignment="1">
      <alignment horizontal="right"/>
    </xf>
    <xf numFmtId="0" fontId="158" fillId="0" borderId="0" xfId="20416" applyFont="1" applyBorder="1" applyAlignment="1">
      <alignment horizontal="right"/>
    </xf>
    <xf numFmtId="242" fontId="158" fillId="0" borderId="176" xfId="16218" applyNumberFormat="1" applyFont="1" applyBorder="1" applyAlignment="1">
      <alignment horizontal="right"/>
    </xf>
    <xf numFmtId="242" fontId="158" fillId="0" borderId="51" xfId="20417" applyNumberFormat="1" applyFont="1" applyBorder="1" applyAlignment="1">
      <alignment horizontal="right"/>
    </xf>
    <xf numFmtId="0" fontId="160" fillId="0" borderId="0" xfId="20416" applyFont="1" applyBorder="1"/>
    <xf numFmtId="0" fontId="158" fillId="0" borderId="0" xfId="20416" applyFont="1" applyAlignment="1">
      <alignment horizontal="right"/>
    </xf>
    <xf numFmtId="0" fontId="158" fillId="0" borderId="0" xfId="20416" applyFont="1" applyAlignment="1">
      <alignment vertical="top" wrapText="1"/>
    </xf>
    <xf numFmtId="0" fontId="160" fillId="0" borderId="0" xfId="20419" applyFont="1" applyBorder="1" applyAlignment="1">
      <alignment vertical="top"/>
    </xf>
    <xf numFmtId="0" fontId="158" fillId="0" borderId="0" xfId="20419" applyFont="1" applyAlignment="1">
      <alignment horizontal="right" vertical="top"/>
    </xf>
    <xf numFmtId="0" fontId="158" fillId="0" borderId="0" xfId="20419" applyFont="1" applyAlignment="1">
      <alignment horizontal="right"/>
    </xf>
    <xf numFmtId="0" fontId="161" fillId="0" borderId="0" xfId="20419" applyFont="1" applyBorder="1"/>
    <xf numFmtId="14" fontId="158" fillId="0" borderId="0" xfId="20419" applyNumberFormat="1" applyFont="1" applyFill="1" applyBorder="1" applyAlignment="1">
      <alignment horizontal="center"/>
    </xf>
    <xf numFmtId="0" fontId="158" fillId="0" borderId="0" xfId="20419" applyFont="1" applyBorder="1" applyAlignment="1">
      <alignment horizontal="left"/>
    </xf>
    <xf numFmtId="247" fontId="158" fillId="0" borderId="0" xfId="20421" applyNumberFormat="1" applyFont="1" applyBorder="1" applyAlignment="1">
      <alignment horizontal="right"/>
    </xf>
    <xf numFmtId="43" fontId="161" fillId="0" borderId="0" xfId="20419" applyNumberFormat="1" applyFont="1" applyBorder="1"/>
    <xf numFmtId="164" fontId="161" fillId="0" borderId="0" xfId="20419" applyNumberFormat="1" applyFont="1" applyBorder="1"/>
    <xf numFmtId="43" fontId="238" fillId="0" borderId="0" xfId="20419" applyNumberFormat="1" applyFont="1" applyBorder="1"/>
    <xf numFmtId="0" fontId="238" fillId="0" borderId="0" xfId="20419" applyFont="1" applyBorder="1"/>
    <xf numFmtId="0" fontId="158" fillId="0" borderId="0" xfId="20419" applyFont="1" applyFill="1"/>
    <xf numFmtId="0" fontId="158" fillId="0" borderId="0" xfId="20419" applyFont="1" applyFill="1" applyAlignment="1">
      <alignment horizontal="left"/>
    </xf>
    <xf numFmtId="0" fontId="158" fillId="0" borderId="0" xfId="20419" applyFont="1" applyFill="1" applyBorder="1" applyAlignment="1">
      <alignment horizontal="left"/>
    </xf>
    <xf numFmtId="0" fontId="158" fillId="0" borderId="0" xfId="20419" applyFont="1" applyFill="1" applyAlignment="1">
      <alignment horizontal="right" vertical="top"/>
    </xf>
    <xf numFmtId="0" fontId="158" fillId="0" borderId="0" xfId="20419" applyFont="1" applyFill="1" applyAlignment="1">
      <alignment horizontal="right"/>
    </xf>
    <xf numFmtId="0" fontId="176" fillId="89" borderId="0" xfId="20419" applyFont="1" applyFill="1" applyBorder="1"/>
    <xf numFmtId="0" fontId="158" fillId="0" borderId="0" xfId="20419" applyFont="1" applyBorder="1" applyAlignment="1">
      <alignment horizontal="center" wrapText="1"/>
    </xf>
    <xf numFmtId="0" fontId="160" fillId="90" borderId="173" xfId="20419" applyFont="1" applyFill="1" applyBorder="1" applyAlignment="1">
      <alignment horizontal="center" wrapText="1"/>
    </xf>
    <xf numFmtId="0" fontId="160" fillId="90" borderId="174" xfId="20419" applyFont="1" applyFill="1" applyBorder="1" applyAlignment="1">
      <alignment horizontal="center" wrapText="1"/>
    </xf>
    <xf numFmtId="0" fontId="160" fillId="90" borderId="0" xfId="20419" applyFont="1" applyFill="1" applyBorder="1" applyAlignment="1">
      <alignment horizontal="center" wrapText="1"/>
    </xf>
    <xf numFmtId="0" fontId="160" fillId="90" borderId="123" xfId="20419" applyFont="1" applyFill="1" applyBorder="1" applyAlignment="1">
      <alignment horizontal="left" wrapText="1"/>
    </xf>
    <xf numFmtId="0" fontId="160" fillId="90" borderId="45" xfId="20419" applyFont="1" applyFill="1" applyBorder="1" applyAlignment="1">
      <alignment horizontal="center" wrapText="1"/>
    </xf>
    <xf numFmtId="0" fontId="160" fillId="90" borderId="45" xfId="20419" applyFont="1" applyFill="1" applyBorder="1" applyAlignment="1">
      <alignment horizontal="right" wrapText="1"/>
    </xf>
    <xf numFmtId="247" fontId="160" fillId="0" borderId="0" xfId="20421" applyNumberFormat="1" applyFont="1" applyBorder="1" applyAlignment="1">
      <alignment horizontal="right"/>
    </xf>
    <xf numFmtId="0" fontId="160" fillId="0" borderId="0" xfId="20419" applyFont="1" applyBorder="1" applyAlignment="1">
      <alignment horizontal="center" wrapText="1"/>
    </xf>
    <xf numFmtId="0" fontId="158" fillId="0" borderId="0" xfId="20419" applyFont="1" applyAlignment="1">
      <alignment horizontal="center" wrapText="1"/>
    </xf>
    <xf numFmtId="0" fontId="160" fillId="0" borderId="0" xfId="20419" applyFont="1" applyFill="1" applyBorder="1" applyAlignment="1">
      <alignment horizontal="center" wrapText="1"/>
    </xf>
    <xf numFmtId="0" fontId="160" fillId="91" borderId="0" xfId="20419" applyFont="1" applyFill="1" applyBorder="1" applyAlignment="1">
      <alignment horizontal="center" wrapText="1"/>
    </xf>
    <xf numFmtId="0" fontId="160" fillId="0" borderId="0" xfId="20419" applyFont="1" applyAlignment="1">
      <alignment horizontal="center" wrapText="1"/>
    </xf>
    <xf numFmtId="0" fontId="160" fillId="0" borderId="0" xfId="20419" applyFont="1" applyFill="1" applyBorder="1" applyAlignment="1">
      <alignment horizontal="left" wrapText="1"/>
    </xf>
    <xf numFmtId="0" fontId="160" fillId="0" borderId="0" xfId="20419" applyFont="1" applyFill="1" applyBorder="1" applyAlignment="1">
      <alignment horizontal="left"/>
    </xf>
    <xf numFmtId="164" fontId="158" fillId="0" borderId="0" xfId="20419" applyNumberFormat="1" applyFont="1" applyFill="1" applyBorder="1" applyAlignment="1">
      <alignment horizontal="center"/>
    </xf>
    <xf numFmtId="242" fontId="158" fillId="0" borderId="0" xfId="20421" applyNumberFormat="1" applyFont="1" applyFill="1" applyBorder="1" applyAlignment="1">
      <alignment horizontal="right"/>
    </xf>
    <xf numFmtId="247" fontId="30" fillId="0" borderId="0" xfId="20421" applyNumberFormat="1" applyFont="1" applyFill="1" applyBorder="1" applyAlignment="1">
      <alignment horizontal="right"/>
    </xf>
    <xf numFmtId="43" fontId="158" fillId="74" borderId="0" xfId="20421" applyNumberFormat="1" applyFont="1" applyFill="1" applyBorder="1" applyAlignment="1">
      <alignment horizontal="right"/>
    </xf>
    <xf numFmtId="165" fontId="158" fillId="74" borderId="0" xfId="20421" applyNumberFormat="1" applyFont="1" applyFill="1" applyBorder="1" applyAlignment="1">
      <alignment horizontal="right"/>
    </xf>
    <xf numFmtId="247" fontId="158" fillId="74" borderId="0" xfId="20419" applyNumberFormat="1" applyFont="1" applyFill="1"/>
    <xf numFmtId="0" fontId="191" fillId="74" borderId="0" xfId="20420" applyFont="1" applyFill="1" applyBorder="1" applyAlignment="1">
      <alignment horizontal="center"/>
    </xf>
    <xf numFmtId="0" fontId="158" fillId="74" borderId="0" xfId="20419" applyFont="1" applyFill="1" applyAlignment="1">
      <alignment horizontal="center" wrapText="1"/>
    </xf>
    <xf numFmtId="247" fontId="158" fillId="88" borderId="0" xfId="20419" applyNumberFormat="1" applyFont="1" applyFill="1"/>
    <xf numFmtId="247" fontId="30" fillId="88" borderId="0" xfId="20421" applyNumberFormat="1" applyFont="1" applyFill="1" applyBorder="1" applyAlignment="1">
      <alignment horizontal="right"/>
    </xf>
    <xf numFmtId="242" fontId="158" fillId="0" borderId="0" xfId="20421" applyNumberFormat="1" applyFont="1" applyFill="1" applyBorder="1" applyAlignment="1"/>
    <xf numFmtId="247" fontId="158" fillId="0" borderId="0" xfId="20421" applyNumberFormat="1" applyFont="1" applyFill="1" applyBorder="1" applyAlignment="1">
      <alignment horizontal="center"/>
    </xf>
    <xf numFmtId="0" fontId="160" fillId="0" borderId="0" xfId="20419" applyFont="1" applyFill="1" applyBorder="1"/>
    <xf numFmtId="234" fontId="158" fillId="88" borderId="0" xfId="20420" applyNumberFormat="1" applyFont="1" applyFill="1" applyBorder="1" applyAlignment="1">
      <alignment horizontal="right"/>
    </xf>
    <xf numFmtId="247" fontId="158" fillId="88" borderId="0" xfId="20421" applyNumberFormat="1" applyFont="1" applyFill="1" applyAlignment="1">
      <alignment horizontal="center" wrapText="1"/>
    </xf>
    <xf numFmtId="14" fontId="158" fillId="88" borderId="0" xfId="20419" applyNumberFormat="1" applyFont="1" applyFill="1" applyAlignment="1">
      <alignment horizontal="left"/>
    </xf>
    <xf numFmtId="0" fontId="158" fillId="0" borderId="0" xfId="20419" quotePrefix="1" applyFont="1" applyFill="1" applyAlignment="1">
      <alignment horizontal="right" wrapText="1"/>
    </xf>
    <xf numFmtId="43" fontId="158" fillId="0" borderId="0" xfId="20421" applyNumberFormat="1" applyFont="1" applyFill="1" applyBorder="1" applyAlignment="1">
      <alignment horizontal="right"/>
    </xf>
    <xf numFmtId="165" fontId="158" fillId="0" borderId="0" xfId="20421" applyNumberFormat="1" applyFont="1" applyFill="1" applyBorder="1" applyAlignment="1">
      <alignment horizontal="right"/>
    </xf>
    <xf numFmtId="0" fontId="191" fillId="0" borderId="0" xfId="20420" applyFont="1" applyBorder="1" applyAlignment="1">
      <alignment horizontal="center"/>
    </xf>
    <xf numFmtId="0" fontId="158" fillId="0" borderId="0" xfId="20419" applyFont="1" applyFill="1" applyBorder="1" applyAlignment="1">
      <alignment horizontal="right"/>
    </xf>
    <xf numFmtId="0" fontId="158" fillId="0" borderId="0" xfId="20419" applyFont="1" applyBorder="1" applyAlignment="1">
      <alignment horizontal="right"/>
    </xf>
    <xf numFmtId="242" fontId="158" fillId="0" borderId="51" xfId="20421" applyNumberFormat="1" applyFont="1" applyBorder="1" applyAlignment="1">
      <alignment horizontal="right"/>
    </xf>
    <xf numFmtId="0" fontId="158" fillId="0" borderId="0" xfId="20419" applyFont="1" applyBorder="1"/>
    <xf numFmtId="0" fontId="160" fillId="0" borderId="0" xfId="20419" applyFont="1" applyBorder="1"/>
    <xf numFmtId="0" fontId="158" fillId="0" borderId="0" xfId="20419" applyFont="1" applyAlignment="1">
      <alignment vertical="top" wrapText="1"/>
    </xf>
    <xf numFmtId="0" fontId="30" fillId="0" borderId="0" xfId="11807" applyFont="1" applyFill="1" applyAlignment="1">
      <alignment horizontal="center"/>
    </xf>
    <xf numFmtId="0" fontId="30" fillId="0" borderId="0" xfId="11846" applyFont="1" applyFill="1" applyBorder="1" applyAlignment="1"/>
    <xf numFmtId="43" fontId="164" fillId="68" borderId="0" xfId="11155" applyFont="1" applyFill="1" applyBorder="1" applyAlignment="1">
      <alignment horizontal="center"/>
    </xf>
    <xf numFmtId="0" fontId="170" fillId="87" borderId="170" xfId="20303" applyNumberFormat="1" applyFont="1" applyFill="1" applyBorder="1" applyAlignment="1">
      <alignment horizontal="center" wrapText="1"/>
    </xf>
    <xf numFmtId="0" fontId="170" fillId="87" borderId="171" xfId="20303" applyNumberFormat="1" applyFont="1" applyFill="1" applyBorder="1" applyAlignment="1">
      <alignment horizontal="center" wrapText="1"/>
    </xf>
    <xf numFmtId="0" fontId="170" fillId="87" borderId="172" xfId="20303" applyNumberFormat="1" applyFont="1" applyFill="1" applyBorder="1" applyAlignment="1">
      <alignment horizontal="center" wrapText="1"/>
    </xf>
    <xf numFmtId="0" fontId="186" fillId="0" borderId="0" xfId="0" applyFont="1"/>
    <xf numFmtId="0" fontId="186" fillId="0" borderId="0" xfId="0" applyFont="1" applyAlignment="1">
      <alignment vertical="top"/>
    </xf>
    <xf numFmtId="0" fontId="176" fillId="87" borderId="170" xfId="20303" applyNumberFormat="1" applyFont="1" applyFill="1" applyBorder="1" applyAlignment="1">
      <alignment horizontal="center" vertical="top" wrapText="1"/>
    </xf>
    <xf numFmtId="0" fontId="176" fillId="87" borderId="171" xfId="20303" applyNumberFormat="1" applyFont="1" applyFill="1" applyBorder="1" applyAlignment="1">
      <alignment horizontal="center" vertical="top" wrapText="1"/>
    </xf>
    <xf numFmtId="0" fontId="176" fillId="87" borderId="172" xfId="20303" applyNumberFormat="1" applyFont="1" applyFill="1" applyBorder="1" applyAlignment="1">
      <alignment horizontal="center" vertical="top" wrapText="1"/>
    </xf>
    <xf numFmtId="0" fontId="160" fillId="0" borderId="0" xfId="0" applyFont="1" applyFill="1" applyBorder="1" applyAlignment="1">
      <alignment horizontal="center" vertical="top" wrapText="1"/>
    </xf>
    <xf numFmtId="0" fontId="160" fillId="0" borderId="0" xfId="0" applyFont="1" applyFill="1" applyBorder="1" applyAlignment="1">
      <alignment horizontal="left" vertical="top" wrapText="1"/>
    </xf>
    <xf numFmtId="0" fontId="160" fillId="0" borderId="0" xfId="0" applyFont="1" applyFill="1" applyBorder="1" applyAlignment="1">
      <alignment horizontal="right" vertical="top" wrapText="1"/>
    </xf>
    <xf numFmtId="0" fontId="161" fillId="0" borderId="0" xfId="0" applyFont="1" applyFill="1" applyBorder="1" applyAlignment="1">
      <alignment horizontal="left" vertical="top" wrapText="1"/>
    </xf>
    <xf numFmtId="164" fontId="160" fillId="0" borderId="0" xfId="0" applyNumberFormat="1" applyFont="1" applyAlignment="1">
      <alignment vertical="top"/>
    </xf>
    <xf numFmtId="167" fontId="158" fillId="0" borderId="0" xfId="12427" applyNumberFormat="1" applyFont="1" applyAlignment="1">
      <alignment horizontal="right" vertical="top"/>
    </xf>
    <xf numFmtId="167" fontId="158" fillId="0" borderId="0" xfId="0" applyNumberFormat="1" applyFont="1" applyAlignment="1">
      <alignment horizontal="right" vertical="top"/>
    </xf>
    <xf numFmtId="0" fontId="158" fillId="0" borderId="0" xfId="0" applyFont="1" applyAlignment="1">
      <alignment vertical="top"/>
    </xf>
    <xf numFmtId="164" fontId="158" fillId="0" borderId="0" xfId="0" applyNumberFormat="1" applyFont="1" applyFill="1" applyAlignment="1">
      <alignment horizontal="center" vertical="top"/>
    </xf>
    <xf numFmtId="167" fontId="158" fillId="0" borderId="0" xfId="12427" applyNumberFormat="1" applyFont="1" applyFill="1" applyAlignment="1">
      <alignment horizontal="right" vertical="top"/>
    </xf>
    <xf numFmtId="167" fontId="158" fillId="0" borderId="0" xfId="0" applyNumberFormat="1" applyFont="1" applyFill="1" applyAlignment="1">
      <alignment horizontal="right" vertical="top"/>
    </xf>
    <xf numFmtId="165" fontId="158" fillId="0" borderId="0" xfId="12427" applyNumberFormat="1" applyFont="1" applyFill="1" applyAlignment="1">
      <alignment horizontal="right" vertical="top"/>
    </xf>
    <xf numFmtId="164" fontId="30" fillId="0" borderId="0" xfId="0" applyNumberFormat="1" applyFont="1" applyFill="1" applyAlignment="1">
      <alignment horizontal="center" vertical="top"/>
    </xf>
    <xf numFmtId="0" fontId="30" fillId="0" borderId="0" xfId="0" applyFont="1" applyFill="1" applyAlignment="1">
      <alignment horizontal="center" vertical="top" wrapText="1"/>
    </xf>
    <xf numFmtId="0" fontId="30" fillId="0" borderId="0" xfId="0" applyFont="1" applyFill="1" applyAlignment="1">
      <alignment vertical="top" wrapText="1"/>
    </xf>
    <xf numFmtId="0" fontId="30" fillId="0" borderId="0" xfId="0" applyFont="1" applyFill="1" applyAlignment="1">
      <alignment horizontal="center" vertical="top"/>
    </xf>
    <xf numFmtId="167" fontId="30" fillId="0" borderId="0" xfId="12427" applyNumberFormat="1" applyFont="1" applyFill="1" applyAlignment="1">
      <alignment horizontal="right" vertical="top"/>
    </xf>
    <xf numFmtId="167" fontId="30" fillId="0" borderId="0" xfId="0" applyNumberFormat="1" applyFont="1" applyFill="1" applyAlignment="1">
      <alignment horizontal="right" vertical="top"/>
    </xf>
    <xf numFmtId="165" fontId="30" fillId="0" borderId="0" xfId="12427" applyNumberFormat="1" applyFont="1" applyFill="1" applyAlignment="1">
      <alignment horizontal="right" vertical="top"/>
    </xf>
    <xf numFmtId="0" fontId="250" fillId="0" borderId="0" xfId="20385" applyAlignment="1">
      <alignment vertical="top"/>
    </xf>
    <xf numFmtId="0" fontId="160" fillId="0" borderId="0" xfId="0" applyFont="1" applyFill="1" applyAlignment="1">
      <alignment horizontal="center" vertical="top" wrapText="1"/>
    </xf>
    <xf numFmtId="0" fontId="160" fillId="71" borderId="173" xfId="0" applyFont="1" applyFill="1" applyBorder="1"/>
    <xf numFmtId="0" fontId="160" fillId="71" borderId="174" xfId="0" applyFont="1" applyFill="1" applyBorder="1" applyAlignment="1">
      <alignment horizontal="center"/>
    </xf>
    <xf numFmtId="0" fontId="160" fillId="71" borderId="174" xfId="0" applyFont="1" applyFill="1" applyBorder="1" applyAlignment="1">
      <alignment wrapText="1"/>
    </xf>
    <xf numFmtId="0" fontId="160" fillId="71" borderId="174" xfId="0" applyFont="1" applyFill="1" applyBorder="1" applyAlignment="1">
      <alignment vertical="top"/>
    </xf>
    <xf numFmtId="165" fontId="160" fillId="71" borderId="175" xfId="12427" applyNumberFormat="1" applyFont="1" applyFill="1" applyBorder="1"/>
    <xf numFmtId="0" fontId="160" fillId="71" borderId="0" xfId="0" applyFont="1" applyFill="1" applyBorder="1" applyAlignment="1">
      <alignment vertical="top"/>
    </xf>
    <xf numFmtId="0" fontId="160" fillId="71" borderId="0" xfId="0" applyFont="1" applyFill="1" applyBorder="1" applyAlignment="1">
      <alignment horizontal="center"/>
    </xf>
    <xf numFmtId="0" fontId="160" fillId="71" borderId="0" xfId="0" applyFont="1" applyFill="1" applyBorder="1" applyAlignment="1">
      <alignment wrapText="1"/>
    </xf>
    <xf numFmtId="165" fontId="160" fillId="71" borderId="13" xfId="12427" applyNumberFormat="1" applyFont="1" applyFill="1" applyBorder="1"/>
    <xf numFmtId="0" fontId="160" fillId="71" borderId="123" xfId="0" applyFont="1" applyFill="1" applyBorder="1"/>
    <xf numFmtId="0" fontId="160" fillId="71" borderId="45" xfId="0" applyFont="1" applyFill="1" applyBorder="1" applyAlignment="1">
      <alignment horizontal="center"/>
    </xf>
    <xf numFmtId="0" fontId="160" fillId="71" borderId="45" xfId="0" applyFont="1" applyFill="1" applyBorder="1" applyAlignment="1">
      <alignment wrapText="1"/>
    </xf>
    <xf numFmtId="0" fontId="160" fillId="71" borderId="45" xfId="0" applyFont="1" applyFill="1" applyBorder="1" applyAlignment="1">
      <alignment vertical="top"/>
    </xf>
    <xf numFmtId="165" fontId="160" fillId="71" borderId="93" xfId="12427" applyNumberFormat="1" applyFont="1" applyFill="1" applyBorder="1"/>
    <xf numFmtId="164" fontId="160" fillId="0" borderId="0" xfId="0" applyNumberFormat="1" applyFont="1" applyFill="1"/>
    <xf numFmtId="0" fontId="158" fillId="0" borderId="0" xfId="0" applyFont="1" applyFill="1" applyAlignment="1">
      <alignment wrapText="1"/>
    </xf>
    <xf numFmtId="0" fontId="275" fillId="0" borderId="0" xfId="0" applyFont="1" applyFill="1" applyAlignment="1">
      <alignment vertical="top"/>
    </xf>
    <xf numFmtId="164" fontId="158" fillId="0" borderId="0" xfId="0" applyNumberFormat="1" applyFont="1"/>
    <xf numFmtId="0" fontId="160" fillId="71" borderId="175" xfId="0" applyFont="1" applyFill="1" applyBorder="1" applyAlignment="1">
      <alignment vertical="top"/>
    </xf>
    <xf numFmtId="0" fontId="160" fillId="71" borderId="13" xfId="0" applyFont="1" applyFill="1" applyBorder="1" applyAlignment="1">
      <alignment vertical="top"/>
    </xf>
    <xf numFmtId="0" fontId="160" fillId="71" borderId="93" xfId="0" applyFont="1" applyFill="1" applyBorder="1" applyAlignment="1">
      <alignment vertical="top"/>
    </xf>
    <xf numFmtId="0" fontId="186" fillId="0" borderId="0" xfId="0" applyFont="1" applyFill="1"/>
    <xf numFmtId="0" fontId="160" fillId="0" borderId="0" xfId="0" applyFont="1" applyFill="1" applyBorder="1" applyAlignment="1">
      <alignment wrapText="1"/>
    </xf>
    <xf numFmtId="0" fontId="160" fillId="0" borderId="0" xfId="0" applyFont="1" applyFill="1" applyBorder="1" applyAlignment="1">
      <alignment vertical="top"/>
    </xf>
    <xf numFmtId="167" fontId="160" fillId="0" borderId="0" xfId="12427" applyNumberFormat="1" applyFont="1" applyFill="1" applyBorder="1"/>
    <xf numFmtId="0" fontId="186" fillId="0" borderId="0" xfId="0" applyFont="1" applyFill="1" applyAlignment="1">
      <alignment vertical="top"/>
    </xf>
    <xf numFmtId="0" fontId="276" fillId="0" borderId="0" xfId="0" applyFont="1" applyFill="1" applyAlignment="1">
      <alignment horizontal="center" vertical="top" wrapText="1"/>
    </xf>
    <xf numFmtId="0" fontId="186" fillId="0" borderId="0" xfId="0" applyFont="1" applyAlignment="1">
      <alignment wrapText="1"/>
    </xf>
    <xf numFmtId="0" fontId="170" fillId="72" borderId="170" xfId="20382" applyFont="1" applyFill="1" applyBorder="1" applyAlignment="1">
      <alignment horizontal="center"/>
    </xf>
    <xf numFmtId="0" fontId="170" fillId="72" borderId="171" xfId="20382" applyFont="1" applyFill="1" applyBorder="1" applyAlignment="1">
      <alignment horizontal="center" wrapText="1"/>
    </xf>
    <xf numFmtId="0" fontId="170" fillId="72" borderId="172" xfId="20382" applyFont="1" applyFill="1" applyBorder="1" applyAlignment="1">
      <alignment horizontal="center" wrapText="1"/>
    </xf>
    <xf numFmtId="0" fontId="161" fillId="0" borderId="123" xfId="20382" applyFont="1" applyFill="1" applyBorder="1" applyAlignment="1">
      <alignment horizontal="center" wrapText="1"/>
    </xf>
    <xf numFmtId="0" fontId="161" fillId="0" borderId="124" xfId="20382" applyFont="1" applyFill="1" applyBorder="1" applyAlignment="1">
      <alignment horizontal="center" wrapText="1"/>
    </xf>
    <xf numFmtId="0" fontId="238" fillId="0" borderId="0" xfId="20382" applyFont="1" applyFill="1"/>
    <xf numFmtId="0" fontId="158" fillId="0" borderId="0" xfId="20382" applyFont="1" applyFill="1"/>
    <xf numFmtId="0" fontId="170" fillId="72" borderId="170" xfId="20382" applyFont="1" applyFill="1" applyBorder="1" applyAlignment="1">
      <alignment horizontal="center" wrapText="1"/>
    </xf>
    <xf numFmtId="0" fontId="170" fillId="72" borderId="177" xfId="20382" applyFont="1" applyFill="1" applyBorder="1" applyAlignment="1">
      <alignment horizontal="center" wrapText="1"/>
    </xf>
    <xf numFmtId="0" fontId="238" fillId="0" borderId="0" xfId="20382" applyFont="1"/>
    <xf numFmtId="165" fontId="161" fillId="0" borderId="170" xfId="20382" applyNumberFormat="1" applyFont="1" applyFill="1" applyBorder="1" applyAlignment="1">
      <alignment horizontal="left"/>
    </xf>
    <xf numFmtId="165" fontId="191" fillId="0" borderId="171" xfId="20382" applyNumberFormat="1" applyFont="1" applyBorder="1" applyAlignment="1">
      <alignment horizontal="center"/>
    </xf>
    <xf numFmtId="0" fontId="158" fillId="0" borderId="171" xfId="20382" applyFont="1" applyBorder="1"/>
    <xf numFmtId="0" fontId="158" fillId="0" borderId="172" xfId="20382" applyFont="1" applyBorder="1" applyAlignment="1">
      <alignment horizontal="center"/>
    </xf>
    <xf numFmtId="0" fontId="170" fillId="72" borderId="171" xfId="20382" applyFont="1" applyFill="1" applyBorder="1" applyAlignment="1">
      <alignment horizontal="center"/>
    </xf>
    <xf numFmtId="0" fontId="170" fillId="72" borderId="172" xfId="20382" applyFont="1" applyFill="1" applyBorder="1" applyAlignment="1">
      <alignment horizontal="center"/>
    </xf>
    <xf numFmtId="165" fontId="191" fillId="0" borderId="171" xfId="20382" applyNumberFormat="1" applyFont="1" applyFill="1" applyBorder="1" applyAlignment="1">
      <alignment horizontal="center"/>
    </xf>
    <xf numFmtId="0" fontId="158" fillId="0" borderId="171" xfId="20382" applyFont="1" applyFill="1" applyBorder="1"/>
    <xf numFmtId="0" fontId="158" fillId="0" borderId="172" xfId="20382" applyFont="1" applyFill="1" applyBorder="1" applyAlignment="1">
      <alignment horizontal="center"/>
    </xf>
    <xf numFmtId="0" fontId="170" fillId="72" borderId="170" xfId="0" applyFont="1" applyFill="1" applyBorder="1" applyAlignment="1">
      <alignment horizontal="center" wrapText="1"/>
    </xf>
    <xf numFmtId="0" fontId="170" fillId="72" borderId="171" xfId="0" applyFont="1" applyFill="1" applyBorder="1" applyAlignment="1">
      <alignment horizontal="center" wrapText="1"/>
    </xf>
    <xf numFmtId="165" fontId="30" fillId="0" borderId="0" xfId="20382" applyNumberFormat="1" applyFont="1" applyFill="1" applyBorder="1" applyAlignment="1">
      <alignment horizontal="center"/>
    </xf>
    <xf numFmtId="0" fontId="170" fillId="0" borderId="0" xfId="20382" applyFont="1" applyFill="1" applyBorder="1" applyAlignment="1">
      <alignment horizontal="center"/>
    </xf>
    <xf numFmtId="0" fontId="158" fillId="0" borderId="0" xfId="20382" applyFont="1" applyAlignment="1">
      <alignment horizontal="right"/>
    </xf>
    <xf numFmtId="0" fontId="170" fillId="0" borderId="0" xfId="20382" applyFont="1" applyFill="1" applyBorder="1" applyAlignment="1">
      <alignment horizontal="center" wrapText="1"/>
    </xf>
    <xf numFmtId="0" fontId="158" fillId="0" borderId="0" xfId="20382" quotePrefix="1" applyFont="1"/>
    <xf numFmtId="0" fontId="158" fillId="0" borderId="0" xfId="20382" quotePrefix="1" applyFont="1" applyAlignment="1">
      <alignment vertical="top"/>
    </xf>
    <xf numFmtId="0" fontId="158" fillId="0" borderId="173" xfId="0" applyFont="1" applyBorder="1"/>
    <xf numFmtId="0" fontId="158" fillId="0" borderId="175" xfId="0" applyFont="1" applyBorder="1"/>
    <xf numFmtId="0" fontId="158" fillId="0" borderId="0" xfId="0" quotePrefix="1" applyFont="1" applyBorder="1" applyAlignment="1">
      <alignment horizontal="right"/>
    </xf>
    <xf numFmtId="0" fontId="158" fillId="74" borderId="0" xfId="0" quotePrefix="1" applyFont="1" applyFill="1" applyBorder="1" applyAlignment="1">
      <alignment horizontal="left"/>
    </xf>
    <xf numFmtId="0" fontId="158" fillId="74" borderId="0" xfId="0" applyFont="1" applyFill="1" applyBorder="1"/>
    <xf numFmtId="0" fontId="158" fillId="0" borderId="177" xfId="0" applyFont="1" applyBorder="1"/>
    <xf numFmtId="0" fontId="238" fillId="0" borderId="177" xfId="0" applyFont="1" applyBorder="1"/>
    <xf numFmtId="0" fontId="170" fillId="72" borderId="177" xfId="0" applyFont="1" applyFill="1" applyBorder="1" applyAlignment="1">
      <alignment horizontal="center"/>
    </xf>
    <xf numFmtId="0" fontId="158" fillId="0" borderId="170" xfId="0" applyFont="1" applyBorder="1" applyAlignment="1">
      <alignment horizontal="centerContinuous"/>
    </xf>
    <xf numFmtId="0" fontId="170" fillId="72" borderId="0" xfId="0" applyFont="1" applyFill="1" applyBorder="1" applyAlignment="1">
      <alignment horizontal="center"/>
    </xf>
    <xf numFmtId="8" fontId="160" fillId="74" borderId="93" xfId="0" applyNumberFormat="1" applyFont="1" applyFill="1" applyBorder="1" applyAlignment="1">
      <alignment horizontal="right"/>
    </xf>
    <xf numFmtId="0" fontId="170" fillId="72" borderId="177" xfId="0" applyFont="1" applyFill="1" applyBorder="1" applyAlignment="1">
      <alignment horizontal="left"/>
    </xf>
    <xf numFmtId="0" fontId="158" fillId="0" borderId="178" xfId="0" applyFont="1" applyBorder="1" applyAlignment="1">
      <alignment horizontal="justify" vertical="center" wrapText="1"/>
    </xf>
    <xf numFmtId="0" fontId="158" fillId="0" borderId="0" xfId="0" applyFont="1" applyBorder="1" applyAlignment="1">
      <alignment horizontal="justify" vertical="center" wrapText="1"/>
    </xf>
    <xf numFmtId="0" fontId="158" fillId="71" borderId="179" xfId="0" applyFont="1" applyFill="1" applyBorder="1"/>
    <xf numFmtId="10" fontId="158" fillId="71" borderId="179" xfId="0" applyNumberFormat="1" applyFont="1" applyFill="1" applyBorder="1"/>
    <xf numFmtId="169" fontId="160" fillId="71" borderId="179" xfId="0" applyNumberFormat="1" applyFont="1" applyFill="1" applyBorder="1"/>
    <xf numFmtId="234" fontId="160" fillId="71" borderId="179" xfId="0" applyNumberFormat="1" applyFont="1" applyFill="1" applyBorder="1"/>
    <xf numFmtId="0" fontId="158" fillId="0" borderId="179" xfId="0" applyFont="1" applyFill="1" applyBorder="1"/>
    <xf numFmtId="165" fontId="160" fillId="71" borderId="179" xfId="0" applyNumberFormat="1" applyFont="1" applyFill="1" applyBorder="1"/>
    <xf numFmtId="165" fontId="160" fillId="71" borderId="180" xfId="0" applyNumberFormat="1" applyFont="1" applyFill="1" applyBorder="1"/>
    <xf numFmtId="234" fontId="160" fillId="71" borderId="179" xfId="0" applyNumberFormat="1" applyFont="1" applyFill="1" applyBorder="1" applyAlignment="1">
      <alignment horizontal="center"/>
    </xf>
    <xf numFmtId="234" fontId="160" fillId="71" borderId="0" xfId="0" applyNumberFormat="1" applyFont="1" applyFill="1" applyBorder="1" applyAlignment="1">
      <alignment horizontal="center"/>
    </xf>
    <xf numFmtId="234" fontId="160" fillId="71" borderId="45" xfId="0" applyNumberFormat="1" applyFont="1" applyFill="1" applyBorder="1" applyAlignment="1">
      <alignment horizontal="center"/>
    </xf>
    <xf numFmtId="165" fontId="158" fillId="93" borderId="0" xfId="0" applyNumberFormat="1" applyFont="1" applyFill="1" applyAlignment="1">
      <alignment horizontal="right"/>
    </xf>
    <xf numFmtId="165" fontId="158" fillId="73" borderId="0" xfId="0" applyNumberFormat="1" applyFont="1" applyFill="1" applyAlignment="1">
      <alignment horizontal="right"/>
    </xf>
    <xf numFmtId="0" fontId="239" fillId="0" borderId="0" xfId="0" applyFont="1" applyFill="1" applyBorder="1" applyAlignment="1">
      <alignment horizontal="right"/>
    </xf>
    <xf numFmtId="0" fontId="239" fillId="0" borderId="0" xfId="0" applyFont="1" applyBorder="1"/>
    <xf numFmtId="164" fontId="158" fillId="0" borderId="0" xfId="0" applyNumberFormat="1" applyFont="1" applyBorder="1" applyAlignment="1">
      <alignment horizontal="right"/>
    </xf>
    <xf numFmtId="0" fontId="159" fillId="28" borderId="170" xfId="0" applyFont="1" applyFill="1" applyBorder="1" applyAlignment="1">
      <alignment horizontal="center" wrapText="1"/>
    </xf>
    <xf numFmtId="0" fontId="159" fillId="28" borderId="171" xfId="0" applyFont="1" applyFill="1" applyBorder="1" applyAlignment="1">
      <alignment horizontal="center" wrapText="1"/>
    </xf>
    <xf numFmtId="0" fontId="159" fillId="28" borderId="172" xfId="0" applyFont="1" applyFill="1" applyBorder="1" applyAlignment="1">
      <alignment horizontal="center" wrapText="1"/>
    </xf>
    <xf numFmtId="0" fontId="261" fillId="0" borderId="177" xfId="0" applyFont="1" applyBorder="1"/>
    <xf numFmtId="0" fontId="170" fillId="72" borderId="177" xfId="0" applyFont="1" applyFill="1" applyBorder="1" applyAlignment="1">
      <alignment horizontal="right"/>
    </xf>
    <xf numFmtId="0" fontId="160" fillId="71" borderId="170" xfId="0" applyFont="1" applyFill="1" applyBorder="1"/>
    <xf numFmtId="0" fontId="160" fillId="71" borderId="171" xfId="0" applyFont="1" applyFill="1" applyBorder="1"/>
    <xf numFmtId="8" fontId="160" fillId="71" borderId="172" xfId="0" applyNumberFormat="1" applyFont="1" applyFill="1" applyBorder="1"/>
    <xf numFmtId="0" fontId="158" fillId="0" borderId="179" xfId="0" applyFont="1" applyBorder="1"/>
    <xf numFmtId="0" fontId="158" fillId="0" borderId="180" xfId="0" applyFont="1" applyBorder="1"/>
    <xf numFmtId="169" fontId="191" fillId="0" borderId="0" xfId="0" applyNumberFormat="1" applyFont="1" applyBorder="1"/>
    <xf numFmtId="165" fontId="196" fillId="0" borderId="177" xfId="12422" applyNumberFormat="1" applyFont="1" applyBorder="1"/>
    <xf numFmtId="0" fontId="170" fillId="72" borderId="170" xfId="0" applyFont="1" applyFill="1" applyBorder="1" applyAlignment="1">
      <alignment horizontal="centerContinuous"/>
    </xf>
    <xf numFmtId="0" fontId="170" fillId="72" borderId="171" xfId="0" applyFont="1" applyFill="1" applyBorder="1" applyAlignment="1">
      <alignment horizontal="centerContinuous"/>
    </xf>
    <xf numFmtId="0" fontId="170" fillId="72" borderId="172" xfId="0" applyFont="1" applyFill="1" applyBorder="1" applyAlignment="1">
      <alignment horizontal="centerContinuous" wrapText="1"/>
    </xf>
    <xf numFmtId="167" fontId="239" fillId="0" borderId="180" xfId="12427" applyNumberFormat="1" applyFont="1" applyBorder="1"/>
    <xf numFmtId="8" fontId="158" fillId="0" borderId="180" xfId="0" applyNumberFormat="1" applyFont="1" applyBorder="1"/>
    <xf numFmtId="169" fontId="158" fillId="0" borderId="180" xfId="0" applyNumberFormat="1" applyFont="1" applyBorder="1"/>
    <xf numFmtId="165" fontId="161" fillId="71" borderId="172" xfId="12422" applyNumberFormat="1" applyFont="1" applyFill="1" applyBorder="1"/>
    <xf numFmtId="0" fontId="160" fillId="0" borderId="0" xfId="0" applyFont="1" applyFill="1" applyAlignment="1">
      <alignment horizontal="center"/>
    </xf>
    <xf numFmtId="167" fontId="274" fillId="0" borderId="0" xfId="12427" applyNumberFormat="1" applyFont="1" applyBorder="1" applyAlignment="1">
      <alignment horizontal="left"/>
    </xf>
    <xf numFmtId="169" fontId="272" fillId="0" borderId="0" xfId="0" applyNumberFormat="1" applyFont="1" applyFill="1" applyAlignment="1">
      <alignment horizontal="right"/>
    </xf>
    <xf numFmtId="0" fontId="158" fillId="0" borderId="170" xfId="0" applyFont="1" applyBorder="1"/>
    <xf numFmtId="191" fontId="132" fillId="73" borderId="0" xfId="0" applyNumberFormat="1" applyFont="1" applyFill="1"/>
    <xf numFmtId="191" fontId="191" fillId="0" borderId="0" xfId="0" applyNumberFormat="1" applyFont="1" applyFill="1"/>
    <xf numFmtId="191" fontId="158" fillId="0" borderId="0" xfId="0" applyNumberFormat="1" applyFont="1" applyFill="1"/>
    <xf numFmtId="191" fontId="158" fillId="73" borderId="0" xfId="0" applyNumberFormat="1" applyFont="1" applyFill="1"/>
    <xf numFmtId="0" fontId="199" fillId="0" borderId="170" xfId="0" applyFont="1" applyBorder="1" applyAlignment="1">
      <alignment horizontal="centerContinuous"/>
    </xf>
    <xf numFmtId="0" fontId="202" fillId="0" borderId="170" xfId="0" applyFont="1" applyBorder="1" applyAlignment="1">
      <alignment horizontal="left" wrapText="1"/>
    </xf>
    <xf numFmtId="43" fontId="239" fillId="0" borderId="0" xfId="12427" applyFont="1" applyBorder="1" applyAlignment="1">
      <alignment horizontal="right"/>
    </xf>
    <xf numFmtId="0" fontId="273" fillId="0" borderId="179" xfId="0" applyFont="1" applyBorder="1" applyAlignment="1">
      <alignment horizontal="left"/>
    </xf>
    <xf numFmtId="43" fontId="274" fillId="0" borderId="13" xfId="12427" applyFont="1" applyBorder="1" applyAlignment="1">
      <alignment horizontal="left"/>
    </xf>
    <xf numFmtId="0" fontId="158" fillId="0" borderId="173" xfId="0" applyFont="1" applyBorder="1" applyAlignment="1">
      <alignment horizontal="right"/>
    </xf>
    <xf numFmtId="43" fontId="239" fillId="0" borderId="179" xfId="12427" applyFont="1" applyBorder="1" applyAlignment="1">
      <alignment horizontal="right"/>
    </xf>
    <xf numFmtId="0" fontId="158" fillId="0" borderId="179" xfId="0" applyFont="1" applyBorder="1" applyAlignment="1">
      <alignment horizontal="right"/>
    </xf>
    <xf numFmtId="0" fontId="158" fillId="0" borderId="123" xfId="0" applyFont="1" applyBorder="1" applyAlignment="1">
      <alignment wrapText="1"/>
    </xf>
    <xf numFmtId="0" fontId="158" fillId="0" borderId="45" xfId="0" applyFont="1" applyBorder="1" applyAlignment="1">
      <alignment horizontal="right" wrapText="1"/>
    </xf>
    <xf numFmtId="0" fontId="158" fillId="0" borderId="93" xfId="0" applyFont="1" applyBorder="1" applyAlignment="1">
      <alignment wrapText="1"/>
    </xf>
    <xf numFmtId="43" fontId="158" fillId="0" borderId="177" xfId="12427" applyFont="1" applyBorder="1" applyAlignment="1">
      <alignment horizontal="right"/>
    </xf>
    <xf numFmtId="0" fontId="158" fillId="0" borderId="171" xfId="0" applyFont="1" applyBorder="1"/>
    <xf numFmtId="167" fontId="239" fillId="0" borderId="172" xfId="12427" applyNumberFormat="1" applyFont="1" applyBorder="1"/>
    <xf numFmtId="167" fontId="239" fillId="0" borderId="172" xfId="12427" applyNumberFormat="1" applyFont="1" applyFill="1" applyBorder="1" applyAlignment="1">
      <alignment horizontal="right"/>
    </xf>
    <xf numFmtId="164" fontId="239" fillId="0" borderId="172" xfId="0" applyNumberFormat="1" applyFont="1" applyBorder="1" applyAlignment="1">
      <alignment horizontal="right"/>
    </xf>
    <xf numFmtId="8" fontId="239" fillId="0" borderId="176" xfId="0" applyNumberFormat="1" applyFont="1" applyBorder="1"/>
    <xf numFmtId="165" fontId="239" fillId="0" borderId="0" xfId="0" applyNumberFormat="1" applyFont="1" applyFill="1" applyAlignment="1">
      <alignment horizontal="right"/>
    </xf>
    <xf numFmtId="0" fontId="158" fillId="0" borderId="0" xfId="0" applyFont="1" applyAlignment="1">
      <alignment horizontal="right" vertical="center"/>
    </xf>
    <xf numFmtId="169" fontId="158" fillId="0" borderId="0" xfId="0" applyNumberFormat="1" applyFont="1" applyAlignment="1">
      <alignment horizontal="right" vertical="center"/>
    </xf>
    <xf numFmtId="0" fontId="158" fillId="0" borderId="123" xfId="0" applyFont="1" applyBorder="1" applyAlignment="1">
      <alignment horizontal="right" wrapText="1"/>
    </xf>
    <xf numFmtId="0" fontId="160" fillId="0" borderId="170" xfId="0" applyFont="1" applyBorder="1"/>
    <xf numFmtId="0" fontId="160" fillId="0" borderId="171" xfId="0" applyFont="1" applyBorder="1"/>
    <xf numFmtId="167" fontId="239" fillId="0" borderId="0" xfId="12427" applyNumberFormat="1" applyFont="1" applyBorder="1"/>
    <xf numFmtId="167" fontId="158" fillId="0" borderId="0" xfId="0" applyNumberFormat="1" applyFont="1" applyBorder="1"/>
    <xf numFmtId="167" fontId="158" fillId="0" borderId="13" xfId="0" applyNumberFormat="1" applyFont="1" applyBorder="1"/>
    <xf numFmtId="0" fontId="158" fillId="0" borderId="61" xfId="0" applyFont="1" applyBorder="1" applyAlignment="1">
      <alignment horizontal="left" indent="1"/>
    </xf>
    <xf numFmtId="167" fontId="30" fillId="0" borderId="0" xfId="12427" applyNumberFormat="1" applyFont="1" applyBorder="1"/>
    <xf numFmtId="167" fontId="191" fillId="0" borderId="13" xfId="12427" applyNumberFormat="1" applyFont="1" applyBorder="1"/>
    <xf numFmtId="167" fontId="160" fillId="0" borderId="171" xfId="12427" applyNumberFormat="1" applyFont="1" applyBorder="1"/>
    <xf numFmtId="167" fontId="160" fillId="0" borderId="172" xfId="12427" applyNumberFormat="1" applyFont="1" applyBorder="1"/>
    <xf numFmtId="43" fontId="158" fillId="0" borderId="0" xfId="0" applyNumberFormat="1" applyFont="1" applyFill="1" applyBorder="1" applyAlignment="1">
      <alignment horizontal="center"/>
    </xf>
    <xf numFmtId="0" fontId="158" fillId="0" borderId="182" xfId="0" applyFont="1" applyBorder="1" applyAlignment="1">
      <alignment horizontal="centerContinuous"/>
    </xf>
    <xf numFmtId="0" fontId="158" fillId="0" borderId="181" xfId="0" applyFont="1" applyBorder="1" applyAlignment="1">
      <alignment horizontal="centerContinuous"/>
    </xf>
    <xf numFmtId="43" fontId="158" fillId="0" borderId="183" xfId="0" applyNumberFormat="1" applyFont="1" applyBorder="1" applyAlignment="1">
      <alignment horizontal="center"/>
    </xf>
    <xf numFmtId="0" fontId="261" fillId="0" borderId="0" xfId="0" applyFont="1" applyBorder="1"/>
    <xf numFmtId="0" fontId="158" fillId="0" borderId="0" xfId="0" applyFont="1" applyBorder="1" applyAlignment="1">
      <alignment wrapText="1"/>
    </xf>
    <xf numFmtId="9" fontId="158" fillId="0" borderId="0" xfId="12422" applyFont="1"/>
    <xf numFmtId="43" fontId="158" fillId="0" borderId="184" xfId="0" applyNumberFormat="1" applyFont="1" applyBorder="1" applyAlignment="1">
      <alignment horizontal="center"/>
    </xf>
    <xf numFmtId="0" fontId="158" fillId="0" borderId="185" xfId="0" applyFont="1" applyBorder="1" applyAlignment="1">
      <alignment horizontal="center"/>
    </xf>
    <xf numFmtId="0" fontId="158" fillId="0" borderId="123" xfId="0" applyFont="1" applyBorder="1" applyAlignment="1">
      <alignment horizontal="center"/>
    </xf>
    <xf numFmtId="0" fontId="158" fillId="0" borderId="45" xfId="0" applyFont="1" applyBorder="1" applyAlignment="1">
      <alignment horizontal="center"/>
    </xf>
    <xf numFmtId="0" fontId="158" fillId="0" borderId="93" xfId="0" applyFont="1" applyBorder="1" applyAlignment="1">
      <alignment horizontal="center"/>
    </xf>
    <xf numFmtId="242" fontId="30" fillId="0" borderId="0" xfId="0" applyNumberFormat="1" applyFont="1" applyFill="1" applyAlignment="1">
      <alignment horizontal="right"/>
    </xf>
    <xf numFmtId="0" fontId="158" fillId="0" borderId="0" xfId="20416" applyFont="1" applyFill="1" applyAlignment="1">
      <alignment horizontal="left" vertical="top"/>
    </xf>
    <xf numFmtId="247" fontId="158" fillId="88" borderId="0" xfId="20422" applyNumberFormat="1" applyFont="1" applyFill="1"/>
    <xf numFmtId="0" fontId="158" fillId="0" borderId="0" xfId="20422" applyFont="1" applyFill="1" applyAlignment="1">
      <alignment horizontal="left" vertical="top"/>
    </xf>
    <xf numFmtId="0" fontId="158" fillId="0" borderId="0" xfId="20422" applyFont="1" applyFill="1" applyBorder="1"/>
    <xf numFmtId="242" fontId="158" fillId="0" borderId="0" xfId="20399" applyNumberFormat="1" applyFont="1" applyFill="1" applyBorder="1" applyAlignment="1">
      <alignment horizontal="right"/>
    </xf>
    <xf numFmtId="242" fontId="158" fillId="0" borderId="0" xfId="20423" applyNumberFormat="1" applyFont="1" applyFill="1" applyBorder="1" applyAlignment="1">
      <alignment horizontal="right"/>
    </xf>
    <xf numFmtId="247" fontId="158" fillId="0" borderId="0" xfId="20423" applyNumberFormat="1" applyFont="1" applyFill="1" applyBorder="1" applyAlignment="1">
      <alignment horizontal="center"/>
    </xf>
    <xf numFmtId="247" fontId="30" fillId="0" borderId="0" xfId="20268" applyNumberFormat="1" applyFont="1" applyFill="1" applyBorder="1" applyAlignment="1">
      <alignment horizontal="right"/>
    </xf>
    <xf numFmtId="0" fontId="191" fillId="0" borderId="0" xfId="20303" applyFont="1" applyFill="1" applyBorder="1" applyAlignment="1">
      <alignment horizontal="center" wrapText="1"/>
    </xf>
    <xf numFmtId="0" fontId="191" fillId="0" borderId="0" xfId="20424" applyFont="1" applyFill="1" applyBorder="1" applyAlignment="1">
      <alignment horizontal="center"/>
    </xf>
    <xf numFmtId="0" fontId="191" fillId="0" borderId="0" xfId="20424" applyFont="1" applyBorder="1" applyAlignment="1">
      <alignment horizontal="center"/>
    </xf>
    <xf numFmtId="242" fontId="158" fillId="0" borderId="0" xfId="20399" applyNumberFormat="1" applyFont="1" applyBorder="1" applyAlignment="1">
      <alignment horizontal="right"/>
    </xf>
    <xf numFmtId="242" fontId="158" fillId="0" borderId="0" xfId="20423" applyNumberFormat="1" applyFont="1" applyBorder="1" applyAlignment="1">
      <alignment horizontal="right"/>
    </xf>
    <xf numFmtId="247" fontId="158" fillId="0" borderId="0" xfId="20422" applyNumberFormat="1" applyFont="1" applyFill="1"/>
    <xf numFmtId="0" fontId="8" fillId="0" borderId="0" xfId="20426"/>
    <xf numFmtId="0" fontId="8" fillId="0" borderId="0" xfId="20427"/>
    <xf numFmtId="164" fontId="191" fillId="0" borderId="0" xfId="0" applyNumberFormat="1" applyFont="1" applyFill="1" applyAlignment="1">
      <alignment horizontal="right"/>
    </xf>
    <xf numFmtId="192" fontId="191" fillId="0" borderId="0" xfId="0" applyNumberFormat="1" applyFont="1" applyAlignment="1">
      <alignment horizontal="right"/>
    </xf>
    <xf numFmtId="242" fontId="191" fillId="0" borderId="0" xfId="0" applyNumberFormat="1" applyFont="1" applyAlignment="1">
      <alignment horizontal="right"/>
    </xf>
    <xf numFmtId="191" fontId="191" fillId="0" borderId="0" xfId="0" applyNumberFormat="1" applyFont="1" applyAlignment="1">
      <alignment horizontal="right"/>
    </xf>
    <xf numFmtId="164" fontId="30" fillId="0" borderId="0" xfId="0" applyNumberFormat="1" applyFont="1" applyFill="1" applyAlignment="1">
      <alignment horizontal="right"/>
    </xf>
    <xf numFmtId="164" fontId="191" fillId="0" borderId="0" xfId="0" applyNumberFormat="1" applyFont="1" applyAlignment="1">
      <alignment horizontal="right"/>
    </xf>
    <xf numFmtId="167" fontId="191" fillId="0" borderId="0" xfId="12427" applyNumberFormat="1" applyFont="1" applyAlignment="1">
      <alignment horizontal="right"/>
    </xf>
    <xf numFmtId="164" fontId="239" fillId="0" borderId="0" xfId="0" applyNumberFormat="1" applyFont="1" applyFill="1" applyAlignment="1">
      <alignment horizontal="right"/>
    </xf>
    <xf numFmtId="167" fontId="239" fillId="0" borderId="0" xfId="12427" applyNumberFormat="1" applyFont="1" applyFill="1" applyAlignment="1">
      <alignment horizontal="right"/>
    </xf>
    <xf numFmtId="165" fontId="239" fillId="0" borderId="0" xfId="12422" applyNumberFormat="1" applyFont="1" applyFill="1" applyAlignment="1">
      <alignment horizontal="right"/>
    </xf>
    <xf numFmtId="0" fontId="170" fillId="72" borderId="186" xfId="0" applyFont="1" applyFill="1" applyBorder="1" applyAlignment="1">
      <alignment horizontal="left"/>
    </xf>
    <xf numFmtId="0" fontId="170" fillId="72" borderId="186" xfId="0" applyFont="1" applyFill="1" applyBorder="1" applyAlignment="1">
      <alignment horizontal="center"/>
    </xf>
    <xf numFmtId="0" fontId="158" fillId="0" borderId="187" xfId="0" applyFont="1" applyBorder="1" applyAlignment="1">
      <alignment horizontal="justify" vertical="center" wrapText="1"/>
    </xf>
    <xf numFmtId="0" fontId="158" fillId="0" borderId="187" xfId="0" applyFont="1" applyBorder="1"/>
    <xf numFmtId="169" fontId="158" fillId="0" borderId="0" xfId="0" applyNumberFormat="1" applyFont="1" applyAlignment="1">
      <alignment vertical="top"/>
    </xf>
    <xf numFmtId="169" fontId="158" fillId="0" borderId="0" xfId="0" applyNumberFormat="1" applyFont="1" applyFill="1" applyAlignment="1">
      <alignment horizontal="left" vertical="top"/>
    </xf>
    <xf numFmtId="0" fontId="277" fillId="73" borderId="0" xfId="0" applyNumberFormat="1" applyFont="1" applyFill="1" applyAlignment="1">
      <alignment horizontal="left" vertical="top"/>
    </xf>
    <xf numFmtId="0" fontId="158" fillId="0" borderId="0" xfId="0" quotePrefix="1" applyFont="1" applyFill="1" applyAlignment="1">
      <alignment vertical="top" wrapText="1"/>
    </xf>
    <xf numFmtId="0" fontId="71" fillId="0" borderId="0" xfId="11846" applyFont="1"/>
    <xf numFmtId="0" fontId="71" fillId="0" borderId="0" xfId="11846" applyFont="1" applyBorder="1"/>
    <xf numFmtId="0" fontId="30" fillId="0" borderId="0" xfId="11846" applyFont="1"/>
    <xf numFmtId="0" fontId="176" fillId="72" borderId="124" xfId="20431" applyNumberFormat="1" applyFont="1" applyFill="1" applyBorder="1" applyAlignment="1">
      <alignment horizontal="center"/>
    </xf>
    <xf numFmtId="0" fontId="30" fillId="0" borderId="51" xfId="20431" applyNumberFormat="1" applyFont="1" applyBorder="1" applyAlignment="1">
      <alignment horizontal="center"/>
    </xf>
    <xf numFmtId="165" fontId="30" fillId="0" borderId="124" xfId="20431" applyNumberFormat="1" applyFont="1" applyBorder="1" applyAlignment="1">
      <alignment horizontal="center"/>
    </xf>
    <xf numFmtId="0" fontId="0" fillId="0" borderId="123" xfId="0" applyFill="1" applyBorder="1" applyAlignment="1">
      <alignment vertical="center" wrapText="1"/>
    </xf>
    <xf numFmtId="0" fontId="0" fillId="0" borderId="45" xfId="0" applyFill="1" applyBorder="1" applyAlignment="1">
      <alignment vertical="center" wrapText="1"/>
    </xf>
    <xf numFmtId="0" fontId="0" fillId="0" borderId="188" xfId="0" applyFill="1" applyBorder="1" applyAlignment="1">
      <alignment vertical="top" wrapText="1"/>
    </xf>
    <xf numFmtId="0" fontId="0" fillId="0" borderId="189" xfId="0" applyFill="1" applyBorder="1" applyAlignment="1">
      <alignment vertical="top" wrapText="1"/>
    </xf>
    <xf numFmtId="1" fontId="263" fillId="0" borderId="189" xfId="0" applyNumberFormat="1" applyFont="1" applyFill="1" applyBorder="1" applyAlignment="1">
      <alignment vertical="center" shrinkToFit="1"/>
    </xf>
    <xf numFmtId="0" fontId="263" fillId="0" borderId="190" xfId="0" quotePrefix="1" applyNumberFormat="1" applyFont="1" applyFill="1" applyBorder="1" applyAlignment="1">
      <alignment vertical="center" shrinkToFit="1"/>
    </xf>
    <xf numFmtId="0" fontId="238" fillId="0" borderId="0" xfId="0" applyFont="1" applyFill="1" applyAlignment="1">
      <alignment horizontal="center"/>
    </xf>
    <xf numFmtId="0" fontId="161" fillId="0" borderId="0" xfId="0" applyFont="1" applyFill="1" applyAlignment="1">
      <alignment horizontal="center"/>
    </xf>
    <xf numFmtId="164" fontId="161" fillId="0" borderId="141" xfId="0" applyNumberFormat="1" applyFont="1" applyFill="1" applyBorder="1" applyAlignment="1">
      <alignment horizontal="right"/>
    </xf>
    <xf numFmtId="0" fontId="170" fillId="72" borderId="191" xfId="20382" applyFont="1" applyFill="1" applyBorder="1" applyAlignment="1">
      <alignment horizontal="left"/>
    </xf>
    <xf numFmtId="0" fontId="170" fillId="72" borderId="191" xfId="20382" applyFont="1" applyFill="1" applyBorder="1" applyAlignment="1">
      <alignment horizontal="right" wrapText="1"/>
    </xf>
    <xf numFmtId="0" fontId="170" fillId="72" borderId="191" xfId="20382" applyFont="1" applyFill="1" applyBorder="1" applyAlignment="1">
      <alignment horizontal="center"/>
    </xf>
    <xf numFmtId="0" fontId="158" fillId="0" borderId="0" xfId="20382" applyFont="1" applyAlignment="1">
      <alignment horizontal="left" indent="1"/>
    </xf>
    <xf numFmtId="167" fontId="191" fillId="0" borderId="0" xfId="20432" applyNumberFormat="1" applyFont="1"/>
    <xf numFmtId="0" fontId="158" fillId="0" borderId="0" xfId="20382" quotePrefix="1" applyFont="1" applyAlignment="1">
      <alignment horizontal="center"/>
    </xf>
    <xf numFmtId="167" fontId="239" fillId="0" borderId="0" xfId="20432" applyNumberFormat="1" applyFont="1"/>
    <xf numFmtId="43" fontId="158" fillId="0" borderId="0" xfId="20382" applyNumberFormat="1" applyFont="1" applyAlignment="1">
      <alignment horizontal="center"/>
    </xf>
    <xf numFmtId="0" fontId="158" fillId="0" borderId="0" xfId="20382" applyFont="1" applyAlignment="1">
      <alignment horizontal="left"/>
    </xf>
    <xf numFmtId="167" fontId="30" fillId="0" borderId="194" xfId="20432" applyNumberFormat="1" applyFont="1" applyBorder="1"/>
    <xf numFmtId="0" fontId="160" fillId="71" borderId="195" xfId="20382" applyFont="1" applyFill="1" applyBorder="1"/>
    <xf numFmtId="167" fontId="160" fillId="71" borderId="195" xfId="20382" applyNumberFormat="1" applyFont="1" applyFill="1" applyBorder="1"/>
    <xf numFmtId="0" fontId="163" fillId="0" borderId="0" xfId="20382" applyFont="1" applyFill="1" applyAlignment="1">
      <alignment vertical="top"/>
    </xf>
    <xf numFmtId="0" fontId="158" fillId="0" borderId="0" xfId="20382" quotePrefix="1" applyFont="1" applyFill="1" applyAlignment="1">
      <alignment horizontal="right" vertical="top"/>
    </xf>
    <xf numFmtId="0" fontId="180" fillId="0" borderId="0" xfId="20382"/>
    <xf numFmtId="0" fontId="158" fillId="0" borderId="196" xfId="20382" applyFont="1" applyBorder="1"/>
    <xf numFmtId="164" fontId="158" fillId="0" borderId="197" xfId="20382" applyNumberFormat="1" applyFont="1" applyBorder="1"/>
    <xf numFmtId="0" fontId="160" fillId="0" borderId="198" xfId="20382" applyFont="1" applyBorder="1"/>
    <xf numFmtId="0" fontId="158" fillId="0" borderId="194" xfId="20382" applyFont="1" applyBorder="1"/>
    <xf numFmtId="0" fontId="158" fillId="0" borderId="199" xfId="20382" applyFont="1" applyBorder="1"/>
    <xf numFmtId="165" fontId="30" fillId="0" borderId="0" xfId="20382" quotePrefix="1" applyNumberFormat="1" applyFont="1" applyBorder="1"/>
    <xf numFmtId="167" fontId="158" fillId="0" borderId="0" xfId="20433" applyNumberFormat="1" applyFont="1" applyFill="1"/>
    <xf numFmtId="0" fontId="158" fillId="0" borderId="123" xfId="20382" applyFont="1" applyBorder="1"/>
    <xf numFmtId="0" fontId="158" fillId="0" borderId="45" xfId="20382" applyFont="1" applyBorder="1"/>
    <xf numFmtId="0" fontId="233" fillId="0" borderId="0" xfId="20382" applyFont="1" applyBorder="1"/>
    <xf numFmtId="0" fontId="161" fillId="0" borderId="200" xfId="20434" applyFont="1" applyFill="1" applyBorder="1" applyAlignment="1">
      <alignment horizontal="right" wrapText="1"/>
    </xf>
    <xf numFmtId="0" fontId="161" fillId="0" borderId="201" xfId="20434" applyFont="1" applyFill="1" applyBorder="1" applyAlignment="1">
      <alignment horizontal="right" wrapText="1"/>
    </xf>
    <xf numFmtId="0" fontId="161" fillId="0" borderId="0" xfId="20434" applyFont="1" applyFill="1" applyBorder="1" applyAlignment="1">
      <alignment horizontal="right" wrapText="1"/>
    </xf>
    <xf numFmtId="0" fontId="160" fillId="0" borderId="0" xfId="20382" applyFont="1" applyBorder="1"/>
    <xf numFmtId="0" fontId="30" fillId="0" borderId="61" xfId="20382" applyFont="1" applyBorder="1"/>
    <xf numFmtId="0" fontId="191" fillId="0" borderId="51" xfId="20382" applyFont="1" applyFill="1" applyBorder="1" applyAlignment="1">
      <alignment horizontal="center"/>
    </xf>
    <xf numFmtId="165" fontId="239" fillId="0" borderId="51" xfId="20382" applyNumberFormat="1" applyFont="1" applyFill="1" applyBorder="1"/>
    <xf numFmtId="165" fontId="158" fillId="0" borderId="13" xfId="20433" applyNumberFormat="1" applyFont="1" applyBorder="1"/>
    <xf numFmtId="0" fontId="158" fillId="0" borderId="200" xfId="20382" applyFont="1" applyBorder="1"/>
    <xf numFmtId="169" fontId="191" fillId="0" borderId="199" xfId="20382" applyNumberFormat="1" applyFont="1" applyFill="1" applyBorder="1"/>
    <xf numFmtId="0" fontId="158" fillId="0" borderId="51" xfId="20382" applyFont="1" applyFill="1" applyBorder="1"/>
    <xf numFmtId="165" fontId="191" fillId="0" borderId="13" xfId="20382" applyNumberFormat="1" applyFont="1" applyFill="1" applyBorder="1" applyAlignment="1">
      <alignment horizontal="right" vertical="center"/>
    </xf>
    <xf numFmtId="0" fontId="158" fillId="0" borderId="51" xfId="20382" applyFont="1" applyBorder="1"/>
    <xf numFmtId="167" fontId="191" fillId="0" borderId="13" xfId="20432" applyNumberFormat="1" applyFont="1" applyFill="1" applyBorder="1"/>
    <xf numFmtId="0" fontId="191" fillId="0" borderId="13" xfId="20382" applyFont="1" applyFill="1" applyBorder="1" applyAlignment="1">
      <alignment horizontal="right"/>
    </xf>
    <xf numFmtId="0" fontId="30" fillId="0" borderId="51" xfId="20382" applyFont="1" applyBorder="1"/>
    <xf numFmtId="0" fontId="158" fillId="0" borderId="124" xfId="20382" applyFont="1" applyBorder="1"/>
    <xf numFmtId="167" fontId="191" fillId="0" borderId="124" xfId="20432" applyNumberFormat="1" applyFont="1" applyFill="1" applyBorder="1"/>
    <xf numFmtId="0" fontId="30" fillId="0" borderId="124" xfId="20382" applyFont="1" applyBorder="1"/>
    <xf numFmtId="0" fontId="191" fillId="73" borderId="124" xfId="20382" applyFont="1" applyFill="1" applyBorder="1" applyAlignment="1">
      <alignment horizontal="center"/>
    </xf>
    <xf numFmtId="165" fontId="191" fillId="0" borderId="124" xfId="20382" applyNumberFormat="1" applyFont="1" applyFill="1" applyBorder="1" applyAlignment="1">
      <alignment horizontal="right"/>
    </xf>
    <xf numFmtId="10" fontId="158" fillId="0" borderId="0" xfId="20382" applyNumberFormat="1" applyFont="1"/>
    <xf numFmtId="0" fontId="160" fillId="0" borderId="0" xfId="20435" applyFont="1" applyBorder="1" applyAlignment="1">
      <alignment horizontal="right" wrapText="1"/>
    </xf>
    <xf numFmtId="0" fontId="158" fillId="0" borderId="0" xfId="20382" applyFont="1" applyFill="1" applyBorder="1"/>
    <xf numFmtId="0" fontId="6" fillId="0" borderId="0" xfId="20435"/>
    <xf numFmtId="167" fontId="191" fillId="0" borderId="51" xfId="20433" applyNumberFormat="1" applyFont="1" applyBorder="1"/>
    <xf numFmtId="167" fontId="191" fillId="0" borderId="0" xfId="20433" applyNumberFormat="1" applyFont="1" applyBorder="1"/>
    <xf numFmtId="167" fontId="160" fillId="0" borderId="0" xfId="20433" applyNumberFormat="1" applyFont="1" applyBorder="1"/>
    <xf numFmtId="167" fontId="158" fillId="0" borderId="61" xfId="20433" applyNumberFormat="1" applyFont="1" applyBorder="1"/>
    <xf numFmtId="167" fontId="158" fillId="0" borderId="51" xfId="20433" applyNumberFormat="1" applyFont="1" applyBorder="1"/>
    <xf numFmtId="165" fontId="191" fillId="0" borderId="51" xfId="20433" applyNumberFormat="1" applyFont="1" applyBorder="1"/>
    <xf numFmtId="167" fontId="158" fillId="0" borderId="123" xfId="20433" applyNumberFormat="1" applyFont="1" applyBorder="1"/>
    <xf numFmtId="167" fontId="158" fillId="0" borderId="124" xfId="20433" applyNumberFormat="1" applyFont="1" applyBorder="1" applyAlignment="1">
      <alignment horizontal="right"/>
    </xf>
    <xf numFmtId="165" fontId="191" fillId="0" borderId="124" xfId="20433" applyNumberFormat="1" applyFont="1" applyBorder="1"/>
    <xf numFmtId="0" fontId="180" fillId="0" borderId="0" xfId="20382" applyBorder="1"/>
    <xf numFmtId="167" fontId="156" fillId="0" borderId="0" xfId="20433" applyNumberFormat="1" applyFont="1"/>
    <xf numFmtId="0" fontId="158" fillId="0" borderId="0" xfId="20382" applyFont="1" applyBorder="1" applyAlignment="1">
      <alignment horizontal="left" indent="1"/>
    </xf>
    <xf numFmtId="165" fontId="244" fillId="0" borderId="0" xfId="20382" applyNumberFormat="1" applyFont="1" applyBorder="1"/>
    <xf numFmtId="165" fontId="244" fillId="0" borderId="0" xfId="20382" applyNumberFormat="1" applyFont="1" applyFill="1" applyBorder="1"/>
    <xf numFmtId="165" fontId="158" fillId="0" borderId="0" xfId="20382" applyNumberFormat="1" applyFont="1" applyFill="1" applyBorder="1"/>
    <xf numFmtId="0" fontId="158" fillId="0" borderId="0" xfId="20382" applyFont="1" applyFill="1" applyAlignment="1">
      <alignment vertical="top"/>
    </xf>
    <xf numFmtId="0" fontId="158" fillId="0" borderId="0" xfId="20382" applyFont="1" applyFill="1" applyAlignment="1">
      <alignment horizontal="justify" vertical="top" wrapText="1"/>
    </xf>
    <xf numFmtId="0" fontId="158" fillId="0" borderId="0" xfId="20382" applyFont="1" applyBorder="1" applyAlignment="1">
      <alignment horizontal="center"/>
    </xf>
    <xf numFmtId="0" fontId="180" fillId="0" borderId="0" xfId="20382" applyFill="1"/>
    <xf numFmtId="0" fontId="160" fillId="0" borderId="0" xfId="20382" applyFont="1"/>
    <xf numFmtId="0" fontId="170" fillId="72" borderId="198" xfId="20382" applyFont="1" applyFill="1" applyBorder="1" applyAlignment="1">
      <alignment wrapText="1"/>
    </xf>
    <xf numFmtId="0" fontId="170" fillId="72" borderId="194" xfId="20382" applyFont="1" applyFill="1" applyBorder="1" applyAlignment="1">
      <alignment wrapText="1"/>
    </xf>
    <xf numFmtId="0" fontId="170" fillId="72" borderId="123" xfId="20382" applyFont="1" applyFill="1" applyBorder="1" applyAlignment="1">
      <alignment horizontal="left" wrapText="1"/>
    </xf>
    <xf numFmtId="0" fontId="170" fillId="72" borderId="45" xfId="20382" applyFont="1" applyFill="1" applyBorder="1" applyAlignment="1">
      <alignment horizontal="right" wrapText="1"/>
    </xf>
    <xf numFmtId="0" fontId="161" fillId="0" borderId="0" xfId="20382" applyFont="1" applyFill="1" applyBorder="1" applyAlignment="1">
      <alignment horizontal="left" wrapText="1"/>
    </xf>
    <xf numFmtId="0" fontId="170" fillId="0" borderId="0" xfId="20382" applyFont="1" applyFill="1" applyBorder="1" applyAlignment="1">
      <alignment horizontal="left" wrapText="1"/>
    </xf>
    <xf numFmtId="0" fontId="30" fillId="0" borderId="0" xfId="20382" applyFont="1" applyFill="1" applyBorder="1" applyAlignment="1">
      <alignment horizontal="right" wrapText="1"/>
    </xf>
    <xf numFmtId="167" fontId="158" fillId="0" borderId="0" xfId="20432" applyNumberFormat="1" applyFont="1"/>
    <xf numFmtId="0" fontId="258" fillId="0" borderId="0" xfId="11906" applyFont="1" applyFill="1" applyBorder="1" applyAlignment="1">
      <alignment horizontal="left" indent="1"/>
    </xf>
    <xf numFmtId="165" fontId="280" fillId="0" borderId="0" xfId="20382" applyNumberFormat="1" applyFont="1" applyFill="1"/>
    <xf numFmtId="165" fontId="280" fillId="0" borderId="0" xfId="20382" applyNumberFormat="1" applyFont="1"/>
    <xf numFmtId="165" fontId="163" fillId="0" borderId="0" xfId="20382" applyNumberFormat="1" applyFont="1"/>
    <xf numFmtId="0" fontId="161" fillId="0" borderId="0" xfId="11906" applyFont="1" applyFill="1" applyBorder="1"/>
    <xf numFmtId="167" fontId="160" fillId="0" borderId="194" xfId="20432" applyNumberFormat="1" applyFont="1" applyBorder="1"/>
    <xf numFmtId="167" fontId="158" fillId="0" borderId="0" xfId="20433" applyNumberFormat="1" applyFont="1"/>
    <xf numFmtId="165" fontId="244" fillId="0" borderId="0" xfId="20382" applyNumberFormat="1" applyFont="1" applyFill="1"/>
    <xf numFmtId="167" fontId="239" fillId="0" borderId="0" xfId="20433" applyNumberFormat="1" applyFont="1"/>
    <xf numFmtId="167" fontId="160" fillId="0" borderId="194" xfId="20382" applyNumberFormat="1" applyFont="1" applyBorder="1"/>
    <xf numFmtId="2" fontId="30" fillId="0" borderId="0" xfId="20382" applyNumberFormat="1" applyFont="1" applyFill="1"/>
    <xf numFmtId="2" fontId="158" fillId="0" borderId="0" xfId="20382" applyNumberFormat="1" applyFont="1"/>
    <xf numFmtId="167" fontId="160" fillId="0" borderId="197" xfId="20382" applyNumberFormat="1" applyFont="1" applyBorder="1"/>
    <xf numFmtId="167" fontId="160" fillId="0" borderId="0" xfId="20382" applyNumberFormat="1" applyFont="1" applyBorder="1"/>
    <xf numFmtId="0" fontId="169" fillId="0" borderId="0" xfId="20382" applyFont="1" applyFill="1" applyBorder="1" applyAlignment="1">
      <alignment horizontal="center"/>
    </xf>
    <xf numFmtId="0" fontId="163" fillId="0" borderId="0" xfId="20382" applyFont="1" applyFill="1" applyBorder="1"/>
    <xf numFmtId="270" fontId="158" fillId="0" borderId="0" xfId="20382" applyNumberFormat="1" applyFont="1" applyFill="1" applyBorder="1"/>
    <xf numFmtId="0" fontId="160" fillId="0" borderId="0" xfId="20382" applyFont="1" applyFill="1"/>
    <xf numFmtId="0" fontId="163" fillId="0" borderId="0" xfId="20382" applyFont="1" applyFill="1"/>
    <xf numFmtId="0" fontId="158" fillId="0" borderId="0" xfId="20382" applyFont="1" applyFill="1" applyAlignment="1">
      <alignment horizontal="left" vertical="top" wrapText="1"/>
    </xf>
    <xf numFmtId="0" fontId="158" fillId="0" borderId="0" xfId="20382" applyFont="1" applyAlignment="1">
      <alignment vertical="top"/>
    </xf>
    <xf numFmtId="0" fontId="158" fillId="0" borderId="0" xfId="20382" quotePrefix="1" applyFont="1" applyFill="1" applyAlignment="1">
      <alignment horizontal="right"/>
    </xf>
    <xf numFmtId="14" fontId="158" fillId="0" borderId="0" xfId="20382" applyNumberFormat="1" applyFont="1"/>
    <xf numFmtId="0" fontId="199" fillId="0" borderId="0" xfId="20436" applyFont="1" applyFill="1" applyAlignment="1">
      <alignment vertical="top"/>
    </xf>
    <xf numFmtId="0" fontId="166" fillId="0" borderId="192" xfId="20436" applyFont="1" applyBorder="1"/>
    <xf numFmtId="0" fontId="199" fillId="0" borderId="0" xfId="20436" applyFont="1" applyAlignment="1">
      <alignment horizontal="right" vertical="top"/>
    </xf>
    <xf numFmtId="0" fontId="186" fillId="0" borderId="0" xfId="20436" applyFont="1"/>
    <xf numFmtId="0" fontId="186" fillId="0" borderId="0" xfId="20436" applyFont="1" applyFill="1" applyAlignment="1">
      <alignment horizontal="left"/>
    </xf>
    <xf numFmtId="43" fontId="278" fillId="94" borderId="0" xfId="20437" applyFont="1" applyFill="1" applyBorder="1" applyAlignment="1">
      <alignment horizontal="left"/>
    </xf>
    <xf numFmtId="0" fontId="278" fillId="94" borderId="0" xfId="20436" applyFont="1" applyFill="1" applyBorder="1" applyAlignment="1">
      <alignment horizontal="right"/>
    </xf>
    <xf numFmtId="0" fontId="186" fillId="0" borderId="0" xfId="20436" applyFont="1" applyFill="1" applyBorder="1" applyAlignment="1">
      <alignment horizontal="left" vertical="top"/>
    </xf>
    <xf numFmtId="43" fontId="164" fillId="94" borderId="193" xfId="20437" applyFont="1" applyFill="1" applyBorder="1" applyAlignment="1">
      <alignment horizontal="left"/>
    </xf>
    <xf numFmtId="43" fontId="278" fillId="94" borderId="193" xfId="20437" applyFont="1" applyFill="1" applyBorder="1" applyAlignment="1">
      <alignment horizontal="left"/>
    </xf>
    <xf numFmtId="0" fontId="161" fillId="0" borderId="0" xfId="11846" applyFont="1"/>
    <xf numFmtId="167" fontId="239" fillId="0" borderId="201" xfId="20382" applyNumberFormat="1" applyFont="1" applyFill="1" applyBorder="1"/>
    <xf numFmtId="0" fontId="170" fillId="72" borderId="200" xfId="20382" applyFont="1" applyFill="1" applyBorder="1" applyAlignment="1">
      <alignment horizontal="center"/>
    </xf>
    <xf numFmtId="0" fontId="170" fillId="72" borderId="198" xfId="20382" applyFont="1" applyFill="1" applyBorder="1" applyAlignment="1">
      <alignment horizontal="center"/>
    </xf>
    <xf numFmtId="0" fontId="170" fillId="72" borderId="196" xfId="20382" applyFont="1" applyFill="1" applyBorder="1" applyAlignment="1">
      <alignment horizontal="centerContinuous"/>
    </xf>
    <xf numFmtId="0" fontId="170" fillId="72" borderId="202" xfId="20382" applyFont="1" applyFill="1" applyBorder="1" applyAlignment="1">
      <alignment horizontal="centerContinuous"/>
    </xf>
    <xf numFmtId="0" fontId="170" fillId="72" borderId="197" xfId="20382" applyFont="1" applyFill="1" applyBorder="1" applyAlignment="1">
      <alignment horizontal="centerContinuous"/>
    </xf>
    <xf numFmtId="0" fontId="170" fillId="72" borderId="124" xfId="20382" applyFont="1" applyFill="1" applyBorder="1" applyAlignment="1">
      <alignment horizontal="center"/>
    </xf>
    <xf numFmtId="0" fontId="132" fillId="0" borderId="51" xfId="20431" applyFont="1" applyBorder="1" applyAlignment="1">
      <alignment horizontal="center"/>
    </xf>
    <xf numFmtId="0" fontId="170" fillId="72" borderId="196" xfId="20382" applyFont="1" applyFill="1" applyBorder="1" applyAlignment="1">
      <alignment horizontal="left"/>
    </xf>
    <xf numFmtId="0" fontId="170" fillId="72" borderId="197" xfId="20382" applyFont="1" applyFill="1" applyBorder="1" applyAlignment="1">
      <alignment horizontal="left"/>
    </xf>
    <xf numFmtId="165" fontId="176" fillId="72" borderId="197" xfId="12056" applyNumberFormat="1" applyFont="1" applyFill="1" applyBorder="1" applyAlignment="1">
      <alignment horizontal="center"/>
    </xf>
    <xf numFmtId="165" fontId="176" fillId="72" borderId="201" xfId="12056" applyNumberFormat="1" applyFont="1" applyFill="1" applyBorder="1" applyAlignment="1">
      <alignment horizontal="center"/>
    </xf>
    <xf numFmtId="167" fontId="239" fillId="0" borderId="201" xfId="20437" applyNumberFormat="1" applyFont="1" applyFill="1" applyBorder="1"/>
    <xf numFmtId="0" fontId="170" fillId="72" borderId="203" xfId="20382" applyFont="1" applyFill="1" applyBorder="1" applyAlignment="1">
      <alignment horizontal="center" wrapText="1"/>
    </xf>
    <xf numFmtId="0" fontId="170" fillId="72" borderId="204" xfId="20382" applyFont="1" applyFill="1" applyBorder="1" applyAlignment="1">
      <alignment horizontal="center" wrapText="1"/>
    </xf>
    <xf numFmtId="0" fontId="170" fillId="72" borderId="205" xfId="20382" applyFont="1" applyFill="1" applyBorder="1" applyAlignment="1">
      <alignment horizontal="center" wrapText="1"/>
    </xf>
    <xf numFmtId="0" fontId="30" fillId="0" borderId="0" xfId="20382" applyFont="1" applyBorder="1"/>
    <xf numFmtId="165" fontId="191" fillId="0" borderId="0" xfId="20382" applyNumberFormat="1" applyFont="1" applyFill="1" applyBorder="1" applyAlignment="1">
      <alignment horizontal="right"/>
    </xf>
    <xf numFmtId="0" fontId="191" fillId="0" borderId="0" xfId="20382" applyFont="1" applyFill="1" applyBorder="1" applyAlignment="1">
      <alignment horizontal="center"/>
    </xf>
    <xf numFmtId="0" fontId="160" fillId="0" borderId="206" xfId="20382" applyFont="1" applyBorder="1" applyAlignment="1">
      <alignment horizontal="center"/>
    </xf>
    <xf numFmtId="0" fontId="161" fillId="0" borderId="206" xfId="20434" applyFont="1" applyFill="1" applyBorder="1" applyAlignment="1">
      <alignment horizontal="right" wrapText="1"/>
    </xf>
    <xf numFmtId="0" fontId="170" fillId="72" borderId="61" xfId="20382" applyFont="1" applyFill="1" applyBorder="1" applyAlignment="1">
      <alignment wrapText="1"/>
    </xf>
    <xf numFmtId="0" fontId="170" fillId="72" borderId="0" xfId="20382" applyFont="1" applyFill="1" applyBorder="1" applyAlignment="1">
      <alignment wrapText="1"/>
    </xf>
    <xf numFmtId="167" fontId="160" fillId="0" borderId="194" xfId="20433" applyNumberFormat="1" applyFont="1" applyBorder="1"/>
    <xf numFmtId="0" fontId="170" fillId="72" borderId="207" xfId="20382" applyFont="1" applyFill="1" applyBorder="1" applyAlignment="1">
      <alignment wrapText="1"/>
    </xf>
    <xf numFmtId="165" fontId="191" fillId="0" borderId="208" xfId="20434" applyNumberFormat="1" applyFont="1" applyFill="1" applyBorder="1" applyAlignment="1">
      <alignment horizontal="right" wrapText="1"/>
    </xf>
    <xf numFmtId="0" fontId="161" fillId="0" borderId="203" xfId="20434" applyFont="1" applyFill="1" applyBorder="1" applyAlignment="1">
      <alignment horizontal="left"/>
    </xf>
    <xf numFmtId="0" fontId="158" fillId="0" borderId="205" xfId="20382" applyFont="1" applyBorder="1"/>
    <xf numFmtId="165" fontId="30" fillId="0" borderId="13" xfId="20434" applyNumberFormat="1" applyFont="1" applyFill="1" applyBorder="1" applyAlignment="1">
      <alignment horizontal="right" wrapText="1"/>
    </xf>
    <xf numFmtId="165" fontId="30" fillId="0" borderId="0" xfId="20434" applyNumberFormat="1" applyFont="1" applyFill="1" applyBorder="1" applyAlignment="1">
      <alignment horizontal="right" wrapText="1"/>
    </xf>
    <xf numFmtId="0" fontId="158" fillId="0" borderId="61" xfId="20382" applyFont="1" applyBorder="1" applyAlignment="1">
      <alignment horizontal="justify"/>
    </xf>
    <xf numFmtId="0" fontId="158" fillId="0" borderId="61" xfId="20382" applyFont="1" applyBorder="1" applyAlignment="1">
      <alignment horizontal="center" wrapText="1"/>
    </xf>
    <xf numFmtId="165" fontId="30" fillId="0" borderId="51" xfId="20434" applyNumberFormat="1" applyFont="1" applyFill="1" applyBorder="1" applyAlignment="1">
      <alignment horizontal="right" wrapText="1"/>
    </xf>
    <xf numFmtId="165" fontId="158" fillId="0" borderId="0" xfId="20433" applyNumberFormat="1" applyFont="1" applyBorder="1"/>
    <xf numFmtId="0" fontId="158" fillId="0" borderId="123" xfId="20382" applyFont="1" applyBorder="1" applyAlignment="1">
      <alignment horizontal="justify"/>
    </xf>
    <xf numFmtId="0" fontId="161" fillId="0" borderId="208" xfId="20434" applyFont="1" applyFill="1" applyBorder="1" applyAlignment="1">
      <alignment horizontal="right" wrapText="1"/>
    </xf>
    <xf numFmtId="165" fontId="191" fillId="0" borderId="209" xfId="20434" applyNumberFormat="1" applyFont="1" applyFill="1" applyBorder="1" applyAlignment="1">
      <alignment horizontal="right" vertical="top" wrapText="1"/>
    </xf>
    <xf numFmtId="165" fontId="30" fillId="0" borderId="208" xfId="20434" applyNumberFormat="1" applyFont="1" applyFill="1" applyBorder="1" applyAlignment="1">
      <alignment horizontal="right" vertical="top" wrapText="1"/>
    </xf>
    <xf numFmtId="165" fontId="30" fillId="0" borderId="51" xfId="20434" applyNumberFormat="1" applyFont="1" applyFill="1" applyBorder="1" applyAlignment="1">
      <alignment horizontal="right" vertical="top" wrapText="1"/>
    </xf>
    <xf numFmtId="43" fontId="158" fillId="0" borderId="208" xfId="20382" applyNumberFormat="1" applyFont="1" applyBorder="1" applyAlignment="1">
      <alignment vertical="top"/>
    </xf>
    <xf numFmtId="167" fontId="158" fillId="0" borderId="208" xfId="20382" applyNumberFormat="1" applyFont="1" applyBorder="1" applyAlignment="1">
      <alignment vertical="top"/>
    </xf>
    <xf numFmtId="167" fontId="191" fillId="0" borderId="61" xfId="20433" applyNumberFormat="1" applyFont="1" applyBorder="1" applyAlignment="1">
      <alignment vertical="top"/>
    </xf>
    <xf numFmtId="167" fontId="158" fillId="0" borderId="51" xfId="20382" applyNumberFormat="1" applyFont="1" applyBorder="1" applyAlignment="1">
      <alignment vertical="top"/>
    </xf>
    <xf numFmtId="43" fontId="158" fillId="0" borderId="51" xfId="20382" applyNumberFormat="1" applyFont="1" applyBorder="1" applyAlignment="1">
      <alignment vertical="top"/>
    </xf>
    <xf numFmtId="0" fontId="160" fillId="0" borderId="206" xfId="20382" applyFont="1" applyBorder="1" applyAlignment="1">
      <alignment horizontal="justify"/>
    </xf>
    <xf numFmtId="0" fontId="160" fillId="0" borderId="206" xfId="20382" applyFont="1" applyBorder="1" applyAlignment="1">
      <alignment horizontal="center" wrapText="1"/>
    </xf>
    <xf numFmtId="0" fontId="176" fillId="0" borderId="0" xfId="20382" applyFont="1" applyFill="1" applyBorder="1" applyAlignment="1"/>
    <xf numFmtId="0" fontId="176" fillId="72" borderId="203" xfId="20382" applyFont="1" applyFill="1" applyBorder="1" applyAlignment="1"/>
    <xf numFmtId="0" fontId="176" fillId="72" borderId="204" xfId="20382" applyFont="1" applyFill="1" applyBorder="1" applyAlignment="1"/>
    <xf numFmtId="0" fontId="176" fillId="72" borderId="205" xfId="20382" applyFont="1" applyFill="1" applyBorder="1" applyAlignment="1"/>
    <xf numFmtId="164" fontId="239" fillId="73" borderId="0" xfId="0" applyNumberFormat="1" applyFont="1" applyFill="1" applyAlignment="1">
      <alignment horizontal="right"/>
    </xf>
    <xf numFmtId="167" fontId="239" fillId="73" borderId="0" xfId="12427" applyNumberFormat="1" applyFont="1" applyFill="1" applyAlignment="1">
      <alignment horizontal="right"/>
    </xf>
    <xf numFmtId="165" fontId="239" fillId="73" borderId="0" xfId="12422" applyNumberFormat="1" applyFont="1" applyFill="1" applyAlignment="1">
      <alignment horizontal="right"/>
    </xf>
    <xf numFmtId="9" fontId="30" fillId="73" borderId="0" xfId="12422" applyFont="1" applyFill="1" applyAlignment="1">
      <alignment horizontal="right"/>
    </xf>
    <xf numFmtId="165" fontId="30" fillId="73" borderId="0" xfId="12422" applyNumberFormat="1" applyFont="1" applyFill="1" applyAlignment="1">
      <alignment horizontal="right"/>
    </xf>
    <xf numFmtId="242" fontId="191" fillId="0" borderId="0" xfId="20305" applyNumberFormat="1" applyFont="1" applyFill="1" applyAlignment="1">
      <alignment horizontal="right"/>
    </xf>
    <xf numFmtId="167" fontId="191" fillId="0" borderId="0" xfId="12427" applyNumberFormat="1" applyFont="1" applyFill="1" applyAlignment="1">
      <alignment horizontal="right"/>
    </xf>
    <xf numFmtId="0" fontId="158" fillId="0" borderId="0" xfId="0" applyNumberFormat="1" applyFont="1" applyFill="1" applyAlignment="1">
      <alignment horizontal="left" vertical="top"/>
    </xf>
    <xf numFmtId="169" fontId="158" fillId="0" borderId="0" xfId="0" quotePrefix="1" applyNumberFormat="1" applyFont="1" applyFill="1" applyAlignment="1">
      <alignment horizontal="left" vertical="top"/>
    </xf>
    <xf numFmtId="0" fontId="160" fillId="0" borderId="0" xfId="20382" applyFont="1" applyAlignment="1">
      <alignment horizontal="right"/>
    </xf>
    <xf numFmtId="43" fontId="239" fillId="0" borderId="0" xfId="20432" applyFont="1" applyBorder="1" applyAlignment="1">
      <alignment horizontal="right"/>
    </xf>
    <xf numFmtId="165" fontId="239" fillId="0" borderId="0" xfId="20383" applyNumberFormat="1" applyFont="1" applyBorder="1" applyAlignment="1">
      <alignment horizontal="right"/>
    </xf>
    <xf numFmtId="0" fontId="170" fillId="72" borderId="211" xfId="20382" applyFont="1" applyFill="1" applyBorder="1"/>
    <xf numFmtId="0" fontId="170" fillId="72" borderId="212" xfId="20382" applyFont="1" applyFill="1" applyBorder="1"/>
    <xf numFmtId="0" fontId="170" fillId="72" borderId="213" xfId="20382" applyFont="1" applyFill="1" applyBorder="1"/>
    <xf numFmtId="0" fontId="30" fillId="0" borderId="0" xfId="20382" applyFont="1" applyFill="1"/>
    <xf numFmtId="43" fontId="158" fillId="0" borderId="0" xfId="20432" applyFont="1" applyAlignment="1">
      <alignment horizontal="right"/>
    </xf>
    <xf numFmtId="0" fontId="161" fillId="0" borderId="0" xfId="20382" applyFont="1" applyFill="1" applyBorder="1"/>
    <xf numFmtId="0" fontId="30" fillId="0" borderId="0" xfId="20382" applyFont="1" applyFill="1" applyAlignment="1">
      <alignment horizontal="right"/>
    </xf>
    <xf numFmtId="169" fontId="162" fillId="0" borderId="0" xfId="20382" applyNumberFormat="1" applyFont="1" applyAlignment="1">
      <alignment horizontal="right"/>
    </xf>
    <xf numFmtId="169" fontId="191" fillId="0" borderId="0" xfId="20382" applyNumberFormat="1" applyFont="1" applyAlignment="1">
      <alignment horizontal="right"/>
    </xf>
    <xf numFmtId="43" fontId="158" fillId="0" borderId="0" xfId="20382" applyNumberFormat="1" applyFont="1"/>
    <xf numFmtId="169" fontId="272" fillId="0" borderId="0" xfId="20382" applyNumberFormat="1" applyFont="1" applyFill="1" applyAlignment="1">
      <alignment horizontal="right"/>
    </xf>
    <xf numFmtId="43" fontId="158" fillId="0" borderId="0" xfId="20382" applyNumberFormat="1" applyFont="1" applyAlignment="1">
      <alignment horizontal="right"/>
    </xf>
    <xf numFmtId="10" fontId="162" fillId="0" borderId="0" xfId="20382" applyNumberFormat="1" applyFont="1" applyAlignment="1">
      <alignment horizontal="right"/>
    </xf>
    <xf numFmtId="165" fontId="239" fillId="0" borderId="0" xfId="20382" applyNumberFormat="1" applyFont="1" applyFill="1" applyAlignment="1">
      <alignment horizontal="right"/>
    </xf>
    <xf numFmtId="0" fontId="175" fillId="0" borderId="0" xfId="20382" applyFont="1"/>
    <xf numFmtId="0" fontId="161" fillId="0" borderId="214" xfId="20382" applyFont="1" applyFill="1" applyBorder="1" applyAlignment="1">
      <alignment horizontal="centerContinuous"/>
    </xf>
    <xf numFmtId="0" fontId="161" fillId="0" borderId="210" xfId="20382" applyFont="1" applyFill="1" applyBorder="1" applyAlignment="1">
      <alignment horizontal="centerContinuous"/>
    </xf>
    <xf numFmtId="0" fontId="161" fillId="0" borderId="215" xfId="20382" applyFont="1" applyFill="1" applyBorder="1" applyAlignment="1">
      <alignment horizontal="centerContinuous"/>
    </xf>
    <xf numFmtId="0" fontId="170" fillId="72" borderId="216" xfId="20382" applyFont="1" applyFill="1" applyBorder="1"/>
    <xf numFmtId="0" fontId="158" fillId="0" borderId="0" xfId="20382" applyFont="1" applyAlignment="1">
      <alignment wrapText="1"/>
    </xf>
    <xf numFmtId="0" fontId="170" fillId="72" borderId="211" xfId="20382" applyFont="1" applyFill="1" applyBorder="1" applyAlignment="1">
      <alignment horizontal="right" wrapText="1"/>
    </xf>
    <xf numFmtId="0" fontId="170" fillId="72" borderId="212" xfId="20382" applyFont="1" applyFill="1" applyBorder="1" applyAlignment="1">
      <alignment horizontal="right" wrapText="1"/>
    </xf>
    <xf numFmtId="0" fontId="170" fillId="72" borderId="213" xfId="20382" applyFont="1" applyFill="1" applyBorder="1" applyAlignment="1">
      <alignment horizontal="right" wrapText="1"/>
    </xf>
    <xf numFmtId="0" fontId="161" fillId="0" borderId="0" xfId="20382" applyFont="1" applyFill="1" applyBorder="1" applyAlignment="1">
      <alignment horizontal="center" wrapText="1"/>
    </xf>
    <xf numFmtId="0" fontId="158" fillId="0" borderId="0" xfId="20382" applyFont="1" applyAlignment="1">
      <alignment horizontal="right" wrapText="1"/>
    </xf>
    <xf numFmtId="0" fontId="160" fillId="0" borderId="0" xfId="20382" applyFont="1" applyAlignment="1">
      <alignment horizontal="left"/>
    </xf>
    <xf numFmtId="169" fontId="30" fillId="0" borderId="0" xfId="20382" applyNumberFormat="1" applyFont="1"/>
    <xf numFmtId="169" fontId="158" fillId="0" borderId="0" xfId="20382" applyNumberFormat="1" applyFont="1"/>
    <xf numFmtId="167" fontId="239" fillId="0" borderId="0" xfId="20432" applyNumberFormat="1" applyFont="1" applyAlignment="1">
      <alignment horizontal="right"/>
    </xf>
    <xf numFmtId="340" fontId="158" fillId="0" borderId="0" xfId="20382" applyNumberFormat="1" applyFont="1" applyAlignment="1">
      <alignment horizontal="right"/>
    </xf>
    <xf numFmtId="169" fontId="160" fillId="0" borderId="0" xfId="20382" applyNumberFormat="1" applyFont="1"/>
    <xf numFmtId="169" fontId="160" fillId="0" borderId="210" xfId="20382" applyNumberFormat="1" applyFont="1" applyBorder="1"/>
    <xf numFmtId="169" fontId="160" fillId="0" borderId="0" xfId="20382" applyNumberFormat="1" applyFont="1" applyBorder="1"/>
    <xf numFmtId="0" fontId="158" fillId="0" borderId="0" xfId="20382" applyFont="1" applyFill="1" applyAlignment="1">
      <alignment horizontal="left" indent="1"/>
    </xf>
    <xf numFmtId="8" fontId="239" fillId="0" borderId="0" xfId="20382" applyNumberFormat="1" applyFont="1" applyBorder="1"/>
    <xf numFmtId="242" fontId="239" fillId="0" borderId="217" xfId="20438" applyNumberFormat="1" applyFont="1" applyBorder="1" applyAlignment="1">
      <alignment horizontal="right"/>
    </xf>
    <xf numFmtId="242" fontId="239" fillId="0" borderId="51" xfId="20438" applyNumberFormat="1" applyFont="1" applyBorder="1" applyAlignment="1">
      <alignment horizontal="right"/>
    </xf>
    <xf numFmtId="8" fontId="158" fillId="0" borderId="0" xfId="20382" applyNumberFormat="1" applyFont="1" applyFill="1" applyAlignment="1">
      <alignment horizontal="left" indent="1"/>
    </xf>
    <xf numFmtId="242" fontId="239" fillId="0" borderId="124" xfId="20382" applyNumberFormat="1" applyFont="1" applyBorder="1" applyAlignment="1">
      <alignment horizontal="right"/>
    </xf>
    <xf numFmtId="0" fontId="30" fillId="0" borderId="0" xfId="20382" applyFont="1" applyFill="1" applyAlignment="1">
      <alignment horizontal="left" indent="1"/>
    </xf>
    <xf numFmtId="8" fontId="158" fillId="0" borderId="0" xfId="20382" applyNumberFormat="1" applyFont="1"/>
    <xf numFmtId="0" fontId="158" fillId="0" borderId="45" xfId="20382" applyFont="1" applyBorder="1" applyAlignment="1">
      <alignment horizontal="right"/>
    </xf>
    <xf numFmtId="0" fontId="197" fillId="0" borderId="17" xfId="20382" applyFont="1" applyBorder="1"/>
    <xf numFmtId="8" fontId="239" fillId="0" borderId="0" xfId="20382" applyNumberFormat="1" applyFont="1" applyFill="1"/>
    <xf numFmtId="242" fontId="239" fillId="0" borderId="0" xfId="20438" applyNumberFormat="1" applyFont="1"/>
    <xf numFmtId="169" fontId="30" fillId="0" borderId="0" xfId="20382" applyNumberFormat="1" applyFont="1" applyFill="1"/>
    <xf numFmtId="0" fontId="30" fillId="0" borderId="0" xfId="20382" applyFont="1" applyFill="1" applyAlignment="1">
      <alignment wrapText="1"/>
    </xf>
    <xf numFmtId="0" fontId="176" fillId="72" borderId="216" xfId="20382" applyFont="1" applyFill="1" applyBorder="1"/>
    <xf numFmtId="0" fontId="176" fillId="72" borderId="211" xfId="20382" applyFont="1" applyFill="1" applyBorder="1" applyAlignment="1">
      <alignment horizontal="center" wrapText="1"/>
    </xf>
    <xf numFmtId="0" fontId="176" fillId="72" borderId="212" xfId="20382" applyFont="1" applyFill="1" applyBorder="1" applyAlignment="1">
      <alignment horizontal="center" wrapText="1"/>
    </xf>
    <xf numFmtId="0" fontId="176" fillId="72" borderId="213" xfId="20382" applyFont="1" applyFill="1" applyBorder="1" applyAlignment="1">
      <alignment horizontal="center" wrapText="1"/>
    </xf>
    <xf numFmtId="169" fontId="158" fillId="0" borderId="0" xfId="20382" applyNumberFormat="1" applyFont="1" applyAlignment="1">
      <alignment horizontal="right"/>
    </xf>
    <xf numFmtId="0" fontId="163" fillId="0" borderId="0" xfId="20382" applyFont="1" applyAlignment="1">
      <alignment horizontal="right"/>
    </xf>
    <xf numFmtId="0" fontId="161" fillId="0" borderId="216" xfId="20382" applyFont="1" applyFill="1" applyBorder="1" applyAlignment="1">
      <alignment horizontal="center" wrapText="1"/>
    </xf>
    <xf numFmtId="0" fontId="30" fillId="0" borderId="45" xfId="20382" applyFont="1" applyFill="1" applyBorder="1"/>
    <xf numFmtId="168" fontId="172" fillId="0" borderId="0" xfId="20382" applyNumberFormat="1" applyFont="1" applyAlignment="1">
      <alignment horizontal="right"/>
    </xf>
    <xf numFmtId="165" fontId="158" fillId="0" borderId="0" xfId="20383" applyNumberFormat="1" applyFont="1"/>
    <xf numFmtId="165" fontId="160" fillId="0" borderId="210" xfId="20382" applyNumberFormat="1" applyFont="1" applyBorder="1"/>
    <xf numFmtId="165" fontId="160" fillId="0" borderId="0" xfId="20383" applyNumberFormat="1" applyFont="1"/>
    <xf numFmtId="0" fontId="238" fillId="0" borderId="0" xfId="20382" applyFont="1" applyFill="1" applyBorder="1"/>
    <xf numFmtId="8" fontId="239" fillId="0" borderId="0" xfId="20382" applyNumberFormat="1" applyFont="1" applyFill="1" applyBorder="1"/>
    <xf numFmtId="8" fontId="158" fillId="0" borderId="0" xfId="20382" applyNumberFormat="1" applyFont="1" applyFill="1" applyBorder="1"/>
    <xf numFmtId="0" fontId="170" fillId="72" borderId="211" xfId="20382" applyFont="1" applyFill="1" applyBorder="1" applyAlignment="1">
      <alignment horizontal="left"/>
    </xf>
    <xf numFmtId="0" fontId="170" fillId="72" borderId="212" xfId="20382" applyFont="1" applyFill="1" applyBorder="1" applyAlignment="1">
      <alignment horizontal="center"/>
    </xf>
    <xf numFmtId="0" fontId="170" fillId="72" borderId="212" xfId="20382" applyFont="1" applyFill="1" applyBorder="1" applyAlignment="1">
      <alignment horizontal="right"/>
    </xf>
    <xf numFmtId="0" fontId="170" fillId="72" borderId="213" xfId="20382" applyFont="1" applyFill="1" applyBorder="1" applyAlignment="1">
      <alignment horizontal="right"/>
    </xf>
    <xf numFmtId="167" fontId="191" fillId="0" borderId="0" xfId="20432" applyNumberFormat="1" applyFont="1" applyFill="1" applyBorder="1"/>
    <xf numFmtId="169" fontId="30" fillId="0" borderId="0" xfId="20382" applyNumberFormat="1" applyFont="1" applyAlignment="1">
      <alignment horizontal="right"/>
    </xf>
    <xf numFmtId="169" fontId="239" fillId="0" borderId="0" xfId="20382" applyNumberFormat="1" applyFont="1" applyAlignment="1">
      <alignment horizontal="right"/>
    </xf>
    <xf numFmtId="169" fontId="162" fillId="0" borderId="0" xfId="20382" applyNumberFormat="1" applyFont="1"/>
    <xf numFmtId="8" fontId="158" fillId="0" borderId="0" xfId="20382" applyNumberFormat="1" applyFont="1" applyAlignment="1">
      <alignment horizontal="right"/>
    </xf>
    <xf numFmtId="0" fontId="158" fillId="29" borderId="0" xfId="20382" applyFont="1" applyFill="1" applyAlignment="1">
      <alignment horizontal="right"/>
    </xf>
    <xf numFmtId="165" fontId="158" fillId="0" borderId="0" xfId="20383" applyNumberFormat="1" applyFont="1" applyFill="1" applyBorder="1"/>
    <xf numFmtId="8" fontId="158" fillId="0" borderId="0" xfId="20382" applyNumberFormat="1" applyFont="1" applyFill="1" applyAlignment="1">
      <alignment horizontal="right"/>
    </xf>
    <xf numFmtId="169" fontId="158" fillId="0" borderId="45" xfId="20382" applyNumberFormat="1" applyFont="1" applyBorder="1" applyAlignment="1">
      <alignment horizontal="right"/>
    </xf>
    <xf numFmtId="169" fontId="160" fillId="0" borderId="0" xfId="20382" applyNumberFormat="1" applyFont="1" applyAlignment="1">
      <alignment horizontal="right"/>
    </xf>
    <xf numFmtId="43" fontId="197" fillId="0" borderId="0" xfId="20382" applyNumberFormat="1" applyFont="1" applyBorder="1"/>
    <xf numFmtId="167" fontId="158" fillId="0" borderId="0" xfId="20382" applyNumberFormat="1" applyFont="1"/>
    <xf numFmtId="0" fontId="158" fillId="0" borderId="0" xfId="20382" quotePrefix="1" applyFont="1" applyAlignment="1">
      <alignment horizontal="left"/>
    </xf>
    <xf numFmtId="0" fontId="30" fillId="0" borderId="0" xfId="20382" applyFont="1" applyBorder="1" applyAlignment="1">
      <alignment horizontal="center"/>
    </xf>
    <xf numFmtId="0" fontId="238" fillId="0" borderId="216" xfId="20382" applyFont="1" applyBorder="1"/>
    <xf numFmtId="0" fontId="158" fillId="0" borderId="158" xfId="20382" applyFont="1" applyBorder="1"/>
    <xf numFmtId="0" fontId="158" fillId="0" borderId="40" xfId="20382" applyFont="1" applyBorder="1"/>
    <xf numFmtId="0" fontId="158" fillId="0" borderId="159" xfId="20382" applyFont="1" applyBorder="1"/>
    <xf numFmtId="165" fontId="191" fillId="0" borderId="0" xfId="20382" applyNumberFormat="1" applyFont="1"/>
    <xf numFmtId="0" fontId="158" fillId="0" borderId="160" xfId="20382" applyFont="1" applyBorder="1"/>
    <xf numFmtId="0" fontId="158" fillId="0" borderId="161" xfId="20382" applyFont="1" applyBorder="1"/>
    <xf numFmtId="0" fontId="158" fillId="0" borderId="163" xfId="20382" applyFont="1" applyBorder="1"/>
    <xf numFmtId="0" fontId="158" fillId="0" borderId="18" xfId="20382" applyFont="1" applyBorder="1"/>
    <xf numFmtId="0" fontId="158" fillId="0" borderId="164" xfId="20382" applyFont="1" applyBorder="1"/>
    <xf numFmtId="10" fontId="191" fillId="0" borderId="0" xfId="20382" applyNumberFormat="1" applyFont="1"/>
    <xf numFmtId="8" fontId="158" fillId="0" borderId="0" xfId="20382" applyNumberFormat="1" applyFont="1" applyBorder="1"/>
    <xf numFmtId="43" fontId="158" fillId="74" borderId="0" xfId="20382" applyNumberFormat="1" applyFont="1" applyFill="1"/>
    <xf numFmtId="0" fontId="158" fillId="0" borderId="178" xfId="0" applyFont="1" applyBorder="1" applyAlignment="1">
      <alignment horizontal="justify" vertical="top" wrapText="1"/>
    </xf>
    <xf numFmtId="165" fontId="191" fillId="0" borderId="0" xfId="20434" applyNumberFormat="1" applyFont="1" applyFill="1" applyBorder="1" applyAlignment="1">
      <alignment horizontal="right" vertical="top" wrapText="1"/>
    </xf>
    <xf numFmtId="165" fontId="30" fillId="0" borderId="0" xfId="20434" applyNumberFormat="1" applyFont="1" applyFill="1" applyBorder="1" applyAlignment="1">
      <alignment horizontal="right" vertical="top" wrapText="1"/>
    </xf>
    <xf numFmtId="167" fontId="191" fillId="0" borderId="0" xfId="20433" applyNumberFormat="1" applyFont="1" applyBorder="1" applyAlignment="1">
      <alignment vertical="top"/>
    </xf>
    <xf numFmtId="167" fontId="158" fillId="0" borderId="0" xfId="20382" applyNumberFormat="1" applyFont="1" applyBorder="1" applyAlignment="1">
      <alignment vertical="top"/>
    </xf>
    <xf numFmtId="43" fontId="158" fillId="0" borderId="0" xfId="20382" applyNumberFormat="1" applyFont="1" applyBorder="1" applyAlignment="1">
      <alignment vertical="top"/>
    </xf>
    <xf numFmtId="0" fontId="160" fillId="0" borderId="211" xfId="20382" applyFont="1" applyBorder="1" applyAlignment="1">
      <alignment horizontal="justify"/>
    </xf>
    <xf numFmtId="0" fontId="160" fillId="0" borderId="0" xfId="20435" applyFont="1" applyBorder="1"/>
    <xf numFmtId="0" fontId="160" fillId="0" borderId="219" xfId="20382" applyFont="1" applyBorder="1"/>
    <xf numFmtId="165" fontId="239" fillId="0" borderId="0" xfId="20382" applyNumberFormat="1" applyFont="1" applyFill="1" applyBorder="1"/>
    <xf numFmtId="0" fontId="158" fillId="0" borderId="210" xfId="20382" applyFont="1" applyBorder="1"/>
    <xf numFmtId="0" fontId="158" fillId="0" borderId="93" xfId="20382" applyFont="1" applyBorder="1"/>
    <xf numFmtId="0" fontId="160" fillId="0" borderId="210" xfId="20382" applyFont="1" applyBorder="1"/>
    <xf numFmtId="0" fontId="160" fillId="0" borderId="211" xfId="20435" applyFont="1" applyBorder="1"/>
    <xf numFmtId="0" fontId="180" fillId="0" borderId="216" xfId="20382" applyBorder="1"/>
    <xf numFmtId="167" fontId="160" fillId="0" borderId="216" xfId="20433" applyNumberFormat="1" applyFont="1" applyBorder="1"/>
    <xf numFmtId="0" fontId="176" fillId="72" borderId="213" xfId="20382" applyFont="1" applyFill="1" applyBorder="1" applyAlignment="1"/>
    <xf numFmtId="0" fontId="176" fillId="72" borderId="211" xfId="20382" applyFont="1" applyFill="1" applyBorder="1" applyAlignment="1"/>
    <xf numFmtId="0" fontId="158" fillId="0" borderId="61" xfId="20382" applyFont="1" applyBorder="1"/>
    <xf numFmtId="0" fontId="158" fillId="0" borderId="13" xfId="20382" applyFont="1" applyBorder="1"/>
    <xf numFmtId="0" fontId="160" fillId="0" borderId="216" xfId="20435" applyFont="1" applyBorder="1" applyAlignment="1">
      <alignment horizontal="right"/>
    </xf>
    <xf numFmtId="167" fontId="160" fillId="0" borderId="216" xfId="20433" applyNumberFormat="1" applyFont="1" applyBorder="1" applyAlignment="1">
      <alignment horizontal="right" wrapText="1"/>
    </xf>
    <xf numFmtId="0" fontId="158" fillId="0" borderId="61" xfId="20382" applyFont="1" applyFill="1" applyBorder="1" applyAlignment="1">
      <alignment horizontal="justify"/>
    </xf>
    <xf numFmtId="0" fontId="158" fillId="0" borderId="51" xfId="20435" applyFont="1" applyFill="1" applyBorder="1"/>
    <xf numFmtId="0" fontId="158" fillId="0" borderId="218" xfId="20435" applyFont="1" applyFill="1" applyBorder="1"/>
    <xf numFmtId="0" fontId="30" fillId="0" borderId="210" xfId="20382" applyFont="1" applyFill="1" applyBorder="1"/>
    <xf numFmtId="167" fontId="191" fillId="0" borderId="218" xfId="20433" applyNumberFormat="1" applyFont="1" applyFill="1" applyBorder="1"/>
    <xf numFmtId="0" fontId="30" fillId="0" borderId="0" xfId="20382" applyFont="1" applyFill="1" applyBorder="1"/>
    <xf numFmtId="167" fontId="191" fillId="0" borderId="51" xfId="20433" applyNumberFormat="1" applyFont="1" applyFill="1" applyBorder="1"/>
    <xf numFmtId="0" fontId="176" fillId="72" borderId="212" xfId="20382" applyFont="1" applyFill="1" applyBorder="1" applyAlignment="1"/>
    <xf numFmtId="0" fontId="160" fillId="0" borderId="219" xfId="20382" applyFont="1" applyBorder="1" applyAlignment="1">
      <alignment horizontal="centerContinuous"/>
    </xf>
    <xf numFmtId="0" fontId="158" fillId="0" borderId="215" xfId="20382" applyFont="1" applyBorder="1" applyAlignment="1">
      <alignment horizontal="centerContinuous"/>
    </xf>
    <xf numFmtId="0" fontId="160" fillId="0" borderId="216" xfId="20382" applyFont="1" applyBorder="1" applyAlignment="1">
      <alignment horizontal="centerContinuous"/>
    </xf>
    <xf numFmtId="0" fontId="160" fillId="0" borderId="216" xfId="20435" applyFont="1" applyBorder="1"/>
    <xf numFmtId="165" fontId="191" fillId="0" borderId="218" xfId="20433" applyNumberFormat="1" applyFont="1" applyBorder="1"/>
    <xf numFmtId="2" fontId="158" fillId="0" borderId="197" xfId="20382" applyNumberFormat="1" applyFont="1" applyBorder="1"/>
    <xf numFmtId="0" fontId="158" fillId="0" borderId="0" xfId="0" applyFont="1" applyAlignment="1">
      <alignment horizontal="left" vertical="top" wrapText="1"/>
    </xf>
    <xf numFmtId="0" fontId="161" fillId="0" borderId="221" xfId="20434" applyFont="1" applyFill="1" applyBorder="1" applyAlignment="1">
      <alignment horizontal="right" wrapText="1"/>
    </xf>
    <xf numFmtId="0" fontId="158" fillId="0" borderId="224" xfId="20382" applyFont="1" applyBorder="1"/>
    <xf numFmtId="43" fontId="158" fillId="0" borderId="61" xfId="12427" applyNumberFormat="1" applyFont="1" applyBorder="1" applyAlignment="1">
      <alignment horizontal="center" vertical="top"/>
    </xf>
    <xf numFmtId="0" fontId="158" fillId="0" borderId="61" xfId="20382" applyFont="1" applyBorder="1" applyAlignment="1">
      <alignment horizontal="justify" vertical="top"/>
    </xf>
    <xf numFmtId="0" fontId="160" fillId="0" borderId="225" xfId="20382" applyFont="1" applyBorder="1" applyAlignment="1">
      <alignment horizontal="justify"/>
    </xf>
    <xf numFmtId="0" fontId="158" fillId="0" borderId="225" xfId="20382" applyFont="1" applyBorder="1" applyAlignment="1">
      <alignment horizontal="justify" vertical="top"/>
    </xf>
    <xf numFmtId="164" fontId="191" fillId="0" borderId="51" xfId="20382" applyNumberFormat="1" applyFont="1" applyBorder="1" applyAlignment="1">
      <alignment vertical="top"/>
    </xf>
    <xf numFmtId="0" fontId="160" fillId="0" borderId="221" xfId="20382" applyFont="1" applyBorder="1" applyAlignment="1">
      <alignment horizontal="center"/>
    </xf>
    <xf numFmtId="0" fontId="158" fillId="0" borderId="223" xfId="20382" applyFont="1" applyBorder="1"/>
    <xf numFmtId="165" fontId="191" fillId="0" borderId="223" xfId="20434" applyNumberFormat="1" applyFont="1" applyFill="1" applyBorder="1" applyAlignment="1">
      <alignment horizontal="right" vertical="top" wrapText="1"/>
    </xf>
    <xf numFmtId="165" fontId="30" fillId="0" borderId="223" xfId="20434" applyNumberFormat="1" applyFont="1" applyFill="1" applyBorder="1" applyAlignment="1">
      <alignment horizontal="right" vertical="top" wrapText="1"/>
    </xf>
    <xf numFmtId="167" fontId="191" fillId="0" borderId="223" xfId="20433" applyNumberFormat="1" applyFont="1" applyBorder="1" applyAlignment="1">
      <alignment vertical="top"/>
    </xf>
    <xf numFmtId="167" fontId="158" fillId="0" borderId="223" xfId="20382" applyNumberFormat="1" applyFont="1" applyBorder="1" applyAlignment="1">
      <alignment vertical="top"/>
    </xf>
    <xf numFmtId="43" fontId="158" fillId="0" borderId="223" xfId="20382" applyNumberFormat="1" applyFont="1" applyBorder="1" applyAlignment="1">
      <alignment vertical="top"/>
    </xf>
    <xf numFmtId="167" fontId="160" fillId="0" borderId="226" xfId="20382" applyNumberFormat="1" applyFont="1" applyBorder="1" applyAlignment="1">
      <alignment horizontal="center" vertical="top"/>
    </xf>
    <xf numFmtId="167" fontId="239" fillId="0" borderId="0" xfId="20382" applyNumberFormat="1" applyFont="1"/>
    <xf numFmtId="367" fontId="239" fillId="0" borderId="0" xfId="20382" applyNumberFormat="1" applyFont="1" applyFill="1"/>
    <xf numFmtId="0" fontId="170" fillId="72" borderId="220" xfId="20382" applyFont="1" applyFill="1" applyBorder="1" applyAlignment="1">
      <alignment wrapText="1"/>
    </xf>
    <xf numFmtId="0" fontId="160" fillId="0" borderId="0" xfId="20382" applyFont="1" applyBorder="1" applyAlignment="1">
      <alignment horizontal="justify"/>
    </xf>
    <xf numFmtId="167" fontId="160" fillId="0" borderId="0" xfId="20382" applyNumberFormat="1" applyFont="1" applyBorder="1" applyAlignment="1">
      <alignment horizontal="center" vertical="top"/>
    </xf>
    <xf numFmtId="0" fontId="161" fillId="0" borderId="211" xfId="20382" applyFont="1" applyBorder="1"/>
    <xf numFmtId="0" fontId="160" fillId="0" borderId="216" xfId="20382" applyFont="1" applyBorder="1" applyAlignment="1">
      <alignment horizontal="center"/>
    </xf>
    <xf numFmtId="167" fontId="191" fillId="0" borderId="0" xfId="20433" applyNumberFormat="1" applyFont="1" applyFill="1" applyBorder="1" applyAlignment="1">
      <alignment vertical="top"/>
    </xf>
    <xf numFmtId="167" fontId="158" fillId="0" borderId="0" xfId="20382" applyNumberFormat="1" applyFont="1" applyFill="1" applyBorder="1" applyAlignment="1">
      <alignment vertical="top"/>
    </xf>
    <xf numFmtId="43" fontId="158" fillId="0" borderId="0" xfId="20382" applyNumberFormat="1" applyFont="1" applyFill="1" applyBorder="1" applyAlignment="1">
      <alignment vertical="top"/>
    </xf>
    <xf numFmtId="167" fontId="160" fillId="0" borderId="0" xfId="20382" applyNumberFormat="1" applyFont="1" applyFill="1" applyBorder="1" applyAlignment="1">
      <alignment horizontal="center" vertical="top"/>
    </xf>
    <xf numFmtId="247" fontId="191" fillId="0" borderId="222" xfId="20433" applyNumberFormat="1" applyFont="1" applyFill="1" applyBorder="1"/>
    <xf numFmtId="0" fontId="158" fillId="0" borderId="225" xfId="20382" applyFont="1" applyBorder="1" applyAlignment="1">
      <alignment horizontal="justify"/>
    </xf>
    <xf numFmtId="167" fontId="191" fillId="0" borderId="93" xfId="20433" applyNumberFormat="1" applyFont="1" applyFill="1" applyBorder="1"/>
    <xf numFmtId="0" fontId="161" fillId="0" borderId="222" xfId="20382" applyFont="1" applyBorder="1"/>
    <xf numFmtId="0" fontId="160" fillId="0" borderId="222" xfId="20382" applyFont="1" applyBorder="1" applyAlignment="1">
      <alignment horizontal="right"/>
    </xf>
    <xf numFmtId="167" fontId="191" fillId="0" borderId="224" xfId="20433" applyNumberFormat="1" applyFont="1" applyFill="1" applyBorder="1"/>
    <xf numFmtId="167" fontId="191" fillId="0" borderId="13" xfId="20433" applyNumberFormat="1" applyFont="1" applyFill="1" applyBorder="1"/>
    <xf numFmtId="0" fontId="191" fillId="73" borderId="123" xfId="20382" applyFont="1" applyFill="1" applyBorder="1" applyAlignment="1">
      <alignment horizontal="center"/>
    </xf>
    <xf numFmtId="0" fontId="30" fillId="0" borderId="222" xfId="20382" applyFont="1" applyFill="1" applyBorder="1"/>
    <xf numFmtId="0" fontId="30" fillId="0" borderId="51" xfId="20382" applyFont="1" applyFill="1" applyBorder="1"/>
    <xf numFmtId="0" fontId="30" fillId="0" borderId="124" xfId="20382" applyFont="1" applyFill="1" applyBorder="1"/>
    <xf numFmtId="0" fontId="170" fillId="72" borderId="225" xfId="20382" applyFont="1" applyFill="1" applyBorder="1" applyAlignment="1">
      <alignment wrapText="1"/>
    </xf>
    <xf numFmtId="0" fontId="170" fillId="72" borderId="224" xfId="20382" applyFont="1" applyFill="1" applyBorder="1" applyAlignment="1">
      <alignment wrapText="1"/>
    </xf>
    <xf numFmtId="43" fontId="160" fillId="0" borderId="220" xfId="20432" applyNumberFormat="1" applyFont="1" applyBorder="1"/>
    <xf numFmtId="0" fontId="160" fillId="0" borderId="211" xfId="20382" applyFont="1" applyBorder="1"/>
    <xf numFmtId="43" fontId="160" fillId="0" borderId="220" xfId="20382" applyNumberFormat="1" applyFont="1" applyBorder="1"/>
    <xf numFmtId="2" fontId="160" fillId="0" borderId="0" xfId="20382" applyNumberFormat="1" applyFont="1" applyFill="1" applyBorder="1"/>
    <xf numFmtId="0" fontId="170" fillId="72" borderId="93" xfId="20382" applyFont="1" applyFill="1" applyBorder="1" applyAlignment="1">
      <alignment horizontal="right" wrapText="1"/>
    </xf>
    <xf numFmtId="0" fontId="238" fillId="0" borderId="225" xfId="20382" applyFont="1" applyBorder="1"/>
    <xf numFmtId="167" fontId="160" fillId="0" borderId="226" xfId="20382" applyNumberFormat="1" applyFont="1" applyFill="1" applyBorder="1"/>
    <xf numFmtId="0" fontId="160" fillId="74" borderId="0" xfId="0" quotePrefix="1" applyFont="1" applyFill="1" applyBorder="1" applyAlignment="1">
      <alignment horizontal="left"/>
    </xf>
    <xf numFmtId="8" fontId="191" fillId="0" borderId="0" xfId="0" applyNumberFormat="1" applyFont="1"/>
    <xf numFmtId="165" fontId="30" fillId="0" borderId="0" xfId="12422" applyNumberFormat="1" applyFont="1"/>
    <xf numFmtId="0" fontId="161" fillId="0" borderId="228" xfId="0" applyFont="1" applyFill="1" applyBorder="1"/>
    <xf numFmtId="165" fontId="239" fillId="0" borderId="0" xfId="0" applyNumberFormat="1" applyFont="1" applyFill="1" applyAlignment="1">
      <alignment horizontal="center" vertical="top"/>
    </xf>
    <xf numFmtId="167" fontId="158" fillId="0" borderId="0" xfId="12427" applyNumberFormat="1" applyFont="1" applyAlignment="1">
      <alignment vertical="top"/>
    </xf>
    <xf numFmtId="0" fontId="160" fillId="0" borderId="229" xfId="0" applyFont="1" applyBorder="1"/>
    <xf numFmtId="0" fontId="160" fillId="0" borderId="227" xfId="0" applyFont="1" applyBorder="1" applyAlignment="1">
      <alignment horizontal="right"/>
    </xf>
    <xf numFmtId="0" fontId="160" fillId="0" borderId="230" xfId="0" applyFont="1" applyBorder="1" applyAlignment="1">
      <alignment horizontal="right"/>
    </xf>
    <xf numFmtId="164" fontId="158" fillId="0" borderId="45" xfId="0" applyNumberFormat="1" applyFont="1" applyBorder="1" applyAlignment="1">
      <alignment horizontal="right"/>
    </xf>
    <xf numFmtId="0" fontId="158" fillId="0" borderId="227" xfId="0" applyFont="1" applyBorder="1"/>
    <xf numFmtId="169" fontId="30" fillId="0" borderId="13" xfId="0" applyNumberFormat="1" applyFont="1" applyFill="1" applyBorder="1"/>
    <xf numFmtId="169" fontId="30" fillId="0" borderId="93" xfId="0" applyNumberFormat="1" applyFont="1" applyFill="1" applyBorder="1"/>
    <xf numFmtId="0" fontId="170" fillId="72" borderId="31" xfId="0" applyFont="1" applyFill="1" applyBorder="1" applyAlignment="1">
      <alignment horizontal="right"/>
    </xf>
    <xf numFmtId="165" fontId="174" fillId="71" borderId="223" xfId="0" applyNumberFormat="1" applyFont="1" applyFill="1" applyBorder="1"/>
    <xf numFmtId="8" fontId="239" fillId="0" borderId="0" xfId="0" applyNumberFormat="1" applyFont="1" applyFill="1" applyBorder="1"/>
    <xf numFmtId="0" fontId="160" fillId="0" borderId="171" xfId="0" applyFont="1" applyBorder="1" applyAlignment="1">
      <alignment horizontal="right"/>
    </xf>
    <xf numFmtId="0" fontId="160" fillId="0" borderId="172" xfId="0" applyFont="1" applyBorder="1" applyAlignment="1">
      <alignment horizontal="right"/>
    </xf>
    <xf numFmtId="169" fontId="196" fillId="0" borderId="223" xfId="0" applyNumberFormat="1" applyFont="1" applyFill="1" applyBorder="1"/>
    <xf numFmtId="8" fontId="191" fillId="0" borderId="0" xfId="0" applyNumberFormat="1" applyFont="1" applyFill="1" applyBorder="1"/>
    <xf numFmtId="0" fontId="158" fillId="93" borderId="221" xfId="12427" applyNumberFormat="1" applyFont="1" applyFill="1" applyBorder="1"/>
    <xf numFmtId="0" fontId="199" fillId="0" borderId="223" xfId="0" applyFont="1" applyBorder="1" applyAlignment="1">
      <alignment horizontal="centerContinuous"/>
    </xf>
    <xf numFmtId="0" fontId="202" fillId="0" borderId="223" xfId="0" applyFont="1" applyBorder="1" applyAlignment="1">
      <alignment horizontal="left" wrapText="1"/>
    </xf>
    <xf numFmtId="0" fontId="199" fillId="0" borderId="221" xfId="0" applyFont="1" applyBorder="1" applyAlignment="1">
      <alignment horizontal="centerContinuous"/>
    </xf>
    <xf numFmtId="0" fontId="158" fillId="0" borderId="124" xfId="0" applyFont="1" applyBorder="1"/>
    <xf numFmtId="0" fontId="170" fillId="72" borderId="45" xfId="20382" quotePrefix="1" applyFont="1" applyFill="1" applyBorder="1" applyAlignment="1">
      <alignment horizontal="right" wrapText="1"/>
    </xf>
    <xf numFmtId="43" fontId="160" fillId="0" borderId="227" xfId="20382" applyNumberFormat="1" applyFont="1" applyBorder="1"/>
    <xf numFmtId="0" fontId="158" fillId="0" borderId="61" xfId="20382" applyNumberFormat="1" applyFont="1" applyFill="1" applyBorder="1" applyAlignment="1">
      <alignment horizontal="center"/>
    </xf>
    <xf numFmtId="0" fontId="158" fillId="0" borderId="124" xfId="20382" applyNumberFormat="1" applyFont="1" applyFill="1" applyBorder="1" applyAlignment="1">
      <alignment horizontal="center"/>
    </xf>
    <xf numFmtId="247" fontId="30" fillId="0" borderId="51" xfId="20433" applyNumberFormat="1" applyFont="1" applyFill="1" applyBorder="1"/>
    <xf numFmtId="247" fontId="30" fillId="0" borderId="124" xfId="20433" applyNumberFormat="1" applyFont="1" applyFill="1" applyBorder="1"/>
    <xf numFmtId="0" fontId="191" fillId="0" borderId="61" xfId="20382" applyFont="1" applyBorder="1" applyAlignment="1">
      <alignment horizontal="center" wrapText="1"/>
    </xf>
    <xf numFmtId="167" fontId="160" fillId="71" borderId="230" xfId="12427" applyNumberFormat="1" applyFont="1" applyFill="1" applyBorder="1"/>
    <xf numFmtId="165" fontId="158" fillId="0" borderId="0" xfId="0" applyNumberFormat="1" applyFont="1" applyFill="1" applyAlignment="1">
      <alignment horizontal="right"/>
    </xf>
    <xf numFmtId="165" fontId="196" fillId="0" borderId="0" xfId="12422" applyNumberFormat="1" applyFont="1"/>
    <xf numFmtId="0" fontId="158" fillId="0" borderId="0" xfId="0" applyFont="1" applyFill="1" applyAlignment="1">
      <alignment horizontal="right" vertical="top" wrapText="1"/>
    </xf>
    <xf numFmtId="165" fontId="158" fillId="0" borderId="0" xfId="0" applyNumberFormat="1" applyFont="1" applyAlignment="1">
      <alignment horizontal="right" vertical="top"/>
    </xf>
    <xf numFmtId="0" fontId="160" fillId="0" borderId="221" xfId="20382" applyFont="1" applyBorder="1" applyAlignment="1">
      <alignment horizontal="right"/>
    </xf>
    <xf numFmtId="165" fontId="158" fillId="0" borderId="45" xfId="12422" applyNumberFormat="1" applyFont="1" applyBorder="1"/>
    <xf numFmtId="165" fontId="160" fillId="0" borderId="0" xfId="12422" applyNumberFormat="1" applyFont="1"/>
    <xf numFmtId="0" fontId="199" fillId="0" borderId="0" xfId="20440" applyFont="1" applyFill="1" applyAlignment="1">
      <alignment vertical="top"/>
    </xf>
    <xf numFmtId="0" fontId="166" fillId="0" borderId="192" xfId="20440" applyFont="1" applyBorder="1"/>
    <xf numFmtId="0" fontId="199" fillId="0" borderId="0" xfId="20440" applyFont="1" applyAlignment="1">
      <alignment horizontal="right" vertical="top"/>
    </xf>
    <xf numFmtId="0" fontId="186" fillId="0" borderId="0" xfId="20440" applyFont="1" applyFill="1" applyAlignment="1">
      <alignment horizontal="left"/>
    </xf>
    <xf numFmtId="0" fontId="186" fillId="0" borderId="0" xfId="20440" applyFont="1"/>
    <xf numFmtId="0" fontId="186" fillId="0" borderId="0" xfId="20440" applyFont="1" applyFill="1" applyBorder="1" applyAlignment="1">
      <alignment horizontal="left" vertical="top"/>
    </xf>
    <xf numFmtId="43" fontId="278" fillId="94" borderId="193" xfId="20441" applyFont="1" applyFill="1" applyBorder="1" applyAlignment="1">
      <alignment horizontal="left"/>
    </xf>
    <xf numFmtId="43" fontId="251" fillId="0" borderId="0" xfId="20441" applyFont="1" applyFill="1" applyBorder="1" applyAlignment="1">
      <alignment horizontal="left"/>
    </xf>
    <xf numFmtId="0" fontId="158" fillId="0" borderId="0" xfId="20440" applyFont="1" applyFill="1"/>
    <xf numFmtId="0" fontId="176" fillId="72" borderId="211" xfId="20440" quotePrefix="1" applyFont="1" applyFill="1" applyBorder="1"/>
    <xf numFmtId="0" fontId="173" fillId="72" borderId="223" xfId="20440" applyFont="1" applyFill="1" applyBorder="1"/>
    <xf numFmtId="0" fontId="173" fillId="72" borderId="226" xfId="20440" applyFont="1" applyFill="1" applyBorder="1"/>
    <xf numFmtId="0" fontId="30" fillId="0" borderId="0" xfId="11846" applyFont="1" applyBorder="1"/>
    <xf numFmtId="0" fontId="176" fillId="72" borderId="231" xfId="20431" applyNumberFormat="1" applyFont="1" applyFill="1" applyBorder="1" applyAlignment="1">
      <alignment horizontal="left"/>
    </xf>
    <xf numFmtId="0" fontId="176" fillId="72" borderId="232" xfId="20431" applyNumberFormat="1" applyFont="1" applyFill="1" applyBorder="1" applyAlignment="1">
      <alignment horizontal="centerContinuous"/>
    </xf>
    <xf numFmtId="0" fontId="176" fillId="72" borderId="228" xfId="20431" applyNumberFormat="1" applyFont="1" applyFill="1" applyBorder="1" applyAlignment="1">
      <alignment horizontal="centerContinuous"/>
    </xf>
    <xf numFmtId="0" fontId="176" fillId="72" borderId="51" xfId="20431" applyNumberFormat="1" applyFont="1" applyFill="1" applyBorder="1" applyAlignment="1">
      <alignment horizontal="center"/>
    </xf>
    <xf numFmtId="0" fontId="176" fillId="72" borderId="211" xfId="20431" applyNumberFormat="1" applyFont="1" applyFill="1" applyBorder="1" applyAlignment="1">
      <alignment horizontal="center"/>
    </xf>
    <xf numFmtId="0" fontId="176" fillId="72" borderId="232" xfId="20431" applyNumberFormat="1" applyFont="1" applyFill="1" applyBorder="1" applyAlignment="1">
      <alignment horizontal="center"/>
    </xf>
    <xf numFmtId="0" fontId="176" fillId="72" borderId="228" xfId="20431" applyNumberFormat="1" applyFont="1" applyFill="1" applyBorder="1" applyAlignment="1">
      <alignment horizontal="center"/>
    </xf>
    <xf numFmtId="0" fontId="30" fillId="0" borderId="231" xfId="11846" applyFont="1" applyBorder="1"/>
    <xf numFmtId="165" fontId="30" fillId="0" borderId="227" xfId="11846" applyNumberFormat="1" applyFont="1" applyBorder="1" applyAlignment="1">
      <alignment horizontal="center"/>
    </xf>
    <xf numFmtId="165" fontId="30" fillId="0" borderId="230" xfId="11846" applyNumberFormat="1" applyFont="1" applyBorder="1" applyAlignment="1">
      <alignment horizontal="center"/>
    </xf>
    <xf numFmtId="0" fontId="30" fillId="0" borderId="51" xfId="11846" applyFont="1" applyBorder="1"/>
    <xf numFmtId="165" fontId="30" fillId="0" borderId="0" xfId="11846" applyNumberFormat="1" applyFont="1" applyBorder="1" applyAlignment="1">
      <alignment horizontal="center"/>
    </xf>
    <xf numFmtId="165" fontId="30" fillId="0" borderId="13" xfId="11846" applyNumberFormat="1" applyFont="1" applyBorder="1" applyAlignment="1">
      <alignment horizontal="center"/>
    </xf>
    <xf numFmtId="0" fontId="30" fillId="0" borderId="124" xfId="11846" applyFont="1" applyBorder="1"/>
    <xf numFmtId="165" fontId="30" fillId="0" borderId="45" xfId="11846" applyNumberFormat="1" applyFont="1" applyBorder="1" applyAlignment="1">
      <alignment horizontal="center"/>
    </xf>
    <xf numFmtId="165" fontId="30" fillId="0" borderId="93" xfId="11846" applyNumberFormat="1" applyFont="1" applyBorder="1" applyAlignment="1">
      <alignment horizontal="center"/>
    </xf>
    <xf numFmtId="0" fontId="176" fillId="72" borderId="211" xfId="20440" quotePrefix="1" applyFont="1" applyFill="1" applyBorder="1" applyAlignment="1">
      <alignment vertical="center"/>
    </xf>
    <xf numFmtId="0" fontId="173" fillId="72" borderId="232" xfId="20440" applyFont="1" applyFill="1" applyBorder="1" applyAlignment="1">
      <alignment vertical="center"/>
    </xf>
    <xf numFmtId="0" fontId="173" fillId="72" borderId="228" xfId="20440" applyFont="1" applyFill="1" applyBorder="1" applyAlignment="1">
      <alignment vertical="center"/>
    </xf>
    <xf numFmtId="0" fontId="176" fillId="72" borderId="221" xfId="20431" applyNumberFormat="1" applyFont="1" applyFill="1" applyBorder="1" applyAlignment="1">
      <alignment horizontal="left"/>
    </xf>
    <xf numFmtId="0" fontId="176" fillId="72" borderId="221" xfId="20431" applyNumberFormat="1" applyFont="1" applyFill="1" applyBorder="1" applyAlignment="1">
      <alignment horizontal="centerContinuous"/>
    </xf>
    <xf numFmtId="0" fontId="173" fillId="72" borderId="232" xfId="20440" applyFont="1" applyFill="1" applyBorder="1"/>
    <xf numFmtId="0" fontId="173" fillId="72" borderId="228" xfId="20440" applyFont="1" applyFill="1" applyBorder="1"/>
    <xf numFmtId="0" fontId="158" fillId="0" borderId="0" xfId="0" quotePrefix="1" applyFont="1" applyFill="1" applyAlignment="1">
      <alignment horizontal="center" vertical="top"/>
    </xf>
    <xf numFmtId="0" fontId="30" fillId="0" borderId="0" xfId="0" quotePrefix="1" applyFont="1" applyFill="1" applyAlignment="1">
      <alignment horizontal="justify" vertical="top" wrapText="1"/>
    </xf>
    <xf numFmtId="0" fontId="158" fillId="0" borderId="0" xfId="0" quotePrefix="1" applyFont="1" applyFill="1" applyAlignment="1">
      <alignment horizontal="justify" vertical="top" wrapText="1"/>
    </xf>
    <xf numFmtId="0" fontId="30" fillId="0" borderId="0" xfId="0" quotePrefix="1" applyFont="1" applyFill="1" applyAlignment="1">
      <alignment vertical="top" wrapText="1"/>
    </xf>
    <xf numFmtId="43" fontId="158" fillId="0" borderId="0" xfId="20382" applyNumberFormat="1" applyFont="1" applyFill="1" applyAlignment="1">
      <alignment horizontal="center"/>
    </xf>
    <xf numFmtId="234" fontId="191" fillId="0" borderId="0" xfId="0" applyNumberFormat="1" applyFont="1" applyFill="1" applyAlignment="1">
      <alignment horizontal="right"/>
    </xf>
    <xf numFmtId="14" fontId="158" fillId="0" borderId="0" xfId="0" applyNumberFormat="1" applyFont="1"/>
    <xf numFmtId="0" fontId="158" fillId="0" borderId="229" xfId="0" applyFont="1" applyBorder="1" applyAlignment="1">
      <alignment horizontal="center"/>
    </xf>
    <xf numFmtId="14" fontId="158" fillId="0" borderId="230" xfId="0" applyNumberFormat="1" applyFont="1" applyBorder="1" applyAlignment="1">
      <alignment horizontal="center"/>
    </xf>
    <xf numFmtId="0" fontId="158" fillId="0" borderId="123" xfId="0" applyFont="1" applyBorder="1" applyAlignment="1">
      <alignment horizontal="center" wrapText="1"/>
    </xf>
    <xf numFmtId="0" fontId="158" fillId="0" borderId="93" xfId="0" applyFont="1" applyBorder="1" applyAlignment="1">
      <alignment horizontal="center" wrapText="1"/>
    </xf>
    <xf numFmtId="0" fontId="158" fillId="0" borderId="230" xfId="0" applyFont="1" applyBorder="1"/>
    <xf numFmtId="0" fontId="158" fillId="0" borderId="13" xfId="0" applyFont="1" applyBorder="1" applyAlignment="1">
      <alignment wrapText="1"/>
    </xf>
    <xf numFmtId="167" fontId="35" fillId="0" borderId="0" xfId="12425" applyNumberFormat="1" applyFont="1" applyFill="1" applyBorder="1" applyAlignment="1">
      <alignment horizontal="center"/>
    </xf>
    <xf numFmtId="0" fontId="35" fillId="0" borderId="61" xfId="11828" applyFont="1" applyFill="1" applyBorder="1" applyAlignment="1">
      <alignment horizontal="left"/>
    </xf>
    <xf numFmtId="167" fontId="35" fillId="0" borderId="13" xfId="12425" applyNumberFormat="1" applyFont="1" applyFill="1" applyBorder="1" applyAlignment="1">
      <alignment horizontal="center"/>
    </xf>
    <xf numFmtId="0" fontId="158" fillId="0" borderId="227" xfId="0" applyFont="1" applyBorder="1" applyAlignment="1">
      <alignment horizontal="center"/>
    </xf>
    <xf numFmtId="0" fontId="158" fillId="0" borderId="230" xfId="0" applyFont="1" applyBorder="1" applyAlignment="1">
      <alignment horizontal="center"/>
    </xf>
    <xf numFmtId="14" fontId="158" fillId="0" borderId="123" xfId="0" applyNumberFormat="1" applyFont="1" applyBorder="1" applyAlignment="1">
      <alignment horizontal="center"/>
    </xf>
    <xf numFmtId="0" fontId="158" fillId="0" borderId="211" xfId="0" applyFont="1" applyBorder="1"/>
    <xf numFmtId="0" fontId="158" fillId="0" borderId="232" xfId="0" applyFont="1" applyBorder="1"/>
    <xf numFmtId="167" fontId="158" fillId="0" borderId="232" xfId="0" applyNumberFormat="1" applyFont="1" applyBorder="1"/>
    <xf numFmtId="0" fontId="158" fillId="0" borderId="228" xfId="0" applyFont="1" applyBorder="1"/>
    <xf numFmtId="0" fontId="3" fillId="0" borderId="0" xfId="20442" applyFont="1" applyFill="1" applyBorder="1" applyProtection="1"/>
    <xf numFmtId="0" fontId="3" fillId="0" borderId="0" xfId="20442" applyFont="1" applyBorder="1" applyProtection="1"/>
    <xf numFmtId="247" fontId="160" fillId="0" borderId="0" xfId="20442" applyNumberFormat="1" applyFont="1" applyFill="1" applyBorder="1" applyProtection="1"/>
    <xf numFmtId="0" fontId="158" fillId="0" borderId="0" xfId="20442" applyFont="1" applyFill="1" applyBorder="1" applyProtection="1"/>
    <xf numFmtId="43" fontId="164" fillId="68" borderId="57" xfId="11155" applyFont="1" applyFill="1" applyBorder="1" applyAlignment="1">
      <alignment horizontal="left"/>
    </xf>
    <xf numFmtId="0" fontId="158" fillId="0" borderId="0" xfId="20442" applyFont="1" applyBorder="1" applyProtection="1"/>
    <xf numFmtId="0" fontId="170" fillId="95" borderId="234" xfId="106" applyFont="1" applyFill="1" applyBorder="1" applyAlignment="1" applyProtection="1">
      <alignment horizontal="left" vertical="center" wrapText="1"/>
    </xf>
    <xf numFmtId="0" fontId="170" fillId="95" borderId="235" xfId="106" applyFont="1" applyFill="1" applyBorder="1" applyAlignment="1" applyProtection="1">
      <alignment horizontal="center" vertical="center" wrapText="1"/>
      <protection locked="0"/>
    </xf>
    <xf numFmtId="0" fontId="170" fillId="95" borderId="236" xfId="20442" applyFont="1" applyFill="1" applyBorder="1" applyAlignment="1" applyProtection="1">
      <alignment horizontal="center" vertical="center" wrapText="1"/>
      <protection locked="0"/>
    </xf>
    <xf numFmtId="0" fontId="175" fillId="95" borderId="0" xfId="20442" applyFont="1" applyFill="1" applyBorder="1" applyAlignment="1" applyProtection="1">
      <alignment horizontal="center" vertical="center"/>
    </xf>
    <xf numFmtId="0" fontId="161" fillId="0" borderId="0" xfId="20442" applyNumberFormat="1" applyFont="1" applyFill="1" applyBorder="1" applyAlignment="1">
      <alignment horizontal="left"/>
    </xf>
    <xf numFmtId="0" fontId="30" fillId="0" borderId="0" xfId="20442" applyNumberFormat="1" applyFont="1" applyFill="1" applyBorder="1" applyAlignment="1">
      <alignment horizontal="center"/>
    </xf>
    <xf numFmtId="0" fontId="160" fillId="0" borderId="0" xfId="20442" applyFont="1" applyBorder="1" applyAlignment="1" applyProtection="1">
      <alignment horizontal="left"/>
      <protection locked="0"/>
    </xf>
    <xf numFmtId="0" fontId="158" fillId="0" borderId="0" xfId="20442" applyFont="1" applyBorder="1" applyProtection="1">
      <protection locked="0"/>
    </xf>
    <xf numFmtId="165" fontId="158" fillId="0" borderId="0" xfId="20442" applyNumberFormat="1" applyFont="1" applyBorder="1" applyProtection="1">
      <protection locked="0"/>
    </xf>
    <xf numFmtId="0" fontId="161" fillId="0" borderId="234" xfId="20442" applyNumberFormat="1" applyFont="1" applyFill="1" applyBorder="1" applyAlignment="1">
      <alignment horizontal="left"/>
    </xf>
    <xf numFmtId="0" fontId="30" fillId="0" borderId="235" xfId="20442" applyNumberFormat="1" applyFont="1" applyFill="1" applyBorder="1" applyAlignment="1">
      <alignment horizontal="center"/>
    </xf>
    <xf numFmtId="0" fontId="160" fillId="0" borderId="236" xfId="20442" applyFont="1" applyBorder="1" applyAlignment="1" applyProtection="1">
      <alignment horizontal="left"/>
      <protection locked="0"/>
    </xf>
    <xf numFmtId="247" fontId="30" fillId="0" borderId="0" xfId="12427" applyNumberFormat="1" applyFont="1" applyFill="1" applyBorder="1" applyAlignment="1">
      <alignment horizontal="center"/>
    </xf>
    <xf numFmtId="247" fontId="30" fillId="0" borderId="0" xfId="12427" applyNumberFormat="1" applyFont="1" applyFill="1" applyBorder="1" applyAlignment="1">
      <alignment horizontal="center" vertical="center"/>
    </xf>
    <xf numFmtId="165" fontId="158" fillId="0" borderId="0" xfId="20443" applyNumberFormat="1" applyFont="1" applyFill="1" applyBorder="1" applyAlignment="1" applyProtection="1">
      <alignment horizontal="right"/>
      <protection locked="0"/>
    </xf>
    <xf numFmtId="0" fontId="158" fillId="0" borderId="0" xfId="20442" applyFont="1" applyFill="1" applyBorder="1" applyProtection="1">
      <protection locked="0"/>
    </xf>
    <xf numFmtId="165" fontId="158" fillId="0" borderId="0" xfId="20442" applyNumberFormat="1" applyFont="1" applyFill="1" applyBorder="1" applyProtection="1">
      <protection locked="0"/>
    </xf>
    <xf numFmtId="0" fontId="161" fillId="0" borderId="237" xfId="20442" applyFont="1" applyFill="1" applyBorder="1" applyAlignment="1">
      <alignment horizontal="left"/>
    </xf>
    <xf numFmtId="247" fontId="30" fillId="0" borderId="233" xfId="12427" applyNumberFormat="1" applyFont="1" applyFill="1" applyBorder="1" applyAlignment="1">
      <alignment horizontal="center"/>
    </xf>
    <xf numFmtId="247" fontId="30" fillId="0" borderId="233" xfId="12427" applyNumberFormat="1" applyFont="1" applyFill="1" applyBorder="1" applyAlignment="1">
      <alignment horizontal="center" vertical="center"/>
    </xf>
    <xf numFmtId="165" fontId="158" fillId="0" borderId="238" xfId="20443" applyNumberFormat="1" applyFont="1" applyFill="1" applyBorder="1" applyAlignment="1" applyProtection="1">
      <alignment horizontal="right"/>
      <protection locked="0"/>
    </xf>
    <xf numFmtId="0" fontId="160" fillId="0" borderId="234" xfId="20442" applyFont="1" applyFill="1" applyBorder="1" applyProtection="1">
      <protection locked="0"/>
    </xf>
    <xf numFmtId="0" fontId="158" fillId="0" borderId="235" xfId="20442" applyFont="1" applyFill="1" applyBorder="1" applyProtection="1">
      <protection locked="0"/>
    </xf>
    <xf numFmtId="0" fontId="158" fillId="0" borderId="236" xfId="20442" applyFont="1" applyFill="1" applyBorder="1" applyProtection="1">
      <protection locked="0"/>
    </xf>
    <xf numFmtId="3" fontId="161" fillId="0" borderId="61" xfId="20442" applyNumberFormat="1" applyFont="1" applyFill="1" applyBorder="1" applyAlignment="1">
      <alignment horizontal="left" vertical="center"/>
    </xf>
    <xf numFmtId="165" fontId="158" fillId="0" borderId="13" xfId="20443" applyNumberFormat="1" applyFont="1" applyFill="1" applyBorder="1" applyAlignment="1" applyProtection="1">
      <alignment horizontal="right"/>
      <protection locked="0"/>
    </xf>
    <xf numFmtId="0" fontId="158" fillId="0" borderId="61" xfId="20442" applyFont="1" applyFill="1" applyBorder="1" applyProtection="1">
      <protection locked="0"/>
    </xf>
    <xf numFmtId="0" fontId="158" fillId="0" borderId="13" xfId="20442" applyFont="1" applyFill="1" applyBorder="1" applyProtection="1">
      <protection locked="0"/>
    </xf>
    <xf numFmtId="0" fontId="30" fillId="0" borderId="61" xfId="20442" applyFont="1" applyFill="1" applyBorder="1" applyAlignment="1">
      <alignment horizontal="left"/>
    </xf>
    <xf numFmtId="169" fontId="30" fillId="0" borderId="0" xfId="0" applyNumberFormat="1" applyFont="1" applyBorder="1"/>
    <xf numFmtId="247" fontId="161" fillId="0" borderId="123" xfId="12427" applyNumberFormat="1" applyFont="1" applyFill="1" applyBorder="1" applyAlignment="1">
      <alignment horizontal="left" vertical="center"/>
    </xf>
    <xf numFmtId="169" fontId="161" fillId="0" borderId="45" xfId="0" applyNumberFormat="1" applyFont="1" applyBorder="1"/>
    <xf numFmtId="165" fontId="160" fillId="0" borderId="93" xfId="20443" applyNumberFormat="1" applyFont="1" applyBorder="1" applyAlignment="1" applyProtection="1">
      <alignment horizontal="right"/>
      <protection locked="0"/>
    </xf>
    <xf numFmtId="0" fontId="158" fillId="0" borderId="123" xfId="20442" applyFont="1" applyBorder="1" applyProtection="1">
      <protection locked="0"/>
    </xf>
    <xf numFmtId="0" fontId="158" fillId="0" borderId="45" xfId="20442" applyFont="1" applyBorder="1" applyProtection="1">
      <protection locked="0"/>
    </xf>
    <xf numFmtId="0" fontId="158" fillId="0" borderId="93" xfId="20442" applyFont="1" applyBorder="1" applyProtection="1">
      <protection locked="0"/>
    </xf>
    <xf numFmtId="3" fontId="161" fillId="71" borderId="237" xfId="20442" applyNumberFormat="1" applyFont="1" applyFill="1" applyBorder="1" applyAlignment="1">
      <alignment horizontal="left" vertical="center"/>
    </xf>
    <xf numFmtId="169" fontId="161" fillId="71" borderId="233" xfId="0" applyNumberFormat="1" applyFont="1" applyFill="1" applyBorder="1"/>
    <xf numFmtId="169" fontId="161" fillId="71" borderId="238" xfId="0" applyNumberFormat="1" applyFont="1" applyFill="1" applyBorder="1"/>
    <xf numFmtId="3" fontId="161" fillId="71" borderId="61" xfId="20442" applyNumberFormat="1" applyFont="1" applyFill="1" applyBorder="1" applyAlignment="1">
      <alignment horizontal="left" vertical="center"/>
    </xf>
    <xf numFmtId="165" fontId="160" fillId="71" borderId="0" xfId="12422" applyNumberFormat="1" applyFont="1" applyFill="1" applyBorder="1" applyProtection="1"/>
    <xf numFmtId="165" fontId="160" fillId="71" borderId="13" xfId="12422" applyNumberFormat="1" applyFont="1" applyFill="1" applyBorder="1" applyProtection="1"/>
    <xf numFmtId="165" fontId="160" fillId="0" borderId="0" xfId="12422" applyNumberFormat="1" applyFont="1" applyFill="1" applyBorder="1" applyProtection="1"/>
    <xf numFmtId="169" fontId="161" fillId="71" borderId="0" xfId="0" applyNumberFormat="1" applyFont="1" applyFill="1" applyBorder="1"/>
    <xf numFmtId="169" fontId="161" fillId="71" borderId="13" xfId="0" applyNumberFormat="1" applyFont="1" applyFill="1" applyBorder="1"/>
    <xf numFmtId="3" fontId="161" fillId="71" borderId="123" xfId="20442" applyNumberFormat="1" applyFont="1" applyFill="1" applyBorder="1" applyAlignment="1">
      <alignment horizontal="left" vertical="center"/>
    </xf>
    <xf numFmtId="165" fontId="160" fillId="71" borderId="45" xfId="12422" applyNumberFormat="1" applyFont="1" applyFill="1" applyBorder="1" applyProtection="1"/>
    <xf numFmtId="165" fontId="160" fillId="71" borderId="93" xfId="12422" applyNumberFormat="1" applyFont="1" applyFill="1" applyBorder="1" applyProtection="1"/>
    <xf numFmtId="3" fontId="161" fillId="0" borderId="0" xfId="20442" applyNumberFormat="1" applyFont="1" applyFill="1" applyBorder="1" applyAlignment="1">
      <alignment horizontal="left" vertical="center"/>
    </xf>
    <xf numFmtId="3" fontId="161" fillId="0" borderId="234" xfId="20442" applyNumberFormat="1" applyFont="1" applyFill="1" applyBorder="1" applyAlignment="1">
      <alignment horizontal="left" vertical="center"/>
    </xf>
    <xf numFmtId="247" fontId="160" fillId="0" borderId="235" xfId="20442" applyNumberFormat="1" applyFont="1" applyFill="1" applyBorder="1" applyProtection="1"/>
    <xf numFmtId="0" fontId="158" fillId="0" borderId="236" xfId="20442" applyFont="1" applyFill="1" applyBorder="1" applyProtection="1"/>
    <xf numFmtId="3" fontId="161" fillId="0" borderId="237" xfId="20442" applyNumberFormat="1" applyFont="1" applyFill="1" applyBorder="1" applyAlignment="1">
      <alignment horizontal="left" vertical="center"/>
    </xf>
    <xf numFmtId="247" fontId="160" fillId="0" borderId="233" xfId="20442" applyNumberFormat="1" applyFont="1" applyFill="1" applyBorder="1" applyProtection="1"/>
    <xf numFmtId="0" fontId="158" fillId="0" borderId="238" xfId="20442" applyFont="1" applyFill="1" applyBorder="1" applyProtection="1"/>
    <xf numFmtId="0" fontId="158" fillId="0" borderId="13" xfId="20442" applyFont="1" applyFill="1" applyBorder="1" applyProtection="1"/>
    <xf numFmtId="0" fontId="160" fillId="0" borderId="235" xfId="20442" applyFont="1" applyFill="1" applyBorder="1" applyProtection="1"/>
    <xf numFmtId="0" fontId="160" fillId="0" borderId="236" xfId="20442" applyFont="1" applyFill="1" applyBorder="1" applyProtection="1"/>
    <xf numFmtId="3" fontId="30" fillId="0" borderId="61" xfId="20442" applyNumberFormat="1" applyFont="1" applyFill="1" applyBorder="1" applyAlignment="1">
      <alignment horizontal="left" vertical="center"/>
    </xf>
    <xf numFmtId="0" fontId="158" fillId="0" borderId="61" xfId="20442" applyFont="1" applyFill="1" applyBorder="1" applyProtection="1"/>
    <xf numFmtId="169" fontId="30" fillId="73" borderId="0" xfId="0" applyNumberFormat="1" applyFont="1" applyFill="1" applyBorder="1" applyAlignment="1">
      <alignment horizontal="right"/>
    </xf>
    <xf numFmtId="247" fontId="160" fillId="0" borderId="61" xfId="20442" applyNumberFormat="1" applyFont="1" applyFill="1" applyBorder="1" applyProtection="1"/>
    <xf numFmtId="3" fontId="30" fillId="0" borderId="0" xfId="20442" applyNumberFormat="1" applyFont="1" applyFill="1" applyBorder="1" applyAlignment="1">
      <alignment horizontal="right" vertical="center"/>
    </xf>
    <xf numFmtId="3" fontId="161" fillId="0" borderId="123" xfId="20442" applyNumberFormat="1" applyFont="1" applyFill="1" applyBorder="1" applyAlignment="1">
      <alignment horizontal="left" vertical="center"/>
    </xf>
    <xf numFmtId="0" fontId="158" fillId="0" borderId="123" xfId="20442" applyFont="1" applyFill="1" applyBorder="1" applyProtection="1"/>
    <xf numFmtId="0" fontId="158" fillId="0" borderId="45" xfId="20442" applyFont="1" applyFill="1" applyBorder="1" applyProtection="1"/>
    <xf numFmtId="0" fontId="158" fillId="0" borderId="93" xfId="20442" applyFont="1" applyFill="1" applyBorder="1" applyProtection="1"/>
    <xf numFmtId="43" fontId="197" fillId="0" borderId="0" xfId="12427" applyFont="1" applyFill="1" applyBorder="1" applyProtection="1"/>
    <xf numFmtId="0" fontId="238" fillId="0" borderId="234" xfId="20442" applyFont="1" applyFill="1" applyBorder="1" applyProtection="1"/>
    <xf numFmtId="0" fontId="238" fillId="0" borderId="236" xfId="20442" applyFont="1" applyFill="1" applyBorder="1" applyProtection="1"/>
    <xf numFmtId="0" fontId="238" fillId="0" borderId="0" xfId="20442" applyFont="1" applyFill="1" applyBorder="1" applyProtection="1"/>
    <xf numFmtId="3" fontId="258" fillId="0" borderId="0" xfId="20442" applyNumberFormat="1" applyFont="1" applyFill="1" applyBorder="1" applyAlignment="1">
      <alignment horizontal="left" vertical="center"/>
    </xf>
    <xf numFmtId="247" fontId="158" fillId="0" borderId="0" xfId="20442" applyNumberFormat="1" applyFont="1" applyFill="1" applyBorder="1" applyAlignment="1" applyProtection="1">
      <alignment vertical="top"/>
    </xf>
    <xf numFmtId="247" fontId="158" fillId="0" borderId="0" xfId="20442" applyNumberFormat="1" applyFont="1" applyFill="1" applyBorder="1" applyAlignment="1" applyProtection="1"/>
    <xf numFmtId="3" fontId="161" fillId="71" borderId="234" xfId="20442" applyNumberFormat="1" applyFont="1" applyFill="1" applyBorder="1" applyAlignment="1">
      <alignment horizontal="left" vertical="center"/>
    </xf>
    <xf numFmtId="167" fontId="174" fillId="71" borderId="236" xfId="20442" applyNumberFormat="1" applyFont="1" applyFill="1" applyBorder="1" applyProtection="1"/>
    <xf numFmtId="0" fontId="158" fillId="0" borderId="0" xfId="20444" applyFont="1"/>
    <xf numFmtId="0" fontId="158" fillId="0" borderId="0" xfId="20444" applyFont="1" applyAlignment="1">
      <alignment horizontal="center"/>
    </xf>
    <xf numFmtId="0" fontId="158" fillId="0" borderId="0" xfId="20444" applyFont="1" applyFill="1" applyBorder="1"/>
    <xf numFmtId="0" fontId="160" fillId="0" borderId="0" xfId="20444" applyFont="1" applyFill="1"/>
    <xf numFmtId="0" fontId="238" fillId="0" borderId="0" xfId="20444" applyFont="1" applyFill="1"/>
    <xf numFmtId="0" fontId="158" fillId="0" borderId="0" xfId="20444" applyFont="1" applyFill="1"/>
    <xf numFmtId="165" fontId="191" fillId="0" borderId="0" xfId="20444" applyNumberFormat="1" applyFont="1" applyFill="1" applyBorder="1" applyAlignment="1">
      <alignment horizontal="center"/>
    </xf>
    <xf numFmtId="165" fontId="158" fillId="0" borderId="0" xfId="20444" applyNumberFormat="1" applyFont="1" applyFill="1" applyBorder="1" applyAlignment="1">
      <alignment horizontal="center"/>
    </xf>
    <xf numFmtId="0" fontId="177" fillId="0" borderId="0" xfId="20444" applyFont="1" applyFill="1" applyBorder="1"/>
    <xf numFmtId="165" fontId="158" fillId="0" borderId="0" xfId="20444" applyNumberFormat="1" applyFont="1" applyFill="1" applyBorder="1"/>
    <xf numFmtId="0" fontId="170" fillId="0" borderId="0" xfId="20444" applyFont="1" applyFill="1" applyBorder="1" applyAlignment="1">
      <alignment horizontal="center"/>
    </xf>
    <xf numFmtId="0" fontId="170" fillId="0" borderId="0" xfId="20444" applyFont="1" applyFill="1" applyBorder="1" applyAlignment="1">
      <alignment horizontal="center" wrapText="1"/>
    </xf>
    <xf numFmtId="0" fontId="3" fillId="0" borderId="0" xfId="20445" applyFill="1" applyBorder="1"/>
    <xf numFmtId="165" fontId="191" fillId="0" borderId="0" xfId="20444" applyNumberFormat="1" applyFont="1" applyBorder="1" applyAlignment="1">
      <alignment horizontal="center"/>
    </xf>
    <xf numFmtId="165" fontId="158" fillId="0" borderId="0" xfId="20444" applyNumberFormat="1" applyFont="1" applyBorder="1" applyAlignment="1">
      <alignment horizontal="center"/>
    </xf>
    <xf numFmtId="0" fontId="177" fillId="0" borderId="0" xfId="20444" applyFont="1" applyFill="1"/>
    <xf numFmtId="165" fontId="158" fillId="0" borderId="0" xfId="20444" applyNumberFormat="1" applyFont="1"/>
    <xf numFmtId="165" fontId="158" fillId="0" borderId="0" xfId="20444" applyNumberFormat="1" applyFont="1" applyAlignment="1">
      <alignment horizontal="center"/>
    </xf>
    <xf numFmtId="0" fontId="170" fillId="0" borderId="0" xfId="20445" applyFont="1" applyFill="1" applyBorder="1" applyAlignment="1">
      <alignment horizontal="center" wrapText="1"/>
    </xf>
    <xf numFmtId="0" fontId="160" fillId="0" borderId="0" xfId="20444" applyFont="1" applyFill="1" applyAlignment="1"/>
    <xf numFmtId="0" fontId="163" fillId="0" borderId="0" xfId="20444" applyFont="1"/>
    <xf numFmtId="0" fontId="158" fillId="0" borderId="0" xfId="20444" quotePrefix="1" applyFont="1" applyAlignment="1">
      <alignment horizontal="right"/>
    </xf>
    <xf numFmtId="0" fontId="30" fillId="0" borderId="0" xfId="20444" applyFont="1" applyFill="1"/>
    <xf numFmtId="0" fontId="158" fillId="0" borderId="0" xfId="20444" applyFont="1" applyAlignment="1">
      <alignment wrapText="1"/>
    </xf>
    <xf numFmtId="0" fontId="160" fillId="0" borderId="234" xfId="20446" applyFont="1" applyBorder="1" applyAlignment="1">
      <alignment horizontal="center" vertical="center"/>
    </xf>
    <xf numFmtId="0" fontId="160" fillId="0" borderId="235" xfId="20446" applyFont="1" applyBorder="1" applyAlignment="1">
      <alignment horizontal="center" vertical="center"/>
    </xf>
    <xf numFmtId="0" fontId="160" fillId="0" borderId="235" xfId="20446" applyFont="1" applyBorder="1" applyAlignment="1">
      <alignment horizontal="center" vertical="center" wrapText="1"/>
    </xf>
    <xf numFmtId="0" fontId="160" fillId="0" borderId="236" xfId="20446" applyFont="1" applyBorder="1" applyAlignment="1">
      <alignment horizontal="center" vertical="center" wrapText="1"/>
    </xf>
    <xf numFmtId="0" fontId="158" fillId="0" borderId="233" xfId="20444" applyFont="1" applyBorder="1" applyAlignment="1">
      <alignment horizontal="center"/>
    </xf>
    <xf numFmtId="0" fontId="158" fillId="0" borderId="237" xfId="20444" applyNumberFormat="1" applyFont="1" applyFill="1" applyBorder="1" applyAlignment="1">
      <alignment horizontal="center" vertical="center" wrapText="1"/>
    </xf>
    <xf numFmtId="164" fontId="158" fillId="0" borderId="233" xfId="20444" applyNumberFormat="1" applyFont="1" applyFill="1" applyBorder="1" applyAlignment="1">
      <alignment horizontal="center" vertical="center" wrapText="1"/>
    </xf>
    <xf numFmtId="165" fontId="30" fillId="0" borderId="233" xfId="20446" applyNumberFormat="1" applyFont="1" applyFill="1" applyBorder="1" applyAlignment="1">
      <alignment horizontal="center" vertical="center"/>
    </xf>
    <xf numFmtId="164" fontId="158" fillId="0" borderId="238" xfId="20444" applyNumberFormat="1" applyFont="1" applyFill="1" applyBorder="1" applyAlignment="1">
      <alignment horizontal="center" vertical="center" wrapText="1"/>
    </xf>
    <xf numFmtId="0" fontId="158" fillId="0" borderId="0" xfId="20444" applyFont="1" applyFill="1" applyAlignment="1">
      <alignment vertical="top" wrapText="1"/>
    </xf>
    <xf numFmtId="0" fontId="158" fillId="0" borderId="61" xfId="20444" applyNumberFormat="1" applyFont="1" applyFill="1" applyBorder="1" applyAlignment="1">
      <alignment horizontal="center" vertical="center" wrapText="1"/>
    </xf>
    <xf numFmtId="164" fontId="158" fillId="0" borderId="0" xfId="20444" applyNumberFormat="1" applyFont="1" applyFill="1" applyBorder="1" applyAlignment="1">
      <alignment horizontal="center" vertical="center" wrapText="1"/>
    </xf>
    <xf numFmtId="165" fontId="30" fillId="0" borderId="0" xfId="20446" applyNumberFormat="1" applyFont="1" applyFill="1" applyBorder="1" applyAlignment="1">
      <alignment horizontal="center" vertical="center"/>
    </xf>
    <xf numFmtId="164" fontId="158" fillId="0" borderId="13" xfId="20444" applyNumberFormat="1" applyFont="1" applyFill="1" applyBorder="1" applyAlignment="1">
      <alignment horizontal="center" vertical="center" wrapText="1"/>
    </xf>
    <xf numFmtId="0" fontId="158" fillId="0" borderId="123" xfId="20444" applyNumberFormat="1" applyFont="1" applyFill="1" applyBorder="1" applyAlignment="1">
      <alignment horizontal="center" vertical="center" wrapText="1"/>
    </xf>
    <xf numFmtId="164" fontId="158" fillId="0" borderId="45" xfId="20444" applyNumberFormat="1" applyFont="1" applyFill="1" applyBorder="1" applyAlignment="1">
      <alignment horizontal="center" vertical="center" wrapText="1"/>
    </xf>
    <xf numFmtId="0" fontId="30" fillId="0" borderId="45" xfId="20444" applyNumberFormat="1" applyFont="1" applyFill="1" applyBorder="1" applyAlignment="1">
      <alignment horizontal="center" vertical="center" wrapText="1"/>
    </xf>
    <xf numFmtId="164" fontId="158" fillId="0" borderId="93" xfId="20444" applyNumberFormat="1" applyFont="1" applyFill="1" applyBorder="1" applyAlignment="1">
      <alignment horizontal="center" vertical="center" wrapText="1"/>
    </xf>
    <xf numFmtId="0" fontId="158" fillId="0" borderId="0" xfId="20444" applyFont="1" applyAlignment="1">
      <alignment vertical="top"/>
    </xf>
    <xf numFmtId="0" fontId="169" fillId="0" borderId="0" xfId="20444" applyFont="1"/>
    <xf numFmtId="0" fontId="158" fillId="0" borderId="0" xfId="20444" applyFont="1" applyAlignment="1">
      <alignment horizontal="left" vertical="top" wrapText="1"/>
    </xf>
    <xf numFmtId="0" fontId="257" fillId="0" borderId="237" xfId="20446" applyFont="1" applyBorder="1" applyAlignment="1">
      <alignment vertical="center"/>
    </xf>
    <xf numFmtId="0" fontId="158" fillId="0" borderId="233" xfId="20444" applyFont="1" applyBorder="1"/>
    <xf numFmtId="0" fontId="158" fillId="0" borderId="238" xfId="20444" applyFont="1" applyBorder="1"/>
    <xf numFmtId="0" fontId="281" fillId="0" borderId="0" xfId="20446" applyFont="1" applyAlignment="1">
      <alignment vertical="center"/>
    </xf>
    <xf numFmtId="0" fontId="257" fillId="0" borderId="237" xfId="20446" quotePrefix="1" applyFont="1" applyBorder="1" applyAlignment="1">
      <alignment vertical="center"/>
    </xf>
    <xf numFmtId="0" fontId="30" fillId="0" borderId="233" xfId="20444" applyFont="1" applyBorder="1"/>
    <xf numFmtId="0" fontId="30" fillId="0" borderId="238" xfId="20444" applyFont="1" applyBorder="1"/>
    <xf numFmtId="0" fontId="30" fillId="0" borderId="61" xfId="20444" applyFont="1" applyBorder="1"/>
    <xf numFmtId="0" fontId="30" fillId="0" borderId="0" xfId="20444" applyFont="1" applyBorder="1"/>
    <xf numFmtId="0" fontId="30" fillId="0" borderId="13" xfId="20444" applyFont="1" applyBorder="1"/>
    <xf numFmtId="0" fontId="30" fillId="0" borderId="61" xfId="20446" applyFont="1" applyBorder="1" applyAlignment="1">
      <alignment vertical="center"/>
    </xf>
    <xf numFmtId="0" fontId="30" fillId="0" borderId="0" xfId="20446" applyFont="1" applyBorder="1" applyAlignment="1">
      <alignment vertical="center"/>
    </xf>
    <xf numFmtId="0" fontId="30" fillId="0" borderId="123" xfId="20446" applyFont="1" applyBorder="1" applyAlignment="1">
      <alignment vertical="center"/>
    </xf>
    <xf numFmtId="0" fontId="30" fillId="0" borderId="45" xfId="20446" applyFont="1" applyBorder="1" applyAlignment="1">
      <alignment vertical="center"/>
    </xf>
    <xf numFmtId="0" fontId="30" fillId="0" borderId="45" xfId="20444" applyFont="1" applyBorder="1"/>
    <xf numFmtId="0" fontId="30" fillId="0" borderId="93" xfId="20444" applyFont="1" applyBorder="1"/>
    <xf numFmtId="0" fontId="30" fillId="0" borderId="0" xfId="20444" applyFont="1"/>
    <xf numFmtId="0" fontId="257" fillId="0" borderId="237" xfId="20444" applyFont="1" applyBorder="1"/>
    <xf numFmtId="0" fontId="258" fillId="0" borderId="0" xfId="20444" applyFont="1"/>
    <xf numFmtId="0" fontId="158" fillId="0" borderId="0" xfId="20444" quotePrefix="1" applyFont="1" applyAlignment="1">
      <alignment vertical="top"/>
    </xf>
    <xf numFmtId="0" fontId="180" fillId="0" borderId="0" xfId="20444"/>
    <xf numFmtId="0" fontId="176" fillId="72" borderId="234" xfId="20444" applyFont="1" applyFill="1" applyBorder="1" applyAlignment="1">
      <alignment vertical="top"/>
    </xf>
    <xf numFmtId="0" fontId="176" fillId="72" borderId="236" xfId="20444" applyFont="1" applyFill="1" applyBorder="1"/>
    <xf numFmtId="0" fontId="158" fillId="0" borderId="0" xfId="20444" applyFont="1" applyBorder="1" applyAlignment="1">
      <alignment horizontal="left" vertical="top" wrapText="1"/>
    </xf>
    <xf numFmtId="0" fontId="163" fillId="0" borderId="0" xfId="20444" applyFont="1" applyFill="1"/>
    <xf numFmtId="0" fontId="158" fillId="0" borderId="0" xfId="20444" quotePrefix="1" applyFont="1" applyFill="1" applyAlignment="1">
      <alignment horizontal="center" vertical="top"/>
    </xf>
    <xf numFmtId="0" fontId="282" fillId="0" borderId="0" xfId="20434" applyFont="1" applyFill="1" applyAlignment="1">
      <alignment horizontal="right" vertical="top" wrapText="1"/>
    </xf>
    <xf numFmtId="0" fontId="279" fillId="0" borderId="0" xfId="20434" applyFont="1" applyFill="1" applyAlignment="1">
      <alignment vertical="top"/>
    </xf>
    <xf numFmtId="0" fontId="285" fillId="0" borderId="0" xfId="20434" applyFont="1" applyFill="1" applyAlignment="1">
      <alignment horizontal="left" vertical="top"/>
    </xf>
    <xf numFmtId="0" fontId="286" fillId="0" borderId="0" xfId="20434" applyFont="1" applyFill="1" applyAlignment="1">
      <alignment horizontal="left" vertical="top"/>
    </xf>
    <xf numFmtId="49" fontId="284" fillId="0" borderId="0" xfId="20434" applyNumberFormat="1" applyFont="1" applyFill="1" applyAlignment="1">
      <alignment horizontal="left" vertical="top"/>
    </xf>
    <xf numFmtId="0" fontId="284" fillId="0" borderId="0" xfId="20434" applyFont="1" applyFill="1" applyAlignment="1">
      <alignment horizontal="left" vertical="top"/>
    </xf>
    <xf numFmtId="0" fontId="284" fillId="0" borderId="0" xfId="20434" applyFont="1" applyFill="1" applyAlignment="1">
      <alignment horizontal="left" vertical="top" wrapText="1"/>
    </xf>
    <xf numFmtId="0" fontId="287" fillId="0" borderId="0" xfId="20434" applyFont="1" applyFill="1" applyAlignment="1">
      <alignment horizontal="left" vertical="top"/>
    </xf>
    <xf numFmtId="0" fontId="288" fillId="0" borderId="0" xfId="20434" applyFont="1" applyFill="1" applyAlignment="1">
      <alignment horizontal="left" vertical="top" wrapText="1"/>
    </xf>
    <xf numFmtId="0" fontId="286" fillId="0" borderId="0" xfId="20434" applyFont="1" applyFill="1" applyAlignment="1">
      <alignment horizontal="right" vertical="top" wrapText="1"/>
    </xf>
    <xf numFmtId="0" fontId="286" fillId="0" borderId="0" xfId="20434" applyFont="1" applyFill="1" applyAlignment="1">
      <alignment horizontal="left" vertical="top" wrapText="1"/>
    </xf>
    <xf numFmtId="14" fontId="286" fillId="0" borderId="0" xfId="20434" applyNumberFormat="1" applyFont="1" applyFill="1" applyAlignment="1">
      <alignment horizontal="right" vertical="top"/>
    </xf>
    <xf numFmtId="358" fontId="286" fillId="0" borderId="0" xfId="20434" applyNumberFormat="1" applyFont="1" applyFill="1" applyAlignment="1">
      <alignment horizontal="right" vertical="top"/>
    </xf>
    <xf numFmtId="369" fontId="286" fillId="0" borderId="0" xfId="20434" applyNumberFormat="1" applyFont="1" applyFill="1" applyAlignment="1">
      <alignment horizontal="right" vertical="top"/>
    </xf>
    <xf numFmtId="0" fontId="286" fillId="96" borderId="0" xfId="20434" applyFont="1" applyFill="1" applyAlignment="1">
      <alignment horizontal="right" vertical="top" wrapText="1"/>
    </xf>
    <xf numFmtId="0" fontId="288" fillId="0" borderId="0" xfId="20434" applyFont="1" applyFill="1" applyAlignment="1">
      <alignment horizontal="left" vertical="top"/>
    </xf>
    <xf numFmtId="0" fontId="288" fillId="0" borderId="0" xfId="20434" applyFont="1" applyFill="1" applyAlignment="1">
      <alignment horizontal="right" vertical="top" wrapText="1"/>
    </xf>
    <xf numFmtId="0" fontId="288" fillId="0" borderId="0" xfId="20434" applyFont="1" applyFill="1" applyAlignment="1">
      <alignment horizontal="right" vertical="top"/>
    </xf>
    <xf numFmtId="358" fontId="288" fillId="0" borderId="0" xfId="20434" applyNumberFormat="1" applyFont="1" applyFill="1" applyAlignment="1">
      <alignment horizontal="right" vertical="top"/>
    </xf>
    <xf numFmtId="369" fontId="288" fillId="0" borderId="0" xfId="20434" applyNumberFormat="1" applyFont="1" applyFill="1" applyAlignment="1">
      <alignment horizontal="right" vertical="top"/>
    </xf>
    <xf numFmtId="49" fontId="290" fillId="98" borderId="45" xfId="11821" applyNumberFormat="1" applyFont="1" applyFill="1" applyBorder="1" applyAlignment="1" applyProtection="1">
      <alignment horizontal="center" vertical="top" wrapText="1"/>
    </xf>
    <xf numFmtId="0" fontId="26" fillId="98" borderId="45" xfId="11821" applyFont="1" applyFill="1" applyBorder="1" applyAlignment="1" applyProtection="1">
      <alignment horizontal="center" vertical="center"/>
    </xf>
    <xf numFmtId="0" fontId="26" fillId="98" borderId="0" xfId="11821" applyFont="1" applyFill="1" applyBorder="1" applyAlignment="1" applyProtection="1">
      <alignment horizontal="center" vertical="center"/>
    </xf>
    <xf numFmtId="0" fontId="26" fillId="98" borderId="0" xfId="11821" applyFont="1" applyFill="1" applyBorder="1" applyProtection="1"/>
    <xf numFmtId="0" fontId="295" fillId="99" borderId="242" xfId="20445" applyFont="1" applyFill="1" applyBorder="1" applyAlignment="1" applyProtection="1">
      <alignment vertical="center"/>
    </xf>
    <xf numFmtId="0" fontId="292" fillId="95" borderId="242" xfId="106" applyFont="1" applyFill="1" applyBorder="1" applyAlignment="1" applyProtection="1">
      <alignment horizontal="center" vertical="center" wrapText="1"/>
    </xf>
    <xf numFmtId="0" fontId="296" fillId="95" borderId="242" xfId="20445" applyFont="1" applyFill="1" applyBorder="1" applyAlignment="1" applyProtection="1">
      <alignment horizontal="center" vertical="center"/>
    </xf>
    <xf numFmtId="0" fontId="297" fillId="100" borderId="242" xfId="20445" applyFont="1" applyFill="1" applyBorder="1" applyAlignment="1" applyProtection="1">
      <alignment horizontal="center" vertical="center"/>
    </xf>
    <xf numFmtId="3" fontId="298" fillId="101" borderId="242" xfId="20445" applyNumberFormat="1" applyFont="1" applyFill="1" applyBorder="1" applyAlignment="1" applyProtection="1">
      <alignment horizontal="center" vertical="center"/>
    </xf>
    <xf numFmtId="165" fontId="298" fillId="101" borderId="242" xfId="20443" applyNumberFormat="1" applyFont="1" applyFill="1" applyBorder="1" applyAlignment="1" applyProtection="1">
      <alignment horizontal="center" vertical="center"/>
    </xf>
    <xf numFmtId="0" fontId="295" fillId="0" borderId="242" xfId="20445" applyFont="1" applyFill="1" applyBorder="1" applyAlignment="1" applyProtection="1">
      <alignment horizontal="center"/>
    </xf>
    <xf numFmtId="0" fontId="299" fillId="100" borderId="242" xfId="106" applyFont="1" applyFill="1" applyBorder="1" applyAlignment="1" applyProtection="1">
      <alignment horizontal="left"/>
    </xf>
    <xf numFmtId="247" fontId="300" fillId="0" borderId="0" xfId="11155" applyNumberFormat="1" applyFont="1" applyFill="1" applyBorder="1" applyAlignment="1" applyProtection="1">
      <alignment horizontal="center" vertical="center"/>
    </xf>
    <xf numFmtId="165" fontId="298" fillId="0" borderId="242" xfId="20443" applyNumberFormat="1" applyFont="1" applyFill="1" applyBorder="1" applyAlignment="1" applyProtection="1">
      <alignment horizontal="center" vertical="center"/>
    </xf>
    <xf numFmtId="0" fontId="301" fillId="0" borderId="242" xfId="20445" applyFont="1" applyFill="1" applyBorder="1" applyAlignment="1" applyProtection="1">
      <alignment horizontal="center"/>
    </xf>
    <xf numFmtId="247" fontId="302" fillId="102" borderId="0" xfId="11155" applyNumberFormat="1" applyFont="1" applyFill="1" applyBorder="1" applyAlignment="1" applyProtection="1">
      <alignment horizontal="center" vertical="center"/>
    </xf>
    <xf numFmtId="247" fontId="300" fillId="73" borderId="0" xfId="11155" applyNumberFormat="1" applyFont="1" applyFill="1" applyBorder="1" applyAlignment="1" applyProtection="1">
      <alignment horizontal="center" vertical="center"/>
    </xf>
    <xf numFmtId="0" fontId="303" fillId="100" borderId="242" xfId="106" applyFont="1" applyFill="1" applyBorder="1" applyAlignment="1" applyProtection="1">
      <alignment horizontal="left"/>
    </xf>
    <xf numFmtId="0" fontId="304" fillId="100" borderId="242" xfId="106" applyFont="1" applyFill="1" applyBorder="1" applyAlignment="1" applyProtection="1">
      <alignment horizontal="left" indent="1"/>
    </xf>
    <xf numFmtId="37" fontId="305" fillId="73" borderId="242" xfId="11155" applyNumberFormat="1" applyFont="1" applyFill="1" applyBorder="1" applyAlignment="1" applyProtection="1">
      <alignment horizontal="right" vertical="center"/>
    </xf>
    <xf numFmtId="0" fontId="295" fillId="100" borderId="242" xfId="20445" applyFont="1" applyFill="1" applyBorder="1" applyAlignment="1" applyProtection="1">
      <alignment horizontal="left"/>
    </xf>
    <xf numFmtId="37" fontId="295" fillId="0" borderId="242" xfId="20445" applyNumberFormat="1" applyFont="1" applyFill="1" applyBorder="1" applyAlignment="1" applyProtection="1">
      <alignment horizontal="right"/>
    </xf>
    <xf numFmtId="0" fontId="294" fillId="100" borderId="242" xfId="20445" applyFont="1" applyFill="1" applyBorder="1" applyAlignment="1" applyProtection="1">
      <alignment horizontal="left"/>
    </xf>
    <xf numFmtId="0" fontId="295" fillId="0" borderId="242" xfId="20445" applyFont="1" applyFill="1" applyBorder="1" applyAlignment="1" applyProtection="1">
      <alignment horizontal="right"/>
    </xf>
    <xf numFmtId="3" fontId="295" fillId="73" borderId="242" xfId="20445" applyNumberFormat="1" applyFont="1" applyFill="1" applyBorder="1" applyAlignment="1" applyProtection="1">
      <alignment horizontal="right"/>
    </xf>
    <xf numFmtId="0" fontId="303" fillId="69" borderId="242" xfId="106" applyFont="1" applyFill="1" applyBorder="1" applyAlignment="1" applyProtection="1">
      <alignment horizontal="left"/>
    </xf>
    <xf numFmtId="3" fontId="295" fillId="0" borderId="242" xfId="20445" applyNumberFormat="1" applyFont="1" applyFill="1" applyBorder="1" applyAlignment="1" applyProtection="1">
      <alignment horizontal="right"/>
    </xf>
    <xf numFmtId="0" fontId="303" fillId="100" borderId="243" xfId="106" applyFont="1" applyFill="1" applyBorder="1" applyAlignment="1" applyProtection="1">
      <alignment horizontal="left"/>
    </xf>
    <xf numFmtId="3" fontId="298" fillId="0" borderId="242" xfId="20445" applyNumberFormat="1" applyFont="1" applyFill="1" applyBorder="1" applyAlignment="1" applyProtection="1">
      <alignment horizontal="right" vertical="center"/>
    </xf>
    <xf numFmtId="0" fontId="306" fillId="69" borderId="244" xfId="106" applyFont="1" applyFill="1" applyBorder="1" applyAlignment="1" applyProtection="1">
      <alignment horizontal="left"/>
    </xf>
    <xf numFmtId="3" fontId="295" fillId="0" borderId="242" xfId="20445" applyNumberFormat="1" applyFont="1" applyFill="1" applyBorder="1" applyAlignment="1" applyProtection="1">
      <alignment horizontal="right" vertical="center"/>
    </xf>
    <xf numFmtId="0" fontId="3" fillId="0" borderId="0" xfId="20445" applyProtection="1"/>
    <xf numFmtId="0" fontId="305" fillId="69" borderId="245" xfId="106" applyFont="1" applyFill="1" applyBorder="1" applyAlignment="1" applyProtection="1">
      <alignment horizontal="left" indent="1"/>
    </xf>
    <xf numFmtId="41" fontId="295" fillId="103" borderId="242" xfId="20445" applyNumberFormat="1" applyFont="1" applyFill="1" applyBorder="1" applyAlignment="1" applyProtection="1">
      <alignment horizontal="right" vertical="center"/>
    </xf>
    <xf numFmtId="0" fontId="307" fillId="69" borderId="245" xfId="106" applyFont="1" applyFill="1" applyBorder="1" applyAlignment="1" applyProtection="1">
      <alignment horizontal="left" indent="1"/>
    </xf>
    <xf numFmtId="0" fontId="3" fillId="69" borderId="245" xfId="20445" applyFont="1" applyFill="1" applyBorder="1" applyAlignment="1" applyProtection="1">
      <alignment horizontal="left" indent="1"/>
    </xf>
    <xf numFmtId="41" fontId="295" fillId="0" borderId="242" xfId="20445" applyNumberFormat="1" applyFont="1" applyFill="1" applyBorder="1" applyAlignment="1" applyProtection="1">
      <alignment horizontal="right" vertical="center"/>
    </xf>
    <xf numFmtId="0" fontId="306" fillId="69" borderId="245" xfId="106" applyFont="1" applyFill="1" applyBorder="1" applyAlignment="1" applyProtection="1">
      <alignment horizontal="left"/>
    </xf>
    <xf numFmtId="0" fontId="295" fillId="0" borderId="239" xfId="20445" applyFont="1" applyFill="1" applyBorder="1" applyAlignment="1" applyProtection="1">
      <alignment horizontal="center"/>
    </xf>
    <xf numFmtId="0" fontId="295" fillId="0" borderId="246" xfId="20445" applyFont="1" applyFill="1" applyBorder="1" applyAlignment="1" applyProtection="1">
      <alignment horizontal="center"/>
    </xf>
    <xf numFmtId="0" fontId="3" fillId="69" borderId="245" xfId="20445" applyFont="1" applyFill="1" applyBorder="1" applyAlignment="1" applyProtection="1">
      <alignment horizontal="left" indent="2"/>
    </xf>
    <xf numFmtId="41" fontId="295" fillId="73" borderId="242" xfId="20445" applyNumberFormat="1" applyFont="1" applyFill="1" applyBorder="1" applyAlignment="1" applyProtection="1">
      <alignment horizontal="right" vertical="center"/>
    </xf>
    <xf numFmtId="0" fontId="3" fillId="0" borderId="0" xfId="20445" applyFill="1" applyProtection="1"/>
    <xf numFmtId="0" fontId="305" fillId="0" borderId="247" xfId="106" applyFont="1" applyFill="1" applyBorder="1" applyAlignment="1" applyProtection="1">
      <alignment horizontal="left" indent="1"/>
    </xf>
    <xf numFmtId="165" fontId="301" fillId="0" borderId="242" xfId="20443" applyNumberFormat="1" applyFont="1" applyFill="1" applyBorder="1" applyAlignment="1" applyProtection="1">
      <alignment horizontal="right" vertical="center"/>
    </xf>
    <xf numFmtId="3" fontId="295" fillId="104" borderId="241" xfId="20445" applyNumberFormat="1" applyFont="1" applyFill="1" applyBorder="1" applyAlignment="1" applyProtection="1">
      <alignment horizontal="right" vertical="center"/>
    </xf>
    <xf numFmtId="3" fontId="295" fillId="104" borderId="242" xfId="20445" applyNumberFormat="1" applyFont="1" applyFill="1" applyBorder="1" applyAlignment="1" applyProtection="1">
      <alignment horizontal="right" vertical="center"/>
    </xf>
    <xf numFmtId="165" fontId="301" fillId="98" borderId="242" xfId="20443" applyNumberFormat="1" applyFont="1" applyFill="1" applyBorder="1" applyAlignment="1" applyProtection="1">
      <alignment horizontal="right" vertical="center"/>
    </xf>
    <xf numFmtId="0" fontId="305" fillId="0" borderId="248" xfId="106" applyFont="1" applyFill="1" applyBorder="1" applyAlignment="1" applyProtection="1">
      <alignment horizontal="left" indent="1"/>
    </xf>
    <xf numFmtId="0" fontId="306" fillId="0" borderId="247" xfId="106" applyFont="1" applyFill="1" applyBorder="1" applyAlignment="1" applyProtection="1">
      <alignment horizontal="left"/>
    </xf>
    <xf numFmtId="3" fontId="295" fillId="0" borderId="243" xfId="20445" applyNumberFormat="1" applyFont="1" applyFill="1" applyBorder="1" applyAlignment="1" applyProtection="1">
      <alignment horizontal="right" vertical="center"/>
    </xf>
    <xf numFmtId="0" fontId="295" fillId="0" borderId="243" xfId="20445" applyFont="1" applyFill="1" applyBorder="1" applyAlignment="1" applyProtection="1">
      <alignment horizontal="right"/>
    </xf>
    <xf numFmtId="0" fontId="305" fillId="0" borderId="0" xfId="106" applyFont="1" applyFill="1" applyBorder="1" applyAlignment="1" applyProtection="1">
      <alignment horizontal="left" indent="1"/>
    </xf>
    <xf numFmtId="0" fontId="295" fillId="0" borderId="247" xfId="20445" applyFont="1" applyFill="1" applyBorder="1" applyAlignment="1" applyProtection="1">
      <alignment horizontal="center"/>
    </xf>
    <xf numFmtId="0" fontId="295" fillId="0" borderId="247" xfId="20445" applyFont="1" applyFill="1" applyBorder="1" applyAlignment="1" applyProtection="1">
      <alignment horizontal="right"/>
    </xf>
    <xf numFmtId="0" fontId="295" fillId="0" borderId="241" xfId="20445" applyFont="1" applyFill="1" applyBorder="1" applyAlignment="1" applyProtection="1">
      <alignment horizontal="center"/>
    </xf>
    <xf numFmtId="0" fontId="303" fillId="0" borderId="239" xfId="106" applyFont="1" applyFill="1" applyBorder="1" applyAlignment="1" applyProtection="1">
      <alignment horizontal="left"/>
    </xf>
    <xf numFmtId="0" fontId="304" fillId="0" borderId="247" xfId="20445" applyFont="1" applyFill="1" applyBorder="1" applyAlignment="1" applyProtection="1">
      <alignment horizontal="center"/>
    </xf>
    <xf numFmtId="0" fontId="304" fillId="0" borderId="242" xfId="20445" applyFont="1" applyFill="1" applyBorder="1" applyAlignment="1" applyProtection="1">
      <alignment horizontal="center"/>
    </xf>
    <xf numFmtId="0" fontId="304" fillId="0" borderId="239" xfId="106" applyFont="1" applyFill="1" applyBorder="1" applyAlignment="1" applyProtection="1">
      <alignment horizontal="left" wrapText="1"/>
    </xf>
    <xf numFmtId="247" fontId="308" fillId="0" borderId="247" xfId="11155" applyNumberFormat="1" applyFont="1" applyFill="1" applyBorder="1" applyAlignment="1" applyProtection="1">
      <alignment horizontal="center" vertical="center"/>
    </xf>
    <xf numFmtId="165" fontId="309" fillId="0" borderId="247" xfId="20443" applyNumberFormat="1" applyFont="1" applyFill="1" applyBorder="1" applyAlignment="1" applyProtection="1">
      <alignment horizontal="right" vertical="center"/>
    </xf>
    <xf numFmtId="0" fontId="310" fillId="0" borderId="247" xfId="20447" applyNumberFormat="1" applyFont="1" applyFill="1" applyBorder="1" applyAlignment="1" applyProtection="1">
      <alignment horizontal="center" wrapText="1"/>
    </xf>
    <xf numFmtId="0" fontId="310" fillId="0" borderId="247" xfId="20445" applyFont="1" applyFill="1" applyBorder="1" applyAlignment="1" applyProtection="1">
      <alignment horizontal="center"/>
    </xf>
    <xf numFmtId="0" fontId="303" fillId="0" borderId="239" xfId="106" applyFont="1" applyFill="1" applyBorder="1" applyAlignment="1" applyProtection="1">
      <alignment horizontal="left" wrapText="1"/>
    </xf>
    <xf numFmtId="0" fontId="306" fillId="0" borderId="247" xfId="106" applyNumberFormat="1" applyFont="1" applyFill="1" applyBorder="1" applyAlignment="1" applyProtection="1">
      <alignment horizontal="center"/>
    </xf>
    <xf numFmtId="247" fontId="305" fillId="0" borderId="247" xfId="11155" applyNumberFormat="1" applyFont="1" applyFill="1" applyBorder="1" applyAlignment="1" applyProtection="1">
      <alignment horizontal="center" vertical="center"/>
    </xf>
    <xf numFmtId="0" fontId="295" fillId="0" borderId="242" xfId="20445" applyFont="1" applyFill="1" applyBorder="1" applyProtection="1"/>
    <xf numFmtId="0" fontId="310" fillId="0" borderId="249" xfId="20447" applyNumberFormat="1" applyFont="1" applyFill="1" applyBorder="1" applyAlignment="1" applyProtection="1">
      <alignment horizontal="center" wrapText="1"/>
    </xf>
    <xf numFmtId="0" fontId="310" fillId="0" borderId="250" xfId="20447" applyNumberFormat="1" applyFont="1" applyFill="1" applyBorder="1" applyAlignment="1" applyProtection="1">
      <alignment wrapText="1"/>
    </xf>
    <xf numFmtId="0" fontId="295" fillId="0" borderId="250" xfId="20445" applyFont="1" applyFill="1" applyBorder="1" applyAlignment="1" applyProtection="1">
      <alignment horizontal="center"/>
    </xf>
    <xf numFmtId="0" fontId="295" fillId="0" borderId="250" xfId="20445" applyFont="1" applyFill="1" applyBorder="1" applyProtection="1"/>
    <xf numFmtId="0" fontId="311" fillId="0" borderId="242" xfId="20445" applyFont="1" applyFill="1" applyBorder="1" applyProtection="1"/>
    <xf numFmtId="2" fontId="295" fillId="0" borderId="242" xfId="20445" applyNumberFormat="1" applyFont="1" applyFill="1" applyBorder="1" applyProtection="1"/>
    <xf numFmtId="191" fontId="295" fillId="0" borderId="242" xfId="20445" applyNumberFormat="1" applyFont="1" applyFill="1" applyBorder="1" applyProtection="1"/>
    <xf numFmtId="169" fontId="30" fillId="73" borderId="0" xfId="0" applyNumberFormat="1" applyFont="1" applyFill="1" applyBorder="1"/>
    <xf numFmtId="169" fontId="161" fillId="73" borderId="45" xfId="0" applyNumberFormat="1" applyFont="1" applyFill="1" applyBorder="1"/>
    <xf numFmtId="49" fontId="312" fillId="98" borderId="45" xfId="11821" applyNumberFormat="1" applyFont="1" applyFill="1" applyBorder="1" applyAlignment="1" applyProtection="1">
      <alignment horizontal="center" vertical="top" wrapText="1"/>
    </xf>
    <xf numFmtId="167" fontId="300" fillId="0" borderId="0" xfId="11155" applyNumberFormat="1" applyFont="1" applyFill="1" applyBorder="1" applyAlignment="1" applyProtection="1">
      <alignment horizontal="center" vertical="center"/>
    </xf>
    <xf numFmtId="165" fontId="295" fillId="101" borderId="242" xfId="20443" applyNumberFormat="1" applyFont="1" applyFill="1" applyBorder="1" applyAlignment="1" applyProtection="1">
      <alignment horizontal="right" vertical="center"/>
    </xf>
    <xf numFmtId="165" fontId="295" fillId="0" borderId="242" xfId="20443" applyNumberFormat="1" applyFont="1" applyFill="1" applyBorder="1" applyAlignment="1" applyProtection="1">
      <alignment horizontal="right" vertical="center"/>
    </xf>
    <xf numFmtId="0" fontId="295" fillId="69" borderId="242" xfId="20445" applyFont="1" applyFill="1" applyBorder="1" applyProtection="1"/>
    <xf numFmtId="4" fontId="295" fillId="0" borderId="242" xfId="20445" applyNumberFormat="1" applyFont="1" applyFill="1" applyBorder="1" applyAlignment="1" applyProtection="1">
      <alignment horizontal="right"/>
    </xf>
    <xf numFmtId="10" fontId="306" fillId="69" borderId="247" xfId="106" applyNumberFormat="1" applyFont="1" applyFill="1" applyBorder="1" applyAlignment="1" applyProtection="1"/>
    <xf numFmtId="4" fontId="305" fillId="73" borderId="247" xfId="20445" applyNumberFormat="1" applyFont="1" applyFill="1" applyBorder="1" applyProtection="1"/>
    <xf numFmtId="10" fontId="301" fillId="105" borderId="242" xfId="20443" applyNumberFormat="1" applyFont="1" applyFill="1" applyBorder="1" applyAlignment="1" applyProtection="1">
      <alignment horizontal="right" vertical="center"/>
    </xf>
    <xf numFmtId="0" fontId="3" fillId="0" borderId="247" xfId="20445" applyFont="1" applyBorder="1" applyProtection="1"/>
    <xf numFmtId="10" fontId="156" fillId="69" borderId="247" xfId="20445" applyNumberFormat="1" applyFont="1" applyFill="1" applyBorder="1" applyAlignment="1" applyProtection="1"/>
    <xf numFmtId="10" fontId="3" fillId="69" borderId="247" xfId="20445" applyNumberFormat="1" applyFont="1" applyFill="1" applyBorder="1" applyAlignment="1" applyProtection="1">
      <alignment horizontal="left" indent="1"/>
    </xf>
    <xf numFmtId="10" fontId="315" fillId="69" borderId="247" xfId="20445" applyNumberFormat="1" applyFont="1" applyFill="1" applyBorder="1" applyAlignment="1" applyProtection="1">
      <alignment horizontal="left" indent="1"/>
    </xf>
    <xf numFmtId="10" fontId="306" fillId="69" borderId="247" xfId="106" applyNumberFormat="1" applyFont="1" applyFill="1" applyBorder="1" applyAlignment="1" applyProtection="1">
      <alignment horizontal="left"/>
    </xf>
    <xf numFmtId="10" fontId="305" fillId="69" borderId="247" xfId="106" applyNumberFormat="1" applyFont="1" applyFill="1" applyBorder="1" applyAlignment="1" applyProtection="1">
      <alignment horizontal="left" indent="1"/>
    </xf>
    <xf numFmtId="10" fontId="307" fillId="69" borderId="247" xfId="106" applyNumberFormat="1" applyFont="1" applyFill="1" applyBorder="1" applyAlignment="1" applyProtection="1">
      <alignment horizontal="left" indent="1"/>
    </xf>
    <xf numFmtId="10" fontId="301" fillId="73" borderId="242" xfId="20443" applyNumberFormat="1" applyFont="1" applyFill="1" applyBorder="1" applyAlignment="1" applyProtection="1">
      <alignment horizontal="right" vertical="center"/>
    </xf>
    <xf numFmtId="0" fontId="3" fillId="0" borderId="247" xfId="20445" applyFont="1" applyFill="1" applyBorder="1" applyProtection="1"/>
    <xf numFmtId="10" fontId="305" fillId="69" borderId="254" xfId="106" applyNumberFormat="1" applyFont="1" applyFill="1" applyBorder="1" applyAlignment="1" applyProtection="1">
      <alignment horizontal="left" indent="1"/>
    </xf>
    <xf numFmtId="10" fontId="307" fillId="69" borderId="255" xfId="106" applyNumberFormat="1" applyFont="1" applyFill="1" applyBorder="1" applyAlignment="1" applyProtection="1"/>
    <xf numFmtId="10" fontId="307" fillId="69" borderId="256" xfId="106" applyNumberFormat="1" applyFont="1" applyFill="1" applyBorder="1" applyAlignment="1" applyProtection="1">
      <alignment horizontal="left" indent="1"/>
    </xf>
    <xf numFmtId="4" fontId="295" fillId="0" borderId="242" xfId="20445" applyNumberFormat="1" applyFont="1" applyFill="1" applyBorder="1" applyAlignment="1" applyProtection="1">
      <alignment horizontal="center"/>
    </xf>
    <xf numFmtId="247" fontId="305" fillId="105" borderId="221" xfId="11155" applyNumberFormat="1" applyFont="1" applyFill="1" applyBorder="1" applyAlignment="1" applyProtection="1">
      <alignment horizontal="center" vertical="center"/>
    </xf>
    <xf numFmtId="165" fontId="316" fillId="73" borderId="242" xfId="20443" applyNumberFormat="1" applyFont="1" applyFill="1" applyBorder="1" applyAlignment="1" applyProtection="1">
      <alignment horizontal="right" vertical="center"/>
    </xf>
    <xf numFmtId="0" fontId="303" fillId="100" borderId="242" xfId="106" applyFont="1" applyFill="1" applyBorder="1" applyAlignment="1" applyProtection="1">
      <alignment horizontal="left" wrapText="1"/>
    </xf>
    <xf numFmtId="0" fontId="303" fillId="100" borderId="239" xfId="106" applyFont="1" applyFill="1" applyBorder="1" applyAlignment="1" applyProtection="1">
      <alignment horizontal="left" wrapText="1"/>
    </xf>
    <xf numFmtId="165" fontId="301" fillId="73" borderId="242" xfId="20443" applyNumberFormat="1" applyFont="1" applyFill="1" applyBorder="1" applyAlignment="1" applyProtection="1">
      <alignment horizontal="right" vertical="center"/>
    </xf>
    <xf numFmtId="247" fontId="305" fillId="0" borderId="0" xfId="11155" applyNumberFormat="1" applyFont="1" applyFill="1" applyBorder="1" applyAlignment="1" applyProtection="1">
      <alignment horizontal="center" vertical="center"/>
    </xf>
    <xf numFmtId="4" fontId="295" fillId="0" borderId="250" xfId="20445" applyNumberFormat="1" applyFont="1" applyFill="1" applyBorder="1" applyProtection="1"/>
    <xf numFmtId="4" fontId="295" fillId="0" borderId="242" xfId="20445" applyNumberFormat="1" applyFont="1" applyFill="1" applyBorder="1" applyProtection="1"/>
    <xf numFmtId="0" fontId="286" fillId="0" borderId="0" xfId="20434" applyNumberFormat="1" applyFont="1" applyFill="1" applyAlignment="1">
      <alignment horizontal="right" vertical="top"/>
    </xf>
    <xf numFmtId="10" fontId="30" fillId="0" borderId="61" xfId="20442" applyNumberFormat="1" applyFont="1" applyFill="1" applyBorder="1" applyAlignment="1">
      <alignment horizontal="left"/>
    </xf>
    <xf numFmtId="0" fontId="284" fillId="0" borderId="0" xfId="20434" applyFont="1" applyFill="1" applyAlignment="1">
      <alignment horizontal="left" vertical="top"/>
    </xf>
    <xf numFmtId="0" fontId="161" fillId="0" borderId="0" xfId="11846" applyFont="1" applyFill="1"/>
    <xf numFmtId="169" fontId="30" fillId="0" borderId="0" xfId="0" applyNumberFormat="1" applyFont="1" applyBorder="1" applyAlignment="1">
      <alignment horizontal="right"/>
    </xf>
    <xf numFmtId="0" fontId="313" fillId="104" borderId="0" xfId="20448" applyFont="1" applyFill="1" applyAlignment="1">
      <alignment horizontal="center" vertical="top" wrapText="1"/>
    </xf>
    <xf numFmtId="0" fontId="2" fillId="104" borderId="0" xfId="20448" applyFill="1" applyAlignment="1">
      <alignment horizontal="center" vertical="center"/>
    </xf>
    <xf numFmtId="0" fontId="2" fillId="104" borderId="0" xfId="20448" applyFill="1"/>
    <xf numFmtId="0" fontId="2" fillId="0" borderId="0" xfId="20448"/>
    <xf numFmtId="0" fontId="317" fillId="92" borderId="0" xfId="20448" applyFont="1" applyFill="1" applyAlignment="1">
      <alignment horizontal="center" vertical="center"/>
    </xf>
    <xf numFmtId="0" fontId="297" fillId="100" borderId="242" xfId="20448" applyFont="1" applyFill="1" applyBorder="1" applyAlignment="1">
      <alignment horizontal="center" vertical="center"/>
    </xf>
    <xf numFmtId="247" fontId="318" fillId="107" borderId="0" xfId="20449" applyNumberFormat="1" applyFont="1" applyFill="1"/>
    <xf numFmtId="10" fontId="318" fillId="107" borderId="0" xfId="20449" applyNumberFormat="1" applyFont="1" applyFill="1"/>
    <xf numFmtId="43" fontId="110" fillId="107" borderId="0" xfId="20449" applyFont="1" applyFill="1"/>
    <xf numFmtId="10" fontId="318" fillId="107" borderId="0" xfId="20450" applyNumberFormat="1" applyFont="1" applyFill="1"/>
    <xf numFmtId="0" fontId="299" fillId="69" borderId="242" xfId="106" applyFont="1" applyFill="1" applyBorder="1" applyAlignment="1">
      <alignment horizontal="left"/>
    </xf>
    <xf numFmtId="247" fontId="110" fillId="0" borderId="0" xfId="20449" applyNumberFormat="1" applyFont="1" applyFill="1"/>
    <xf numFmtId="10" fontId="110" fillId="0" borderId="0" xfId="20449" applyNumberFormat="1" applyFont="1" applyFill="1"/>
    <xf numFmtId="43" fontId="0" fillId="0" borderId="0" xfId="20449" applyFont="1" applyFill="1"/>
    <xf numFmtId="0" fontId="2" fillId="0" borderId="0" xfId="20448" applyFill="1"/>
    <xf numFmtId="0" fontId="316" fillId="69" borderId="242" xfId="106" applyFont="1" applyFill="1" applyBorder="1" applyAlignment="1"/>
    <xf numFmtId="247" fontId="110" fillId="76" borderId="0" xfId="20449" applyNumberFormat="1" applyFont="1" applyFill="1"/>
    <xf numFmtId="10" fontId="110" fillId="76" borderId="0" xfId="20449" applyNumberFormat="1" applyFont="1" applyFill="1"/>
    <xf numFmtId="43" fontId="110" fillId="0" borderId="0" xfId="20449" applyFont="1" applyFill="1"/>
    <xf numFmtId="10" fontId="318" fillId="0" borderId="0" xfId="20450" applyNumberFormat="1" applyFont="1" applyFill="1"/>
    <xf numFmtId="0" fontId="316" fillId="69" borderId="242" xfId="106" applyFont="1" applyFill="1" applyBorder="1" applyAlignment="1">
      <alignment horizontal="left" indent="1"/>
    </xf>
    <xf numFmtId="0" fontId="299" fillId="69" borderId="242" xfId="106" applyFont="1" applyFill="1" applyBorder="1" applyAlignment="1"/>
    <xf numFmtId="0" fontId="301" fillId="69" borderId="242" xfId="20448" applyFont="1" applyFill="1" applyBorder="1" applyAlignment="1"/>
    <xf numFmtId="0" fontId="316" fillId="69" borderId="258" xfId="106" applyFont="1" applyFill="1" applyBorder="1" applyAlignment="1"/>
    <xf numFmtId="10" fontId="110" fillId="76" borderId="0" xfId="20449" applyNumberFormat="1" applyFont="1" applyFill="1" applyAlignment="1">
      <alignment horizontal="right"/>
    </xf>
    <xf numFmtId="0" fontId="2" fillId="76" borderId="0" xfId="20448" applyFill="1"/>
    <xf numFmtId="0" fontId="316" fillId="69" borderId="241" xfId="20448" applyFont="1" applyFill="1" applyBorder="1" applyAlignment="1">
      <alignment horizontal="left" indent="1"/>
    </xf>
    <xf numFmtId="0" fontId="110" fillId="0" borderId="0" xfId="20449" applyNumberFormat="1" applyFont="1" applyFill="1"/>
    <xf numFmtId="0" fontId="299" fillId="69" borderId="241" xfId="20448" applyFont="1" applyFill="1" applyBorder="1" applyAlignment="1"/>
    <xf numFmtId="247" fontId="302" fillId="106" borderId="0" xfId="20449" applyNumberFormat="1" applyFont="1" applyFill="1"/>
    <xf numFmtId="0" fontId="319" fillId="69" borderId="241" xfId="20448" applyFont="1" applyFill="1" applyBorder="1" applyAlignment="1">
      <alignment horizontal="left"/>
    </xf>
    <xf numFmtId="247" fontId="305" fillId="107" borderId="0" xfId="20449" applyNumberFormat="1" applyFont="1" applyFill="1"/>
    <xf numFmtId="0" fontId="320" fillId="69" borderId="241" xfId="20448" applyFont="1" applyFill="1" applyBorder="1" applyAlignment="1">
      <alignment horizontal="left" indent="1"/>
    </xf>
    <xf numFmtId="247" fontId="0" fillId="0" borderId="0" xfId="20449" applyNumberFormat="1" applyFont="1" applyFill="1"/>
    <xf numFmtId="0" fontId="320" fillId="69" borderId="242" xfId="20448" applyFont="1" applyFill="1" applyBorder="1" applyAlignment="1">
      <alignment horizontal="left" indent="1"/>
    </xf>
    <xf numFmtId="43" fontId="110" fillId="0" borderId="259" xfId="20449" applyFont="1" applyFill="1" applyBorder="1"/>
    <xf numFmtId="0" fontId="2" fillId="0" borderId="0" xfId="20448" applyFill="1" applyBorder="1"/>
    <xf numFmtId="0" fontId="319" fillId="69" borderId="242" xfId="20448" applyFont="1" applyFill="1" applyBorder="1" applyAlignment="1">
      <alignment horizontal="left"/>
    </xf>
    <xf numFmtId="43" fontId="316" fillId="0" borderId="259" xfId="20449" applyFont="1" applyFill="1" applyBorder="1" applyAlignment="1">
      <alignment horizontal="center" wrapText="1"/>
    </xf>
    <xf numFmtId="43" fontId="316" fillId="0" borderId="0" xfId="20449" applyFont="1" applyFill="1" applyBorder="1" applyAlignment="1">
      <alignment horizontal="center" wrapText="1"/>
    </xf>
    <xf numFmtId="43" fontId="301" fillId="0" borderId="0" xfId="20449" applyFont="1" applyFill="1" applyBorder="1" applyAlignment="1">
      <alignment horizontal="center"/>
    </xf>
    <xf numFmtId="43" fontId="301" fillId="0" borderId="0" xfId="20449" applyFont="1" applyFill="1" applyBorder="1" applyAlignment="1">
      <alignment horizontal="right"/>
    </xf>
    <xf numFmtId="43" fontId="301" fillId="0" borderId="0" xfId="20449" applyFont="1" applyFill="1" applyBorder="1" applyAlignment="1">
      <alignment horizontal="left"/>
    </xf>
    <xf numFmtId="165" fontId="301" fillId="0" borderId="0" xfId="20448" applyNumberFormat="1" applyFont="1" applyFill="1" applyBorder="1" applyAlignment="1">
      <alignment horizontal="right"/>
    </xf>
    <xf numFmtId="0" fontId="301" fillId="0" borderId="0" xfId="20448" applyFont="1" applyFill="1" applyBorder="1" applyAlignment="1">
      <alignment horizontal="center"/>
    </xf>
    <xf numFmtId="0" fontId="301" fillId="0" borderId="242" xfId="20448" applyFont="1" applyFill="1" applyBorder="1" applyAlignment="1">
      <alignment horizontal="center"/>
    </xf>
    <xf numFmtId="0" fontId="295" fillId="69" borderId="242" xfId="20448" applyFont="1" applyFill="1" applyBorder="1" applyAlignment="1">
      <alignment horizontal="left"/>
    </xf>
    <xf numFmtId="0" fontId="2" fillId="0" borderId="259" xfId="20448" applyFill="1" applyBorder="1"/>
    <xf numFmtId="37" fontId="302" fillId="0" borderId="259" xfId="20448" applyNumberFormat="1" applyFont="1" applyFill="1" applyBorder="1"/>
    <xf numFmtId="247" fontId="110" fillId="0" borderId="259" xfId="20449" applyNumberFormat="1" applyFont="1" applyFill="1" applyBorder="1"/>
    <xf numFmtId="0" fontId="304" fillId="69" borderId="242" xfId="106" applyFont="1" applyFill="1" applyBorder="1" applyAlignment="1">
      <alignment horizontal="left" wrapText="1"/>
    </xf>
    <xf numFmtId="0" fontId="299" fillId="69" borderId="242" xfId="106" applyFont="1" applyFill="1" applyBorder="1" applyAlignment="1">
      <alignment horizontal="left" wrapText="1"/>
    </xf>
    <xf numFmtId="0" fontId="301" fillId="69" borderId="242" xfId="106" applyFont="1" applyFill="1" applyBorder="1" applyAlignment="1">
      <alignment horizontal="left" wrapText="1" indent="1"/>
    </xf>
    <xf numFmtId="0" fontId="301" fillId="69" borderId="242" xfId="106" applyFont="1" applyFill="1" applyBorder="1" applyAlignment="1">
      <alignment horizontal="left" wrapText="1"/>
    </xf>
    <xf numFmtId="0" fontId="2" fillId="69" borderId="0" xfId="20448" applyFill="1"/>
    <xf numFmtId="0" fontId="316" fillId="69" borderId="0" xfId="106" applyFont="1" applyFill="1" applyBorder="1" applyAlignment="1">
      <alignment horizontal="left" indent="1"/>
    </xf>
    <xf numFmtId="44" fontId="110" fillId="0" borderId="0" xfId="20448" applyNumberFormat="1" applyFont="1"/>
    <xf numFmtId="308" fontId="110" fillId="0" borderId="0" xfId="20448" applyNumberFormat="1" applyFont="1"/>
    <xf numFmtId="0" fontId="110" fillId="0" borderId="0" xfId="20448" applyFont="1"/>
    <xf numFmtId="165" fontId="110" fillId="0" borderId="0" xfId="20450" applyNumberFormat="1" applyFont="1" applyFill="1"/>
    <xf numFmtId="165" fontId="110" fillId="0" borderId="0" xfId="20450" applyNumberFormat="1" applyFont="1"/>
    <xf numFmtId="3" fontId="110" fillId="0" borderId="0" xfId="20448" applyNumberFormat="1" applyFont="1"/>
    <xf numFmtId="0" fontId="288" fillId="96" borderId="0" xfId="20434" applyFont="1" applyFill="1" applyAlignment="1">
      <alignment horizontal="right" vertical="top"/>
    </xf>
    <xf numFmtId="169" fontId="161" fillId="71" borderId="257" xfId="0" applyNumberFormat="1" applyFont="1" applyFill="1" applyBorder="1"/>
    <xf numFmtId="3" fontId="161" fillId="71" borderId="260" xfId="20442" applyNumberFormat="1" applyFont="1" applyFill="1" applyBorder="1" applyAlignment="1">
      <alignment horizontal="left" vertical="center"/>
    </xf>
    <xf numFmtId="169" fontId="238" fillId="73" borderId="0" xfId="0" applyNumberFormat="1" applyFont="1" applyFill="1" applyBorder="1"/>
    <xf numFmtId="0" fontId="158" fillId="0" borderId="0" xfId="20442" quotePrefix="1" applyNumberFormat="1" applyFont="1" applyFill="1" applyBorder="1" applyAlignment="1" applyProtection="1">
      <alignment horizontal="left"/>
    </xf>
    <xf numFmtId="247" fontId="158" fillId="0" borderId="0" xfId="20442" quotePrefix="1" applyNumberFormat="1" applyFont="1" applyFill="1" applyBorder="1" applyAlignment="1" applyProtection="1">
      <alignment vertical="top"/>
    </xf>
    <xf numFmtId="3" fontId="30" fillId="0" borderId="0" xfId="20442" applyNumberFormat="1" applyFont="1" applyFill="1" applyBorder="1" applyAlignment="1">
      <alignment horizontal="left" vertical="center"/>
    </xf>
    <xf numFmtId="169" fontId="161" fillId="71" borderId="261" xfId="0" applyNumberFormat="1" applyFont="1" applyFill="1" applyBorder="1"/>
    <xf numFmtId="169" fontId="30" fillId="70" borderId="0" xfId="0" applyNumberFormat="1" applyFont="1" applyFill="1" applyBorder="1"/>
    <xf numFmtId="247" fontId="158" fillId="0" borderId="0" xfId="20442" quotePrefix="1" applyNumberFormat="1" applyFont="1" applyFill="1" applyBorder="1" applyAlignment="1" applyProtection="1"/>
    <xf numFmtId="3" fontId="30" fillId="0" borderId="0" xfId="20442" applyNumberFormat="1" applyFont="1" applyFill="1" applyBorder="1" applyAlignment="1">
      <alignment horizontal="left" vertical="top"/>
    </xf>
    <xf numFmtId="247" fontId="160" fillId="0" borderId="0" xfId="20442" applyNumberFormat="1" applyFont="1" applyFill="1" applyBorder="1" applyAlignment="1" applyProtection="1">
      <alignment vertical="top"/>
    </xf>
    <xf numFmtId="0" fontId="158" fillId="0" borderId="0" xfId="20442" applyFont="1" applyFill="1" applyBorder="1" applyAlignment="1" applyProtection="1">
      <alignment vertical="top"/>
    </xf>
    <xf numFmtId="43" fontId="160" fillId="0" borderId="0" xfId="0" applyNumberFormat="1" applyFont="1"/>
    <xf numFmtId="14" fontId="158" fillId="0" borderId="61" xfId="0" applyNumberFormat="1" applyFont="1" applyBorder="1" applyAlignment="1">
      <alignment horizontal="center"/>
    </xf>
    <xf numFmtId="0" fontId="158" fillId="0" borderId="234" xfId="0" applyFont="1" applyBorder="1"/>
    <xf numFmtId="0" fontId="158" fillId="0" borderId="235" xfId="0" applyFont="1" applyBorder="1"/>
    <xf numFmtId="0" fontId="158" fillId="0" borderId="236" xfId="0" applyFont="1" applyBorder="1"/>
    <xf numFmtId="165" fontId="132" fillId="0" borderId="0" xfId="0" applyNumberFormat="1" applyFont="1" applyFill="1"/>
    <xf numFmtId="0" fontId="158" fillId="0" borderId="0" xfId="20382" applyFont="1" applyAlignment="1">
      <alignment vertical="top" wrapText="1"/>
    </xf>
    <xf numFmtId="165" fontId="191" fillId="0" borderId="0" xfId="20382" applyNumberFormat="1" applyFont="1" applyBorder="1" applyAlignment="1">
      <alignment vertical="top"/>
    </xf>
    <xf numFmtId="165" fontId="30" fillId="0" borderId="0" xfId="20382" applyNumberFormat="1" applyFont="1" applyBorder="1" applyAlignment="1">
      <alignment vertical="top"/>
    </xf>
    <xf numFmtId="0" fontId="158" fillId="0" borderId="211" xfId="20382" applyFont="1" applyBorder="1" applyAlignment="1">
      <alignment horizontal="left" vertical="center"/>
    </xf>
    <xf numFmtId="167" fontId="30" fillId="0" borderId="0" xfId="20439" applyNumberFormat="1" applyFont="1"/>
    <xf numFmtId="0" fontId="158" fillId="0" borderId="211" xfId="20382" applyFont="1" applyFill="1" applyBorder="1"/>
    <xf numFmtId="0" fontId="170" fillId="72" borderId="234" xfId="20382" applyFont="1" applyFill="1" applyBorder="1" applyAlignment="1">
      <alignment horizontal="center" wrapText="1"/>
    </xf>
    <xf numFmtId="0" fontId="170" fillId="72" borderId="235" xfId="20382" applyFont="1" applyFill="1" applyBorder="1" applyAlignment="1">
      <alignment horizontal="center" wrapText="1"/>
    </xf>
    <xf numFmtId="0" fontId="170" fillId="72" borderId="236" xfId="20382" applyFont="1" applyFill="1" applyBorder="1" applyAlignment="1">
      <alignment horizontal="center" wrapText="1"/>
    </xf>
    <xf numFmtId="0" fontId="170" fillId="72" borderId="235" xfId="20382" applyFont="1" applyFill="1" applyBorder="1" applyAlignment="1">
      <alignment horizontal="center"/>
    </xf>
    <xf numFmtId="0" fontId="170" fillId="72" borderId="236" xfId="20382" applyFont="1" applyFill="1" applyBorder="1" applyAlignment="1">
      <alignment horizontal="center"/>
    </xf>
    <xf numFmtId="0" fontId="321" fillId="0" borderId="93" xfId="20411" applyFont="1" applyBorder="1" applyAlignment="1">
      <alignment horizontal="left"/>
    </xf>
    <xf numFmtId="0" fontId="322" fillId="0" borderId="124" xfId="20411" applyFont="1" applyBorder="1" applyAlignment="1">
      <alignment horizontal="left"/>
    </xf>
    <xf numFmtId="0" fontId="323" fillId="0" borderId="124" xfId="20411" applyFont="1" applyBorder="1" applyAlignment="1">
      <alignment horizontal="center"/>
    </xf>
    <xf numFmtId="0" fontId="321" fillId="0" borderId="124" xfId="20411" applyFont="1" applyBorder="1" applyAlignment="1">
      <alignment horizontal="center"/>
    </xf>
    <xf numFmtId="0" fontId="324" fillId="0" borderId="124" xfId="20411" applyFont="1" applyBorder="1" applyAlignment="1">
      <alignment horizontal="center"/>
    </xf>
    <xf numFmtId="0" fontId="110" fillId="0" borderId="0" xfId="20411"/>
    <xf numFmtId="0" fontId="325" fillId="108" borderId="236" xfId="20411" applyFont="1" applyFill="1" applyBorder="1" applyAlignment="1">
      <alignment horizontal="left"/>
    </xf>
    <xf numFmtId="0" fontId="326" fillId="108" borderId="221" xfId="20411" applyFont="1" applyFill="1" applyBorder="1" applyAlignment="1">
      <alignment horizontal="left"/>
    </xf>
    <xf numFmtId="0" fontId="325" fillId="108" borderId="221" xfId="20411" applyFont="1" applyFill="1" applyBorder="1" applyAlignment="1">
      <alignment horizontal="center"/>
    </xf>
    <xf numFmtId="10" fontId="325" fillId="108" borderId="221" xfId="20451" applyNumberFormat="1" applyFont="1" applyFill="1" applyBorder="1" applyAlignment="1">
      <alignment horizontal="center"/>
    </xf>
    <xf numFmtId="10" fontId="327" fillId="109" borderId="221" xfId="20411" applyNumberFormat="1" applyFont="1" applyFill="1" applyBorder="1" applyAlignment="1">
      <alignment horizontal="center"/>
    </xf>
    <xf numFmtId="0" fontId="325" fillId="0" borderId="236" xfId="20411" applyFont="1" applyBorder="1" applyAlignment="1">
      <alignment horizontal="left"/>
    </xf>
    <xf numFmtId="0" fontId="326" fillId="0" borderId="221" xfId="20411" applyFont="1" applyBorder="1" applyAlignment="1">
      <alignment horizontal="left"/>
    </xf>
    <xf numFmtId="0" fontId="325" fillId="0" borderId="221" xfId="20411" applyFont="1" applyBorder="1" applyAlignment="1">
      <alignment horizontal="center"/>
    </xf>
    <xf numFmtId="10" fontId="325" fillId="0" borderId="221" xfId="20451" applyNumberFormat="1" applyFont="1" applyBorder="1" applyAlignment="1">
      <alignment horizontal="center"/>
    </xf>
    <xf numFmtId="10" fontId="327" fillId="0" borderId="221" xfId="20411" applyNumberFormat="1" applyFont="1" applyBorder="1" applyAlignment="1">
      <alignment horizontal="center"/>
    </xf>
    <xf numFmtId="0" fontId="110" fillId="108" borderId="221" xfId="20411" applyFont="1" applyFill="1" applyBorder="1"/>
    <xf numFmtId="0" fontId="110" fillId="0" borderId="221" xfId="20411" applyBorder="1"/>
    <xf numFmtId="0" fontId="110" fillId="0" borderId="221" xfId="20411" applyBorder="1" applyAlignment="1">
      <alignment horizontal="center"/>
    </xf>
    <xf numFmtId="10" fontId="110" fillId="0" borderId="221" xfId="20411" applyNumberFormat="1" applyBorder="1" applyAlignment="1">
      <alignment horizontal="center"/>
    </xf>
    <xf numFmtId="0" fontId="110" fillId="0" borderId="221" xfId="20411" applyFont="1" applyBorder="1"/>
    <xf numFmtId="0" fontId="110" fillId="0" borderId="0" xfId="20411" applyAlignment="1">
      <alignment horizontal="center"/>
    </xf>
    <xf numFmtId="10" fontId="132" fillId="0" borderId="0" xfId="0" applyNumberFormat="1" applyFont="1" applyFill="1"/>
    <xf numFmtId="0" fontId="158" fillId="0" borderId="262" xfId="0" applyFont="1" applyBorder="1"/>
    <xf numFmtId="165" fontId="30" fillId="0" borderId="262" xfId="0" applyNumberFormat="1" applyFont="1" applyBorder="1"/>
    <xf numFmtId="0" fontId="170" fillId="72" borderId="264" xfId="20382" applyFont="1" applyFill="1" applyBorder="1" applyAlignment="1">
      <alignment wrapText="1"/>
    </xf>
    <xf numFmtId="0" fontId="56" fillId="0" borderId="0" xfId="11846" applyFont="1" applyFill="1"/>
    <xf numFmtId="0" fontId="56" fillId="0" borderId="0" xfId="11846" applyFont="1"/>
    <xf numFmtId="167" fontId="56" fillId="0" borderId="0" xfId="20452" applyNumberFormat="1" applyFont="1"/>
    <xf numFmtId="0" fontId="56" fillId="0" borderId="0" xfId="11846" applyFont="1" applyAlignment="1">
      <alignment horizontal="center"/>
    </xf>
    <xf numFmtId="0" fontId="56" fillId="0" borderId="0" xfId="11846" applyNumberFormat="1" applyFont="1"/>
    <xf numFmtId="0" fontId="158" fillId="0" borderId="0" xfId="20453" applyFont="1"/>
    <xf numFmtId="167" fontId="164" fillId="68" borderId="56" xfId="20452" applyNumberFormat="1" applyFont="1" applyFill="1" applyBorder="1" applyAlignment="1"/>
    <xf numFmtId="0" fontId="164" fillId="68" borderId="56" xfId="11155" applyNumberFormat="1" applyFont="1" applyFill="1" applyBorder="1" applyAlignment="1"/>
    <xf numFmtId="167" fontId="164" fillId="68" borderId="0" xfId="20452" applyNumberFormat="1" applyFont="1" applyFill="1" applyBorder="1" applyAlignment="1"/>
    <xf numFmtId="0" fontId="164" fillId="68" borderId="0" xfId="11155" applyNumberFormat="1" applyFont="1" applyFill="1" applyBorder="1" applyAlignment="1"/>
    <xf numFmtId="167" fontId="164" fillId="68" borderId="57" xfId="20452" applyNumberFormat="1" applyFont="1" applyFill="1" applyBorder="1" applyAlignment="1"/>
    <xf numFmtId="0" fontId="164" fillId="68" borderId="57" xfId="11155" applyNumberFormat="1" applyFont="1" applyFill="1" applyBorder="1" applyAlignment="1"/>
    <xf numFmtId="0" fontId="158" fillId="0" borderId="0" xfId="20453" applyFont="1" applyFill="1"/>
    <xf numFmtId="0" fontId="158" fillId="0" borderId="0" xfId="20453" applyFont="1" applyBorder="1"/>
    <xf numFmtId="14" fontId="158" fillId="0" borderId="0" xfId="20453" applyNumberFormat="1" applyFont="1" applyBorder="1" applyAlignment="1">
      <alignment horizontal="right"/>
    </xf>
    <xf numFmtId="167" fontId="158" fillId="0" borderId="0" xfId="20452" applyNumberFormat="1" applyFont="1"/>
    <xf numFmtId="0" fontId="158" fillId="0" borderId="0" xfId="20453" applyFont="1" applyAlignment="1">
      <alignment horizontal="center"/>
    </xf>
    <xf numFmtId="0" fontId="158" fillId="0" borderId="0" xfId="20453" applyNumberFormat="1" applyFont="1"/>
    <xf numFmtId="0" fontId="328" fillId="0" borderId="0" xfId="11846" applyNumberFormat="1" applyFont="1" applyFill="1" applyAlignment="1">
      <alignment vertical="top" wrapText="1"/>
    </xf>
    <xf numFmtId="0" fontId="170" fillId="72" borderId="265" xfId="20453" applyFont="1" applyFill="1" applyBorder="1" applyAlignment="1">
      <alignment horizontal="center" wrapText="1"/>
    </xf>
    <xf numFmtId="0" fontId="170" fillId="72" borderId="266" xfId="20453" applyFont="1" applyFill="1" applyBorder="1" applyAlignment="1">
      <alignment horizontal="center" wrapText="1"/>
    </xf>
    <xf numFmtId="167" fontId="170" fillId="72" borderId="266" xfId="20452" applyNumberFormat="1" applyFont="1" applyFill="1" applyBorder="1" applyAlignment="1">
      <alignment horizontal="center" wrapText="1"/>
    </xf>
    <xf numFmtId="0" fontId="170" fillId="72" borderId="263" xfId="20453" applyFont="1" applyFill="1" applyBorder="1" applyAlignment="1">
      <alignment horizontal="center" wrapText="1"/>
    </xf>
    <xf numFmtId="0" fontId="30" fillId="0" borderId="265" xfId="11846" applyFont="1" applyBorder="1"/>
    <xf numFmtId="164" fontId="239" fillId="0" borderId="263" xfId="11846" applyNumberFormat="1" applyFont="1" applyBorder="1"/>
    <xf numFmtId="0" fontId="170" fillId="0" borderId="0" xfId="20453" applyFont="1" applyFill="1" applyBorder="1" applyAlignment="1">
      <alignment horizontal="center" wrapText="1"/>
    </xf>
    <xf numFmtId="167" fontId="170" fillId="0" borderId="0" xfId="20452" applyNumberFormat="1" applyFont="1" applyFill="1" applyBorder="1" applyAlignment="1">
      <alignment horizontal="center" wrapText="1"/>
    </xf>
    <xf numFmtId="0" fontId="170" fillId="0" borderId="0" xfId="20453" applyNumberFormat="1" applyFont="1" applyFill="1" applyBorder="1" applyAlignment="1">
      <alignment horizontal="center" wrapText="1"/>
    </xf>
    <xf numFmtId="164" fontId="56" fillId="0" borderId="0" xfId="11846" applyNumberFormat="1" applyFont="1" applyFill="1"/>
    <xf numFmtId="0" fontId="329" fillId="0" borderId="265" xfId="11846" applyFont="1" applyBorder="1" applyAlignment="1">
      <alignment horizontal="left" vertical="top"/>
    </xf>
    <xf numFmtId="0" fontId="170" fillId="0" borderId="266" xfId="20453" applyFont="1" applyFill="1" applyBorder="1" applyAlignment="1">
      <alignment horizontal="center" wrapText="1"/>
    </xf>
    <xf numFmtId="167" fontId="170" fillId="0" borderId="266" xfId="20452" applyNumberFormat="1" applyFont="1" applyFill="1" applyBorder="1" applyAlignment="1">
      <alignment horizontal="center" wrapText="1"/>
    </xf>
    <xf numFmtId="0" fontId="170" fillId="0" borderId="263" xfId="20453" applyFont="1" applyFill="1" applyBorder="1" applyAlignment="1">
      <alignment horizontal="center" wrapText="1"/>
    </xf>
    <xf numFmtId="0" fontId="330" fillId="0" borderId="0" xfId="11846" applyFont="1" applyBorder="1" applyAlignment="1">
      <alignment horizontal="left" vertical="top" wrapText="1"/>
    </xf>
    <xf numFmtId="0" fontId="330" fillId="0" borderId="0" xfId="11846" applyFont="1" applyFill="1" applyAlignment="1">
      <alignment horizontal="center" vertical="top" wrapText="1"/>
    </xf>
    <xf numFmtId="0" fontId="330" fillId="0" borderId="0" xfId="11846" applyFont="1" applyAlignment="1">
      <alignment horizontal="left" vertical="top" wrapText="1"/>
    </xf>
    <xf numFmtId="0" fontId="330" fillId="0" borderId="0" xfId="11846" applyFont="1" applyAlignment="1">
      <alignment horizontal="center" vertical="top" wrapText="1"/>
    </xf>
    <xf numFmtId="164" fontId="330" fillId="0" borderId="0" xfId="11846" applyNumberFormat="1" applyFont="1" applyAlignment="1">
      <alignment horizontal="center" vertical="top" wrapText="1"/>
    </xf>
    <xf numFmtId="10" fontId="330" fillId="0" borderId="0" xfId="11846" applyNumberFormat="1" applyFont="1" applyAlignment="1">
      <alignment horizontal="right" vertical="top" wrapText="1"/>
    </xf>
    <xf numFmtId="167" fontId="330" fillId="0" borderId="0" xfId="11846" applyNumberFormat="1" applyFont="1" applyFill="1" applyAlignment="1">
      <alignment horizontal="right" vertical="top" wrapText="1"/>
    </xf>
    <xf numFmtId="167" fontId="330" fillId="0" borderId="0" xfId="11846" applyNumberFormat="1" applyFont="1" applyAlignment="1">
      <alignment horizontal="right" vertical="top" wrapText="1"/>
    </xf>
    <xf numFmtId="167" fontId="330" fillId="0" borderId="0" xfId="20452" applyNumberFormat="1" applyFont="1" applyAlignment="1">
      <alignment horizontal="center" vertical="top" wrapText="1"/>
    </xf>
    <xf numFmtId="0" fontId="330" fillId="0" borderId="0" xfId="11846" applyNumberFormat="1" applyFont="1" applyAlignment="1">
      <alignment horizontal="center" vertical="top" wrapText="1"/>
    </xf>
    <xf numFmtId="164" fontId="330" fillId="0" borderId="0" xfId="11846" applyNumberFormat="1" applyFont="1" applyFill="1" applyAlignment="1">
      <alignment horizontal="center" vertical="top" wrapText="1"/>
    </xf>
    <xf numFmtId="10" fontId="30" fillId="0" borderId="0" xfId="12422" applyNumberFormat="1" applyFont="1" applyAlignment="1">
      <alignment vertical="top"/>
    </xf>
    <xf numFmtId="10" fontId="30" fillId="0" borderId="0" xfId="11846" applyNumberFormat="1" applyFont="1" applyFill="1" applyAlignment="1">
      <alignment horizontal="right" vertical="top"/>
    </xf>
    <xf numFmtId="0" fontId="30" fillId="0" borderId="0" xfId="11846" applyFont="1" applyFill="1"/>
    <xf numFmtId="0" fontId="30" fillId="0" borderId="0" xfId="11846" applyFont="1" applyAlignment="1">
      <alignment horizontal="center"/>
    </xf>
    <xf numFmtId="0" fontId="30" fillId="0" borderId="0" xfId="11846" applyFont="1" applyAlignment="1">
      <alignment horizontal="right"/>
    </xf>
    <xf numFmtId="167" fontId="30" fillId="0" borderId="0" xfId="11846" applyNumberFormat="1" applyFont="1"/>
    <xf numFmtId="167" fontId="30" fillId="0" borderId="0" xfId="20452" applyNumberFormat="1" applyFont="1"/>
    <xf numFmtId="0" fontId="170" fillId="0" borderId="266" xfId="20453" applyFont="1" applyFill="1" applyBorder="1" applyAlignment="1">
      <alignment horizontal="right" wrapText="1"/>
    </xf>
    <xf numFmtId="167" fontId="170" fillId="0" borderId="266" xfId="20453" applyNumberFormat="1" applyFont="1" applyFill="1" applyBorder="1" applyAlignment="1">
      <alignment horizontal="center" wrapText="1"/>
    </xf>
    <xf numFmtId="0" fontId="170" fillId="0" borderId="263" xfId="20453" applyFont="1" applyFill="1" applyBorder="1" applyAlignment="1">
      <alignment horizontal="right" wrapText="1"/>
    </xf>
    <xf numFmtId="0" fontId="330" fillId="0" borderId="0" xfId="11846" applyFont="1" applyFill="1" applyAlignment="1">
      <alignment horizontal="left" vertical="top" wrapText="1"/>
    </xf>
    <xf numFmtId="167" fontId="330" fillId="0" borderId="0" xfId="20452" applyNumberFormat="1" applyFont="1" applyFill="1" applyAlignment="1">
      <alignment horizontal="right" vertical="top" wrapText="1"/>
    </xf>
    <xf numFmtId="43" fontId="330" fillId="0" borderId="0" xfId="12427" applyFont="1" applyFill="1" applyAlignment="1">
      <alignment horizontal="right" vertical="top" wrapText="1"/>
    </xf>
    <xf numFmtId="14" fontId="330" fillId="0" borderId="0" xfId="11846" applyNumberFormat="1" applyFont="1" applyFill="1" applyAlignment="1">
      <alignment horizontal="center" vertical="top" wrapText="1"/>
    </xf>
    <xf numFmtId="0" fontId="330" fillId="0" borderId="0" xfId="11846" applyNumberFormat="1" applyFont="1" applyFill="1" applyAlignment="1">
      <alignment horizontal="center" vertical="top" wrapText="1"/>
    </xf>
    <xf numFmtId="10" fontId="330" fillId="0" borderId="0" xfId="11846" applyNumberFormat="1" applyFont="1" applyFill="1" applyAlignment="1">
      <alignment horizontal="right" vertical="top" wrapText="1"/>
    </xf>
    <xf numFmtId="10" fontId="30" fillId="0" borderId="0" xfId="11846" applyNumberFormat="1" applyFont="1" applyAlignment="1">
      <alignment horizontal="right" vertical="top"/>
    </xf>
    <xf numFmtId="167" fontId="330" fillId="0" borderId="0" xfId="20452" applyNumberFormat="1" applyFont="1" applyAlignment="1">
      <alignment horizontal="right" vertical="top" wrapText="1"/>
    </xf>
    <xf numFmtId="0" fontId="330" fillId="0" borderId="0" xfId="11846" applyNumberFormat="1" applyFont="1" applyAlignment="1">
      <alignment horizontal="right" vertical="top" wrapText="1"/>
    </xf>
    <xf numFmtId="0" fontId="30" fillId="0" borderId="0" xfId="11846" applyFont="1" applyBorder="1" applyAlignment="1">
      <alignment horizontal="left" vertical="top" wrapText="1"/>
    </xf>
    <xf numFmtId="0" fontId="30" fillId="0" borderId="0" xfId="11846" applyFont="1" applyBorder="1" applyAlignment="1">
      <alignment horizontal="center" vertical="top" wrapText="1"/>
    </xf>
    <xf numFmtId="164" fontId="30" fillId="0" borderId="0" xfId="11846" applyNumberFormat="1" applyFont="1" applyBorder="1" applyAlignment="1">
      <alignment horizontal="center" vertical="top" wrapText="1"/>
    </xf>
    <xf numFmtId="10" fontId="30" fillId="0" borderId="0" xfId="11846" applyNumberFormat="1" applyFont="1" applyBorder="1" applyAlignment="1">
      <alignment horizontal="right" vertical="top"/>
    </xf>
    <xf numFmtId="167" fontId="30" fillId="0" borderId="0" xfId="20452" applyNumberFormat="1" applyFont="1" applyBorder="1" applyAlignment="1">
      <alignment horizontal="right" vertical="top" wrapText="1"/>
    </xf>
    <xf numFmtId="0" fontId="30" fillId="0" borderId="0" xfId="11846" applyNumberFormat="1" applyFont="1" applyBorder="1" applyAlignment="1">
      <alignment horizontal="right" vertical="top" wrapText="1"/>
    </xf>
    <xf numFmtId="0" fontId="30" fillId="0" borderId="0" xfId="11846" applyNumberFormat="1" applyFont="1" applyBorder="1" applyAlignment="1">
      <alignment horizontal="center" vertical="top" wrapText="1"/>
    </xf>
    <xf numFmtId="10" fontId="30" fillId="0" borderId="0" xfId="11846" applyNumberFormat="1" applyFont="1" applyBorder="1" applyAlignment="1">
      <alignment horizontal="right" vertical="top" wrapText="1"/>
    </xf>
    <xf numFmtId="0" fontId="56" fillId="0" borderId="0" xfId="11846" applyFont="1" applyAlignment="1">
      <alignment horizontal="right"/>
    </xf>
    <xf numFmtId="167" fontId="56" fillId="0" borderId="0" xfId="11846" applyNumberFormat="1" applyFont="1"/>
    <xf numFmtId="0" fontId="56" fillId="0" borderId="0" xfId="11846" applyFont="1" applyFill="1" applyBorder="1"/>
    <xf numFmtId="0" fontId="330" fillId="0" borderId="0" xfId="11846" applyFont="1" applyBorder="1" applyAlignment="1">
      <alignment horizontal="center" vertical="top" wrapText="1"/>
    </xf>
    <xf numFmtId="164" fontId="330" fillId="0" borderId="0" xfId="11846" applyNumberFormat="1" applyFont="1" applyBorder="1" applyAlignment="1">
      <alignment horizontal="center" vertical="top" wrapText="1"/>
    </xf>
    <xf numFmtId="167" fontId="330" fillId="0" borderId="0" xfId="11846" applyNumberFormat="1" applyFont="1" applyBorder="1" applyAlignment="1">
      <alignment horizontal="right" vertical="top" wrapText="1"/>
    </xf>
    <xf numFmtId="167" fontId="330" fillId="0" borderId="0" xfId="20452" applyNumberFormat="1" applyFont="1" applyBorder="1" applyAlignment="1">
      <alignment horizontal="right" vertical="top" wrapText="1"/>
    </xf>
    <xf numFmtId="167" fontId="330" fillId="0" borderId="0" xfId="20452" applyNumberFormat="1" applyFont="1" applyBorder="1" applyAlignment="1">
      <alignment horizontal="center" vertical="top" wrapText="1"/>
    </xf>
    <xf numFmtId="0" fontId="330" fillId="0" borderId="0" xfId="11846" applyNumberFormat="1" applyFont="1" applyBorder="1" applyAlignment="1">
      <alignment horizontal="center" vertical="top" wrapText="1"/>
    </xf>
    <xf numFmtId="10" fontId="330" fillId="0" borderId="0" xfId="11846" applyNumberFormat="1" applyFont="1" applyBorder="1" applyAlignment="1">
      <alignment horizontal="right" vertical="top" wrapText="1"/>
    </xf>
    <xf numFmtId="0" fontId="56" fillId="0" borderId="0" xfId="11846" applyFont="1" applyBorder="1"/>
    <xf numFmtId="167" fontId="330" fillId="0" borderId="0" xfId="20452" applyNumberFormat="1" applyFont="1" applyFill="1" applyAlignment="1">
      <alignment horizontal="center" vertical="top" wrapText="1"/>
    </xf>
    <xf numFmtId="0" fontId="330" fillId="0" borderId="0" xfId="11846" applyFont="1" applyFill="1" applyBorder="1" applyAlignment="1">
      <alignment horizontal="left" vertical="top" wrapText="1"/>
    </xf>
    <xf numFmtId="0" fontId="330" fillId="0" borderId="0" xfId="11846" applyFont="1" applyFill="1" applyBorder="1" applyAlignment="1">
      <alignment horizontal="center" vertical="top" wrapText="1"/>
    </xf>
    <xf numFmtId="164" fontId="330" fillId="0" borderId="0" xfId="11846" applyNumberFormat="1" applyFont="1" applyFill="1" applyBorder="1" applyAlignment="1">
      <alignment horizontal="center" vertical="top" wrapText="1"/>
    </xf>
    <xf numFmtId="10" fontId="30" fillId="0" borderId="0" xfId="11846" applyNumberFormat="1" applyFont="1" applyFill="1" applyBorder="1" applyAlignment="1">
      <alignment horizontal="right" vertical="top"/>
    </xf>
    <xf numFmtId="167" fontId="330" fillId="0" borderId="0" xfId="11846" applyNumberFormat="1" applyFont="1" applyFill="1" applyBorder="1" applyAlignment="1">
      <alignment horizontal="right" vertical="top" wrapText="1"/>
    </xf>
    <xf numFmtId="167" fontId="330" fillId="0" borderId="0" xfId="20452" applyNumberFormat="1" applyFont="1" applyFill="1" applyBorder="1" applyAlignment="1">
      <alignment horizontal="center" vertical="top" wrapText="1"/>
    </xf>
    <xf numFmtId="0" fontId="330" fillId="0" borderId="0" xfId="11846" applyNumberFormat="1" applyFont="1" applyFill="1" applyBorder="1" applyAlignment="1">
      <alignment horizontal="center" vertical="top" wrapText="1"/>
    </xf>
    <xf numFmtId="10" fontId="330" fillId="0" borderId="0" xfId="11846" applyNumberFormat="1" applyFont="1" applyFill="1" applyBorder="1" applyAlignment="1">
      <alignment horizontal="right" vertical="top" wrapText="1"/>
    </xf>
    <xf numFmtId="0" fontId="160" fillId="71" borderId="262" xfId="20454" applyFont="1" applyFill="1" applyBorder="1"/>
    <xf numFmtId="10" fontId="160" fillId="71" borderId="264" xfId="20454" applyNumberFormat="1" applyFont="1" applyFill="1" applyBorder="1"/>
    <xf numFmtId="10" fontId="56" fillId="0" borderId="0" xfId="11846" applyNumberFormat="1" applyFont="1"/>
    <xf numFmtId="0" fontId="160" fillId="71" borderId="61" xfId="20454" applyFont="1" applyFill="1" applyBorder="1"/>
    <xf numFmtId="0" fontId="160" fillId="71" borderId="0" xfId="20454" applyFont="1" applyFill="1" applyBorder="1"/>
    <xf numFmtId="0" fontId="160" fillId="71" borderId="0" xfId="20454" applyFont="1" applyFill="1" applyBorder="1" applyAlignment="1">
      <alignment horizontal="center"/>
    </xf>
    <xf numFmtId="10" fontId="160" fillId="71" borderId="13" xfId="20454" applyNumberFormat="1" applyFont="1" applyFill="1" applyBorder="1"/>
    <xf numFmtId="0" fontId="160" fillId="71" borderId="123" xfId="20454" applyFont="1" applyFill="1" applyBorder="1"/>
    <xf numFmtId="0" fontId="160" fillId="71" borderId="45" xfId="20454" applyFont="1" applyFill="1" applyBorder="1"/>
    <xf numFmtId="0" fontId="160" fillId="71" borderId="45" xfId="20454" applyFont="1" applyFill="1" applyBorder="1" applyAlignment="1">
      <alignment horizontal="center"/>
    </xf>
    <xf numFmtId="10" fontId="160" fillId="71" borderId="93" xfId="20454" applyNumberFormat="1" applyFont="1" applyFill="1" applyBorder="1"/>
    <xf numFmtId="0" fontId="258" fillId="0" borderId="0" xfId="11846" applyFont="1"/>
    <xf numFmtId="0" fontId="30" fillId="0" borderId="0" xfId="11846" quotePrefix="1" applyFont="1" applyFill="1" applyAlignment="1">
      <alignment horizontal="right"/>
    </xf>
    <xf numFmtId="167" fontId="56" fillId="0" borderId="0" xfId="20452" applyNumberFormat="1" applyFont="1" applyFill="1"/>
    <xf numFmtId="0" fontId="56" fillId="0" borderId="0" xfId="11846" applyFont="1" applyFill="1" applyAlignment="1">
      <alignment horizontal="center"/>
    </xf>
    <xf numFmtId="0" fontId="330" fillId="110" borderId="0" xfId="11846" applyFont="1" applyFill="1" applyAlignment="1">
      <alignment horizontal="left" vertical="top" wrapText="1"/>
    </xf>
    <xf numFmtId="0" fontId="330" fillId="110" borderId="0" xfId="11846" applyFont="1" applyFill="1" applyAlignment="1">
      <alignment horizontal="center" vertical="top" wrapText="1"/>
    </xf>
    <xf numFmtId="164" fontId="330" fillId="110" borderId="0" xfId="11846" applyNumberFormat="1" applyFont="1" applyFill="1" applyAlignment="1">
      <alignment horizontal="center" vertical="top" wrapText="1"/>
    </xf>
    <xf numFmtId="10" fontId="30" fillId="110" borderId="0" xfId="11846" applyNumberFormat="1" applyFont="1" applyFill="1" applyAlignment="1">
      <alignment horizontal="right" vertical="top"/>
    </xf>
    <xf numFmtId="167" fontId="330" fillId="110" borderId="0" xfId="11846" applyNumberFormat="1" applyFont="1" applyFill="1" applyAlignment="1">
      <alignment horizontal="right" vertical="top" wrapText="1"/>
    </xf>
    <xf numFmtId="167" fontId="330" fillId="110" borderId="0" xfId="20452" applyNumberFormat="1" applyFont="1" applyFill="1" applyAlignment="1">
      <alignment horizontal="right" vertical="top" wrapText="1"/>
    </xf>
    <xf numFmtId="0" fontId="330" fillId="110" borderId="0" xfId="11846" applyNumberFormat="1" applyFont="1" applyFill="1" applyAlignment="1">
      <alignment horizontal="right" vertical="top" wrapText="1"/>
    </xf>
    <xf numFmtId="0" fontId="330" fillId="110" borderId="0" xfId="11846" applyNumberFormat="1" applyFont="1" applyFill="1" applyAlignment="1">
      <alignment horizontal="center" vertical="top" wrapText="1"/>
    </xf>
    <xf numFmtId="10" fontId="330" fillId="110" borderId="0" xfId="11846" applyNumberFormat="1" applyFont="1" applyFill="1" applyAlignment="1">
      <alignment horizontal="right" vertical="top" wrapText="1"/>
    </xf>
    <xf numFmtId="0" fontId="330" fillId="74" borderId="0" xfId="11846" applyFont="1" applyFill="1" applyAlignment="1">
      <alignment horizontal="left" vertical="top" wrapText="1"/>
    </xf>
    <xf numFmtId="0" fontId="330" fillId="74" borderId="0" xfId="11846" applyFont="1" applyFill="1" applyAlignment="1">
      <alignment horizontal="center" vertical="top" wrapText="1"/>
    </xf>
    <xf numFmtId="164" fontId="330" fillId="74" borderId="0" xfId="11846" applyNumberFormat="1" applyFont="1" applyFill="1" applyAlignment="1">
      <alignment horizontal="center" vertical="top" wrapText="1"/>
    </xf>
    <xf numFmtId="10" fontId="30" fillId="74" borderId="0" xfId="11846" applyNumberFormat="1" applyFont="1" applyFill="1" applyAlignment="1">
      <alignment horizontal="right" vertical="top"/>
    </xf>
    <xf numFmtId="167" fontId="330" fillId="74" borderId="0" xfId="11846" applyNumberFormat="1" applyFont="1" applyFill="1" applyAlignment="1">
      <alignment horizontal="right" vertical="top" wrapText="1"/>
    </xf>
    <xf numFmtId="167" fontId="330" fillId="74" borderId="0" xfId="20452" applyNumberFormat="1" applyFont="1" applyFill="1" applyAlignment="1">
      <alignment horizontal="right" vertical="top" wrapText="1"/>
    </xf>
    <xf numFmtId="0" fontId="330" fillId="74" borderId="0" xfId="11846" applyNumberFormat="1" applyFont="1" applyFill="1" applyAlignment="1">
      <alignment horizontal="right" vertical="top" wrapText="1"/>
    </xf>
    <xf numFmtId="0" fontId="330" fillId="74" borderId="0" xfId="11846" applyNumberFormat="1" applyFont="1" applyFill="1" applyAlignment="1">
      <alignment horizontal="center" vertical="top" wrapText="1"/>
    </xf>
    <xf numFmtId="10" fontId="330" fillId="74" borderId="0" xfId="11846" applyNumberFormat="1" applyFont="1" applyFill="1" applyAlignment="1">
      <alignment horizontal="right" vertical="top" wrapText="1"/>
    </xf>
    <xf numFmtId="0" fontId="236" fillId="0" borderId="0" xfId="0" applyNumberFormat="1" applyFont="1" applyAlignment="1">
      <alignment horizontal="center" vertical="top" wrapText="1"/>
    </xf>
    <xf numFmtId="0" fontId="236" fillId="74" borderId="0" xfId="0" applyNumberFormat="1" applyFont="1" applyFill="1" applyAlignment="1">
      <alignment horizontal="center" vertical="top" wrapText="1"/>
    </xf>
    <xf numFmtId="167" fontId="330" fillId="74" borderId="0" xfId="20452" applyNumberFormat="1" applyFont="1" applyFill="1" applyAlignment="1">
      <alignment horizontal="center" vertical="top" wrapText="1"/>
    </xf>
    <xf numFmtId="0" fontId="330" fillId="0" borderId="61" xfId="11846" applyFont="1" applyFill="1" applyBorder="1" applyAlignment="1">
      <alignment horizontal="left" vertical="top" wrapText="1"/>
    </xf>
    <xf numFmtId="10" fontId="330" fillId="0" borderId="13" xfId="11846" applyNumberFormat="1" applyFont="1" applyFill="1" applyBorder="1" applyAlignment="1">
      <alignment horizontal="right" vertical="top" wrapText="1"/>
    </xf>
    <xf numFmtId="10" fontId="245" fillId="0" borderId="0" xfId="11846" applyNumberFormat="1" applyFont="1" applyAlignment="1">
      <alignment horizontal="right" vertical="top"/>
    </xf>
    <xf numFmtId="10" fontId="160" fillId="71" borderId="0" xfId="20454" applyNumberFormat="1" applyFont="1" applyFill="1" applyBorder="1"/>
    <xf numFmtId="10" fontId="160" fillId="71" borderId="45" xfId="20454" applyNumberFormat="1" applyFont="1" applyFill="1" applyBorder="1"/>
    <xf numFmtId="0" fontId="191" fillId="0" borderId="226" xfId="20382" applyFont="1" applyBorder="1" applyAlignment="1">
      <alignment horizontal="right" vertical="center"/>
    </xf>
    <xf numFmtId="0" fontId="158" fillId="0" borderId="266" xfId="20382" applyFont="1" applyBorder="1"/>
    <xf numFmtId="43" fontId="158" fillId="0" borderId="0" xfId="20382" quotePrefix="1" applyNumberFormat="1" applyFont="1" applyAlignment="1">
      <alignment horizontal="center"/>
    </xf>
    <xf numFmtId="169" fontId="30" fillId="0" borderId="199" xfId="20382" applyNumberFormat="1" applyFont="1" applyFill="1" applyBorder="1"/>
    <xf numFmtId="0" fontId="158" fillId="0" borderId="0" xfId="20435" applyFont="1" applyFill="1" applyAlignment="1">
      <alignment vertical="top"/>
    </xf>
    <xf numFmtId="0" fontId="160" fillId="0" borderId="267" xfId="20382" applyFont="1" applyBorder="1" applyAlignment="1">
      <alignment horizontal="centerContinuous"/>
    </xf>
    <xf numFmtId="0" fontId="160" fillId="0" borderId="196" xfId="20382" applyFont="1" applyBorder="1" applyAlignment="1">
      <alignment wrapText="1"/>
    </xf>
    <xf numFmtId="0" fontId="158" fillId="0" borderId="0" xfId="20382" quotePrefix="1" applyFont="1" applyFill="1" applyAlignment="1">
      <alignment horizontal="left" vertical="top"/>
    </xf>
    <xf numFmtId="14" fontId="158" fillId="0" borderId="0" xfId="20382" applyNumberFormat="1" applyFont="1" applyFill="1"/>
    <xf numFmtId="167" fontId="158" fillId="0" borderId="0" xfId="20432" applyNumberFormat="1" applyFont="1" applyFill="1"/>
    <xf numFmtId="167" fontId="239" fillId="0" borderId="0" xfId="20432" applyNumberFormat="1" applyFont="1" applyFill="1"/>
    <xf numFmtId="0" fontId="331" fillId="0" borderId="0" xfId="20382" applyFont="1"/>
    <xf numFmtId="0" fontId="158" fillId="0" borderId="270" xfId="20382" applyFont="1" applyBorder="1"/>
    <xf numFmtId="0" fontId="158" fillId="0" borderId="269" xfId="20382" applyFont="1" applyBorder="1"/>
    <xf numFmtId="0" fontId="158" fillId="0" borderId="271" xfId="20382" applyFont="1" applyBorder="1"/>
    <xf numFmtId="0" fontId="160" fillId="0" borderId="123" xfId="20382" applyFont="1" applyBorder="1"/>
    <xf numFmtId="165" fontId="160" fillId="0" borderId="93" xfId="20382" applyNumberFormat="1" applyFont="1" applyBorder="1"/>
    <xf numFmtId="0" fontId="158" fillId="0" borderId="0" xfId="20382" applyFont="1" applyFill="1" applyAlignment="1">
      <alignment horizontal="justify" vertical="top"/>
    </xf>
    <xf numFmtId="0" fontId="158" fillId="0" borderId="272" xfId="20382" applyFont="1" applyBorder="1"/>
    <xf numFmtId="43" fontId="30" fillId="0" borderId="61" xfId="12427" applyNumberFormat="1" applyFont="1" applyBorder="1" applyAlignment="1">
      <alignment horizontal="center" vertical="top"/>
    </xf>
    <xf numFmtId="43" fontId="191" fillId="0" borderId="13" xfId="12427" applyNumberFormat="1" applyFont="1" applyBorder="1" applyAlignment="1">
      <alignment horizontal="center" vertical="top"/>
    </xf>
    <xf numFmtId="43" fontId="191" fillId="0" borderId="93" xfId="12427" applyNumberFormat="1" applyFont="1" applyBorder="1" applyAlignment="1">
      <alignment horizontal="center" vertical="top"/>
    </xf>
    <xf numFmtId="0" fontId="158" fillId="0" borderId="265" xfId="20382" applyFont="1" applyBorder="1"/>
    <xf numFmtId="167" fontId="30" fillId="0" borderId="226" xfId="20382" applyNumberFormat="1" applyFont="1" applyFill="1" applyBorder="1" applyAlignment="1">
      <alignment horizontal="right"/>
    </xf>
    <xf numFmtId="43" fontId="160" fillId="0" borderId="0" xfId="20382" applyNumberFormat="1" applyFont="1" applyBorder="1"/>
    <xf numFmtId="2" fontId="191" fillId="0" borderId="0" xfId="20382" applyNumberFormat="1" applyFont="1" applyFill="1"/>
    <xf numFmtId="165" fontId="239" fillId="0" borderId="263" xfId="20382" applyNumberFormat="1" applyFont="1" applyFill="1" applyBorder="1"/>
    <xf numFmtId="0" fontId="160" fillId="0" borderId="199" xfId="20382" applyFont="1" applyBorder="1" applyAlignment="1">
      <alignment horizontal="right"/>
    </xf>
    <xf numFmtId="0" fontId="160" fillId="0" borderId="265" xfId="20382" applyFont="1" applyBorder="1"/>
    <xf numFmtId="0" fontId="160" fillId="0" borderId="263" xfId="20382" applyFont="1" applyBorder="1" applyAlignment="1">
      <alignment horizontal="right"/>
    </xf>
    <xf numFmtId="164" fontId="170" fillId="72" borderId="0" xfId="20382" applyNumberFormat="1" applyFont="1" applyFill="1" applyBorder="1" applyAlignment="1">
      <alignment wrapText="1"/>
    </xf>
    <xf numFmtId="164" fontId="170" fillId="72" borderId="13" xfId="20382" applyNumberFormat="1" applyFont="1" applyFill="1" applyBorder="1" applyAlignment="1">
      <alignment wrapText="1"/>
    </xf>
    <xf numFmtId="0" fontId="170" fillId="72" borderId="273" xfId="20382" applyFont="1" applyFill="1" applyBorder="1" applyAlignment="1">
      <alignment wrapText="1"/>
    </xf>
    <xf numFmtId="165" fontId="191" fillId="0" borderId="272" xfId="20382" applyNumberFormat="1" applyFont="1" applyBorder="1"/>
    <xf numFmtId="165" fontId="191" fillId="0" borderId="45" xfId="12422" applyNumberFormat="1" applyFont="1" applyBorder="1"/>
    <xf numFmtId="0" fontId="160" fillId="0" borderId="194" xfId="20382" applyFont="1" applyBorder="1"/>
    <xf numFmtId="165" fontId="30" fillId="0" borderId="61" xfId="20434" applyNumberFormat="1" applyFont="1" applyFill="1" applyBorder="1" applyAlignment="1">
      <alignment horizontal="right" vertical="top" wrapText="1"/>
    </xf>
    <xf numFmtId="0" fontId="30" fillId="0" borderId="123" xfId="20382" applyFont="1" applyBorder="1"/>
    <xf numFmtId="0" fontId="158" fillId="0" borderId="123" xfId="20382" applyFont="1" applyBorder="1" applyAlignment="1">
      <alignment horizontal="center" wrapText="1"/>
    </xf>
    <xf numFmtId="165" fontId="30" fillId="0" borderId="124" xfId="20434" applyNumberFormat="1" applyFont="1" applyFill="1" applyBorder="1" applyAlignment="1">
      <alignment horizontal="right" wrapText="1"/>
    </xf>
    <xf numFmtId="165" fontId="30" fillId="0" borderId="93" xfId="20434" applyNumberFormat="1" applyFont="1" applyFill="1" applyBorder="1" applyAlignment="1">
      <alignment horizontal="right" wrapText="1"/>
    </xf>
    <xf numFmtId="0" fontId="160" fillId="0" borderId="0" xfId="20382" applyFont="1" applyAlignment="1">
      <alignment horizontal="left" indent="1"/>
    </xf>
    <xf numFmtId="0" fontId="191" fillId="0" borderId="0" xfId="20382" applyNumberFormat="1" applyFont="1" applyFill="1" applyBorder="1" applyAlignment="1">
      <alignment horizontal="center"/>
    </xf>
    <xf numFmtId="167" fontId="161" fillId="0" borderId="0" xfId="20439" applyNumberFormat="1" applyFont="1"/>
    <xf numFmtId="167" fontId="160" fillId="0" borderId="220" xfId="20382" applyNumberFormat="1" applyFont="1" applyBorder="1"/>
    <xf numFmtId="167" fontId="160" fillId="0" borderId="227" xfId="20382" applyNumberFormat="1" applyFont="1" applyBorder="1"/>
    <xf numFmtId="167" fontId="160" fillId="0" borderId="220" xfId="20432" applyNumberFormat="1" applyFont="1" applyBorder="1"/>
    <xf numFmtId="165" fontId="191" fillId="0" borderId="51" xfId="20434" applyNumberFormat="1" applyFont="1" applyFill="1" applyBorder="1" applyAlignment="1">
      <alignment horizontal="right" wrapText="1"/>
    </xf>
    <xf numFmtId="0" fontId="158" fillId="0" borderId="0" xfId="20382" applyFont="1" applyBorder="1" applyAlignment="1">
      <alignment vertical="center"/>
    </xf>
    <xf numFmtId="0" fontId="170" fillId="72" borderId="198" xfId="20382" applyFont="1" applyFill="1" applyBorder="1" applyAlignment="1">
      <alignment vertical="center" wrapText="1"/>
    </xf>
    <xf numFmtId="0" fontId="170" fillId="72" borderId="194" xfId="20382" applyFont="1" applyFill="1" applyBorder="1" applyAlignment="1">
      <alignment vertical="center" wrapText="1"/>
    </xf>
    <xf numFmtId="0" fontId="170" fillId="72" borderId="220" xfId="20382" applyFont="1" applyFill="1" applyBorder="1" applyAlignment="1">
      <alignment vertical="center" wrapText="1"/>
    </xf>
    <xf numFmtId="0" fontId="170" fillId="72" borderId="207" xfId="20382" applyFont="1" applyFill="1" applyBorder="1" applyAlignment="1">
      <alignment vertical="center" wrapText="1"/>
    </xf>
    <xf numFmtId="0" fontId="170" fillId="72" borderId="273" xfId="20382" applyFont="1" applyFill="1" applyBorder="1" applyAlignment="1">
      <alignment vertical="center" wrapText="1"/>
    </xf>
    <xf numFmtId="0" fontId="170" fillId="72" borderId="268" xfId="20382" applyFont="1" applyFill="1" applyBorder="1" applyAlignment="1">
      <alignment vertical="center" wrapText="1"/>
    </xf>
    <xf numFmtId="0" fontId="170" fillId="72" borderId="264" xfId="20382" applyFont="1" applyFill="1" applyBorder="1" applyAlignment="1">
      <alignment vertical="center" wrapText="1"/>
    </xf>
    <xf numFmtId="0" fontId="158" fillId="0" borderId="0" xfId="20382" applyFont="1" applyFill="1" applyAlignment="1">
      <alignment vertical="center"/>
    </xf>
    <xf numFmtId="0" fontId="158" fillId="0" borderId="0" xfId="20382" applyFont="1" applyAlignment="1">
      <alignment vertical="center"/>
    </xf>
    <xf numFmtId="0" fontId="158" fillId="0" borderId="274" xfId="0" applyFont="1" applyBorder="1" applyAlignment="1">
      <alignment horizontal="justify" vertical="center" wrapText="1"/>
    </xf>
    <xf numFmtId="0" fontId="158" fillId="0" borderId="274" xfId="0" applyFont="1" applyBorder="1"/>
    <xf numFmtId="0" fontId="158" fillId="0" borderId="275" xfId="0" applyFont="1" applyBorder="1" applyAlignment="1">
      <alignment horizontal="justify" vertical="center" wrapText="1"/>
    </xf>
    <xf numFmtId="0" fontId="158" fillId="0" borderId="275" xfId="0" applyFont="1" applyBorder="1"/>
    <xf numFmtId="234" fontId="160" fillId="71" borderId="273" xfId="0" applyNumberFormat="1" applyFont="1" applyFill="1" applyBorder="1" applyAlignment="1">
      <alignment horizontal="center"/>
    </xf>
    <xf numFmtId="234" fontId="160" fillId="71" borderId="13" xfId="0" applyNumberFormat="1" applyFont="1" applyFill="1" applyBorder="1" applyAlignment="1">
      <alignment horizontal="center"/>
    </xf>
    <xf numFmtId="234" fontId="160" fillId="71" borderId="93" xfId="0" applyNumberFormat="1" applyFont="1" applyFill="1" applyBorder="1" applyAlignment="1">
      <alignment horizontal="center"/>
    </xf>
    <xf numFmtId="0" fontId="161" fillId="0" borderId="124" xfId="0" applyFont="1" applyFill="1" applyBorder="1" applyAlignment="1">
      <alignment horizontal="right"/>
    </xf>
    <xf numFmtId="0" fontId="170" fillId="72" borderId="267" xfId="0" applyFont="1" applyFill="1" applyBorder="1" applyAlignment="1">
      <alignment horizontal="centerContinuous" wrapText="1"/>
    </xf>
    <xf numFmtId="0" fontId="161" fillId="0" borderId="267" xfId="0" applyFont="1" applyFill="1" applyBorder="1" applyAlignment="1">
      <alignment horizontal="right" wrapText="1"/>
    </xf>
    <xf numFmtId="0" fontId="161" fillId="0" borderId="132" xfId="0" applyFont="1" applyFill="1" applyBorder="1" applyAlignment="1">
      <alignment horizontal="center" wrapText="1"/>
    </xf>
    <xf numFmtId="0" fontId="161" fillId="0" borderId="134" xfId="0" applyFont="1" applyFill="1" applyBorder="1" applyAlignment="1">
      <alignment horizontal="center" wrapText="1"/>
    </xf>
    <xf numFmtId="0" fontId="158" fillId="71" borderId="179" xfId="0" applyFont="1" applyFill="1" applyBorder="1" applyAlignment="1">
      <alignment horizontal="center"/>
    </xf>
    <xf numFmtId="0" fontId="158" fillId="71" borderId="0" xfId="0" applyFont="1" applyFill="1" applyBorder="1" applyAlignment="1">
      <alignment horizontal="center"/>
    </xf>
    <xf numFmtId="0" fontId="158" fillId="71" borderId="45" xfId="0" applyFont="1" applyFill="1" applyBorder="1" applyAlignment="1">
      <alignment horizontal="center"/>
    </xf>
    <xf numFmtId="234" fontId="160" fillId="71" borderId="273" xfId="0" applyNumberFormat="1" applyFont="1" applyFill="1" applyBorder="1"/>
    <xf numFmtId="234" fontId="160" fillId="71" borderId="93" xfId="0" applyNumberFormat="1" applyFont="1" applyFill="1" applyBorder="1"/>
    <xf numFmtId="0" fontId="170" fillId="72" borderId="276" xfId="20382" applyFont="1" applyFill="1" applyBorder="1" applyAlignment="1">
      <alignment wrapText="1"/>
    </xf>
    <xf numFmtId="0" fontId="161" fillId="0" borderId="265" xfId="0" applyFont="1" applyFill="1" applyBorder="1"/>
    <xf numFmtId="0" fontId="161" fillId="0" borderId="266" xfId="0" applyFont="1" applyFill="1" applyBorder="1"/>
    <xf numFmtId="0" fontId="161" fillId="0" borderId="263" xfId="0" applyFont="1" applyFill="1" applyBorder="1"/>
    <xf numFmtId="2" fontId="239" fillId="0" borderId="0" xfId="0" applyNumberFormat="1" applyFont="1" applyBorder="1"/>
    <xf numFmtId="167" fontId="330" fillId="0" borderId="263" xfId="11846" applyNumberFormat="1" applyFont="1" applyFill="1" applyBorder="1" applyAlignment="1">
      <alignment horizontal="right" vertical="top" wrapText="1"/>
    </xf>
    <xf numFmtId="167" fontId="330" fillId="0" borderId="272" xfId="11846" applyNumberFormat="1" applyFont="1" applyFill="1" applyBorder="1" applyAlignment="1">
      <alignment horizontal="right" vertical="top" wrapText="1"/>
    </xf>
    <xf numFmtId="0" fontId="160" fillId="71" borderId="270" xfId="20454" applyFont="1" applyFill="1" applyBorder="1"/>
    <xf numFmtId="0" fontId="160" fillId="71" borderId="272" xfId="20454" applyFont="1" applyFill="1" applyBorder="1"/>
    <xf numFmtId="0" fontId="160" fillId="71" borderId="272" xfId="20454" applyFont="1" applyFill="1" applyBorder="1" applyAlignment="1">
      <alignment horizontal="center"/>
    </xf>
    <xf numFmtId="10" fontId="160" fillId="71" borderId="272" xfId="20454" applyNumberFormat="1" applyFont="1" applyFill="1" applyBorder="1"/>
    <xf numFmtId="0" fontId="158" fillId="0" borderId="0" xfId="0" quotePrefix="1" applyFont="1" applyFill="1" applyBorder="1" applyAlignment="1">
      <alignment horizontal="justify" vertical="top" wrapText="1"/>
    </xf>
    <xf numFmtId="0" fontId="158" fillId="0" borderId="0" xfId="20382" applyFont="1" applyAlignment="1">
      <alignment horizontal="justify" vertical="top" wrapText="1"/>
    </xf>
    <xf numFmtId="0" fontId="158" fillId="0" borderId="0" xfId="20382" applyFont="1" applyAlignment="1">
      <alignment horizontal="justify" vertical="top"/>
    </xf>
    <xf numFmtId="0" fontId="158" fillId="0" borderId="0" xfId="20382" quotePrefix="1" applyFont="1" applyAlignment="1">
      <alignment horizontal="justify" vertical="top" wrapText="1"/>
    </xf>
    <xf numFmtId="0" fontId="30" fillId="0" borderId="0" xfId="0" quotePrefix="1" applyFont="1" applyFill="1" applyAlignment="1">
      <alignment horizontal="left" vertical="top" wrapText="1"/>
    </xf>
    <xf numFmtId="0" fontId="158" fillId="0" borderId="0" xfId="0" applyFont="1" applyFill="1" applyAlignment="1">
      <alignment horizontal="left" vertical="top" wrapText="1"/>
    </xf>
    <xf numFmtId="0" fontId="158" fillId="0" borderId="0" xfId="0" applyFont="1" applyFill="1" applyAlignment="1">
      <alignment horizontal="justify" vertical="top"/>
    </xf>
    <xf numFmtId="0" fontId="158" fillId="0" borderId="0" xfId="0" applyFont="1" applyAlignment="1">
      <alignment horizontal="justify" vertical="top" wrapText="1"/>
    </xf>
    <xf numFmtId="0" fontId="158" fillId="0" borderId="0" xfId="0" applyFont="1" applyAlignment="1">
      <alignment horizontal="justify" vertical="top"/>
    </xf>
    <xf numFmtId="0" fontId="158" fillId="0" borderId="0" xfId="0" applyFont="1" applyFill="1" applyAlignment="1">
      <alignment horizontal="justify" vertical="top" wrapText="1"/>
    </xf>
    <xf numFmtId="0" fontId="158" fillId="0" borderId="0" xfId="0" applyFont="1" applyAlignment="1">
      <alignment horizontal="left" vertical="top" wrapText="1"/>
    </xf>
    <xf numFmtId="0" fontId="158" fillId="0" borderId="0" xfId="0" quotePrefix="1" applyFont="1" applyAlignment="1">
      <alignment horizontal="justify" vertical="top" wrapText="1"/>
    </xf>
    <xf numFmtId="0" fontId="160" fillId="90" borderId="0" xfId="20416" applyFont="1" applyFill="1" applyBorder="1" applyAlignment="1">
      <alignment horizontal="center" wrapText="1"/>
    </xf>
    <xf numFmtId="0" fontId="160" fillId="91" borderId="0" xfId="20416" applyFont="1" applyFill="1" applyBorder="1" applyAlignment="1">
      <alignment horizontal="center" wrapText="1"/>
    </xf>
    <xf numFmtId="0" fontId="160" fillId="90" borderId="174" xfId="20416" applyFont="1" applyFill="1" applyBorder="1" applyAlignment="1">
      <alignment horizontal="center" wrapText="1"/>
    </xf>
    <xf numFmtId="0" fontId="160" fillId="90" borderId="45" xfId="20416" applyFont="1" applyFill="1" applyBorder="1" applyAlignment="1">
      <alignment horizontal="center" wrapText="1"/>
    </xf>
    <xf numFmtId="0" fontId="160" fillId="90" borderId="174" xfId="20416" applyFont="1" applyFill="1" applyBorder="1" applyAlignment="1">
      <alignment horizontal="right" wrapText="1"/>
    </xf>
    <xf numFmtId="0" fontId="160" fillId="90" borderId="45" xfId="20416" applyFont="1" applyFill="1" applyBorder="1" applyAlignment="1">
      <alignment horizontal="right" wrapText="1"/>
    </xf>
    <xf numFmtId="0" fontId="160" fillId="90" borderId="175" xfId="20416" applyFont="1" applyFill="1" applyBorder="1" applyAlignment="1">
      <alignment horizontal="right" wrapText="1"/>
    </xf>
    <xf numFmtId="0" fontId="160" fillId="90" borderId="93" xfId="20416" applyFont="1" applyFill="1" applyBorder="1" applyAlignment="1">
      <alignment horizontal="right" wrapText="1"/>
    </xf>
    <xf numFmtId="0" fontId="160" fillId="90" borderId="0" xfId="20419" applyFont="1" applyFill="1" applyBorder="1" applyAlignment="1">
      <alignment horizontal="center" wrapText="1"/>
    </xf>
    <xf numFmtId="0" fontId="160" fillId="91" borderId="0" xfId="20419" applyFont="1" applyFill="1" applyBorder="1" applyAlignment="1">
      <alignment horizontal="center" wrapText="1"/>
    </xf>
    <xf numFmtId="0" fontId="160" fillId="90" borderId="174" xfId="20419" applyFont="1" applyFill="1" applyBorder="1" applyAlignment="1">
      <alignment horizontal="center" wrapText="1"/>
    </xf>
    <xf numFmtId="0" fontId="160" fillId="90" borderId="45" xfId="20419" applyFont="1" applyFill="1" applyBorder="1" applyAlignment="1">
      <alignment horizontal="center" wrapText="1"/>
    </xf>
    <xf numFmtId="0" fontId="160" fillId="90" borderId="174" xfId="20419" applyFont="1" applyFill="1" applyBorder="1" applyAlignment="1">
      <alignment horizontal="right" wrapText="1"/>
    </xf>
    <xf numFmtId="0" fontId="160" fillId="90" borderId="45" xfId="20419" applyFont="1" applyFill="1" applyBorder="1" applyAlignment="1">
      <alignment horizontal="right" wrapText="1"/>
    </xf>
    <xf numFmtId="0" fontId="160" fillId="90" borderId="175" xfId="20419" applyFont="1" applyFill="1" applyBorder="1" applyAlignment="1">
      <alignment horizontal="right" wrapText="1"/>
    </xf>
    <xf numFmtId="0" fontId="160" fillId="90" borderId="93" xfId="20419" applyFont="1" applyFill="1" applyBorder="1" applyAlignment="1">
      <alignment horizontal="right" wrapText="1"/>
    </xf>
    <xf numFmtId="0" fontId="158" fillId="0" borderId="0" xfId="20435" applyFont="1" applyFill="1" applyAlignment="1">
      <alignment horizontal="justify" vertical="top"/>
    </xf>
    <xf numFmtId="0" fontId="158" fillId="0" borderId="0" xfId="20382" applyFont="1" applyFill="1" applyAlignment="1">
      <alignment horizontal="justify" vertical="top"/>
    </xf>
    <xf numFmtId="0" fontId="158" fillId="74" borderId="0" xfId="20382" applyFont="1" applyFill="1" applyAlignment="1">
      <alignment horizontal="justify" vertical="top"/>
    </xf>
    <xf numFmtId="0" fontId="158" fillId="0" borderId="0" xfId="20382" quotePrefix="1" applyFont="1" applyFill="1" applyAlignment="1">
      <alignment horizontal="justify" vertical="top" wrapText="1"/>
    </xf>
    <xf numFmtId="0" fontId="30" fillId="0" borderId="0" xfId="0" quotePrefix="1" applyFont="1" applyFill="1" applyAlignment="1">
      <alignment horizontal="justify" vertical="top" wrapText="1"/>
    </xf>
    <xf numFmtId="3" fontId="30" fillId="0" borderId="0" xfId="20442" applyNumberFormat="1" applyFont="1" applyFill="1" applyBorder="1" applyAlignment="1">
      <alignment horizontal="justify" vertical="top" wrapText="1"/>
    </xf>
    <xf numFmtId="0" fontId="158" fillId="0" borderId="0" xfId="20444" applyFont="1" applyAlignment="1">
      <alignment horizontal="justify" vertical="top" wrapText="1"/>
    </xf>
    <xf numFmtId="0" fontId="158" fillId="0" borderId="0" xfId="20444" quotePrefix="1" applyFont="1" applyAlignment="1">
      <alignment horizontal="justify" vertical="top" wrapText="1"/>
    </xf>
    <xf numFmtId="0" fontId="158" fillId="0" borderId="237" xfId="20444" applyFont="1" applyBorder="1" applyAlignment="1">
      <alignment horizontal="left" vertical="top" wrapText="1"/>
    </xf>
    <xf numFmtId="0" fontId="158" fillId="0" borderId="233" xfId="20444" applyFont="1" applyBorder="1" applyAlignment="1">
      <alignment horizontal="left" vertical="top" wrapText="1"/>
    </xf>
    <xf numFmtId="0" fontId="158" fillId="0" borderId="238" xfId="20444" applyFont="1" applyBorder="1" applyAlignment="1">
      <alignment horizontal="left" vertical="top" wrapText="1"/>
    </xf>
    <xf numFmtId="0" fontId="158" fillId="0" borderId="123" xfId="20444" applyFont="1" applyBorder="1" applyAlignment="1">
      <alignment horizontal="left" vertical="top" wrapText="1"/>
    </xf>
    <xf numFmtId="0" fontId="158" fillId="0" borderId="45" xfId="20444" applyFont="1" applyBorder="1" applyAlignment="1">
      <alignment horizontal="left" vertical="top" wrapText="1"/>
    </xf>
    <xf numFmtId="0" fontId="158" fillId="0" borderId="93" xfId="20444" applyFont="1" applyBorder="1" applyAlignment="1">
      <alignment horizontal="left" vertical="top" wrapText="1"/>
    </xf>
    <xf numFmtId="0" fontId="30" fillId="0" borderId="123" xfId="20446" applyFont="1" applyBorder="1" applyAlignment="1">
      <alignment horizontal="left" vertical="center" wrapText="1"/>
    </xf>
    <xf numFmtId="0" fontId="30" fillId="0" borderId="45" xfId="20446" applyFont="1" applyBorder="1" applyAlignment="1">
      <alignment horizontal="left" vertical="center" wrapText="1"/>
    </xf>
    <xf numFmtId="0" fontId="30" fillId="0" borderId="93" xfId="20446" applyFont="1" applyBorder="1" applyAlignment="1">
      <alignment horizontal="left" vertical="center" wrapText="1"/>
    </xf>
    <xf numFmtId="0" fontId="30" fillId="0" borderId="61" xfId="20446" applyFont="1" applyBorder="1" applyAlignment="1">
      <alignment horizontal="left" vertical="center" wrapText="1"/>
    </xf>
    <xf numFmtId="0" fontId="30" fillId="0" borderId="0" xfId="20446" applyFont="1" applyBorder="1" applyAlignment="1">
      <alignment horizontal="left" vertical="center" wrapText="1"/>
    </xf>
    <xf numFmtId="0" fontId="30" fillId="0" borderId="13" xfId="20446" applyFont="1" applyBorder="1" applyAlignment="1">
      <alignment horizontal="left" vertical="center" wrapText="1"/>
    </xf>
    <xf numFmtId="0" fontId="158" fillId="0" borderId="234" xfId="20444" applyFont="1" applyBorder="1" applyAlignment="1">
      <alignment horizontal="justify" vertical="top" wrapText="1"/>
    </xf>
    <xf numFmtId="0" fontId="158" fillId="0" borderId="236" xfId="20444" applyFont="1" applyBorder="1" applyAlignment="1">
      <alignment horizontal="justify" vertical="top" wrapText="1"/>
    </xf>
    <xf numFmtId="0" fontId="158" fillId="0" borderId="0" xfId="20444" quotePrefix="1" applyFont="1" applyFill="1" applyAlignment="1">
      <alignment horizontal="justify" vertical="top"/>
    </xf>
    <xf numFmtId="0" fontId="158" fillId="0" borderId="0" xfId="20444" quotePrefix="1" applyFont="1" applyFill="1" applyAlignment="1">
      <alignment horizontal="justify" vertical="top" wrapText="1"/>
    </xf>
    <xf numFmtId="0" fontId="155" fillId="0" borderId="0" xfId="20410" applyFont="1" applyFill="1" applyAlignment="1">
      <alignment horizontal="left"/>
    </xf>
    <xf numFmtId="14" fontId="161" fillId="0" borderId="155" xfId="20410" applyNumberFormat="1" applyFont="1" applyFill="1" applyBorder="1" applyAlignment="1" applyProtection="1">
      <alignment horizontal="center" vertical="top"/>
    </xf>
    <xf numFmtId="0" fontId="161" fillId="0" borderId="97" xfId="20410" applyFont="1" applyFill="1" applyBorder="1" applyAlignment="1" applyProtection="1">
      <alignment horizontal="center" vertical="top"/>
    </xf>
    <xf numFmtId="0" fontId="161" fillId="0" borderId="156" xfId="20410" applyFont="1" applyFill="1" applyBorder="1" applyAlignment="1" applyProtection="1">
      <alignment horizontal="center" vertical="top"/>
    </xf>
    <xf numFmtId="0" fontId="161" fillId="0" borderId="155" xfId="20410" applyFont="1" applyBorder="1" applyAlignment="1">
      <alignment horizontal="center"/>
    </xf>
    <xf numFmtId="0" fontId="161" fillId="0" borderId="97" xfId="20410" applyFont="1" applyBorder="1" applyAlignment="1">
      <alignment horizontal="center"/>
    </xf>
    <xf numFmtId="0" fontId="161" fillId="0" borderId="156" xfId="20410" applyFont="1" applyBorder="1" applyAlignment="1">
      <alignment horizontal="center"/>
    </xf>
    <xf numFmtId="0" fontId="161" fillId="0" borderId="45" xfId="20410" applyFont="1" applyBorder="1" applyAlignment="1" applyProtection="1">
      <alignment horizontal="center" vertical="top"/>
    </xf>
    <xf numFmtId="0" fontId="161" fillId="0" borderId="157" xfId="20410" applyFont="1" applyBorder="1" applyAlignment="1">
      <alignment horizontal="center"/>
    </xf>
    <xf numFmtId="0" fontId="156" fillId="0" borderId="45" xfId="20410" applyFont="1" applyBorder="1" applyAlignment="1">
      <alignment horizontal="center"/>
    </xf>
    <xf numFmtId="0" fontId="10" fillId="0" borderId="0" xfId="20410" applyFont="1" applyBorder="1" applyAlignment="1"/>
    <xf numFmtId="0" fontId="10" fillId="0" borderId="160" xfId="20410" applyFont="1" applyBorder="1" applyAlignment="1"/>
    <xf numFmtId="0" fontId="156" fillId="0" borderId="0" xfId="20404" applyFont="1" applyAlignment="1">
      <alignment horizontal="center"/>
    </xf>
    <xf numFmtId="0" fontId="170" fillId="72" borderId="129" xfId="0" applyFont="1" applyFill="1" applyBorder="1" applyAlignment="1">
      <alignment horizontal="center" vertical="top"/>
    </xf>
    <xf numFmtId="0" fontId="170" fillId="72" borderId="124" xfId="0" applyFont="1" applyFill="1" applyBorder="1" applyAlignment="1">
      <alignment horizontal="center" vertical="top"/>
    </xf>
    <xf numFmtId="0" fontId="317" fillId="106" borderId="0" xfId="20448" applyFont="1" applyFill="1" applyAlignment="1">
      <alignment horizontal="center" vertical="center"/>
    </xf>
    <xf numFmtId="0" fontId="283" fillId="0" borderId="0" xfId="20434" applyFont="1" applyFill="1" applyAlignment="1">
      <alignment horizontal="left" vertical="top"/>
    </xf>
    <xf numFmtId="0" fontId="284" fillId="0" borderId="0" xfId="20434" applyFont="1" applyFill="1" applyAlignment="1">
      <alignment horizontal="left" vertical="top"/>
    </xf>
    <xf numFmtId="368" fontId="284" fillId="0" borderId="0" xfId="20434" applyNumberFormat="1" applyFont="1" applyFill="1" applyAlignment="1">
      <alignment horizontal="left" vertical="top"/>
    </xf>
    <xf numFmtId="0" fontId="289" fillId="97" borderId="0" xfId="20434" applyFont="1" applyFill="1" applyAlignment="1">
      <alignment horizontal="left" vertical="top"/>
    </xf>
    <xf numFmtId="0" fontId="286" fillId="96" borderId="0" xfId="20434" applyFont="1" applyFill="1" applyAlignment="1">
      <alignment horizontal="left" vertical="top"/>
    </xf>
    <xf numFmtId="0" fontId="292" fillId="99" borderId="251" xfId="106" applyFont="1" applyFill="1" applyBorder="1" applyAlignment="1" applyProtection="1">
      <alignment horizontal="center" vertical="center"/>
    </xf>
    <xf numFmtId="0" fontId="292" fillId="99" borderId="252" xfId="106" applyFont="1" applyFill="1" applyBorder="1" applyAlignment="1" applyProtection="1">
      <alignment horizontal="center" vertical="center"/>
    </xf>
    <xf numFmtId="0" fontId="292" fillId="99" borderId="253" xfId="106" applyFont="1" applyFill="1" applyBorder="1" applyAlignment="1" applyProtection="1">
      <alignment horizontal="center" vertical="center"/>
    </xf>
    <xf numFmtId="0" fontId="292" fillId="99" borderId="239" xfId="106" applyFont="1" applyFill="1" applyBorder="1" applyAlignment="1" applyProtection="1">
      <alignment horizontal="center" vertical="center"/>
    </xf>
    <xf numFmtId="0" fontId="293" fillId="99" borderId="240" xfId="106" applyFont="1" applyFill="1" applyBorder="1" applyAlignment="1" applyProtection="1">
      <alignment horizontal="center" vertical="center"/>
    </xf>
    <xf numFmtId="0" fontId="294" fillId="99" borderId="241" xfId="20445" applyFont="1" applyFill="1" applyBorder="1" applyAlignment="1" applyProtection="1">
      <alignment vertical="center"/>
    </xf>
    <xf numFmtId="0" fontId="170" fillId="72" borderId="76" xfId="0" applyFont="1" applyFill="1" applyBorder="1" applyAlignment="1">
      <alignment horizontal="center" wrapText="1"/>
    </xf>
    <xf numFmtId="0" fontId="170" fillId="72" borderId="77" xfId="0" applyFont="1" applyFill="1" applyBorder="1" applyAlignment="1">
      <alignment horizontal="center" wrapText="1"/>
    </xf>
    <xf numFmtId="0" fontId="170" fillId="72" borderId="63" xfId="0" applyFont="1" applyFill="1" applyBorder="1" applyAlignment="1">
      <alignment horizontal="center" wrapText="1"/>
    </xf>
    <xf numFmtId="191" fontId="160" fillId="71" borderId="276" xfId="20454" applyNumberFormat="1" applyFont="1" applyFill="1" applyBorder="1"/>
    <xf numFmtId="191" fontId="160" fillId="71" borderId="13" xfId="20454" applyNumberFormat="1" applyFont="1" applyFill="1" applyBorder="1"/>
    <xf numFmtId="191" fontId="160" fillId="71" borderId="93" xfId="20454" applyNumberFormat="1" applyFont="1" applyFill="1" applyBorder="1"/>
  </cellXfs>
  <cellStyles count="20455">
    <cellStyle name="-" xfId="4"/>
    <cellStyle name="------------------" xfId="5"/>
    <cellStyle name=" 1" xfId="6"/>
    <cellStyle name=" 1 2" xfId="7"/>
    <cellStyle name=" 1 3" xfId="8"/>
    <cellStyle name=" 1_Volatility" xfId="9"/>
    <cellStyle name=" 10" xfId="10"/>
    <cellStyle name=" 11" xfId="11"/>
    <cellStyle name=" 12" xfId="12"/>
    <cellStyle name=" 13" xfId="13"/>
    <cellStyle name=" 14" xfId="14"/>
    <cellStyle name=" 15" xfId="15"/>
    <cellStyle name=" 16" xfId="16"/>
    <cellStyle name=" 17" xfId="17"/>
    <cellStyle name=" 18" xfId="18"/>
    <cellStyle name=" 19" xfId="19"/>
    <cellStyle name=" 2" xfId="20"/>
    <cellStyle name=" 20" xfId="21"/>
    <cellStyle name=" 21" xfId="22"/>
    <cellStyle name=" 22" xfId="23"/>
    <cellStyle name=" 23" xfId="24"/>
    <cellStyle name=" 24" xfId="25"/>
    <cellStyle name=" 25" xfId="26"/>
    <cellStyle name=" 26" xfId="27"/>
    <cellStyle name=" 27" xfId="28"/>
    <cellStyle name=" 28" xfId="29"/>
    <cellStyle name=" 29" xfId="30"/>
    <cellStyle name=" 3" xfId="31"/>
    <cellStyle name=" 30" xfId="32"/>
    <cellStyle name=" 31" xfId="33"/>
    <cellStyle name=" 32" xfId="34"/>
    <cellStyle name=" 33" xfId="35"/>
    <cellStyle name=" 34" xfId="36"/>
    <cellStyle name=" 35" xfId="37"/>
    <cellStyle name=" 36" xfId="38"/>
    <cellStyle name=" 37" xfId="39"/>
    <cellStyle name=" 38" xfId="40"/>
    <cellStyle name=" 39" xfId="41"/>
    <cellStyle name=" 4" xfId="42"/>
    <cellStyle name=" 40" xfId="43"/>
    <cellStyle name=" 41" xfId="44"/>
    <cellStyle name=" 42" xfId="45"/>
    <cellStyle name=" 43" xfId="46"/>
    <cellStyle name=" 44" xfId="47"/>
    <cellStyle name=" 45" xfId="48"/>
    <cellStyle name=" 46" xfId="49"/>
    <cellStyle name=" 47" xfId="50"/>
    <cellStyle name=" 48" xfId="51"/>
    <cellStyle name=" 49" xfId="52"/>
    <cellStyle name=" 5" xfId="53"/>
    <cellStyle name=" 50" xfId="54"/>
    <cellStyle name=" 51" xfId="55"/>
    <cellStyle name=" 52" xfId="56"/>
    <cellStyle name=" 53" xfId="57"/>
    <cellStyle name=" 54" xfId="58"/>
    <cellStyle name=" 55" xfId="59"/>
    <cellStyle name=" 56" xfId="60"/>
    <cellStyle name=" 57" xfId="61"/>
    <cellStyle name=" 58" xfId="62"/>
    <cellStyle name=" 59" xfId="63"/>
    <cellStyle name=" 6" xfId="64"/>
    <cellStyle name=" 60" xfId="65"/>
    <cellStyle name=" 61" xfId="66"/>
    <cellStyle name=" 62" xfId="67"/>
    <cellStyle name=" 63" xfId="68"/>
    <cellStyle name=" 64" xfId="69"/>
    <cellStyle name=" 65" xfId="70"/>
    <cellStyle name=" 66" xfId="71"/>
    <cellStyle name=" 67" xfId="72"/>
    <cellStyle name=" 68" xfId="73"/>
    <cellStyle name=" 69" xfId="74"/>
    <cellStyle name=" 7" xfId="75"/>
    <cellStyle name=" 70" xfId="76"/>
    <cellStyle name=" 8" xfId="77"/>
    <cellStyle name=" 9" xfId="78"/>
    <cellStyle name="_x000a_386grabber=M" xfId="79"/>
    <cellStyle name="_x000a_386grabber=M 2" xfId="80"/>
    <cellStyle name="_x0007__x000b_" xfId="81"/>
    <cellStyle name=" ✀ⰀఀĀ" xfId="82"/>
    <cellStyle name="&quot;X&quot; MEN" xfId="83"/>
    <cellStyle name="&quot;X&quot; MEN 2" xfId="84"/>
    <cellStyle name="&quot;X&quot; MEN 2 2" xfId="85"/>
    <cellStyle name="&quot;X&quot; MEN 3" xfId="86"/>
    <cellStyle name="&quot;X&quot; MEN 4" xfId="87"/>
    <cellStyle name="&quot;X&quot; MEN 5" xfId="88"/>
    <cellStyle name="#" xfId="89"/>
    <cellStyle name="#-" xfId="90"/>
    <cellStyle name="#,##0" xfId="91"/>
    <cellStyle name="#,##0 3 spaces" xfId="16220"/>
    <cellStyle name="#_Latam Comps_12.20.07" xfId="92"/>
    <cellStyle name="#_Latam Comps_12.20.07_Medley_Financial_Model_v5" xfId="93"/>
    <cellStyle name="#_Latam Comps_2.5.08_HC" xfId="94"/>
    <cellStyle name="#_Latam Comps_2.5.08_HC_Medley_Financial_Model_v5" xfId="95"/>
    <cellStyle name="#_Modelo Puerto 2007 Management Case DB 14-11 (DB) v20" xfId="96"/>
    <cellStyle name="$" xfId="97"/>
    <cellStyle name="$-" xfId="98"/>
    <cellStyle name="$ &amp; ¢" xfId="99"/>
    <cellStyle name="$ 0 decimal" xfId="16221"/>
    <cellStyle name="$ 2" xfId="100"/>
    <cellStyle name="$ 2 decimals" xfId="16222"/>
    <cellStyle name="$_12.20.04 Analysis v14" xfId="16223"/>
    <cellStyle name="$_56 Centra FO 10.4.05" xfId="16224"/>
    <cellStyle name="$_ANF Assignment 1.5" xfId="16225"/>
    <cellStyle name="$_Cheddars_IPO Model_Final_v7" xfId="16226"/>
    <cellStyle name="$_EPL LBO 5.16.05 - Mgmt IPO v6" xfId="16227"/>
    <cellStyle name="$_IPO Model_v01.0" xfId="16228"/>
    <cellStyle name="$_Model v14 (IPO)" xfId="16229"/>
    <cellStyle name="$_Model v14 (IPO) brooke" xfId="16230"/>
    <cellStyle name="$_Store Buildup v6" xfId="16231"/>
    <cellStyle name="$_YRK_LBO" xfId="16232"/>
    <cellStyle name="$0.0;($0.0)" xfId="101"/>
    <cellStyle name="$0.0;($0.0) 2" xfId="102"/>
    <cellStyle name="$000s1Place" xfId="103"/>
    <cellStyle name="$m" xfId="16233"/>
    <cellStyle name="$MMs1Place" xfId="104"/>
    <cellStyle name="$MMs2Places" xfId="105"/>
    <cellStyle name="$q" xfId="16234"/>
    <cellStyle name="$q*" xfId="16235"/>
    <cellStyle name="$q_AVP" xfId="16236"/>
    <cellStyle name="$qA" xfId="16237"/>
    <cellStyle name="$qRange" xfId="16238"/>
    <cellStyle name="$sign" xfId="16239"/>
    <cellStyle name="%" xfId="106"/>
    <cellStyle name="%-" xfId="107"/>
    <cellStyle name="% [2]" xfId="108"/>
    <cellStyle name="% Input" xfId="109"/>
    <cellStyle name="% Input 2" xfId="110"/>
    <cellStyle name="% Presentation" xfId="111"/>
    <cellStyle name="% Presentation 2" xfId="112"/>
    <cellStyle name="% Presentation 2 2" xfId="113"/>
    <cellStyle name="% Presentation 3" xfId="114"/>
    <cellStyle name="% Presentation 4" xfId="115"/>
    <cellStyle name="% Presentation 5" xfId="116"/>
    <cellStyle name="%.00" xfId="117"/>
    <cellStyle name="%_Detailed Cap Table 6 9 08" xfId="16240"/>
    <cellStyle name="%_V.C.3 2006 Forecast 4-19-06" xfId="16241"/>
    <cellStyle name="%20 - Vurgu1" xfId="16242"/>
    <cellStyle name="%20 - Vurgu2" xfId="16243"/>
    <cellStyle name="%20 - Vurgu3" xfId="16244"/>
    <cellStyle name="%20 - Vurgu4" xfId="16245"/>
    <cellStyle name="%20 - Vurgu5" xfId="16246"/>
    <cellStyle name="%20 - Vurgu6" xfId="16247"/>
    <cellStyle name="%40 - Vurgu1" xfId="16248"/>
    <cellStyle name="%40 - Vurgu2" xfId="16249"/>
    <cellStyle name="%40 - Vurgu3" xfId="16250"/>
    <cellStyle name="%40 - Vurgu4" xfId="16251"/>
    <cellStyle name="%40 - Vurgu5" xfId="16252"/>
    <cellStyle name="%40 - Vurgu6" xfId="16253"/>
    <cellStyle name="%60 - Vurgu1" xfId="16254"/>
    <cellStyle name="%60 - Vurgu2" xfId="16255"/>
    <cellStyle name="%60 - Vurgu3" xfId="16256"/>
    <cellStyle name="%60 - Vurgu4" xfId="16257"/>
    <cellStyle name="%60 - Vurgu5" xfId="16258"/>
    <cellStyle name="%60 - Vurgu6" xfId="16259"/>
    <cellStyle name="&amp;U" xfId="16260"/>
    <cellStyle name=")_מעגלים 12.95" xfId="118"/>
    <cellStyle name=")_מעגלים 12.95 2" xfId="119"/>
    <cellStyle name="******************************************" xfId="120"/>
    <cellStyle name="****************************************** 2" xfId="121"/>
    <cellStyle name="," xfId="16261"/>
    <cellStyle name=";;;" xfId="122"/>
    <cellStyle name=";;; 2" xfId="123"/>
    <cellStyle name=";;; 2 2" xfId="124"/>
    <cellStyle name=";;; 3" xfId="125"/>
    <cellStyle name=";;; 4" xfId="126"/>
    <cellStyle name=";;; 5" xfId="127"/>
    <cellStyle name="?? [0]_??" xfId="16262"/>
    <cellStyle name="???[0]_RESULTS" xfId="128"/>
    <cellStyle name="???_RESULTS" xfId="129"/>
    <cellStyle name="??_?.????" xfId="16263"/>
    <cellStyle name="\" xfId="16264"/>
    <cellStyle name="_$accounting" xfId="130"/>
    <cellStyle name="_$accounting 2" xfId="131"/>
    <cellStyle name="_%(SignOnly)" xfId="132"/>
    <cellStyle name="_%(SignOnly)_Model and Valuation - Aros 6 30 08" xfId="16265"/>
    <cellStyle name="_%(SignSpaceOnly)" xfId="133"/>
    <cellStyle name="_%(SignSpaceOnly)_Model and Valuation - Aros 6 30 08" xfId="16266"/>
    <cellStyle name="___æ_Ø_è [0.00]_Affiliate Fcst Inputs" xfId="134"/>
    <cellStyle name="___æ_Ø_è [0.00]_Affiliate Fcst Inputs 2" xfId="135"/>
    <cellStyle name="___æ_Ø_è [0.00]_Affiliate Fcst Inputs 2 2" xfId="136"/>
    <cellStyle name="___æ_Ø_è [0.00]_Affiliate Fcst Inputs 3" xfId="137"/>
    <cellStyle name="___æ_Ø_è [0.00]_Affiliate Fcst Inputs 4" xfId="138"/>
    <cellStyle name="___æ_Ø_è [0.00]_Affiliate Fcst Inputs 5" xfId="139"/>
    <cellStyle name="_~0910772" xfId="16267"/>
    <cellStyle name="_~1072145" xfId="16268"/>
    <cellStyle name="_~7037329" xfId="16269"/>
    <cellStyle name="_03 Seahawk Status Report - 1.08.07" xfId="16270"/>
    <cellStyle name="_2007 M06 On Hold On Watch Svcs Maint Jun  06-14-07" xfId="16271"/>
    <cellStyle name="_56 Centra FO 10.4.05" xfId="16272"/>
    <cellStyle name="_accounting" xfId="140"/>
    <cellStyle name="_accounting 2" xfId="141"/>
    <cellStyle name="_APT 141 101603 ver 51" xfId="142"/>
    <cellStyle name="_Backup for FY2005" xfId="16273"/>
    <cellStyle name="_Balance Sheet to E&amp;Y - HH &amp; SP" xfId="143"/>
    <cellStyle name="_Balance Sheet to E&amp;Y - HH &amp; SP_Panasas Cap Table by Investor June and Dec 2008 - updated analysis" xfId="144"/>
    <cellStyle name="_Base Valuation3.xls Chart 69_4" xfId="16274"/>
    <cellStyle name="_Base Valuation7-13" xfId="16275"/>
    <cellStyle name="_Book1" xfId="16276"/>
    <cellStyle name="-_Cash Flow" xfId="145"/>
    <cellStyle name="-_Cash Flow_EBITDA template v2" xfId="146"/>
    <cellStyle name="_Cheddars_IPO valuation v1" xfId="16277"/>
    <cellStyle name="_Column1" xfId="16278"/>
    <cellStyle name="_Column2" xfId="16279"/>
    <cellStyle name="_Column3" xfId="16280"/>
    <cellStyle name="_Column4" xfId="16281"/>
    <cellStyle name="_Column5" xfId="16282"/>
    <cellStyle name="_Column6" xfId="16283"/>
    <cellStyle name="_Comma" xfId="147"/>
    <cellStyle name="_Comma__DCF Template" xfId="148"/>
    <cellStyle name="_Comma_04 Alaska Model 2002-05-31 GS" xfId="149"/>
    <cellStyle name="_Comma_Control" xfId="150"/>
    <cellStyle name="_Comma_Dividend Template" xfId="151"/>
    <cellStyle name="_Comma_Eric CapIQ unlinked v1" xfId="152"/>
    <cellStyle name="_Comma_H-G Holdings race car v5 (change dep)" xfId="153"/>
    <cellStyle name="_Comma_lbo_long_model" xfId="154"/>
    <cellStyle name="_Comma_lbo_long_model 2" xfId="155"/>
    <cellStyle name="_Comma_Medicis WACC" xfId="156"/>
    <cellStyle name="_Comma_Meggitt AirDynamics WACC" xfId="157"/>
    <cellStyle name="_Comma_Pro-Forma Financials" xfId="158"/>
    <cellStyle name="_Comma_Pro-Forma Spin-off" xfId="159"/>
    <cellStyle name="_Comma_Revised Basic Modelv2.4" xfId="160"/>
    <cellStyle name="_Comma_Rider Henning" xfId="161"/>
    <cellStyle name="_Comma_Updated Model - CapitalIQ6 -04.20.06" xfId="162"/>
    <cellStyle name="_Comma_WACCv2" xfId="163"/>
    <cellStyle name="_Copy of Culinary Concepts 9_30_08" xfId="16284"/>
    <cellStyle name="_Currency" xfId="164"/>
    <cellStyle name="_Currency__DCF Template" xfId="165"/>
    <cellStyle name="_Currency_04 Alaska Model 2002-05-31 GS" xfId="166"/>
    <cellStyle name="_Currency_12.20.04 Analysis v14" xfId="16285"/>
    <cellStyle name="_Currency_BASF" xfId="167"/>
    <cellStyle name="_Currency_Book1" xfId="168"/>
    <cellStyle name="_Currency_Book3" xfId="169"/>
    <cellStyle name="_Currency_com_sel_bro_Eagle" xfId="170"/>
    <cellStyle name="_Currency_Control" xfId="171"/>
    <cellStyle name="_Currency_Dividend Template" xfId="172"/>
    <cellStyle name="_Currency_Eagle Financial Model" xfId="173"/>
    <cellStyle name="_Currency_Eagle-NewCastle Model 20Mar2001" xfId="174"/>
    <cellStyle name="_Currency_Eric CapIQ unlinked v1" xfId="175"/>
    <cellStyle name="_Currency_H-G Holdings race car v5 (change dep)" xfId="176"/>
    <cellStyle name="_Currency_Hokuriku Financials" xfId="177"/>
    <cellStyle name="_Currency_Indicative Valuation Summary" xfId="178"/>
    <cellStyle name="_Currency_Indicative Valuation Summary DCF Valuation" xfId="179"/>
    <cellStyle name="_Currency_INTU Comps v2" xfId="16286"/>
    <cellStyle name="_Currency_lbo_long_model" xfId="180"/>
    <cellStyle name="_Currency_lbo_long_model 2" xfId="181"/>
    <cellStyle name="_Currency_Medicis WACC" xfId="182"/>
    <cellStyle name="_Currency_Meggitt AirDynamics WACC" xfId="183"/>
    <cellStyle name="_Currency_Model 2000-09-04" xfId="184"/>
    <cellStyle name="_Currency_NK104 US Output" xfId="185"/>
    <cellStyle name="_Currency_Preliminary Valuation Summary of Seahawk" xfId="186"/>
    <cellStyle name="_Currency_Preliminary Valuation Summary of Seahawk b" xfId="187"/>
    <cellStyle name="_Currency_Pro-Forma Financials" xfId="188"/>
    <cellStyle name="_Currency_Pro-Forma Spin-off" xfId="189"/>
    <cellStyle name="_Currency_Proposed Cost Structure" xfId="190"/>
    <cellStyle name="_Currency_Revised Basic Modelv2.4" xfId="191"/>
    <cellStyle name="_Currency_Rider Henning" xfId="192"/>
    <cellStyle name="_Currency_Scaled Synergies Analysis - Mathematical Illustration - Gem as Target" xfId="193"/>
    <cellStyle name="_Currency_Scaled Synergies Analysis - Mathematical Illustration - Gem as Target_Value_Sharing" xfId="194"/>
    <cellStyle name="_Currency_Updated Model - CapitalIQ6 -04.20.06" xfId="195"/>
    <cellStyle name="_Currency_Valuation Overview" xfId="196"/>
    <cellStyle name="_Currency_valuation summary for ASP" xfId="197"/>
    <cellStyle name="_Currency_WACCv2" xfId="198"/>
    <cellStyle name="_CurrencySpace" xfId="199"/>
    <cellStyle name="_CurrencySpace__DCF Template" xfId="200"/>
    <cellStyle name="_CurrencySpace_04 Alaska Model 2002-05-31 GS" xfId="201"/>
    <cellStyle name="_CurrencySpace_Control" xfId="202"/>
    <cellStyle name="_CurrencySpace_Dividend Template" xfId="203"/>
    <cellStyle name="_CurrencySpace_Eric CapIQ unlinked v1" xfId="204"/>
    <cellStyle name="_CurrencySpace_H-G Holdings race car v5 (change dep)" xfId="205"/>
    <cellStyle name="_CurrencySpace_IPO Model_v01.0" xfId="16287"/>
    <cellStyle name="_CurrencySpace_lbo_long_model" xfId="206"/>
    <cellStyle name="_CurrencySpace_lbo_long_model 2" xfId="207"/>
    <cellStyle name="_CurrencySpace_MA Kinko's Model v5.5" xfId="16288"/>
    <cellStyle name="_CurrencySpace_Medicis WACC" xfId="208"/>
    <cellStyle name="_CurrencySpace_Meggitt AirDynamics WACC" xfId="209"/>
    <cellStyle name="_CurrencySpace_Pro-Forma Financials" xfId="210"/>
    <cellStyle name="_CurrencySpace_Pro-Forma Spin-off" xfId="211"/>
    <cellStyle name="_CurrencySpace_Revised Basic Modelv2.4" xfId="212"/>
    <cellStyle name="_CurrencySpace_Rider Henning" xfId="213"/>
    <cellStyle name="_CurrencySpace_RUBY DCF Model v42" xfId="16289"/>
    <cellStyle name="_CurrencySpace_RUBY merger v64" xfId="16290"/>
    <cellStyle name="_CurrencySpace_Updated Model - CapitalIQ6 -04.20.06" xfId="214"/>
    <cellStyle name="_CurrencySpace_valuation" xfId="16291"/>
    <cellStyle name="_CurrencySpace_WACCv2" xfId="215"/>
    <cellStyle name="_Data" xfId="16292"/>
    <cellStyle name="_date" xfId="216"/>
    <cellStyle name="_date 2" xfId="217"/>
    <cellStyle name="_DCF (G2)" xfId="218"/>
    <cellStyle name="_DCF (G2) 2" xfId="219"/>
    <cellStyle name="_DCF (G2) 3" xfId="220"/>
    <cellStyle name="_DTAs 2007 Post-Acq 3-19-08" xfId="221"/>
    <cellStyle name="_Epsilon IPO Model NEW v3" xfId="16293"/>
    <cellStyle name="_Epsilon Model 3.21.05 v.4" xfId="16294"/>
    <cellStyle name="_Epsilon Model 3.21.05 v.4_1" xfId="16295"/>
    <cellStyle name="_Epsilon Model 3.21.05 v.4_2" xfId="16296"/>
    <cellStyle name="_Epsilon Model 3.21.05 v.4_3" xfId="16297"/>
    <cellStyle name="_Epsilon Model 3.30.05 v7" xfId="16298"/>
    <cellStyle name="_Epsilon Model 3.30.05 v7_1" xfId="16299"/>
    <cellStyle name="_Epsilon Model 3.30.05 v7_2" xfId="16300"/>
    <cellStyle name="_Epsilon Model 3.30.05 v7_3" xfId="16301"/>
    <cellStyle name="_Epsilon Model 3.30.05 v7_4" xfId="16302"/>
    <cellStyle name="_Euro" xfId="222"/>
    <cellStyle name="_Euro 2" xfId="223"/>
    <cellStyle name="_Euro 2 2" xfId="224"/>
    <cellStyle name="_Euro 3" xfId="225"/>
    <cellStyle name="_Euro 4" xfId="226"/>
    <cellStyle name="_Euro 5" xfId="227"/>
    <cellStyle name="_Euro_Cable_Industry Overview5" xfId="228"/>
    <cellStyle name="_Euro_Cable_Industry Overview5 2" xfId="229"/>
    <cellStyle name="_Euro_Cable_Industry Overview5 2 2" xfId="230"/>
    <cellStyle name="_Euro_Cable_Industry Overview5 3" xfId="231"/>
    <cellStyle name="_Euro_Cable_Industry Overview5 4" xfId="232"/>
    <cellStyle name="_Euro_Cable_Industry Overview5 5" xfId="233"/>
    <cellStyle name="_Euro_Gelco Model" xfId="234"/>
    <cellStyle name="_Euro_Model and Valuation - Aros 6 30 08" xfId="16303"/>
    <cellStyle name="_Euro_Summary" xfId="235"/>
    <cellStyle name="_G2 Comps v4" xfId="236"/>
    <cellStyle name="_GBP" xfId="237"/>
    <cellStyle name="_GBP 2" xfId="238"/>
    <cellStyle name="_Header" xfId="16304"/>
    <cellStyle name="_HeaderBlue" xfId="239"/>
    <cellStyle name="_Heading" xfId="240"/>
    <cellStyle name="_Heading 2" xfId="241"/>
    <cellStyle name="_Heading_lbo_long_model" xfId="242"/>
    <cellStyle name="_Heading_lbo_long_model 2" xfId="243"/>
    <cellStyle name="_Heading_lbo_long_model 2 2" xfId="244"/>
    <cellStyle name="_Heading_lbo_long_model 3" xfId="245"/>
    <cellStyle name="_Heading_lbo_long_model 4" xfId="246"/>
    <cellStyle name="_Heading_lbo_long_model 5" xfId="247"/>
    <cellStyle name="_Heading_lbo_long_model_Anaphore 12 31 2008 Draft Analysis 02 19 2009" xfId="248"/>
    <cellStyle name="_Heading_lbo_long_model_Anaphore 12 31 2008 Draft Analysis 02 20 2009 - DM REVISED" xfId="249"/>
    <cellStyle name="_Heading_lbo_long_model_Book2" xfId="250"/>
    <cellStyle name="_Heading_lbo_long_model_Book2 2" xfId="251"/>
    <cellStyle name="_Heading_lbo_long_model_Boston Power VD 01 31 2008 Model 02 26 2008" xfId="252"/>
    <cellStyle name="_Heading_lbo_long_model_Boston Power VD 01 31 2008 Model 02 26 2008 2" xfId="253"/>
    <cellStyle name="_Heading_lbo_long_model_Boston Power VD 01 31 2008 Model 02 26 2008 2 2" xfId="254"/>
    <cellStyle name="_Heading_lbo_long_model_Boston Power VD 01 31 2008 Model 02 26 2008 3" xfId="255"/>
    <cellStyle name="_Heading_lbo_long_model_Boston Power VD 01 31 2008 Model 02 26 2008 4" xfId="256"/>
    <cellStyle name="_Heading_lbo_long_model_Boston Power VD 01 31 2008 Model 02 26 2008 5" xfId="257"/>
    <cellStyle name="_Heading_lbo_long_model_Boston Power VD 01 31 2008 Model 02 26 2008_CompanyABC Valuation Draft Model 04 21 2009" xfId="258"/>
    <cellStyle name="_Heading_lbo_long_model_Boston Power VD 01 31 2008 Model 02 26 2008_CompanyABC Valuation Draft Model 04 21 2009 2" xfId="259"/>
    <cellStyle name="_Heading_lbo_long_model_Boston Power VD 01 31 2008 Model 02 26 2008_DB" xfId="260"/>
    <cellStyle name="_Heading_lbo_long_model_Boston Power VD 01 31 2008 Model 02 26 2008_DB 2" xfId="261"/>
    <cellStyle name="_Heading_lbo_long_model_Boston Power VD 01 31 2008 Model 02 26 2008_DB 2 2" xfId="262"/>
    <cellStyle name="_Heading_lbo_long_model_Boston Power VD 01 31 2008 Model 02 26 2008_FAS 157 Model Template 04 26 2009" xfId="263"/>
    <cellStyle name="_Heading_lbo_long_model_Boston Power VD 01 31 2008 Model 02 26 2008_FAS 157 Model Template 04 26 2009 2" xfId="264"/>
    <cellStyle name="_Heading_lbo_long_model_Boston Power VD 01 31 2008 Model 02 26 2008_Miragen VD 05 31 2008 Model 05 22 2009" xfId="265"/>
    <cellStyle name="_Heading_lbo_long_model_Cap Table Inputs" xfId="266"/>
    <cellStyle name="_Heading_lbo_long_model_Cap Table Inputs 2" xfId="267"/>
    <cellStyle name="_Heading_lbo_long_model_Cap Table Inputs 2 2" xfId="268"/>
    <cellStyle name="_Heading_lbo_long_model_Cap Table Inputs 3" xfId="269"/>
    <cellStyle name="_Heading_lbo_long_model_Cap Table Inputs 4" xfId="270"/>
    <cellStyle name="_Heading_lbo_long_model_Cap Table Inputs 5" xfId="271"/>
    <cellStyle name="_Heading_lbo_long_model_Cap Table Inputs_CompanyABC Valuation Draft Model 04 21 2009" xfId="272"/>
    <cellStyle name="_Heading_lbo_long_model_Cap Table Inputs_CompanyABC Valuation Draft Model 04 21 2009 2" xfId="273"/>
    <cellStyle name="_Heading_lbo_long_model_Cap Table Inputs_DB" xfId="274"/>
    <cellStyle name="_Heading_lbo_long_model_Cap Table Inputs_DB 2" xfId="275"/>
    <cellStyle name="_Heading_lbo_long_model_Cap Table Inputs_DB 2 2" xfId="276"/>
    <cellStyle name="_Heading_lbo_long_model_Cap Table Inputs_FAS 157 Model Template 04 26 2009" xfId="277"/>
    <cellStyle name="_Heading_lbo_long_model_Cap Table Inputs_FAS 157 Model Template 04 26 2009 2" xfId="278"/>
    <cellStyle name="_Heading_lbo_long_model_Cap Table Inputs_Miragen VD 05 31 2008 Model 05 22 2009" xfId="279"/>
    <cellStyle name="_Heading_lbo_long_model_CardioSolutions 05 31 2007 Final Model 09 27 2007" xfId="280"/>
    <cellStyle name="_Heading_lbo_long_model_CardioSolutions 05 31 2007 Final Model 09 27 2007 2" xfId="281"/>
    <cellStyle name="_Heading_lbo_long_model_CardioSolutions 05 31 2007 Final Model 09 27 2007 2 2" xfId="282"/>
    <cellStyle name="_Heading_lbo_long_model_CardioSolutions 05 31 2007 Final Model 09 27 2007 3" xfId="283"/>
    <cellStyle name="_Heading_lbo_long_model_CardioSolutions 05 31 2007 Final Model 09 27 2007 4" xfId="284"/>
    <cellStyle name="_Heading_lbo_long_model_CardioSolutions 05 31 2007 Final Model 09 27 2007 5" xfId="285"/>
    <cellStyle name="_Heading_lbo_long_model_CardioSolutions 05 31 2007 Final Model 09 27 2007_CompanyABC Valuation Draft Model 04 21 2009" xfId="286"/>
    <cellStyle name="_Heading_lbo_long_model_CardioSolutions 05 31 2007 Final Model 09 27 2007_CompanyABC Valuation Draft Model 04 21 2009 2" xfId="287"/>
    <cellStyle name="_Heading_lbo_long_model_CardioSolutions 05 31 2007 Final Model 09 27 2007_DB" xfId="288"/>
    <cellStyle name="_Heading_lbo_long_model_CardioSolutions 05 31 2007 Final Model 09 27 2007_DB 2" xfId="289"/>
    <cellStyle name="_Heading_lbo_long_model_CardioSolutions 05 31 2007 Final Model 09 27 2007_DB 2 2" xfId="290"/>
    <cellStyle name="_Heading_lbo_long_model_CardioSolutions 05 31 2007 Final Model 09 27 2007_FAS 157 Model Template 04 26 2009" xfId="291"/>
    <cellStyle name="_Heading_lbo_long_model_CardioSolutions 05 31 2007 Final Model 09 27 2007_FAS 157 Model Template 04 26 2009 2" xfId="292"/>
    <cellStyle name="_Heading_lbo_long_model_CardioSolutions 05 31 2007 Final Model 09 27 2007_Miragen VD 05 31 2008 Model 05 22 2009" xfId="293"/>
    <cellStyle name="_Heading_lbo_long_model_CardioSolutions VD 05 31 08 Draft Model 07 15 2008" xfId="294"/>
    <cellStyle name="_Heading_lbo_long_model_CardioSolutions VD 05 31 08 Draft Model 07 15 2008 2" xfId="295"/>
    <cellStyle name="_Heading_lbo_long_model_CardioSolutions VD 05 31 08 Draft Model 08 06 08-u" xfId="296"/>
    <cellStyle name="_Heading_lbo_long_model_CardioSolutions VD 05 31 08 Draft Model 08 06 08-u 2" xfId="297"/>
    <cellStyle name="_Heading_lbo_long_model_CompanyABC Valuation Draft Model 04 21 2009" xfId="298"/>
    <cellStyle name="_Heading_lbo_long_model_CompanyABC Valuation Draft Model 04 21 2009 2" xfId="299"/>
    <cellStyle name="_Heading_lbo_long_model_CompanyABC Valuation Model Draft 07 07 2008" xfId="300"/>
    <cellStyle name="_Heading_lbo_long_model_CompanyABC Valuation Model Draft 07 07 2008 2" xfId="301"/>
    <cellStyle name="_Heading_lbo_long_model_CompanyABC Valuation Model Draft 08 07 2008" xfId="302"/>
    <cellStyle name="_Heading_lbo_long_model_CompanyABC Valuation Model Draft 08 07 2008 2" xfId="303"/>
    <cellStyle name="_Heading_lbo_long_model_CompanyABC Valuation Model Draft 08 25 2008" xfId="304"/>
    <cellStyle name="_Heading_lbo_long_model_CompanyABC Valuation Model Draft 08 25 2008 2" xfId="305"/>
    <cellStyle name="_Heading_lbo_long_model_CompanyABC Valuation Model Draft 09 25 2008-Team Liquidity" xfId="306"/>
    <cellStyle name="_Heading_lbo_long_model_CompanyABC Valuation Model Draft 09 25 2008-Team Liquidity 2" xfId="307"/>
    <cellStyle name="_Heading_lbo_long_model_CompanyABC Valuation Model Draft 10 01 2008" xfId="308"/>
    <cellStyle name="_Heading_lbo_long_model_CompanyABC Valuation Model Draft 10 01 2008 2" xfId="309"/>
    <cellStyle name="_Heading_lbo_long_model_CompanyABC Valuation Model Draft 10 27 2008" xfId="310"/>
    <cellStyle name="_Heading_lbo_long_model_CompanyABC Valuation Model Draft 10 27 2008 2" xfId="311"/>
    <cellStyle name="_Heading_lbo_long_model_DB" xfId="312"/>
    <cellStyle name="_Heading_lbo_long_model_DB 2" xfId="313"/>
    <cellStyle name="_Heading_lbo_long_model_EXAMPLE model C-5" xfId="314"/>
    <cellStyle name="_Heading_lbo_long_model_EXAMPLE model C-5 2" xfId="315"/>
    <cellStyle name="_Heading_lbo_long_model_FAS 157 Model Template 04 26 2009" xfId="316"/>
    <cellStyle name="_Heading_lbo_long_model_FAS 157 Model Template 04 26 2009 2" xfId="317"/>
    <cellStyle name="_Heading_lbo_long_model_Great Call VD 09 30 08 Draft Model 11 20 08" xfId="318"/>
    <cellStyle name="_Heading_lbo_long_model_Great Call VD 09 30 08 Draft Model 11 20 08 2" xfId="319"/>
    <cellStyle name="_Heading_lbo_long_model_Intermedia, Inc. VD 05 31 08 Draft Model 07 16 2008" xfId="320"/>
    <cellStyle name="_Heading_lbo_long_model_Intermedia, Inc. VD 05 31 08 Draft Model 07 16 2008 2" xfId="321"/>
    <cellStyle name="_Heading_lbo_long_model_Island Data Corporatin VD 06 30 08 Projections and Comparables 08 11 2008" xfId="322"/>
    <cellStyle name="_Heading_lbo_long_model_Island Data Corporatin VD 06 30 08 Projections and Comparables 08 11 2008 2" xfId="323"/>
    <cellStyle name="_Heading_lbo_long_model_Jentro Tech VD 03 31 2008 Model 04 10 2008" xfId="324"/>
    <cellStyle name="_Heading_lbo_long_model_Jentro Tech VD 03 31 2008 Model 04 10 2008 2" xfId="325"/>
    <cellStyle name="_Heading_lbo_long_model_Kythera Biopharmaceuticals VD 05 16 08 Draft Analysis 07 01 08" xfId="326"/>
    <cellStyle name="_Heading_lbo_long_model_Kythera Biopharmaceuticals VD 05 16 08 Draft Analysis 07 01 08 2" xfId="327"/>
    <cellStyle name="_Heading_lbo_long_model_Kythera Biopharmaceuticals VD 05 16 08 Final Model 07 20 08" xfId="328"/>
    <cellStyle name="_Heading_lbo_long_model_Kythera Biopharmaceuticals VD 05 16 08 Final Model 07 20 08 2" xfId="329"/>
    <cellStyle name="_Heading_lbo_long_model_Kythera Biopharmaceuticals, Inc. VD 5 16 2008 Draft 5 24 2008" xfId="330"/>
    <cellStyle name="_Heading_lbo_long_model_Kythera Biopharmaceuticals, Inc. VD 5 16 2008 Draft 5 24 2008 2" xfId="331"/>
    <cellStyle name="_Heading_lbo_long_model_Miragen VD 05 31 2008 Model 05 22 2009" xfId="332"/>
    <cellStyle name="_Heading_lbo_long_model_Notes" xfId="333"/>
    <cellStyle name="_Heading_lbo_long_model_Notes 2" xfId="334"/>
    <cellStyle name="_Heading_lbo_long_model_OMT VD 10 15 2008 Draft Analysis 12 17 2008.xls" xfId="335"/>
    <cellStyle name="_Heading_lbo_long_model_PubComps IPO -C-7" xfId="336"/>
    <cellStyle name="_Heading_lbo_long_model_PubComps IPO -C-7 2" xfId="337"/>
    <cellStyle name="_Heading_lbo_long_model_Tmax Soft VD 07 31 2008 Draft Model 08 20 2008" xfId="338"/>
    <cellStyle name="_Heading_lbo_long_model_Tmax Soft VD 07 31 2008 Draft Model 08 20 2008 2" xfId="339"/>
    <cellStyle name="_Heading_lbo_long_model_WACC -E-2" xfId="340"/>
    <cellStyle name="_Heading_lbo_long_model_WACC -E-2 2" xfId="341"/>
    <cellStyle name="_Heading_lbo_long_model_Xmos Limited VD 05 13 2008  Model 06 04 08" xfId="342"/>
    <cellStyle name="_Heading_lbo_long_model_Xmos Limited VD 05 13 2008  Model 06 04 08 2" xfId="343"/>
    <cellStyle name="_Heading_prestemp" xfId="344"/>
    <cellStyle name="_Heading_prestemp 2" xfId="345"/>
    <cellStyle name="_Heading_prestemp 2 2" xfId="346"/>
    <cellStyle name="_Heading_prestemp 3" xfId="347"/>
    <cellStyle name="_Heading_prestemp 4" xfId="348"/>
    <cellStyle name="_Heading_prestemp 5" xfId="349"/>
    <cellStyle name="_Heading_prestemp_Anaphore 12 31 2008 Draft Analysis 02 19 2009" xfId="350"/>
    <cellStyle name="_Heading_prestemp_Anaphore 12 31 2008 Draft Analysis 02 20 2009 - DM REVISED" xfId="351"/>
    <cellStyle name="_Heading_prestemp_Book2" xfId="352"/>
    <cellStyle name="_Heading_prestemp_Book2 2" xfId="353"/>
    <cellStyle name="_Heading_prestemp_Boston Power VD 01 31 2008 Model 02 26 2008" xfId="354"/>
    <cellStyle name="_Heading_prestemp_Boston Power VD 01 31 2008 Model 02 26 2008 2" xfId="355"/>
    <cellStyle name="_Heading_prestemp_Boston Power VD 01 31 2008 Model 02 26 2008 2 2" xfId="356"/>
    <cellStyle name="_Heading_prestemp_Boston Power VD 01 31 2008 Model 02 26 2008 3" xfId="357"/>
    <cellStyle name="_Heading_prestemp_Boston Power VD 01 31 2008 Model 02 26 2008 4" xfId="358"/>
    <cellStyle name="_Heading_prestemp_Boston Power VD 01 31 2008 Model 02 26 2008 5" xfId="359"/>
    <cellStyle name="_Heading_prestemp_Boston Power VD 01 31 2008 Model 02 26 2008_CompanyABC Valuation Draft Model 04 21 2009" xfId="360"/>
    <cellStyle name="_Heading_prestemp_Boston Power VD 01 31 2008 Model 02 26 2008_CompanyABC Valuation Draft Model 04 21 2009 2" xfId="361"/>
    <cellStyle name="_Heading_prestemp_Boston Power VD 01 31 2008 Model 02 26 2008_DB" xfId="362"/>
    <cellStyle name="_Heading_prestemp_Boston Power VD 01 31 2008 Model 02 26 2008_DB 2" xfId="363"/>
    <cellStyle name="_Heading_prestemp_Boston Power VD 01 31 2008 Model 02 26 2008_DB 2 2" xfId="364"/>
    <cellStyle name="_Heading_prestemp_Boston Power VD 01 31 2008 Model 02 26 2008_FAS 157 Model Template 04 26 2009" xfId="365"/>
    <cellStyle name="_Heading_prestemp_Boston Power VD 01 31 2008 Model 02 26 2008_FAS 157 Model Template 04 26 2009 2" xfId="366"/>
    <cellStyle name="_Heading_prestemp_Boston Power VD 01 31 2008 Model 02 26 2008_Miragen VD 05 31 2008 Model 05 22 2009" xfId="367"/>
    <cellStyle name="_Heading_prestemp_Cap Table Inputs" xfId="368"/>
    <cellStyle name="_Heading_prestemp_Cap Table Inputs 2" xfId="369"/>
    <cellStyle name="_Heading_prestemp_Cap Table Inputs 2 2" xfId="370"/>
    <cellStyle name="_Heading_prestemp_Cap Table Inputs 3" xfId="371"/>
    <cellStyle name="_Heading_prestemp_Cap Table Inputs 4" xfId="372"/>
    <cellStyle name="_Heading_prestemp_Cap Table Inputs 5" xfId="373"/>
    <cellStyle name="_Heading_prestemp_Cap Table Inputs_CompanyABC Valuation Draft Model 04 21 2009" xfId="374"/>
    <cellStyle name="_Heading_prestemp_Cap Table Inputs_CompanyABC Valuation Draft Model 04 21 2009 2" xfId="375"/>
    <cellStyle name="_Heading_prestemp_Cap Table Inputs_DB" xfId="376"/>
    <cellStyle name="_Heading_prestemp_Cap Table Inputs_DB 2" xfId="377"/>
    <cellStyle name="_Heading_prestemp_Cap Table Inputs_DB 2 2" xfId="378"/>
    <cellStyle name="_Heading_prestemp_Cap Table Inputs_FAS 157 Model Template 04 26 2009" xfId="379"/>
    <cellStyle name="_Heading_prestemp_Cap Table Inputs_FAS 157 Model Template 04 26 2009 2" xfId="380"/>
    <cellStyle name="_Heading_prestemp_Cap Table Inputs_Miragen VD 05 31 2008 Model 05 22 2009" xfId="381"/>
    <cellStyle name="_Heading_prestemp_CardioSolutions 05 31 2007 Final Model 09 27 2007" xfId="382"/>
    <cellStyle name="_Heading_prestemp_CardioSolutions 05 31 2007 Final Model 09 27 2007 2" xfId="383"/>
    <cellStyle name="_Heading_prestemp_CardioSolutions 05 31 2007 Final Model 09 27 2007 2 2" xfId="384"/>
    <cellStyle name="_Heading_prestemp_CardioSolutions 05 31 2007 Final Model 09 27 2007 3" xfId="385"/>
    <cellStyle name="_Heading_prestemp_CardioSolutions 05 31 2007 Final Model 09 27 2007 4" xfId="386"/>
    <cellStyle name="_Heading_prestemp_CardioSolutions 05 31 2007 Final Model 09 27 2007 5" xfId="387"/>
    <cellStyle name="_Heading_prestemp_CardioSolutions 05 31 2007 Final Model 09 27 2007_CompanyABC Valuation Draft Model 04 21 2009" xfId="388"/>
    <cellStyle name="_Heading_prestemp_CardioSolutions 05 31 2007 Final Model 09 27 2007_CompanyABC Valuation Draft Model 04 21 2009 2" xfId="389"/>
    <cellStyle name="_Heading_prestemp_CardioSolutions 05 31 2007 Final Model 09 27 2007_DB" xfId="390"/>
    <cellStyle name="_Heading_prestemp_CardioSolutions 05 31 2007 Final Model 09 27 2007_DB 2" xfId="391"/>
    <cellStyle name="_Heading_prestemp_CardioSolutions 05 31 2007 Final Model 09 27 2007_DB 2 2" xfId="392"/>
    <cellStyle name="_Heading_prestemp_CardioSolutions 05 31 2007 Final Model 09 27 2007_FAS 157 Model Template 04 26 2009" xfId="393"/>
    <cellStyle name="_Heading_prestemp_CardioSolutions 05 31 2007 Final Model 09 27 2007_FAS 157 Model Template 04 26 2009 2" xfId="394"/>
    <cellStyle name="_Heading_prestemp_CardioSolutions 05 31 2007 Final Model 09 27 2007_Miragen VD 05 31 2008 Model 05 22 2009" xfId="395"/>
    <cellStyle name="_Heading_prestemp_CardioSolutions VD 05 31 08 Draft Model 07 15 2008" xfId="396"/>
    <cellStyle name="_Heading_prestemp_CardioSolutions VD 05 31 08 Draft Model 07 15 2008 2" xfId="397"/>
    <cellStyle name="_Heading_prestemp_CardioSolutions VD 05 31 08 Draft Model 08 06 08-u" xfId="398"/>
    <cellStyle name="_Heading_prestemp_CardioSolutions VD 05 31 08 Draft Model 08 06 08-u 2" xfId="399"/>
    <cellStyle name="_Heading_prestemp_CompanyABC Valuation Draft Model 04 21 2009" xfId="400"/>
    <cellStyle name="_Heading_prestemp_CompanyABC Valuation Draft Model 04 21 2009 2" xfId="401"/>
    <cellStyle name="_Heading_prestemp_CompanyABC Valuation Model Draft 07 07 2008" xfId="402"/>
    <cellStyle name="_Heading_prestemp_CompanyABC Valuation Model Draft 07 07 2008 2" xfId="403"/>
    <cellStyle name="_Heading_prestemp_CompanyABC Valuation Model Draft 08 07 2008" xfId="404"/>
    <cellStyle name="_Heading_prestemp_CompanyABC Valuation Model Draft 08 07 2008 2" xfId="405"/>
    <cellStyle name="_Heading_prestemp_CompanyABC Valuation Model Draft 08 25 2008" xfId="406"/>
    <cellStyle name="_Heading_prestemp_CompanyABC Valuation Model Draft 08 25 2008 2" xfId="407"/>
    <cellStyle name="_Heading_prestemp_CompanyABC Valuation Model Draft 09 25 2008-Team Liquidity" xfId="408"/>
    <cellStyle name="_Heading_prestemp_CompanyABC Valuation Model Draft 09 25 2008-Team Liquidity 2" xfId="409"/>
    <cellStyle name="_Heading_prestemp_CompanyABC Valuation Model Draft 10 01 2008" xfId="410"/>
    <cellStyle name="_Heading_prestemp_CompanyABC Valuation Model Draft 10 01 2008 2" xfId="411"/>
    <cellStyle name="_Heading_prestemp_CompanyABC Valuation Model Draft 10 27 2008" xfId="412"/>
    <cellStyle name="_Heading_prestemp_CompanyABC Valuation Model Draft 10 27 2008 2" xfId="413"/>
    <cellStyle name="_Heading_prestemp_Cyrela - Goldzstein - Financial Model - v1" xfId="414"/>
    <cellStyle name="_Heading_prestemp_Cyrela - Goldzstein - Financial Model - v5" xfId="415"/>
    <cellStyle name="_Heading_prestemp_DB" xfId="416"/>
    <cellStyle name="_Heading_prestemp_DB 2" xfId="417"/>
    <cellStyle name="_Heading_prestemp_EXAMPLE model C-5" xfId="418"/>
    <cellStyle name="_Heading_prestemp_EXAMPLE model C-5 2" xfId="419"/>
    <cellStyle name="_Heading_prestemp_FAS 157 Model Template 04 26 2009" xfId="420"/>
    <cellStyle name="_Heading_prestemp_FAS 157 Model Template 04 26 2009 2" xfId="421"/>
    <cellStyle name="_Heading_prestemp_Gas Natural - Financial Model - April 18 2008 - v1" xfId="422"/>
    <cellStyle name="_Heading_prestemp_Gas Natural - Financial Model - April 18 2008 - v2" xfId="423"/>
    <cellStyle name="_Heading_prestemp_Gas Natural - Financial Model - May 20, 2009" xfId="424"/>
    <cellStyle name="_Heading_prestemp_Goldzstein Cyrela - Financial Model - v7" xfId="425"/>
    <cellStyle name="_Heading_prestemp_Great Call VD 09 30 08 Draft Model 11 20 08" xfId="426"/>
    <cellStyle name="_Heading_prestemp_Great Call VD 09 30 08 Draft Model 11 20 08 2" xfId="427"/>
    <cellStyle name="_Heading_prestemp_Grupo Ibmec - Financial Model - v2" xfId="428"/>
    <cellStyle name="_Heading_prestemp_Grupo Ibmec - Financial Model - v5" xfId="429"/>
    <cellStyle name="_Heading_prestemp_Independencia - Financial Model - Dec 02 2008 - v3" xfId="430"/>
    <cellStyle name="_Heading_prestemp_Independencia - Financial Model - Nov 24 2008" xfId="431"/>
    <cellStyle name="_Heading_prestemp_Intermedia, Inc. VD 05 31 08 Draft Model 07 16 2008" xfId="432"/>
    <cellStyle name="_Heading_prestemp_Intermedia, Inc. VD 05 31 08 Draft Model 07 16 2008 2" xfId="433"/>
    <cellStyle name="_Heading_prestemp_Island Data Corporatin VD 06 30 08 Projections and Comparables 08 11 2008" xfId="434"/>
    <cellStyle name="_Heading_prestemp_Island Data Corporatin VD 06 30 08 Projections and Comparables 08 11 2008 2" xfId="435"/>
    <cellStyle name="_Heading_prestemp_Jentro Tech VD 03 31 2008 Model 04 10 2008" xfId="436"/>
    <cellStyle name="_Heading_prestemp_Jentro Tech VD 03 31 2008 Model 04 10 2008 2" xfId="437"/>
    <cellStyle name="_Heading_prestemp_Kythera Biopharmaceuticals VD 05 16 08 Draft Analysis 07 01 08" xfId="438"/>
    <cellStyle name="_Heading_prestemp_Kythera Biopharmaceuticals VD 05 16 08 Draft Analysis 07 01 08 2" xfId="439"/>
    <cellStyle name="_Heading_prestemp_Kythera Biopharmaceuticals VD 05 16 08 Final Model 07 20 08" xfId="440"/>
    <cellStyle name="_Heading_prestemp_Kythera Biopharmaceuticals VD 05 16 08 Final Model 07 20 08 2" xfId="441"/>
    <cellStyle name="_Heading_prestemp_Kythera Biopharmaceuticals, Inc. VD 5 16 2008 Draft 5 24 2008" xfId="442"/>
    <cellStyle name="_Heading_prestemp_Kythera Biopharmaceuticals, Inc. VD 5 16 2008 Draft 5 24 2008 2" xfId="443"/>
    <cellStyle name="_Heading_prestemp_Medley_Financial_Model_v5" xfId="444"/>
    <cellStyle name="_Heading_prestemp_Medley_Financial_Model_v5_Ubiquiti Ownership Table" xfId="445"/>
    <cellStyle name="_Heading_prestemp_Miragen VD 05 31 2008 Model 05 22 2009" xfId="446"/>
    <cellStyle name="_Heading_prestemp_Notes" xfId="447"/>
    <cellStyle name="_Heading_prestemp_Notes 2" xfId="448"/>
    <cellStyle name="_Heading_prestemp_OMT VD 10 15 2008 Draft Analysis 12 17 2008.xls" xfId="449"/>
    <cellStyle name="_Heading_prestemp_Project Emet - Forecasts" xfId="450"/>
    <cellStyle name="_Heading_prestemp_PubComps IPO -C-7" xfId="451"/>
    <cellStyle name="_Heading_prestemp_PubComps IPO -C-7 2" xfId="452"/>
    <cellStyle name="_Heading_prestemp_Rumo_Financial_Model_05jun2009_v1" xfId="453"/>
    <cellStyle name="_Heading_prestemp_Rumo_Financial_Model_05jun2009_v4" xfId="454"/>
    <cellStyle name="_Heading_prestemp_Rumo_Financial_Model_05jun2009_v5" xfId="455"/>
    <cellStyle name="_Heading_prestemp_Rumo_Financial_Model_05jun2009_v6" xfId="456"/>
    <cellStyle name="_Heading_prestemp_SCPC_Financial_Model_10jun2009_v2" xfId="457"/>
    <cellStyle name="_Heading_prestemp_SCPC_Financial_Model_17jun2009_v5" xfId="458"/>
    <cellStyle name="_Heading_prestemp_Tmax Soft VD 07 31 2008 Draft Model 08 20 2008" xfId="459"/>
    <cellStyle name="_Heading_prestemp_Tmax Soft VD 07 31 2008 Draft Model 08 20 2008 2" xfId="460"/>
    <cellStyle name="_Heading_prestemp_WACC -E-2" xfId="461"/>
    <cellStyle name="_Heading_prestemp_WACC -E-2 2" xfId="462"/>
    <cellStyle name="_Heading_prestemp_Xmos Limited VD 05 13 2008  Model 06 04 08" xfId="463"/>
    <cellStyle name="_Heading_prestemp_Xmos Limited VD 05 13 2008  Model 06 04 08 2" xfId="464"/>
    <cellStyle name="_Headline" xfId="16305"/>
    <cellStyle name="_Hea_x0010_line" xfId="16306"/>
    <cellStyle name="_Highlight" xfId="465"/>
    <cellStyle name="_Highlight 2" xfId="466"/>
    <cellStyle name="_IPO Val 08.01.05 v1.1" xfId="16307"/>
    <cellStyle name="_laroux_2000 Reforecast Summary 6-00" xfId="16308"/>
    <cellStyle name="_laroux_April 2000 Review_Property Disclosure 2000 Reforecast 8-00" xfId="16309"/>
    <cellStyle name="_LIBOR" xfId="467"/>
    <cellStyle name="_LIBOR 2" xfId="468"/>
    <cellStyle name="_LIBOR_IRR Model" xfId="469"/>
    <cellStyle name="_LIBOR_IRR Model 2" xfId="470"/>
    <cellStyle name="_LIBOR_Mesa_Irr Grid" xfId="471"/>
    <cellStyle name="_LIBOR_Mesa_Irr Grid 2" xfId="472"/>
    <cellStyle name="_Luxury Goods Comps latest" xfId="473"/>
    <cellStyle name="_Luxury Goods Comps latest_Medley_Financial_Model_v5" xfId="474"/>
    <cellStyle name="_Luxury Goods Comps latest_Medley_Financial_Model_v5_Ubiquiti Ownership Table" xfId="475"/>
    <cellStyle name="_MemoHead" xfId="476"/>
    <cellStyle name="_MemoHead 2" xfId="477"/>
    <cellStyle name="_MemoSubHead" xfId="478"/>
    <cellStyle name="_MemoSubHead 2" xfId="479"/>
    <cellStyle name="-_Merger Overview Paste-ins" xfId="480"/>
    <cellStyle name="-_Merger Overview Paste-ins_EBITDA template v2" xfId="481"/>
    <cellStyle name="-_Merger Overview Paste-ins_Ranpak Model (10-27-05) v1.1" xfId="482"/>
    <cellStyle name="-_Merger Overview Paste-ins_Ranpak Model (10-27-05) v1.1_EBITDA template v2" xfId="483"/>
    <cellStyle name="_Model and Valuation - Aros 6 30 08" xfId="16310"/>
    <cellStyle name="_Modelo Puerto 2007 Management Case DB 14-11 (DB) v20" xfId="484"/>
    <cellStyle name="_Modelo Puerto 2007 Management Case DB 14-11 (DB) v20_Medley_Financial_Model_v5" xfId="485"/>
    <cellStyle name="_Multiple" xfId="486"/>
    <cellStyle name="_Multiple__DCF Template" xfId="487"/>
    <cellStyle name="_Multiple_04 Alaska Model 2002-05-31 GS" xfId="488"/>
    <cellStyle name="_Multiple_Cable_Industry Overview5" xfId="489"/>
    <cellStyle name="_Multiple_Control" xfId="490"/>
    <cellStyle name="_Multiple_Dividend Template" xfId="491"/>
    <cellStyle name="_Multiple_Eric CapIQ unlinked v1" xfId="492"/>
    <cellStyle name="_Multiple_Gelco Model" xfId="493"/>
    <cellStyle name="_Multiple_H-G Holdings race car v5 (change dep)" xfId="494"/>
    <cellStyle name="_Multiple_INTU Comps v2" xfId="16311"/>
    <cellStyle name="_Multiple_lbo_long_model" xfId="495"/>
    <cellStyle name="_Multiple_lbo_long_model 2" xfId="496"/>
    <cellStyle name="_Multiple_Medicis WACC" xfId="497"/>
    <cellStyle name="_Multiple_Meggitt AirDynamics WACC" xfId="498"/>
    <cellStyle name="_Multiple_Pro-Forma Financials" xfId="499"/>
    <cellStyle name="_Multiple_Pro-Forma Spin-off" xfId="500"/>
    <cellStyle name="_Multiple_Revised Basic Modelv2.4" xfId="501"/>
    <cellStyle name="_Multiple_Rider Henning" xfId="502"/>
    <cellStyle name="_Multiple_Summary" xfId="503"/>
    <cellStyle name="_Multiple_Updated Model - CapitalIQ6 -04.20.06" xfId="504"/>
    <cellStyle name="_Multiple_WACCv2" xfId="505"/>
    <cellStyle name="_Multiple_Yield Tables" xfId="506"/>
    <cellStyle name="_MultipleSpace" xfId="507"/>
    <cellStyle name="_MultipleSpace__DCF Template" xfId="508"/>
    <cellStyle name="_MultipleSpace_04 Alaska Model 2002-05-31 GS" xfId="509"/>
    <cellStyle name="_MultipleSpace_Control" xfId="510"/>
    <cellStyle name="_MultipleSpace_Dividend Template" xfId="511"/>
    <cellStyle name="_MultipleSpace_EPL LBO 5.16.05 - Mgmt IPO v6" xfId="16312"/>
    <cellStyle name="_MultipleSpace_Epsilon IPO Model NEW v3" xfId="16313"/>
    <cellStyle name="_MultipleSpace_Epsilon Model 3.30.05 v7" xfId="16314"/>
    <cellStyle name="_MultipleSpace_Eric CapIQ unlinked v1" xfId="512"/>
    <cellStyle name="_MultipleSpace_H-G Holdings race car v5 (change dep)" xfId="513"/>
    <cellStyle name="_MultipleSpace_Hist_Rev1" xfId="16315"/>
    <cellStyle name="_MultipleSpace_lbo_long_model" xfId="514"/>
    <cellStyle name="_MultipleSpace_lbo_long_model 2" xfId="515"/>
    <cellStyle name="_MultipleSpace_Medicis WACC" xfId="516"/>
    <cellStyle name="_MultipleSpace_Meggitt AirDynamics WACC" xfId="517"/>
    <cellStyle name="_MultipleSpace_Pro-Forma Financials" xfId="518"/>
    <cellStyle name="_MultipleSpace_Pro-Forma Spin-off" xfId="519"/>
    <cellStyle name="_MultipleSpace_Revised Basic Modelv2.4" xfId="520"/>
    <cellStyle name="_MultipleSpace_Rider Henning" xfId="521"/>
    <cellStyle name="_MultipleSpace_RJB Long LBO LTM" xfId="16316"/>
    <cellStyle name="_MultipleSpace_Updated Model - CapitalIQ6 -04.20.06" xfId="522"/>
    <cellStyle name="_MultipleSpace_WACCv2" xfId="523"/>
    <cellStyle name="_Nomos WACC" xfId="524"/>
    <cellStyle name="_Percent" xfId="525"/>
    <cellStyle name="_Percent_Control" xfId="526"/>
    <cellStyle name="_Percent_Rider Henning" xfId="527"/>
    <cellStyle name="_PercentReal" xfId="528"/>
    <cellStyle name="_PercentReal 2" xfId="529"/>
    <cellStyle name="_PercentReal_Gelco Model" xfId="530"/>
    <cellStyle name="_PercentReal_Gelco Model 2" xfId="531"/>
    <cellStyle name="_PercentReal_Gelco Overview_3-11-04" xfId="532"/>
    <cellStyle name="_PercentReal_Gelco Overview_3-11-04 2" xfId="533"/>
    <cellStyle name="_PercentReal_Indicative Term Sheet" xfId="534"/>
    <cellStyle name="_PercentReal_Indicative Term Sheet 2" xfId="535"/>
    <cellStyle name="_PercentReal_IRR Summary" xfId="536"/>
    <cellStyle name="_PercentReal_IRR Summary 2" xfId="537"/>
    <cellStyle name="_PercentReal_PADD" xfId="538"/>
    <cellStyle name="_PercentReal_PADD 2" xfId="539"/>
    <cellStyle name="_PercentSpace" xfId="540"/>
    <cellStyle name="_PercentSpace_Control" xfId="541"/>
    <cellStyle name="_PercentSpace_Rider Henning" xfId="542"/>
    <cellStyle name="_PMR_Val_v3" xfId="16317"/>
    <cellStyle name="_PMR_Val_v4" xfId="16318"/>
    <cellStyle name="_Projection IS  BS 2007-2010" xfId="543"/>
    <cellStyle name="_Public Equity Analysis - v1" xfId="544"/>
    <cellStyle name="_Public Equity Analysis - v1_Medley_Financial_Model_v5" xfId="545"/>
    <cellStyle name="_Pulpo 01.30.07 v.2" xfId="16319"/>
    <cellStyle name="_RangeColumns" xfId="546"/>
    <cellStyle name="_RangeColumns_East Coast Bulk Caustic 2+10" xfId="547"/>
    <cellStyle name="_RangeColumns_East Coast Bulk Caustic 2+10 2" xfId="12431"/>
    <cellStyle name="_RangeColumns_East Profit  Loss 1Q Review" xfId="548"/>
    <cellStyle name="_RangeColumns_East Profit  Loss 1Q Review 2" xfId="12432"/>
    <cellStyle name="_RangeData" xfId="549"/>
    <cellStyle name="_RangeData 2" xfId="12433"/>
    <cellStyle name="_RangeData_East Coast Bulk Caustic 2+10" xfId="550"/>
    <cellStyle name="_RangeData_East Coast Bulk Caustic 2+10 2" xfId="12434"/>
    <cellStyle name="_RangeData_East Profit  Loss 1Q Review" xfId="551"/>
    <cellStyle name="_RangeData_East Profit  Loss 1Q Review 2" xfId="12435"/>
    <cellStyle name="_RangeProperties" xfId="552"/>
    <cellStyle name="_RangeProperties 2" xfId="12436"/>
    <cellStyle name="_RangePropertiesColumns" xfId="553"/>
    <cellStyle name="_RangePropertiesColumns 2" xfId="12437"/>
    <cellStyle name="_RangeRows" xfId="554"/>
    <cellStyle name="_RangeRows_East Coast Bulk Caustic 2+10" xfId="555"/>
    <cellStyle name="_RangeRows_East Coast Bulk Caustic 2+10 2" xfId="12438"/>
    <cellStyle name="_RangeRows_East Profit  Loss 1Q Review" xfId="556"/>
    <cellStyle name="_RangeRows_East Profit  Loss 1Q Review 2" xfId="12439"/>
    <cellStyle name="_RangeSlicer" xfId="557"/>
    <cellStyle name="_Revised BP 2007-2010" xfId="558"/>
    <cellStyle name="_Roster with Salary and Bonus v2" xfId="16320"/>
    <cellStyle name="_Store Buildup v6" xfId="16321"/>
    <cellStyle name="_Store Buildup v6_1" xfId="16322"/>
    <cellStyle name="_Store Buildup v6_2" xfId="16323"/>
    <cellStyle name="_Store Buildup v6_3" xfId="16324"/>
    <cellStyle name="_Store Buildup v6_4" xfId="16325"/>
    <cellStyle name="_SubHeading" xfId="559"/>
    <cellStyle name="_SubHeading 2" xfId="560"/>
    <cellStyle name="_SubHeading_lbo_long_model" xfId="561"/>
    <cellStyle name="_SubHeading_lbo_long_model 2" xfId="562"/>
    <cellStyle name="_SubHeading_lbo_long_model 2 2" xfId="563"/>
    <cellStyle name="_SubHeading_lbo_long_model 3" xfId="564"/>
    <cellStyle name="_SubHeading_lbo_long_model 4" xfId="565"/>
    <cellStyle name="_SubHeading_lbo_long_model 5" xfId="566"/>
    <cellStyle name="_SubHeading_lbo_long_model_Anaphore 12 31 2008 Draft Analysis 02 19 2009" xfId="567"/>
    <cellStyle name="_SubHeading_lbo_long_model_Anaphore 12 31 2008 Draft Analysis 02 20 2009 - DM REVISED" xfId="568"/>
    <cellStyle name="_SubHeading_lbo_long_model_Book2" xfId="569"/>
    <cellStyle name="_SubHeading_lbo_long_model_Book2 2" xfId="570"/>
    <cellStyle name="_SubHeading_lbo_long_model_Boston Power VD 01 31 2008 Model 02 26 2008" xfId="571"/>
    <cellStyle name="_SubHeading_lbo_long_model_Boston Power VD 01 31 2008 Model 02 26 2008 2" xfId="572"/>
    <cellStyle name="_SubHeading_lbo_long_model_Boston Power VD 01 31 2008 Model 02 26 2008 2 2" xfId="573"/>
    <cellStyle name="_SubHeading_lbo_long_model_Boston Power VD 01 31 2008 Model 02 26 2008 3" xfId="574"/>
    <cellStyle name="_SubHeading_lbo_long_model_Boston Power VD 01 31 2008 Model 02 26 2008 4" xfId="575"/>
    <cellStyle name="_SubHeading_lbo_long_model_Boston Power VD 01 31 2008 Model 02 26 2008 5" xfId="576"/>
    <cellStyle name="_SubHeading_lbo_long_model_Boston Power VD 01 31 2008 Model 02 26 2008_CompanyABC Valuation Draft Model 04 21 2009" xfId="577"/>
    <cellStyle name="_SubHeading_lbo_long_model_Boston Power VD 01 31 2008 Model 02 26 2008_CompanyABC Valuation Draft Model 04 21 2009 2" xfId="578"/>
    <cellStyle name="_SubHeading_lbo_long_model_Boston Power VD 01 31 2008 Model 02 26 2008_DB" xfId="579"/>
    <cellStyle name="_SubHeading_lbo_long_model_Boston Power VD 01 31 2008 Model 02 26 2008_DB 2" xfId="580"/>
    <cellStyle name="_SubHeading_lbo_long_model_Boston Power VD 01 31 2008 Model 02 26 2008_DB 2 2" xfId="581"/>
    <cellStyle name="_SubHeading_lbo_long_model_Boston Power VD 01 31 2008 Model 02 26 2008_FAS 157 Model Template 04 26 2009" xfId="582"/>
    <cellStyle name="_SubHeading_lbo_long_model_Boston Power VD 01 31 2008 Model 02 26 2008_FAS 157 Model Template 04 26 2009 2" xfId="583"/>
    <cellStyle name="_SubHeading_lbo_long_model_Boston Power VD 01 31 2008 Model 02 26 2008_Miragen VD 05 31 2008 Model 05 22 2009" xfId="584"/>
    <cellStyle name="_SubHeading_lbo_long_model_Cap Table Inputs" xfId="585"/>
    <cellStyle name="_SubHeading_lbo_long_model_Cap Table Inputs 2" xfId="586"/>
    <cellStyle name="_SubHeading_lbo_long_model_Cap Table Inputs 2 2" xfId="587"/>
    <cellStyle name="_SubHeading_lbo_long_model_Cap Table Inputs 3" xfId="588"/>
    <cellStyle name="_SubHeading_lbo_long_model_Cap Table Inputs 4" xfId="589"/>
    <cellStyle name="_SubHeading_lbo_long_model_Cap Table Inputs 5" xfId="590"/>
    <cellStyle name="_SubHeading_lbo_long_model_Cap Table Inputs_CompanyABC Valuation Draft Model 04 21 2009" xfId="591"/>
    <cellStyle name="_SubHeading_lbo_long_model_Cap Table Inputs_CompanyABC Valuation Draft Model 04 21 2009 2" xfId="592"/>
    <cellStyle name="_SubHeading_lbo_long_model_Cap Table Inputs_DB" xfId="593"/>
    <cellStyle name="_SubHeading_lbo_long_model_Cap Table Inputs_DB 2" xfId="594"/>
    <cellStyle name="_SubHeading_lbo_long_model_Cap Table Inputs_DB 2 2" xfId="595"/>
    <cellStyle name="_SubHeading_lbo_long_model_Cap Table Inputs_FAS 157 Model Template 04 26 2009" xfId="596"/>
    <cellStyle name="_SubHeading_lbo_long_model_Cap Table Inputs_FAS 157 Model Template 04 26 2009 2" xfId="597"/>
    <cellStyle name="_SubHeading_lbo_long_model_Cap Table Inputs_Miragen VD 05 31 2008 Model 05 22 2009" xfId="598"/>
    <cellStyle name="_SubHeading_lbo_long_model_CardioSolutions 05 31 2007 Final Model 09 27 2007" xfId="599"/>
    <cellStyle name="_SubHeading_lbo_long_model_CardioSolutions 05 31 2007 Final Model 09 27 2007 2" xfId="600"/>
    <cellStyle name="_SubHeading_lbo_long_model_CardioSolutions 05 31 2007 Final Model 09 27 2007 2 2" xfId="601"/>
    <cellStyle name="_SubHeading_lbo_long_model_CardioSolutions 05 31 2007 Final Model 09 27 2007 3" xfId="602"/>
    <cellStyle name="_SubHeading_lbo_long_model_CardioSolutions 05 31 2007 Final Model 09 27 2007 4" xfId="603"/>
    <cellStyle name="_SubHeading_lbo_long_model_CardioSolutions 05 31 2007 Final Model 09 27 2007 5" xfId="604"/>
    <cellStyle name="_SubHeading_lbo_long_model_CardioSolutions 05 31 2007 Final Model 09 27 2007_CompanyABC Valuation Draft Model 04 21 2009" xfId="605"/>
    <cellStyle name="_SubHeading_lbo_long_model_CardioSolutions 05 31 2007 Final Model 09 27 2007_CompanyABC Valuation Draft Model 04 21 2009 2" xfId="606"/>
    <cellStyle name="_SubHeading_lbo_long_model_CardioSolutions 05 31 2007 Final Model 09 27 2007_DB" xfId="607"/>
    <cellStyle name="_SubHeading_lbo_long_model_CardioSolutions 05 31 2007 Final Model 09 27 2007_DB 2" xfId="608"/>
    <cellStyle name="_SubHeading_lbo_long_model_CardioSolutions 05 31 2007 Final Model 09 27 2007_DB 2 2" xfId="609"/>
    <cellStyle name="_SubHeading_lbo_long_model_CardioSolutions 05 31 2007 Final Model 09 27 2007_FAS 157 Model Template 04 26 2009" xfId="610"/>
    <cellStyle name="_SubHeading_lbo_long_model_CardioSolutions 05 31 2007 Final Model 09 27 2007_FAS 157 Model Template 04 26 2009 2" xfId="611"/>
    <cellStyle name="_SubHeading_lbo_long_model_CardioSolutions 05 31 2007 Final Model 09 27 2007_Miragen VD 05 31 2008 Model 05 22 2009" xfId="612"/>
    <cellStyle name="_SubHeading_lbo_long_model_CardioSolutions VD 05 31 08 Draft Model 07 15 2008" xfId="613"/>
    <cellStyle name="_SubHeading_lbo_long_model_CardioSolutions VD 05 31 08 Draft Model 07 15 2008 2" xfId="614"/>
    <cellStyle name="_SubHeading_lbo_long_model_CardioSolutions VD 05 31 08 Draft Model 08 06 08-u" xfId="615"/>
    <cellStyle name="_SubHeading_lbo_long_model_CardioSolutions VD 05 31 08 Draft Model 08 06 08-u 2" xfId="616"/>
    <cellStyle name="_SubHeading_lbo_long_model_CompanyABC Valuation Draft Model 04 21 2009" xfId="617"/>
    <cellStyle name="_SubHeading_lbo_long_model_CompanyABC Valuation Draft Model 04 21 2009 2" xfId="618"/>
    <cellStyle name="_SubHeading_lbo_long_model_CompanyABC Valuation Model Draft 07 07 2008" xfId="619"/>
    <cellStyle name="_SubHeading_lbo_long_model_CompanyABC Valuation Model Draft 07 07 2008 2" xfId="620"/>
    <cellStyle name="_SubHeading_lbo_long_model_CompanyABC Valuation Model Draft 08 07 2008" xfId="621"/>
    <cellStyle name="_SubHeading_lbo_long_model_CompanyABC Valuation Model Draft 08 07 2008 2" xfId="622"/>
    <cellStyle name="_SubHeading_lbo_long_model_CompanyABC Valuation Model Draft 08 25 2008" xfId="623"/>
    <cellStyle name="_SubHeading_lbo_long_model_CompanyABC Valuation Model Draft 08 25 2008 2" xfId="624"/>
    <cellStyle name="_SubHeading_lbo_long_model_CompanyABC Valuation Model Draft 09 25 2008-Team Liquidity" xfId="625"/>
    <cellStyle name="_SubHeading_lbo_long_model_CompanyABC Valuation Model Draft 09 25 2008-Team Liquidity 2" xfId="626"/>
    <cellStyle name="_SubHeading_lbo_long_model_CompanyABC Valuation Model Draft 10 01 2008" xfId="627"/>
    <cellStyle name="_SubHeading_lbo_long_model_CompanyABC Valuation Model Draft 10 01 2008 2" xfId="628"/>
    <cellStyle name="_SubHeading_lbo_long_model_CompanyABC Valuation Model Draft 10 27 2008" xfId="629"/>
    <cellStyle name="_SubHeading_lbo_long_model_CompanyABC Valuation Model Draft 10 27 2008 2" xfId="630"/>
    <cellStyle name="_SubHeading_lbo_long_model_DB" xfId="631"/>
    <cellStyle name="_SubHeading_lbo_long_model_DB 2" xfId="632"/>
    <cellStyle name="_SubHeading_lbo_long_model_EXAMPLE model C-5" xfId="633"/>
    <cellStyle name="_SubHeading_lbo_long_model_EXAMPLE model C-5 2" xfId="634"/>
    <cellStyle name="_SubHeading_lbo_long_model_FAS 157 Model Template 04 26 2009" xfId="635"/>
    <cellStyle name="_SubHeading_lbo_long_model_FAS 157 Model Template 04 26 2009 2" xfId="636"/>
    <cellStyle name="_SubHeading_lbo_long_model_Great Call VD 09 30 08 Draft Model 11 20 08" xfId="637"/>
    <cellStyle name="_SubHeading_lbo_long_model_Great Call VD 09 30 08 Draft Model 11 20 08 2" xfId="638"/>
    <cellStyle name="_SubHeading_lbo_long_model_Intermedia, Inc. VD 05 31 08 Draft Model 07 16 2008" xfId="639"/>
    <cellStyle name="_SubHeading_lbo_long_model_Intermedia, Inc. VD 05 31 08 Draft Model 07 16 2008 2" xfId="640"/>
    <cellStyle name="_SubHeading_lbo_long_model_Island Data Corporatin VD 06 30 08 Projections and Comparables 08 11 2008" xfId="641"/>
    <cellStyle name="_SubHeading_lbo_long_model_Island Data Corporatin VD 06 30 08 Projections and Comparables 08 11 2008 2" xfId="642"/>
    <cellStyle name="_SubHeading_lbo_long_model_Jentro Tech VD 03 31 2008 Model 04 10 2008" xfId="643"/>
    <cellStyle name="_SubHeading_lbo_long_model_Jentro Tech VD 03 31 2008 Model 04 10 2008 2" xfId="644"/>
    <cellStyle name="_SubHeading_lbo_long_model_Kythera Biopharmaceuticals VD 05 16 08 Draft Analysis 07 01 08" xfId="645"/>
    <cellStyle name="_SubHeading_lbo_long_model_Kythera Biopharmaceuticals VD 05 16 08 Draft Analysis 07 01 08 2" xfId="646"/>
    <cellStyle name="_SubHeading_lbo_long_model_Kythera Biopharmaceuticals VD 05 16 08 Final Model 07 20 08" xfId="647"/>
    <cellStyle name="_SubHeading_lbo_long_model_Kythera Biopharmaceuticals VD 05 16 08 Final Model 07 20 08 2" xfId="648"/>
    <cellStyle name="_SubHeading_lbo_long_model_Kythera Biopharmaceuticals, Inc. VD 5 16 2008 Draft 5 24 2008" xfId="649"/>
    <cellStyle name="_SubHeading_lbo_long_model_Kythera Biopharmaceuticals, Inc. VD 5 16 2008 Draft 5 24 2008 2" xfId="650"/>
    <cellStyle name="_SubHeading_lbo_long_model_Miragen VD 05 31 2008 Model 05 22 2009" xfId="651"/>
    <cellStyle name="_SubHeading_lbo_long_model_Notes" xfId="652"/>
    <cellStyle name="_SubHeading_lbo_long_model_Notes 2" xfId="653"/>
    <cellStyle name="_SubHeading_lbo_long_model_OMT VD 10 15 2008 Draft Analysis 12 17 2008.xls" xfId="654"/>
    <cellStyle name="_SubHeading_lbo_long_model_PubComps IPO -C-7" xfId="655"/>
    <cellStyle name="_SubHeading_lbo_long_model_PubComps IPO -C-7 2" xfId="656"/>
    <cellStyle name="_SubHeading_lbo_long_model_Tmax Soft VD 07 31 2008 Draft Model 08 20 2008" xfId="657"/>
    <cellStyle name="_SubHeading_lbo_long_model_Tmax Soft VD 07 31 2008 Draft Model 08 20 2008 2" xfId="658"/>
    <cellStyle name="_SubHeading_lbo_long_model_WACC -E-2" xfId="659"/>
    <cellStyle name="_SubHeading_lbo_long_model_WACC -E-2 2" xfId="660"/>
    <cellStyle name="_SubHeading_lbo_long_model_Xmos Limited VD 05 13 2008  Model 06 04 08" xfId="661"/>
    <cellStyle name="_SubHeading_lbo_long_model_Xmos Limited VD 05 13 2008  Model 06 04 08 2" xfId="662"/>
    <cellStyle name="_SubHeading_prestemp" xfId="663"/>
    <cellStyle name="_SubHeading_prestemp 2" xfId="664"/>
    <cellStyle name="_SubHeading_prestemp 2 2" xfId="665"/>
    <cellStyle name="_SubHeading_prestemp 3" xfId="666"/>
    <cellStyle name="_SubHeading_prestemp 4" xfId="667"/>
    <cellStyle name="_SubHeading_prestemp 5" xfId="668"/>
    <cellStyle name="_SubHeading_prestemp_1" xfId="669"/>
    <cellStyle name="_SubHeading_prestemp_1_Cyrela - Goldzstein - Financial Model - v1" xfId="670"/>
    <cellStyle name="_SubHeading_prestemp_1_Cyrela - Goldzstein - Financial Model - v5" xfId="671"/>
    <cellStyle name="_SubHeading_prestemp_1_Gas Natural - Financial Model - April 18 2008 - v1" xfId="672"/>
    <cellStyle name="_SubHeading_prestemp_1_Gas Natural - Financial Model - April 18 2008 - v2" xfId="673"/>
    <cellStyle name="_SubHeading_prestemp_1_Gas Natural - Financial Model - May 20, 2009" xfId="674"/>
    <cellStyle name="_SubHeading_prestemp_1_Goldzstein Cyrela - Financial Model - v7" xfId="675"/>
    <cellStyle name="_SubHeading_prestemp_1_Grupo Ibmec - Financial Model - v2" xfId="676"/>
    <cellStyle name="_SubHeading_prestemp_1_Grupo Ibmec - Financial Model - v5" xfId="677"/>
    <cellStyle name="_SubHeading_prestemp_1_Independencia - Financial Model - Dec 02 2008 - v3" xfId="678"/>
    <cellStyle name="_SubHeading_prestemp_1_Independencia - Financial Model - Nov 24 2008" xfId="679"/>
    <cellStyle name="_SubHeading_prestemp_1_Medley_Financial_Model_v5" xfId="680"/>
    <cellStyle name="_SubHeading_prestemp_1_Medley_Financial_Model_v5_Ubiquiti Ownership Table" xfId="681"/>
    <cellStyle name="_SubHeading_prestemp_1_Project Emet - Forecasts" xfId="682"/>
    <cellStyle name="_SubHeading_prestemp_1_Rumo_Financial_Model_05jun2009_v1" xfId="683"/>
    <cellStyle name="_SubHeading_prestemp_1_Rumo_Financial_Model_05jun2009_v4" xfId="684"/>
    <cellStyle name="_SubHeading_prestemp_1_Rumo_Financial_Model_05jun2009_v5" xfId="685"/>
    <cellStyle name="_SubHeading_prestemp_1_Rumo_Financial_Model_05jun2009_v6" xfId="686"/>
    <cellStyle name="_SubHeading_prestemp_1_SCPC_Financial_Model_10jun2009_v2" xfId="687"/>
    <cellStyle name="_SubHeading_prestemp_1_SCPC_Financial_Model_17jun2009_v5" xfId="688"/>
    <cellStyle name="_SubHeading_prestemp_Anaphore 12 31 2008 Draft Analysis 02 19 2009" xfId="689"/>
    <cellStyle name="_SubHeading_prestemp_Anaphore 12 31 2008 Draft Analysis 02 20 2009 - DM REVISED" xfId="690"/>
    <cellStyle name="_SubHeading_prestemp_Book2" xfId="691"/>
    <cellStyle name="_SubHeading_prestemp_Book2 2" xfId="692"/>
    <cellStyle name="_SubHeading_prestemp_Boston Power VD 01 31 2008 Model 02 26 2008" xfId="693"/>
    <cellStyle name="_SubHeading_prestemp_Boston Power VD 01 31 2008 Model 02 26 2008 2" xfId="694"/>
    <cellStyle name="_SubHeading_prestemp_Boston Power VD 01 31 2008 Model 02 26 2008 2 2" xfId="695"/>
    <cellStyle name="_SubHeading_prestemp_Boston Power VD 01 31 2008 Model 02 26 2008 3" xfId="696"/>
    <cellStyle name="_SubHeading_prestemp_Boston Power VD 01 31 2008 Model 02 26 2008 4" xfId="697"/>
    <cellStyle name="_SubHeading_prestemp_Boston Power VD 01 31 2008 Model 02 26 2008 5" xfId="698"/>
    <cellStyle name="_SubHeading_prestemp_Boston Power VD 01 31 2008 Model 02 26 2008_CompanyABC Valuation Draft Model 04 21 2009" xfId="699"/>
    <cellStyle name="_SubHeading_prestemp_Boston Power VD 01 31 2008 Model 02 26 2008_CompanyABC Valuation Draft Model 04 21 2009 2" xfId="700"/>
    <cellStyle name="_SubHeading_prestemp_Boston Power VD 01 31 2008 Model 02 26 2008_DB" xfId="701"/>
    <cellStyle name="_SubHeading_prestemp_Boston Power VD 01 31 2008 Model 02 26 2008_DB 2" xfId="702"/>
    <cellStyle name="_SubHeading_prestemp_Boston Power VD 01 31 2008 Model 02 26 2008_DB 2 2" xfId="703"/>
    <cellStyle name="_SubHeading_prestemp_Boston Power VD 01 31 2008 Model 02 26 2008_FAS 157 Model Template 04 26 2009" xfId="704"/>
    <cellStyle name="_SubHeading_prestemp_Boston Power VD 01 31 2008 Model 02 26 2008_FAS 157 Model Template 04 26 2009 2" xfId="705"/>
    <cellStyle name="_SubHeading_prestemp_Boston Power VD 01 31 2008 Model 02 26 2008_Miragen VD 05 31 2008 Model 05 22 2009" xfId="706"/>
    <cellStyle name="_SubHeading_prestemp_Cap Table Inputs" xfId="707"/>
    <cellStyle name="_SubHeading_prestemp_Cap Table Inputs 2" xfId="708"/>
    <cellStyle name="_SubHeading_prestemp_Cap Table Inputs 2 2" xfId="709"/>
    <cellStyle name="_SubHeading_prestemp_Cap Table Inputs 3" xfId="710"/>
    <cellStyle name="_SubHeading_prestemp_Cap Table Inputs 4" xfId="711"/>
    <cellStyle name="_SubHeading_prestemp_Cap Table Inputs 5" xfId="712"/>
    <cellStyle name="_SubHeading_prestemp_Cap Table Inputs_CompanyABC Valuation Draft Model 04 21 2009" xfId="713"/>
    <cellStyle name="_SubHeading_prestemp_Cap Table Inputs_CompanyABC Valuation Draft Model 04 21 2009 2" xfId="714"/>
    <cellStyle name="_SubHeading_prestemp_Cap Table Inputs_DB" xfId="715"/>
    <cellStyle name="_SubHeading_prestemp_Cap Table Inputs_DB 2" xfId="716"/>
    <cellStyle name="_SubHeading_prestemp_Cap Table Inputs_DB 2 2" xfId="717"/>
    <cellStyle name="_SubHeading_prestemp_Cap Table Inputs_FAS 157 Model Template 04 26 2009" xfId="718"/>
    <cellStyle name="_SubHeading_prestemp_Cap Table Inputs_FAS 157 Model Template 04 26 2009 2" xfId="719"/>
    <cellStyle name="_SubHeading_prestemp_Cap Table Inputs_Miragen VD 05 31 2008 Model 05 22 2009" xfId="720"/>
    <cellStyle name="_SubHeading_prestemp_CardioSolutions 05 31 2007 Final Model 09 27 2007" xfId="721"/>
    <cellStyle name="_SubHeading_prestemp_CardioSolutions 05 31 2007 Final Model 09 27 2007 2" xfId="722"/>
    <cellStyle name="_SubHeading_prestemp_CardioSolutions 05 31 2007 Final Model 09 27 2007 2 2" xfId="723"/>
    <cellStyle name="_SubHeading_prestemp_CardioSolutions 05 31 2007 Final Model 09 27 2007 3" xfId="724"/>
    <cellStyle name="_SubHeading_prestemp_CardioSolutions 05 31 2007 Final Model 09 27 2007 4" xfId="725"/>
    <cellStyle name="_SubHeading_prestemp_CardioSolutions 05 31 2007 Final Model 09 27 2007 5" xfId="726"/>
    <cellStyle name="_SubHeading_prestemp_CardioSolutions 05 31 2007 Final Model 09 27 2007_CompanyABC Valuation Draft Model 04 21 2009" xfId="727"/>
    <cellStyle name="_SubHeading_prestemp_CardioSolutions 05 31 2007 Final Model 09 27 2007_CompanyABC Valuation Draft Model 04 21 2009 2" xfId="728"/>
    <cellStyle name="_SubHeading_prestemp_CardioSolutions 05 31 2007 Final Model 09 27 2007_DB" xfId="729"/>
    <cellStyle name="_SubHeading_prestemp_CardioSolutions 05 31 2007 Final Model 09 27 2007_DB 2" xfId="730"/>
    <cellStyle name="_SubHeading_prestemp_CardioSolutions 05 31 2007 Final Model 09 27 2007_DB 2 2" xfId="731"/>
    <cellStyle name="_SubHeading_prestemp_CardioSolutions 05 31 2007 Final Model 09 27 2007_FAS 157 Model Template 04 26 2009" xfId="732"/>
    <cellStyle name="_SubHeading_prestemp_CardioSolutions 05 31 2007 Final Model 09 27 2007_FAS 157 Model Template 04 26 2009 2" xfId="733"/>
    <cellStyle name="_SubHeading_prestemp_CardioSolutions 05 31 2007 Final Model 09 27 2007_Miragen VD 05 31 2008 Model 05 22 2009" xfId="734"/>
    <cellStyle name="_SubHeading_prestemp_CardioSolutions VD 05 31 08 Draft Model 07 15 2008" xfId="735"/>
    <cellStyle name="_SubHeading_prestemp_CardioSolutions VD 05 31 08 Draft Model 07 15 2008 2" xfId="736"/>
    <cellStyle name="_SubHeading_prestemp_CardioSolutions VD 05 31 08 Draft Model 08 06 08-u" xfId="737"/>
    <cellStyle name="_SubHeading_prestemp_CardioSolutions VD 05 31 08 Draft Model 08 06 08-u 2" xfId="738"/>
    <cellStyle name="_SubHeading_prestemp_CompanyABC Valuation Draft Model 04 21 2009" xfId="739"/>
    <cellStyle name="_SubHeading_prestemp_CompanyABC Valuation Draft Model 04 21 2009 2" xfId="740"/>
    <cellStyle name="_SubHeading_prestemp_CompanyABC Valuation Model Draft 07 07 2008" xfId="741"/>
    <cellStyle name="_SubHeading_prestemp_CompanyABC Valuation Model Draft 07 07 2008 2" xfId="742"/>
    <cellStyle name="_SubHeading_prestemp_CompanyABC Valuation Model Draft 08 07 2008" xfId="743"/>
    <cellStyle name="_SubHeading_prestemp_CompanyABC Valuation Model Draft 08 07 2008 2" xfId="744"/>
    <cellStyle name="_SubHeading_prestemp_CompanyABC Valuation Model Draft 08 25 2008" xfId="745"/>
    <cellStyle name="_SubHeading_prestemp_CompanyABC Valuation Model Draft 08 25 2008 2" xfId="746"/>
    <cellStyle name="_SubHeading_prestemp_CompanyABC Valuation Model Draft 09 25 2008-Team Liquidity" xfId="747"/>
    <cellStyle name="_SubHeading_prestemp_CompanyABC Valuation Model Draft 09 25 2008-Team Liquidity 2" xfId="748"/>
    <cellStyle name="_SubHeading_prestemp_CompanyABC Valuation Model Draft 10 01 2008" xfId="749"/>
    <cellStyle name="_SubHeading_prestemp_CompanyABC Valuation Model Draft 10 01 2008 2" xfId="750"/>
    <cellStyle name="_SubHeading_prestemp_CompanyABC Valuation Model Draft 10 27 2008" xfId="751"/>
    <cellStyle name="_SubHeading_prestemp_CompanyABC Valuation Model Draft 10 27 2008 2" xfId="752"/>
    <cellStyle name="_SubHeading_prestemp_DB" xfId="753"/>
    <cellStyle name="_SubHeading_prestemp_DB 2" xfId="754"/>
    <cellStyle name="_SubHeading_prestemp_EXAMPLE model C-5" xfId="755"/>
    <cellStyle name="_SubHeading_prestemp_EXAMPLE model C-5 2" xfId="756"/>
    <cellStyle name="_SubHeading_prestemp_FAS 157 Model Template 04 26 2009" xfId="757"/>
    <cellStyle name="_SubHeading_prestemp_FAS 157 Model Template 04 26 2009 2" xfId="758"/>
    <cellStyle name="_SubHeading_prestemp_Great Call VD 09 30 08 Draft Model 11 20 08" xfId="759"/>
    <cellStyle name="_SubHeading_prestemp_Great Call VD 09 30 08 Draft Model 11 20 08 2" xfId="760"/>
    <cellStyle name="_SubHeading_prestemp_Intermedia, Inc. VD 05 31 08 Draft Model 07 16 2008" xfId="761"/>
    <cellStyle name="_SubHeading_prestemp_Intermedia, Inc. VD 05 31 08 Draft Model 07 16 2008 2" xfId="762"/>
    <cellStyle name="_SubHeading_prestemp_Island Data Corporatin VD 06 30 08 Projections and Comparables 08 11 2008" xfId="763"/>
    <cellStyle name="_SubHeading_prestemp_Island Data Corporatin VD 06 30 08 Projections and Comparables 08 11 2008 2" xfId="764"/>
    <cellStyle name="_SubHeading_prestemp_Jentro Tech VD 03 31 2008 Model 04 10 2008" xfId="765"/>
    <cellStyle name="_SubHeading_prestemp_Jentro Tech VD 03 31 2008 Model 04 10 2008 2" xfId="766"/>
    <cellStyle name="_SubHeading_prestemp_Kythera Biopharmaceuticals VD 05 16 08 Draft Analysis 07 01 08" xfId="767"/>
    <cellStyle name="_SubHeading_prestemp_Kythera Biopharmaceuticals VD 05 16 08 Draft Analysis 07 01 08 2" xfId="768"/>
    <cellStyle name="_SubHeading_prestemp_Kythera Biopharmaceuticals VD 05 16 08 Final Model 07 20 08" xfId="769"/>
    <cellStyle name="_SubHeading_prestemp_Kythera Biopharmaceuticals VD 05 16 08 Final Model 07 20 08 2" xfId="770"/>
    <cellStyle name="_SubHeading_prestemp_Kythera Biopharmaceuticals, Inc. VD 5 16 2008 Draft 5 24 2008" xfId="771"/>
    <cellStyle name="_SubHeading_prestemp_Kythera Biopharmaceuticals, Inc. VD 5 16 2008 Draft 5 24 2008 2" xfId="772"/>
    <cellStyle name="_SubHeading_prestemp_Miragen VD 05 31 2008 Model 05 22 2009" xfId="773"/>
    <cellStyle name="_SubHeading_prestemp_Notes" xfId="774"/>
    <cellStyle name="_SubHeading_prestemp_Notes 2" xfId="775"/>
    <cellStyle name="_SubHeading_prestemp_OMT VD 10 15 2008 Draft Analysis 12 17 2008.xls" xfId="776"/>
    <cellStyle name="_SubHeading_prestemp_PubComps IPO -C-7" xfId="777"/>
    <cellStyle name="_SubHeading_prestemp_PubComps IPO -C-7 2" xfId="778"/>
    <cellStyle name="_SubHeading_prestemp_Tmax Soft VD 07 31 2008 Draft Model 08 20 2008" xfId="779"/>
    <cellStyle name="_SubHeading_prestemp_Tmax Soft VD 07 31 2008 Draft Model 08 20 2008 2" xfId="780"/>
    <cellStyle name="_SubHeading_prestemp_WACC -E-2" xfId="781"/>
    <cellStyle name="_SubHeading_prestemp_WACC -E-2 2" xfId="782"/>
    <cellStyle name="_SubHeading_prestemp_Xmos Limited VD 05 13 2008  Model 06 04 08" xfId="783"/>
    <cellStyle name="_SubHeading_prestemp_Xmos Limited VD 05 13 2008  Model 06 04 08 2" xfId="784"/>
    <cellStyle name="_Table" xfId="785"/>
    <cellStyle name="_Table 2" xfId="786"/>
    <cellStyle name="_Table__DCF Template" xfId="787"/>
    <cellStyle name="_Table__DCF Template 2" xfId="788"/>
    <cellStyle name="_Table__DCF Template 2 2" xfId="16388"/>
    <cellStyle name="_Table__DCF Template 3" xfId="16387"/>
    <cellStyle name="_Table_04 Alaska Model 2002-05-31 GS" xfId="789"/>
    <cellStyle name="_Table_04 Alaska Model 2002-05-31 GS 2" xfId="790"/>
    <cellStyle name="_Table_04 Alaska Model 2002-05-31 GS 2 2" xfId="16390"/>
    <cellStyle name="_Table_04 Alaska Model 2002-05-31 GS 3" xfId="16389"/>
    <cellStyle name="_Table_Book3" xfId="791"/>
    <cellStyle name="_Table_Dividend Template" xfId="792"/>
    <cellStyle name="_Table_Pro-Forma Financials" xfId="793"/>
    <cellStyle name="_Table_Pro-Forma Spin-off" xfId="794"/>
    <cellStyle name="_TableHead" xfId="795"/>
    <cellStyle name="_TableHead 2" xfId="796"/>
    <cellStyle name="_TableHead_Cable_Industry Overview5" xfId="797"/>
    <cellStyle name="_TableHead_Cable_Industry Overview5 2" xfId="798"/>
    <cellStyle name="_TableHead_Gelco Model" xfId="799"/>
    <cellStyle name="_TableHead_Gelco Model 2" xfId="800"/>
    <cellStyle name="_TableHead_Summary" xfId="801"/>
    <cellStyle name="_TableHead_Summary 2" xfId="802"/>
    <cellStyle name="_TableHead_Yield Tables" xfId="803"/>
    <cellStyle name="_TableHead_Yield Tables 2" xfId="804"/>
    <cellStyle name="_TableHeading" xfId="16326"/>
    <cellStyle name="_TableRowBorder" xfId="16327"/>
    <cellStyle name="_TableRowHead" xfId="805"/>
    <cellStyle name="_TableRowHead 2" xfId="806"/>
    <cellStyle name="_TableRowHead_Gelco Model" xfId="807"/>
    <cellStyle name="_TableRowHead_Gelco Model 2" xfId="808"/>
    <cellStyle name="_TableRowHead_Summary" xfId="809"/>
    <cellStyle name="_TableRowHead_Summary 2" xfId="810"/>
    <cellStyle name="_TableRowHeading" xfId="16328"/>
    <cellStyle name="_TableSuperHead" xfId="811"/>
    <cellStyle name="_TableSuperHead 2" xfId="812"/>
    <cellStyle name="_TableSuperHead__DCF Template" xfId="813"/>
    <cellStyle name="_TableSuperHead_04 Alaska Model 2002-05-31 GS" xfId="814"/>
    <cellStyle name="_TableSuperHead_Book3" xfId="815"/>
    <cellStyle name="_TableSuperHead_Cable_Industry Overview5" xfId="816"/>
    <cellStyle name="_TableSuperHead_Cable_Industry Overview5 2" xfId="817"/>
    <cellStyle name="_TableSuperHead_Dividend Template" xfId="818"/>
    <cellStyle name="_TableSuperHead_Gelco Model" xfId="819"/>
    <cellStyle name="_TableSuperHead_Gelco Model 2" xfId="820"/>
    <cellStyle name="_TableSuperHead_Pro-Forma Financials" xfId="821"/>
    <cellStyle name="_TableSuperHead_Pro-Forma Spin-off" xfId="822"/>
    <cellStyle name="_TableSuperHead_Summary" xfId="823"/>
    <cellStyle name="_TableSuperHead_Summary 2" xfId="824"/>
    <cellStyle name="_TableSuperHead_Yield Tables" xfId="825"/>
    <cellStyle name="_TableSuperHead_Yield Tables 2" xfId="826"/>
    <cellStyle name="_TableSuperHeading" xfId="16329"/>
    <cellStyle name="_TableText" xfId="16330"/>
    <cellStyle name="_Tax Provision 2-1-07 sent to KPMG" xfId="827"/>
    <cellStyle name="_TDI1602 Non-Food Retail Historic Transactions 060428" xfId="828"/>
    <cellStyle name="_TDI1602 Non-Food Retail Historic Transactions 060428_Medley_Financial_Model_v5" xfId="829"/>
    <cellStyle name="_TDI2246 Chemical Comps 061019" xfId="830"/>
    <cellStyle name="_TDI2246 Chemical Comps 061019_Medley_Financial_Model_v5" xfId="831"/>
    <cellStyle name="_TDU757 Fintech Comps 070227" xfId="832"/>
    <cellStyle name="_TDU757 Fintech Comps 070227_Cyrela - Goldzstein - Financial Model - v1" xfId="833"/>
    <cellStyle name="_TDU757 Fintech Comps 070227_Cyrela - Goldzstein - Financial Model - v5" xfId="834"/>
    <cellStyle name="_TDU757 Fintech Comps 070227_Gas Natural - Financial Model - April 18 2008 - v1" xfId="835"/>
    <cellStyle name="_TDU757 Fintech Comps 070227_Gas Natural - Financial Model - April 18 2008 - v2" xfId="836"/>
    <cellStyle name="_TDU757 Fintech Comps 070227_Gas Natural - Financial Model - May 20, 2009" xfId="837"/>
    <cellStyle name="_TDU757 Fintech Comps 070227_Goldzstein Cyrela - Financial Model - v7" xfId="838"/>
    <cellStyle name="_TDU757 Fintech Comps 070227_Grupo Ibmec - Financial Model - v2" xfId="839"/>
    <cellStyle name="_TDU757 Fintech Comps 070227_Grupo Ibmec - Financial Model - v5" xfId="840"/>
    <cellStyle name="_TDU757 Fintech Comps 070227_Independencia - Financial Model - Dec 02 2008 - v3" xfId="841"/>
    <cellStyle name="_TDU757 Fintech Comps 070227_Independencia - Financial Model - Nov 24 2008" xfId="842"/>
    <cellStyle name="_TDU757 Fintech Comps 070227_Medley_Financial_Model_v5" xfId="843"/>
    <cellStyle name="_TDU757 Fintech Comps 070227_Project Emet - Forecasts" xfId="844"/>
    <cellStyle name="_TDU757 Fintech Comps 070227_Rumo_Financial_Model_05jun2009_v1" xfId="845"/>
    <cellStyle name="_TDU757 Fintech Comps 070227_Rumo_Financial_Model_05jun2009_v4" xfId="846"/>
    <cellStyle name="_TDU757 Fintech Comps 070227_Rumo_Financial_Model_05jun2009_v5" xfId="847"/>
    <cellStyle name="_TDU757 Fintech Comps 070227_Rumo_Financial_Model_05jun2009_v6" xfId="848"/>
    <cellStyle name="_TDU757 Fintech Comps 070227_SCPC_Financial_Model_10jun2009_v2" xfId="849"/>
    <cellStyle name="_TDU757 Fintech Comps 070227_SCPC_Financial_Model_17jun2009_v5" xfId="850"/>
    <cellStyle name="_TDU769 Aluminium Comps Database 070303" xfId="851"/>
    <cellStyle name="_TDU769 Aluminium Comps Database 070303_Medley_Financial_Model_v5" xfId="852"/>
    <cellStyle name="_Veeco SFAS 142 &amp; 144 - Oct 2004 - v11" xfId="853"/>
    <cellStyle name="_הלוואות" xfId="854"/>
    <cellStyle name="_הלוואות 2" xfId="855"/>
    <cellStyle name="_התחיבות שכ&quot;ד" xfId="856"/>
    <cellStyle name="_התחיבות שכ&quot;ד 2" xfId="857"/>
    <cellStyle name="_מדדים" xfId="858"/>
    <cellStyle name="_מדדים 2" xfId="859"/>
    <cellStyle name="£ BP" xfId="860"/>
    <cellStyle name="£ BP 2" xfId="861"/>
    <cellStyle name="£/GJ" xfId="16331"/>
    <cellStyle name="£/t" xfId="16332"/>
    <cellStyle name="£Currency [0]" xfId="862"/>
    <cellStyle name="£Currency [0] 2" xfId="863"/>
    <cellStyle name="£Currency [1]" xfId="864"/>
    <cellStyle name="£Currency [1] 2" xfId="865"/>
    <cellStyle name="£Currency [2]" xfId="866"/>
    <cellStyle name="£Currency [2] 2" xfId="867"/>
    <cellStyle name="£Currency [p]" xfId="868"/>
    <cellStyle name="£Currency [p] 2" xfId="869"/>
    <cellStyle name="£Currency [p2]" xfId="870"/>
    <cellStyle name="£Currency [p2] 2" xfId="871"/>
    <cellStyle name="£Pounds" xfId="872"/>
    <cellStyle name="£Pounds 2" xfId="873"/>
    <cellStyle name="¤@¯ë_P721-Spd" xfId="874"/>
    <cellStyle name="¤d¤À¦ì[0]_P721-Spd" xfId="875"/>
    <cellStyle name="¤d¤À¦ì_P721-Spd" xfId="876"/>
    <cellStyle name="¥ JY" xfId="877"/>
    <cellStyle name="¥ JY 2" xfId="878"/>
    <cellStyle name="=C:\WINNT\SYSTEM32\COMMAND.COM" xfId="879"/>
    <cellStyle name="=C:\WINNT35\SYSTEM32\COMMAND.COM" xfId="16333"/>
    <cellStyle name="°" xfId="16334"/>
    <cellStyle name="°_ENS Economic Model 070802 v4" xfId="16335"/>
    <cellStyle name="•W?_Sheet1" xfId="880"/>
    <cellStyle name="•W€_Capital Structure" xfId="881"/>
    <cellStyle name="•W_Sheet1" xfId="882"/>
    <cellStyle name="\¦ÏÝÌnCp[N" xfId="883"/>
    <cellStyle name="æØè [0.00]_Affiliate Fcst Inputs" xfId="884"/>
    <cellStyle name="W_Sheet1" xfId="885"/>
    <cellStyle name="0" xfId="886"/>
    <cellStyle name="0 2" xfId="887"/>
    <cellStyle name="0%" xfId="888"/>
    <cellStyle name="0,0" xfId="889"/>
    <cellStyle name="0,0 F" xfId="890"/>
    <cellStyle name="0,0%" xfId="891"/>
    <cellStyle name="0,0_Co&amp;Lo180800" xfId="892"/>
    <cellStyle name="0,00x" xfId="893"/>
    <cellStyle name="0,0x" xfId="894"/>
    <cellStyle name="0.0" xfId="895"/>
    <cellStyle name="0.0 NORMAL" xfId="16336"/>
    <cellStyle name="0.0 PERCENT" xfId="16337"/>
    <cellStyle name="0.0 x" xfId="896"/>
    <cellStyle name="0.0%" xfId="897"/>
    <cellStyle name="0.0_Crystal Model final" xfId="16338"/>
    <cellStyle name="0.00" xfId="898"/>
    <cellStyle name="0.00%" xfId="899"/>
    <cellStyle name="0.00_Medley_Financial_Model_v5" xfId="900"/>
    <cellStyle name="0_APT 141 101603 ver 51" xfId="901"/>
    <cellStyle name="0_APT 141 101603 ver 51 2" xfId="902"/>
    <cellStyle name="0_Medley_Financial_Model_v5" xfId="903"/>
    <cellStyle name="0_Medley_Financial_Model_v5_Ubiquiti Ownership Table" xfId="904"/>
    <cellStyle name="0_Nomos WACC" xfId="905"/>
    <cellStyle name="0_Nomos WACC 2" xfId="906"/>
    <cellStyle name="0_Nomos WACC_Boston Power VD 01 31 2008 Model 02 26 2008" xfId="907"/>
    <cellStyle name="0_Nomos WACC_Boston Power VD 01 31 2008 Model 02 26 2008 2" xfId="908"/>
    <cellStyle name="0_Nomos WACC_Boston Power VD 01 31 2008 Model 02 26 2008 2 2" xfId="909"/>
    <cellStyle name="0_Nomos WACC_Boston Power VD 01 31 2008 Model 02 26 2008 3" xfId="910"/>
    <cellStyle name="0_Nomos WACC_Boston Power VD 01 31 2008 Model 02 26 2008 4" xfId="911"/>
    <cellStyle name="0_Nomos WACC_Boston Power VD 01 31 2008 Model 02 26 2008 5" xfId="912"/>
    <cellStyle name="0_Nomos WACC_Boston Power VD 01 31 2008 Model 02 26 2008_CompanyABC Valuation Draft Model 04 21 2009" xfId="913"/>
    <cellStyle name="0_Nomos WACC_Boston Power VD 01 31 2008 Model 02 26 2008_CompanyABC Valuation Draft Model 04 21 2009 2" xfId="914"/>
    <cellStyle name="0_Nomos WACC_Boston Power VD 01 31 2008 Model 02 26 2008_DB" xfId="915"/>
    <cellStyle name="0_Nomos WACC_Boston Power VD 01 31 2008 Model 02 26 2008_DB 2" xfId="916"/>
    <cellStyle name="0_Nomos WACC_Boston Power VD 01 31 2008 Model 02 26 2008_DB 2 2" xfId="917"/>
    <cellStyle name="0_Nomos WACC_Boston Power VD 01 31 2008 Model 02 26 2008_FAS 157 Model Template 04 26 2009" xfId="918"/>
    <cellStyle name="0_Nomos WACC_Boston Power VD 01 31 2008 Model 02 26 2008_FAS 157 Model Template 04 26 2009 2" xfId="919"/>
    <cellStyle name="0_Nomos WACC_Boston Power VD 01 31 2008 Model 02 26 2008_Miragen VD 05 31 2008 Model 05 22 2009" xfId="920"/>
    <cellStyle name="0_Nomos WACC_Cap Table Inputs" xfId="921"/>
    <cellStyle name="0_Nomos WACC_Cap Table Inputs 2" xfId="922"/>
    <cellStyle name="0_Nomos WACC_Cap Table Inputs 2 2" xfId="923"/>
    <cellStyle name="0_Nomos WACC_Cap Table Inputs 3" xfId="924"/>
    <cellStyle name="0_Nomos WACC_Cap Table Inputs 4" xfId="925"/>
    <cellStyle name="0_Nomos WACC_Cap Table Inputs 5" xfId="926"/>
    <cellStyle name="0_Nomos WACC_Cap Table Inputs_CompanyABC Valuation Draft Model 04 21 2009" xfId="927"/>
    <cellStyle name="0_Nomos WACC_Cap Table Inputs_CompanyABC Valuation Draft Model 04 21 2009 2" xfId="928"/>
    <cellStyle name="0_Nomos WACC_Cap Table Inputs_DB" xfId="929"/>
    <cellStyle name="0_Nomos WACC_Cap Table Inputs_DB 2" xfId="930"/>
    <cellStyle name="0_Nomos WACC_Cap Table Inputs_DB 2 2" xfId="931"/>
    <cellStyle name="0_Nomos WACC_Cap Table Inputs_FAS 157 Model Template 04 26 2009" xfId="932"/>
    <cellStyle name="0_Nomos WACC_Cap Table Inputs_FAS 157 Model Template 04 26 2009 2" xfId="933"/>
    <cellStyle name="0_Nomos WACC_Cap Table Inputs_Miragen VD 05 31 2008 Model 05 22 2009" xfId="934"/>
    <cellStyle name="0_Nomos WACC_CardioSolutions 05 31 2007 Final Model 09 27 2007" xfId="935"/>
    <cellStyle name="0_Nomos WACC_CardioSolutions 05 31 2007 Final Model 09 27 2007 2" xfId="936"/>
    <cellStyle name="0_Nomos WACC_CardioSolutions 05 31 2007 Final Model 09 27 2007 2 2" xfId="937"/>
    <cellStyle name="0_Nomos WACC_CardioSolutions 05 31 2007 Final Model 09 27 2007 3" xfId="938"/>
    <cellStyle name="0_Nomos WACC_CardioSolutions 05 31 2007 Final Model 09 27 2007 4" xfId="939"/>
    <cellStyle name="0_Nomos WACC_CardioSolutions 05 31 2007 Final Model 09 27 2007 5" xfId="940"/>
    <cellStyle name="0_Nomos WACC_CardioSolutions 05 31 2007 Final Model 09 27 2007_CompanyABC Valuation Draft Model 04 21 2009" xfId="941"/>
    <cellStyle name="0_Nomos WACC_CardioSolutions 05 31 2007 Final Model 09 27 2007_CompanyABC Valuation Draft Model 04 21 2009 2" xfId="942"/>
    <cellStyle name="0_Nomos WACC_CardioSolutions 05 31 2007 Final Model 09 27 2007_DB" xfId="943"/>
    <cellStyle name="0_Nomos WACC_CardioSolutions 05 31 2007 Final Model 09 27 2007_DB 2" xfId="944"/>
    <cellStyle name="0_Nomos WACC_CardioSolutions 05 31 2007 Final Model 09 27 2007_DB 2 2" xfId="945"/>
    <cellStyle name="0_Nomos WACC_CardioSolutions 05 31 2007 Final Model 09 27 2007_FAS 157 Model Template 04 26 2009" xfId="946"/>
    <cellStyle name="0_Nomos WACC_CardioSolutions 05 31 2007 Final Model 09 27 2007_FAS 157 Model Template 04 26 2009 2" xfId="947"/>
    <cellStyle name="0_Nomos WACC_CardioSolutions 05 31 2007 Final Model 09 27 2007_Miragen VD 05 31 2008 Model 05 22 2009" xfId="948"/>
    <cellStyle name="0_Veeco SFAS 142 &amp; 144 - Oct 2004 - v11" xfId="949"/>
    <cellStyle name="0_Veeco SFAS 142 &amp; 144 - Oct 2004 - v11 2" xfId="950"/>
    <cellStyle name="0_Veeco SFAS 142 &amp; 144 - Oct 2004 - v11_Boston Power VD 01 31 2008 Model 02 26 2008" xfId="951"/>
    <cellStyle name="0_Veeco SFAS 142 &amp; 144 - Oct 2004 - v11_Boston Power VD 01 31 2008 Model 02 26 2008 2" xfId="952"/>
    <cellStyle name="0_Veeco SFAS 142 &amp; 144 - Oct 2004 - v11_Boston Power VD 01 31 2008 Model 02 26 2008 2 2" xfId="953"/>
    <cellStyle name="0_Veeco SFAS 142 &amp; 144 - Oct 2004 - v11_Boston Power VD 01 31 2008 Model 02 26 2008 3" xfId="954"/>
    <cellStyle name="0_Veeco SFAS 142 &amp; 144 - Oct 2004 - v11_Boston Power VD 01 31 2008 Model 02 26 2008 4" xfId="955"/>
    <cellStyle name="0_Veeco SFAS 142 &amp; 144 - Oct 2004 - v11_Boston Power VD 01 31 2008 Model 02 26 2008 5" xfId="956"/>
    <cellStyle name="0_Veeco SFAS 142 &amp; 144 - Oct 2004 - v11_Boston Power VD 01 31 2008 Model 02 26 2008_CompanyABC Valuation Draft Model 04 21 2009" xfId="957"/>
    <cellStyle name="0_Veeco SFAS 142 &amp; 144 - Oct 2004 - v11_Boston Power VD 01 31 2008 Model 02 26 2008_CompanyABC Valuation Draft Model 04 21 2009 2" xfId="958"/>
    <cellStyle name="0_Veeco SFAS 142 &amp; 144 - Oct 2004 - v11_Boston Power VD 01 31 2008 Model 02 26 2008_DB" xfId="959"/>
    <cellStyle name="0_Veeco SFAS 142 &amp; 144 - Oct 2004 - v11_Boston Power VD 01 31 2008 Model 02 26 2008_DB 2" xfId="960"/>
    <cellStyle name="0_Veeco SFAS 142 &amp; 144 - Oct 2004 - v11_Boston Power VD 01 31 2008 Model 02 26 2008_DB 2 2" xfId="961"/>
    <cellStyle name="0_Veeco SFAS 142 &amp; 144 - Oct 2004 - v11_Boston Power VD 01 31 2008 Model 02 26 2008_FAS 157 Model Template 04 26 2009" xfId="962"/>
    <cellStyle name="0_Veeco SFAS 142 &amp; 144 - Oct 2004 - v11_Boston Power VD 01 31 2008 Model 02 26 2008_FAS 157 Model Template 04 26 2009 2" xfId="963"/>
    <cellStyle name="0_Veeco SFAS 142 &amp; 144 - Oct 2004 - v11_Boston Power VD 01 31 2008 Model 02 26 2008_Miragen VD 05 31 2008 Model 05 22 2009" xfId="964"/>
    <cellStyle name="0_Veeco SFAS 142 &amp; 144 - Oct 2004 - v11_Cap Table Inputs" xfId="965"/>
    <cellStyle name="0_Veeco SFAS 142 &amp; 144 - Oct 2004 - v11_Cap Table Inputs 2" xfId="966"/>
    <cellStyle name="0_Veeco SFAS 142 &amp; 144 - Oct 2004 - v11_Cap Table Inputs 2 2" xfId="967"/>
    <cellStyle name="0_Veeco SFAS 142 &amp; 144 - Oct 2004 - v11_Cap Table Inputs 3" xfId="968"/>
    <cellStyle name="0_Veeco SFAS 142 &amp; 144 - Oct 2004 - v11_Cap Table Inputs 4" xfId="969"/>
    <cellStyle name="0_Veeco SFAS 142 &amp; 144 - Oct 2004 - v11_Cap Table Inputs 5" xfId="970"/>
    <cellStyle name="0_Veeco SFAS 142 &amp; 144 - Oct 2004 - v11_Cap Table Inputs_CompanyABC Valuation Draft Model 04 21 2009" xfId="971"/>
    <cellStyle name="0_Veeco SFAS 142 &amp; 144 - Oct 2004 - v11_Cap Table Inputs_CompanyABC Valuation Draft Model 04 21 2009 2" xfId="972"/>
    <cellStyle name="0_Veeco SFAS 142 &amp; 144 - Oct 2004 - v11_Cap Table Inputs_DB" xfId="973"/>
    <cellStyle name="0_Veeco SFAS 142 &amp; 144 - Oct 2004 - v11_Cap Table Inputs_DB 2" xfId="974"/>
    <cellStyle name="0_Veeco SFAS 142 &amp; 144 - Oct 2004 - v11_Cap Table Inputs_DB 2 2" xfId="975"/>
    <cellStyle name="0_Veeco SFAS 142 &amp; 144 - Oct 2004 - v11_Cap Table Inputs_FAS 157 Model Template 04 26 2009" xfId="976"/>
    <cellStyle name="0_Veeco SFAS 142 &amp; 144 - Oct 2004 - v11_Cap Table Inputs_FAS 157 Model Template 04 26 2009 2" xfId="977"/>
    <cellStyle name="0_Veeco SFAS 142 &amp; 144 - Oct 2004 - v11_Cap Table Inputs_Miragen VD 05 31 2008 Model 05 22 2009" xfId="978"/>
    <cellStyle name="0_Veeco SFAS 142 &amp; 144 - Oct 2004 - v11_CardioSolutions 05 31 2007 Final Model 09 27 2007" xfId="979"/>
    <cellStyle name="0_Veeco SFAS 142 &amp; 144 - Oct 2004 - v11_CardioSolutions 05 31 2007 Final Model 09 27 2007 2" xfId="980"/>
    <cellStyle name="0_Veeco SFAS 142 &amp; 144 - Oct 2004 - v11_CardioSolutions 05 31 2007 Final Model 09 27 2007 2 2" xfId="981"/>
    <cellStyle name="0_Veeco SFAS 142 &amp; 144 - Oct 2004 - v11_CardioSolutions 05 31 2007 Final Model 09 27 2007 3" xfId="982"/>
    <cellStyle name="0_Veeco SFAS 142 &amp; 144 - Oct 2004 - v11_CardioSolutions 05 31 2007 Final Model 09 27 2007 4" xfId="983"/>
    <cellStyle name="0_Veeco SFAS 142 &amp; 144 - Oct 2004 - v11_CardioSolutions 05 31 2007 Final Model 09 27 2007 5" xfId="984"/>
    <cellStyle name="0_Veeco SFAS 142 &amp; 144 - Oct 2004 - v11_CardioSolutions 05 31 2007 Final Model 09 27 2007_CompanyABC Valuation Draft Model 04 21 2009" xfId="985"/>
    <cellStyle name="0_Veeco SFAS 142 &amp; 144 - Oct 2004 - v11_CardioSolutions 05 31 2007 Final Model 09 27 2007_CompanyABC Valuation Draft Model 04 21 2009 2" xfId="986"/>
    <cellStyle name="0_Veeco SFAS 142 &amp; 144 - Oct 2004 - v11_CardioSolutions 05 31 2007 Final Model 09 27 2007_DB" xfId="987"/>
    <cellStyle name="0_Veeco SFAS 142 &amp; 144 - Oct 2004 - v11_CardioSolutions 05 31 2007 Final Model 09 27 2007_DB 2" xfId="988"/>
    <cellStyle name="0_Veeco SFAS 142 &amp; 144 - Oct 2004 - v11_CardioSolutions 05 31 2007 Final Model 09 27 2007_DB 2 2" xfId="989"/>
    <cellStyle name="0_Veeco SFAS 142 &amp; 144 - Oct 2004 - v11_CardioSolutions 05 31 2007 Final Model 09 27 2007_FAS 157 Model Template 04 26 2009" xfId="990"/>
    <cellStyle name="0_Veeco SFAS 142 &amp; 144 - Oct 2004 - v11_CardioSolutions 05 31 2007 Final Model 09 27 2007_FAS 157 Model Template 04 26 2009 2" xfId="991"/>
    <cellStyle name="0_Veeco SFAS 142 &amp; 144 - Oct 2004 - v11_CardioSolutions 05 31 2007 Final Model 09 27 2007_Miragen VD 05 31 2008 Model 05 22 2009" xfId="992"/>
    <cellStyle name="000" xfId="993"/>
    <cellStyle name="000 MF" xfId="994"/>
    <cellStyle name="000,0" xfId="995"/>
    <cellStyle name="000_Halloween version SPV" xfId="996"/>
    <cellStyle name="0000" xfId="997"/>
    <cellStyle name="000000" xfId="998"/>
    <cellStyle name="1,comma" xfId="999"/>
    <cellStyle name="1.0 TITLE" xfId="16339"/>
    <cellStyle name="1.1 TITLE" xfId="16340"/>
    <cellStyle name="1000s1Place" xfId="1000"/>
    <cellStyle name="18.xls]Mgmt" xfId="16341"/>
    <cellStyle name="1Decimal" xfId="1001"/>
    <cellStyle name="1Decimal 2" xfId="1002"/>
    <cellStyle name="1Decimal 2 2" xfId="1003"/>
    <cellStyle name="1Decimal 3" xfId="1004"/>
    <cellStyle name="1Decimal 4" xfId="1005"/>
    <cellStyle name="1Decimal 5" xfId="1006"/>
    <cellStyle name="¹éºÐÀ²_±âÅ¸" xfId="16342"/>
    <cellStyle name="1MMs1Place" xfId="1007"/>
    <cellStyle name="1MMs2Places" xfId="1008"/>
    <cellStyle name="1Normal" xfId="16343"/>
    <cellStyle name="1place" xfId="1009"/>
    <cellStyle name="2" xfId="16344"/>
    <cellStyle name="2 Decimal Places" xfId="16345"/>
    <cellStyle name="20% - Accent1 10" xfId="1010"/>
    <cellStyle name="20% - Accent1 10 10" xfId="16391"/>
    <cellStyle name="20% - Accent1 10 2" xfId="1011"/>
    <cellStyle name="20% - Accent1 10 2 2" xfId="1012"/>
    <cellStyle name="20% - Accent1 10 2 2 2" xfId="1013"/>
    <cellStyle name="20% - Accent1 10 2 2 2 2" xfId="12443"/>
    <cellStyle name="20% - Accent1 10 2 2 2 3" xfId="16394"/>
    <cellStyle name="20% - Accent1 10 2 2 3" xfId="1014"/>
    <cellStyle name="20% - Accent1 10 2 2 3 2" xfId="12444"/>
    <cellStyle name="20% - Accent1 10 2 2 3 3" xfId="16395"/>
    <cellStyle name="20% - Accent1 10 2 2 4" xfId="12442"/>
    <cellStyle name="20% - Accent1 10 2 2 5" xfId="16393"/>
    <cellStyle name="20% - Accent1 10 2 3" xfId="1015"/>
    <cellStyle name="20% - Accent1 10 2 3 2" xfId="1016"/>
    <cellStyle name="20% - Accent1 10 2 3 2 2" xfId="12446"/>
    <cellStyle name="20% - Accent1 10 2 3 2 3" xfId="16397"/>
    <cellStyle name="20% - Accent1 10 2 3 3" xfId="1017"/>
    <cellStyle name="20% - Accent1 10 2 3 3 2" xfId="12447"/>
    <cellStyle name="20% - Accent1 10 2 3 3 3" xfId="16398"/>
    <cellStyle name="20% - Accent1 10 2 3 4" xfId="12445"/>
    <cellStyle name="20% - Accent1 10 2 3 5" xfId="16396"/>
    <cellStyle name="20% - Accent1 10 2 4" xfId="1018"/>
    <cellStyle name="20% - Accent1 10 2 4 2" xfId="1019"/>
    <cellStyle name="20% - Accent1 10 2 4 2 2" xfId="12449"/>
    <cellStyle name="20% - Accent1 10 2 4 2 3" xfId="16400"/>
    <cellStyle name="20% - Accent1 10 2 4 3" xfId="1020"/>
    <cellStyle name="20% - Accent1 10 2 4 3 2" xfId="12450"/>
    <cellStyle name="20% - Accent1 10 2 4 3 3" xfId="16401"/>
    <cellStyle name="20% - Accent1 10 2 4 4" xfId="12448"/>
    <cellStyle name="20% - Accent1 10 2 4 5" xfId="16399"/>
    <cellStyle name="20% - Accent1 10 2 5" xfId="1021"/>
    <cellStyle name="20% - Accent1 10 2 5 2" xfId="12451"/>
    <cellStyle name="20% - Accent1 10 2 5 3" xfId="16402"/>
    <cellStyle name="20% - Accent1 10 2 6" xfId="1022"/>
    <cellStyle name="20% - Accent1 10 2 6 2" xfId="12452"/>
    <cellStyle name="20% - Accent1 10 2 6 3" xfId="16403"/>
    <cellStyle name="20% - Accent1 10 2 7" xfId="12441"/>
    <cellStyle name="20% - Accent1 10 2 8" xfId="16392"/>
    <cellStyle name="20% - Accent1 10 2_Volatility" xfId="1023"/>
    <cellStyle name="20% - Accent1 10 3" xfId="1024"/>
    <cellStyle name="20% - Accent1 10 3 2" xfId="1025"/>
    <cellStyle name="20% - Accent1 10 3 2 2" xfId="1026"/>
    <cellStyle name="20% - Accent1 10 3 2 2 2" xfId="12455"/>
    <cellStyle name="20% - Accent1 10 3 2 2 3" xfId="16406"/>
    <cellStyle name="20% - Accent1 10 3 2 3" xfId="1027"/>
    <cellStyle name="20% - Accent1 10 3 2 3 2" xfId="12456"/>
    <cellStyle name="20% - Accent1 10 3 2 3 3" xfId="16407"/>
    <cellStyle name="20% - Accent1 10 3 2 4" xfId="12454"/>
    <cellStyle name="20% - Accent1 10 3 2 5" xfId="16405"/>
    <cellStyle name="20% - Accent1 10 3 3" xfId="1028"/>
    <cellStyle name="20% - Accent1 10 3 3 2" xfId="1029"/>
    <cellStyle name="20% - Accent1 10 3 3 2 2" xfId="12458"/>
    <cellStyle name="20% - Accent1 10 3 3 2 3" xfId="16409"/>
    <cellStyle name="20% - Accent1 10 3 3 3" xfId="1030"/>
    <cellStyle name="20% - Accent1 10 3 3 3 2" xfId="12459"/>
    <cellStyle name="20% - Accent1 10 3 3 3 3" xfId="16410"/>
    <cellStyle name="20% - Accent1 10 3 3 4" xfId="12457"/>
    <cellStyle name="20% - Accent1 10 3 3 5" xfId="16408"/>
    <cellStyle name="20% - Accent1 10 3 4" xfId="1031"/>
    <cellStyle name="20% - Accent1 10 3 4 2" xfId="12460"/>
    <cellStyle name="20% - Accent1 10 3 4 3" xfId="16411"/>
    <cellStyle name="20% - Accent1 10 3 5" xfId="1032"/>
    <cellStyle name="20% - Accent1 10 3 5 2" xfId="12461"/>
    <cellStyle name="20% - Accent1 10 3 5 3" xfId="16412"/>
    <cellStyle name="20% - Accent1 10 3 6" xfId="12453"/>
    <cellStyle name="20% - Accent1 10 3 7" xfId="16404"/>
    <cellStyle name="20% - Accent1 10 3_Volatility" xfId="1033"/>
    <cellStyle name="20% - Accent1 10 4" xfId="1034"/>
    <cellStyle name="20% - Accent1 10 4 2" xfId="1035"/>
    <cellStyle name="20% - Accent1 10 4 2 2" xfId="12463"/>
    <cellStyle name="20% - Accent1 10 4 2 3" xfId="16414"/>
    <cellStyle name="20% - Accent1 10 4 3" xfId="1036"/>
    <cellStyle name="20% - Accent1 10 4 3 2" xfId="12464"/>
    <cellStyle name="20% - Accent1 10 4 3 3" xfId="16415"/>
    <cellStyle name="20% - Accent1 10 4 4" xfId="12462"/>
    <cellStyle name="20% - Accent1 10 4 5" xfId="16413"/>
    <cellStyle name="20% - Accent1 10 5" xfId="1037"/>
    <cellStyle name="20% - Accent1 10 5 2" xfId="1038"/>
    <cellStyle name="20% - Accent1 10 5 2 2" xfId="12466"/>
    <cellStyle name="20% - Accent1 10 5 2 3" xfId="16417"/>
    <cellStyle name="20% - Accent1 10 5 3" xfId="1039"/>
    <cellStyle name="20% - Accent1 10 5 3 2" xfId="12467"/>
    <cellStyle name="20% - Accent1 10 5 3 3" xfId="16418"/>
    <cellStyle name="20% - Accent1 10 5 4" xfId="12465"/>
    <cellStyle name="20% - Accent1 10 5 5" xfId="16416"/>
    <cellStyle name="20% - Accent1 10 6" xfId="1040"/>
    <cellStyle name="20% - Accent1 10 6 2" xfId="1041"/>
    <cellStyle name="20% - Accent1 10 6 2 2" xfId="12469"/>
    <cellStyle name="20% - Accent1 10 6 2 3" xfId="16420"/>
    <cellStyle name="20% - Accent1 10 6 3" xfId="1042"/>
    <cellStyle name="20% - Accent1 10 6 3 2" xfId="12470"/>
    <cellStyle name="20% - Accent1 10 6 3 3" xfId="16421"/>
    <cellStyle name="20% - Accent1 10 6 4" xfId="12468"/>
    <cellStyle name="20% - Accent1 10 6 5" xfId="16419"/>
    <cellStyle name="20% - Accent1 10 7" xfId="1043"/>
    <cellStyle name="20% - Accent1 10 7 2" xfId="12471"/>
    <cellStyle name="20% - Accent1 10 7 3" xfId="16422"/>
    <cellStyle name="20% - Accent1 10 8" xfId="1044"/>
    <cellStyle name="20% - Accent1 10 8 2" xfId="12472"/>
    <cellStyle name="20% - Accent1 10 8 3" xfId="16423"/>
    <cellStyle name="20% - Accent1 10 9" xfId="12440"/>
    <cellStyle name="20% - Accent1 10_Volatility" xfId="1045"/>
    <cellStyle name="20% - Accent1 11" xfId="1046"/>
    <cellStyle name="20% - Accent1 11 10" xfId="16424"/>
    <cellStyle name="20% - Accent1 11 2" xfId="1047"/>
    <cellStyle name="20% - Accent1 11 2 2" xfId="1048"/>
    <cellStyle name="20% - Accent1 11 2 2 2" xfId="1049"/>
    <cellStyle name="20% - Accent1 11 2 2 2 2" xfId="12476"/>
    <cellStyle name="20% - Accent1 11 2 2 2 3" xfId="16427"/>
    <cellStyle name="20% - Accent1 11 2 2 3" xfId="1050"/>
    <cellStyle name="20% - Accent1 11 2 2 3 2" xfId="12477"/>
    <cellStyle name="20% - Accent1 11 2 2 3 3" xfId="16428"/>
    <cellStyle name="20% - Accent1 11 2 2 4" xfId="12475"/>
    <cellStyle name="20% - Accent1 11 2 2 5" xfId="16426"/>
    <cellStyle name="20% - Accent1 11 2 3" xfId="1051"/>
    <cellStyle name="20% - Accent1 11 2 3 2" xfId="1052"/>
    <cellStyle name="20% - Accent1 11 2 3 2 2" xfId="12479"/>
    <cellStyle name="20% - Accent1 11 2 3 2 3" xfId="16430"/>
    <cellStyle name="20% - Accent1 11 2 3 3" xfId="1053"/>
    <cellStyle name="20% - Accent1 11 2 3 3 2" xfId="12480"/>
    <cellStyle name="20% - Accent1 11 2 3 3 3" xfId="16431"/>
    <cellStyle name="20% - Accent1 11 2 3 4" xfId="12478"/>
    <cellStyle name="20% - Accent1 11 2 3 5" xfId="16429"/>
    <cellStyle name="20% - Accent1 11 2 4" xfId="1054"/>
    <cellStyle name="20% - Accent1 11 2 4 2" xfId="1055"/>
    <cellStyle name="20% - Accent1 11 2 4 2 2" xfId="12482"/>
    <cellStyle name="20% - Accent1 11 2 4 2 3" xfId="16433"/>
    <cellStyle name="20% - Accent1 11 2 4 3" xfId="1056"/>
    <cellStyle name="20% - Accent1 11 2 4 3 2" xfId="12483"/>
    <cellStyle name="20% - Accent1 11 2 4 3 3" xfId="16434"/>
    <cellStyle name="20% - Accent1 11 2 4 4" xfId="12481"/>
    <cellStyle name="20% - Accent1 11 2 4 5" xfId="16432"/>
    <cellStyle name="20% - Accent1 11 2 5" xfId="1057"/>
    <cellStyle name="20% - Accent1 11 2 5 2" xfId="12484"/>
    <cellStyle name="20% - Accent1 11 2 5 3" xfId="16435"/>
    <cellStyle name="20% - Accent1 11 2 6" xfId="1058"/>
    <cellStyle name="20% - Accent1 11 2 6 2" xfId="12485"/>
    <cellStyle name="20% - Accent1 11 2 6 3" xfId="16436"/>
    <cellStyle name="20% - Accent1 11 2 7" xfId="12474"/>
    <cellStyle name="20% - Accent1 11 2 8" xfId="16425"/>
    <cellStyle name="20% - Accent1 11 2_Volatility" xfId="1059"/>
    <cellStyle name="20% - Accent1 11 3" xfId="1060"/>
    <cellStyle name="20% - Accent1 11 3 2" xfId="1061"/>
    <cellStyle name="20% - Accent1 11 3 2 2" xfId="1062"/>
    <cellStyle name="20% - Accent1 11 3 2 2 2" xfId="12488"/>
    <cellStyle name="20% - Accent1 11 3 2 2 3" xfId="16439"/>
    <cellStyle name="20% - Accent1 11 3 2 3" xfId="1063"/>
    <cellStyle name="20% - Accent1 11 3 2 3 2" xfId="12489"/>
    <cellStyle name="20% - Accent1 11 3 2 3 3" xfId="16440"/>
    <cellStyle name="20% - Accent1 11 3 2 4" xfId="12487"/>
    <cellStyle name="20% - Accent1 11 3 2 5" xfId="16438"/>
    <cellStyle name="20% - Accent1 11 3 3" xfId="1064"/>
    <cellStyle name="20% - Accent1 11 3 3 2" xfId="1065"/>
    <cellStyle name="20% - Accent1 11 3 3 2 2" xfId="12491"/>
    <cellStyle name="20% - Accent1 11 3 3 2 3" xfId="16442"/>
    <cellStyle name="20% - Accent1 11 3 3 3" xfId="1066"/>
    <cellStyle name="20% - Accent1 11 3 3 3 2" xfId="12492"/>
    <cellStyle name="20% - Accent1 11 3 3 3 3" xfId="16443"/>
    <cellStyle name="20% - Accent1 11 3 3 4" xfId="12490"/>
    <cellStyle name="20% - Accent1 11 3 3 5" xfId="16441"/>
    <cellStyle name="20% - Accent1 11 3 4" xfId="1067"/>
    <cellStyle name="20% - Accent1 11 3 4 2" xfId="12493"/>
    <cellStyle name="20% - Accent1 11 3 4 3" xfId="16444"/>
    <cellStyle name="20% - Accent1 11 3 5" xfId="1068"/>
    <cellStyle name="20% - Accent1 11 3 5 2" xfId="12494"/>
    <cellStyle name="20% - Accent1 11 3 5 3" xfId="16445"/>
    <cellStyle name="20% - Accent1 11 3 6" xfId="12486"/>
    <cellStyle name="20% - Accent1 11 3 7" xfId="16437"/>
    <cellStyle name="20% - Accent1 11 3_Volatility" xfId="1069"/>
    <cellStyle name="20% - Accent1 11 4" xfId="1070"/>
    <cellStyle name="20% - Accent1 11 4 2" xfId="1071"/>
    <cellStyle name="20% - Accent1 11 4 2 2" xfId="12496"/>
    <cellStyle name="20% - Accent1 11 4 2 3" xfId="16447"/>
    <cellStyle name="20% - Accent1 11 4 3" xfId="1072"/>
    <cellStyle name="20% - Accent1 11 4 3 2" xfId="12497"/>
    <cellStyle name="20% - Accent1 11 4 3 3" xfId="16448"/>
    <cellStyle name="20% - Accent1 11 4 4" xfId="12495"/>
    <cellStyle name="20% - Accent1 11 4 5" xfId="16446"/>
    <cellStyle name="20% - Accent1 11 5" xfId="1073"/>
    <cellStyle name="20% - Accent1 11 5 2" xfId="1074"/>
    <cellStyle name="20% - Accent1 11 5 2 2" xfId="12499"/>
    <cellStyle name="20% - Accent1 11 5 2 3" xfId="16450"/>
    <cellStyle name="20% - Accent1 11 5 3" xfId="1075"/>
    <cellStyle name="20% - Accent1 11 5 3 2" xfId="12500"/>
    <cellStyle name="20% - Accent1 11 5 3 3" xfId="16451"/>
    <cellStyle name="20% - Accent1 11 5 4" xfId="12498"/>
    <cellStyle name="20% - Accent1 11 5 5" xfId="16449"/>
    <cellStyle name="20% - Accent1 11 6" xfId="1076"/>
    <cellStyle name="20% - Accent1 11 6 2" xfId="1077"/>
    <cellStyle name="20% - Accent1 11 6 2 2" xfId="12502"/>
    <cellStyle name="20% - Accent1 11 6 2 3" xfId="16453"/>
    <cellStyle name="20% - Accent1 11 6 3" xfId="1078"/>
    <cellStyle name="20% - Accent1 11 6 3 2" xfId="12503"/>
    <cellStyle name="20% - Accent1 11 6 3 3" xfId="16454"/>
    <cellStyle name="20% - Accent1 11 6 4" xfId="12501"/>
    <cellStyle name="20% - Accent1 11 6 5" xfId="16452"/>
    <cellStyle name="20% - Accent1 11 7" xfId="1079"/>
    <cellStyle name="20% - Accent1 11 7 2" xfId="12504"/>
    <cellStyle name="20% - Accent1 11 7 3" xfId="16455"/>
    <cellStyle name="20% - Accent1 11 8" xfId="1080"/>
    <cellStyle name="20% - Accent1 11 8 2" xfId="12505"/>
    <cellStyle name="20% - Accent1 11 8 3" xfId="16456"/>
    <cellStyle name="20% - Accent1 11 9" xfId="12473"/>
    <cellStyle name="20% - Accent1 11_Volatility" xfId="1081"/>
    <cellStyle name="20% - Accent1 12" xfId="1082"/>
    <cellStyle name="20% - Accent1 12 10" xfId="16457"/>
    <cellStyle name="20% - Accent1 12 2" xfId="1083"/>
    <cellStyle name="20% - Accent1 12 2 2" xfId="1084"/>
    <cellStyle name="20% - Accent1 12 2 2 2" xfId="1085"/>
    <cellStyle name="20% - Accent1 12 2 2 2 2" xfId="12509"/>
    <cellStyle name="20% - Accent1 12 2 2 2 3" xfId="16460"/>
    <cellStyle name="20% - Accent1 12 2 2 3" xfId="1086"/>
    <cellStyle name="20% - Accent1 12 2 2 3 2" xfId="12510"/>
    <cellStyle name="20% - Accent1 12 2 2 3 3" xfId="16461"/>
    <cellStyle name="20% - Accent1 12 2 2 4" xfId="12508"/>
    <cellStyle name="20% - Accent1 12 2 2 5" xfId="16459"/>
    <cellStyle name="20% - Accent1 12 2 3" xfId="1087"/>
    <cellStyle name="20% - Accent1 12 2 3 2" xfId="1088"/>
    <cellStyle name="20% - Accent1 12 2 3 2 2" xfId="12512"/>
    <cellStyle name="20% - Accent1 12 2 3 2 3" xfId="16463"/>
    <cellStyle name="20% - Accent1 12 2 3 3" xfId="1089"/>
    <cellStyle name="20% - Accent1 12 2 3 3 2" xfId="12513"/>
    <cellStyle name="20% - Accent1 12 2 3 3 3" xfId="16464"/>
    <cellStyle name="20% - Accent1 12 2 3 4" xfId="12511"/>
    <cellStyle name="20% - Accent1 12 2 3 5" xfId="16462"/>
    <cellStyle name="20% - Accent1 12 2 4" xfId="1090"/>
    <cellStyle name="20% - Accent1 12 2 4 2" xfId="1091"/>
    <cellStyle name="20% - Accent1 12 2 4 2 2" xfId="12515"/>
    <cellStyle name="20% - Accent1 12 2 4 2 3" xfId="16466"/>
    <cellStyle name="20% - Accent1 12 2 4 3" xfId="1092"/>
    <cellStyle name="20% - Accent1 12 2 4 3 2" xfId="12516"/>
    <cellStyle name="20% - Accent1 12 2 4 3 3" xfId="16467"/>
    <cellStyle name="20% - Accent1 12 2 4 4" xfId="12514"/>
    <cellStyle name="20% - Accent1 12 2 4 5" xfId="16465"/>
    <cellStyle name="20% - Accent1 12 2 5" xfId="1093"/>
    <cellStyle name="20% - Accent1 12 2 5 2" xfId="12517"/>
    <cellStyle name="20% - Accent1 12 2 5 3" xfId="16468"/>
    <cellStyle name="20% - Accent1 12 2 6" xfId="1094"/>
    <cellStyle name="20% - Accent1 12 2 6 2" xfId="12518"/>
    <cellStyle name="20% - Accent1 12 2 6 3" xfId="16469"/>
    <cellStyle name="20% - Accent1 12 2 7" xfId="12507"/>
    <cellStyle name="20% - Accent1 12 2 8" xfId="16458"/>
    <cellStyle name="20% - Accent1 12 2_Volatility" xfId="1095"/>
    <cellStyle name="20% - Accent1 12 3" xfId="1096"/>
    <cellStyle name="20% - Accent1 12 3 2" xfId="1097"/>
    <cellStyle name="20% - Accent1 12 3 2 2" xfId="1098"/>
    <cellStyle name="20% - Accent1 12 3 2 2 2" xfId="12521"/>
    <cellStyle name="20% - Accent1 12 3 2 2 3" xfId="16472"/>
    <cellStyle name="20% - Accent1 12 3 2 3" xfId="1099"/>
    <cellStyle name="20% - Accent1 12 3 2 3 2" xfId="12522"/>
    <cellStyle name="20% - Accent1 12 3 2 3 3" xfId="16473"/>
    <cellStyle name="20% - Accent1 12 3 2 4" xfId="12520"/>
    <cellStyle name="20% - Accent1 12 3 2 5" xfId="16471"/>
    <cellStyle name="20% - Accent1 12 3 3" xfId="1100"/>
    <cellStyle name="20% - Accent1 12 3 3 2" xfId="1101"/>
    <cellStyle name="20% - Accent1 12 3 3 2 2" xfId="12524"/>
    <cellStyle name="20% - Accent1 12 3 3 2 3" xfId="16475"/>
    <cellStyle name="20% - Accent1 12 3 3 3" xfId="1102"/>
    <cellStyle name="20% - Accent1 12 3 3 3 2" xfId="12525"/>
    <cellStyle name="20% - Accent1 12 3 3 3 3" xfId="16476"/>
    <cellStyle name="20% - Accent1 12 3 3 4" xfId="12523"/>
    <cellStyle name="20% - Accent1 12 3 3 5" xfId="16474"/>
    <cellStyle name="20% - Accent1 12 3 4" xfId="1103"/>
    <cellStyle name="20% - Accent1 12 3 4 2" xfId="12526"/>
    <cellStyle name="20% - Accent1 12 3 4 3" xfId="16477"/>
    <cellStyle name="20% - Accent1 12 3 5" xfId="1104"/>
    <cellStyle name="20% - Accent1 12 3 5 2" xfId="12527"/>
    <cellStyle name="20% - Accent1 12 3 5 3" xfId="16478"/>
    <cellStyle name="20% - Accent1 12 3 6" xfId="12519"/>
    <cellStyle name="20% - Accent1 12 3 7" xfId="16470"/>
    <cellStyle name="20% - Accent1 12 3_Volatility" xfId="1105"/>
    <cellStyle name="20% - Accent1 12 4" xfId="1106"/>
    <cellStyle name="20% - Accent1 12 4 2" xfId="1107"/>
    <cellStyle name="20% - Accent1 12 4 2 2" xfId="12529"/>
    <cellStyle name="20% - Accent1 12 4 2 3" xfId="16480"/>
    <cellStyle name="20% - Accent1 12 4 3" xfId="1108"/>
    <cellStyle name="20% - Accent1 12 4 3 2" xfId="12530"/>
    <cellStyle name="20% - Accent1 12 4 3 3" xfId="16481"/>
    <cellStyle name="20% - Accent1 12 4 4" xfId="12528"/>
    <cellStyle name="20% - Accent1 12 4 5" xfId="16479"/>
    <cellStyle name="20% - Accent1 12 5" xfId="1109"/>
    <cellStyle name="20% - Accent1 12 5 2" xfId="1110"/>
    <cellStyle name="20% - Accent1 12 5 2 2" xfId="12532"/>
    <cellStyle name="20% - Accent1 12 5 2 3" xfId="16483"/>
    <cellStyle name="20% - Accent1 12 5 3" xfId="1111"/>
    <cellStyle name="20% - Accent1 12 5 3 2" xfId="12533"/>
    <cellStyle name="20% - Accent1 12 5 3 3" xfId="16484"/>
    <cellStyle name="20% - Accent1 12 5 4" xfId="12531"/>
    <cellStyle name="20% - Accent1 12 5 5" xfId="16482"/>
    <cellStyle name="20% - Accent1 12 6" xfId="1112"/>
    <cellStyle name="20% - Accent1 12 6 2" xfId="1113"/>
    <cellStyle name="20% - Accent1 12 6 2 2" xfId="12535"/>
    <cellStyle name="20% - Accent1 12 6 2 3" xfId="16486"/>
    <cellStyle name="20% - Accent1 12 6 3" xfId="1114"/>
    <cellStyle name="20% - Accent1 12 6 3 2" xfId="12536"/>
    <cellStyle name="20% - Accent1 12 6 3 3" xfId="16487"/>
    <cellStyle name="20% - Accent1 12 6 4" xfId="12534"/>
    <cellStyle name="20% - Accent1 12 6 5" xfId="16485"/>
    <cellStyle name="20% - Accent1 12 7" xfId="1115"/>
    <cellStyle name="20% - Accent1 12 7 2" xfId="12537"/>
    <cellStyle name="20% - Accent1 12 7 3" xfId="16488"/>
    <cellStyle name="20% - Accent1 12 8" xfId="1116"/>
    <cellStyle name="20% - Accent1 12 8 2" xfId="12538"/>
    <cellStyle name="20% - Accent1 12 8 3" xfId="16489"/>
    <cellStyle name="20% - Accent1 12 9" xfId="12506"/>
    <cellStyle name="20% - Accent1 12_Volatility" xfId="1117"/>
    <cellStyle name="20% - Accent1 13" xfId="1118"/>
    <cellStyle name="20% - Accent1 13 10" xfId="16490"/>
    <cellStyle name="20% - Accent1 13 2" xfId="1119"/>
    <cellStyle name="20% - Accent1 13 2 2" xfId="1120"/>
    <cellStyle name="20% - Accent1 13 2 2 2" xfId="1121"/>
    <cellStyle name="20% - Accent1 13 2 2 2 2" xfId="12542"/>
    <cellStyle name="20% - Accent1 13 2 2 2 3" xfId="16493"/>
    <cellStyle name="20% - Accent1 13 2 2 3" xfId="1122"/>
    <cellStyle name="20% - Accent1 13 2 2 3 2" xfId="12543"/>
    <cellStyle name="20% - Accent1 13 2 2 3 3" xfId="16494"/>
    <cellStyle name="20% - Accent1 13 2 2 4" xfId="12541"/>
    <cellStyle name="20% - Accent1 13 2 2 5" xfId="16492"/>
    <cellStyle name="20% - Accent1 13 2 3" xfId="1123"/>
    <cellStyle name="20% - Accent1 13 2 3 2" xfId="1124"/>
    <cellStyle name="20% - Accent1 13 2 3 2 2" xfId="12545"/>
    <cellStyle name="20% - Accent1 13 2 3 2 3" xfId="16496"/>
    <cellStyle name="20% - Accent1 13 2 3 3" xfId="1125"/>
    <cellStyle name="20% - Accent1 13 2 3 3 2" xfId="12546"/>
    <cellStyle name="20% - Accent1 13 2 3 3 3" xfId="16497"/>
    <cellStyle name="20% - Accent1 13 2 3 4" xfId="12544"/>
    <cellStyle name="20% - Accent1 13 2 3 5" xfId="16495"/>
    <cellStyle name="20% - Accent1 13 2 4" xfId="1126"/>
    <cellStyle name="20% - Accent1 13 2 4 2" xfId="1127"/>
    <cellStyle name="20% - Accent1 13 2 4 2 2" xfId="12548"/>
    <cellStyle name="20% - Accent1 13 2 4 2 3" xfId="16499"/>
    <cellStyle name="20% - Accent1 13 2 4 3" xfId="1128"/>
    <cellStyle name="20% - Accent1 13 2 4 3 2" xfId="12549"/>
    <cellStyle name="20% - Accent1 13 2 4 3 3" xfId="16500"/>
    <cellStyle name="20% - Accent1 13 2 4 4" xfId="12547"/>
    <cellStyle name="20% - Accent1 13 2 4 5" xfId="16498"/>
    <cellStyle name="20% - Accent1 13 2 5" xfId="1129"/>
    <cellStyle name="20% - Accent1 13 2 5 2" xfId="12550"/>
    <cellStyle name="20% - Accent1 13 2 5 3" xfId="16501"/>
    <cellStyle name="20% - Accent1 13 2 6" xfId="1130"/>
    <cellStyle name="20% - Accent1 13 2 6 2" xfId="12551"/>
    <cellStyle name="20% - Accent1 13 2 6 3" xfId="16502"/>
    <cellStyle name="20% - Accent1 13 2 7" xfId="12540"/>
    <cellStyle name="20% - Accent1 13 2 8" xfId="16491"/>
    <cellStyle name="20% - Accent1 13 2_Volatility" xfId="1131"/>
    <cellStyle name="20% - Accent1 13 3" xfId="1132"/>
    <cellStyle name="20% - Accent1 13 3 2" xfId="1133"/>
    <cellStyle name="20% - Accent1 13 3 2 2" xfId="1134"/>
    <cellStyle name="20% - Accent1 13 3 2 2 2" xfId="12554"/>
    <cellStyle name="20% - Accent1 13 3 2 2 3" xfId="16505"/>
    <cellStyle name="20% - Accent1 13 3 2 3" xfId="1135"/>
    <cellStyle name="20% - Accent1 13 3 2 3 2" xfId="12555"/>
    <cellStyle name="20% - Accent1 13 3 2 3 3" xfId="16506"/>
    <cellStyle name="20% - Accent1 13 3 2 4" xfId="12553"/>
    <cellStyle name="20% - Accent1 13 3 2 5" xfId="16504"/>
    <cellStyle name="20% - Accent1 13 3 3" xfId="1136"/>
    <cellStyle name="20% - Accent1 13 3 3 2" xfId="1137"/>
    <cellStyle name="20% - Accent1 13 3 3 2 2" xfId="12557"/>
    <cellStyle name="20% - Accent1 13 3 3 2 3" xfId="16508"/>
    <cellStyle name="20% - Accent1 13 3 3 3" xfId="1138"/>
    <cellStyle name="20% - Accent1 13 3 3 3 2" xfId="12558"/>
    <cellStyle name="20% - Accent1 13 3 3 3 3" xfId="16509"/>
    <cellStyle name="20% - Accent1 13 3 3 4" xfId="12556"/>
    <cellStyle name="20% - Accent1 13 3 3 5" xfId="16507"/>
    <cellStyle name="20% - Accent1 13 3 4" xfId="1139"/>
    <cellStyle name="20% - Accent1 13 3 4 2" xfId="12559"/>
    <cellStyle name="20% - Accent1 13 3 4 3" xfId="16510"/>
    <cellStyle name="20% - Accent1 13 3 5" xfId="1140"/>
    <cellStyle name="20% - Accent1 13 3 5 2" xfId="12560"/>
    <cellStyle name="20% - Accent1 13 3 5 3" xfId="16511"/>
    <cellStyle name="20% - Accent1 13 3 6" xfId="12552"/>
    <cellStyle name="20% - Accent1 13 3 7" xfId="16503"/>
    <cellStyle name="20% - Accent1 13 3_Volatility" xfId="1141"/>
    <cellStyle name="20% - Accent1 13 4" xfId="1142"/>
    <cellStyle name="20% - Accent1 13 4 2" xfId="1143"/>
    <cellStyle name="20% - Accent1 13 4 2 2" xfId="12562"/>
    <cellStyle name="20% - Accent1 13 4 2 3" xfId="16513"/>
    <cellStyle name="20% - Accent1 13 4 3" xfId="1144"/>
    <cellStyle name="20% - Accent1 13 4 3 2" xfId="12563"/>
    <cellStyle name="20% - Accent1 13 4 3 3" xfId="16514"/>
    <cellStyle name="20% - Accent1 13 4 4" xfId="12561"/>
    <cellStyle name="20% - Accent1 13 4 5" xfId="16512"/>
    <cellStyle name="20% - Accent1 13 5" xfId="1145"/>
    <cellStyle name="20% - Accent1 13 5 2" xfId="1146"/>
    <cellStyle name="20% - Accent1 13 5 2 2" xfId="12565"/>
    <cellStyle name="20% - Accent1 13 5 2 3" xfId="16516"/>
    <cellStyle name="20% - Accent1 13 5 3" xfId="1147"/>
    <cellStyle name="20% - Accent1 13 5 3 2" xfId="12566"/>
    <cellStyle name="20% - Accent1 13 5 3 3" xfId="16517"/>
    <cellStyle name="20% - Accent1 13 5 4" xfId="12564"/>
    <cellStyle name="20% - Accent1 13 5 5" xfId="16515"/>
    <cellStyle name="20% - Accent1 13 6" xfId="1148"/>
    <cellStyle name="20% - Accent1 13 6 2" xfId="1149"/>
    <cellStyle name="20% - Accent1 13 6 2 2" xfId="12568"/>
    <cellStyle name="20% - Accent1 13 6 2 3" xfId="16519"/>
    <cellStyle name="20% - Accent1 13 6 3" xfId="1150"/>
    <cellStyle name="20% - Accent1 13 6 3 2" xfId="12569"/>
    <cellStyle name="20% - Accent1 13 6 3 3" xfId="16520"/>
    <cellStyle name="20% - Accent1 13 6 4" xfId="12567"/>
    <cellStyle name="20% - Accent1 13 6 5" xfId="16518"/>
    <cellStyle name="20% - Accent1 13 7" xfId="1151"/>
    <cellStyle name="20% - Accent1 13 7 2" xfId="12570"/>
    <cellStyle name="20% - Accent1 13 7 3" xfId="16521"/>
    <cellStyle name="20% - Accent1 13 8" xfId="1152"/>
    <cellStyle name="20% - Accent1 13 8 2" xfId="12571"/>
    <cellStyle name="20% - Accent1 13 8 3" xfId="16522"/>
    <cellStyle name="20% - Accent1 13 9" xfId="12539"/>
    <cellStyle name="20% - Accent1 13_Volatility" xfId="1153"/>
    <cellStyle name="20% - Accent1 14" xfId="1154"/>
    <cellStyle name="20% - Accent1 14 10" xfId="16523"/>
    <cellStyle name="20% - Accent1 14 2" xfId="1155"/>
    <cellStyle name="20% - Accent1 14 2 2" xfId="1156"/>
    <cellStyle name="20% - Accent1 14 2 2 2" xfId="1157"/>
    <cellStyle name="20% - Accent1 14 2 2 2 2" xfId="12575"/>
    <cellStyle name="20% - Accent1 14 2 2 2 3" xfId="16526"/>
    <cellStyle name="20% - Accent1 14 2 2 3" xfId="1158"/>
    <cellStyle name="20% - Accent1 14 2 2 3 2" xfId="12576"/>
    <cellStyle name="20% - Accent1 14 2 2 3 3" xfId="16527"/>
    <cellStyle name="20% - Accent1 14 2 2 4" xfId="12574"/>
    <cellStyle name="20% - Accent1 14 2 2 5" xfId="16525"/>
    <cellStyle name="20% - Accent1 14 2 3" xfId="1159"/>
    <cellStyle name="20% - Accent1 14 2 3 2" xfId="1160"/>
    <cellStyle name="20% - Accent1 14 2 3 2 2" xfId="12578"/>
    <cellStyle name="20% - Accent1 14 2 3 2 3" xfId="16529"/>
    <cellStyle name="20% - Accent1 14 2 3 3" xfId="1161"/>
    <cellStyle name="20% - Accent1 14 2 3 3 2" xfId="12579"/>
    <cellStyle name="20% - Accent1 14 2 3 3 3" xfId="16530"/>
    <cellStyle name="20% - Accent1 14 2 3 4" xfId="12577"/>
    <cellStyle name="20% - Accent1 14 2 3 5" xfId="16528"/>
    <cellStyle name="20% - Accent1 14 2 4" xfId="1162"/>
    <cellStyle name="20% - Accent1 14 2 4 2" xfId="1163"/>
    <cellStyle name="20% - Accent1 14 2 4 2 2" xfId="12581"/>
    <cellStyle name="20% - Accent1 14 2 4 2 3" xfId="16532"/>
    <cellStyle name="20% - Accent1 14 2 4 3" xfId="1164"/>
    <cellStyle name="20% - Accent1 14 2 4 3 2" xfId="12582"/>
    <cellStyle name="20% - Accent1 14 2 4 3 3" xfId="16533"/>
    <cellStyle name="20% - Accent1 14 2 4 4" xfId="12580"/>
    <cellStyle name="20% - Accent1 14 2 4 5" xfId="16531"/>
    <cellStyle name="20% - Accent1 14 2 5" xfId="1165"/>
    <cellStyle name="20% - Accent1 14 2 5 2" xfId="12583"/>
    <cellStyle name="20% - Accent1 14 2 5 3" xfId="16534"/>
    <cellStyle name="20% - Accent1 14 2 6" xfId="1166"/>
    <cellStyle name="20% - Accent1 14 2 6 2" xfId="12584"/>
    <cellStyle name="20% - Accent1 14 2 6 3" xfId="16535"/>
    <cellStyle name="20% - Accent1 14 2 7" xfId="12573"/>
    <cellStyle name="20% - Accent1 14 2 8" xfId="16524"/>
    <cellStyle name="20% - Accent1 14 2_Volatility" xfId="1167"/>
    <cellStyle name="20% - Accent1 14 3" xfId="1168"/>
    <cellStyle name="20% - Accent1 14 3 2" xfId="1169"/>
    <cellStyle name="20% - Accent1 14 3 2 2" xfId="1170"/>
    <cellStyle name="20% - Accent1 14 3 2 2 2" xfId="12587"/>
    <cellStyle name="20% - Accent1 14 3 2 2 3" xfId="16538"/>
    <cellStyle name="20% - Accent1 14 3 2 3" xfId="1171"/>
    <cellStyle name="20% - Accent1 14 3 2 3 2" xfId="12588"/>
    <cellStyle name="20% - Accent1 14 3 2 3 3" xfId="16539"/>
    <cellStyle name="20% - Accent1 14 3 2 4" xfId="12586"/>
    <cellStyle name="20% - Accent1 14 3 2 5" xfId="16537"/>
    <cellStyle name="20% - Accent1 14 3 3" xfId="1172"/>
    <cellStyle name="20% - Accent1 14 3 3 2" xfId="1173"/>
    <cellStyle name="20% - Accent1 14 3 3 2 2" xfId="12590"/>
    <cellStyle name="20% - Accent1 14 3 3 2 3" xfId="16541"/>
    <cellStyle name="20% - Accent1 14 3 3 3" xfId="1174"/>
    <cellStyle name="20% - Accent1 14 3 3 3 2" xfId="12591"/>
    <cellStyle name="20% - Accent1 14 3 3 3 3" xfId="16542"/>
    <cellStyle name="20% - Accent1 14 3 3 4" xfId="12589"/>
    <cellStyle name="20% - Accent1 14 3 3 5" xfId="16540"/>
    <cellStyle name="20% - Accent1 14 3 4" xfId="1175"/>
    <cellStyle name="20% - Accent1 14 3 4 2" xfId="12592"/>
    <cellStyle name="20% - Accent1 14 3 4 3" xfId="16543"/>
    <cellStyle name="20% - Accent1 14 3 5" xfId="1176"/>
    <cellStyle name="20% - Accent1 14 3 5 2" xfId="12593"/>
    <cellStyle name="20% - Accent1 14 3 5 3" xfId="16544"/>
    <cellStyle name="20% - Accent1 14 3 6" xfId="12585"/>
    <cellStyle name="20% - Accent1 14 3 7" xfId="16536"/>
    <cellStyle name="20% - Accent1 14 3_Volatility" xfId="1177"/>
    <cellStyle name="20% - Accent1 14 4" xfId="1178"/>
    <cellStyle name="20% - Accent1 14 4 2" xfId="1179"/>
    <cellStyle name="20% - Accent1 14 4 2 2" xfId="12595"/>
    <cellStyle name="20% - Accent1 14 4 2 3" xfId="16546"/>
    <cellStyle name="20% - Accent1 14 4 3" xfId="1180"/>
    <cellStyle name="20% - Accent1 14 4 3 2" xfId="12596"/>
    <cellStyle name="20% - Accent1 14 4 3 3" xfId="16547"/>
    <cellStyle name="20% - Accent1 14 4 4" xfId="12594"/>
    <cellStyle name="20% - Accent1 14 4 5" xfId="16545"/>
    <cellStyle name="20% - Accent1 14 5" xfId="1181"/>
    <cellStyle name="20% - Accent1 14 5 2" xfId="1182"/>
    <cellStyle name="20% - Accent1 14 5 2 2" xfId="12598"/>
    <cellStyle name="20% - Accent1 14 5 2 3" xfId="16549"/>
    <cellStyle name="20% - Accent1 14 5 3" xfId="1183"/>
    <cellStyle name="20% - Accent1 14 5 3 2" xfId="12599"/>
    <cellStyle name="20% - Accent1 14 5 3 3" xfId="16550"/>
    <cellStyle name="20% - Accent1 14 5 4" xfId="12597"/>
    <cellStyle name="20% - Accent1 14 5 5" xfId="16548"/>
    <cellStyle name="20% - Accent1 14 6" xfId="1184"/>
    <cellStyle name="20% - Accent1 14 6 2" xfId="1185"/>
    <cellStyle name="20% - Accent1 14 6 2 2" xfId="12601"/>
    <cellStyle name="20% - Accent1 14 6 2 3" xfId="16552"/>
    <cellStyle name="20% - Accent1 14 6 3" xfId="1186"/>
    <cellStyle name="20% - Accent1 14 6 3 2" xfId="12602"/>
    <cellStyle name="20% - Accent1 14 6 3 3" xfId="16553"/>
    <cellStyle name="20% - Accent1 14 6 4" xfId="12600"/>
    <cellStyle name="20% - Accent1 14 6 5" xfId="16551"/>
    <cellStyle name="20% - Accent1 14 7" xfId="1187"/>
    <cellStyle name="20% - Accent1 14 7 2" xfId="12603"/>
    <cellStyle name="20% - Accent1 14 7 3" xfId="16554"/>
    <cellStyle name="20% - Accent1 14 8" xfId="1188"/>
    <cellStyle name="20% - Accent1 14 8 2" xfId="12604"/>
    <cellStyle name="20% - Accent1 14 8 3" xfId="16555"/>
    <cellStyle name="20% - Accent1 14 9" xfId="12572"/>
    <cellStyle name="20% - Accent1 14_Volatility" xfId="1189"/>
    <cellStyle name="20% - Accent1 15" xfId="1190"/>
    <cellStyle name="20% - Accent1 15 10" xfId="16556"/>
    <cellStyle name="20% - Accent1 15 2" xfId="1191"/>
    <cellStyle name="20% - Accent1 15 2 2" xfId="1192"/>
    <cellStyle name="20% - Accent1 15 2 2 2" xfId="1193"/>
    <cellStyle name="20% - Accent1 15 2 2 2 2" xfId="12608"/>
    <cellStyle name="20% - Accent1 15 2 2 2 3" xfId="16559"/>
    <cellStyle name="20% - Accent1 15 2 2 3" xfId="1194"/>
    <cellStyle name="20% - Accent1 15 2 2 3 2" xfId="12609"/>
    <cellStyle name="20% - Accent1 15 2 2 3 3" xfId="16560"/>
    <cellStyle name="20% - Accent1 15 2 2 4" xfId="12607"/>
    <cellStyle name="20% - Accent1 15 2 2 5" xfId="16558"/>
    <cellStyle name="20% - Accent1 15 2 3" xfId="1195"/>
    <cellStyle name="20% - Accent1 15 2 3 2" xfId="1196"/>
    <cellStyle name="20% - Accent1 15 2 3 2 2" xfId="12611"/>
    <cellStyle name="20% - Accent1 15 2 3 2 3" xfId="16562"/>
    <cellStyle name="20% - Accent1 15 2 3 3" xfId="1197"/>
    <cellStyle name="20% - Accent1 15 2 3 3 2" xfId="12612"/>
    <cellStyle name="20% - Accent1 15 2 3 3 3" xfId="16563"/>
    <cellStyle name="20% - Accent1 15 2 3 4" xfId="12610"/>
    <cellStyle name="20% - Accent1 15 2 3 5" xfId="16561"/>
    <cellStyle name="20% - Accent1 15 2 4" xfId="1198"/>
    <cellStyle name="20% - Accent1 15 2 4 2" xfId="1199"/>
    <cellStyle name="20% - Accent1 15 2 4 2 2" xfId="12614"/>
    <cellStyle name="20% - Accent1 15 2 4 2 3" xfId="16565"/>
    <cellStyle name="20% - Accent1 15 2 4 3" xfId="1200"/>
    <cellStyle name="20% - Accent1 15 2 4 3 2" xfId="12615"/>
    <cellStyle name="20% - Accent1 15 2 4 3 3" xfId="16566"/>
    <cellStyle name="20% - Accent1 15 2 4 4" xfId="12613"/>
    <cellStyle name="20% - Accent1 15 2 4 5" xfId="16564"/>
    <cellStyle name="20% - Accent1 15 2 5" xfId="1201"/>
    <cellStyle name="20% - Accent1 15 2 5 2" xfId="12616"/>
    <cellStyle name="20% - Accent1 15 2 5 3" xfId="16567"/>
    <cellStyle name="20% - Accent1 15 2 6" xfId="1202"/>
    <cellStyle name="20% - Accent1 15 2 6 2" xfId="12617"/>
    <cellStyle name="20% - Accent1 15 2 6 3" xfId="16568"/>
    <cellStyle name="20% - Accent1 15 2 7" xfId="12606"/>
    <cellStyle name="20% - Accent1 15 2 8" xfId="16557"/>
    <cellStyle name="20% - Accent1 15 2_Volatility" xfId="1203"/>
    <cellStyle name="20% - Accent1 15 3" xfId="1204"/>
    <cellStyle name="20% - Accent1 15 3 2" xfId="1205"/>
    <cellStyle name="20% - Accent1 15 3 2 2" xfId="1206"/>
    <cellStyle name="20% - Accent1 15 3 2 2 2" xfId="12620"/>
    <cellStyle name="20% - Accent1 15 3 2 2 3" xfId="16571"/>
    <cellStyle name="20% - Accent1 15 3 2 3" xfId="1207"/>
    <cellStyle name="20% - Accent1 15 3 2 3 2" xfId="12621"/>
    <cellStyle name="20% - Accent1 15 3 2 3 3" xfId="16572"/>
    <cellStyle name="20% - Accent1 15 3 2 4" xfId="12619"/>
    <cellStyle name="20% - Accent1 15 3 2 5" xfId="16570"/>
    <cellStyle name="20% - Accent1 15 3 3" xfId="1208"/>
    <cellStyle name="20% - Accent1 15 3 3 2" xfId="1209"/>
    <cellStyle name="20% - Accent1 15 3 3 2 2" xfId="12623"/>
    <cellStyle name="20% - Accent1 15 3 3 2 3" xfId="16574"/>
    <cellStyle name="20% - Accent1 15 3 3 3" xfId="1210"/>
    <cellStyle name="20% - Accent1 15 3 3 3 2" xfId="12624"/>
    <cellStyle name="20% - Accent1 15 3 3 3 3" xfId="16575"/>
    <cellStyle name="20% - Accent1 15 3 3 4" xfId="12622"/>
    <cellStyle name="20% - Accent1 15 3 3 5" xfId="16573"/>
    <cellStyle name="20% - Accent1 15 3 4" xfId="1211"/>
    <cellStyle name="20% - Accent1 15 3 4 2" xfId="12625"/>
    <cellStyle name="20% - Accent1 15 3 4 3" xfId="16576"/>
    <cellStyle name="20% - Accent1 15 3 5" xfId="1212"/>
    <cellStyle name="20% - Accent1 15 3 5 2" xfId="12626"/>
    <cellStyle name="20% - Accent1 15 3 5 3" xfId="16577"/>
    <cellStyle name="20% - Accent1 15 3 6" xfId="12618"/>
    <cellStyle name="20% - Accent1 15 3 7" xfId="16569"/>
    <cellStyle name="20% - Accent1 15 3_Volatility" xfId="1213"/>
    <cellStyle name="20% - Accent1 15 4" xfId="1214"/>
    <cellStyle name="20% - Accent1 15 4 2" xfId="1215"/>
    <cellStyle name="20% - Accent1 15 4 2 2" xfId="12628"/>
    <cellStyle name="20% - Accent1 15 4 2 3" xfId="16579"/>
    <cellStyle name="20% - Accent1 15 4 3" xfId="1216"/>
    <cellStyle name="20% - Accent1 15 4 3 2" xfId="12629"/>
    <cellStyle name="20% - Accent1 15 4 3 3" xfId="16580"/>
    <cellStyle name="20% - Accent1 15 4 4" xfId="12627"/>
    <cellStyle name="20% - Accent1 15 4 5" xfId="16578"/>
    <cellStyle name="20% - Accent1 15 5" xfId="1217"/>
    <cellStyle name="20% - Accent1 15 5 2" xfId="1218"/>
    <cellStyle name="20% - Accent1 15 5 2 2" xfId="12631"/>
    <cellStyle name="20% - Accent1 15 5 2 3" xfId="16582"/>
    <cellStyle name="20% - Accent1 15 5 3" xfId="1219"/>
    <cellStyle name="20% - Accent1 15 5 3 2" xfId="12632"/>
    <cellStyle name="20% - Accent1 15 5 3 3" xfId="16583"/>
    <cellStyle name="20% - Accent1 15 5 4" xfId="12630"/>
    <cellStyle name="20% - Accent1 15 5 5" xfId="16581"/>
    <cellStyle name="20% - Accent1 15 6" xfId="1220"/>
    <cellStyle name="20% - Accent1 15 6 2" xfId="1221"/>
    <cellStyle name="20% - Accent1 15 6 2 2" xfId="12634"/>
    <cellStyle name="20% - Accent1 15 6 2 3" xfId="16585"/>
    <cellStyle name="20% - Accent1 15 6 3" xfId="1222"/>
    <cellStyle name="20% - Accent1 15 6 3 2" xfId="12635"/>
    <cellStyle name="20% - Accent1 15 6 3 3" xfId="16586"/>
    <cellStyle name="20% - Accent1 15 6 4" xfId="12633"/>
    <cellStyle name="20% - Accent1 15 6 5" xfId="16584"/>
    <cellStyle name="20% - Accent1 15 7" xfId="1223"/>
    <cellStyle name="20% - Accent1 15 7 2" xfId="12636"/>
    <cellStyle name="20% - Accent1 15 7 3" xfId="16587"/>
    <cellStyle name="20% - Accent1 15 8" xfId="1224"/>
    <cellStyle name="20% - Accent1 15 8 2" xfId="12637"/>
    <cellStyle name="20% - Accent1 15 8 3" xfId="16588"/>
    <cellStyle name="20% - Accent1 15 9" xfId="12605"/>
    <cellStyle name="20% - Accent1 15_Volatility" xfId="1225"/>
    <cellStyle name="20% - Accent1 16" xfId="1226"/>
    <cellStyle name="20% - Accent1 16 2" xfId="12638"/>
    <cellStyle name="20% - Accent1 16 3" xfId="16589"/>
    <cellStyle name="20% - Accent1 17" xfId="1227"/>
    <cellStyle name="20% - Accent1 17 2" xfId="12639"/>
    <cellStyle name="20% - Accent1 17 3" xfId="16590"/>
    <cellStyle name="20% - Accent1 18" xfId="1228"/>
    <cellStyle name="20% - Accent1 18 2" xfId="12640"/>
    <cellStyle name="20% - Accent1 18 3" xfId="16591"/>
    <cellStyle name="20% - Accent1 19" xfId="1229"/>
    <cellStyle name="20% - Accent1 19 2" xfId="12641"/>
    <cellStyle name="20% - Accent1 19 3" xfId="16592"/>
    <cellStyle name="20% - Accent1 2" xfId="1230"/>
    <cellStyle name="20% - Accent1 2 10" xfId="16593"/>
    <cellStyle name="20% - Accent1 2 2" xfId="1231"/>
    <cellStyle name="20% - Accent1 2 2 2" xfId="1232"/>
    <cellStyle name="20% - Accent1 2 2 2 2" xfId="1233"/>
    <cellStyle name="20% - Accent1 2 2 2 2 2" xfId="12645"/>
    <cellStyle name="20% - Accent1 2 2 2 2 3" xfId="16596"/>
    <cellStyle name="20% - Accent1 2 2 2 3" xfId="1234"/>
    <cellStyle name="20% - Accent1 2 2 2 3 2" xfId="12646"/>
    <cellStyle name="20% - Accent1 2 2 2 3 3" xfId="16597"/>
    <cellStyle name="20% - Accent1 2 2 2 4" xfId="12644"/>
    <cellStyle name="20% - Accent1 2 2 2 5" xfId="16595"/>
    <cellStyle name="20% - Accent1 2 2 3" xfId="1235"/>
    <cellStyle name="20% - Accent1 2 2 3 2" xfId="1236"/>
    <cellStyle name="20% - Accent1 2 2 3 2 2" xfId="12648"/>
    <cellStyle name="20% - Accent1 2 2 3 2 3" xfId="16599"/>
    <cellStyle name="20% - Accent1 2 2 3 3" xfId="1237"/>
    <cellStyle name="20% - Accent1 2 2 3 3 2" xfId="12649"/>
    <cellStyle name="20% - Accent1 2 2 3 3 3" xfId="16600"/>
    <cellStyle name="20% - Accent1 2 2 3 4" xfId="12647"/>
    <cellStyle name="20% - Accent1 2 2 3 5" xfId="16598"/>
    <cellStyle name="20% - Accent1 2 2 4" xfId="1238"/>
    <cellStyle name="20% - Accent1 2 2 4 2" xfId="1239"/>
    <cellStyle name="20% - Accent1 2 2 4 2 2" xfId="12651"/>
    <cellStyle name="20% - Accent1 2 2 4 2 3" xfId="16602"/>
    <cellStyle name="20% - Accent1 2 2 4 3" xfId="1240"/>
    <cellStyle name="20% - Accent1 2 2 4 3 2" xfId="12652"/>
    <cellStyle name="20% - Accent1 2 2 4 3 3" xfId="16603"/>
    <cellStyle name="20% - Accent1 2 2 4 4" xfId="12650"/>
    <cellStyle name="20% - Accent1 2 2 4 5" xfId="16601"/>
    <cellStyle name="20% - Accent1 2 2 5" xfId="1241"/>
    <cellStyle name="20% - Accent1 2 2 5 2" xfId="12653"/>
    <cellStyle name="20% - Accent1 2 2 5 3" xfId="16604"/>
    <cellStyle name="20% - Accent1 2 2 6" xfId="1242"/>
    <cellStyle name="20% - Accent1 2 2 6 2" xfId="12654"/>
    <cellStyle name="20% - Accent1 2 2 6 3" xfId="16605"/>
    <cellStyle name="20% - Accent1 2 2 7" xfId="12643"/>
    <cellStyle name="20% - Accent1 2 2 8" xfId="16594"/>
    <cellStyle name="20% - Accent1 2 2_Volatility" xfId="1243"/>
    <cellStyle name="20% - Accent1 2 3" xfId="1244"/>
    <cellStyle name="20% - Accent1 2 3 2" xfId="1245"/>
    <cellStyle name="20% - Accent1 2 3 2 2" xfId="1246"/>
    <cellStyle name="20% - Accent1 2 3 2 2 2" xfId="12657"/>
    <cellStyle name="20% - Accent1 2 3 2 2 3" xfId="16608"/>
    <cellStyle name="20% - Accent1 2 3 2 3" xfId="1247"/>
    <cellStyle name="20% - Accent1 2 3 2 3 2" xfId="12658"/>
    <cellStyle name="20% - Accent1 2 3 2 3 3" xfId="16609"/>
    <cellStyle name="20% - Accent1 2 3 2 4" xfId="12656"/>
    <cellStyle name="20% - Accent1 2 3 2 5" xfId="16607"/>
    <cellStyle name="20% - Accent1 2 3 3" xfId="1248"/>
    <cellStyle name="20% - Accent1 2 3 3 2" xfId="1249"/>
    <cellStyle name="20% - Accent1 2 3 3 2 2" xfId="12660"/>
    <cellStyle name="20% - Accent1 2 3 3 2 3" xfId="16611"/>
    <cellStyle name="20% - Accent1 2 3 3 3" xfId="1250"/>
    <cellStyle name="20% - Accent1 2 3 3 3 2" xfId="12661"/>
    <cellStyle name="20% - Accent1 2 3 3 3 3" xfId="16612"/>
    <cellStyle name="20% - Accent1 2 3 3 4" xfId="12659"/>
    <cellStyle name="20% - Accent1 2 3 3 5" xfId="16610"/>
    <cellStyle name="20% - Accent1 2 3 4" xfId="1251"/>
    <cellStyle name="20% - Accent1 2 3 4 2" xfId="12662"/>
    <cellStyle name="20% - Accent1 2 3 4 3" xfId="16613"/>
    <cellStyle name="20% - Accent1 2 3 5" xfId="1252"/>
    <cellStyle name="20% - Accent1 2 3 5 2" xfId="12663"/>
    <cellStyle name="20% - Accent1 2 3 5 3" xfId="16614"/>
    <cellStyle name="20% - Accent1 2 3 6" xfId="12655"/>
    <cellStyle name="20% - Accent1 2 3 7" xfId="16606"/>
    <cellStyle name="20% - Accent1 2 3_Volatility" xfId="1253"/>
    <cellStyle name="20% - Accent1 2 4" xfId="1254"/>
    <cellStyle name="20% - Accent1 2 4 2" xfId="1255"/>
    <cellStyle name="20% - Accent1 2 4 2 2" xfId="12665"/>
    <cellStyle name="20% - Accent1 2 4 2 3" xfId="16616"/>
    <cellStyle name="20% - Accent1 2 4 3" xfId="1256"/>
    <cellStyle name="20% - Accent1 2 4 3 2" xfId="12666"/>
    <cellStyle name="20% - Accent1 2 4 3 3" xfId="16617"/>
    <cellStyle name="20% - Accent1 2 4 4" xfId="12664"/>
    <cellStyle name="20% - Accent1 2 4 5" xfId="16615"/>
    <cellStyle name="20% - Accent1 2 5" xfId="1257"/>
    <cellStyle name="20% - Accent1 2 5 2" xfId="1258"/>
    <cellStyle name="20% - Accent1 2 5 2 2" xfId="12668"/>
    <cellStyle name="20% - Accent1 2 5 2 3" xfId="16619"/>
    <cellStyle name="20% - Accent1 2 5 3" xfId="1259"/>
    <cellStyle name="20% - Accent1 2 5 3 2" xfId="12669"/>
    <cellStyle name="20% - Accent1 2 5 3 3" xfId="16620"/>
    <cellStyle name="20% - Accent1 2 5 4" xfId="12667"/>
    <cellStyle name="20% - Accent1 2 5 5" xfId="16618"/>
    <cellStyle name="20% - Accent1 2 6" xfId="1260"/>
    <cellStyle name="20% - Accent1 2 6 2" xfId="1261"/>
    <cellStyle name="20% - Accent1 2 6 2 2" xfId="12671"/>
    <cellStyle name="20% - Accent1 2 6 2 3" xfId="16622"/>
    <cellStyle name="20% - Accent1 2 6 3" xfId="1262"/>
    <cellStyle name="20% - Accent1 2 6 3 2" xfId="12672"/>
    <cellStyle name="20% - Accent1 2 6 3 3" xfId="16623"/>
    <cellStyle name="20% - Accent1 2 6 4" xfId="12670"/>
    <cellStyle name="20% - Accent1 2 6 5" xfId="16621"/>
    <cellStyle name="20% - Accent1 2 7" xfId="1263"/>
    <cellStyle name="20% - Accent1 2 7 2" xfId="12673"/>
    <cellStyle name="20% - Accent1 2 7 3" xfId="16624"/>
    <cellStyle name="20% - Accent1 2 8" xfId="1264"/>
    <cellStyle name="20% - Accent1 2 8 2" xfId="12674"/>
    <cellStyle name="20% - Accent1 2 8 3" xfId="16625"/>
    <cellStyle name="20% - Accent1 2 9" xfId="12642"/>
    <cellStyle name="20% - Accent1 2_Volatility" xfId="1265"/>
    <cellStyle name="20% - Accent1 3" xfId="1266"/>
    <cellStyle name="20% - Accent1 3 10" xfId="16626"/>
    <cellStyle name="20% - Accent1 3 2" xfId="1267"/>
    <cellStyle name="20% - Accent1 3 2 2" xfId="1268"/>
    <cellStyle name="20% - Accent1 3 2 2 2" xfId="1269"/>
    <cellStyle name="20% - Accent1 3 2 2 2 2" xfId="12678"/>
    <cellStyle name="20% - Accent1 3 2 2 2 3" xfId="16629"/>
    <cellStyle name="20% - Accent1 3 2 2 3" xfId="1270"/>
    <cellStyle name="20% - Accent1 3 2 2 3 2" xfId="12679"/>
    <cellStyle name="20% - Accent1 3 2 2 3 3" xfId="16630"/>
    <cellStyle name="20% - Accent1 3 2 2 4" xfId="12677"/>
    <cellStyle name="20% - Accent1 3 2 2 5" xfId="16628"/>
    <cellStyle name="20% - Accent1 3 2 3" xfId="1271"/>
    <cellStyle name="20% - Accent1 3 2 3 2" xfId="1272"/>
    <cellStyle name="20% - Accent1 3 2 3 2 2" xfId="12681"/>
    <cellStyle name="20% - Accent1 3 2 3 2 3" xfId="16632"/>
    <cellStyle name="20% - Accent1 3 2 3 3" xfId="1273"/>
    <cellStyle name="20% - Accent1 3 2 3 3 2" xfId="12682"/>
    <cellStyle name="20% - Accent1 3 2 3 3 3" xfId="16633"/>
    <cellStyle name="20% - Accent1 3 2 3 4" xfId="12680"/>
    <cellStyle name="20% - Accent1 3 2 3 5" xfId="16631"/>
    <cellStyle name="20% - Accent1 3 2 4" xfId="1274"/>
    <cellStyle name="20% - Accent1 3 2 4 2" xfId="1275"/>
    <cellStyle name="20% - Accent1 3 2 4 2 2" xfId="12684"/>
    <cellStyle name="20% - Accent1 3 2 4 2 3" xfId="16635"/>
    <cellStyle name="20% - Accent1 3 2 4 3" xfId="1276"/>
    <cellStyle name="20% - Accent1 3 2 4 3 2" xfId="12685"/>
    <cellStyle name="20% - Accent1 3 2 4 3 3" xfId="16636"/>
    <cellStyle name="20% - Accent1 3 2 4 4" xfId="12683"/>
    <cellStyle name="20% - Accent1 3 2 4 5" xfId="16634"/>
    <cellStyle name="20% - Accent1 3 2 5" xfId="1277"/>
    <cellStyle name="20% - Accent1 3 2 5 2" xfId="12686"/>
    <cellStyle name="20% - Accent1 3 2 5 3" xfId="16637"/>
    <cellStyle name="20% - Accent1 3 2 6" xfId="1278"/>
    <cellStyle name="20% - Accent1 3 2 6 2" xfId="12687"/>
    <cellStyle name="20% - Accent1 3 2 6 3" xfId="16638"/>
    <cellStyle name="20% - Accent1 3 2 7" xfId="12676"/>
    <cellStyle name="20% - Accent1 3 2 8" xfId="16627"/>
    <cellStyle name="20% - Accent1 3 2_Volatility" xfId="1279"/>
    <cellStyle name="20% - Accent1 3 3" xfId="1280"/>
    <cellStyle name="20% - Accent1 3 3 2" xfId="1281"/>
    <cellStyle name="20% - Accent1 3 3 2 2" xfId="1282"/>
    <cellStyle name="20% - Accent1 3 3 2 2 2" xfId="12690"/>
    <cellStyle name="20% - Accent1 3 3 2 2 3" xfId="16641"/>
    <cellStyle name="20% - Accent1 3 3 2 3" xfId="1283"/>
    <cellStyle name="20% - Accent1 3 3 2 3 2" xfId="12691"/>
    <cellStyle name="20% - Accent1 3 3 2 3 3" xfId="16642"/>
    <cellStyle name="20% - Accent1 3 3 2 4" xfId="12689"/>
    <cellStyle name="20% - Accent1 3 3 2 5" xfId="16640"/>
    <cellStyle name="20% - Accent1 3 3 3" xfId="1284"/>
    <cellStyle name="20% - Accent1 3 3 3 2" xfId="1285"/>
    <cellStyle name="20% - Accent1 3 3 3 2 2" xfId="12693"/>
    <cellStyle name="20% - Accent1 3 3 3 2 3" xfId="16644"/>
    <cellStyle name="20% - Accent1 3 3 3 3" xfId="1286"/>
    <cellStyle name="20% - Accent1 3 3 3 3 2" xfId="12694"/>
    <cellStyle name="20% - Accent1 3 3 3 3 3" xfId="16645"/>
    <cellStyle name="20% - Accent1 3 3 3 4" xfId="12692"/>
    <cellStyle name="20% - Accent1 3 3 3 5" xfId="16643"/>
    <cellStyle name="20% - Accent1 3 3 4" xfId="1287"/>
    <cellStyle name="20% - Accent1 3 3 4 2" xfId="12695"/>
    <cellStyle name="20% - Accent1 3 3 4 3" xfId="16646"/>
    <cellStyle name="20% - Accent1 3 3 5" xfId="1288"/>
    <cellStyle name="20% - Accent1 3 3 5 2" xfId="12696"/>
    <cellStyle name="20% - Accent1 3 3 5 3" xfId="16647"/>
    <cellStyle name="20% - Accent1 3 3 6" xfId="12688"/>
    <cellStyle name="20% - Accent1 3 3 7" xfId="16639"/>
    <cellStyle name="20% - Accent1 3 3_Volatility" xfId="1289"/>
    <cellStyle name="20% - Accent1 3 4" xfId="1290"/>
    <cellStyle name="20% - Accent1 3 4 2" xfId="1291"/>
    <cellStyle name="20% - Accent1 3 4 2 2" xfId="12698"/>
    <cellStyle name="20% - Accent1 3 4 2 3" xfId="16649"/>
    <cellStyle name="20% - Accent1 3 4 3" xfId="1292"/>
    <cellStyle name="20% - Accent1 3 4 3 2" xfId="12699"/>
    <cellStyle name="20% - Accent1 3 4 3 3" xfId="16650"/>
    <cellStyle name="20% - Accent1 3 4 4" xfId="12697"/>
    <cellStyle name="20% - Accent1 3 4 5" xfId="16648"/>
    <cellStyle name="20% - Accent1 3 5" xfId="1293"/>
    <cellStyle name="20% - Accent1 3 5 2" xfId="1294"/>
    <cellStyle name="20% - Accent1 3 5 2 2" xfId="12701"/>
    <cellStyle name="20% - Accent1 3 5 2 3" xfId="16652"/>
    <cellStyle name="20% - Accent1 3 5 3" xfId="1295"/>
    <cellStyle name="20% - Accent1 3 5 3 2" xfId="12702"/>
    <cellStyle name="20% - Accent1 3 5 3 3" xfId="16653"/>
    <cellStyle name="20% - Accent1 3 5 4" xfId="12700"/>
    <cellStyle name="20% - Accent1 3 5 5" xfId="16651"/>
    <cellStyle name="20% - Accent1 3 6" xfId="1296"/>
    <cellStyle name="20% - Accent1 3 6 2" xfId="1297"/>
    <cellStyle name="20% - Accent1 3 6 2 2" xfId="12704"/>
    <cellStyle name="20% - Accent1 3 6 2 3" xfId="16655"/>
    <cellStyle name="20% - Accent1 3 6 3" xfId="1298"/>
    <cellStyle name="20% - Accent1 3 6 3 2" xfId="12705"/>
    <cellStyle name="20% - Accent1 3 6 3 3" xfId="16656"/>
    <cellStyle name="20% - Accent1 3 6 4" xfId="12703"/>
    <cellStyle name="20% - Accent1 3 6 5" xfId="16654"/>
    <cellStyle name="20% - Accent1 3 7" xfId="1299"/>
    <cellStyle name="20% - Accent1 3 7 2" xfId="12706"/>
    <cellStyle name="20% - Accent1 3 7 3" xfId="16657"/>
    <cellStyle name="20% - Accent1 3 8" xfId="1300"/>
    <cellStyle name="20% - Accent1 3 8 2" xfId="12707"/>
    <cellStyle name="20% - Accent1 3 8 3" xfId="16658"/>
    <cellStyle name="20% - Accent1 3 9" xfId="12675"/>
    <cellStyle name="20% - Accent1 3_Volatility" xfId="1301"/>
    <cellStyle name="20% - Accent1 4" xfId="1302"/>
    <cellStyle name="20% - Accent1 4 10" xfId="16659"/>
    <cellStyle name="20% - Accent1 4 2" xfId="1303"/>
    <cellStyle name="20% - Accent1 4 2 2" xfId="1304"/>
    <cellStyle name="20% - Accent1 4 2 2 2" xfId="1305"/>
    <cellStyle name="20% - Accent1 4 2 2 2 2" xfId="12711"/>
    <cellStyle name="20% - Accent1 4 2 2 2 3" xfId="16662"/>
    <cellStyle name="20% - Accent1 4 2 2 3" xfId="1306"/>
    <cellStyle name="20% - Accent1 4 2 2 3 2" xfId="12712"/>
    <cellStyle name="20% - Accent1 4 2 2 3 3" xfId="16663"/>
    <cellStyle name="20% - Accent1 4 2 2 4" xfId="12710"/>
    <cellStyle name="20% - Accent1 4 2 2 5" xfId="16661"/>
    <cellStyle name="20% - Accent1 4 2 3" xfId="1307"/>
    <cellStyle name="20% - Accent1 4 2 3 2" xfId="1308"/>
    <cellStyle name="20% - Accent1 4 2 3 2 2" xfId="12714"/>
    <cellStyle name="20% - Accent1 4 2 3 2 3" xfId="16665"/>
    <cellStyle name="20% - Accent1 4 2 3 3" xfId="1309"/>
    <cellStyle name="20% - Accent1 4 2 3 3 2" xfId="12715"/>
    <cellStyle name="20% - Accent1 4 2 3 3 3" xfId="16666"/>
    <cellStyle name="20% - Accent1 4 2 3 4" xfId="12713"/>
    <cellStyle name="20% - Accent1 4 2 3 5" xfId="16664"/>
    <cellStyle name="20% - Accent1 4 2 4" xfId="1310"/>
    <cellStyle name="20% - Accent1 4 2 4 2" xfId="1311"/>
    <cellStyle name="20% - Accent1 4 2 4 2 2" xfId="12717"/>
    <cellStyle name="20% - Accent1 4 2 4 2 3" xfId="16668"/>
    <cellStyle name="20% - Accent1 4 2 4 3" xfId="1312"/>
    <cellStyle name="20% - Accent1 4 2 4 3 2" xfId="12718"/>
    <cellStyle name="20% - Accent1 4 2 4 3 3" xfId="16669"/>
    <cellStyle name="20% - Accent1 4 2 4 4" xfId="12716"/>
    <cellStyle name="20% - Accent1 4 2 4 5" xfId="16667"/>
    <cellStyle name="20% - Accent1 4 2 5" xfId="1313"/>
    <cellStyle name="20% - Accent1 4 2 5 2" xfId="12719"/>
    <cellStyle name="20% - Accent1 4 2 5 3" xfId="16670"/>
    <cellStyle name="20% - Accent1 4 2 6" xfId="1314"/>
    <cellStyle name="20% - Accent1 4 2 6 2" xfId="12720"/>
    <cellStyle name="20% - Accent1 4 2 6 3" xfId="16671"/>
    <cellStyle name="20% - Accent1 4 2 7" xfId="12709"/>
    <cellStyle name="20% - Accent1 4 2 8" xfId="16660"/>
    <cellStyle name="20% - Accent1 4 2_Volatility" xfId="1315"/>
    <cellStyle name="20% - Accent1 4 3" xfId="1316"/>
    <cellStyle name="20% - Accent1 4 3 2" xfId="1317"/>
    <cellStyle name="20% - Accent1 4 3 2 2" xfId="1318"/>
    <cellStyle name="20% - Accent1 4 3 2 2 2" xfId="12723"/>
    <cellStyle name="20% - Accent1 4 3 2 2 3" xfId="16674"/>
    <cellStyle name="20% - Accent1 4 3 2 3" xfId="1319"/>
    <cellStyle name="20% - Accent1 4 3 2 3 2" xfId="12724"/>
    <cellStyle name="20% - Accent1 4 3 2 3 3" xfId="16675"/>
    <cellStyle name="20% - Accent1 4 3 2 4" xfId="12722"/>
    <cellStyle name="20% - Accent1 4 3 2 5" xfId="16673"/>
    <cellStyle name="20% - Accent1 4 3 3" xfId="1320"/>
    <cellStyle name="20% - Accent1 4 3 3 2" xfId="1321"/>
    <cellStyle name="20% - Accent1 4 3 3 2 2" xfId="12726"/>
    <cellStyle name="20% - Accent1 4 3 3 2 3" xfId="16677"/>
    <cellStyle name="20% - Accent1 4 3 3 3" xfId="1322"/>
    <cellStyle name="20% - Accent1 4 3 3 3 2" xfId="12727"/>
    <cellStyle name="20% - Accent1 4 3 3 3 3" xfId="16678"/>
    <cellStyle name="20% - Accent1 4 3 3 4" xfId="12725"/>
    <cellStyle name="20% - Accent1 4 3 3 5" xfId="16676"/>
    <cellStyle name="20% - Accent1 4 3 4" xfId="1323"/>
    <cellStyle name="20% - Accent1 4 3 4 2" xfId="12728"/>
    <cellStyle name="20% - Accent1 4 3 4 3" xfId="16679"/>
    <cellStyle name="20% - Accent1 4 3 5" xfId="1324"/>
    <cellStyle name="20% - Accent1 4 3 5 2" xfId="12729"/>
    <cellStyle name="20% - Accent1 4 3 5 3" xfId="16680"/>
    <cellStyle name="20% - Accent1 4 3 6" xfId="12721"/>
    <cellStyle name="20% - Accent1 4 3 7" xfId="16672"/>
    <cellStyle name="20% - Accent1 4 3_Volatility" xfId="1325"/>
    <cellStyle name="20% - Accent1 4 4" xfId="1326"/>
    <cellStyle name="20% - Accent1 4 4 2" xfId="1327"/>
    <cellStyle name="20% - Accent1 4 4 2 2" xfId="12731"/>
    <cellStyle name="20% - Accent1 4 4 2 3" xfId="16682"/>
    <cellStyle name="20% - Accent1 4 4 3" xfId="1328"/>
    <cellStyle name="20% - Accent1 4 4 3 2" xfId="12732"/>
    <cellStyle name="20% - Accent1 4 4 3 3" xfId="16683"/>
    <cellStyle name="20% - Accent1 4 4 4" xfId="12730"/>
    <cellStyle name="20% - Accent1 4 4 5" xfId="16681"/>
    <cellStyle name="20% - Accent1 4 5" xfId="1329"/>
    <cellStyle name="20% - Accent1 4 5 2" xfId="1330"/>
    <cellStyle name="20% - Accent1 4 5 2 2" xfId="12734"/>
    <cellStyle name="20% - Accent1 4 5 2 3" xfId="16685"/>
    <cellStyle name="20% - Accent1 4 5 3" xfId="1331"/>
    <cellStyle name="20% - Accent1 4 5 3 2" xfId="12735"/>
    <cellStyle name="20% - Accent1 4 5 3 3" xfId="16686"/>
    <cellStyle name="20% - Accent1 4 5 4" xfId="12733"/>
    <cellStyle name="20% - Accent1 4 5 5" xfId="16684"/>
    <cellStyle name="20% - Accent1 4 6" xfId="1332"/>
    <cellStyle name="20% - Accent1 4 6 2" xfId="1333"/>
    <cellStyle name="20% - Accent1 4 6 2 2" xfId="12737"/>
    <cellStyle name="20% - Accent1 4 6 2 3" xfId="16688"/>
    <cellStyle name="20% - Accent1 4 6 3" xfId="1334"/>
    <cellStyle name="20% - Accent1 4 6 3 2" xfId="12738"/>
    <cellStyle name="20% - Accent1 4 6 3 3" xfId="16689"/>
    <cellStyle name="20% - Accent1 4 6 4" xfId="12736"/>
    <cellStyle name="20% - Accent1 4 6 5" xfId="16687"/>
    <cellStyle name="20% - Accent1 4 7" xfId="1335"/>
    <cellStyle name="20% - Accent1 4 7 2" xfId="12739"/>
    <cellStyle name="20% - Accent1 4 7 3" xfId="16690"/>
    <cellStyle name="20% - Accent1 4 8" xfId="1336"/>
    <cellStyle name="20% - Accent1 4 8 2" xfId="12740"/>
    <cellStyle name="20% - Accent1 4 8 3" xfId="16691"/>
    <cellStyle name="20% - Accent1 4 9" xfId="12708"/>
    <cellStyle name="20% - Accent1 4_Volatility" xfId="1337"/>
    <cellStyle name="20% - Accent1 5" xfId="1338"/>
    <cellStyle name="20% - Accent1 5 10" xfId="16692"/>
    <cellStyle name="20% - Accent1 5 2" xfId="1339"/>
    <cellStyle name="20% - Accent1 5 2 2" xfId="1340"/>
    <cellStyle name="20% - Accent1 5 2 2 2" xfId="1341"/>
    <cellStyle name="20% - Accent1 5 2 2 2 2" xfId="12744"/>
    <cellStyle name="20% - Accent1 5 2 2 2 3" xfId="16695"/>
    <cellStyle name="20% - Accent1 5 2 2 3" xfId="1342"/>
    <cellStyle name="20% - Accent1 5 2 2 3 2" xfId="12745"/>
    <cellStyle name="20% - Accent1 5 2 2 3 3" xfId="16696"/>
    <cellStyle name="20% - Accent1 5 2 2 4" xfId="12743"/>
    <cellStyle name="20% - Accent1 5 2 2 5" xfId="16694"/>
    <cellStyle name="20% - Accent1 5 2 3" xfId="1343"/>
    <cellStyle name="20% - Accent1 5 2 3 2" xfId="1344"/>
    <cellStyle name="20% - Accent1 5 2 3 2 2" xfId="12747"/>
    <cellStyle name="20% - Accent1 5 2 3 2 3" xfId="16698"/>
    <cellStyle name="20% - Accent1 5 2 3 3" xfId="1345"/>
    <cellStyle name="20% - Accent1 5 2 3 3 2" xfId="12748"/>
    <cellStyle name="20% - Accent1 5 2 3 3 3" xfId="16699"/>
    <cellStyle name="20% - Accent1 5 2 3 4" xfId="12746"/>
    <cellStyle name="20% - Accent1 5 2 3 5" xfId="16697"/>
    <cellStyle name="20% - Accent1 5 2 4" xfId="1346"/>
    <cellStyle name="20% - Accent1 5 2 4 2" xfId="1347"/>
    <cellStyle name="20% - Accent1 5 2 4 2 2" xfId="12750"/>
    <cellStyle name="20% - Accent1 5 2 4 2 3" xfId="16701"/>
    <cellStyle name="20% - Accent1 5 2 4 3" xfId="1348"/>
    <cellStyle name="20% - Accent1 5 2 4 3 2" xfId="12751"/>
    <cellStyle name="20% - Accent1 5 2 4 3 3" xfId="16702"/>
    <cellStyle name="20% - Accent1 5 2 4 4" xfId="12749"/>
    <cellStyle name="20% - Accent1 5 2 4 5" xfId="16700"/>
    <cellStyle name="20% - Accent1 5 2 5" xfId="1349"/>
    <cellStyle name="20% - Accent1 5 2 5 2" xfId="12752"/>
    <cellStyle name="20% - Accent1 5 2 5 3" xfId="16703"/>
    <cellStyle name="20% - Accent1 5 2 6" xfId="1350"/>
    <cellStyle name="20% - Accent1 5 2 6 2" xfId="12753"/>
    <cellStyle name="20% - Accent1 5 2 6 3" xfId="16704"/>
    <cellStyle name="20% - Accent1 5 2 7" xfId="12742"/>
    <cellStyle name="20% - Accent1 5 2 8" xfId="16693"/>
    <cellStyle name="20% - Accent1 5 2_Volatility" xfId="1351"/>
    <cellStyle name="20% - Accent1 5 3" xfId="1352"/>
    <cellStyle name="20% - Accent1 5 3 2" xfId="1353"/>
    <cellStyle name="20% - Accent1 5 3 2 2" xfId="1354"/>
    <cellStyle name="20% - Accent1 5 3 2 2 2" xfId="12756"/>
    <cellStyle name="20% - Accent1 5 3 2 2 3" xfId="16707"/>
    <cellStyle name="20% - Accent1 5 3 2 3" xfId="1355"/>
    <cellStyle name="20% - Accent1 5 3 2 3 2" xfId="12757"/>
    <cellStyle name="20% - Accent1 5 3 2 3 3" xfId="16708"/>
    <cellStyle name="20% - Accent1 5 3 2 4" xfId="12755"/>
    <cellStyle name="20% - Accent1 5 3 2 5" xfId="16706"/>
    <cellStyle name="20% - Accent1 5 3 3" xfId="1356"/>
    <cellStyle name="20% - Accent1 5 3 3 2" xfId="1357"/>
    <cellStyle name="20% - Accent1 5 3 3 2 2" xfId="12759"/>
    <cellStyle name="20% - Accent1 5 3 3 2 3" xfId="16710"/>
    <cellStyle name="20% - Accent1 5 3 3 3" xfId="1358"/>
    <cellStyle name="20% - Accent1 5 3 3 3 2" xfId="12760"/>
    <cellStyle name="20% - Accent1 5 3 3 3 3" xfId="16711"/>
    <cellStyle name="20% - Accent1 5 3 3 4" xfId="12758"/>
    <cellStyle name="20% - Accent1 5 3 3 5" xfId="16709"/>
    <cellStyle name="20% - Accent1 5 3 4" xfId="1359"/>
    <cellStyle name="20% - Accent1 5 3 4 2" xfId="12761"/>
    <cellStyle name="20% - Accent1 5 3 4 3" xfId="16712"/>
    <cellStyle name="20% - Accent1 5 3 5" xfId="1360"/>
    <cellStyle name="20% - Accent1 5 3 5 2" xfId="12762"/>
    <cellStyle name="20% - Accent1 5 3 5 3" xfId="16713"/>
    <cellStyle name="20% - Accent1 5 3 6" xfId="12754"/>
    <cellStyle name="20% - Accent1 5 3 7" xfId="16705"/>
    <cellStyle name="20% - Accent1 5 3_Volatility" xfId="1361"/>
    <cellStyle name="20% - Accent1 5 4" xfId="1362"/>
    <cellStyle name="20% - Accent1 5 4 2" xfId="1363"/>
    <cellStyle name="20% - Accent1 5 4 2 2" xfId="12764"/>
    <cellStyle name="20% - Accent1 5 4 2 3" xfId="16715"/>
    <cellStyle name="20% - Accent1 5 4 3" xfId="1364"/>
    <cellStyle name="20% - Accent1 5 4 3 2" xfId="12765"/>
    <cellStyle name="20% - Accent1 5 4 3 3" xfId="16716"/>
    <cellStyle name="20% - Accent1 5 4 4" xfId="12763"/>
    <cellStyle name="20% - Accent1 5 4 5" xfId="16714"/>
    <cellStyle name="20% - Accent1 5 5" xfId="1365"/>
    <cellStyle name="20% - Accent1 5 5 2" xfId="1366"/>
    <cellStyle name="20% - Accent1 5 5 2 2" xfId="12767"/>
    <cellStyle name="20% - Accent1 5 5 2 3" xfId="16718"/>
    <cellStyle name="20% - Accent1 5 5 3" xfId="1367"/>
    <cellStyle name="20% - Accent1 5 5 3 2" xfId="12768"/>
    <cellStyle name="20% - Accent1 5 5 3 3" xfId="16719"/>
    <cellStyle name="20% - Accent1 5 5 4" xfId="12766"/>
    <cellStyle name="20% - Accent1 5 5 5" xfId="16717"/>
    <cellStyle name="20% - Accent1 5 6" xfId="1368"/>
    <cellStyle name="20% - Accent1 5 6 2" xfId="1369"/>
    <cellStyle name="20% - Accent1 5 6 2 2" xfId="12770"/>
    <cellStyle name="20% - Accent1 5 6 2 3" xfId="16721"/>
    <cellStyle name="20% - Accent1 5 6 3" xfId="1370"/>
    <cellStyle name="20% - Accent1 5 6 3 2" xfId="12771"/>
    <cellStyle name="20% - Accent1 5 6 3 3" xfId="16722"/>
    <cellStyle name="20% - Accent1 5 6 4" xfId="12769"/>
    <cellStyle name="20% - Accent1 5 6 5" xfId="16720"/>
    <cellStyle name="20% - Accent1 5 7" xfId="1371"/>
    <cellStyle name="20% - Accent1 5 7 2" xfId="12772"/>
    <cellStyle name="20% - Accent1 5 7 3" xfId="16723"/>
    <cellStyle name="20% - Accent1 5 8" xfId="1372"/>
    <cellStyle name="20% - Accent1 5 8 2" xfId="12773"/>
    <cellStyle name="20% - Accent1 5 8 3" xfId="16724"/>
    <cellStyle name="20% - Accent1 5 9" xfId="12741"/>
    <cellStyle name="20% - Accent1 5_Volatility" xfId="1373"/>
    <cellStyle name="20% - Accent1 6" xfId="1374"/>
    <cellStyle name="20% - Accent1 6 10" xfId="16725"/>
    <cellStyle name="20% - Accent1 6 2" xfId="1375"/>
    <cellStyle name="20% - Accent1 6 2 2" xfId="1376"/>
    <cellStyle name="20% - Accent1 6 2 2 2" xfId="1377"/>
    <cellStyle name="20% - Accent1 6 2 2 2 2" xfId="12777"/>
    <cellStyle name="20% - Accent1 6 2 2 2 3" xfId="16728"/>
    <cellStyle name="20% - Accent1 6 2 2 3" xfId="1378"/>
    <cellStyle name="20% - Accent1 6 2 2 3 2" xfId="12778"/>
    <cellStyle name="20% - Accent1 6 2 2 3 3" xfId="16729"/>
    <cellStyle name="20% - Accent1 6 2 2 4" xfId="12776"/>
    <cellStyle name="20% - Accent1 6 2 2 5" xfId="16727"/>
    <cellStyle name="20% - Accent1 6 2 3" xfId="1379"/>
    <cellStyle name="20% - Accent1 6 2 3 2" xfId="1380"/>
    <cellStyle name="20% - Accent1 6 2 3 2 2" xfId="12780"/>
    <cellStyle name="20% - Accent1 6 2 3 2 3" xfId="16731"/>
    <cellStyle name="20% - Accent1 6 2 3 3" xfId="1381"/>
    <cellStyle name="20% - Accent1 6 2 3 3 2" xfId="12781"/>
    <cellStyle name="20% - Accent1 6 2 3 3 3" xfId="16732"/>
    <cellStyle name="20% - Accent1 6 2 3 4" xfId="12779"/>
    <cellStyle name="20% - Accent1 6 2 3 5" xfId="16730"/>
    <cellStyle name="20% - Accent1 6 2 4" xfId="1382"/>
    <cellStyle name="20% - Accent1 6 2 4 2" xfId="1383"/>
    <cellStyle name="20% - Accent1 6 2 4 2 2" xfId="12783"/>
    <cellStyle name="20% - Accent1 6 2 4 2 3" xfId="16734"/>
    <cellStyle name="20% - Accent1 6 2 4 3" xfId="1384"/>
    <cellStyle name="20% - Accent1 6 2 4 3 2" xfId="12784"/>
    <cellStyle name="20% - Accent1 6 2 4 3 3" xfId="16735"/>
    <cellStyle name="20% - Accent1 6 2 4 4" xfId="12782"/>
    <cellStyle name="20% - Accent1 6 2 4 5" xfId="16733"/>
    <cellStyle name="20% - Accent1 6 2 5" xfId="1385"/>
    <cellStyle name="20% - Accent1 6 2 5 2" xfId="12785"/>
    <cellStyle name="20% - Accent1 6 2 5 3" xfId="16736"/>
    <cellStyle name="20% - Accent1 6 2 6" xfId="1386"/>
    <cellStyle name="20% - Accent1 6 2 6 2" xfId="12786"/>
    <cellStyle name="20% - Accent1 6 2 6 3" xfId="16737"/>
    <cellStyle name="20% - Accent1 6 2 7" xfId="12775"/>
    <cellStyle name="20% - Accent1 6 2 8" xfId="16726"/>
    <cellStyle name="20% - Accent1 6 2_Volatility" xfId="1387"/>
    <cellStyle name="20% - Accent1 6 3" xfId="1388"/>
    <cellStyle name="20% - Accent1 6 3 2" xfId="1389"/>
    <cellStyle name="20% - Accent1 6 3 2 2" xfId="1390"/>
    <cellStyle name="20% - Accent1 6 3 2 2 2" xfId="12789"/>
    <cellStyle name="20% - Accent1 6 3 2 2 3" xfId="16740"/>
    <cellStyle name="20% - Accent1 6 3 2 3" xfId="1391"/>
    <cellStyle name="20% - Accent1 6 3 2 3 2" xfId="12790"/>
    <cellStyle name="20% - Accent1 6 3 2 3 3" xfId="16741"/>
    <cellStyle name="20% - Accent1 6 3 2 4" xfId="12788"/>
    <cellStyle name="20% - Accent1 6 3 2 5" xfId="16739"/>
    <cellStyle name="20% - Accent1 6 3 3" xfId="1392"/>
    <cellStyle name="20% - Accent1 6 3 3 2" xfId="1393"/>
    <cellStyle name="20% - Accent1 6 3 3 2 2" xfId="12792"/>
    <cellStyle name="20% - Accent1 6 3 3 2 3" xfId="16743"/>
    <cellStyle name="20% - Accent1 6 3 3 3" xfId="1394"/>
    <cellStyle name="20% - Accent1 6 3 3 3 2" xfId="12793"/>
    <cellStyle name="20% - Accent1 6 3 3 3 3" xfId="16744"/>
    <cellStyle name="20% - Accent1 6 3 3 4" xfId="12791"/>
    <cellStyle name="20% - Accent1 6 3 3 5" xfId="16742"/>
    <cellStyle name="20% - Accent1 6 3 4" xfId="1395"/>
    <cellStyle name="20% - Accent1 6 3 4 2" xfId="12794"/>
    <cellStyle name="20% - Accent1 6 3 4 3" xfId="16745"/>
    <cellStyle name="20% - Accent1 6 3 5" xfId="1396"/>
    <cellStyle name="20% - Accent1 6 3 5 2" xfId="12795"/>
    <cellStyle name="20% - Accent1 6 3 5 3" xfId="16746"/>
    <cellStyle name="20% - Accent1 6 3 6" xfId="12787"/>
    <cellStyle name="20% - Accent1 6 3 7" xfId="16738"/>
    <cellStyle name="20% - Accent1 6 3_Volatility" xfId="1397"/>
    <cellStyle name="20% - Accent1 6 4" xfId="1398"/>
    <cellStyle name="20% - Accent1 6 4 2" xfId="1399"/>
    <cellStyle name="20% - Accent1 6 4 2 2" xfId="12797"/>
    <cellStyle name="20% - Accent1 6 4 2 3" xfId="16748"/>
    <cellStyle name="20% - Accent1 6 4 3" xfId="1400"/>
    <cellStyle name="20% - Accent1 6 4 3 2" xfId="12798"/>
    <cellStyle name="20% - Accent1 6 4 3 3" xfId="16749"/>
    <cellStyle name="20% - Accent1 6 4 4" xfId="12796"/>
    <cellStyle name="20% - Accent1 6 4 5" xfId="16747"/>
    <cellStyle name="20% - Accent1 6 5" xfId="1401"/>
    <cellStyle name="20% - Accent1 6 5 2" xfId="1402"/>
    <cellStyle name="20% - Accent1 6 5 2 2" xfId="12800"/>
    <cellStyle name="20% - Accent1 6 5 2 3" xfId="16751"/>
    <cellStyle name="20% - Accent1 6 5 3" xfId="1403"/>
    <cellStyle name="20% - Accent1 6 5 3 2" xfId="12801"/>
    <cellStyle name="20% - Accent1 6 5 3 3" xfId="16752"/>
    <cellStyle name="20% - Accent1 6 5 4" xfId="12799"/>
    <cellStyle name="20% - Accent1 6 5 5" xfId="16750"/>
    <cellStyle name="20% - Accent1 6 6" xfId="1404"/>
    <cellStyle name="20% - Accent1 6 6 2" xfId="1405"/>
    <cellStyle name="20% - Accent1 6 6 2 2" xfId="12803"/>
    <cellStyle name="20% - Accent1 6 6 2 3" xfId="16754"/>
    <cellStyle name="20% - Accent1 6 6 3" xfId="1406"/>
    <cellStyle name="20% - Accent1 6 6 3 2" xfId="12804"/>
    <cellStyle name="20% - Accent1 6 6 3 3" xfId="16755"/>
    <cellStyle name="20% - Accent1 6 6 4" xfId="12802"/>
    <cellStyle name="20% - Accent1 6 6 5" xfId="16753"/>
    <cellStyle name="20% - Accent1 6 7" xfId="1407"/>
    <cellStyle name="20% - Accent1 6 7 2" xfId="12805"/>
    <cellStyle name="20% - Accent1 6 7 3" xfId="16756"/>
    <cellStyle name="20% - Accent1 6 8" xfId="1408"/>
    <cellStyle name="20% - Accent1 6 8 2" xfId="12806"/>
    <cellStyle name="20% - Accent1 6 8 3" xfId="16757"/>
    <cellStyle name="20% - Accent1 6 9" xfId="12774"/>
    <cellStyle name="20% - Accent1 6_Volatility" xfId="1409"/>
    <cellStyle name="20% - Accent1 7" xfId="1410"/>
    <cellStyle name="20% - Accent1 7 10" xfId="16758"/>
    <cellStyle name="20% - Accent1 7 2" xfId="1411"/>
    <cellStyle name="20% - Accent1 7 2 2" xfId="1412"/>
    <cellStyle name="20% - Accent1 7 2 2 2" xfId="1413"/>
    <cellStyle name="20% - Accent1 7 2 2 2 2" xfId="12810"/>
    <cellStyle name="20% - Accent1 7 2 2 2 3" xfId="16761"/>
    <cellStyle name="20% - Accent1 7 2 2 3" xfId="1414"/>
    <cellStyle name="20% - Accent1 7 2 2 3 2" xfId="12811"/>
    <cellStyle name="20% - Accent1 7 2 2 3 3" xfId="16762"/>
    <cellStyle name="20% - Accent1 7 2 2 4" xfId="12809"/>
    <cellStyle name="20% - Accent1 7 2 2 5" xfId="16760"/>
    <cellStyle name="20% - Accent1 7 2 3" xfId="1415"/>
    <cellStyle name="20% - Accent1 7 2 3 2" xfId="1416"/>
    <cellStyle name="20% - Accent1 7 2 3 2 2" xfId="12813"/>
    <cellStyle name="20% - Accent1 7 2 3 2 3" xfId="16764"/>
    <cellStyle name="20% - Accent1 7 2 3 3" xfId="1417"/>
    <cellStyle name="20% - Accent1 7 2 3 3 2" xfId="12814"/>
    <cellStyle name="20% - Accent1 7 2 3 3 3" xfId="16765"/>
    <cellStyle name="20% - Accent1 7 2 3 4" xfId="12812"/>
    <cellStyle name="20% - Accent1 7 2 3 5" xfId="16763"/>
    <cellStyle name="20% - Accent1 7 2 4" xfId="1418"/>
    <cellStyle name="20% - Accent1 7 2 4 2" xfId="1419"/>
    <cellStyle name="20% - Accent1 7 2 4 2 2" xfId="12816"/>
    <cellStyle name="20% - Accent1 7 2 4 2 3" xfId="16767"/>
    <cellStyle name="20% - Accent1 7 2 4 3" xfId="1420"/>
    <cellStyle name="20% - Accent1 7 2 4 3 2" xfId="12817"/>
    <cellStyle name="20% - Accent1 7 2 4 3 3" xfId="16768"/>
    <cellStyle name="20% - Accent1 7 2 4 4" xfId="12815"/>
    <cellStyle name="20% - Accent1 7 2 4 5" xfId="16766"/>
    <cellStyle name="20% - Accent1 7 2 5" xfId="1421"/>
    <cellStyle name="20% - Accent1 7 2 5 2" xfId="12818"/>
    <cellStyle name="20% - Accent1 7 2 5 3" xfId="16769"/>
    <cellStyle name="20% - Accent1 7 2 6" xfId="1422"/>
    <cellStyle name="20% - Accent1 7 2 6 2" xfId="12819"/>
    <cellStyle name="20% - Accent1 7 2 6 3" xfId="16770"/>
    <cellStyle name="20% - Accent1 7 2 7" xfId="12808"/>
    <cellStyle name="20% - Accent1 7 2 8" xfId="16759"/>
    <cellStyle name="20% - Accent1 7 2_Volatility" xfId="1423"/>
    <cellStyle name="20% - Accent1 7 3" xfId="1424"/>
    <cellStyle name="20% - Accent1 7 3 2" xfId="1425"/>
    <cellStyle name="20% - Accent1 7 3 2 2" xfId="1426"/>
    <cellStyle name="20% - Accent1 7 3 2 2 2" xfId="12822"/>
    <cellStyle name="20% - Accent1 7 3 2 2 3" xfId="16773"/>
    <cellStyle name="20% - Accent1 7 3 2 3" xfId="1427"/>
    <cellStyle name="20% - Accent1 7 3 2 3 2" xfId="12823"/>
    <cellStyle name="20% - Accent1 7 3 2 3 3" xfId="16774"/>
    <cellStyle name="20% - Accent1 7 3 2 4" xfId="12821"/>
    <cellStyle name="20% - Accent1 7 3 2 5" xfId="16772"/>
    <cellStyle name="20% - Accent1 7 3 3" xfId="1428"/>
    <cellStyle name="20% - Accent1 7 3 3 2" xfId="1429"/>
    <cellStyle name="20% - Accent1 7 3 3 2 2" xfId="12825"/>
    <cellStyle name="20% - Accent1 7 3 3 2 3" xfId="16776"/>
    <cellStyle name="20% - Accent1 7 3 3 3" xfId="1430"/>
    <cellStyle name="20% - Accent1 7 3 3 3 2" xfId="12826"/>
    <cellStyle name="20% - Accent1 7 3 3 3 3" xfId="16777"/>
    <cellStyle name="20% - Accent1 7 3 3 4" xfId="12824"/>
    <cellStyle name="20% - Accent1 7 3 3 5" xfId="16775"/>
    <cellStyle name="20% - Accent1 7 3 4" xfId="1431"/>
    <cellStyle name="20% - Accent1 7 3 4 2" xfId="12827"/>
    <cellStyle name="20% - Accent1 7 3 4 3" xfId="16778"/>
    <cellStyle name="20% - Accent1 7 3 5" xfId="1432"/>
    <cellStyle name="20% - Accent1 7 3 5 2" xfId="12828"/>
    <cellStyle name="20% - Accent1 7 3 5 3" xfId="16779"/>
    <cellStyle name="20% - Accent1 7 3 6" xfId="12820"/>
    <cellStyle name="20% - Accent1 7 3 7" xfId="16771"/>
    <cellStyle name="20% - Accent1 7 3_Volatility" xfId="1433"/>
    <cellStyle name="20% - Accent1 7 4" xfId="1434"/>
    <cellStyle name="20% - Accent1 7 4 2" xfId="1435"/>
    <cellStyle name="20% - Accent1 7 4 2 2" xfId="12830"/>
    <cellStyle name="20% - Accent1 7 4 2 3" xfId="16781"/>
    <cellStyle name="20% - Accent1 7 4 3" xfId="1436"/>
    <cellStyle name="20% - Accent1 7 4 3 2" xfId="12831"/>
    <cellStyle name="20% - Accent1 7 4 3 3" xfId="16782"/>
    <cellStyle name="20% - Accent1 7 4 4" xfId="12829"/>
    <cellStyle name="20% - Accent1 7 4 5" xfId="16780"/>
    <cellStyle name="20% - Accent1 7 5" xfId="1437"/>
    <cellStyle name="20% - Accent1 7 5 2" xfId="1438"/>
    <cellStyle name="20% - Accent1 7 5 2 2" xfId="12833"/>
    <cellStyle name="20% - Accent1 7 5 2 3" xfId="16784"/>
    <cellStyle name="20% - Accent1 7 5 3" xfId="1439"/>
    <cellStyle name="20% - Accent1 7 5 3 2" xfId="12834"/>
    <cellStyle name="20% - Accent1 7 5 3 3" xfId="16785"/>
    <cellStyle name="20% - Accent1 7 5 4" xfId="12832"/>
    <cellStyle name="20% - Accent1 7 5 5" xfId="16783"/>
    <cellStyle name="20% - Accent1 7 6" xfId="1440"/>
    <cellStyle name="20% - Accent1 7 6 2" xfId="1441"/>
    <cellStyle name="20% - Accent1 7 6 2 2" xfId="12836"/>
    <cellStyle name="20% - Accent1 7 6 2 3" xfId="16787"/>
    <cellStyle name="20% - Accent1 7 6 3" xfId="1442"/>
    <cellStyle name="20% - Accent1 7 6 3 2" xfId="12837"/>
    <cellStyle name="20% - Accent1 7 6 3 3" xfId="16788"/>
    <cellStyle name="20% - Accent1 7 6 4" xfId="12835"/>
    <cellStyle name="20% - Accent1 7 6 5" xfId="16786"/>
    <cellStyle name="20% - Accent1 7 7" xfId="1443"/>
    <cellStyle name="20% - Accent1 7 7 2" xfId="12838"/>
    <cellStyle name="20% - Accent1 7 7 3" xfId="16789"/>
    <cellStyle name="20% - Accent1 7 8" xfId="1444"/>
    <cellStyle name="20% - Accent1 7 8 2" xfId="12839"/>
    <cellStyle name="20% - Accent1 7 8 3" xfId="16790"/>
    <cellStyle name="20% - Accent1 7 9" xfId="12807"/>
    <cellStyle name="20% - Accent1 7_Volatility" xfId="1445"/>
    <cellStyle name="20% - Accent1 8" xfId="1446"/>
    <cellStyle name="20% - Accent1 8 10" xfId="16791"/>
    <cellStyle name="20% - Accent1 8 2" xfId="1447"/>
    <cellStyle name="20% - Accent1 8 2 2" xfId="1448"/>
    <cellStyle name="20% - Accent1 8 2 2 2" xfId="1449"/>
    <cellStyle name="20% - Accent1 8 2 2 2 2" xfId="12843"/>
    <cellStyle name="20% - Accent1 8 2 2 2 3" xfId="16794"/>
    <cellStyle name="20% - Accent1 8 2 2 3" xfId="1450"/>
    <cellStyle name="20% - Accent1 8 2 2 3 2" xfId="12844"/>
    <cellStyle name="20% - Accent1 8 2 2 3 3" xfId="16795"/>
    <cellStyle name="20% - Accent1 8 2 2 4" xfId="12842"/>
    <cellStyle name="20% - Accent1 8 2 2 5" xfId="16793"/>
    <cellStyle name="20% - Accent1 8 2 3" xfId="1451"/>
    <cellStyle name="20% - Accent1 8 2 3 2" xfId="1452"/>
    <cellStyle name="20% - Accent1 8 2 3 2 2" xfId="12846"/>
    <cellStyle name="20% - Accent1 8 2 3 2 3" xfId="16797"/>
    <cellStyle name="20% - Accent1 8 2 3 3" xfId="1453"/>
    <cellStyle name="20% - Accent1 8 2 3 3 2" xfId="12847"/>
    <cellStyle name="20% - Accent1 8 2 3 3 3" xfId="16798"/>
    <cellStyle name="20% - Accent1 8 2 3 4" xfId="12845"/>
    <cellStyle name="20% - Accent1 8 2 3 5" xfId="16796"/>
    <cellStyle name="20% - Accent1 8 2 4" xfId="1454"/>
    <cellStyle name="20% - Accent1 8 2 4 2" xfId="1455"/>
    <cellStyle name="20% - Accent1 8 2 4 2 2" xfId="12849"/>
    <cellStyle name="20% - Accent1 8 2 4 2 3" xfId="16800"/>
    <cellStyle name="20% - Accent1 8 2 4 3" xfId="1456"/>
    <cellStyle name="20% - Accent1 8 2 4 3 2" xfId="12850"/>
    <cellStyle name="20% - Accent1 8 2 4 3 3" xfId="16801"/>
    <cellStyle name="20% - Accent1 8 2 4 4" xfId="12848"/>
    <cellStyle name="20% - Accent1 8 2 4 5" xfId="16799"/>
    <cellStyle name="20% - Accent1 8 2 5" xfId="1457"/>
    <cellStyle name="20% - Accent1 8 2 5 2" xfId="12851"/>
    <cellStyle name="20% - Accent1 8 2 5 3" xfId="16802"/>
    <cellStyle name="20% - Accent1 8 2 6" xfId="1458"/>
    <cellStyle name="20% - Accent1 8 2 6 2" xfId="12852"/>
    <cellStyle name="20% - Accent1 8 2 6 3" xfId="16803"/>
    <cellStyle name="20% - Accent1 8 2 7" xfId="12841"/>
    <cellStyle name="20% - Accent1 8 2 8" xfId="16792"/>
    <cellStyle name="20% - Accent1 8 2_Volatility" xfId="1459"/>
    <cellStyle name="20% - Accent1 8 3" xfId="1460"/>
    <cellStyle name="20% - Accent1 8 3 2" xfId="1461"/>
    <cellStyle name="20% - Accent1 8 3 2 2" xfId="1462"/>
    <cellStyle name="20% - Accent1 8 3 2 2 2" xfId="12855"/>
    <cellStyle name="20% - Accent1 8 3 2 2 3" xfId="16806"/>
    <cellStyle name="20% - Accent1 8 3 2 3" xfId="1463"/>
    <cellStyle name="20% - Accent1 8 3 2 3 2" xfId="12856"/>
    <cellStyle name="20% - Accent1 8 3 2 3 3" xfId="16807"/>
    <cellStyle name="20% - Accent1 8 3 2 4" xfId="12854"/>
    <cellStyle name="20% - Accent1 8 3 2 5" xfId="16805"/>
    <cellStyle name="20% - Accent1 8 3 3" xfId="1464"/>
    <cellStyle name="20% - Accent1 8 3 3 2" xfId="1465"/>
    <cellStyle name="20% - Accent1 8 3 3 2 2" xfId="12858"/>
    <cellStyle name="20% - Accent1 8 3 3 2 3" xfId="16809"/>
    <cellStyle name="20% - Accent1 8 3 3 3" xfId="1466"/>
    <cellStyle name="20% - Accent1 8 3 3 3 2" xfId="12859"/>
    <cellStyle name="20% - Accent1 8 3 3 3 3" xfId="16810"/>
    <cellStyle name="20% - Accent1 8 3 3 4" xfId="12857"/>
    <cellStyle name="20% - Accent1 8 3 3 5" xfId="16808"/>
    <cellStyle name="20% - Accent1 8 3 4" xfId="1467"/>
    <cellStyle name="20% - Accent1 8 3 4 2" xfId="12860"/>
    <cellStyle name="20% - Accent1 8 3 4 3" xfId="16811"/>
    <cellStyle name="20% - Accent1 8 3 5" xfId="1468"/>
    <cellStyle name="20% - Accent1 8 3 5 2" xfId="12861"/>
    <cellStyle name="20% - Accent1 8 3 5 3" xfId="16812"/>
    <cellStyle name="20% - Accent1 8 3 6" xfId="12853"/>
    <cellStyle name="20% - Accent1 8 3 7" xfId="16804"/>
    <cellStyle name="20% - Accent1 8 3_Volatility" xfId="1469"/>
    <cellStyle name="20% - Accent1 8 4" xfId="1470"/>
    <cellStyle name="20% - Accent1 8 4 2" xfId="1471"/>
    <cellStyle name="20% - Accent1 8 4 2 2" xfId="12863"/>
    <cellStyle name="20% - Accent1 8 4 2 3" xfId="16814"/>
    <cellStyle name="20% - Accent1 8 4 3" xfId="1472"/>
    <cellStyle name="20% - Accent1 8 4 3 2" xfId="12864"/>
    <cellStyle name="20% - Accent1 8 4 3 3" xfId="16815"/>
    <cellStyle name="20% - Accent1 8 4 4" xfId="12862"/>
    <cellStyle name="20% - Accent1 8 4 5" xfId="16813"/>
    <cellStyle name="20% - Accent1 8 5" xfId="1473"/>
    <cellStyle name="20% - Accent1 8 5 2" xfId="1474"/>
    <cellStyle name="20% - Accent1 8 5 2 2" xfId="12866"/>
    <cellStyle name="20% - Accent1 8 5 2 3" xfId="16817"/>
    <cellStyle name="20% - Accent1 8 5 3" xfId="1475"/>
    <cellStyle name="20% - Accent1 8 5 3 2" xfId="12867"/>
    <cellStyle name="20% - Accent1 8 5 3 3" xfId="16818"/>
    <cellStyle name="20% - Accent1 8 5 4" xfId="12865"/>
    <cellStyle name="20% - Accent1 8 5 5" xfId="16816"/>
    <cellStyle name="20% - Accent1 8 6" xfId="1476"/>
    <cellStyle name="20% - Accent1 8 6 2" xfId="1477"/>
    <cellStyle name="20% - Accent1 8 6 2 2" xfId="12869"/>
    <cellStyle name="20% - Accent1 8 6 2 3" xfId="16820"/>
    <cellStyle name="20% - Accent1 8 6 3" xfId="1478"/>
    <cellStyle name="20% - Accent1 8 6 3 2" xfId="12870"/>
    <cellStyle name="20% - Accent1 8 6 3 3" xfId="16821"/>
    <cellStyle name="20% - Accent1 8 6 4" xfId="12868"/>
    <cellStyle name="20% - Accent1 8 6 5" xfId="16819"/>
    <cellStyle name="20% - Accent1 8 7" xfId="1479"/>
    <cellStyle name="20% - Accent1 8 7 2" xfId="12871"/>
    <cellStyle name="20% - Accent1 8 7 3" xfId="16822"/>
    <cellStyle name="20% - Accent1 8 8" xfId="1480"/>
    <cellStyle name="20% - Accent1 8 8 2" xfId="12872"/>
    <cellStyle name="20% - Accent1 8 8 3" xfId="16823"/>
    <cellStyle name="20% - Accent1 8 9" xfId="12840"/>
    <cellStyle name="20% - Accent1 8_Volatility" xfId="1481"/>
    <cellStyle name="20% - Accent1 9" xfId="1482"/>
    <cellStyle name="20% - Accent1 9 10" xfId="16824"/>
    <cellStyle name="20% - Accent1 9 2" xfId="1483"/>
    <cellStyle name="20% - Accent1 9 2 2" xfId="1484"/>
    <cellStyle name="20% - Accent1 9 2 2 2" xfId="1485"/>
    <cellStyle name="20% - Accent1 9 2 2 2 2" xfId="12876"/>
    <cellStyle name="20% - Accent1 9 2 2 2 3" xfId="16827"/>
    <cellStyle name="20% - Accent1 9 2 2 3" xfId="1486"/>
    <cellStyle name="20% - Accent1 9 2 2 3 2" xfId="12877"/>
    <cellStyle name="20% - Accent1 9 2 2 3 3" xfId="16828"/>
    <cellStyle name="20% - Accent1 9 2 2 4" xfId="12875"/>
    <cellStyle name="20% - Accent1 9 2 2 5" xfId="16826"/>
    <cellStyle name="20% - Accent1 9 2 3" xfId="1487"/>
    <cellStyle name="20% - Accent1 9 2 3 2" xfId="1488"/>
    <cellStyle name="20% - Accent1 9 2 3 2 2" xfId="12879"/>
    <cellStyle name="20% - Accent1 9 2 3 2 3" xfId="16830"/>
    <cellStyle name="20% - Accent1 9 2 3 3" xfId="1489"/>
    <cellStyle name="20% - Accent1 9 2 3 3 2" xfId="12880"/>
    <cellStyle name="20% - Accent1 9 2 3 3 3" xfId="16831"/>
    <cellStyle name="20% - Accent1 9 2 3 4" xfId="12878"/>
    <cellStyle name="20% - Accent1 9 2 3 5" xfId="16829"/>
    <cellStyle name="20% - Accent1 9 2 4" xfId="1490"/>
    <cellStyle name="20% - Accent1 9 2 4 2" xfId="1491"/>
    <cellStyle name="20% - Accent1 9 2 4 2 2" xfId="12882"/>
    <cellStyle name="20% - Accent1 9 2 4 2 3" xfId="16833"/>
    <cellStyle name="20% - Accent1 9 2 4 3" xfId="1492"/>
    <cellStyle name="20% - Accent1 9 2 4 3 2" xfId="12883"/>
    <cellStyle name="20% - Accent1 9 2 4 3 3" xfId="16834"/>
    <cellStyle name="20% - Accent1 9 2 4 4" xfId="12881"/>
    <cellStyle name="20% - Accent1 9 2 4 5" xfId="16832"/>
    <cellStyle name="20% - Accent1 9 2 5" xfId="1493"/>
    <cellStyle name="20% - Accent1 9 2 5 2" xfId="12884"/>
    <cellStyle name="20% - Accent1 9 2 5 3" xfId="16835"/>
    <cellStyle name="20% - Accent1 9 2 6" xfId="1494"/>
    <cellStyle name="20% - Accent1 9 2 6 2" xfId="12885"/>
    <cellStyle name="20% - Accent1 9 2 6 3" xfId="16836"/>
    <cellStyle name="20% - Accent1 9 2 7" xfId="12874"/>
    <cellStyle name="20% - Accent1 9 2 8" xfId="16825"/>
    <cellStyle name="20% - Accent1 9 2_Volatility" xfId="1495"/>
    <cellStyle name="20% - Accent1 9 3" xfId="1496"/>
    <cellStyle name="20% - Accent1 9 3 2" xfId="1497"/>
    <cellStyle name="20% - Accent1 9 3 2 2" xfId="1498"/>
    <cellStyle name="20% - Accent1 9 3 2 2 2" xfId="12888"/>
    <cellStyle name="20% - Accent1 9 3 2 2 3" xfId="16839"/>
    <cellStyle name="20% - Accent1 9 3 2 3" xfId="1499"/>
    <cellStyle name="20% - Accent1 9 3 2 3 2" xfId="12889"/>
    <cellStyle name="20% - Accent1 9 3 2 3 3" xfId="16840"/>
    <cellStyle name="20% - Accent1 9 3 2 4" xfId="12887"/>
    <cellStyle name="20% - Accent1 9 3 2 5" xfId="16838"/>
    <cellStyle name="20% - Accent1 9 3 3" xfId="1500"/>
    <cellStyle name="20% - Accent1 9 3 3 2" xfId="1501"/>
    <cellStyle name="20% - Accent1 9 3 3 2 2" xfId="12891"/>
    <cellStyle name="20% - Accent1 9 3 3 2 3" xfId="16842"/>
    <cellStyle name="20% - Accent1 9 3 3 3" xfId="1502"/>
    <cellStyle name="20% - Accent1 9 3 3 3 2" xfId="12892"/>
    <cellStyle name="20% - Accent1 9 3 3 3 3" xfId="16843"/>
    <cellStyle name="20% - Accent1 9 3 3 4" xfId="12890"/>
    <cellStyle name="20% - Accent1 9 3 3 5" xfId="16841"/>
    <cellStyle name="20% - Accent1 9 3 4" xfId="1503"/>
    <cellStyle name="20% - Accent1 9 3 4 2" xfId="12893"/>
    <cellStyle name="20% - Accent1 9 3 4 3" xfId="16844"/>
    <cellStyle name="20% - Accent1 9 3 5" xfId="1504"/>
    <cellStyle name="20% - Accent1 9 3 5 2" xfId="12894"/>
    <cellStyle name="20% - Accent1 9 3 5 3" xfId="16845"/>
    <cellStyle name="20% - Accent1 9 3 6" xfId="12886"/>
    <cellStyle name="20% - Accent1 9 3 7" xfId="16837"/>
    <cellStyle name="20% - Accent1 9 3_Volatility" xfId="1505"/>
    <cellStyle name="20% - Accent1 9 4" xfId="1506"/>
    <cellStyle name="20% - Accent1 9 4 2" xfId="1507"/>
    <cellStyle name="20% - Accent1 9 4 2 2" xfId="12896"/>
    <cellStyle name="20% - Accent1 9 4 2 3" xfId="16847"/>
    <cellStyle name="20% - Accent1 9 4 3" xfId="1508"/>
    <cellStyle name="20% - Accent1 9 4 3 2" xfId="12897"/>
    <cellStyle name="20% - Accent1 9 4 3 3" xfId="16848"/>
    <cellStyle name="20% - Accent1 9 4 4" xfId="12895"/>
    <cellStyle name="20% - Accent1 9 4 5" xfId="16846"/>
    <cellStyle name="20% - Accent1 9 5" xfId="1509"/>
    <cellStyle name="20% - Accent1 9 5 2" xfId="1510"/>
    <cellStyle name="20% - Accent1 9 5 2 2" xfId="12899"/>
    <cellStyle name="20% - Accent1 9 5 2 3" xfId="16850"/>
    <cellStyle name="20% - Accent1 9 5 3" xfId="1511"/>
    <cellStyle name="20% - Accent1 9 5 3 2" xfId="12900"/>
    <cellStyle name="20% - Accent1 9 5 3 3" xfId="16851"/>
    <cellStyle name="20% - Accent1 9 5 4" xfId="12898"/>
    <cellStyle name="20% - Accent1 9 5 5" xfId="16849"/>
    <cellStyle name="20% - Accent1 9 6" xfId="1512"/>
    <cellStyle name="20% - Accent1 9 6 2" xfId="1513"/>
    <cellStyle name="20% - Accent1 9 6 2 2" xfId="12902"/>
    <cellStyle name="20% - Accent1 9 6 2 3" xfId="16853"/>
    <cellStyle name="20% - Accent1 9 6 3" xfId="1514"/>
    <cellStyle name="20% - Accent1 9 6 3 2" xfId="12903"/>
    <cellStyle name="20% - Accent1 9 6 3 3" xfId="16854"/>
    <cellStyle name="20% - Accent1 9 6 4" xfId="12901"/>
    <cellStyle name="20% - Accent1 9 6 5" xfId="16852"/>
    <cellStyle name="20% - Accent1 9 7" xfId="1515"/>
    <cellStyle name="20% - Accent1 9 7 2" xfId="12904"/>
    <cellStyle name="20% - Accent1 9 7 3" xfId="16855"/>
    <cellStyle name="20% - Accent1 9 8" xfId="1516"/>
    <cellStyle name="20% - Accent1 9 8 2" xfId="12905"/>
    <cellStyle name="20% - Accent1 9 8 3" xfId="16856"/>
    <cellStyle name="20% - Accent1 9 9" xfId="12873"/>
    <cellStyle name="20% - Accent1 9_Volatility" xfId="1517"/>
    <cellStyle name="20% - Accent2 10" xfId="1518"/>
    <cellStyle name="20% - Accent2 10 10" xfId="16857"/>
    <cellStyle name="20% - Accent2 10 2" xfId="1519"/>
    <cellStyle name="20% - Accent2 10 2 2" xfId="1520"/>
    <cellStyle name="20% - Accent2 10 2 2 2" xfId="1521"/>
    <cellStyle name="20% - Accent2 10 2 2 2 2" xfId="12909"/>
    <cellStyle name="20% - Accent2 10 2 2 2 3" xfId="16860"/>
    <cellStyle name="20% - Accent2 10 2 2 3" xfId="1522"/>
    <cellStyle name="20% - Accent2 10 2 2 3 2" xfId="12910"/>
    <cellStyle name="20% - Accent2 10 2 2 3 3" xfId="16861"/>
    <cellStyle name="20% - Accent2 10 2 2 4" xfId="12908"/>
    <cellStyle name="20% - Accent2 10 2 2 5" xfId="16859"/>
    <cellStyle name="20% - Accent2 10 2 3" xfId="1523"/>
    <cellStyle name="20% - Accent2 10 2 3 2" xfId="1524"/>
    <cellStyle name="20% - Accent2 10 2 3 2 2" xfId="12912"/>
    <cellStyle name="20% - Accent2 10 2 3 2 3" xfId="16863"/>
    <cellStyle name="20% - Accent2 10 2 3 3" xfId="1525"/>
    <cellStyle name="20% - Accent2 10 2 3 3 2" xfId="12913"/>
    <cellStyle name="20% - Accent2 10 2 3 3 3" xfId="16864"/>
    <cellStyle name="20% - Accent2 10 2 3 4" xfId="12911"/>
    <cellStyle name="20% - Accent2 10 2 3 5" xfId="16862"/>
    <cellStyle name="20% - Accent2 10 2 4" xfId="1526"/>
    <cellStyle name="20% - Accent2 10 2 4 2" xfId="1527"/>
    <cellStyle name="20% - Accent2 10 2 4 2 2" xfId="12915"/>
    <cellStyle name="20% - Accent2 10 2 4 2 3" xfId="16866"/>
    <cellStyle name="20% - Accent2 10 2 4 3" xfId="1528"/>
    <cellStyle name="20% - Accent2 10 2 4 3 2" xfId="12916"/>
    <cellStyle name="20% - Accent2 10 2 4 3 3" xfId="16867"/>
    <cellStyle name="20% - Accent2 10 2 4 4" xfId="12914"/>
    <cellStyle name="20% - Accent2 10 2 4 5" xfId="16865"/>
    <cellStyle name="20% - Accent2 10 2 5" xfId="1529"/>
    <cellStyle name="20% - Accent2 10 2 5 2" xfId="12917"/>
    <cellStyle name="20% - Accent2 10 2 5 3" xfId="16868"/>
    <cellStyle name="20% - Accent2 10 2 6" xfId="1530"/>
    <cellStyle name="20% - Accent2 10 2 6 2" xfId="12918"/>
    <cellStyle name="20% - Accent2 10 2 6 3" xfId="16869"/>
    <cellStyle name="20% - Accent2 10 2 7" xfId="12907"/>
    <cellStyle name="20% - Accent2 10 2 8" xfId="16858"/>
    <cellStyle name="20% - Accent2 10 2_Volatility" xfId="1531"/>
    <cellStyle name="20% - Accent2 10 3" xfId="1532"/>
    <cellStyle name="20% - Accent2 10 3 2" xfId="1533"/>
    <cellStyle name="20% - Accent2 10 3 2 2" xfId="1534"/>
    <cellStyle name="20% - Accent2 10 3 2 2 2" xfId="12921"/>
    <cellStyle name="20% - Accent2 10 3 2 2 3" xfId="16872"/>
    <cellStyle name="20% - Accent2 10 3 2 3" xfId="1535"/>
    <cellStyle name="20% - Accent2 10 3 2 3 2" xfId="12922"/>
    <cellStyle name="20% - Accent2 10 3 2 3 3" xfId="16873"/>
    <cellStyle name="20% - Accent2 10 3 2 4" xfId="12920"/>
    <cellStyle name="20% - Accent2 10 3 2 5" xfId="16871"/>
    <cellStyle name="20% - Accent2 10 3 3" xfId="1536"/>
    <cellStyle name="20% - Accent2 10 3 3 2" xfId="1537"/>
    <cellStyle name="20% - Accent2 10 3 3 2 2" xfId="12924"/>
    <cellStyle name="20% - Accent2 10 3 3 2 3" xfId="16875"/>
    <cellStyle name="20% - Accent2 10 3 3 3" xfId="1538"/>
    <cellStyle name="20% - Accent2 10 3 3 3 2" xfId="12925"/>
    <cellStyle name="20% - Accent2 10 3 3 3 3" xfId="16876"/>
    <cellStyle name="20% - Accent2 10 3 3 4" xfId="12923"/>
    <cellStyle name="20% - Accent2 10 3 3 5" xfId="16874"/>
    <cellStyle name="20% - Accent2 10 3 4" xfId="1539"/>
    <cellStyle name="20% - Accent2 10 3 4 2" xfId="12926"/>
    <cellStyle name="20% - Accent2 10 3 4 3" xfId="16877"/>
    <cellStyle name="20% - Accent2 10 3 5" xfId="1540"/>
    <cellStyle name="20% - Accent2 10 3 5 2" xfId="12927"/>
    <cellStyle name="20% - Accent2 10 3 5 3" xfId="16878"/>
    <cellStyle name="20% - Accent2 10 3 6" xfId="12919"/>
    <cellStyle name="20% - Accent2 10 3 7" xfId="16870"/>
    <cellStyle name="20% - Accent2 10 3_Volatility" xfId="1541"/>
    <cellStyle name="20% - Accent2 10 4" xfId="1542"/>
    <cellStyle name="20% - Accent2 10 4 2" xfId="1543"/>
    <cellStyle name="20% - Accent2 10 4 2 2" xfId="12929"/>
    <cellStyle name="20% - Accent2 10 4 2 3" xfId="16880"/>
    <cellStyle name="20% - Accent2 10 4 3" xfId="1544"/>
    <cellStyle name="20% - Accent2 10 4 3 2" xfId="12930"/>
    <cellStyle name="20% - Accent2 10 4 3 3" xfId="16881"/>
    <cellStyle name="20% - Accent2 10 4 4" xfId="12928"/>
    <cellStyle name="20% - Accent2 10 4 5" xfId="16879"/>
    <cellStyle name="20% - Accent2 10 5" xfId="1545"/>
    <cellStyle name="20% - Accent2 10 5 2" xfId="1546"/>
    <cellStyle name="20% - Accent2 10 5 2 2" xfId="12932"/>
    <cellStyle name="20% - Accent2 10 5 2 3" xfId="16883"/>
    <cellStyle name="20% - Accent2 10 5 3" xfId="1547"/>
    <cellStyle name="20% - Accent2 10 5 3 2" xfId="12933"/>
    <cellStyle name="20% - Accent2 10 5 3 3" xfId="16884"/>
    <cellStyle name="20% - Accent2 10 5 4" xfId="12931"/>
    <cellStyle name="20% - Accent2 10 5 5" xfId="16882"/>
    <cellStyle name="20% - Accent2 10 6" xfId="1548"/>
    <cellStyle name="20% - Accent2 10 6 2" xfId="1549"/>
    <cellStyle name="20% - Accent2 10 6 2 2" xfId="12935"/>
    <cellStyle name="20% - Accent2 10 6 2 3" xfId="16886"/>
    <cellStyle name="20% - Accent2 10 6 3" xfId="1550"/>
    <cellStyle name="20% - Accent2 10 6 3 2" xfId="12936"/>
    <cellStyle name="20% - Accent2 10 6 3 3" xfId="16887"/>
    <cellStyle name="20% - Accent2 10 6 4" xfId="12934"/>
    <cellStyle name="20% - Accent2 10 6 5" xfId="16885"/>
    <cellStyle name="20% - Accent2 10 7" xfId="1551"/>
    <cellStyle name="20% - Accent2 10 7 2" xfId="12937"/>
    <cellStyle name="20% - Accent2 10 7 3" xfId="16888"/>
    <cellStyle name="20% - Accent2 10 8" xfId="1552"/>
    <cellStyle name="20% - Accent2 10 8 2" xfId="12938"/>
    <cellStyle name="20% - Accent2 10 8 3" xfId="16889"/>
    <cellStyle name="20% - Accent2 10 9" xfId="12906"/>
    <cellStyle name="20% - Accent2 10_Volatility" xfId="1553"/>
    <cellStyle name="20% - Accent2 11" xfId="1554"/>
    <cellStyle name="20% - Accent2 11 10" xfId="16890"/>
    <cellStyle name="20% - Accent2 11 2" xfId="1555"/>
    <cellStyle name="20% - Accent2 11 2 2" xfId="1556"/>
    <cellStyle name="20% - Accent2 11 2 2 2" xfId="1557"/>
    <cellStyle name="20% - Accent2 11 2 2 2 2" xfId="12942"/>
    <cellStyle name="20% - Accent2 11 2 2 2 3" xfId="16893"/>
    <cellStyle name="20% - Accent2 11 2 2 3" xfId="1558"/>
    <cellStyle name="20% - Accent2 11 2 2 3 2" xfId="12943"/>
    <cellStyle name="20% - Accent2 11 2 2 3 3" xfId="16894"/>
    <cellStyle name="20% - Accent2 11 2 2 4" xfId="12941"/>
    <cellStyle name="20% - Accent2 11 2 2 5" xfId="16892"/>
    <cellStyle name="20% - Accent2 11 2 3" xfId="1559"/>
    <cellStyle name="20% - Accent2 11 2 3 2" xfId="1560"/>
    <cellStyle name="20% - Accent2 11 2 3 2 2" xfId="12945"/>
    <cellStyle name="20% - Accent2 11 2 3 2 3" xfId="16896"/>
    <cellStyle name="20% - Accent2 11 2 3 3" xfId="1561"/>
    <cellStyle name="20% - Accent2 11 2 3 3 2" xfId="12946"/>
    <cellStyle name="20% - Accent2 11 2 3 3 3" xfId="16897"/>
    <cellStyle name="20% - Accent2 11 2 3 4" xfId="12944"/>
    <cellStyle name="20% - Accent2 11 2 3 5" xfId="16895"/>
    <cellStyle name="20% - Accent2 11 2 4" xfId="1562"/>
    <cellStyle name="20% - Accent2 11 2 4 2" xfId="1563"/>
    <cellStyle name="20% - Accent2 11 2 4 2 2" xfId="12948"/>
    <cellStyle name="20% - Accent2 11 2 4 2 3" xfId="16899"/>
    <cellStyle name="20% - Accent2 11 2 4 3" xfId="1564"/>
    <cellStyle name="20% - Accent2 11 2 4 3 2" xfId="12949"/>
    <cellStyle name="20% - Accent2 11 2 4 3 3" xfId="16900"/>
    <cellStyle name="20% - Accent2 11 2 4 4" xfId="12947"/>
    <cellStyle name="20% - Accent2 11 2 4 5" xfId="16898"/>
    <cellStyle name="20% - Accent2 11 2 5" xfId="1565"/>
    <cellStyle name="20% - Accent2 11 2 5 2" xfId="12950"/>
    <cellStyle name="20% - Accent2 11 2 5 3" xfId="16901"/>
    <cellStyle name="20% - Accent2 11 2 6" xfId="1566"/>
    <cellStyle name="20% - Accent2 11 2 6 2" xfId="12951"/>
    <cellStyle name="20% - Accent2 11 2 6 3" xfId="16902"/>
    <cellStyle name="20% - Accent2 11 2 7" xfId="12940"/>
    <cellStyle name="20% - Accent2 11 2 8" xfId="16891"/>
    <cellStyle name="20% - Accent2 11 2_Volatility" xfId="1567"/>
    <cellStyle name="20% - Accent2 11 3" xfId="1568"/>
    <cellStyle name="20% - Accent2 11 3 2" xfId="1569"/>
    <cellStyle name="20% - Accent2 11 3 2 2" xfId="1570"/>
    <cellStyle name="20% - Accent2 11 3 2 2 2" xfId="12954"/>
    <cellStyle name="20% - Accent2 11 3 2 2 3" xfId="16905"/>
    <cellStyle name="20% - Accent2 11 3 2 3" xfId="1571"/>
    <cellStyle name="20% - Accent2 11 3 2 3 2" xfId="12955"/>
    <cellStyle name="20% - Accent2 11 3 2 3 3" xfId="16906"/>
    <cellStyle name="20% - Accent2 11 3 2 4" xfId="12953"/>
    <cellStyle name="20% - Accent2 11 3 2 5" xfId="16904"/>
    <cellStyle name="20% - Accent2 11 3 3" xfId="1572"/>
    <cellStyle name="20% - Accent2 11 3 3 2" xfId="1573"/>
    <cellStyle name="20% - Accent2 11 3 3 2 2" xfId="12957"/>
    <cellStyle name="20% - Accent2 11 3 3 2 3" xfId="16908"/>
    <cellStyle name="20% - Accent2 11 3 3 3" xfId="1574"/>
    <cellStyle name="20% - Accent2 11 3 3 3 2" xfId="12958"/>
    <cellStyle name="20% - Accent2 11 3 3 3 3" xfId="16909"/>
    <cellStyle name="20% - Accent2 11 3 3 4" xfId="12956"/>
    <cellStyle name="20% - Accent2 11 3 3 5" xfId="16907"/>
    <cellStyle name="20% - Accent2 11 3 4" xfId="1575"/>
    <cellStyle name="20% - Accent2 11 3 4 2" xfId="12959"/>
    <cellStyle name="20% - Accent2 11 3 4 3" xfId="16910"/>
    <cellStyle name="20% - Accent2 11 3 5" xfId="1576"/>
    <cellStyle name="20% - Accent2 11 3 5 2" xfId="12960"/>
    <cellStyle name="20% - Accent2 11 3 5 3" xfId="16911"/>
    <cellStyle name="20% - Accent2 11 3 6" xfId="12952"/>
    <cellStyle name="20% - Accent2 11 3 7" xfId="16903"/>
    <cellStyle name="20% - Accent2 11 3_Volatility" xfId="1577"/>
    <cellStyle name="20% - Accent2 11 4" xfId="1578"/>
    <cellStyle name="20% - Accent2 11 4 2" xfId="1579"/>
    <cellStyle name="20% - Accent2 11 4 2 2" xfId="12962"/>
    <cellStyle name="20% - Accent2 11 4 2 3" xfId="16913"/>
    <cellStyle name="20% - Accent2 11 4 3" xfId="1580"/>
    <cellStyle name="20% - Accent2 11 4 3 2" xfId="12963"/>
    <cellStyle name="20% - Accent2 11 4 3 3" xfId="16914"/>
    <cellStyle name="20% - Accent2 11 4 4" xfId="12961"/>
    <cellStyle name="20% - Accent2 11 4 5" xfId="16912"/>
    <cellStyle name="20% - Accent2 11 5" xfId="1581"/>
    <cellStyle name="20% - Accent2 11 5 2" xfId="1582"/>
    <cellStyle name="20% - Accent2 11 5 2 2" xfId="12965"/>
    <cellStyle name="20% - Accent2 11 5 2 3" xfId="16916"/>
    <cellStyle name="20% - Accent2 11 5 3" xfId="1583"/>
    <cellStyle name="20% - Accent2 11 5 3 2" xfId="12966"/>
    <cellStyle name="20% - Accent2 11 5 3 3" xfId="16917"/>
    <cellStyle name="20% - Accent2 11 5 4" xfId="12964"/>
    <cellStyle name="20% - Accent2 11 5 5" xfId="16915"/>
    <cellStyle name="20% - Accent2 11 6" xfId="1584"/>
    <cellStyle name="20% - Accent2 11 6 2" xfId="1585"/>
    <cellStyle name="20% - Accent2 11 6 2 2" xfId="12968"/>
    <cellStyle name="20% - Accent2 11 6 2 3" xfId="16919"/>
    <cellStyle name="20% - Accent2 11 6 3" xfId="1586"/>
    <cellStyle name="20% - Accent2 11 6 3 2" xfId="12969"/>
    <cellStyle name="20% - Accent2 11 6 3 3" xfId="16920"/>
    <cellStyle name="20% - Accent2 11 6 4" xfId="12967"/>
    <cellStyle name="20% - Accent2 11 6 5" xfId="16918"/>
    <cellStyle name="20% - Accent2 11 7" xfId="1587"/>
    <cellStyle name="20% - Accent2 11 7 2" xfId="12970"/>
    <cellStyle name="20% - Accent2 11 7 3" xfId="16921"/>
    <cellStyle name="20% - Accent2 11 8" xfId="1588"/>
    <cellStyle name="20% - Accent2 11 8 2" xfId="12971"/>
    <cellStyle name="20% - Accent2 11 8 3" xfId="16922"/>
    <cellStyle name="20% - Accent2 11 9" xfId="12939"/>
    <cellStyle name="20% - Accent2 11_Volatility" xfId="1589"/>
    <cellStyle name="20% - Accent2 12" xfId="1590"/>
    <cellStyle name="20% - Accent2 12 10" xfId="16923"/>
    <cellStyle name="20% - Accent2 12 2" xfId="1591"/>
    <cellStyle name="20% - Accent2 12 2 2" xfId="1592"/>
    <cellStyle name="20% - Accent2 12 2 2 2" xfId="1593"/>
    <cellStyle name="20% - Accent2 12 2 2 2 2" xfId="12975"/>
    <cellStyle name="20% - Accent2 12 2 2 2 3" xfId="16926"/>
    <cellStyle name="20% - Accent2 12 2 2 3" xfId="1594"/>
    <cellStyle name="20% - Accent2 12 2 2 3 2" xfId="12976"/>
    <cellStyle name="20% - Accent2 12 2 2 3 3" xfId="16927"/>
    <cellStyle name="20% - Accent2 12 2 2 4" xfId="12974"/>
    <cellStyle name="20% - Accent2 12 2 2 5" xfId="16925"/>
    <cellStyle name="20% - Accent2 12 2 3" xfId="1595"/>
    <cellStyle name="20% - Accent2 12 2 3 2" xfId="1596"/>
    <cellStyle name="20% - Accent2 12 2 3 2 2" xfId="12978"/>
    <cellStyle name="20% - Accent2 12 2 3 2 3" xfId="16929"/>
    <cellStyle name="20% - Accent2 12 2 3 3" xfId="1597"/>
    <cellStyle name="20% - Accent2 12 2 3 3 2" xfId="12979"/>
    <cellStyle name="20% - Accent2 12 2 3 3 3" xfId="16930"/>
    <cellStyle name="20% - Accent2 12 2 3 4" xfId="12977"/>
    <cellStyle name="20% - Accent2 12 2 3 5" xfId="16928"/>
    <cellStyle name="20% - Accent2 12 2 4" xfId="1598"/>
    <cellStyle name="20% - Accent2 12 2 4 2" xfId="1599"/>
    <cellStyle name="20% - Accent2 12 2 4 2 2" xfId="12981"/>
    <cellStyle name="20% - Accent2 12 2 4 2 3" xfId="16932"/>
    <cellStyle name="20% - Accent2 12 2 4 3" xfId="1600"/>
    <cellStyle name="20% - Accent2 12 2 4 3 2" xfId="12982"/>
    <cellStyle name="20% - Accent2 12 2 4 3 3" xfId="16933"/>
    <cellStyle name="20% - Accent2 12 2 4 4" xfId="12980"/>
    <cellStyle name="20% - Accent2 12 2 4 5" xfId="16931"/>
    <cellStyle name="20% - Accent2 12 2 5" xfId="1601"/>
    <cellStyle name="20% - Accent2 12 2 5 2" xfId="12983"/>
    <cellStyle name="20% - Accent2 12 2 5 3" xfId="16934"/>
    <cellStyle name="20% - Accent2 12 2 6" xfId="1602"/>
    <cellStyle name="20% - Accent2 12 2 6 2" xfId="12984"/>
    <cellStyle name="20% - Accent2 12 2 6 3" xfId="16935"/>
    <cellStyle name="20% - Accent2 12 2 7" xfId="12973"/>
    <cellStyle name="20% - Accent2 12 2 8" xfId="16924"/>
    <cellStyle name="20% - Accent2 12 2_Volatility" xfId="1603"/>
    <cellStyle name="20% - Accent2 12 3" xfId="1604"/>
    <cellStyle name="20% - Accent2 12 3 2" xfId="1605"/>
    <cellStyle name="20% - Accent2 12 3 2 2" xfId="1606"/>
    <cellStyle name="20% - Accent2 12 3 2 2 2" xfId="12987"/>
    <cellStyle name="20% - Accent2 12 3 2 2 3" xfId="16938"/>
    <cellStyle name="20% - Accent2 12 3 2 3" xfId="1607"/>
    <cellStyle name="20% - Accent2 12 3 2 3 2" xfId="12988"/>
    <cellStyle name="20% - Accent2 12 3 2 3 3" xfId="16939"/>
    <cellStyle name="20% - Accent2 12 3 2 4" xfId="12986"/>
    <cellStyle name="20% - Accent2 12 3 2 5" xfId="16937"/>
    <cellStyle name="20% - Accent2 12 3 3" xfId="1608"/>
    <cellStyle name="20% - Accent2 12 3 3 2" xfId="1609"/>
    <cellStyle name="20% - Accent2 12 3 3 2 2" xfId="12990"/>
    <cellStyle name="20% - Accent2 12 3 3 2 3" xfId="16941"/>
    <cellStyle name="20% - Accent2 12 3 3 3" xfId="1610"/>
    <cellStyle name="20% - Accent2 12 3 3 3 2" xfId="12991"/>
    <cellStyle name="20% - Accent2 12 3 3 3 3" xfId="16942"/>
    <cellStyle name="20% - Accent2 12 3 3 4" xfId="12989"/>
    <cellStyle name="20% - Accent2 12 3 3 5" xfId="16940"/>
    <cellStyle name="20% - Accent2 12 3 4" xfId="1611"/>
    <cellStyle name="20% - Accent2 12 3 4 2" xfId="12992"/>
    <cellStyle name="20% - Accent2 12 3 4 3" xfId="16943"/>
    <cellStyle name="20% - Accent2 12 3 5" xfId="1612"/>
    <cellStyle name="20% - Accent2 12 3 5 2" xfId="12993"/>
    <cellStyle name="20% - Accent2 12 3 5 3" xfId="16944"/>
    <cellStyle name="20% - Accent2 12 3 6" xfId="12985"/>
    <cellStyle name="20% - Accent2 12 3 7" xfId="16936"/>
    <cellStyle name="20% - Accent2 12 3_Volatility" xfId="1613"/>
    <cellStyle name="20% - Accent2 12 4" xfId="1614"/>
    <cellStyle name="20% - Accent2 12 4 2" xfId="1615"/>
    <cellStyle name="20% - Accent2 12 4 2 2" xfId="12995"/>
    <cellStyle name="20% - Accent2 12 4 2 3" xfId="16946"/>
    <cellStyle name="20% - Accent2 12 4 3" xfId="1616"/>
    <cellStyle name="20% - Accent2 12 4 3 2" xfId="12996"/>
    <cellStyle name="20% - Accent2 12 4 3 3" xfId="16947"/>
    <cellStyle name="20% - Accent2 12 4 4" xfId="12994"/>
    <cellStyle name="20% - Accent2 12 4 5" xfId="16945"/>
    <cellStyle name="20% - Accent2 12 5" xfId="1617"/>
    <cellStyle name="20% - Accent2 12 5 2" xfId="1618"/>
    <cellStyle name="20% - Accent2 12 5 2 2" xfId="12998"/>
    <cellStyle name="20% - Accent2 12 5 2 3" xfId="16949"/>
    <cellStyle name="20% - Accent2 12 5 3" xfId="1619"/>
    <cellStyle name="20% - Accent2 12 5 3 2" xfId="12999"/>
    <cellStyle name="20% - Accent2 12 5 3 3" xfId="16950"/>
    <cellStyle name="20% - Accent2 12 5 4" xfId="12997"/>
    <cellStyle name="20% - Accent2 12 5 5" xfId="16948"/>
    <cellStyle name="20% - Accent2 12 6" xfId="1620"/>
    <cellStyle name="20% - Accent2 12 6 2" xfId="1621"/>
    <cellStyle name="20% - Accent2 12 6 2 2" xfId="13001"/>
    <cellStyle name="20% - Accent2 12 6 2 3" xfId="16952"/>
    <cellStyle name="20% - Accent2 12 6 3" xfId="1622"/>
    <cellStyle name="20% - Accent2 12 6 3 2" xfId="13002"/>
    <cellStyle name="20% - Accent2 12 6 3 3" xfId="16953"/>
    <cellStyle name="20% - Accent2 12 6 4" xfId="13000"/>
    <cellStyle name="20% - Accent2 12 6 5" xfId="16951"/>
    <cellStyle name="20% - Accent2 12 7" xfId="1623"/>
    <cellStyle name="20% - Accent2 12 7 2" xfId="13003"/>
    <cellStyle name="20% - Accent2 12 7 3" xfId="16954"/>
    <cellStyle name="20% - Accent2 12 8" xfId="1624"/>
    <cellStyle name="20% - Accent2 12 8 2" xfId="13004"/>
    <cellStyle name="20% - Accent2 12 8 3" xfId="16955"/>
    <cellStyle name="20% - Accent2 12 9" xfId="12972"/>
    <cellStyle name="20% - Accent2 12_Volatility" xfId="1625"/>
    <cellStyle name="20% - Accent2 13" xfId="1626"/>
    <cellStyle name="20% - Accent2 13 10" xfId="16956"/>
    <cellStyle name="20% - Accent2 13 2" xfId="1627"/>
    <cellStyle name="20% - Accent2 13 2 2" xfId="1628"/>
    <cellStyle name="20% - Accent2 13 2 2 2" xfId="1629"/>
    <cellStyle name="20% - Accent2 13 2 2 2 2" xfId="13008"/>
    <cellStyle name="20% - Accent2 13 2 2 2 3" xfId="16959"/>
    <cellStyle name="20% - Accent2 13 2 2 3" xfId="1630"/>
    <cellStyle name="20% - Accent2 13 2 2 3 2" xfId="13009"/>
    <cellStyle name="20% - Accent2 13 2 2 3 3" xfId="16960"/>
    <cellStyle name="20% - Accent2 13 2 2 4" xfId="13007"/>
    <cellStyle name="20% - Accent2 13 2 2 5" xfId="16958"/>
    <cellStyle name="20% - Accent2 13 2 3" xfId="1631"/>
    <cellStyle name="20% - Accent2 13 2 3 2" xfId="1632"/>
    <cellStyle name="20% - Accent2 13 2 3 2 2" xfId="13011"/>
    <cellStyle name="20% - Accent2 13 2 3 2 3" xfId="16962"/>
    <cellStyle name="20% - Accent2 13 2 3 3" xfId="1633"/>
    <cellStyle name="20% - Accent2 13 2 3 3 2" xfId="13012"/>
    <cellStyle name="20% - Accent2 13 2 3 3 3" xfId="16963"/>
    <cellStyle name="20% - Accent2 13 2 3 4" xfId="13010"/>
    <cellStyle name="20% - Accent2 13 2 3 5" xfId="16961"/>
    <cellStyle name="20% - Accent2 13 2 4" xfId="1634"/>
    <cellStyle name="20% - Accent2 13 2 4 2" xfId="1635"/>
    <cellStyle name="20% - Accent2 13 2 4 2 2" xfId="13014"/>
    <cellStyle name="20% - Accent2 13 2 4 2 3" xfId="16965"/>
    <cellStyle name="20% - Accent2 13 2 4 3" xfId="1636"/>
    <cellStyle name="20% - Accent2 13 2 4 3 2" xfId="13015"/>
    <cellStyle name="20% - Accent2 13 2 4 3 3" xfId="16966"/>
    <cellStyle name="20% - Accent2 13 2 4 4" xfId="13013"/>
    <cellStyle name="20% - Accent2 13 2 4 5" xfId="16964"/>
    <cellStyle name="20% - Accent2 13 2 5" xfId="1637"/>
    <cellStyle name="20% - Accent2 13 2 5 2" xfId="13016"/>
    <cellStyle name="20% - Accent2 13 2 5 3" xfId="16967"/>
    <cellStyle name="20% - Accent2 13 2 6" xfId="1638"/>
    <cellStyle name="20% - Accent2 13 2 6 2" xfId="13017"/>
    <cellStyle name="20% - Accent2 13 2 6 3" xfId="16968"/>
    <cellStyle name="20% - Accent2 13 2 7" xfId="13006"/>
    <cellStyle name="20% - Accent2 13 2 8" xfId="16957"/>
    <cellStyle name="20% - Accent2 13 2_Volatility" xfId="1639"/>
    <cellStyle name="20% - Accent2 13 3" xfId="1640"/>
    <cellStyle name="20% - Accent2 13 3 2" xfId="1641"/>
    <cellStyle name="20% - Accent2 13 3 2 2" xfId="1642"/>
    <cellStyle name="20% - Accent2 13 3 2 2 2" xfId="13020"/>
    <cellStyle name="20% - Accent2 13 3 2 2 3" xfId="16971"/>
    <cellStyle name="20% - Accent2 13 3 2 3" xfId="1643"/>
    <cellStyle name="20% - Accent2 13 3 2 3 2" xfId="13021"/>
    <cellStyle name="20% - Accent2 13 3 2 3 3" xfId="16972"/>
    <cellStyle name="20% - Accent2 13 3 2 4" xfId="13019"/>
    <cellStyle name="20% - Accent2 13 3 2 5" xfId="16970"/>
    <cellStyle name="20% - Accent2 13 3 3" xfId="1644"/>
    <cellStyle name="20% - Accent2 13 3 3 2" xfId="1645"/>
    <cellStyle name="20% - Accent2 13 3 3 2 2" xfId="13023"/>
    <cellStyle name="20% - Accent2 13 3 3 2 3" xfId="16974"/>
    <cellStyle name="20% - Accent2 13 3 3 3" xfId="1646"/>
    <cellStyle name="20% - Accent2 13 3 3 3 2" xfId="13024"/>
    <cellStyle name="20% - Accent2 13 3 3 3 3" xfId="16975"/>
    <cellStyle name="20% - Accent2 13 3 3 4" xfId="13022"/>
    <cellStyle name="20% - Accent2 13 3 3 5" xfId="16973"/>
    <cellStyle name="20% - Accent2 13 3 4" xfId="1647"/>
    <cellStyle name="20% - Accent2 13 3 4 2" xfId="13025"/>
    <cellStyle name="20% - Accent2 13 3 4 3" xfId="16976"/>
    <cellStyle name="20% - Accent2 13 3 5" xfId="1648"/>
    <cellStyle name="20% - Accent2 13 3 5 2" xfId="13026"/>
    <cellStyle name="20% - Accent2 13 3 5 3" xfId="16977"/>
    <cellStyle name="20% - Accent2 13 3 6" xfId="13018"/>
    <cellStyle name="20% - Accent2 13 3 7" xfId="16969"/>
    <cellStyle name="20% - Accent2 13 3_Volatility" xfId="1649"/>
    <cellStyle name="20% - Accent2 13 4" xfId="1650"/>
    <cellStyle name="20% - Accent2 13 4 2" xfId="1651"/>
    <cellStyle name="20% - Accent2 13 4 2 2" xfId="13028"/>
    <cellStyle name="20% - Accent2 13 4 2 3" xfId="16979"/>
    <cellStyle name="20% - Accent2 13 4 3" xfId="1652"/>
    <cellStyle name="20% - Accent2 13 4 3 2" xfId="13029"/>
    <cellStyle name="20% - Accent2 13 4 3 3" xfId="16980"/>
    <cellStyle name="20% - Accent2 13 4 4" xfId="13027"/>
    <cellStyle name="20% - Accent2 13 4 5" xfId="16978"/>
    <cellStyle name="20% - Accent2 13 5" xfId="1653"/>
    <cellStyle name="20% - Accent2 13 5 2" xfId="1654"/>
    <cellStyle name="20% - Accent2 13 5 2 2" xfId="13031"/>
    <cellStyle name="20% - Accent2 13 5 2 3" xfId="16982"/>
    <cellStyle name="20% - Accent2 13 5 3" xfId="1655"/>
    <cellStyle name="20% - Accent2 13 5 3 2" xfId="13032"/>
    <cellStyle name="20% - Accent2 13 5 3 3" xfId="16983"/>
    <cellStyle name="20% - Accent2 13 5 4" xfId="13030"/>
    <cellStyle name="20% - Accent2 13 5 5" xfId="16981"/>
    <cellStyle name="20% - Accent2 13 6" xfId="1656"/>
    <cellStyle name="20% - Accent2 13 6 2" xfId="1657"/>
    <cellStyle name="20% - Accent2 13 6 2 2" xfId="13034"/>
    <cellStyle name="20% - Accent2 13 6 2 3" xfId="16985"/>
    <cellStyle name="20% - Accent2 13 6 3" xfId="1658"/>
    <cellStyle name="20% - Accent2 13 6 3 2" xfId="13035"/>
    <cellStyle name="20% - Accent2 13 6 3 3" xfId="16986"/>
    <cellStyle name="20% - Accent2 13 6 4" xfId="13033"/>
    <cellStyle name="20% - Accent2 13 6 5" xfId="16984"/>
    <cellStyle name="20% - Accent2 13 7" xfId="1659"/>
    <cellStyle name="20% - Accent2 13 7 2" xfId="13036"/>
    <cellStyle name="20% - Accent2 13 7 3" xfId="16987"/>
    <cellStyle name="20% - Accent2 13 8" xfId="1660"/>
    <cellStyle name="20% - Accent2 13 8 2" xfId="13037"/>
    <cellStyle name="20% - Accent2 13 8 3" xfId="16988"/>
    <cellStyle name="20% - Accent2 13 9" xfId="13005"/>
    <cellStyle name="20% - Accent2 13_Volatility" xfId="1661"/>
    <cellStyle name="20% - Accent2 14" xfId="1662"/>
    <cellStyle name="20% - Accent2 14 10" xfId="16989"/>
    <cellStyle name="20% - Accent2 14 2" xfId="1663"/>
    <cellStyle name="20% - Accent2 14 2 2" xfId="1664"/>
    <cellStyle name="20% - Accent2 14 2 2 2" xfId="1665"/>
    <cellStyle name="20% - Accent2 14 2 2 2 2" xfId="13041"/>
    <cellStyle name="20% - Accent2 14 2 2 2 3" xfId="16992"/>
    <cellStyle name="20% - Accent2 14 2 2 3" xfId="1666"/>
    <cellStyle name="20% - Accent2 14 2 2 3 2" xfId="13042"/>
    <cellStyle name="20% - Accent2 14 2 2 3 3" xfId="16993"/>
    <cellStyle name="20% - Accent2 14 2 2 4" xfId="13040"/>
    <cellStyle name="20% - Accent2 14 2 2 5" xfId="16991"/>
    <cellStyle name="20% - Accent2 14 2 3" xfId="1667"/>
    <cellStyle name="20% - Accent2 14 2 3 2" xfId="1668"/>
    <cellStyle name="20% - Accent2 14 2 3 2 2" xfId="13044"/>
    <cellStyle name="20% - Accent2 14 2 3 2 3" xfId="16995"/>
    <cellStyle name="20% - Accent2 14 2 3 3" xfId="1669"/>
    <cellStyle name="20% - Accent2 14 2 3 3 2" xfId="13045"/>
    <cellStyle name="20% - Accent2 14 2 3 3 3" xfId="16996"/>
    <cellStyle name="20% - Accent2 14 2 3 4" xfId="13043"/>
    <cellStyle name="20% - Accent2 14 2 3 5" xfId="16994"/>
    <cellStyle name="20% - Accent2 14 2 4" xfId="1670"/>
    <cellStyle name="20% - Accent2 14 2 4 2" xfId="1671"/>
    <cellStyle name="20% - Accent2 14 2 4 2 2" xfId="13047"/>
    <cellStyle name="20% - Accent2 14 2 4 2 3" xfId="16998"/>
    <cellStyle name="20% - Accent2 14 2 4 3" xfId="1672"/>
    <cellStyle name="20% - Accent2 14 2 4 3 2" xfId="13048"/>
    <cellStyle name="20% - Accent2 14 2 4 3 3" xfId="16999"/>
    <cellStyle name="20% - Accent2 14 2 4 4" xfId="13046"/>
    <cellStyle name="20% - Accent2 14 2 4 5" xfId="16997"/>
    <cellStyle name="20% - Accent2 14 2 5" xfId="1673"/>
    <cellStyle name="20% - Accent2 14 2 5 2" xfId="13049"/>
    <cellStyle name="20% - Accent2 14 2 5 3" xfId="17000"/>
    <cellStyle name="20% - Accent2 14 2 6" xfId="1674"/>
    <cellStyle name="20% - Accent2 14 2 6 2" xfId="13050"/>
    <cellStyle name="20% - Accent2 14 2 6 3" xfId="17001"/>
    <cellStyle name="20% - Accent2 14 2 7" xfId="13039"/>
    <cellStyle name="20% - Accent2 14 2 8" xfId="16990"/>
    <cellStyle name="20% - Accent2 14 2_Volatility" xfId="1675"/>
    <cellStyle name="20% - Accent2 14 3" xfId="1676"/>
    <cellStyle name="20% - Accent2 14 3 2" xfId="1677"/>
    <cellStyle name="20% - Accent2 14 3 2 2" xfId="1678"/>
    <cellStyle name="20% - Accent2 14 3 2 2 2" xfId="13053"/>
    <cellStyle name="20% - Accent2 14 3 2 2 3" xfId="17004"/>
    <cellStyle name="20% - Accent2 14 3 2 3" xfId="1679"/>
    <cellStyle name="20% - Accent2 14 3 2 3 2" xfId="13054"/>
    <cellStyle name="20% - Accent2 14 3 2 3 3" xfId="17005"/>
    <cellStyle name="20% - Accent2 14 3 2 4" xfId="13052"/>
    <cellStyle name="20% - Accent2 14 3 2 5" xfId="17003"/>
    <cellStyle name="20% - Accent2 14 3 3" xfId="1680"/>
    <cellStyle name="20% - Accent2 14 3 3 2" xfId="1681"/>
    <cellStyle name="20% - Accent2 14 3 3 2 2" xfId="13056"/>
    <cellStyle name="20% - Accent2 14 3 3 2 3" xfId="17007"/>
    <cellStyle name="20% - Accent2 14 3 3 3" xfId="1682"/>
    <cellStyle name="20% - Accent2 14 3 3 3 2" xfId="13057"/>
    <cellStyle name="20% - Accent2 14 3 3 3 3" xfId="17008"/>
    <cellStyle name="20% - Accent2 14 3 3 4" xfId="13055"/>
    <cellStyle name="20% - Accent2 14 3 3 5" xfId="17006"/>
    <cellStyle name="20% - Accent2 14 3 4" xfId="1683"/>
    <cellStyle name="20% - Accent2 14 3 4 2" xfId="13058"/>
    <cellStyle name="20% - Accent2 14 3 4 3" xfId="17009"/>
    <cellStyle name="20% - Accent2 14 3 5" xfId="1684"/>
    <cellStyle name="20% - Accent2 14 3 5 2" xfId="13059"/>
    <cellStyle name="20% - Accent2 14 3 5 3" xfId="17010"/>
    <cellStyle name="20% - Accent2 14 3 6" xfId="13051"/>
    <cellStyle name="20% - Accent2 14 3 7" xfId="17002"/>
    <cellStyle name="20% - Accent2 14 3_Volatility" xfId="1685"/>
    <cellStyle name="20% - Accent2 14 4" xfId="1686"/>
    <cellStyle name="20% - Accent2 14 4 2" xfId="1687"/>
    <cellStyle name="20% - Accent2 14 4 2 2" xfId="13061"/>
    <cellStyle name="20% - Accent2 14 4 2 3" xfId="17012"/>
    <cellStyle name="20% - Accent2 14 4 3" xfId="1688"/>
    <cellStyle name="20% - Accent2 14 4 3 2" xfId="13062"/>
    <cellStyle name="20% - Accent2 14 4 3 3" xfId="17013"/>
    <cellStyle name="20% - Accent2 14 4 4" xfId="13060"/>
    <cellStyle name="20% - Accent2 14 4 5" xfId="17011"/>
    <cellStyle name="20% - Accent2 14 5" xfId="1689"/>
    <cellStyle name="20% - Accent2 14 5 2" xfId="1690"/>
    <cellStyle name="20% - Accent2 14 5 2 2" xfId="13064"/>
    <cellStyle name="20% - Accent2 14 5 2 3" xfId="17015"/>
    <cellStyle name="20% - Accent2 14 5 3" xfId="1691"/>
    <cellStyle name="20% - Accent2 14 5 3 2" xfId="13065"/>
    <cellStyle name="20% - Accent2 14 5 3 3" xfId="17016"/>
    <cellStyle name="20% - Accent2 14 5 4" xfId="13063"/>
    <cellStyle name="20% - Accent2 14 5 5" xfId="17014"/>
    <cellStyle name="20% - Accent2 14 6" xfId="1692"/>
    <cellStyle name="20% - Accent2 14 6 2" xfId="1693"/>
    <cellStyle name="20% - Accent2 14 6 2 2" xfId="13067"/>
    <cellStyle name="20% - Accent2 14 6 2 3" xfId="17018"/>
    <cellStyle name="20% - Accent2 14 6 3" xfId="1694"/>
    <cellStyle name="20% - Accent2 14 6 3 2" xfId="13068"/>
    <cellStyle name="20% - Accent2 14 6 3 3" xfId="17019"/>
    <cellStyle name="20% - Accent2 14 6 4" xfId="13066"/>
    <cellStyle name="20% - Accent2 14 6 5" xfId="17017"/>
    <cellStyle name="20% - Accent2 14 7" xfId="1695"/>
    <cellStyle name="20% - Accent2 14 7 2" xfId="13069"/>
    <cellStyle name="20% - Accent2 14 7 3" xfId="17020"/>
    <cellStyle name="20% - Accent2 14 8" xfId="1696"/>
    <cellStyle name="20% - Accent2 14 8 2" xfId="13070"/>
    <cellStyle name="20% - Accent2 14 8 3" xfId="17021"/>
    <cellStyle name="20% - Accent2 14 9" xfId="13038"/>
    <cellStyle name="20% - Accent2 14_Volatility" xfId="1697"/>
    <cellStyle name="20% - Accent2 15" xfId="1698"/>
    <cellStyle name="20% - Accent2 15 10" xfId="17022"/>
    <cellStyle name="20% - Accent2 15 2" xfId="1699"/>
    <cellStyle name="20% - Accent2 15 2 2" xfId="1700"/>
    <cellStyle name="20% - Accent2 15 2 2 2" xfId="1701"/>
    <cellStyle name="20% - Accent2 15 2 2 2 2" xfId="13074"/>
    <cellStyle name="20% - Accent2 15 2 2 2 3" xfId="17025"/>
    <cellStyle name="20% - Accent2 15 2 2 3" xfId="1702"/>
    <cellStyle name="20% - Accent2 15 2 2 3 2" xfId="13075"/>
    <cellStyle name="20% - Accent2 15 2 2 3 3" xfId="17026"/>
    <cellStyle name="20% - Accent2 15 2 2 4" xfId="13073"/>
    <cellStyle name="20% - Accent2 15 2 2 5" xfId="17024"/>
    <cellStyle name="20% - Accent2 15 2 3" xfId="1703"/>
    <cellStyle name="20% - Accent2 15 2 3 2" xfId="1704"/>
    <cellStyle name="20% - Accent2 15 2 3 2 2" xfId="13077"/>
    <cellStyle name="20% - Accent2 15 2 3 2 3" xfId="17028"/>
    <cellStyle name="20% - Accent2 15 2 3 3" xfId="1705"/>
    <cellStyle name="20% - Accent2 15 2 3 3 2" xfId="13078"/>
    <cellStyle name="20% - Accent2 15 2 3 3 3" xfId="17029"/>
    <cellStyle name="20% - Accent2 15 2 3 4" xfId="13076"/>
    <cellStyle name="20% - Accent2 15 2 3 5" xfId="17027"/>
    <cellStyle name="20% - Accent2 15 2 4" xfId="1706"/>
    <cellStyle name="20% - Accent2 15 2 4 2" xfId="1707"/>
    <cellStyle name="20% - Accent2 15 2 4 2 2" xfId="13080"/>
    <cellStyle name="20% - Accent2 15 2 4 2 3" xfId="17031"/>
    <cellStyle name="20% - Accent2 15 2 4 3" xfId="1708"/>
    <cellStyle name="20% - Accent2 15 2 4 3 2" xfId="13081"/>
    <cellStyle name="20% - Accent2 15 2 4 3 3" xfId="17032"/>
    <cellStyle name="20% - Accent2 15 2 4 4" xfId="13079"/>
    <cellStyle name="20% - Accent2 15 2 4 5" xfId="17030"/>
    <cellStyle name="20% - Accent2 15 2 5" xfId="1709"/>
    <cellStyle name="20% - Accent2 15 2 5 2" xfId="13082"/>
    <cellStyle name="20% - Accent2 15 2 5 3" xfId="17033"/>
    <cellStyle name="20% - Accent2 15 2 6" xfId="1710"/>
    <cellStyle name="20% - Accent2 15 2 6 2" xfId="13083"/>
    <cellStyle name="20% - Accent2 15 2 6 3" xfId="17034"/>
    <cellStyle name="20% - Accent2 15 2 7" xfId="13072"/>
    <cellStyle name="20% - Accent2 15 2 8" xfId="17023"/>
    <cellStyle name="20% - Accent2 15 2_Volatility" xfId="1711"/>
    <cellStyle name="20% - Accent2 15 3" xfId="1712"/>
    <cellStyle name="20% - Accent2 15 3 2" xfId="1713"/>
    <cellStyle name="20% - Accent2 15 3 2 2" xfId="1714"/>
    <cellStyle name="20% - Accent2 15 3 2 2 2" xfId="13086"/>
    <cellStyle name="20% - Accent2 15 3 2 2 3" xfId="17037"/>
    <cellStyle name="20% - Accent2 15 3 2 3" xfId="1715"/>
    <cellStyle name="20% - Accent2 15 3 2 3 2" xfId="13087"/>
    <cellStyle name="20% - Accent2 15 3 2 3 3" xfId="17038"/>
    <cellStyle name="20% - Accent2 15 3 2 4" xfId="13085"/>
    <cellStyle name="20% - Accent2 15 3 2 5" xfId="17036"/>
    <cellStyle name="20% - Accent2 15 3 3" xfId="1716"/>
    <cellStyle name="20% - Accent2 15 3 3 2" xfId="1717"/>
    <cellStyle name="20% - Accent2 15 3 3 2 2" xfId="13089"/>
    <cellStyle name="20% - Accent2 15 3 3 2 3" xfId="17040"/>
    <cellStyle name="20% - Accent2 15 3 3 3" xfId="1718"/>
    <cellStyle name="20% - Accent2 15 3 3 3 2" xfId="13090"/>
    <cellStyle name="20% - Accent2 15 3 3 3 3" xfId="17041"/>
    <cellStyle name="20% - Accent2 15 3 3 4" xfId="13088"/>
    <cellStyle name="20% - Accent2 15 3 3 5" xfId="17039"/>
    <cellStyle name="20% - Accent2 15 3 4" xfId="1719"/>
    <cellStyle name="20% - Accent2 15 3 4 2" xfId="13091"/>
    <cellStyle name="20% - Accent2 15 3 4 3" xfId="17042"/>
    <cellStyle name="20% - Accent2 15 3 5" xfId="1720"/>
    <cellStyle name="20% - Accent2 15 3 5 2" xfId="13092"/>
    <cellStyle name="20% - Accent2 15 3 5 3" xfId="17043"/>
    <cellStyle name="20% - Accent2 15 3 6" xfId="13084"/>
    <cellStyle name="20% - Accent2 15 3 7" xfId="17035"/>
    <cellStyle name="20% - Accent2 15 3_Volatility" xfId="1721"/>
    <cellStyle name="20% - Accent2 15 4" xfId="1722"/>
    <cellStyle name="20% - Accent2 15 4 2" xfId="1723"/>
    <cellStyle name="20% - Accent2 15 4 2 2" xfId="13094"/>
    <cellStyle name="20% - Accent2 15 4 2 3" xfId="17045"/>
    <cellStyle name="20% - Accent2 15 4 3" xfId="1724"/>
    <cellStyle name="20% - Accent2 15 4 3 2" xfId="13095"/>
    <cellStyle name="20% - Accent2 15 4 3 3" xfId="17046"/>
    <cellStyle name="20% - Accent2 15 4 4" xfId="13093"/>
    <cellStyle name="20% - Accent2 15 4 5" xfId="17044"/>
    <cellStyle name="20% - Accent2 15 5" xfId="1725"/>
    <cellStyle name="20% - Accent2 15 5 2" xfId="1726"/>
    <cellStyle name="20% - Accent2 15 5 2 2" xfId="13097"/>
    <cellStyle name="20% - Accent2 15 5 2 3" xfId="17048"/>
    <cellStyle name="20% - Accent2 15 5 3" xfId="1727"/>
    <cellStyle name="20% - Accent2 15 5 3 2" xfId="13098"/>
    <cellStyle name="20% - Accent2 15 5 3 3" xfId="17049"/>
    <cellStyle name="20% - Accent2 15 5 4" xfId="13096"/>
    <cellStyle name="20% - Accent2 15 5 5" xfId="17047"/>
    <cellStyle name="20% - Accent2 15 6" xfId="1728"/>
    <cellStyle name="20% - Accent2 15 6 2" xfId="1729"/>
    <cellStyle name="20% - Accent2 15 6 2 2" xfId="13100"/>
    <cellStyle name="20% - Accent2 15 6 2 3" xfId="17051"/>
    <cellStyle name="20% - Accent2 15 6 3" xfId="1730"/>
    <cellStyle name="20% - Accent2 15 6 3 2" xfId="13101"/>
    <cellStyle name="20% - Accent2 15 6 3 3" xfId="17052"/>
    <cellStyle name="20% - Accent2 15 6 4" xfId="13099"/>
    <cellStyle name="20% - Accent2 15 6 5" xfId="17050"/>
    <cellStyle name="20% - Accent2 15 7" xfId="1731"/>
    <cellStyle name="20% - Accent2 15 7 2" xfId="13102"/>
    <cellStyle name="20% - Accent2 15 7 3" xfId="17053"/>
    <cellStyle name="20% - Accent2 15 8" xfId="1732"/>
    <cellStyle name="20% - Accent2 15 8 2" xfId="13103"/>
    <cellStyle name="20% - Accent2 15 8 3" xfId="17054"/>
    <cellStyle name="20% - Accent2 15 9" xfId="13071"/>
    <cellStyle name="20% - Accent2 15_Volatility" xfId="1733"/>
    <cellStyle name="20% - Accent2 16" xfId="1734"/>
    <cellStyle name="20% - Accent2 16 2" xfId="13104"/>
    <cellStyle name="20% - Accent2 16 3" xfId="17055"/>
    <cellStyle name="20% - Accent2 17" xfId="1735"/>
    <cellStyle name="20% - Accent2 17 2" xfId="13105"/>
    <cellStyle name="20% - Accent2 17 3" xfId="17056"/>
    <cellStyle name="20% - Accent2 18" xfId="1736"/>
    <cellStyle name="20% - Accent2 18 2" xfId="13106"/>
    <cellStyle name="20% - Accent2 18 3" xfId="17057"/>
    <cellStyle name="20% - Accent2 19" xfId="1737"/>
    <cellStyle name="20% - Accent2 19 2" xfId="13107"/>
    <cellStyle name="20% - Accent2 19 3" xfId="17058"/>
    <cellStyle name="20% - Accent2 2" xfId="1738"/>
    <cellStyle name="20% - Accent2 2 10" xfId="17059"/>
    <cellStyle name="20% - Accent2 2 2" xfId="1739"/>
    <cellStyle name="20% - Accent2 2 2 2" xfId="1740"/>
    <cellStyle name="20% - Accent2 2 2 2 2" xfId="1741"/>
    <cellStyle name="20% - Accent2 2 2 2 2 2" xfId="13111"/>
    <cellStyle name="20% - Accent2 2 2 2 2 3" xfId="17062"/>
    <cellStyle name="20% - Accent2 2 2 2 3" xfId="1742"/>
    <cellStyle name="20% - Accent2 2 2 2 3 2" xfId="13112"/>
    <cellStyle name="20% - Accent2 2 2 2 3 3" xfId="17063"/>
    <cellStyle name="20% - Accent2 2 2 2 4" xfId="13110"/>
    <cellStyle name="20% - Accent2 2 2 2 5" xfId="17061"/>
    <cellStyle name="20% - Accent2 2 2 3" xfId="1743"/>
    <cellStyle name="20% - Accent2 2 2 3 2" xfId="1744"/>
    <cellStyle name="20% - Accent2 2 2 3 2 2" xfId="13114"/>
    <cellStyle name="20% - Accent2 2 2 3 2 3" xfId="17065"/>
    <cellStyle name="20% - Accent2 2 2 3 3" xfId="1745"/>
    <cellStyle name="20% - Accent2 2 2 3 3 2" xfId="13115"/>
    <cellStyle name="20% - Accent2 2 2 3 3 3" xfId="17066"/>
    <cellStyle name="20% - Accent2 2 2 3 4" xfId="13113"/>
    <cellStyle name="20% - Accent2 2 2 3 5" xfId="17064"/>
    <cellStyle name="20% - Accent2 2 2 4" xfId="1746"/>
    <cellStyle name="20% - Accent2 2 2 4 2" xfId="1747"/>
    <cellStyle name="20% - Accent2 2 2 4 2 2" xfId="13117"/>
    <cellStyle name="20% - Accent2 2 2 4 2 3" xfId="17068"/>
    <cellStyle name="20% - Accent2 2 2 4 3" xfId="1748"/>
    <cellStyle name="20% - Accent2 2 2 4 3 2" xfId="13118"/>
    <cellStyle name="20% - Accent2 2 2 4 3 3" xfId="17069"/>
    <cellStyle name="20% - Accent2 2 2 4 4" xfId="13116"/>
    <cellStyle name="20% - Accent2 2 2 4 5" xfId="17067"/>
    <cellStyle name="20% - Accent2 2 2 5" xfId="1749"/>
    <cellStyle name="20% - Accent2 2 2 5 2" xfId="13119"/>
    <cellStyle name="20% - Accent2 2 2 5 3" xfId="17070"/>
    <cellStyle name="20% - Accent2 2 2 6" xfId="1750"/>
    <cellStyle name="20% - Accent2 2 2 6 2" xfId="13120"/>
    <cellStyle name="20% - Accent2 2 2 6 3" xfId="17071"/>
    <cellStyle name="20% - Accent2 2 2 7" xfId="13109"/>
    <cellStyle name="20% - Accent2 2 2 8" xfId="17060"/>
    <cellStyle name="20% - Accent2 2 2_Volatility" xfId="1751"/>
    <cellStyle name="20% - Accent2 2 3" xfId="1752"/>
    <cellStyle name="20% - Accent2 2 3 2" xfId="1753"/>
    <cellStyle name="20% - Accent2 2 3 2 2" xfId="1754"/>
    <cellStyle name="20% - Accent2 2 3 2 2 2" xfId="13123"/>
    <cellStyle name="20% - Accent2 2 3 2 2 3" xfId="17074"/>
    <cellStyle name="20% - Accent2 2 3 2 3" xfId="1755"/>
    <cellStyle name="20% - Accent2 2 3 2 3 2" xfId="13124"/>
    <cellStyle name="20% - Accent2 2 3 2 3 3" xfId="17075"/>
    <cellStyle name="20% - Accent2 2 3 2 4" xfId="13122"/>
    <cellStyle name="20% - Accent2 2 3 2 5" xfId="17073"/>
    <cellStyle name="20% - Accent2 2 3 3" xfId="1756"/>
    <cellStyle name="20% - Accent2 2 3 3 2" xfId="1757"/>
    <cellStyle name="20% - Accent2 2 3 3 2 2" xfId="13126"/>
    <cellStyle name="20% - Accent2 2 3 3 2 3" xfId="17077"/>
    <cellStyle name="20% - Accent2 2 3 3 3" xfId="1758"/>
    <cellStyle name="20% - Accent2 2 3 3 3 2" xfId="13127"/>
    <cellStyle name="20% - Accent2 2 3 3 3 3" xfId="17078"/>
    <cellStyle name="20% - Accent2 2 3 3 4" xfId="13125"/>
    <cellStyle name="20% - Accent2 2 3 3 5" xfId="17076"/>
    <cellStyle name="20% - Accent2 2 3 4" xfId="1759"/>
    <cellStyle name="20% - Accent2 2 3 4 2" xfId="13128"/>
    <cellStyle name="20% - Accent2 2 3 4 3" xfId="17079"/>
    <cellStyle name="20% - Accent2 2 3 5" xfId="1760"/>
    <cellStyle name="20% - Accent2 2 3 5 2" xfId="13129"/>
    <cellStyle name="20% - Accent2 2 3 5 3" xfId="17080"/>
    <cellStyle name="20% - Accent2 2 3 6" xfId="13121"/>
    <cellStyle name="20% - Accent2 2 3 7" xfId="17072"/>
    <cellStyle name="20% - Accent2 2 3_Volatility" xfId="1761"/>
    <cellStyle name="20% - Accent2 2 4" xfId="1762"/>
    <cellStyle name="20% - Accent2 2 4 2" xfId="1763"/>
    <cellStyle name="20% - Accent2 2 4 2 2" xfId="13131"/>
    <cellStyle name="20% - Accent2 2 4 2 3" xfId="17082"/>
    <cellStyle name="20% - Accent2 2 4 3" xfId="1764"/>
    <cellStyle name="20% - Accent2 2 4 3 2" xfId="13132"/>
    <cellStyle name="20% - Accent2 2 4 3 3" xfId="17083"/>
    <cellStyle name="20% - Accent2 2 4 4" xfId="13130"/>
    <cellStyle name="20% - Accent2 2 4 5" xfId="17081"/>
    <cellStyle name="20% - Accent2 2 5" xfId="1765"/>
    <cellStyle name="20% - Accent2 2 5 2" xfId="1766"/>
    <cellStyle name="20% - Accent2 2 5 2 2" xfId="13134"/>
    <cellStyle name="20% - Accent2 2 5 2 3" xfId="17085"/>
    <cellStyle name="20% - Accent2 2 5 3" xfId="1767"/>
    <cellStyle name="20% - Accent2 2 5 3 2" xfId="13135"/>
    <cellStyle name="20% - Accent2 2 5 3 3" xfId="17086"/>
    <cellStyle name="20% - Accent2 2 5 4" xfId="13133"/>
    <cellStyle name="20% - Accent2 2 5 5" xfId="17084"/>
    <cellStyle name="20% - Accent2 2 6" xfId="1768"/>
    <cellStyle name="20% - Accent2 2 6 2" xfId="1769"/>
    <cellStyle name="20% - Accent2 2 6 2 2" xfId="13137"/>
    <cellStyle name="20% - Accent2 2 6 2 3" xfId="17088"/>
    <cellStyle name="20% - Accent2 2 6 3" xfId="1770"/>
    <cellStyle name="20% - Accent2 2 6 3 2" xfId="13138"/>
    <cellStyle name="20% - Accent2 2 6 3 3" xfId="17089"/>
    <cellStyle name="20% - Accent2 2 6 4" xfId="13136"/>
    <cellStyle name="20% - Accent2 2 6 5" xfId="17087"/>
    <cellStyle name="20% - Accent2 2 7" xfId="1771"/>
    <cellStyle name="20% - Accent2 2 7 2" xfId="13139"/>
    <cellStyle name="20% - Accent2 2 7 3" xfId="17090"/>
    <cellStyle name="20% - Accent2 2 8" xfId="1772"/>
    <cellStyle name="20% - Accent2 2 8 2" xfId="13140"/>
    <cellStyle name="20% - Accent2 2 8 3" xfId="17091"/>
    <cellStyle name="20% - Accent2 2 9" xfId="13108"/>
    <cellStyle name="20% - Accent2 2_Volatility" xfId="1773"/>
    <cellStyle name="20% - Accent2 3" xfId="1774"/>
    <cellStyle name="20% - Accent2 3 10" xfId="17092"/>
    <cellStyle name="20% - Accent2 3 2" xfId="1775"/>
    <cellStyle name="20% - Accent2 3 2 2" xfId="1776"/>
    <cellStyle name="20% - Accent2 3 2 2 2" xfId="1777"/>
    <cellStyle name="20% - Accent2 3 2 2 2 2" xfId="13144"/>
    <cellStyle name="20% - Accent2 3 2 2 2 3" xfId="17095"/>
    <cellStyle name="20% - Accent2 3 2 2 3" xfId="1778"/>
    <cellStyle name="20% - Accent2 3 2 2 3 2" xfId="13145"/>
    <cellStyle name="20% - Accent2 3 2 2 3 3" xfId="17096"/>
    <cellStyle name="20% - Accent2 3 2 2 4" xfId="13143"/>
    <cellStyle name="20% - Accent2 3 2 2 5" xfId="17094"/>
    <cellStyle name="20% - Accent2 3 2 3" xfId="1779"/>
    <cellStyle name="20% - Accent2 3 2 3 2" xfId="1780"/>
    <cellStyle name="20% - Accent2 3 2 3 2 2" xfId="13147"/>
    <cellStyle name="20% - Accent2 3 2 3 2 3" xfId="17098"/>
    <cellStyle name="20% - Accent2 3 2 3 3" xfId="1781"/>
    <cellStyle name="20% - Accent2 3 2 3 3 2" xfId="13148"/>
    <cellStyle name="20% - Accent2 3 2 3 3 3" xfId="17099"/>
    <cellStyle name="20% - Accent2 3 2 3 4" xfId="13146"/>
    <cellStyle name="20% - Accent2 3 2 3 5" xfId="17097"/>
    <cellStyle name="20% - Accent2 3 2 4" xfId="1782"/>
    <cellStyle name="20% - Accent2 3 2 4 2" xfId="1783"/>
    <cellStyle name="20% - Accent2 3 2 4 2 2" xfId="13150"/>
    <cellStyle name="20% - Accent2 3 2 4 2 3" xfId="17101"/>
    <cellStyle name="20% - Accent2 3 2 4 3" xfId="1784"/>
    <cellStyle name="20% - Accent2 3 2 4 3 2" xfId="13151"/>
    <cellStyle name="20% - Accent2 3 2 4 3 3" xfId="17102"/>
    <cellStyle name="20% - Accent2 3 2 4 4" xfId="13149"/>
    <cellStyle name="20% - Accent2 3 2 4 5" xfId="17100"/>
    <cellStyle name="20% - Accent2 3 2 5" xfId="1785"/>
    <cellStyle name="20% - Accent2 3 2 5 2" xfId="13152"/>
    <cellStyle name="20% - Accent2 3 2 5 3" xfId="17103"/>
    <cellStyle name="20% - Accent2 3 2 6" xfId="1786"/>
    <cellStyle name="20% - Accent2 3 2 6 2" xfId="13153"/>
    <cellStyle name="20% - Accent2 3 2 6 3" xfId="17104"/>
    <cellStyle name="20% - Accent2 3 2 7" xfId="13142"/>
    <cellStyle name="20% - Accent2 3 2 8" xfId="17093"/>
    <cellStyle name="20% - Accent2 3 2_Volatility" xfId="1787"/>
    <cellStyle name="20% - Accent2 3 3" xfId="1788"/>
    <cellStyle name="20% - Accent2 3 3 2" xfId="1789"/>
    <cellStyle name="20% - Accent2 3 3 2 2" xfId="1790"/>
    <cellStyle name="20% - Accent2 3 3 2 2 2" xfId="13156"/>
    <cellStyle name="20% - Accent2 3 3 2 2 3" xfId="17107"/>
    <cellStyle name="20% - Accent2 3 3 2 3" xfId="1791"/>
    <cellStyle name="20% - Accent2 3 3 2 3 2" xfId="13157"/>
    <cellStyle name="20% - Accent2 3 3 2 3 3" xfId="17108"/>
    <cellStyle name="20% - Accent2 3 3 2 4" xfId="13155"/>
    <cellStyle name="20% - Accent2 3 3 2 5" xfId="17106"/>
    <cellStyle name="20% - Accent2 3 3 3" xfId="1792"/>
    <cellStyle name="20% - Accent2 3 3 3 2" xfId="1793"/>
    <cellStyle name="20% - Accent2 3 3 3 2 2" xfId="13159"/>
    <cellStyle name="20% - Accent2 3 3 3 2 3" xfId="17110"/>
    <cellStyle name="20% - Accent2 3 3 3 3" xfId="1794"/>
    <cellStyle name="20% - Accent2 3 3 3 3 2" xfId="13160"/>
    <cellStyle name="20% - Accent2 3 3 3 3 3" xfId="17111"/>
    <cellStyle name="20% - Accent2 3 3 3 4" xfId="13158"/>
    <cellStyle name="20% - Accent2 3 3 3 5" xfId="17109"/>
    <cellStyle name="20% - Accent2 3 3 4" xfId="1795"/>
    <cellStyle name="20% - Accent2 3 3 4 2" xfId="13161"/>
    <cellStyle name="20% - Accent2 3 3 4 3" xfId="17112"/>
    <cellStyle name="20% - Accent2 3 3 5" xfId="1796"/>
    <cellStyle name="20% - Accent2 3 3 5 2" xfId="13162"/>
    <cellStyle name="20% - Accent2 3 3 5 3" xfId="17113"/>
    <cellStyle name="20% - Accent2 3 3 6" xfId="13154"/>
    <cellStyle name="20% - Accent2 3 3 7" xfId="17105"/>
    <cellStyle name="20% - Accent2 3 3_Volatility" xfId="1797"/>
    <cellStyle name="20% - Accent2 3 4" xfId="1798"/>
    <cellStyle name="20% - Accent2 3 4 2" xfId="1799"/>
    <cellStyle name="20% - Accent2 3 4 2 2" xfId="13164"/>
    <cellStyle name="20% - Accent2 3 4 2 3" xfId="17115"/>
    <cellStyle name="20% - Accent2 3 4 3" xfId="1800"/>
    <cellStyle name="20% - Accent2 3 4 3 2" xfId="13165"/>
    <cellStyle name="20% - Accent2 3 4 3 3" xfId="17116"/>
    <cellStyle name="20% - Accent2 3 4 4" xfId="13163"/>
    <cellStyle name="20% - Accent2 3 4 5" xfId="17114"/>
    <cellStyle name="20% - Accent2 3 5" xfId="1801"/>
    <cellStyle name="20% - Accent2 3 5 2" xfId="1802"/>
    <cellStyle name="20% - Accent2 3 5 2 2" xfId="13167"/>
    <cellStyle name="20% - Accent2 3 5 2 3" xfId="17118"/>
    <cellStyle name="20% - Accent2 3 5 3" xfId="1803"/>
    <cellStyle name="20% - Accent2 3 5 3 2" xfId="13168"/>
    <cellStyle name="20% - Accent2 3 5 3 3" xfId="17119"/>
    <cellStyle name="20% - Accent2 3 5 4" xfId="13166"/>
    <cellStyle name="20% - Accent2 3 5 5" xfId="17117"/>
    <cellStyle name="20% - Accent2 3 6" xfId="1804"/>
    <cellStyle name="20% - Accent2 3 6 2" xfId="1805"/>
    <cellStyle name="20% - Accent2 3 6 2 2" xfId="13170"/>
    <cellStyle name="20% - Accent2 3 6 2 3" xfId="17121"/>
    <cellStyle name="20% - Accent2 3 6 3" xfId="1806"/>
    <cellStyle name="20% - Accent2 3 6 3 2" xfId="13171"/>
    <cellStyle name="20% - Accent2 3 6 3 3" xfId="17122"/>
    <cellStyle name="20% - Accent2 3 6 4" xfId="13169"/>
    <cellStyle name="20% - Accent2 3 6 5" xfId="17120"/>
    <cellStyle name="20% - Accent2 3 7" xfId="1807"/>
    <cellStyle name="20% - Accent2 3 7 2" xfId="13172"/>
    <cellStyle name="20% - Accent2 3 7 3" xfId="17123"/>
    <cellStyle name="20% - Accent2 3 8" xfId="1808"/>
    <cellStyle name="20% - Accent2 3 8 2" xfId="13173"/>
    <cellStyle name="20% - Accent2 3 8 3" xfId="17124"/>
    <cellStyle name="20% - Accent2 3 9" xfId="13141"/>
    <cellStyle name="20% - Accent2 3_Volatility" xfId="1809"/>
    <cellStyle name="20% - Accent2 4" xfId="1810"/>
    <cellStyle name="20% - Accent2 4 10" xfId="17125"/>
    <cellStyle name="20% - Accent2 4 2" xfId="1811"/>
    <cellStyle name="20% - Accent2 4 2 2" xfId="1812"/>
    <cellStyle name="20% - Accent2 4 2 2 2" xfId="1813"/>
    <cellStyle name="20% - Accent2 4 2 2 2 2" xfId="13177"/>
    <cellStyle name="20% - Accent2 4 2 2 2 3" xfId="17128"/>
    <cellStyle name="20% - Accent2 4 2 2 3" xfId="1814"/>
    <cellStyle name="20% - Accent2 4 2 2 3 2" xfId="13178"/>
    <cellStyle name="20% - Accent2 4 2 2 3 3" xfId="17129"/>
    <cellStyle name="20% - Accent2 4 2 2 4" xfId="13176"/>
    <cellStyle name="20% - Accent2 4 2 2 5" xfId="17127"/>
    <cellStyle name="20% - Accent2 4 2 3" xfId="1815"/>
    <cellStyle name="20% - Accent2 4 2 3 2" xfId="1816"/>
    <cellStyle name="20% - Accent2 4 2 3 2 2" xfId="13180"/>
    <cellStyle name="20% - Accent2 4 2 3 2 3" xfId="17131"/>
    <cellStyle name="20% - Accent2 4 2 3 3" xfId="1817"/>
    <cellStyle name="20% - Accent2 4 2 3 3 2" xfId="13181"/>
    <cellStyle name="20% - Accent2 4 2 3 3 3" xfId="17132"/>
    <cellStyle name="20% - Accent2 4 2 3 4" xfId="13179"/>
    <cellStyle name="20% - Accent2 4 2 3 5" xfId="17130"/>
    <cellStyle name="20% - Accent2 4 2 4" xfId="1818"/>
    <cellStyle name="20% - Accent2 4 2 4 2" xfId="1819"/>
    <cellStyle name="20% - Accent2 4 2 4 2 2" xfId="13183"/>
    <cellStyle name="20% - Accent2 4 2 4 2 3" xfId="17134"/>
    <cellStyle name="20% - Accent2 4 2 4 3" xfId="1820"/>
    <cellStyle name="20% - Accent2 4 2 4 3 2" xfId="13184"/>
    <cellStyle name="20% - Accent2 4 2 4 3 3" xfId="17135"/>
    <cellStyle name="20% - Accent2 4 2 4 4" xfId="13182"/>
    <cellStyle name="20% - Accent2 4 2 4 5" xfId="17133"/>
    <cellStyle name="20% - Accent2 4 2 5" xfId="1821"/>
    <cellStyle name="20% - Accent2 4 2 5 2" xfId="13185"/>
    <cellStyle name="20% - Accent2 4 2 5 3" xfId="17136"/>
    <cellStyle name="20% - Accent2 4 2 6" xfId="1822"/>
    <cellStyle name="20% - Accent2 4 2 6 2" xfId="13186"/>
    <cellStyle name="20% - Accent2 4 2 6 3" xfId="17137"/>
    <cellStyle name="20% - Accent2 4 2 7" xfId="13175"/>
    <cellStyle name="20% - Accent2 4 2 8" xfId="17126"/>
    <cellStyle name="20% - Accent2 4 2_Volatility" xfId="1823"/>
    <cellStyle name="20% - Accent2 4 3" xfId="1824"/>
    <cellStyle name="20% - Accent2 4 3 2" xfId="1825"/>
    <cellStyle name="20% - Accent2 4 3 2 2" xfId="1826"/>
    <cellStyle name="20% - Accent2 4 3 2 2 2" xfId="13189"/>
    <cellStyle name="20% - Accent2 4 3 2 2 3" xfId="17140"/>
    <cellStyle name="20% - Accent2 4 3 2 3" xfId="1827"/>
    <cellStyle name="20% - Accent2 4 3 2 3 2" xfId="13190"/>
    <cellStyle name="20% - Accent2 4 3 2 3 3" xfId="17141"/>
    <cellStyle name="20% - Accent2 4 3 2 4" xfId="13188"/>
    <cellStyle name="20% - Accent2 4 3 2 5" xfId="17139"/>
    <cellStyle name="20% - Accent2 4 3 3" xfId="1828"/>
    <cellStyle name="20% - Accent2 4 3 3 2" xfId="1829"/>
    <cellStyle name="20% - Accent2 4 3 3 2 2" xfId="13192"/>
    <cellStyle name="20% - Accent2 4 3 3 2 3" xfId="17143"/>
    <cellStyle name="20% - Accent2 4 3 3 3" xfId="1830"/>
    <cellStyle name="20% - Accent2 4 3 3 3 2" xfId="13193"/>
    <cellStyle name="20% - Accent2 4 3 3 3 3" xfId="17144"/>
    <cellStyle name="20% - Accent2 4 3 3 4" xfId="13191"/>
    <cellStyle name="20% - Accent2 4 3 3 5" xfId="17142"/>
    <cellStyle name="20% - Accent2 4 3 4" xfId="1831"/>
    <cellStyle name="20% - Accent2 4 3 4 2" xfId="13194"/>
    <cellStyle name="20% - Accent2 4 3 4 3" xfId="17145"/>
    <cellStyle name="20% - Accent2 4 3 5" xfId="1832"/>
    <cellStyle name="20% - Accent2 4 3 5 2" xfId="13195"/>
    <cellStyle name="20% - Accent2 4 3 5 3" xfId="17146"/>
    <cellStyle name="20% - Accent2 4 3 6" xfId="13187"/>
    <cellStyle name="20% - Accent2 4 3 7" xfId="17138"/>
    <cellStyle name="20% - Accent2 4 3_Volatility" xfId="1833"/>
    <cellStyle name="20% - Accent2 4 4" xfId="1834"/>
    <cellStyle name="20% - Accent2 4 4 2" xfId="1835"/>
    <cellStyle name="20% - Accent2 4 4 2 2" xfId="13197"/>
    <cellStyle name="20% - Accent2 4 4 2 3" xfId="17148"/>
    <cellStyle name="20% - Accent2 4 4 3" xfId="1836"/>
    <cellStyle name="20% - Accent2 4 4 3 2" xfId="13198"/>
    <cellStyle name="20% - Accent2 4 4 3 3" xfId="17149"/>
    <cellStyle name="20% - Accent2 4 4 4" xfId="13196"/>
    <cellStyle name="20% - Accent2 4 4 5" xfId="17147"/>
    <cellStyle name="20% - Accent2 4 5" xfId="1837"/>
    <cellStyle name="20% - Accent2 4 5 2" xfId="1838"/>
    <cellStyle name="20% - Accent2 4 5 2 2" xfId="13200"/>
    <cellStyle name="20% - Accent2 4 5 2 3" xfId="17151"/>
    <cellStyle name="20% - Accent2 4 5 3" xfId="1839"/>
    <cellStyle name="20% - Accent2 4 5 3 2" xfId="13201"/>
    <cellStyle name="20% - Accent2 4 5 3 3" xfId="17152"/>
    <cellStyle name="20% - Accent2 4 5 4" xfId="13199"/>
    <cellStyle name="20% - Accent2 4 5 5" xfId="17150"/>
    <cellStyle name="20% - Accent2 4 6" xfId="1840"/>
    <cellStyle name="20% - Accent2 4 6 2" xfId="1841"/>
    <cellStyle name="20% - Accent2 4 6 2 2" xfId="13203"/>
    <cellStyle name="20% - Accent2 4 6 2 3" xfId="17154"/>
    <cellStyle name="20% - Accent2 4 6 3" xfId="1842"/>
    <cellStyle name="20% - Accent2 4 6 3 2" xfId="13204"/>
    <cellStyle name="20% - Accent2 4 6 3 3" xfId="17155"/>
    <cellStyle name="20% - Accent2 4 6 4" xfId="13202"/>
    <cellStyle name="20% - Accent2 4 6 5" xfId="17153"/>
    <cellStyle name="20% - Accent2 4 7" xfId="1843"/>
    <cellStyle name="20% - Accent2 4 7 2" xfId="13205"/>
    <cellStyle name="20% - Accent2 4 7 3" xfId="17156"/>
    <cellStyle name="20% - Accent2 4 8" xfId="1844"/>
    <cellStyle name="20% - Accent2 4 8 2" xfId="13206"/>
    <cellStyle name="20% - Accent2 4 8 3" xfId="17157"/>
    <cellStyle name="20% - Accent2 4 9" xfId="13174"/>
    <cellStyle name="20% - Accent2 4_Volatility" xfId="1845"/>
    <cellStyle name="20% - Accent2 5" xfId="1846"/>
    <cellStyle name="20% - Accent2 5 10" xfId="17158"/>
    <cellStyle name="20% - Accent2 5 2" xfId="1847"/>
    <cellStyle name="20% - Accent2 5 2 2" xfId="1848"/>
    <cellStyle name="20% - Accent2 5 2 2 2" xfId="1849"/>
    <cellStyle name="20% - Accent2 5 2 2 2 2" xfId="13210"/>
    <cellStyle name="20% - Accent2 5 2 2 2 3" xfId="17161"/>
    <cellStyle name="20% - Accent2 5 2 2 3" xfId="1850"/>
    <cellStyle name="20% - Accent2 5 2 2 3 2" xfId="13211"/>
    <cellStyle name="20% - Accent2 5 2 2 3 3" xfId="17162"/>
    <cellStyle name="20% - Accent2 5 2 2 4" xfId="13209"/>
    <cellStyle name="20% - Accent2 5 2 2 5" xfId="17160"/>
    <cellStyle name="20% - Accent2 5 2 3" xfId="1851"/>
    <cellStyle name="20% - Accent2 5 2 3 2" xfId="1852"/>
    <cellStyle name="20% - Accent2 5 2 3 2 2" xfId="13213"/>
    <cellStyle name="20% - Accent2 5 2 3 2 3" xfId="17164"/>
    <cellStyle name="20% - Accent2 5 2 3 3" xfId="1853"/>
    <cellStyle name="20% - Accent2 5 2 3 3 2" xfId="13214"/>
    <cellStyle name="20% - Accent2 5 2 3 3 3" xfId="17165"/>
    <cellStyle name="20% - Accent2 5 2 3 4" xfId="13212"/>
    <cellStyle name="20% - Accent2 5 2 3 5" xfId="17163"/>
    <cellStyle name="20% - Accent2 5 2 4" xfId="1854"/>
    <cellStyle name="20% - Accent2 5 2 4 2" xfId="1855"/>
    <cellStyle name="20% - Accent2 5 2 4 2 2" xfId="13216"/>
    <cellStyle name="20% - Accent2 5 2 4 2 3" xfId="17167"/>
    <cellStyle name="20% - Accent2 5 2 4 3" xfId="1856"/>
    <cellStyle name="20% - Accent2 5 2 4 3 2" xfId="13217"/>
    <cellStyle name="20% - Accent2 5 2 4 3 3" xfId="17168"/>
    <cellStyle name="20% - Accent2 5 2 4 4" xfId="13215"/>
    <cellStyle name="20% - Accent2 5 2 4 5" xfId="17166"/>
    <cellStyle name="20% - Accent2 5 2 5" xfId="1857"/>
    <cellStyle name="20% - Accent2 5 2 5 2" xfId="13218"/>
    <cellStyle name="20% - Accent2 5 2 5 3" xfId="17169"/>
    <cellStyle name="20% - Accent2 5 2 6" xfId="1858"/>
    <cellStyle name="20% - Accent2 5 2 6 2" xfId="13219"/>
    <cellStyle name="20% - Accent2 5 2 6 3" xfId="17170"/>
    <cellStyle name="20% - Accent2 5 2 7" xfId="13208"/>
    <cellStyle name="20% - Accent2 5 2 8" xfId="17159"/>
    <cellStyle name="20% - Accent2 5 2_Volatility" xfId="1859"/>
    <cellStyle name="20% - Accent2 5 3" xfId="1860"/>
    <cellStyle name="20% - Accent2 5 3 2" xfId="1861"/>
    <cellStyle name="20% - Accent2 5 3 2 2" xfId="1862"/>
    <cellStyle name="20% - Accent2 5 3 2 2 2" xfId="13222"/>
    <cellStyle name="20% - Accent2 5 3 2 2 3" xfId="17173"/>
    <cellStyle name="20% - Accent2 5 3 2 3" xfId="1863"/>
    <cellStyle name="20% - Accent2 5 3 2 3 2" xfId="13223"/>
    <cellStyle name="20% - Accent2 5 3 2 3 3" xfId="17174"/>
    <cellStyle name="20% - Accent2 5 3 2 4" xfId="13221"/>
    <cellStyle name="20% - Accent2 5 3 2 5" xfId="17172"/>
    <cellStyle name="20% - Accent2 5 3 3" xfId="1864"/>
    <cellStyle name="20% - Accent2 5 3 3 2" xfId="1865"/>
    <cellStyle name="20% - Accent2 5 3 3 2 2" xfId="13225"/>
    <cellStyle name="20% - Accent2 5 3 3 2 3" xfId="17176"/>
    <cellStyle name="20% - Accent2 5 3 3 3" xfId="1866"/>
    <cellStyle name="20% - Accent2 5 3 3 3 2" xfId="13226"/>
    <cellStyle name="20% - Accent2 5 3 3 3 3" xfId="17177"/>
    <cellStyle name="20% - Accent2 5 3 3 4" xfId="13224"/>
    <cellStyle name="20% - Accent2 5 3 3 5" xfId="17175"/>
    <cellStyle name="20% - Accent2 5 3 4" xfId="1867"/>
    <cellStyle name="20% - Accent2 5 3 4 2" xfId="13227"/>
    <cellStyle name="20% - Accent2 5 3 4 3" xfId="17178"/>
    <cellStyle name="20% - Accent2 5 3 5" xfId="1868"/>
    <cellStyle name="20% - Accent2 5 3 5 2" xfId="13228"/>
    <cellStyle name="20% - Accent2 5 3 5 3" xfId="17179"/>
    <cellStyle name="20% - Accent2 5 3 6" xfId="13220"/>
    <cellStyle name="20% - Accent2 5 3 7" xfId="17171"/>
    <cellStyle name="20% - Accent2 5 3_Volatility" xfId="1869"/>
    <cellStyle name="20% - Accent2 5 4" xfId="1870"/>
    <cellStyle name="20% - Accent2 5 4 2" xfId="1871"/>
    <cellStyle name="20% - Accent2 5 4 2 2" xfId="13230"/>
    <cellStyle name="20% - Accent2 5 4 2 3" xfId="17181"/>
    <cellStyle name="20% - Accent2 5 4 3" xfId="1872"/>
    <cellStyle name="20% - Accent2 5 4 3 2" xfId="13231"/>
    <cellStyle name="20% - Accent2 5 4 3 3" xfId="17182"/>
    <cellStyle name="20% - Accent2 5 4 4" xfId="13229"/>
    <cellStyle name="20% - Accent2 5 4 5" xfId="17180"/>
    <cellStyle name="20% - Accent2 5 5" xfId="1873"/>
    <cellStyle name="20% - Accent2 5 5 2" xfId="1874"/>
    <cellStyle name="20% - Accent2 5 5 2 2" xfId="13233"/>
    <cellStyle name="20% - Accent2 5 5 2 3" xfId="17184"/>
    <cellStyle name="20% - Accent2 5 5 3" xfId="1875"/>
    <cellStyle name="20% - Accent2 5 5 3 2" xfId="13234"/>
    <cellStyle name="20% - Accent2 5 5 3 3" xfId="17185"/>
    <cellStyle name="20% - Accent2 5 5 4" xfId="13232"/>
    <cellStyle name="20% - Accent2 5 5 5" xfId="17183"/>
    <cellStyle name="20% - Accent2 5 6" xfId="1876"/>
    <cellStyle name="20% - Accent2 5 6 2" xfId="1877"/>
    <cellStyle name="20% - Accent2 5 6 2 2" xfId="13236"/>
    <cellStyle name="20% - Accent2 5 6 2 3" xfId="17187"/>
    <cellStyle name="20% - Accent2 5 6 3" xfId="1878"/>
    <cellStyle name="20% - Accent2 5 6 3 2" xfId="13237"/>
    <cellStyle name="20% - Accent2 5 6 3 3" xfId="17188"/>
    <cellStyle name="20% - Accent2 5 6 4" xfId="13235"/>
    <cellStyle name="20% - Accent2 5 6 5" xfId="17186"/>
    <cellStyle name="20% - Accent2 5 7" xfId="1879"/>
    <cellStyle name="20% - Accent2 5 7 2" xfId="13238"/>
    <cellStyle name="20% - Accent2 5 7 3" xfId="17189"/>
    <cellStyle name="20% - Accent2 5 8" xfId="1880"/>
    <cellStyle name="20% - Accent2 5 8 2" xfId="13239"/>
    <cellStyle name="20% - Accent2 5 8 3" xfId="17190"/>
    <cellStyle name="20% - Accent2 5 9" xfId="13207"/>
    <cellStyle name="20% - Accent2 5_Volatility" xfId="1881"/>
    <cellStyle name="20% - Accent2 6" xfId="1882"/>
    <cellStyle name="20% - Accent2 6 10" xfId="17191"/>
    <cellStyle name="20% - Accent2 6 2" xfId="1883"/>
    <cellStyle name="20% - Accent2 6 2 2" xfId="1884"/>
    <cellStyle name="20% - Accent2 6 2 2 2" xfId="1885"/>
    <cellStyle name="20% - Accent2 6 2 2 2 2" xfId="13243"/>
    <cellStyle name="20% - Accent2 6 2 2 2 3" xfId="17194"/>
    <cellStyle name="20% - Accent2 6 2 2 3" xfId="1886"/>
    <cellStyle name="20% - Accent2 6 2 2 3 2" xfId="13244"/>
    <cellStyle name="20% - Accent2 6 2 2 3 3" xfId="17195"/>
    <cellStyle name="20% - Accent2 6 2 2 4" xfId="13242"/>
    <cellStyle name="20% - Accent2 6 2 2 5" xfId="17193"/>
    <cellStyle name="20% - Accent2 6 2 3" xfId="1887"/>
    <cellStyle name="20% - Accent2 6 2 3 2" xfId="1888"/>
    <cellStyle name="20% - Accent2 6 2 3 2 2" xfId="13246"/>
    <cellStyle name="20% - Accent2 6 2 3 2 3" xfId="17197"/>
    <cellStyle name="20% - Accent2 6 2 3 3" xfId="1889"/>
    <cellStyle name="20% - Accent2 6 2 3 3 2" xfId="13247"/>
    <cellStyle name="20% - Accent2 6 2 3 3 3" xfId="17198"/>
    <cellStyle name="20% - Accent2 6 2 3 4" xfId="13245"/>
    <cellStyle name="20% - Accent2 6 2 3 5" xfId="17196"/>
    <cellStyle name="20% - Accent2 6 2 4" xfId="1890"/>
    <cellStyle name="20% - Accent2 6 2 4 2" xfId="1891"/>
    <cellStyle name="20% - Accent2 6 2 4 2 2" xfId="13249"/>
    <cellStyle name="20% - Accent2 6 2 4 2 3" xfId="17200"/>
    <cellStyle name="20% - Accent2 6 2 4 3" xfId="1892"/>
    <cellStyle name="20% - Accent2 6 2 4 3 2" xfId="13250"/>
    <cellStyle name="20% - Accent2 6 2 4 3 3" xfId="17201"/>
    <cellStyle name="20% - Accent2 6 2 4 4" xfId="13248"/>
    <cellStyle name="20% - Accent2 6 2 4 5" xfId="17199"/>
    <cellStyle name="20% - Accent2 6 2 5" xfId="1893"/>
    <cellStyle name="20% - Accent2 6 2 5 2" xfId="13251"/>
    <cellStyle name="20% - Accent2 6 2 5 3" xfId="17202"/>
    <cellStyle name="20% - Accent2 6 2 6" xfId="1894"/>
    <cellStyle name="20% - Accent2 6 2 6 2" xfId="13252"/>
    <cellStyle name="20% - Accent2 6 2 6 3" xfId="17203"/>
    <cellStyle name="20% - Accent2 6 2 7" xfId="13241"/>
    <cellStyle name="20% - Accent2 6 2 8" xfId="17192"/>
    <cellStyle name="20% - Accent2 6 2_Volatility" xfId="1895"/>
    <cellStyle name="20% - Accent2 6 3" xfId="1896"/>
    <cellStyle name="20% - Accent2 6 3 2" xfId="1897"/>
    <cellStyle name="20% - Accent2 6 3 2 2" xfId="1898"/>
    <cellStyle name="20% - Accent2 6 3 2 2 2" xfId="13255"/>
    <cellStyle name="20% - Accent2 6 3 2 2 3" xfId="17206"/>
    <cellStyle name="20% - Accent2 6 3 2 3" xfId="1899"/>
    <cellStyle name="20% - Accent2 6 3 2 3 2" xfId="13256"/>
    <cellStyle name="20% - Accent2 6 3 2 3 3" xfId="17207"/>
    <cellStyle name="20% - Accent2 6 3 2 4" xfId="13254"/>
    <cellStyle name="20% - Accent2 6 3 2 5" xfId="17205"/>
    <cellStyle name="20% - Accent2 6 3 3" xfId="1900"/>
    <cellStyle name="20% - Accent2 6 3 3 2" xfId="1901"/>
    <cellStyle name="20% - Accent2 6 3 3 2 2" xfId="13258"/>
    <cellStyle name="20% - Accent2 6 3 3 2 3" xfId="17209"/>
    <cellStyle name="20% - Accent2 6 3 3 3" xfId="1902"/>
    <cellStyle name="20% - Accent2 6 3 3 3 2" xfId="13259"/>
    <cellStyle name="20% - Accent2 6 3 3 3 3" xfId="17210"/>
    <cellStyle name="20% - Accent2 6 3 3 4" xfId="13257"/>
    <cellStyle name="20% - Accent2 6 3 3 5" xfId="17208"/>
    <cellStyle name="20% - Accent2 6 3 4" xfId="1903"/>
    <cellStyle name="20% - Accent2 6 3 4 2" xfId="13260"/>
    <cellStyle name="20% - Accent2 6 3 4 3" xfId="17211"/>
    <cellStyle name="20% - Accent2 6 3 5" xfId="1904"/>
    <cellStyle name="20% - Accent2 6 3 5 2" xfId="13261"/>
    <cellStyle name="20% - Accent2 6 3 5 3" xfId="17212"/>
    <cellStyle name="20% - Accent2 6 3 6" xfId="13253"/>
    <cellStyle name="20% - Accent2 6 3 7" xfId="17204"/>
    <cellStyle name="20% - Accent2 6 3_Volatility" xfId="1905"/>
    <cellStyle name="20% - Accent2 6 4" xfId="1906"/>
    <cellStyle name="20% - Accent2 6 4 2" xfId="1907"/>
    <cellStyle name="20% - Accent2 6 4 2 2" xfId="13263"/>
    <cellStyle name="20% - Accent2 6 4 2 3" xfId="17214"/>
    <cellStyle name="20% - Accent2 6 4 3" xfId="1908"/>
    <cellStyle name="20% - Accent2 6 4 3 2" xfId="13264"/>
    <cellStyle name="20% - Accent2 6 4 3 3" xfId="17215"/>
    <cellStyle name="20% - Accent2 6 4 4" xfId="13262"/>
    <cellStyle name="20% - Accent2 6 4 5" xfId="17213"/>
    <cellStyle name="20% - Accent2 6 5" xfId="1909"/>
    <cellStyle name="20% - Accent2 6 5 2" xfId="1910"/>
    <cellStyle name="20% - Accent2 6 5 2 2" xfId="13266"/>
    <cellStyle name="20% - Accent2 6 5 2 3" xfId="17217"/>
    <cellStyle name="20% - Accent2 6 5 3" xfId="1911"/>
    <cellStyle name="20% - Accent2 6 5 3 2" xfId="13267"/>
    <cellStyle name="20% - Accent2 6 5 3 3" xfId="17218"/>
    <cellStyle name="20% - Accent2 6 5 4" xfId="13265"/>
    <cellStyle name="20% - Accent2 6 5 5" xfId="17216"/>
    <cellStyle name="20% - Accent2 6 6" xfId="1912"/>
    <cellStyle name="20% - Accent2 6 6 2" xfId="1913"/>
    <cellStyle name="20% - Accent2 6 6 2 2" xfId="13269"/>
    <cellStyle name="20% - Accent2 6 6 2 3" xfId="17220"/>
    <cellStyle name="20% - Accent2 6 6 3" xfId="1914"/>
    <cellStyle name="20% - Accent2 6 6 3 2" xfId="13270"/>
    <cellStyle name="20% - Accent2 6 6 3 3" xfId="17221"/>
    <cellStyle name="20% - Accent2 6 6 4" xfId="13268"/>
    <cellStyle name="20% - Accent2 6 6 5" xfId="17219"/>
    <cellStyle name="20% - Accent2 6 7" xfId="1915"/>
    <cellStyle name="20% - Accent2 6 7 2" xfId="13271"/>
    <cellStyle name="20% - Accent2 6 7 3" xfId="17222"/>
    <cellStyle name="20% - Accent2 6 8" xfId="1916"/>
    <cellStyle name="20% - Accent2 6 8 2" xfId="13272"/>
    <cellStyle name="20% - Accent2 6 8 3" xfId="17223"/>
    <cellStyle name="20% - Accent2 6 9" xfId="13240"/>
    <cellStyle name="20% - Accent2 6_Volatility" xfId="1917"/>
    <cellStyle name="20% - Accent2 7" xfId="1918"/>
    <cellStyle name="20% - Accent2 7 10" xfId="17224"/>
    <cellStyle name="20% - Accent2 7 2" xfId="1919"/>
    <cellStyle name="20% - Accent2 7 2 2" xfId="1920"/>
    <cellStyle name="20% - Accent2 7 2 2 2" xfId="1921"/>
    <cellStyle name="20% - Accent2 7 2 2 2 2" xfId="13276"/>
    <cellStyle name="20% - Accent2 7 2 2 2 3" xfId="17227"/>
    <cellStyle name="20% - Accent2 7 2 2 3" xfId="1922"/>
    <cellStyle name="20% - Accent2 7 2 2 3 2" xfId="13277"/>
    <cellStyle name="20% - Accent2 7 2 2 3 3" xfId="17228"/>
    <cellStyle name="20% - Accent2 7 2 2 4" xfId="13275"/>
    <cellStyle name="20% - Accent2 7 2 2 5" xfId="17226"/>
    <cellStyle name="20% - Accent2 7 2 3" xfId="1923"/>
    <cellStyle name="20% - Accent2 7 2 3 2" xfId="1924"/>
    <cellStyle name="20% - Accent2 7 2 3 2 2" xfId="13279"/>
    <cellStyle name="20% - Accent2 7 2 3 2 3" xfId="17230"/>
    <cellStyle name="20% - Accent2 7 2 3 3" xfId="1925"/>
    <cellStyle name="20% - Accent2 7 2 3 3 2" xfId="13280"/>
    <cellStyle name="20% - Accent2 7 2 3 3 3" xfId="17231"/>
    <cellStyle name="20% - Accent2 7 2 3 4" xfId="13278"/>
    <cellStyle name="20% - Accent2 7 2 3 5" xfId="17229"/>
    <cellStyle name="20% - Accent2 7 2 4" xfId="1926"/>
    <cellStyle name="20% - Accent2 7 2 4 2" xfId="1927"/>
    <cellStyle name="20% - Accent2 7 2 4 2 2" xfId="13282"/>
    <cellStyle name="20% - Accent2 7 2 4 2 3" xfId="17233"/>
    <cellStyle name="20% - Accent2 7 2 4 3" xfId="1928"/>
    <cellStyle name="20% - Accent2 7 2 4 3 2" xfId="13283"/>
    <cellStyle name="20% - Accent2 7 2 4 3 3" xfId="17234"/>
    <cellStyle name="20% - Accent2 7 2 4 4" xfId="13281"/>
    <cellStyle name="20% - Accent2 7 2 4 5" xfId="17232"/>
    <cellStyle name="20% - Accent2 7 2 5" xfId="1929"/>
    <cellStyle name="20% - Accent2 7 2 5 2" xfId="13284"/>
    <cellStyle name="20% - Accent2 7 2 5 3" xfId="17235"/>
    <cellStyle name="20% - Accent2 7 2 6" xfId="1930"/>
    <cellStyle name="20% - Accent2 7 2 6 2" xfId="13285"/>
    <cellStyle name="20% - Accent2 7 2 6 3" xfId="17236"/>
    <cellStyle name="20% - Accent2 7 2 7" xfId="13274"/>
    <cellStyle name="20% - Accent2 7 2 8" xfId="17225"/>
    <cellStyle name="20% - Accent2 7 2_Volatility" xfId="1931"/>
    <cellStyle name="20% - Accent2 7 3" xfId="1932"/>
    <cellStyle name="20% - Accent2 7 3 2" xfId="1933"/>
    <cellStyle name="20% - Accent2 7 3 2 2" xfId="1934"/>
    <cellStyle name="20% - Accent2 7 3 2 2 2" xfId="13288"/>
    <cellStyle name="20% - Accent2 7 3 2 2 3" xfId="17239"/>
    <cellStyle name="20% - Accent2 7 3 2 3" xfId="1935"/>
    <cellStyle name="20% - Accent2 7 3 2 3 2" xfId="13289"/>
    <cellStyle name="20% - Accent2 7 3 2 3 3" xfId="17240"/>
    <cellStyle name="20% - Accent2 7 3 2 4" xfId="13287"/>
    <cellStyle name="20% - Accent2 7 3 2 5" xfId="17238"/>
    <cellStyle name="20% - Accent2 7 3 3" xfId="1936"/>
    <cellStyle name="20% - Accent2 7 3 3 2" xfId="1937"/>
    <cellStyle name="20% - Accent2 7 3 3 2 2" xfId="13291"/>
    <cellStyle name="20% - Accent2 7 3 3 2 3" xfId="17242"/>
    <cellStyle name="20% - Accent2 7 3 3 3" xfId="1938"/>
    <cellStyle name="20% - Accent2 7 3 3 3 2" xfId="13292"/>
    <cellStyle name="20% - Accent2 7 3 3 3 3" xfId="17243"/>
    <cellStyle name="20% - Accent2 7 3 3 4" xfId="13290"/>
    <cellStyle name="20% - Accent2 7 3 3 5" xfId="17241"/>
    <cellStyle name="20% - Accent2 7 3 4" xfId="1939"/>
    <cellStyle name="20% - Accent2 7 3 4 2" xfId="13293"/>
    <cellStyle name="20% - Accent2 7 3 4 3" xfId="17244"/>
    <cellStyle name="20% - Accent2 7 3 5" xfId="1940"/>
    <cellStyle name="20% - Accent2 7 3 5 2" xfId="13294"/>
    <cellStyle name="20% - Accent2 7 3 5 3" xfId="17245"/>
    <cellStyle name="20% - Accent2 7 3 6" xfId="13286"/>
    <cellStyle name="20% - Accent2 7 3 7" xfId="17237"/>
    <cellStyle name="20% - Accent2 7 3_Volatility" xfId="1941"/>
    <cellStyle name="20% - Accent2 7 4" xfId="1942"/>
    <cellStyle name="20% - Accent2 7 4 2" xfId="1943"/>
    <cellStyle name="20% - Accent2 7 4 2 2" xfId="13296"/>
    <cellStyle name="20% - Accent2 7 4 2 3" xfId="17247"/>
    <cellStyle name="20% - Accent2 7 4 3" xfId="1944"/>
    <cellStyle name="20% - Accent2 7 4 3 2" xfId="13297"/>
    <cellStyle name="20% - Accent2 7 4 3 3" xfId="17248"/>
    <cellStyle name="20% - Accent2 7 4 4" xfId="13295"/>
    <cellStyle name="20% - Accent2 7 4 5" xfId="17246"/>
    <cellStyle name="20% - Accent2 7 5" xfId="1945"/>
    <cellStyle name="20% - Accent2 7 5 2" xfId="1946"/>
    <cellStyle name="20% - Accent2 7 5 2 2" xfId="13299"/>
    <cellStyle name="20% - Accent2 7 5 2 3" xfId="17250"/>
    <cellStyle name="20% - Accent2 7 5 3" xfId="1947"/>
    <cellStyle name="20% - Accent2 7 5 3 2" xfId="13300"/>
    <cellStyle name="20% - Accent2 7 5 3 3" xfId="17251"/>
    <cellStyle name="20% - Accent2 7 5 4" xfId="13298"/>
    <cellStyle name="20% - Accent2 7 5 5" xfId="17249"/>
    <cellStyle name="20% - Accent2 7 6" xfId="1948"/>
    <cellStyle name="20% - Accent2 7 6 2" xfId="1949"/>
    <cellStyle name="20% - Accent2 7 6 2 2" xfId="13302"/>
    <cellStyle name="20% - Accent2 7 6 2 3" xfId="17253"/>
    <cellStyle name="20% - Accent2 7 6 3" xfId="1950"/>
    <cellStyle name="20% - Accent2 7 6 3 2" xfId="13303"/>
    <cellStyle name="20% - Accent2 7 6 3 3" xfId="17254"/>
    <cellStyle name="20% - Accent2 7 6 4" xfId="13301"/>
    <cellStyle name="20% - Accent2 7 6 5" xfId="17252"/>
    <cellStyle name="20% - Accent2 7 7" xfId="1951"/>
    <cellStyle name="20% - Accent2 7 7 2" xfId="13304"/>
    <cellStyle name="20% - Accent2 7 7 3" xfId="17255"/>
    <cellStyle name="20% - Accent2 7 8" xfId="1952"/>
    <cellStyle name="20% - Accent2 7 8 2" xfId="13305"/>
    <cellStyle name="20% - Accent2 7 8 3" xfId="17256"/>
    <cellStyle name="20% - Accent2 7 9" xfId="13273"/>
    <cellStyle name="20% - Accent2 7_Volatility" xfId="1953"/>
    <cellStyle name="20% - Accent2 8" xfId="1954"/>
    <cellStyle name="20% - Accent2 8 10" xfId="17257"/>
    <cellStyle name="20% - Accent2 8 2" xfId="1955"/>
    <cellStyle name="20% - Accent2 8 2 2" xfId="1956"/>
    <cellStyle name="20% - Accent2 8 2 2 2" xfId="1957"/>
    <cellStyle name="20% - Accent2 8 2 2 2 2" xfId="13309"/>
    <cellStyle name="20% - Accent2 8 2 2 2 3" xfId="17260"/>
    <cellStyle name="20% - Accent2 8 2 2 3" xfId="1958"/>
    <cellStyle name="20% - Accent2 8 2 2 3 2" xfId="13310"/>
    <cellStyle name="20% - Accent2 8 2 2 3 3" xfId="17261"/>
    <cellStyle name="20% - Accent2 8 2 2 4" xfId="13308"/>
    <cellStyle name="20% - Accent2 8 2 2 5" xfId="17259"/>
    <cellStyle name="20% - Accent2 8 2 3" xfId="1959"/>
    <cellStyle name="20% - Accent2 8 2 3 2" xfId="1960"/>
    <cellStyle name="20% - Accent2 8 2 3 2 2" xfId="13312"/>
    <cellStyle name="20% - Accent2 8 2 3 2 3" xfId="17263"/>
    <cellStyle name="20% - Accent2 8 2 3 3" xfId="1961"/>
    <cellStyle name="20% - Accent2 8 2 3 3 2" xfId="13313"/>
    <cellStyle name="20% - Accent2 8 2 3 3 3" xfId="17264"/>
    <cellStyle name="20% - Accent2 8 2 3 4" xfId="13311"/>
    <cellStyle name="20% - Accent2 8 2 3 5" xfId="17262"/>
    <cellStyle name="20% - Accent2 8 2 4" xfId="1962"/>
    <cellStyle name="20% - Accent2 8 2 4 2" xfId="1963"/>
    <cellStyle name="20% - Accent2 8 2 4 2 2" xfId="13315"/>
    <cellStyle name="20% - Accent2 8 2 4 2 3" xfId="17266"/>
    <cellStyle name="20% - Accent2 8 2 4 3" xfId="1964"/>
    <cellStyle name="20% - Accent2 8 2 4 3 2" xfId="13316"/>
    <cellStyle name="20% - Accent2 8 2 4 3 3" xfId="17267"/>
    <cellStyle name="20% - Accent2 8 2 4 4" xfId="13314"/>
    <cellStyle name="20% - Accent2 8 2 4 5" xfId="17265"/>
    <cellStyle name="20% - Accent2 8 2 5" xfId="1965"/>
    <cellStyle name="20% - Accent2 8 2 5 2" xfId="13317"/>
    <cellStyle name="20% - Accent2 8 2 5 3" xfId="17268"/>
    <cellStyle name="20% - Accent2 8 2 6" xfId="1966"/>
    <cellStyle name="20% - Accent2 8 2 6 2" xfId="13318"/>
    <cellStyle name="20% - Accent2 8 2 6 3" xfId="17269"/>
    <cellStyle name="20% - Accent2 8 2 7" xfId="13307"/>
    <cellStyle name="20% - Accent2 8 2 8" xfId="17258"/>
    <cellStyle name="20% - Accent2 8 2_Volatility" xfId="1967"/>
    <cellStyle name="20% - Accent2 8 3" xfId="1968"/>
    <cellStyle name="20% - Accent2 8 3 2" xfId="1969"/>
    <cellStyle name="20% - Accent2 8 3 2 2" xfId="1970"/>
    <cellStyle name="20% - Accent2 8 3 2 2 2" xfId="13321"/>
    <cellStyle name="20% - Accent2 8 3 2 2 3" xfId="17272"/>
    <cellStyle name="20% - Accent2 8 3 2 3" xfId="1971"/>
    <cellStyle name="20% - Accent2 8 3 2 3 2" xfId="13322"/>
    <cellStyle name="20% - Accent2 8 3 2 3 3" xfId="17273"/>
    <cellStyle name="20% - Accent2 8 3 2 4" xfId="13320"/>
    <cellStyle name="20% - Accent2 8 3 2 5" xfId="17271"/>
    <cellStyle name="20% - Accent2 8 3 3" xfId="1972"/>
    <cellStyle name="20% - Accent2 8 3 3 2" xfId="1973"/>
    <cellStyle name="20% - Accent2 8 3 3 2 2" xfId="13324"/>
    <cellStyle name="20% - Accent2 8 3 3 2 3" xfId="17275"/>
    <cellStyle name="20% - Accent2 8 3 3 3" xfId="1974"/>
    <cellStyle name="20% - Accent2 8 3 3 3 2" xfId="13325"/>
    <cellStyle name="20% - Accent2 8 3 3 3 3" xfId="17276"/>
    <cellStyle name="20% - Accent2 8 3 3 4" xfId="13323"/>
    <cellStyle name="20% - Accent2 8 3 3 5" xfId="17274"/>
    <cellStyle name="20% - Accent2 8 3 4" xfId="1975"/>
    <cellStyle name="20% - Accent2 8 3 4 2" xfId="13326"/>
    <cellStyle name="20% - Accent2 8 3 4 3" xfId="17277"/>
    <cellStyle name="20% - Accent2 8 3 5" xfId="1976"/>
    <cellStyle name="20% - Accent2 8 3 5 2" xfId="13327"/>
    <cellStyle name="20% - Accent2 8 3 5 3" xfId="17278"/>
    <cellStyle name="20% - Accent2 8 3 6" xfId="13319"/>
    <cellStyle name="20% - Accent2 8 3 7" xfId="17270"/>
    <cellStyle name="20% - Accent2 8 3_Volatility" xfId="1977"/>
    <cellStyle name="20% - Accent2 8 4" xfId="1978"/>
    <cellStyle name="20% - Accent2 8 4 2" xfId="1979"/>
    <cellStyle name="20% - Accent2 8 4 2 2" xfId="13329"/>
    <cellStyle name="20% - Accent2 8 4 2 3" xfId="17280"/>
    <cellStyle name="20% - Accent2 8 4 3" xfId="1980"/>
    <cellStyle name="20% - Accent2 8 4 3 2" xfId="13330"/>
    <cellStyle name="20% - Accent2 8 4 3 3" xfId="17281"/>
    <cellStyle name="20% - Accent2 8 4 4" xfId="13328"/>
    <cellStyle name="20% - Accent2 8 4 5" xfId="17279"/>
    <cellStyle name="20% - Accent2 8 5" xfId="1981"/>
    <cellStyle name="20% - Accent2 8 5 2" xfId="1982"/>
    <cellStyle name="20% - Accent2 8 5 2 2" xfId="13332"/>
    <cellStyle name="20% - Accent2 8 5 2 3" xfId="17283"/>
    <cellStyle name="20% - Accent2 8 5 3" xfId="1983"/>
    <cellStyle name="20% - Accent2 8 5 3 2" xfId="13333"/>
    <cellStyle name="20% - Accent2 8 5 3 3" xfId="17284"/>
    <cellStyle name="20% - Accent2 8 5 4" xfId="13331"/>
    <cellStyle name="20% - Accent2 8 5 5" xfId="17282"/>
    <cellStyle name="20% - Accent2 8 6" xfId="1984"/>
    <cellStyle name="20% - Accent2 8 6 2" xfId="1985"/>
    <cellStyle name="20% - Accent2 8 6 2 2" xfId="13335"/>
    <cellStyle name="20% - Accent2 8 6 2 3" xfId="17286"/>
    <cellStyle name="20% - Accent2 8 6 3" xfId="1986"/>
    <cellStyle name="20% - Accent2 8 6 3 2" xfId="13336"/>
    <cellStyle name="20% - Accent2 8 6 3 3" xfId="17287"/>
    <cellStyle name="20% - Accent2 8 6 4" xfId="13334"/>
    <cellStyle name="20% - Accent2 8 6 5" xfId="17285"/>
    <cellStyle name="20% - Accent2 8 7" xfId="1987"/>
    <cellStyle name="20% - Accent2 8 7 2" xfId="13337"/>
    <cellStyle name="20% - Accent2 8 7 3" xfId="17288"/>
    <cellStyle name="20% - Accent2 8 8" xfId="1988"/>
    <cellStyle name="20% - Accent2 8 8 2" xfId="13338"/>
    <cellStyle name="20% - Accent2 8 8 3" xfId="17289"/>
    <cellStyle name="20% - Accent2 8 9" xfId="13306"/>
    <cellStyle name="20% - Accent2 8_Volatility" xfId="1989"/>
    <cellStyle name="20% - Accent2 9" xfId="1990"/>
    <cellStyle name="20% - Accent2 9 10" xfId="17290"/>
    <cellStyle name="20% - Accent2 9 2" xfId="1991"/>
    <cellStyle name="20% - Accent2 9 2 2" xfId="1992"/>
    <cellStyle name="20% - Accent2 9 2 2 2" xfId="1993"/>
    <cellStyle name="20% - Accent2 9 2 2 2 2" xfId="13342"/>
    <cellStyle name="20% - Accent2 9 2 2 2 3" xfId="17293"/>
    <cellStyle name="20% - Accent2 9 2 2 3" xfId="1994"/>
    <cellStyle name="20% - Accent2 9 2 2 3 2" xfId="13343"/>
    <cellStyle name="20% - Accent2 9 2 2 3 3" xfId="17294"/>
    <cellStyle name="20% - Accent2 9 2 2 4" xfId="13341"/>
    <cellStyle name="20% - Accent2 9 2 2 5" xfId="17292"/>
    <cellStyle name="20% - Accent2 9 2 3" xfId="1995"/>
    <cellStyle name="20% - Accent2 9 2 3 2" xfId="1996"/>
    <cellStyle name="20% - Accent2 9 2 3 2 2" xfId="13345"/>
    <cellStyle name="20% - Accent2 9 2 3 2 3" xfId="17296"/>
    <cellStyle name="20% - Accent2 9 2 3 3" xfId="1997"/>
    <cellStyle name="20% - Accent2 9 2 3 3 2" xfId="13346"/>
    <cellStyle name="20% - Accent2 9 2 3 3 3" xfId="17297"/>
    <cellStyle name="20% - Accent2 9 2 3 4" xfId="13344"/>
    <cellStyle name="20% - Accent2 9 2 3 5" xfId="17295"/>
    <cellStyle name="20% - Accent2 9 2 4" xfId="1998"/>
    <cellStyle name="20% - Accent2 9 2 4 2" xfId="1999"/>
    <cellStyle name="20% - Accent2 9 2 4 2 2" xfId="13348"/>
    <cellStyle name="20% - Accent2 9 2 4 2 3" xfId="17299"/>
    <cellStyle name="20% - Accent2 9 2 4 3" xfId="2000"/>
    <cellStyle name="20% - Accent2 9 2 4 3 2" xfId="13349"/>
    <cellStyle name="20% - Accent2 9 2 4 3 3" xfId="17300"/>
    <cellStyle name="20% - Accent2 9 2 4 4" xfId="13347"/>
    <cellStyle name="20% - Accent2 9 2 4 5" xfId="17298"/>
    <cellStyle name="20% - Accent2 9 2 5" xfId="2001"/>
    <cellStyle name="20% - Accent2 9 2 5 2" xfId="13350"/>
    <cellStyle name="20% - Accent2 9 2 5 3" xfId="17301"/>
    <cellStyle name="20% - Accent2 9 2 6" xfId="2002"/>
    <cellStyle name="20% - Accent2 9 2 6 2" xfId="13351"/>
    <cellStyle name="20% - Accent2 9 2 6 3" xfId="17302"/>
    <cellStyle name="20% - Accent2 9 2 7" xfId="13340"/>
    <cellStyle name="20% - Accent2 9 2 8" xfId="17291"/>
    <cellStyle name="20% - Accent2 9 2_Volatility" xfId="2003"/>
    <cellStyle name="20% - Accent2 9 3" xfId="2004"/>
    <cellStyle name="20% - Accent2 9 3 2" xfId="2005"/>
    <cellStyle name="20% - Accent2 9 3 2 2" xfId="2006"/>
    <cellStyle name="20% - Accent2 9 3 2 2 2" xfId="13354"/>
    <cellStyle name="20% - Accent2 9 3 2 2 3" xfId="17305"/>
    <cellStyle name="20% - Accent2 9 3 2 3" xfId="2007"/>
    <cellStyle name="20% - Accent2 9 3 2 3 2" xfId="13355"/>
    <cellStyle name="20% - Accent2 9 3 2 3 3" xfId="17306"/>
    <cellStyle name="20% - Accent2 9 3 2 4" xfId="13353"/>
    <cellStyle name="20% - Accent2 9 3 2 5" xfId="17304"/>
    <cellStyle name="20% - Accent2 9 3 3" xfId="2008"/>
    <cellStyle name="20% - Accent2 9 3 3 2" xfId="2009"/>
    <cellStyle name="20% - Accent2 9 3 3 2 2" xfId="13357"/>
    <cellStyle name="20% - Accent2 9 3 3 2 3" xfId="17308"/>
    <cellStyle name="20% - Accent2 9 3 3 3" xfId="2010"/>
    <cellStyle name="20% - Accent2 9 3 3 3 2" xfId="13358"/>
    <cellStyle name="20% - Accent2 9 3 3 3 3" xfId="17309"/>
    <cellStyle name="20% - Accent2 9 3 3 4" xfId="13356"/>
    <cellStyle name="20% - Accent2 9 3 3 5" xfId="17307"/>
    <cellStyle name="20% - Accent2 9 3 4" xfId="2011"/>
    <cellStyle name="20% - Accent2 9 3 4 2" xfId="13359"/>
    <cellStyle name="20% - Accent2 9 3 4 3" xfId="17310"/>
    <cellStyle name="20% - Accent2 9 3 5" xfId="2012"/>
    <cellStyle name="20% - Accent2 9 3 5 2" xfId="13360"/>
    <cellStyle name="20% - Accent2 9 3 5 3" xfId="17311"/>
    <cellStyle name="20% - Accent2 9 3 6" xfId="13352"/>
    <cellStyle name="20% - Accent2 9 3 7" xfId="17303"/>
    <cellStyle name="20% - Accent2 9 3_Volatility" xfId="2013"/>
    <cellStyle name="20% - Accent2 9 4" xfId="2014"/>
    <cellStyle name="20% - Accent2 9 4 2" xfId="2015"/>
    <cellStyle name="20% - Accent2 9 4 2 2" xfId="13362"/>
    <cellStyle name="20% - Accent2 9 4 2 3" xfId="17313"/>
    <cellStyle name="20% - Accent2 9 4 3" xfId="2016"/>
    <cellStyle name="20% - Accent2 9 4 3 2" xfId="13363"/>
    <cellStyle name="20% - Accent2 9 4 3 3" xfId="17314"/>
    <cellStyle name="20% - Accent2 9 4 4" xfId="13361"/>
    <cellStyle name="20% - Accent2 9 4 5" xfId="17312"/>
    <cellStyle name="20% - Accent2 9 5" xfId="2017"/>
    <cellStyle name="20% - Accent2 9 5 2" xfId="2018"/>
    <cellStyle name="20% - Accent2 9 5 2 2" xfId="13365"/>
    <cellStyle name="20% - Accent2 9 5 2 3" xfId="17316"/>
    <cellStyle name="20% - Accent2 9 5 3" xfId="2019"/>
    <cellStyle name="20% - Accent2 9 5 3 2" xfId="13366"/>
    <cellStyle name="20% - Accent2 9 5 3 3" xfId="17317"/>
    <cellStyle name="20% - Accent2 9 5 4" xfId="13364"/>
    <cellStyle name="20% - Accent2 9 5 5" xfId="17315"/>
    <cellStyle name="20% - Accent2 9 6" xfId="2020"/>
    <cellStyle name="20% - Accent2 9 6 2" xfId="2021"/>
    <cellStyle name="20% - Accent2 9 6 2 2" xfId="13368"/>
    <cellStyle name="20% - Accent2 9 6 2 3" xfId="17319"/>
    <cellStyle name="20% - Accent2 9 6 3" xfId="2022"/>
    <cellStyle name="20% - Accent2 9 6 3 2" xfId="13369"/>
    <cellStyle name="20% - Accent2 9 6 3 3" xfId="17320"/>
    <cellStyle name="20% - Accent2 9 6 4" xfId="13367"/>
    <cellStyle name="20% - Accent2 9 6 5" xfId="17318"/>
    <cellStyle name="20% - Accent2 9 7" xfId="2023"/>
    <cellStyle name="20% - Accent2 9 7 2" xfId="13370"/>
    <cellStyle name="20% - Accent2 9 7 3" xfId="17321"/>
    <cellStyle name="20% - Accent2 9 8" xfId="2024"/>
    <cellStyle name="20% - Accent2 9 8 2" xfId="13371"/>
    <cellStyle name="20% - Accent2 9 8 3" xfId="17322"/>
    <cellStyle name="20% - Accent2 9 9" xfId="13339"/>
    <cellStyle name="20% - Accent2 9_Volatility" xfId="2025"/>
    <cellStyle name="20% - Accent3 10" xfId="2026"/>
    <cellStyle name="20% - Accent3 10 10" xfId="17323"/>
    <cellStyle name="20% - Accent3 10 2" xfId="2027"/>
    <cellStyle name="20% - Accent3 10 2 2" xfId="2028"/>
    <cellStyle name="20% - Accent3 10 2 2 2" xfId="2029"/>
    <cellStyle name="20% - Accent3 10 2 2 2 2" xfId="13375"/>
    <cellStyle name="20% - Accent3 10 2 2 2 3" xfId="17326"/>
    <cellStyle name="20% - Accent3 10 2 2 3" xfId="2030"/>
    <cellStyle name="20% - Accent3 10 2 2 3 2" xfId="13376"/>
    <cellStyle name="20% - Accent3 10 2 2 3 3" xfId="17327"/>
    <cellStyle name="20% - Accent3 10 2 2 4" xfId="13374"/>
    <cellStyle name="20% - Accent3 10 2 2 5" xfId="17325"/>
    <cellStyle name="20% - Accent3 10 2 3" xfId="2031"/>
    <cellStyle name="20% - Accent3 10 2 3 2" xfId="2032"/>
    <cellStyle name="20% - Accent3 10 2 3 2 2" xfId="13378"/>
    <cellStyle name="20% - Accent3 10 2 3 2 3" xfId="17329"/>
    <cellStyle name="20% - Accent3 10 2 3 3" xfId="2033"/>
    <cellStyle name="20% - Accent3 10 2 3 3 2" xfId="13379"/>
    <cellStyle name="20% - Accent3 10 2 3 3 3" xfId="17330"/>
    <cellStyle name="20% - Accent3 10 2 3 4" xfId="13377"/>
    <cellStyle name="20% - Accent3 10 2 3 5" xfId="17328"/>
    <cellStyle name="20% - Accent3 10 2 4" xfId="2034"/>
    <cellStyle name="20% - Accent3 10 2 4 2" xfId="2035"/>
    <cellStyle name="20% - Accent3 10 2 4 2 2" xfId="13381"/>
    <cellStyle name="20% - Accent3 10 2 4 2 3" xfId="17332"/>
    <cellStyle name="20% - Accent3 10 2 4 3" xfId="2036"/>
    <cellStyle name="20% - Accent3 10 2 4 3 2" xfId="13382"/>
    <cellStyle name="20% - Accent3 10 2 4 3 3" xfId="17333"/>
    <cellStyle name="20% - Accent3 10 2 4 4" xfId="13380"/>
    <cellStyle name="20% - Accent3 10 2 4 5" xfId="17331"/>
    <cellStyle name="20% - Accent3 10 2 5" xfId="2037"/>
    <cellStyle name="20% - Accent3 10 2 5 2" xfId="13383"/>
    <cellStyle name="20% - Accent3 10 2 5 3" xfId="17334"/>
    <cellStyle name="20% - Accent3 10 2 6" xfId="2038"/>
    <cellStyle name="20% - Accent3 10 2 6 2" xfId="13384"/>
    <cellStyle name="20% - Accent3 10 2 6 3" xfId="17335"/>
    <cellStyle name="20% - Accent3 10 2 7" xfId="13373"/>
    <cellStyle name="20% - Accent3 10 2 8" xfId="17324"/>
    <cellStyle name="20% - Accent3 10 2_Volatility" xfId="2039"/>
    <cellStyle name="20% - Accent3 10 3" xfId="2040"/>
    <cellStyle name="20% - Accent3 10 3 2" xfId="2041"/>
    <cellStyle name="20% - Accent3 10 3 2 2" xfId="2042"/>
    <cellStyle name="20% - Accent3 10 3 2 2 2" xfId="13387"/>
    <cellStyle name="20% - Accent3 10 3 2 2 3" xfId="17338"/>
    <cellStyle name="20% - Accent3 10 3 2 3" xfId="2043"/>
    <cellStyle name="20% - Accent3 10 3 2 3 2" xfId="13388"/>
    <cellStyle name="20% - Accent3 10 3 2 3 3" xfId="17339"/>
    <cellStyle name="20% - Accent3 10 3 2 4" xfId="13386"/>
    <cellStyle name="20% - Accent3 10 3 2 5" xfId="17337"/>
    <cellStyle name="20% - Accent3 10 3 3" xfId="2044"/>
    <cellStyle name="20% - Accent3 10 3 3 2" xfId="2045"/>
    <cellStyle name="20% - Accent3 10 3 3 2 2" xfId="13390"/>
    <cellStyle name="20% - Accent3 10 3 3 2 3" xfId="17341"/>
    <cellStyle name="20% - Accent3 10 3 3 3" xfId="2046"/>
    <cellStyle name="20% - Accent3 10 3 3 3 2" xfId="13391"/>
    <cellStyle name="20% - Accent3 10 3 3 3 3" xfId="17342"/>
    <cellStyle name="20% - Accent3 10 3 3 4" xfId="13389"/>
    <cellStyle name="20% - Accent3 10 3 3 5" xfId="17340"/>
    <cellStyle name="20% - Accent3 10 3 4" xfId="2047"/>
    <cellStyle name="20% - Accent3 10 3 4 2" xfId="13392"/>
    <cellStyle name="20% - Accent3 10 3 4 3" xfId="17343"/>
    <cellStyle name="20% - Accent3 10 3 5" xfId="2048"/>
    <cellStyle name="20% - Accent3 10 3 5 2" xfId="13393"/>
    <cellStyle name="20% - Accent3 10 3 5 3" xfId="17344"/>
    <cellStyle name="20% - Accent3 10 3 6" xfId="13385"/>
    <cellStyle name="20% - Accent3 10 3 7" xfId="17336"/>
    <cellStyle name="20% - Accent3 10 3_Volatility" xfId="2049"/>
    <cellStyle name="20% - Accent3 10 4" xfId="2050"/>
    <cellStyle name="20% - Accent3 10 4 2" xfId="2051"/>
    <cellStyle name="20% - Accent3 10 4 2 2" xfId="13395"/>
    <cellStyle name="20% - Accent3 10 4 2 3" xfId="17346"/>
    <cellStyle name="20% - Accent3 10 4 3" xfId="2052"/>
    <cellStyle name="20% - Accent3 10 4 3 2" xfId="13396"/>
    <cellStyle name="20% - Accent3 10 4 3 3" xfId="17347"/>
    <cellStyle name="20% - Accent3 10 4 4" xfId="13394"/>
    <cellStyle name="20% - Accent3 10 4 5" xfId="17345"/>
    <cellStyle name="20% - Accent3 10 5" xfId="2053"/>
    <cellStyle name="20% - Accent3 10 5 2" xfId="2054"/>
    <cellStyle name="20% - Accent3 10 5 2 2" xfId="13398"/>
    <cellStyle name="20% - Accent3 10 5 2 3" xfId="17349"/>
    <cellStyle name="20% - Accent3 10 5 3" xfId="2055"/>
    <cellStyle name="20% - Accent3 10 5 3 2" xfId="13399"/>
    <cellStyle name="20% - Accent3 10 5 3 3" xfId="17350"/>
    <cellStyle name="20% - Accent3 10 5 4" xfId="13397"/>
    <cellStyle name="20% - Accent3 10 5 5" xfId="17348"/>
    <cellStyle name="20% - Accent3 10 6" xfId="2056"/>
    <cellStyle name="20% - Accent3 10 6 2" xfId="2057"/>
    <cellStyle name="20% - Accent3 10 6 2 2" xfId="13401"/>
    <cellStyle name="20% - Accent3 10 6 2 3" xfId="17352"/>
    <cellStyle name="20% - Accent3 10 6 3" xfId="2058"/>
    <cellStyle name="20% - Accent3 10 6 3 2" xfId="13402"/>
    <cellStyle name="20% - Accent3 10 6 3 3" xfId="17353"/>
    <cellStyle name="20% - Accent3 10 6 4" xfId="13400"/>
    <cellStyle name="20% - Accent3 10 6 5" xfId="17351"/>
    <cellStyle name="20% - Accent3 10 7" xfId="2059"/>
    <cellStyle name="20% - Accent3 10 7 2" xfId="13403"/>
    <cellStyle name="20% - Accent3 10 7 3" xfId="17354"/>
    <cellStyle name="20% - Accent3 10 8" xfId="2060"/>
    <cellStyle name="20% - Accent3 10 8 2" xfId="13404"/>
    <cellStyle name="20% - Accent3 10 8 3" xfId="17355"/>
    <cellStyle name="20% - Accent3 10 9" xfId="13372"/>
    <cellStyle name="20% - Accent3 10_Volatility" xfId="2061"/>
    <cellStyle name="20% - Accent3 11" xfId="2062"/>
    <cellStyle name="20% - Accent3 11 10" xfId="17356"/>
    <cellStyle name="20% - Accent3 11 2" xfId="2063"/>
    <cellStyle name="20% - Accent3 11 2 2" xfId="2064"/>
    <cellStyle name="20% - Accent3 11 2 2 2" xfId="2065"/>
    <cellStyle name="20% - Accent3 11 2 2 2 2" xfId="13408"/>
    <cellStyle name="20% - Accent3 11 2 2 2 3" xfId="17359"/>
    <cellStyle name="20% - Accent3 11 2 2 3" xfId="2066"/>
    <cellStyle name="20% - Accent3 11 2 2 3 2" xfId="13409"/>
    <cellStyle name="20% - Accent3 11 2 2 3 3" xfId="17360"/>
    <cellStyle name="20% - Accent3 11 2 2 4" xfId="13407"/>
    <cellStyle name="20% - Accent3 11 2 2 5" xfId="17358"/>
    <cellStyle name="20% - Accent3 11 2 3" xfId="2067"/>
    <cellStyle name="20% - Accent3 11 2 3 2" xfId="2068"/>
    <cellStyle name="20% - Accent3 11 2 3 2 2" xfId="13411"/>
    <cellStyle name="20% - Accent3 11 2 3 2 3" xfId="17362"/>
    <cellStyle name="20% - Accent3 11 2 3 3" xfId="2069"/>
    <cellStyle name="20% - Accent3 11 2 3 3 2" xfId="13412"/>
    <cellStyle name="20% - Accent3 11 2 3 3 3" xfId="17363"/>
    <cellStyle name="20% - Accent3 11 2 3 4" xfId="13410"/>
    <cellStyle name="20% - Accent3 11 2 3 5" xfId="17361"/>
    <cellStyle name="20% - Accent3 11 2 4" xfId="2070"/>
    <cellStyle name="20% - Accent3 11 2 4 2" xfId="2071"/>
    <cellStyle name="20% - Accent3 11 2 4 2 2" xfId="13414"/>
    <cellStyle name="20% - Accent3 11 2 4 2 3" xfId="17365"/>
    <cellStyle name="20% - Accent3 11 2 4 3" xfId="2072"/>
    <cellStyle name="20% - Accent3 11 2 4 3 2" xfId="13415"/>
    <cellStyle name="20% - Accent3 11 2 4 3 3" xfId="17366"/>
    <cellStyle name="20% - Accent3 11 2 4 4" xfId="13413"/>
    <cellStyle name="20% - Accent3 11 2 4 5" xfId="17364"/>
    <cellStyle name="20% - Accent3 11 2 5" xfId="2073"/>
    <cellStyle name="20% - Accent3 11 2 5 2" xfId="13416"/>
    <cellStyle name="20% - Accent3 11 2 5 3" xfId="17367"/>
    <cellStyle name="20% - Accent3 11 2 6" xfId="2074"/>
    <cellStyle name="20% - Accent3 11 2 6 2" xfId="13417"/>
    <cellStyle name="20% - Accent3 11 2 6 3" xfId="17368"/>
    <cellStyle name="20% - Accent3 11 2 7" xfId="13406"/>
    <cellStyle name="20% - Accent3 11 2 8" xfId="17357"/>
    <cellStyle name="20% - Accent3 11 2_Volatility" xfId="2075"/>
    <cellStyle name="20% - Accent3 11 3" xfId="2076"/>
    <cellStyle name="20% - Accent3 11 3 2" xfId="2077"/>
    <cellStyle name="20% - Accent3 11 3 2 2" xfId="2078"/>
    <cellStyle name="20% - Accent3 11 3 2 2 2" xfId="13420"/>
    <cellStyle name="20% - Accent3 11 3 2 2 3" xfId="17371"/>
    <cellStyle name="20% - Accent3 11 3 2 3" xfId="2079"/>
    <cellStyle name="20% - Accent3 11 3 2 3 2" xfId="13421"/>
    <cellStyle name="20% - Accent3 11 3 2 3 3" xfId="17372"/>
    <cellStyle name="20% - Accent3 11 3 2 4" xfId="13419"/>
    <cellStyle name="20% - Accent3 11 3 2 5" xfId="17370"/>
    <cellStyle name="20% - Accent3 11 3 3" xfId="2080"/>
    <cellStyle name="20% - Accent3 11 3 3 2" xfId="2081"/>
    <cellStyle name="20% - Accent3 11 3 3 2 2" xfId="13423"/>
    <cellStyle name="20% - Accent3 11 3 3 2 3" xfId="17374"/>
    <cellStyle name="20% - Accent3 11 3 3 3" xfId="2082"/>
    <cellStyle name="20% - Accent3 11 3 3 3 2" xfId="13424"/>
    <cellStyle name="20% - Accent3 11 3 3 3 3" xfId="17375"/>
    <cellStyle name="20% - Accent3 11 3 3 4" xfId="13422"/>
    <cellStyle name="20% - Accent3 11 3 3 5" xfId="17373"/>
    <cellStyle name="20% - Accent3 11 3 4" xfId="2083"/>
    <cellStyle name="20% - Accent3 11 3 4 2" xfId="13425"/>
    <cellStyle name="20% - Accent3 11 3 4 3" xfId="17376"/>
    <cellStyle name="20% - Accent3 11 3 5" xfId="2084"/>
    <cellStyle name="20% - Accent3 11 3 5 2" xfId="13426"/>
    <cellStyle name="20% - Accent3 11 3 5 3" xfId="17377"/>
    <cellStyle name="20% - Accent3 11 3 6" xfId="13418"/>
    <cellStyle name="20% - Accent3 11 3 7" xfId="17369"/>
    <cellStyle name="20% - Accent3 11 3_Volatility" xfId="2085"/>
    <cellStyle name="20% - Accent3 11 4" xfId="2086"/>
    <cellStyle name="20% - Accent3 11 4 2" xfId="2087"/>
    <cellStyle name="20% - Accent3 11 4 2 2" xfId="13428"/>
    <cellStyle name="20% - Accent3 11 4 2 3" xfId="17379"/>
    <cellStyle name="20% - Accent3 11 4 3" xfId="2088"/>
    <cellStyle name="20% - Accent3 11 4 3 2" xfId="13429"/>
    <cellStyle name="20% - Accent3 11 4 3 3" xfId="17380"/>
    <cellStyle name="20% - Accent3 11 4 4" xfId="13427"/>
    <cellStyle name="20% - Accent3 11 4 5" xfId="17378"/>
    <cellStyle name="20% - Accent3 11 5" xfId="2089"/>
    <cellStyle name="20% - Accent3 11 5 2" xfId="2090"/>
    <cellStyle name="20% - Accent3 11 5 2 2" xfId="13431"/>
    <cellStyle name="20% - Accent3 11 5 2 3" xfId="17382"/>
    <cellStyle name="20% - Accent3 11 5 3" xfId="2091"/>
    <cellStyle name="20% - Accent3 11 5 3 2" xfId="13432"/>
    <cellStyle name="20% - Accent3 11 5 3 3" xfId="17383"/>
    <cellStyle name="20% - Accent3 11 5 4" xfId="13430"/>
    <cellStyle name="20% - Accent3 11 5 5" xfId="17381"/>
    <cellStyle name="20% - Accent3 11 6" xfId="2092"/>
    <cellStyle name="20% - Accent3 11 6 2" xfId="2093"/>
    <cellStyle name="20% - Accent3 11 6 2 2" xfId="13434"/>
    <cellStyle name="20% - Accent3 11 6 2 3" xfId="17385"/>
    <cellStyle name="20% - Accent3 11 6 3" xfId="2094"/>
    <cellStyle name="20% - Accent3 11 6 3 2" xfId="13435"/>
    <cellStyle name="20% - Accent3 11 6 3 3" xfId="17386"/>
    <cellStyle name="20% - Accent3 11 6 4" xfId="13433"/>
    <cellStyle name="20% - Accent3 11 6 5" xfId="17384"/>
    <cellStyle name="20% - Accent3 11 7" xfId="2095"/>
    <cellStyle name="20% - Accent3 11 7 2" xfId="13436"/>
    <cellStyle name="20% - Accent3 11 7 3" xfId="17387"/>
    <cellStyle name="20% - Accent3 11 8" xfId="2096"/>
    <cellStyle name="20% - Accent3 11 8 2" xfId="13437"/>
    <cellStyle name="20% - Accent3 11 8 3" xfId="17388"/>
    <cellStyle name="20% - Accent3 11 9" xfId="13405"/>
    <cellStyle name="20% - Accent3 11_Volatility" xfId="2097"/>
    <cellStyle name="20% - Accent3 12" xfId="2098"/>
    <cellStyle name="20% - Accent3 12 10" xfId="17389"/>
    <cellStyle name="20% - Accent3 12 2" xfId="2099"/>
    <cellStyle name="20% - Accent3 12 2 2" xfId="2100"/>
    <cellStyle name="20% - Accent3 12 2 2 2" xfId="2101"/>
    <cellStyle name="20% - Accent3 12 2 2 2 2" xfId="13441"/>
    <cellStyle name="20% - Accent3 12 2 2 2 3" xfId="17392"/>
    <cellStyle name="20% - Accent3 12 2 2 3" xfId="2102"/>
    <cellStyle name="20% - Accent3 12 2 2 3 2" xfId="13442"/>
    <cellStyle name="20% - Accent3 12 2 2 3 3" xfId="17393"/>
    <cellStyle name="20% - Accent3 12 2 2 4" xfId="13440"/>
    <cellStyle name="20% - Accent3 12 2 2 5" xfId="17391"/>
    <cellStyle name="20% - Accent3 12 2 3" xfId="2103"/>
    <cellStyle name="20% - Accent3 12 2 3 2" xfId="2104"/>
    <cellStyle name="20% - Accent3 12 2 3 2 2" xfId="13444"/>
    <cellStyle name="20% - Accent3 12 2 3 2 3" xfId="17395"/>
    <cellStyle name="20% - Accent3 12 2 3 3" xfId="2105"/>
    <cellStyle name="20% - Accent3 12 2 3 3 2" xfId="13445"/>
    <cellStyle name="20% - Accent3 12 2 3 3 3" xfId="17396"/>
    <cellStyle name="20% - Accent3 12 2 3 4" xfId="13443"/>
    <cellStyle name="20% - Accent3 12 2 3 5" xfId="17394"/>
    <cellStyle name="20% - Accent3 12 2 4" xfId="2106"/>
    <cellStyle name="20% - Accent3 12 2 4 2" xfId="2107"/>
    <cellStyle name="20% - Accent3 12 2 4 2 2" xfId="13447"/>
    <cellStyle name="20% - Accent3 12 2 4 2 3" xfId="17398"/>
    <cellStyle name="20% - Accent3 12 2 4 3" xfId="2108"/>
    <cellStyle name="20% - Accent3 12 2 4 3 2" xfId="13448"/>
    <cellStyle name="20% - Accent3 12 2 4 3 3" xfId="17399"/>
    <cellStyle name="20% - Accent3 12 2 4 4" xfId="13446"/>
    <cellStyle name="20% - Accent3 12 2 4 5" xfId="17397"/>
    <cellStyle name="20% - Accent3 12 2 5" xfId="2109"/>
    <cellStyle name="20% - Accent3 12 2 5 2" xfId="13449"/>
    <cellStyle name="20% - Accent3 12 2 5 3" xfId="17400"/>
    <cellStyle name="20% - Accent3 12 2 6" xfId="2110"/>
    <cellStyle name="20% - Accent3 12 2 6 2" xfId="13450"/>
    <cellStyle name="20% - Accent3 12 2 6 3" xfId="17401"/>
    <cellStyle name="20% - Accent3 12 2 7" xfId="13439"/>
    <cellStyle name="20% - Accent3 12 2 8" xfId="17390"/>
    <cellStyle name="20% - Accent3 12 2_Volatility" xfId="2111"/>
    <cellStyle name="20% - Accent3 12 3" xfId="2112"/>
    <cellStyle name="20% - Accent3 12 3 2" xfId="2113"/>
    <cellStyle name="20% - Accent3 12 3 2 2" xfId="2114"/>
    <cellStyle name="20% - Accent3 12 3 2 2 2" xfId="13453"/>
    <cellStyle name="20% - Accent3 12 3 2 2 3" xfId="17404"/>
    <cellStyle name="20% - Accent3 12 3 2 3" xfId="2115"/>
    <cellStyle name="20% - Accent3 12 3 2 3 2" xfId="13454"/>
    <cellStyle name="20% - Accent3 12 3 2 3 3" xfId="17405"/>
    <cellStyle name="20% - Accent3 12 3 2 4" xfId="13452"/>
    <cellStyle name="20% - Accent3 12 3 2 5" xfId="17403"/>
    <cellStyle name="20% - Accent3 12 3 3" xfId="2116"/>
    <cellStyle name="20% - Accent3 12 3 3 2" xfId="2117"/>
    <cellStyle name="20% - Accent3 12 3 3 2 2" xfId="13456"/>
    <cellStyle name="20% - Accent3 12 3 3 2 3" xfId="17407"/>
    <cellStyle name="20% - Accent3 12 3 3 3" xfId="2118"/>
    <cellStyle name="20% - Accent3 12 3 3 3 2" xfId="13457"/>
    <cellStyle name="20% - Accent3 12 3 3 3 3" xfId="17408"/>
    <cellStyle name="20% - Accent3 12 3 3 4" xfId="13455"/>
    <cellStyle name="20% - Accent3 12 3 3 5" xfId="17406"/>
    <cellStyle name="20% - Accent3 12 3 4" xfId="2119"/>
    <cellStyle name="20% - Accent3 12 3 4 2" xfId="13458"/>
    <cellStyle name="20% - Accent3 12 3 4 3" xfId="17409"/>
    <cellStyle name="20% - Accent3 12 3 5" xfId="2120"/>
    <cellStyle name="20% - Accent3 12 3 5 2" xfId="13459"/>
    <cellStyle name="20% - Accent3 12 3 5 3" xfId="17410"/>
    <cellStyle name="20% - Accent3 12 3 6" xfId="13451"/>
    <cellStyle name="20% - Accent3 12 3 7" xfId="17402"/>
    <cellStyle name="20% - Accent3 12 3_Volatility" xfId="2121"/>
    <cellStyle name="20% - Accent3 12 4" xfId="2122"/>
    <cellStyle name="20% - Accent3 12 4 2" xfId="2123"/>
    <cellStyle name="20% - Accent3 12 4 2 2" xfId="13461"/>
    <cellStyle name="20% - Accent3 12 4 2 3" xfId="17412"/>
    <cellStyle name="20% - Accent3 12 4 3" xfId="2124"/>
    <cellStyle name="20% - Accent3 12 4 3 2" xfId="13462"/>
    <cellStyle name="20% - Accent3 12 4 3 3" xfId="17413"/>
    <cellStyle name="20% - Accent3 12 4 4" xfId="13460"/>
    <cellStyle name="20% - Accent3 12 4 5" xfId="17411"/>
    <cellStyle name="20% - Accent3 12 5" xfId="2125"/>
    <cellStyle name="20% - Accent3 12 5 2" xfId="2126"/>
    <cellStyle name="20% - Accent3 12 5 2 2" xfId="13464"/>
    <cellStyle name="20% - Accent3 12 5 2 3" xfId="17415"/>
    <cellStyle name="20% - Accent3 12 5 3" xfId="2127"/>
    <cellStyle name="20% - Accent3 12 5 3 2" xfId="13465"/>
    <cellStyle name="20% - Accent3 12 5 3 3" xfId="17416"/>
    <cellStyle name="20% - Accent3 12 5 4" xfId="13463"/>
    <cellStyle name="20% - Accent3 12 5 5" xfId="17414"/>
    <cellStyle name="20% - Accent3 12 6" xfId="2128"/>
    <cellStyle name="20% - Accent3 12 6 2" xfId="2129"/>
    <cellStyle name="20% - Accent3 12 6 2 2" xfId="13467"/>
    <cellStyle name="20% - Accent3 12 6 2 3" xfId="17418"/>
    <cellStyle name="20% - Accent3 12 6 3" xfId="2130"/>
    <cellStyle name="20% - Accent3 12 6 3 2" xfId="13468"/>
    <cellStyle name="20% - Accent3 12 6 3 3" xfId="17419"/>
    <cellStyle name="20% - Accent3 12 6 4" xfId="13466"/>
    <cellStyle name="20% - Accent3 12 6 5" xfId="17417"/>
    <cellStyle name="20% - Accent3 12 7" xfId="2131"/>
    <cellStyle name="20% - Accent3 12 7 2" xfId="13469"/>
    <cellStyle name="20% - Accent3 12 7 3" xfId="17420"/>
    <cellStyle name="20% - Accent3 12 8" xfId="2132"/>
    <cellStyle name="20% - Accent3 12 8 2" xfId="13470"/>
    <cellStyle name="20% - Accent3 12 8 3" xfId="17421"/>
    <cellStyle name="20% - Accent3 12 9" xfId="13438"/>
    <cellStyle name="20% - Accent3 12_Volatility" xfId="2133"/>
    <cellStyle name="20% - Accent3 13" xfId="2134"/>
    <cellStyle name="20% - Accent3 13 10" xfId="17422"/>
    <cellStyle name="20% - Accent3 13 2" xfId="2135"/>
    <cellStyle name="20% - Accent3 13 2 2" xfId="2136"/>
    <cellStyle name="20% - Accent3 13 2 2 2" xfId="2137"/>
    <cellStyle name="20% - Accent3 13 2 2 2 2" xfId="13474"/>
    <cellStyle name="20% - Accent3 13 2 2 2 3" xfId="17425"/>
    <cellStyle name="20% - Accent3 13 2 2 3" xfId="2138"/>
    <cellStyle name="20% - Accent3 13 2 2 3 2" xfId="13475"/>
    <cellStyle name="20% - Accent3 13 2 2 3 3" xfId="17426"/>
    <cellStyle name="20% - Accent3 13 2 2 4" xfId="13473"/>
    <cellStyle name="20% - Accent3 13 2 2 5" xfId="17424"/>
    <cellStyle name="20% - Accent3 13 2 3" xfId="2139"/>
    <cellStyle name="20% - Accent3 13 2 3 2" xfId="2140"/>
    <cellStyle name="20% - Accent3 13 2 3 2 2" xfId="13477"/>
    <cellStyle name="20% - Accent3 13 2 3 2 3" xfId="17428"/>
    <cellStyle name="20% - Accent3 13 2 3 3" xfId="2141"/>
    <cellStyle name="20% - Accent3 13 2 3 3 2" xfId="13478"/>
    <cellStyle name="20% - Accent3 13 2 3 3 3" xfId="17429"/>
    <cellStyle name="20% - Accent3 13 2 3 4" xfId="13476"/>
    <cellStyle name="20% - Accent3 13 2 3 5" xfId="17427"/>
    <cellStyle name="20% - Accent3 13 2 4" xfId="2142"/>
    <cellStyle name="20% - Accent3 13 2 4 2" xfId="2143"/>
    <cellStyle name="20% - Accent3 13 2 4 2 2" xfId="13480"/>
    <cellStyle name="20% - Accent3 13 2 4 2 3" xfId="17431"/>
    <cellStyle name="20% - Accent3 13 2 4 3" xfId="2144"/>
    <cellStyle name="20% - Accent3 13 2 4 3 2" xfId="13481"/>
    <cellStyle name="20% - Accent3 13 2 4 3 3" xfId="17432"/>
    <cellStyle name="20% - Accent3 13 2 4 4" xfId="13479"/>
    <cellStyle name="20% - Accent3 13 2 4 5" xfId="17430"/>
    <cellStyle name="20% - Accent3 13 2 5" xfId="2145"/>
    <cellStyle name="20% - Accent3 13 2 5 2" xfId="13482"/>
    <cellStyle name="20% - Accent3 13 2 5 3" xfId="17433"/>
    <cellStyle name="20% - Accent3 13 2 6" xfId="2146"/>
    <cellStyle name="20% - Accent3 13 2 6 2" xfId="13483"/>
    <cellStyle name="20% - Accent3 13 2 6 3" xfId="17434"/>
    <cellStyle name="20% - Accent3 13 2 7" xfId="13472"/>
    <cellStyle name="20% - Accent3 13 2 8" xfId="17423"/>
    <cellStyle name="20% - Accent3 13 2_Volatility" xfId="2147"/>
    <cellStyle name="20% - Accent3 13 3" xfId="2148"/>
    <cellStyle name="20% - Accent3 13 3 2" xfId="2149"/>
    <cellStyle name="20% - Accent3 13 3 2 2" xfId="2150"/>
    <cellStyle name="20% - Accent3 13 3 2 2 2" xfId="13486"/>
    <cellStyle name="20% - Accent3 13 3 2 2 3" xfId="17437"/>
    <cellStyle name="20% - Accent3 13 3 2 3" xfId="2151"/>
    <cellStyle name="20% - Accent3 13 3 2 3 2" xfId="13487"/>
    <cellStyle name="20% - Accent3 13 3 2 3 3" xfId="17438"/>
    <cellStyle name="20% - Accent3 13 3 2 4" xfId="13485"/>
    <cellStyle name="20% - Accent3 13 3 2 5" xfId="17436"/>
    <cellStyle name="20% - Accent3 13 3 3" xfId="2152"/>
    <cellStyle name="20% - Accent3 13 3 3 2" xfId="2153"/>
    <cellStyle name="20% - Accent3 13 3 3 2 2" xfId="13489"/>
    <cellStyle name="20% - Accent3 13 3 3 2 3" xfId="17440"/>
    <cellStyle name="20% - Accent3 13 3 3 3" xfId="2154"/>
    <cellStyle name="20% - Accent3 13 3 3 3 2" xfId="13490"/>
    <cellStyle name="20% - Accent3 13 3 3 3 3" xfId="17441"/>
    <cellStyle name="20% - Accent3 13 3 3 4" xfId="13488"/>
    <cellStyle name="20% - Accent3 13 3 3 5" xfId="17439"/>
    <cellStyle name="20% - Accent3 13 3 4" xfId="2155"/>
    <cellStyle name="20% - Accent3 13 3 4 2" xfId="13491"/>
    <cellStyle name="20% - Accent3 13 3 4 3" xfId="17442"/>
    <cellStyle name="20% - Accent3 13 3 5" xfId="2156"/>
    <cellStyle name="20% - Accent3 13 3 5 2" xfId="13492"/>
    <cellStyle name="20% - Accent3 13 3 5 3" xfId="17443"/>
    <cellStyle name="20% - Accent3 13 3 6" xfId="13484"/>
    <cellStyle name="20% - Accent3 13 3 7" xfId="17435"/>
    <cellStyle name="20% - Accent3 13 3_Volatility" xfId="2157"/>
    <cellStyle name="20% - Accent3 13 4" xfId="2158"/>
    <cellStyle name="20% - Accent3 13 4 2" xfId="2159"/>
    <cellStyle name="20% - Accent3 13 4 2 2" xfId="13494"/>
    <cellStyle name="20% - Accent3 13 4 2 3" xfId="17445"/>
    <cellStyle name="20% - Accent3 13 4 3" xfId="2160"/>
    <cellStyle name="20% - Accent3 13 4 3 2" xfId="13495"/>
    <cellStyle name="20% - Accent3 13 4 3 3" xfId="17446"/>
    <cellStyle name="20% - Accent3 13 4 4" xfId="13493"/>
    <cellStyle name="20% - Accent3 13 4 5" xfId="17444"/>
    <cellStyle name="20% - Accent3 13 5" xfId="2161"/>
    <cellStyle name="20% - Accent3 13 5 2" xfId="2162"/>
    <cellStyle name="20% - Accent3 13 5 2 2" xfId="13497"/>
    <cellStyle name="20% - Accent3 13 5 2 3" xfId="17448"/>
    <cellStyle name="20% - Accent3 13 5 3" xfId="2163"/>
    <cellStyle name="20% - Accent3 13 5 3 2" xfId="13498"/>
    <cellStyle name="20% - Accent3 13 5 3 3" xfId="17449"/>
    <cellStyle name="20% - Accent3 13 5 4" xfId="13496"/>
    <cellStyle name="20% - Accent3 13 5 5" xfId="17447"/>
    <cellStyle name="20% - Accent3 13 6" xfId="2164"/>
    <cellStyle name="20% - Accent3 13 6 2" xfId="2165"/>
    <cellStyle name="20% - Accent3 13 6 2 2" xfId="13500"/>
    <cellStyle name="20% - Accent3 13 6 2 3" xfId="17451"/>
    <cellStyle name="20% - Accent3 13 6 3" xfId="2166"/>
    <cellStyle name="20% - Accent3 13 6 3 2" xfId="13501"/>
    <cellStyle name="20% - Accent3 13 6 3 3" xfId="17452"/>
    <cellStyle name="20% - Accent3 13 6 4" xfId="13499"/>
    <cellStyle name="20% - Accent3 13 6 5" xfId="17450"/>
    <cellStyle name="20% - Accent3 13 7" xfId="2167"/>
    <cellStyle name="20% - Accent3 13 7 2" xfId="13502"/>
    <cellStyle name="20% - Accent3 13 7 3" xfId="17453"/>
    <cellStyle name="20% - Accent3 13 8" xfId="2168"/>
    <cellStyle name="20% - Accent3 13 8 2" xfId="13503"/>
    <cellStyle name="20% - Accent3 13 8 3" xfId="17454"/>
    <cellStyle name="20% - Accent3 13 9" xfId="13471"/>
    <cellStyle name="20% - Accent3 13_Volatility" xfId="2169"/>
    <cellStyle name="20% - Accent3 14" xfId="2170"/>
    <cellStyle name="20% - Accent3 14 10" xfId="17455"/>
    <cellStyle name="20% - Accent3 14 2" xfId="2171"/>
    <cellStyle name="20% - Accent3 14 2 2" xfId="2172"/>
    <cellStyle name="20% - Accent3 14 2 2 2" xfId="2173"/>
    <cellStyle name="20% - Accent3 14 2 2 2 2" xfId="13507"/>
    <cellStyle name="20% - Accent3 14 2 2 2 3" xfId="17458"/>
    <cellStyle name="20% - Accent3 14 2 2 3" xfId="2174"/>
    <cellStyle name="20% - Accent3 14 2 2 3 2" xfId="13508"/>
    <cellStyle name="20% - Accent3 14 2 2 3 3" xfId="17459"/>
    <cellStyle name="20% - Accent3 14 2 2 4" xfId="13506"/>
    <cellStyle name="20% - Accent3 14 2 2 5" xfId="17457"/>
    <cellStyle name="20% - Accent3 14 2 3" xfId="2175"/>
    <cellStyle name="20% - Accent3 14 2 3 2" xfId="2176"/>
    <cellStyle name="20% - Accent3 14 2 3 2 2" xfId="13510"/>
    <cellStyle name="20% - Accent3 14 2 3 2 3" xfId="17461"/>
    <cellStyle name="20% - Accent3 14 2 3 3" xfId="2177"/>
    <cellStyle name="20% - Accent3 14 2 3 3 2" xfId="13511"/>
    <cellStyle name="20% - Accent3 14 2 3 3 3" xfId="17462"/>
    <cellStyle name="20% - Accent3 14 2 3 4" xfId="13509"/>
    <cellStyle name="20% - Accent3 14 2 3 5" xfId="17460"/>
    <cellStyle name="20% - Accent3 14 2 4" xfId="2178"/>
    <cellStyle name="20% - Accent3 14 2 4 2" xfId="2179"/>
    <cellStyle name="20% - Accent3 14 2 4 2 2" xfId="13513"/>
    <cellStyle name="20% - Accent3 14 2 4 2 3" xfId="17464"/>
    <cellStyle name="20% - Accent3 14 2 4 3" xfId="2180"/>
    <cellStyle name="20% - Accent3 14 2 4 3 2" xfId="13514"/>
    <cellStyle name="20% - Accent3 14 2 4 3 3" xfId="17465"/>
    <cellStyle name="20% - Accent3 14 2 4 4" xfId="13512"/>
    <cellStyle name="20% - Accent3 14 2 4 5" xfId="17463"/>
    <cellStyle name="20% - Accent3 14 2 5" xfId="2181"/>
    <cellStyle name="20% - Accent3 14 2 5 2" xfId="13515"/>
    <cellStyle name="20% - Accent3 14 2 5 3" xfId="17466"/>
    <cellStyle name="20% - Accent3 14 2 6" xfId="2182"/>
    <cellStyle name="20% - Accent3 14 2 6 2" xfId="13516"/>
    <cellStyle name="20% - Accent3 14 2 6 3" xfId="17467"/>
    <cellStyle name="20% - Accent3 14 2 7" xfId="13505"/>
    <cellStyle name="20% - Accent3 14 2 8" xfId="17456"/>
    <cellStyle name="20% - Accent3 14 2_Volatility" xfId="2183"/>
    <cellStyle name="20% - Accent3 14 3" xfId="2184"/>
    <cellStyle name="20% - Accent3 14 3 2" xfId="2185"/>
    <cellStyle name="20% - Accent3 14 3 2 2" xfId="2186"/>
    <cellStyle name="20% - Accent3 14 3 2 2 2" xfId="13519"/>
    <cellStyle name="20% - Accent3 14 3 2 2 3" xfId="17470"/>
    <cellStyle name="20% - Accent3 14 3 2 3" xfId="2187"/>
    <cellStyle name="20% - Accent3 14 3 2 3 2" xfId="13520"/>
    <cellStyle name="20% - Accent3 14 3 2 3 3" xfId="17471"/>
    <cellStyle name="20% - Accent3 14 3 2 4" xfId="13518"/>
    <cellStyle name="20% - Accent3 14 3 2 5" xfId="17469"/>
    <cellStyle name="20% - Accent3 14 3 3" xfId="2188"/>
    <cellStyle name="20% - Accent3 14 3 3 2" xfId="2189"/>
    <cellStyle name="20% - Accent3 14 3 3 2 2" xfId="13522"/>
    <cellStyle name="20% - Accent3 14 3 3 2 3" xfId="17473"/>
    <cellStyle name="20% - Accent3 14 3 3 3" xfId="2190"/>
    <cellStyle name="20% - Accent3 14 3 3 3 2" xfId="13523"/>
    <cellStyle name="20% - Accent3 14 3 3 3 3" xfId="17474"/>
    <cellStyle name="20% - Accent3 14 3 3 4" xfId="13521"/>
    <cellStyle name="20% - Accent3 14 3 3 5" xfId="17472"/>
    <cellStyle name="20% - Accent3 14 3 4" xfId="2191"/>
    <cellStyle name="20% - Accent3 14 3 4 2" xfId="13524"/>
    <cellStyle name="20% - Accent3 14 3 4 3" xfId="17475"/>
    <cellStyle name="20% - Accent3 14 3 5" xfId="2192"/>
    <cellStyle name="20% - Accent3 14 3 5 2" xfId="13525"/>
    <cellStyle name="20% - Accent3 14 3 5 3" xfId="17476"/>
    <cellStyle name="20% - Accent3 14 3 6" xfId="13517"/>
    <cellStyle name="20% - Accent3 14 3 7" xfId="17468"/>
    <cellStyle name="20% - Accent3 14 3_Volatility" xfId="2193"/>
    <cellStyle name="20% - Accent3 14 4" xfId="2194"/>
    <cellStyle name="20% - Accent3 14 4 2" xfId="2195"/>
    <cellStyle name="20% - Accent3 14 4 2 2" xfId="13527"/>
    <cellStyle name="20% - Accent3 14 4 2 3" xfId="17478"/>
    <cellStyle name="20% - Accent3 14 4 3" xfId="2196"/>
    <cellStyle name="20% - Accent3 14 4 3 2" xfId="13528"/>
    <cellStyle name="20% - Accent3 14 4 3 3" xfId="17479"/>
    <cellStyle name="20% - Accent3 14 4 4" xfId="13526"/>
    <cellStyle name="20% - Accent3 14 4 5" xfId="17477"/>
    <cellStyle name="20% - Accent3 14 5" xfId="2197"/>
    <cellStyle name="20% - Accent3 14 5 2" xfId="2198"/>
    <cellStyle name="20% - Accent3 14 5 2 2" xfId="13530"/>
    <cellStyle name="20% - Accent3 14 5 2 3" xfId="17481"/>
    <cellStyle name="20% - Accent3 14 5 3" xfId="2199"/>
    <cellStyle name="20% - Accent3 14 5 3 2" xfId="13531"/>
    <cellStyle name="20% - Accent3 14 5 3 3" xfId="17482"/>
    <cellStyle name="20% - Accent3 14 5 4" xfId="13529"/>
    <cellStyle name="20% - Accent3 14 5 5" xfId="17480"/>
    <cellStyle name="20% - Accent3 14 6" xfId="2200"/>
    <cellStyle name="20% - Accent3 14 6 2" xfId="2201"/>
    <cellStyle name="20% - Accent3 14 6 2 2" xfId="13533"/>
    <cellStyle name="20% - Accent3 14 6 2 3" xfId="17484"/>
    <cellStyle name="20% - Accent3 14 6 3" xfId="2202"/>
    <cellStyle name="20% - Accent3 14 6 3 2" xfId="13534"/>
    <cellStyle name="20% - Accent3 14 6 3 3" xfId="17485"/>
    <cellStyle name="20% - Accent3 14 6 4" xfId="13532"/>
    <cellStyle name="20% - Accent3 14 6 5" xfId="17483"/>
    <cellStyle name="20% - Accent3 14 7" xfId="2203"/>
    <cellStyle name="20% - Accent3 14 7 2" xfId="13535"/>
    <cellStyle name="20% - Accent3 14 7 3" xfId="17486"/>
    <cellStyle name="20% - Accent3 14 8" xfId="2204"/>
    <cellStyle name="20% - Accent3 14 8 2" xfId="13536"/>
    <cellStyle name="20% - Accent3 14 8 3" xfId="17487"/>
    <cellStyle name="20% - Accent3 14 9" xfId="13504"/>
    <cellStyle name="20% - Accent3 14_Volatility" xfId="2205"/>
    <cellStyle name="20% - Accent3 15" xfId="2206"/>
    <cellStyle name="20% - Accent3 15 10" xfId="17488"/>
    <cellStyle name="20% - Accent3 15 2" xfId="2207"/>
    <cellStyle name="20% - Accent3 15 2 2" xfId="2208"/>
    <cellStyle name="20% - Accent3 15 2 2 2" xfId="2209"/>
    <cellStyle name="20% - Accent3 15 2 2 2 2" xfId="13540"/>
    <cellStyle name="20% - Accent3 15 2 2 2 3" xfId="17491"/>
    <cellStyle name="20% - Accent3 15 2 2 3" xfId="2210"/>
    <cellStyle name="20% - Accent3 15 2 2 3 2" xfId="13541"/>
    <cellStyle name="20% - Accent3 15 2 2 3 3" xfId="17492"/>
    <cellStyle name="20% - Accent3 15 2 2 4" xfId="13539"/>
    <cellStyle name="20% - Accent3 15 2 2 5" xfId="17490"/>
    <cellStyle name="20% - Accent3 15 2 3" xfId="2211"/>
    <cellStyle name="20% - Accent3 15 2 3 2" xfId="2212"/>
    <cellStyle name="20% - Accent3 15 2 3 2 2" xfId="13543"/>
    <cellStyle name="20% - Accent3 15 2 3 2 3" xfId="17494"/>
    <cellStyle name="20% - Accent3 15 2 3 3" xfId="2213"/>
    <cellStyle name="20% - Accent3 15 2 3 3 2" xfId="13544"/>
    <cellStyle name="20% - Accent3 15 2 3 3 3" xfId="17495"/>
    <cellStyle name="20% - Accent3 15 2 3 4" xfId="13542"/>
    <cellStyle name="20% - Accent3 15 2 3 5" xfId="17493"/>
    <cellStyle name="20% - Accent3 15 2 4" xfId="2214"/>
    <cellStyle name="20% - Accent3 15 2 4 2" xfId="2215"/>
    <cellStyle name="20% - Accent3 15 2 4 2 2" xfId="13546"/>
    <cellStyle name="20% - Accent3 15 2 4 2 3" xfId="17497"/>
    <cellStyle name="20% - Accent3 15 2 4 3" xfId="2216"/>
    <cellStyle name="20% - Accent3 15 2 4 3 2" xfId="13547"/>
    <cellStyle name="20% - Accent3 15 2 4 3 3" xfId="17498"/>
    <cellStyle name="20% - Accent3 15 2 4 4" xfId="13545"/>
    <cellStyle name="20% - Accent3 15 2 4 5" xfId="17496"/>
    <cellStyle name="20% - Accent3 15 2 5" xfId="2217"/>
    <cellStyle name="20% - Accent3 15 2 5 2" xfId="13548"/>
    <cellStyle name="20% - Accent3 15 2 5 3" xfId="17499"/>
    <cellStyle name="20% - Accent3 15 2 6" xfId="2218"/>
    <cellStyle name="20% - Accent3 15 2 6 2" xfId="13549"/>
    <cellStyle name="20% - Accent3 15 2 6 3" xfId="17500"/>
    <cellStyle name="20% - Accent3 15 2 7" xfId="13538"/>
    <cellStyle name="20% - Accent3 15 2 8" xfId="17489"/>
    <cellStyle name="20% - Accent3 15 2_Volatility" xfId="2219"/>
    <cellStyle name="20% - Accent3 15 3" xfId="2220"/>
    <cellStyle name="20% - Accent3 15 3 2" xfId="2221"/>
    <cellStyle name="20% - Accent3 15 3 2 2" xfId="2222"/>
    <cellStyle name="20% - Accent3 15 3 2 2 2" xfId="13552"/>
    <cellStyle name="20% - Accent3 15 3 2 2 3" xfId="17503"/>
    <cellStyle name="20% - Accent3 15 3 2 3" xfId="2223"/>
    <cellStyle name="20% - Accent3 15 3 2 3 2" xfId="13553"/>
    <cellStyle name="20% - Accent3 15 3 2 3 3" xfId="17504"/>
    <cellStyle name="20% - Accent3 15 3 2 4" xfId="13551"/>
    <cellStyle name="20% - Accent3 15 3 2 5" xfId="17502"/>
    <cellStyle name="20% - Accent3 15 3 3" xfId="2224"/>
    <cellStyle name="20% - Accent3 15 3 3 2" xfId="2225"/>
    <cellStyle name="20% - Accent3 15 3 3 2 2" xfId="13555"/>
    <cellStyle name="20% - Accent3 15 3 3 2 3" xfId="17506"/>
    <cellStyle name="20% - Accent3 15 3 3 3" xfId="2226"/>
    <cellStyle name="20% - Accent3 15 3 3 3 2" xfId="13556"/>
    <cellStyle name="20% - Accent3 15 3 3 3 3" xfId="17507"/>
    <cellStyle name="20% - Accent3 15 3 3 4" xfId="13554"/>
    <cellStyle name="20% - Accent3 15 3 3 5" xfId="17505"/>
    <cellStyle name="20% - Accent3 15 3 4" xfId="2227"/>
    <cellStyle name="20% - Accent3 15 3 4 2" xfId="13557"/>
    <cellStyle name="20% - Accent3 15 3 4 3" xfId="17508"/>
    <cellStyle name="20% - Accent3 15 3 5" xfId="2228"/>
    <cellStyle name="20% - Accent3 15 3 5 2" xfId="13558"/>
    <cellStyle name="20% - Accent3 15 3 5 3" xfId="17509"/>
    <cellStyle name="20% - Accent3 15 3 6" xfId="13550"/>
    <cellStyle name="20% - Accent3 15 3 7" xfId="17501"/>
    <cellStyle name="20% - Accent3 15 3_Volatility" xfId="2229"/>
    <cellStyle name="20% - Accent3 15 4" xfId="2230"/>
    <cellStyle name="20% - Accent3 15 4 2" xfId="2231"/>
    <cellStyle name="20% - Accent3 15 4 2 2" xfId="13560"/>
    <cellStyle name="20% - Accent3 15 4 2 3" xfId="17511"/>
    <cellStyle name="20% - Accent3 15 4 3" xfId="2232"/>
    <cellStyle name="20% - Accent3 15 4 3 2" xfId="13561"/>
    <cellStyle name="20% - Accent3 15 4 3 3" xfId="17512"/>
    <cellStyle name="20% - Accent3 15 4 4" xfId="13559"/>
    <cellStyle name="20% - Accent3 15 4 5" xfId="17510"/>
    <cellStyle name="20% - Accent3 15 5" xfId="2233"/>
    <cellStyle name="20% - Accent3 15 5 2" xfId="2234"/>
    <cellStyle name="20% - Accent3 15 5 2 2" xfId="13563"/>
    <cellStyle name="20% - Accent3 15 5 2 3" xfId="17514"/>
    <cellStyle name="20% - Accent3 15 5 3" xfId="2235"/>
    <cellStyle name="20% - Accent3 15 5 3 2" xfId="13564"/>
    <cellStyle name="20% - Accent3 15 5 3 3" xfId="17515"/>
    <cellStyle name="20% - Accent3 15 5 4" xfId="13562"/>
    <cellStyle name="20% - Accent3 15 5 5" xfId="17513"/>
    <cellStyle name="20% - Accent3 15 6" xfId="2236"/>
    <cellStyle name="20% - Accent3 15 6 2" xfId="2237"/>
    <cellStyle name="20% - Accent3 15 6 2 2" xfId="13566"/>
    <cellStyle name="20% - Accent3 15 6 2 3" xfId="17517"/>
    <cellStyle name="20% - Accent3 15 6 3" xfId="2238"/>
    <cellStyle name="20% - Accent3 15 6 3 2" xfId="13567"/>
    <cellStyle name="20% - Accent3 15 6 3 3" xfId="17518"/>
    <cellStyle name="20% - Accent3 15 6 4" xfId="13565"/>
    <cellStyle name="20% - Accent3 15 6 5" xfId="17516"/>
    <cellStyle name="20% - Accent3 15 7" xfId="2239"/>
    <cellStyle name="20% - Accent3 15 7 2" xfId="13568"/>
    <cellStyle name="20% - Accent3 15 7 3" xfId="17519"/>
    <cellStyle name="20% - Accent3 15 8" xfId="2240"/>
    <cellStyle name="20% - Accent3 15 8 2" xfId="13569"/>
    <cellStyle name="20% - Accent3 15 8 3" xfId="17520"/>
    <cellStyle name="20% - Accent3 15 9" xfId="13537"/>
    <cellStyle name="20% - Accent3 15_Volatility" xfId="2241"/>
    <cellStyle name="20% - Accent3 16" xfId="2242"/>
    <cellStyle name="20% - Accent3 16 2" xfId="13570"/>
    <cellStyle name="20% - Accent3 16 3" xfId="17521"/>
    <cellStyle name="20% - Accent3 17" xfId="2243"/>
    <cellStyle name="20% - Accent3 17 2" xfId="13571"/>
    <cellStyle name="20% - Accent3 17 3" xfId="17522"/>
    <cellStyle name="20% - Accent3 18" xfId="2244"/>
    <cellStyle name="20% - Accent3 18 2" xfId="13572"/>
    <cellStyle name="20% - Accent3 18 3" xfId="17523"/>
    <cellStyle name="20% - Accent3 19" xfId="2245"/>
    <cellStyle name="20% - Accent3 19 2" xfId="13573"/>
    <cellStyle name="20% - Accent3 19 3" xfId="17524"/>
    <cellStyle name="20% - Accent3 2" xfId="2246"/>
    <cellStyle name="20% - Accent3 2 10" xfId="17525"/>
    <cellStyle name="20% - Accent3 2 2" xfId="2247"/>
    <cellStyle name="20% - Accent3 2 2 2" xfId="2248"/>
    <cellStyle name="20% - Accent3 2 2 2 2" xfId="2249"/>
    <cellStyle name="20% - Accent3 2 2 2 2 2" xfId="13577"/>
    <cellStyle name="20% - Accent3 2 2 2 2 3" xfId="17528"/>
    <cellStyle name="20% - Accent3 2 2 2 3" xfId="2250"/>
    <cellStyle name="20% - Accent3 2 2 2 3 2" xfId="13578"/>
    <cellStyle name="20% - Accent3 2 2 2 3 3" xfId="17529"/>
    <cellStyle name="20% - Accent3 2 2 2 4" xfId="13576"/>
    <cellStyle name="20% - Accent3 2 2 2 5" xfId="17527"/>
    <cellStyle name="20% - Accent3 2 2 3" xfId="2251"/>
    <cellStyle name="20% - Accent3 2 2 3 2" xfId="2252"/>
    <cellStyle name="20% - Accent3 2 2 3 2 2" xfId="13580"/>
    <cellStyle name="20% - Accent3 2 2 3 2 3" xfId="17531"/>
    <cellStyle name="20% - Accent3 2 2 3 3" xfId="2253"/>
    <cellStyle name="20% - Accent3 2 2 3 3 2" xfId="13581"/>
    <cellStyle name="20% - Accent3 2 2 3 3 3" xfId="17532"/>
    <cellStyle name="20% - Accent3 2 2 3 4" xfId="13579"/>
    <cellStyle name="20% - Accent3 2 2 3 5" xfId="17530"/>
    <cellStyle name="20% - Accent3 2 2 4" xfId="2254"/>
    <cellStyle name="20% - Accent3 2 2 4 2" xfId="2255"/>
    <cellStyle name="20% - Accent3 2 2 4 2 2" xfId="13583"/>
    <cellStyle name="20% - Accent3 2 2 4 2 3" xfId="17534"/>
    <cellStyle name="20% - Accent3 2 2 4 3" xfId="2256"/>
    <cellStyle name="20% - Accent3 2 2 4 3 2" xfId="13584"/>
    <cellStyle name="20% - Accent3 2 2 4 3 3" xfId="17535"/>
    <cellStyle name="20% - Accent3 2 2 4 4" xfId="13582"/>
    <cellStyle name="20% - Accent3 2 2 4 5" xfId="17533"/>
    <cellStyle name="20% - Accent3 2 2 5" xfId="2257"/>
    <cellStyle name="20% - Accent3 2 2 5 2" xfId="13585"/>
    <cellStyle name="20% - Accent3 2 2 5 3" xfId="17536"/>
    <cellStyle name="20% - Accent3 2 2 6" xfId="2258"/>
    <cellStyle name="20% - Accent3 2 2 6 2" xfId="13586"/>
    <cellStyle name="20% - Accent3 2 2 6 3" xfId="17537"/>
    <cellStyle name="20% - Accent3 2 2 7" xfId="13575"/>
    <cellStyle name="20% - Accent3 2 2 8" xfId="17526"/>
    <cellStyle name="20% - Accent3 2 2_Volatility" xfId="2259"/>
    <cellStyle name="20% - Accent3 2 3" xfId="2260"/>
    <cellStyle name="20% - Accent3 2 3 2" xfId="2261"/>
    <cellStyle name="20% - Accent3 2 3 2 2" xfId="2262"/>
    <cellStyle name="20% - Accent3 2 3 2 2 2" xfId="13589"/>
    <cellStyle name="20% - Accent3 2 3 2 2 3" xfId="17540"/>
    <cellStyle name="20% - Accent3 2 3 2 3" xfId="2263"/>
    <cellStyle name="20% - Accent3 2 3 2 3 2" xfId="13590"/>
    <cellStyle name="20% - Accent3 2 3 2 3 3" xfId="17541"/>
    <cellStyle name="20% - Accent3 2 3 2 4" xfId="13588"/>
    <cellStyle name="20% - Accent3 2 3 2 5" xfId="17539"/>
    <cellStyle name="20% - Accent3 2 3 3" xfId="2264"/>
    <cellStyle name="20% - Accent3 2 3 3 2" xfId="2265"/>
    <cellStyle name="20% - Accent3 2 3 3 2 2" xfId="13592"/>
    <cellStyle name="20% - Accent3 2 3 3 2 3" xfId="17543"/>
    <cellStyle name="20% - Accent3 2 3 3 3" xfId="2266"/>
    <cellStyle name="20% - Accent3 2 3 3 3 2" xfId="13593"/>
    <cellStyle name="20% - Accent3 2 3 3 3 3" xfId="17544"/>
    <cellStyle name="20% - Accent3 2 3 3 4" xfId="13591"/>
    <cellStyle name="20% - Accent3 2 3 3 5" xfId="17542"/>
    <cellStyle name="20% - Accent3 2 3 4" xfId="2267"/>
    <cellStyle name="20% - Accent3 2 3 4 2" xfId="13594"/>
    <cellStyle name="20% - Accent3 2 3 4 3" xfId="17545"/>
    <cellStyle name="20% - Accent3 2 3 5" xfId="2268"/>
    <cellStyle name="20% - Accent3 2 3 5 2" xfId="13595"/>
    <cellStyle name="20% - Accent3 2 3 5 3" xfId="17546"/>
    <cellStyle name="20% - Accent3 2 3 6" xfId="13587"/>
    <cellStyle name="20% - Accent3 2 3 7" xfId="17538"/>
    <cellStyle name="20% - Accent3 2 3_Volatility" xfId="2269"/>
    <cellStyle name="20% - Accent3 2 4" xfId="2270"/>
    <cellStyle name="20% - Accent3 2 4 2" xfId="2271"/>
    <cellStyle name="20% - Accent3 2 4 2 2" xfId="13597"/>
    <cellStyle name="20% - Accent3 2 4 2 3" xfId="17548"/>
    <cellStyle name="20% - Accent3 2 4 3" xfId="2272"/>
    <cellStyle name="20% - Accent3 2 4 3 2" xfId="13598"/>
    <cellStyle name="20% - Accent3 2 4 3 3" xfId="17549"/>
    <cellStyle name="20% - Accent3 2 4 4" xfId="13596"/>
    <cellStyle name="20% - Accent3 2 4 5" xfId="17547"/>
    <cellStyle name="20% - Accent3 2 5" xfId="2273"/>
    <cellStyle name="20% - Accent3 2 5 2" xfId="2274"/>
    <cellStyle name="20% - Accent3 2 5 2 2" xfId="13600"/>
    <cellStyle name="20% - Accent3 2 5 2 3" xfId="17551"/>
    <cellStyle name="20% - Accent3 2 5 3" xfId="2275"/>
    <cellStyle name="20% - Accent3 2 5 3 2" xfId="13601"/>
    <cellStyle name="20% - Accent3 2 5 3 3" xfId="17552"/>
    <cellStyle name="20% - Accent3 2 5 4" xfId="13599"/>
    <cellStyle name="20% - Accent3 2 5 5" xfId="17550"/>
    <cellStyle name="20% - Accent3 2 6" xfId="2276"/>
    <cellStyle name="20% - Accent3 2 6 2" xfId="2277"/>
    <cellStyle name="20% - Accent3 2 6 2 2" xfId="13603"/>
    <cellStyle name="20% - Accent3 2 6 2 3" xfId="17554"/>
    <cellStyle name="20% - Accent3 2 6 3" xfId="2278"/>
    <cellStyle name="20% - Accent3 2 6 3 2" xfId="13604"/>
    <cellStyle name="20% - Accent3 2 6 3 3" xfId="17555"/>
    <cellStyle name="20% - Accent3 2 6 4" xfId="13602"/>
    <cellStyle name="20% - Accent3 2 6 5" xfId="17553"/>
    <cellStyle name="20% - Accent3 2 7" xfId="2279"/>
    <cellStyle name="20% - Accent3 2 7 2" xfId="13605"/>
    <cellStyle name="20% - Accent3 2 7 3" xfId="17556"/>
    <cellStyle name="20% - Accent3 2 8" xfId="2280"/>
    <cellStyle name="20% - Accent3 2 8 2" xfId="13606"/>
    <cellStyle name="20% - Accent3 2 8 3" xfId="17557"/>
    <cellStyle name="20% - Accent3 2 9" xfId="13574"/>
    <cellStyle name="20% - Accent3 2_Volatility" xfId="2281"/>
    <cellStyle name="20% - Accent3 3" xfId="2282"/>
    <cellStyle name="20% - Accent3 3 10" xfId="17558"/>
    <cellStyle name="20% - Accent3 3 2" xfId="2283"/>
    <cellStyle name="20% - Accent3 3 2 2" xfId="2284"/>
    <cellStyle name="20% - Accent3 3 2 2 2" xfId="2285"/>
    <cellStyle name="20% - Accent3 3 2 2 2 2" xfId="13610"/>
    <cellStyle name="20% - Accent3 3 2 2 2 3" xfId="17561"/>
    <cellStyle name="20% - Accent3 3 2 2 3" xfId="2286"/>
    <cellStyle name="20% - Accent3 3 2 2 3 2" xfId="13611"/>
    <cellStyle name="20% - Accent3 3 2 2 3 3" xfId="17562"/>
    <cellStyle name="20% - Accent3 3 2 2 4" xfId="13609"/>
    <cellStyle name="20% - Accent3 3 2 2 5" xfId="17560"/>
    <cellStyle name="20% - Accent3 3 2 3" xfId="2287"/>
    <cellStyle name="20% - Accent3 3 2 3 2" xfId="2288"/>
    <cellStyle name="20% - Accent3 3 2 3 2 2" xfId="13613"/>
    <cellStyle name="20% - Accent3 3 2 3 2 3" xfId="17564"/>
    <cellStyle name="20% - Accent3 3 2 3 3" xfId="2289"/>
    <cellStyle name="20% - Accent3 3 2 3 3 2" xfId="13614"/>
    <cellStyle name="20% - Accent3 3 2 3 3 3" xfId="17565"/>
    <cellStyle name="20% - Accent3 3 2 3 4" xfId="13612"/>
    <cellStyle name="20% - Accent3 3 2 3 5" xfId="17563"/>
    <cellStyle name="20% - Accent3 3 2 4" xfId="2290"/>
    <cellStyle name="20% - Accent3 3 2 4 2" xfId="2291"/>
    <cellStyle name="20% - Accent3 3 2 4 2 2" xfId="13616"/>
    <cellStyle name="20% - Accent3 3 2 4 2 3" xfId="17567"/>
    <cellStyle name="20% - Accent3 3 2 4 3" xfId="2292"/>
    <cellStyle name="20% - Accent3 3 2 4 3 2" xfId="13617"/>
    <cellStyle name="20% - Accent3 3 2 4 3 3" xfId="17568"/>
    <cellStyle name="20% - Accent3 3 2 4 4" xfId="13615"/>
    <cellStyle name="20% - Accent3 3 2 4 5" xfId="17566"/>
    <cellStyle name="20% - Accent3 3 2 5" xfId="2293"/>
    <cellStyle name="20% - Accent3 3 2 5 2" xfId="13618"/>
    <cellStyle name="20% - Accent3 3 2 5 3" xfId="17569"/>
    <cellStyle name="20% - Accent3 3 2 6" xfId="2294"/>
    <cellStyle name="20% - Accent3 3 2 6 2" xfId="13619"/>
    <cellStyle name="20% - Accent3 3 2 6 3" xfId="17570"/>
    <cellStyle name="20% - Accent3 3 2 7" xfId="13608"/>
    <cellStyle name="20% - Accent3 3 2 8" xfId="17559"/>
    <cellStyle name="20% - Accent3 3 2_Volatility" xfId="2295"/>
    <cellStyle name="20% - Accent3 3 3" xfId="2296"/>
    <cellStyle name="20% - Accent3 3 3 2" xfId="2297"/>
    <cellStyle name="20% - Accent3 3 3 2 2" xfId="2298"/>
    <cellStyle name="20% - Accent3 3 3 2 2 2" xfId="13622"/>
    <cellStyle name="20% - Accent3 3 3 2 2 3" xfId="17573"/>
    <cellStyle name="20% - Accent3 3 3 2 3" xfId="2299"/>
    <cellStyle name="20% - Accent3 3 3 2 3 2" xfId="13623"/>
    <cellStyle name="20% - Accent3 3 3 2 3 3" xfId="17574"/>
    <cellStyle name="20% - Accent3 3 3 2 4" xfId="13621"/>
    <cellStyle name="20% - Accent3 3 3 2 5" xfId="17572"/>
    <cellStyle name="20% - Accent3 3 3 3" xfId="2300"/>
    <cellStyle name="20% - Accent3 3 3 3 2" xfId="2301"/>
    <cellStyle name="20% - Accent3 3 3 3 2 2" xfId="13625"/>
    <cellStyle name="20% - Accent3 3 3 3 2 3" xfId="17576"/>
    <cellStyle name="20% - Accent3 3 3 3 3" xfId="2302"/>
    <cellStyle name="20% - Accent3 3 3 3 3 2" xfId="13626"/>
    <cellStyle name="20% - Accent3 3 3 3 3 3" xfId="17577"/>
    <cellStyle name="20% - Accent3 3 3 3 4" xfId="13624"/>
    <cellStyle name="20% - Accent3 3 3 3 5" xfId="17575"/>
    <cellStyle name="20% - Accent3 3 3 4" xfId="2303"/>
    <cellStyle name="20% - Accent3 3 3 4 2" xfId="13627"/>
    <cellStyle name="20% - Accent3 3 3 4 3" xfId="17578"/>
    <cellStyle name="20% - Accent3 3 3 5" xfId="2304"/>
    <cellStyle name="20% - Accent3 3 3 5 2" xfId="13628"/>
    <cellStyle name="20% - Accent3 3 3 5 3" xfId="17579"/>
    <cellStyle name="20% - Accent3 3 3 6" xfId="13620"/>
    <cellStyle name="20% - Accent3 3 3 7" xfId="17571"/>
    <cellStyle name="20% - Accent3 3 3_Volatility" xfId="2305"/>
    <cellStyle name="20% - Accent3 3 4" xfId="2306"/>
    <cellStyle name="20% - Accent3 3 4 2" xfId="2307"/>
    <cellStyle name="20% - Accent3 3 4 2 2" xfId="13630"/>
    <cellStyle name="20% - Accent3 3 4 2 3" xfId="17581"/>
    <cellStyle name="20% - Accent3 3 4 3" xfId="2308"/>
    <cellStyle name="20% - Accent3 3 4 3 2" xfId="13631"/>
    <cellStyle name="20% - Accent3 3 4 3 3" xfId="17582"/>
    <cellStyle name="20% - Accent3 3 4 4" xfId="13629"/>
    <cellStyle name="20% - Accent3 3 4 5" xfId="17580"/>
    <cellStyle name="20% - Accent3 3 5" xfId="2309"/>
    <cellStyle name="20% - Accent3 3 5 2" xfId="2310"/>
    <cellStyle name="20% - Accent3 3 5 2 2" xfId="13633"/>
    <cellStyle name="20% - Accent3 3 5 2 3" xfId="17584"/>
    <cellStyle name="20% - Accent3 3 5 3" xfId="2311"/>
    <cellStyle name="20% - Accent3 3 5 3 2" xfId="13634"/>
    <cellStyle name="20% - Accent3 3 5 3 3" xfId="17585"/>
    <cellStyle name="20% - Accent3 3 5 4" xfId="13632"/>
    <cellStyle name="20% - Accent3 3 5 5" xfId="17583"/>
    <cellStyle name="20% - Accent3 3 6" xfId="2312"/>
    <cellStyle name="20% - Accent3 3 6 2" xfId="2313"/>
    <cellStyle name="20% - Accent3 3 6 2 2" xfId="13636"/>
    <cellStyle name="20% - Accent3 3 6 2 3" xfId="17587"/>
    <cellStyle name="20% - Accent3 3 6 3" xfId="2314"/>
    <cellStyle name="20% - Accent3 3 6 3 2" xfId="13637"/>
    <cellStyle name="20% - Accent3 3 6 3 3" xfId="17588"/>
    <cellStyle name="20% - Accent3 3 6 4" xfId="13635"/>
    <cellStyle name="20% - Accent3 3 6 5" xfId="17586"/>
    <cellStyle name="20% - Accent3 3 7" xfId="2315"/>
    <cellStyle name="20% - Accent3 3 7 2" xfId="13638"/>
    <cellStyle name="20% - Accent3 3 7 3" xfId="17589"/>
    <cellStyle name="20% - Accent3 3 8" xfId="2316"/>
    <cellStyle name="20% - Accent3 3 8 2" xfId="13639"/>
    <cellStyle name="20% - Accent3 3 8 3" xfId="17590"/>
    <cellStyle name="20% - Accent3 3 9" xfId="13607"/>
    <cellStyle name="20% - Accent3 3_Volatility" xfId="2317"/>
    <cellStyle name="20% - Accent3 4" xfId="2318"/>
    <cellStyle name="20% - Accent3 4 10" xfId="17591"/>
    <cellStyle name="20% - Accent3 4 2" xfId="2319"/>
    <cellStyle name="20% - Accent3 4 2 2" xfId="2320"/>
    <cellStyle name="20% - Accent3 4 2 2 2" xfId="2321"/>
    <cellStyle name="20% - Accent3 4 2 2 2 2" xfId="13643"/>
    <cellStyle name="20% - Accent3 4 2 2 2 3" xfId="17594"/>
    <cellStyle name="20% - Accent3 4 2 2 3" xfId="2322"/>
    <cellStyle name="20% - Accent3 4 2 2 3 2" xfId="13644"/>
    <cellStyle name="20% - Accent3 4 2 2 3 3" xfId="17595"/>
    <cellStyle name="20% - Accent3 4 2 2 4" xfId="13642"/>
    <cellStyle name="20% - Accent3 4 2 2 5" xfId="17593"/>
    <cellStyle name="20% - Accent3 4 2 3" xfId="2323"/>
    <cellStyle name="20% - Accent3 4 2 3 2" xfId="2324"/>
    <cellStyle name="20% - Accent3 4 2 3 2 2" xfId="13646"/>
    <cellStyle name="20% - Accent3 4 2 3 2 3" xfId="17597"/>
    <cellStyle name="20% - Accent3 4 2 3 3" xfId="2325"/>
    <cellStyle name="20% - Accent3 4 2 3 3 2" xfId="13647"/>
    <cellStyle name="20% - Accent3 4 2 3 3 3" xfId="17598"/>
    <cellStyle name="20% - Accent3 4 2 3 4" xfId="13645"/>
    <cellStyle name="20% - Accent3 4 2 3 5" xfId="17596"/>
    <cellStyle name="20% - Accent3 4 2 4" xfId="2326"/>
    <cellStyle name="20% - Accent3 4 2 4 2" xfId="2327"/>
    <cellStyle name="20% - Accent3 4 2 4 2 2" xfId="13649"/>
    <cellStyle name="20% - Accent3 4 2 4 2 3" xfId="17600"/>
    <cellStyle name="20% - Accent3 4 2 4 3" xfId="2328"/>
    <cellStyle name="20% - Accent3 4 2 4 3 2" xfId="13650"/>
    <cellStyle name="20% - Accent3 4 2 4 3 3" xfId="17601"/>
    <cellStyle name="20% - Accent3 4 2 4 4" xfId="13648"/>
    <cellStyle name="20% - Accent3 4 2 4 5" xfId="17599"/>
    <cellStyle name="20% - Accent3 4 2 5" xfId="2329"/>
    <cellStyle name="20% - Accent3 4 2 5 2" xfId="13651"/>
    <cellStyle name="20% - Accent3 4 2 5 3" xfId="17602"/>
    <cellStyle name="20% - Accent3 4 2 6" xfId="2330"/>
    <cellStyle name="20% - Accent3 4 2 6 2" xfId="13652"/>
    <cellStyle name="20% - Accent3 4 2 6 3" xfId="17603"/>
    <cellStyle name="20% - Accent3 4 2 7" xfId="13641"/>
    <cellStyle name="20% - Accent3 4 2 8" xfId="17592"/>
    <cellStyle name="20% - Accent3 4 2_Volatility" xfId="2331"/>
    <cellStyle name="20% - Accent3 4 3" xfId="2332"/>
    <cellStyle name="20% - Accent3 4 3 2" xfId="2333"/>
    <cellStyle name="20% - Accent3 4 3 2 2" xfId="2334"/>
    <cellStyle name="20% - Accent3 4 3 2 2 2" xfId="13655"/>
    <cellStyle name="20% - Accent3 4 3 2 2 3" xfId="17606"/>
    <cellStyle name="20% - Accent3 4 3 2 3" xfId="2335"/>
    <cellStyle name="20% - Accent3 4 3 2 3 2" xfId="13656"/>
    <cellStyle name="20% - Accent3 4 3 2 3 3" xfId="17607"/>
    <cellStyle name="20% - Accent3 4 3 2 4" xfId="13654"/>
    <cellStyle name="20% - Accent3 4 3 2 5" xfId="17605"/>
    <cellStyle name="20% - Accent3 4 3 3" xfId="2336"/>
    <cellStyle name="20% - Accent3 4 3 3 2" xfId="2337"/>
    <cellStyle name="20% - Accent3 4 3 3 2 2" xfId="13658"/>
    <cellStyle name="20% - Accent3 4 3 3 2 3" xfId="17609"/>
    <cellStyle name="20% - Accent3 4 3 3 3" xfId="2338"/>
    <cellStyle name="20% - Accent3 4 3 3 3 2" xfId="13659"/>
    <cellStyle name="20% - Accent3 4 3 3 3 3" xfId="17610"/>
    <cellStyle name="20% - Accent3 4 3 3 4" xfId="13657"/>
    <cellStyle name="20% - Accent3 4 3 3 5" xfId="17608"/>
    <cellStyle name="20% - Accent3 4 3 4" xfId="2339"/>
    <cellStyle name="20% - Accent3 4 3 4 2" xfId="13660"/>
    <cellStyle name="20% - Accent3 4 3 4 3" xfId="17611"/>
    <cellStyle name="20% - Accent3 4 3 5" xfId="2340"/>
    <cellStyle name="20% - Accent3 4 3 5 2" xfId="13661"/>
    <cellStyle name="20% - Accent3 4 3 5 3" xfId="17612"/>
    <cellStyle name="20% - Accent3 4 3 6" xfId="13653"/>
    <cellStyle name="20% - Accent3 4 3 7" xfId="17604"/>
    <cellStyle name="20% - Accent3 4 3_Volatility" xfId="2341"/>
    <cellStyle name="20% - Accent3 4 4" xfId="2342"/>
    <cellStyle name="20% - Accent3 4 4 2" xfId="2343"/>
    <cellStyle name="20% - Accent3 4 4 2 2" xfId="13663"/>
    <cellStyle name="20% - Accent3 4 4 2 3" xfId="17614"/>
    <cellStyle name="20% - Accent3 4 4 3" xfId="2344"/>
    <cellStyle name="20% - Accent3 4 4 3 2" xfId="13664"/>
    <cellStyle name="20% - Accent3 4 4 3 3" xfId="17615"/>
    <cellStyle name="20% - Accent3 4 4 4" xfId="13662"/>
    <cellStyle name="20% - Accent3 4 4 5" xfId="17613"/>
    <cellStyle name="20% - Accent3 4 5" xfId="2345"/>
    <cellStyle name="20% - Accent3 4 5 2" xfId="2346"/>
    <cellStyle name="20% - Accent3 4 5 2 2" xfId="13666"/>
    <cellStyle name="20% - Accent3 4 5 2 3" xfId="17617"/>
    <cellStyle name="20% - Accent3 4 5 3" xfId="2347"/>
    <cellStyle name="20% - Accent3 4 5 3 2" xfId="13667"/>
    <cellStyle name="20% - Accent3 4 5 3 3" xfId="17618"/>
    <cellStyle name="20% - Accent3 4 5 4" xfId="13665"/>
    <cellStyle name="20% - Accent3 4 5 5" xfId="17616"/>
    <cellStyle name="20% - Accent3 4 6" xfId="2348"/>
    <cellStyle name="20% - Accent3 4 6 2" xfId="2349"/>
    <cellStyle name="20% - Accent3 4 6 2 2" xfId="13669"/>
    <cellStyle name="20% - Accent3 4 6 2 3" xfId="17620"/>
    <cellStyle name="20% - Accent3 4 6 3" xfId="2350"/>
    <cellStyle name="20% - Accent3 4 6 3 2" xfId="13670"/>
    <cellStyle name="20% - Accent3 4 6 3 3" xfId="17621"/>
    <cellStyle name="20% - Accent3 4 6 4" xfId="13668"/>
    <cellStyle name="20% - Accent3 4 6 5" xfId="17619"/>
    <cellStyle name="20% - Accent3 4 7" xfId="2351"/>
    <cellStyle name="20% - Accent3 4 7 2" xfId="13671"/>
    <cellStyle name="20% - Accent3 4 7 3" xfId="17622"/>
    <cellStyle name="20% - Accent3 4 8" xfId="2352"/>
    <cellStyle name="20% - Accent3 4 8 2" xfId="13672"/>
    <cellStyle name="20% - Accent3 4 8 3" xfId="17623"/>
    <cellStyle name="20% - Accent3 4 9" xfId="13640"/>
    <cellStyle name="20% - Accent3 4_Volatility" xfId="2353"/>
    <cellStyle name="20% - Accent3 5" xfId="2354"/>
    <cellStyle name="20% - Accent3 5 10" xfId="17624"/>
    <cellStyle name="20% - Accent3 5 2" xfId="2355"/>
    <cellStyle name="20% - Accent3 5 2 2" xfId="2356"/>
    <cellStyle name="20% - Accent3 5 2 2 2" xfId="2357"/>
    <cellStyle name="20% - Accent3 5 2 2 2 2" xfId="13676"/>
    <cellStyle name="20% - Accent3 5 2 2 2 3" xfId="17627"/>
    <cellStyle name="20% - Accent3 5 2 2 3" xfId="2358"/>
    <cellStyle name="20% - Accent3 5 2 2 3 2" xfId="13677"/>
    <cellStyle name="20% - Accent3 5 2 2 3 3" xfId="17628"/>
    <cellStyle name="20% - Accent3 5 2 2 4" xfId="13675"/>
    <cellStyle name="20% - Accent3 5 2 2 5" xfId="17626"/>
    <cellStyle name="20% - Accent3 5 2 3" xfId="2359"/>
    <cellStyle name="20% - Accent3 5 2 3 2" xfId="2360"/>
    <cellStyle name="20% - Accent3 5 2 3 2 2" xfId="13679"/>
    <cellStyle name="20% - Accent3 5 2 3 2 3" xfId="17630"/>
    <cellStyle name="20% - Accent3 5 2 3 3" xfId="2361"/>
    <cellStyle name="20% - Accent3 5 2 3 3 2" xfId="13680"/>
    <cellStyle name="20% - Accent3 5 2 3 3 3" xfId="17631"/>
    <cellStyle name="20% - Accent3 5 2 3 4" xfId="13678"/>
    <cellStyle name="20% - Accent3 5 2 3 5" xfId="17629"/>
    <cellStyle name="20% - Accent3 5 2 4" xfId="2362"/>
    <cellStyle name="20% - Accent3 5 2 4 2" xfId="2363"/>
    <cellStyle name="20% - Accent3 5 2 4 2 2" xfId="13682"/>
    <cellStyle name="20% - Accent3 5 2 4 2 3" xfId="17633"/>
    <cellStyle name="20% - Accent3 5 2 4 3" xfId="2364"/>
    <cellStyle name="20% - Accent3 5 2 4 3 2" xfId="13683"/>
    <cellStyle name="20% - Accent3 5 2 4 3 3" xfId="17634"/>
    <cellStyle name="20% - Accent3 5 2 4 4" xfId="13681"/>
    <cellStyle name="20% - Accent3 5 2 4 5" xfId="17632"/>
    <cellStyle name="20% - Accent3 5 2 5" xfId="2365"/>
    <cellStyle name="20% - Accent3 5 2 5 2" xfId="13684"/>
    <cellStyle name="20% - Accent3 5 2 5 3" xfId="17635"/>
    <cellStyle name="20% - Accent3 5 2 6" xfId="2366"/>
    <cellStyle name="20% - Accent3 5 2 6 2" xfId="13685"/>
    <cellStyle name="20% - Accent3 5 2 6 3" xfId="17636"/>
    <cellStyle name="20% - Accent3 5 2 7" xfId="13674"/>
    <cellStyle name="20% - Accent3 5 2 8" xfId="17625"/>
    <cellStyle name="20% - Accent3 5 2_Volatility" xfId="2367"/>
    <cellStyle name="20% - Accent3 5 3" xfId="2368"/>
    <cellStyle name="20% - Accent3 5 3 2" xfId="2369"/>
    <cellStyle name="20% - Accent3 5 3 2 2" xfId="2370"/>
    <cellStyle name="20% - Accent3 5 3 2 2 2" xfId="13688"/>
    <cellStyle name="20% - Accent3 5 3 2 2 3" xfId="17639"/>
    <cellStyle name="20% - Accent3 5 3 2 3" xfId="2371"/>
    <cellStyle name="20% - Accent3 5 3 2 3 2" xfId="13689"/>
    <cellStyle name="20% - Accent3 5 3 2 3 3" xfId="17640"/>
    <cellStyle name="20% - Accent3 5 3 2 4" xfId="13687"/>
    <cellStyle name="20% - Accent3 5 3 2 5" xfId="17638"/>
    <cellStyle name="20% - Accent3 5 3 3" xfId="2372"/>
    <cellStyle name="20% - Accent3 5 3 3 2" xfId="2373"/>
    <cellStyle name="20% - Accent3 5 3 3 2 2" xfId="13691"/>
    <cellStyle name="20% - Accent3 5 3 3 2 3" xfId="17642"/>
    <cellStyle name="20% - Accent3 5 3 3 3" xfId="2374"/>
    <cellStyle name="20% - Accent3 5 3 3 3 2" xfId="13692"/>
    <cellStyle name="20% - Accent3 5 3 3 3 3" xfId="17643"/>
    <cellStyle name="20% - Accent3 5 3 3 4" xfId="13690"/>
    <cellStyle name="20% - Accent3 5 3 3 5" xfId="17641"/>
    <cellStyle name="20% - Accent3 5 3 4" xfId="2375"/>
    <cellStyle name="20% - Accent3 5 3 4 2" xfId="13693"/>
    <cellStyle name="20% - Accent3 5 3 4 3" xfId="17644"/>
    <cellStyle name="20% - Accent3 5 3 5" xfId="2376"/>
    <cellStyle name="20% - Accent3 5 3 5 2" xfId="13694"/>
    <cellStyle name="20% - Accent3 5 3 5 3" xfId="17645"/>
    <cellStyle name="20% - Accent3 5 3 6" xfId="13686"/>
    <cellStyle name="20% - Accent3 5 3 7" xfId="17637"/>
    <cellStyle name="20% - Accent3 5 3_Volatility" xfId="2377"/>
    <cellStyle name="20% - Accent3 5 4" xfId="2378"/>
    <cellStyle name="20% - Accent3 5 4 2" xfId="2379"/>
    <cellStyle name="20% - Accent3 5 4 2 2" xfId="13696"/>
    <cellStyle name="20% - Accent3 5 4 2 3" xfId="17647"/>
    <cellStyle name="20% - Accent3 5 4 3" xfId="2380"/>
    <cellStyle name="20% - Accent3 5 4 3 2" xfId="13697"/>
    <cellStyle name="20% - Accent3 5 4 3 3" xfId="17648"/>
    <cellStyle name="20% - Accent3 5 4 4" xfId="13695"/>
    <cellStyle name="20% - Accent3 5 4 5" xfId="17646"/>
    <cellStyle name="20% - Accent3 5 5" xfId="2381"/>
    <cellStyle name="20% - Accent3 5 5 2" xfId="2382"/>
    <cellStyle name="20% - Accent3 5 5 2 2" xfId="13699"/>
    <cellStyle name="20% - Accent3 5 5 2 3" xfId="17650"/>
    <cellStyle name="20% - Accent3 5 5 3" xfId="2383"/>
    <cellStyle name="20% - Accent3 5 5 3 2" xfId="13700"/>
    <cellStyle name="20% - Accent3 5 5 3 3" xfId="17651"/>
    <cellStyle name="20% - Accent3 5 5 4" xfId="13698"/>
    <cellStyle name="20% - Accent3 5 5 5" xfId="17649"/>
    <cellStyle name="20% - Accent3 5 6" xfId="2384"/>
    <cellStyle name="20% - Accent3 5 6 2" xfId="2385"/>
    <cellStyle name="20% - Accent3 5 6 2 2" xfId="13702"/>
    <cellStyle name="20% - Accent3 5 6 2 3" xfId="17653"/>
    <cellStyle name="20% - Accent3 5 6 3" xfId="2386"/>
    <cellStyle name="20% - Accent3 5 6 3 2" xfId="13703"/>
    <cellStyle name="20% - Accent3 5 6 3 3" xfId="17654"/>
    <cellStyle name="20% - Accent3 5 6 4" xfId="13701"/>
    <cellStyle name="20% - Accent3 5 6 5" xfId="17652"/>
    <cellStyle name="20% - Accent3 5 7" xfId="2387"/>
    <cellStyle name="20% - Accent3 5 7 2" xfId="13704"/>
    <cellStyle name="20% - Accent3 5 7 3" xfId="17655"/>
    <cellStyle name="20% - Accent3 5 8" xfId="2388"/>
    <cellStyle name="20% - Accent3 5 8 2" xfId="13705"/>
    <cellStyle name="20% - Accent3 5 8 3" xfId="17656"/>
    <cellStyle name="20% - Accent3 5 9" xfId="13673"/>
    <cellStyle name="20% - Accent3 5_Volatility" xfId="2389"/>
    <cellStyle name="20% - Accent3 6" xfId="2390"/>
    <cellStyle name="20% - Accent3 6 10" xfId="17657"/>
    <cellStyle name="20% - Accent3 6 2" xfId="2391"/>
    <cellStyle name="20% - Accent3 6 2 2" xfId="2392"/>
    <cellStyle name="20% - Accent3 6 2 2 2" xfId="2393"/>
    <cellStyle name="20% - Accent3 6 2 2 2 2" xfId="13709"/>
    <cellStyle name="20% - Accent3 6 2 2 2 3" xfId="17660"/>
    <cellStyle name="20% - Accent3 6 2 2 3" xfId="2394"/>
    <cellStyle name="20% - Accent3 6 2 2 3 2" xfId="13710"/>
    <cellStyle name="20% - Accent3 6 2 2 3 3" xfId="17661"/>
    <cellStyle name="20% - Accent3 6 2 2 4" xfId="13708"/>
    <cellStyle name="20% - Accent3 6 2 2 5" xfId="17659"/>
    <cellStyle name="20% - Accent3 6 2 3" xfId="2395"/>
    <cellStyle name="20% - Accent3 6 2 3 2" xfId="2396"/>
    <cellStyle name="20% - Accent3 6 2 3 2 2" xfId="13712"/>
    <cellStyle name="20% - Accent3 6 2 3 2 3" xfId="17663"/>
    <cellStyle name="20% - Accent3 6 2 3 3" xfId="2397"/>
    <cellStyle name="20% - Accent3 6 2 3 3 2" xfId="13713"/>
    <cellStyle name="20% - Accent3 6 2 3 3 3" xfId="17664"/>
    <cellStyle name="20% - Accent3 6 2 3 4" xfId="13711"/>
    <cellStyle name="20% - Accent3 6 2 3 5" xfId="17662"/>
    <cellStyle name="20% - Accent3 6 2 4" xfId="2398"/>
    <cellStyle name="20% - Accent3 6 2 4 2" xfId="2399"/>
    <cellStyle name="20% - Accent3 6 2 4 2 2" xfId="13715"/>
    <cellStyle name="20% - Accent3 6 2 4 2 3" xfId="17666"/>
    <cellStyle name="20% - Accent3 6 2 4 3" xfId="2400"/>
    <cellStyle name="20% - Accent3 6 2 4 3 2" xfId="13716"/>
    <cellStyle name="20% - Accent3 6 2 4 3 3" xfId="17667"/>
    <cellStyle name="20% - Accent3 6 2 4 4" xfId="13714"/>
    <cellStyle name="20% - Accent3 6 2 4 5" xfId="17665"/>
    <cellStyle name="20% - Accent3 6 2 5" xfId="2401"/>
    <cellStyle name="20% - Accent3 6 2 5 2" xfId="13717"/>
    <cellStyle name="20% - Accent3 6 2 5 3" xfId="17668"/>
    <cellStyle name="20% - Accent3 6 2 6" xfId="2402"/>
    <cellStyle name="20% - Accent3 6 2 6 2" xfId="13718"/>
    <cellStyle name="20% - Accent3 6 2 6 3" xfId="17669"/>
    <cellStyle name="20% - Accent3 6 2 7" xfId="13707"/>
    <cellStyle name="20% - Accent3 6 2 8" xfId="17658"/>
    <cellStyle name="20% - Accent3 6 2_Volatility" xfId="2403"/>
    <cellStyle name="20% - Accent3 6 3" xfId="2404"/>
    <cellStyle name="20% - Accent3 6 3 2" xfId="2405"/>
    <cellStyle name="20% - Accent3 6 3 2 2" xfId="2406"/>
    <cellStyle name="20% - Accent3 6 3 2 2 2" xfId="13721"/>
    <cellStyle name="20% - Accent3 6 3 2 2 3" xfId="17672"/>
    <cellStyle name="20% - Accent3 6 3 2 3" xfId="2407"/>
    <cellStyle name="20% - Accent3 6 3 2 3 2" xfId="13722"/>
    <cellStyle name="20% - Accent3 6 3 2 3 3" xfId="17673"/>
    <cellStyle name="20% - Accent3 6 3 2 4" xfId="13720"/>
    <cellStyle name="20% - Accent3 6 3 2 5" xfId="17671"/>
    <cellStyle name="20% - Accent3 6 3 3" xfId="2408"/>
    <cellStyle name="20% - Accent3 6 3 3 2" xfId="2409"/>
    <cellStyle name="20% - Accent3 6 3 3 2 2" xfId="13724"/>
    <cellStyle name="20% - Accent3 6 3 3 2 3" xfId="17675"/>
    <cellStyle name="20% - Accent3 6 3 3 3" xfId="2410"/>
    <cellStyle name="20% - Accent3 6 3 3 3 2" xfId="13725"/>
    <cellStyle name="20% - Accent3 6 3 3 3 3" xfId="17676"/>
    <cellStyle name="20% - Accent3 6 3 3 4" xfId="13723"/>
    <cellStyle name="20% - Accent3 6 3 3 5" xfId="17674"/>
    <cellStyle name="20% - Accent3 6 3 4" xfId="2411"/>
    <cellStyle name="20% - Accent3 6 3 4 2" xfId="13726"/>
    <cellStyle name="20% - Accent3 6 3 4 3" xfId="17677"/>
    <cellStyle name="20% - Accent3 6 3 5" xfId="2412"/>
    <cellStyle name="20% - Accent3 6 3 5 2" xfId="13727"/>
    <cellStyle name="20% - Accent3 6 3 5 3" xfId="17678"/>
    <cellStyle name="20% - Accent3 6 3 6" xfId="13719"/>
    <cellStyle name="20% - Accent3 6 3 7" xfId="17670"/>
    <cellStyle name="20% - Accent3 6 3_Volatility" xfId="2413"/>
    <cellStyle name="20% - Accent3 6 4" xfId="2414"/>
    <cellStyle name="20% - Accent3 6 4 2" xfId="2415"/>
    <cellStyle name="20% - Accent3 6 4 2 2" xfId="13729"/>
    <cellStyle name="20% - Accent3 6 4 2 3" xfId="17680"/>
    <cellStyle name="20% - Accent3 6 4 3" xfId="2416"/>
    <cellStyle name="20% - Accent3 6 4 3 2" xfId="13730"/>
    <cellStyle name="20% - Accent3 6 4 3 3" xfId="17681"/>
    <cellStyle name="20% - Accent3 6 4 4" xfId="13728"/>
    <cellStyle name="20% - Accent3 6 4 5" xfId="17679"/>
    <cellStyle name="20% - Accent3 6 5" xfId="2417"/>
    <cellStyle name="20% - Accent3 6 5 2" xfId="2418"/>
    <cellStyle name="20% - Accent3 6 5 2 2" xfId="13732"/>
    <cellStyle name="20% - Accent3 6 5 2 3" xfId="17683"/>
    <cellStyle name="20% - Accent3 6 5 3" xfId="2419"/>
    <cellStyle name="20% - Accent3 6 5 3 2" xfId="13733"/>
    <cellStyle name="20% - Accent3 6 5 3 3" xfId="17684"/>
    <cellStyle name="20% - Accent3 6 5 4" xfId="13731"/>
    <cellStyle name="20% - Accent3 6 5 5" xfId="17682"/>
    <cellStyle name="20% - Accent3 6 6" xfId="2420"/>
    <cellStyle name="20% - Accent3 6 6 2" xfId="2421"/>
    <cellStyle name="20% - Accent3 6 6 2 2" xfId="13735"/>
    <cellStyle name="20% - Accent3 6 6 2 3" xfId="17686"/>
    <cellStyle name="20% - Accent3 6 6 3" xfId="2422"/>
    <cellStyle name="20% - Accent3 6 6 3 2" xfId="13736"/>
    <cellStyle name="20% - Accent3 6 6 3 3" xfId="17687"/>
    <cellStyle name="20% - Accent3 6 6 4" xfId="13734"/>
    <cellStyle name="20% - Accent3 6 6 5" xfId="17685"/>
    <cellStyle name="20% - Accent3 6 7" xfId="2423"/>
    <cellStyle name="20% - Accent3 6 7 2" xfId="13737"/>
    <cellStyle name="20% - Accent3 6 7 3" xfId="17688"/>
    <cellStyle name="20% - Accent3 6 8" xfId="2424"/>
    <cellStyle name="20% - Accent3 6 8 2" xfId="13738"/>
    <cellStyle name="20% - Accent3 6 8 3" xfId="17689"/>
    <cellStyle name="20% - Accent3 6 9" xfId="13706"/>
    <cellStyle name="20% - Accent3 6_Volatility" xfId="2425"/>
    <cellStyle name="20% - Accent3 7" xfId="2426"/>
    <cellStyle name="20% - Accent3 7 10" xfId="17690"/>
    <cellStyle name="20% - Accent3 7 2" xfId="2427"/>
    <cellStyle name="20% - Accent3 7 2 2" xfId="2428"/>
    <cellStyle name="20% - Accent3 7 2 2 2" xfId="2429"/>
    <cellStyle name="20% - Accent3 7 2 2 2 2" xfId="13742"/>
    <cellStyle name="20% - Accent3 7 2 2 2 3" xfId="17693"/>
    <cellStyle name="20% - Accent3 7 2 2 3" xfId="2430"/>
    <cellStyle name="20% - Accent3 7 2 2 3 2" xfId="13743"/>
    <cellStyle name="20% - Accent3 7 2 2 3 3" xfId="17694"/>
    <cellStyle name="20% - Accent3 7 2 2 4" xfId="13741"/>
    <cellStyle name="20% - Accent3 7 2 2 5" xfId="17692"/>
    <cellStyle name="20% - Accent3 7 2 3" xfId="2431"/>
    <cellStyle name="20% - Accent3 7 2 3 2" xfId="2432"/>
    <cellStyle name="20% - Accent3 7 2 3 2 2" xfId="13745"/>
    <cellStyle name="20% - Accent3 7 2 3 2 3" xfId="17696"/>
    <cellStyle name="20% - Accent3 7 2 3 3" xfId="2433"/>
    <cellStyle name="20% - Accent3 7 2 3 3 2" xfId="13746"/>
    <cellStyle name="20% - Accent3 7 2 3 3 3" xfId="17697"/>
    <cellStyle name="20% - Accent3 7 2 3 4" xfId="13744"/>
    <cellStyle name="20% - Accent3 7 2 3 5" xfId="17695"/>
    <cellStyle name="20% - Accent3 7 2 4" xfId="2434"/>
    <cellStyle name="20% - Accent3 7 2 4 2" xfId="2435"/>
    <cellStyle name="20% - Accent3 7 2 4 2 2" xfId="13748"/>
    <cellStyle name="20% - Accent3 7 2 4 2 3" xfId="17699"/>
    <cellStyle name="20% - Accent3 7 2 4 3" xfId="2436"/>
    <cellStyle name="20% - Accent3 7 2 4 3 2" xfId="13749"/>
    <cellStyle name="20% - Accent3 7 2 4 3 3" xfId="17700"/>
    <cellStyle name="20% - Accent3 7 2 4 4" xfId="13747"/>
    <cellStyle name="20% - Accent3 7 2 4 5" xfId="17698"/>
    <cellStyle name="20% - Accent3 7 2 5" xfId="2437"/>
    <cellStyle name="20% - Accent3 7 2 5 2" xfId="13750"/>
    <cellStyle name="20% - Accent3 7 2 5 3" xfId="17701"/>
    <cellStyle name="20% - Accent3 7 2 6" xfId="2438"/>
    <cellStyle name="20% - Accent3 7 2 6 2" xfId="13751"/>
    <cellStyle name="20% - Accent3 7 2 6 3" xfId="17702"/>
    <cellStyle name="20% - Accent3 7 2 7" xfId="13740"/>
    <cellStyle name="20% - Accent3 7 2 8" xfId="17691"/>
    <cellStyle name="20% - Accent3 7 2_Volatility" xfId="2439"/>
    <cellStyle name="20% - Accent3 7 3" xfId="2440"/>
    <cellStyle name="20% - Accent3 7 3 2" xfId="2441"/>
    <cellStyle name="20% - Accent3 7 3 2 2" xfId="2442"/>
    <cellStyle name="20% - Accent3 7 3 2 2 2" xfId="13754"/>
    <cellStyle name="20% - Accent3 7 3 2 2 3" xfId="17705"/>
    <cellStyle name="20% - Accent3 7 3 2 3" xfId="2443"/>
    <cellStyle name="20% - Accent3 7 3 2 3 2" xfId="13755"/>
    <cellStyle name="20% - Accent3 7 3 2 3 3" xfId="17706"/>
    <cellStyle name="20% - Accent3 7 3 2 4" xfId="13753"/>
    <cellStyle name="20% - Accent3 7 3 2 5" xfId="17704"/>
    <cellStyle name="20% - Accent3 7 3 3" xfId="2444"/>
    <cellStyle name="20% - Accent3 7 3 3 2" xfId="2445"/>
    <cellStyle name="20% - Accent3 7 3 3 2 2" xfId="13757"/>
    <cellStyle name="20% - Accent3 7 3 3 2 3" xfId="17708"/>
    <cellStyle name="20% - Accent3 7 3 3 3" xfId="2446"/>
    <cellStyle name="20% - Accent3 7 3 3 3 2" xfId="13758"/>
    <cellStyle name="20% - Accent3 7 3 3 3 3" xfId="17709"/>
    <cellStyle name="20% - Accent3 7 3 3 4" xfId="13756"/>
    <cellStyle name="20% - Accent3 7 3 3 5" xfId="17707"/>
    <cellStyle name="20% - Accent3 7 3 4" xfId="2447"/>
    <cellStyle name="20% - Accent3 7 3 4 2" xfId="13759"/>
    <cellStyle name="20% - Accent3 7 3 4 3" xfId="17710"/>
    <cellStyle name="20% - Accent3 7 3 5" xfId="2448"/>
    <cellStyle name="20% - Accent3 7 3 5 2" xfId="13760"/>
    <cellStyle name="20% - Accent3 7 3 5 3" xfId="17711"/>
    <cellStyle name="20% - Accent3 7 3 6" xfId="13752"/>
    <cellStyle name="20% - Accent3 7 3 7" xfId="17703"/>
    <cellStyle name="20% - Accent3 7 3_Volatility" xfId="2449"/>
    <cellStyle name="20% - Accent3 7 4" xfId="2450"/>
    <cellStyle name="20% - Accent3 7 4 2" xfId="2451"/>
    <cellStyle name="20% - Accent3 7 4 2 2" xfId="13762"/>
    <cellStyle name="20% - Accent3 7 4 2 3" xfId="17713"/>
    <cellStyle name="20% - Accent3 7 4 3" xfId="2452"/>
    <cellStyle name="20% - Accent3 7 4 3 2" xfId="13763"/>
    <cellStyle name="20% - Accent3 7 4 3 3" xfId="17714"/>
    <cellStyle name="20% - Accent3 7 4 4" xfId="13761"/>
    <cellStyle name="20% - Accent3 7 4 5" xfId="17712"/>
    <cellStyle name="20% - Accent3 7 5" xfId="2453"/>
    <cellStyle name="20% - Accent3 7 5 2" xfId="2454"/>
    <cellStyle name="20% - Accent3 7 5 2 2" xfId="13765"/>
    <cellStyle name="20% - Accent3 7 5 2 3" xfId="17716"/>
    <cellStyle name="20% - Accent3 7 5 3" xfId="2455"/>
    <cellStyle name="20% - Accent3 7 5 3 2" xfId="13766"/>
    <cellStyle name="20% - Accent3 7 5 3 3" xfId="17717"/>
    <cellStyle name="20% - Accent3 7 5 4" xfId="13764"/>
    <cellStyle name="20% - Accent3 7 5 5" xfId="17715"/>
    <cellStyle name="20% - Accent3 7 6" xfId="2456"/>
    <cellStyle name="20% - Accent3 7 6 2" xfId="2457"/>
    <cellStyle name="20% - Accent3 7 6 2 2" xfId="13768"/>
    <cellStyle name="20% - Accent3 7 6 2 3" xfId="17719"/>
    <cellStyle name="20% - Accent3 7 6 3" xfId="2458"/>
    <cellStyle name="20% - Accent3 7 6 3 2" xfId="13769"/>
    <cellStyle name="20% - Accent3 7 6 3 3" xfId="17720"/>
    <cellStyle name="20% - Accent3 7 6 4" xfId="13767"/>
    <cellStyle name="20% - Accent3 7 6 5" xfId="17718"/>
    <cellStyle name="20% - Accent3 7 7" xfId="2459"/>
    <cellStyle name="20% - Accent3 7 7 2" xfId="13770"/>
    <cellStyle name="20% - Accent3 7 7 3" xfId="17721"/>
    <cellStyle name="20% - Accent3 7 8" xfId="2460"/>
    <cellStyle name="20% - Accent3 7 8 2" xfId="13771"/>
    <cellStyle name="20% - Accent3 7 8 3" xfId="17722"/>
    <cellStyle name="20% - Accent3 7 9" xfId="13739"/>
    <cellStyle name="20% - Accent3 7_Volatility" xfId="2461"/>
    <cellStyle name="20% - Accent3 8" xfId="2462"/>
    <cellStyle name="20% - Accent3 8 10" xfId="17723"/>
    <cellStyle name="20% - Accent3 8 2" xfId="2463"/>
    <cellStyle name="20% - Accent3 8 2 2" xfId="2464"/>
    <cellStyle name="20% - Accent3 8 2 2 2" xfId="2465"/>
    <cellStyle name="20% - Accent3 8 2 2 2 2" xfId="13775"/>
    <cellStyle name="20% - Accent3 8 2 2 2 3" xfId="17726"/>
    <cellStyle name="20% - Accent3 8 2 2 3" xfId="2466"/>
    <cellStyle name="20% - Accent3 8 2 2 3 2" xfId="13776"/>
    <cellStyle name="20% - Accent3 8 2 2 3 3" xfId="17727"/>
    <cellStyle name="20% - Accent3 8 2 2 4" xfId="13774"/>
    <cellStyle name="20% - Accent3 8 2 2 5" xfId="17725"/>
    <cellStyle name="20% - Accent3 8 2 3" xfId="2467"/>
    <cellStyle name="20% - Accent3 8 2 3 2" xfId="2468"/>
    <cellStyle name="20% - Accent3 8 2 3 2 2" xfId="13778"/>
    <cellStyle name="20% - Accent3 8 2 3 2 3" xfId="17729"/>
    <cellStyle name="20% - Accent3 8 2 3 3" xfId="2469"/>
    <cellStyle name="20% - Accent3 8 2 3 3 2" xfId="13779"/>
    <cellStyle name="20% - Accent3 8 2 3 3 3" xfId="17730"/>
    <cellStyle name="20% - Accent3 8 2 3 4" xfId="13777"/>
    <cellStyle name="20% - Accent3 8 2 3 5" xfId="17728"/>
    <cellStyle name="20% - Accent3 8 2 4" xfId="2470"/>
    <cellStyle name="20% - Accent3 8 2 4 2" xfId="2471"/>
    <cellStyle name="20% - Accent3 8 2 4 2 2" xfId="13781"/>
    <cellStyle name="20% - Accent3 8 2 4 2 3" xfId="17732"/>
    <cellStyle name="20% - Accent3 8 2 4 3" xfId="2472"/>
    <cellStyle name="20% - Accent3 8 2 4 3 2" xfId="13782"/>
    <cellStyle name="20% - Accent3 8 2 4 3 3" xfId="17733"/>
    <cellStyle name="20% - Accent3 8 2 4 4" xfId="13780"/>
    <cellStyle name="20% - Accent3 8 2 4 5" xfId="17731"/>
    <cellStyle name="20% - Accent3 8 2 5" xfId="2473"/>
    <cellStyle name="20% - Accent3 8 2 5 2" xfId="13783"/>
    <cellStyle name="20% - Accent3 8 2 5 3" xfId="17734"/>
    <cellStyle name="20% - Accent3 8 2 6" xfId="2474"/>
    <cellStyle name="20% - Accent3 8 2 6 2" xfId="13784"/>
    <cellStyle name="20% - Accent3 8 2 6 3" xfId="17735"/>
    <cellStyle name="20% - Accent3 8 2 7" xfId="13773"/>
    <cellStyle name="20% - Accent3 8 2 8" xfId="17724"/>
    <cellStyle name="20% - Accent3 8 2_Volatility" xfId="2475"/>
    <cellStyle name="20% - Accent3 8 3" xfId="2476"/>
    <cellStyle name="20% - Accent3 8 3 2" xfId="2477"/>
    <cellStyle name="20% - Accent3 8 3 2 2" xfId="2478"/>
    <cellStyle name="20% - Accent3 8 3 2 2 2" xfId="13787"/>
    <cellStyle name="20% - Accent3 8 3 2 2 3" xfId="17738"/>
    <cellStyle name="20% - Accent3 8 3 2 3" xfId="2479"/>
    <cellStyle name="20% - Accent3 8 3 2 3 2" xfId="13788"/>
    <cellStyle name="20% - Accent3 8 3 2 3 3" xfId="17739"/>
    <cellStyle name="20% - Accent3 8 3 2 4" xfId="13786"/>
    <cellStyle name="20% - Accent3 8 3 2 5" xfId="17737"/>
    <cellStyle name="20% - Accent3 8 3 3" xfId="2480"/>
    <cellStyle name="20% - Accent3 8 3 3 2" xfId="2481"/>
    <cellStyle name="20% - Accent3 8 3 3 2 2" xfId="13790"/>
    <cellStyle name="20% - Accent3 8 3 3 2 3" xfId="17741"/>
    <cellStyle name="20% - Accent3 8 3 3 3" xfId="2482"/>
    <cellStyle name="20% - Accent3 8 3 3 3 2" xfId="13791"/>
    <cellStyle name="20% - Accent3 8 3 3 3 3" xfId="17742"/>
    <cellStyle name="20% - Accent3 8 3 3 4" xfId="13789"/>
    <cellStyle name="20% - Accent3 8 3 3 5" xfId="17740"/>
    <cellStyle name="20% - Accent3 8 3 4" xfId="2483"/>
    <cellStyle name="20% - Accent3 8 3 4 2" xfId="13792"/>
    <cellStyle name="20% - Accent3 8 3 4 3" xfId="17743"/>
    <cellStyle name="20% - Accent3 8 3 5" xfId="2484"/>
    <cellStyle name="20% - Accent3 8 3 5 2" xfId="13793"/>
    <cellStyle name="20% - Accent3 8 3 5 3" xfId="17744"/>
    <cellStyle name="20% - Accent3 8 3 6" xfId="13785"/>
    <cellStyle name="20% - Accent3 8 3 7" xfId="17736"/>
    <cellStyle name="20% - Accent3 8 3_Volatility" xfId="2485"/>
    <cellStyle name="20% - Accent3 8 4" xfId="2486"/>
    <cellStyle name="20% - Accent3 8 4 2" xfId="2487"/>
    <cellStyle name="20% - Accent3 8 4 2 2" xfId="13795"/>
    <cellStyle name="20% - Accent3 8 4 2 3" xfId="17746"/>
    <cellStyle name="20% - Accent3 8 4 3" xfId="2488"/>
    <cellStyle name="20% - Accent3 8 4 3 2" xfId="13796"/>
    <cellStyle name="20% - Accent3 8 4 3 3" xfId="17747"/>
    <cellStyle name="20% - Accent3 8 4 4" xfId="13794"/>
    <cellStyle name="20% - Accent3 8 4 5" xfId="17745"/>
    <cellStyle name="20% - Accent3 8 5" xfId="2489"/>
    <cellStyle name="20% - Accent3 8 5 2" xfId="2490"/>
    <cellStyle name="20% - Accent3 8 5 2 2" xfId="13798"/>
    <cellStyle name="20% - Accent3 8 5 2 3" xfId="17749"/>
    <cellStyle name="20% - Accent3 8 5 3" xfId="2491"/>
    <cellStyle name="20% - Accent3 8 5 3 2" xfId="13799"/>
    <cellStyle name="20% - Accent3 8 5 3 3" xfId="17750"/>
    <cellStyle name="20% - Accent3 8 5 4" xfId="13797"/>
    <cellStyle name="20% - Accent3 8 5 5" xfId="17748"/>
    <cellStyle name="20% - Accent3 8 6" xfId="2492"/>
    <cellStyle name="20% - Accent3 8 6 2" xfId="2493"/>
    <cellStyle name="20% - Accent3 8 6 2 2" xfId="13801"/>
    <cellStyle name="20% - Accent3 8 6 2 3" xfId="17752"/>
    <cellStyle name="20% - Accent3 8 6 3" xfId="2494"/>
    <cellStyle name="20% - Accent3 8 6 3 2" xfId="13802"/>
    <cellStyle name="20% - Accent3 8 6 3 3" xfId="17753"/>
    <cellStyle name="20% - Accent3 8 6 4" xfId="13800"/>
    <cellStyle name="20% - Accent3 8 6 5" xfId="17751"/>
    <cellStyle name="20% - Accent3 8 7" xfId="2495"/>
    <cellStyle name="20% - Accent3 8 7 2" xfId="13803"/>
    <cellStyle name="20% - Accent3 8 7 3" xfId="17754"/>
    <cellStyle name="20% - Accent3 8 8" xfId="2496"/>
    <cellStyle name="20% - Accent3 8 8 2" xfId="13804"/>
    <cellStyle name="20% - Accent3 8 8 3" xfId="17755"/>
    <cellStyle name="20% - Accent3 8 9" xfId="13772"/>
    <cellStyle name="20% - Accent3 8_Volatility" xfId="2497"/>
    <cellStyle name="20% - Accent3 9" xfId="2498"/>
    <cellStyle name="20% - Accent3 9 10" xfId="17756"/>
    <cellStyle name="20% - Accent3 9 2" xfId="2499"/>
    <cellStyle name="20% - Accent3 9 2 2" xfId="2500"/>
    <cellStyle name="20% - Accent3 9 2 2 2" xfId="2501"/>
    <cellStyle name="20% - Accent3 9 2 2 2 2" xfId="13808"/>
    <cellStyle name="20% - Accent3 9 2 2 2 3" xfId="17759"/>
    <cellStyle name="20% - Accent3 9 2 2 3" xfId="2502"/>
    <cellStyle name="20% - Accent3 9 2 2 3 2" xfId="13809"/>
    <cellStyle name="20% - Accent3 9 2 2 3 3" xfId="17760"/>
    <cellStyle name="20% - Accent3 9 2 2 4" xfId="13807"/>
    <cellStyle name="20% - Accent3 9 2 2 5" xfId="17758"/>
    <cellStyle name="20% - Accent3 9 2 3" xfId="2503"/>
    <cellStyle name="20% - Accent3 9 2 3 2" xfId="2504"/>
    <cellStyle name="20% - Accent3 9 2 3 2 2" xfId="13811"/>
    <cellStyle name="20% - Accent3 9 2 3 2 3" xfId="17762"/>
    <cellStyle name="20% - Accent3 9 2 3 3" xfId="2505"/>
    <cellStyle name="20% - Accent3 9 2 3 3 2" xfId="13812"/>
    <cellStyle name="20% - Accent3 9 2 3 3 3" xfId="17763"/>
    <cellStyle name="20% - Accent3 9 2 3 4" xfId="13810"/>
    <cellStyle name="20% - Accent3 9 2 3 5" xfId="17761"/>
    <cellStyle name="20% - Accent3 9 2 4" xfId="2506"/>
    <cellStyle name="20% - Accent3 9 2 4 2" xfId="2507"/>
    <cellStyle name="20% - Accent3 9 2 4 2 2" xfId="13814"/>
    <cellStyle name="20% - Accent3 9 2 4 2 3" xfId="17765"/>
    <cellStyle name="20% - Accent3 9 2 4 3" xfId="2508"/>
    <cellStyle name="20% - Accent3 9 2 4 3 2" xfId="13815"/>
    <cellStyle name="20% - Accent3 9 2 4 3 3" xfId="17766"/>
    <cellStyle name="20% - Accent3 9 2 4 4" xfId="13813"/>
    <cellStyle name="20% - Accent3 9 2 4 5" xfId="17764"/>
    <cellStyle name="20% - Accent3 9 2 5" xfId="2509"/>
    <cellStyle name="20% - Accent3 9 2 5 2" xfId="13816"/>
    <cellStyle name="20% - Accent3 9 2 5 3" xfId="17767"/>
    <cellStyle name="20% - Accent3 9 2 6" xfId="2510"/>
    <cellStyle name="20% - Accent3 9 2 6 2" xfId="13817"/>
    <cellStyle name="20% - Accent3 9 2 6 3" xfId="17768"/>
    <cellStyle name="20% - Accent3 9 2 7" xfId="13806"/>
    <cellStyle name="20% - Accent3 9 2 8" xfId="17757"/>
    <cellStyle name="20% - Accent3 9 2_Volatility" xfId="2511"/>
    <cellStyle name="20% - Accent3 9 3" xfId="2512"/>
    <cellStyle name="20% - Accent3 9 3 2" xfId="2513"/>
    <cellStyle name="20% - Accent3 9 3 2 2" xfId="2514"/>
    <cellStyle name="20% - Accent3 9 3 2 2 2" xfId="13820"/>
    <cellStyle name="20% - Accent3 9 3 2 2 3" xfId="17771"/>
    <cellStyle name="20% - Accent3 9 3 2 3" xfId="2515"/>
    <cellStyle name="20% - Accent3 9 3 2 3 2" xfId="13821"/>
    <cellStyle name="20% - Accent3 9 3 2 3 3" xfId="17772"/>
    <cellStyle name="20% - Accent3 9 3 2 4" xfId="13819"/>
    <cellStyle name="20% - Accent3 9 3 2 5" xfId="17770"/>
    <cellStyle name="20% - Accent3 9 3 3" xfId="2516"/>
    <cellStyle name="20% - Accent3 9 3 3 2" xfId="2517"/>
    <cellStyle name="20% - Accent3 9 3 3 2 2" xfId="13823"/>
    <cellStyle name="20% - Accent3 9 3 3 2 3" xfId="17774"/>
    <cellStyle name="20% - Accent3 9 3 3 3" xfId="2518"/>
    <cellStyle name="20% - Accent3 9 3 3 3 2" xfId="13824"/>
    <cellStyle name="20% - Accent3 9 3 3 3 3" xfId="17775"/>
    <cellStyle name="20% - Accent3 9 3 3 4" xfId="13822"/>
    <cellStyle name="20% - Accent3 9 3 3 5" xfId="17773"/>
    <cellStyle name="20% - Accent3 9 3 4" xfId="2519"/>
    <cellStyle name="20% - Accent3 9 3 4 2" xfId="13825"/>
    <cellStyle name="20% - Accent3 9 3 4 3" xfId="17776"/>
    <cellStyle name="20% - Accent3 9 3 5" xfId="2520"/>
    <cellStyle name="20% - Accent3 9 3 5 2" xfId="13826"/>
    <cellStyle name="20% - Accent3 9 3 5 3" xfId="17777"/>
    <cellStyle name="20% - Accent3 9 3 6" xfId="13818"/>
    <cellStyle name="20% - Accent3 9 3 7" xfId="17769"/>
    <cellStyle name="20% - Accent3 9 3_Volatility" xfId="2521"/>
    <cellStyle name="20% - Accent3 9 4" xfId="2522"/>
    <cellStyle name="20% - Accent3 9 4 2" xfId="2523"/>
    <cellStyle name="20% - Accent3 9 4 2 2" xfId="13828"/>
    <cellStyle name="20% - Accent3 9 4 2 3" xfId="17779"/>
    <cellStyle name="20% - Accent3 9 4 3" xfId="2524"/>
    <cellStyle name="20% - Accent3 9 4 3 2" xfId="13829"/>
    <cellStyle name="20% - Accent3 9 4 3 3" xfId="17780"/>
    <cellStyle name="20% - Accent3 9 4 4" xfId="13827"/>
    <cellStyle name="20% - Accent3 9 4 5" xfId="17778"/>
    <cellStyle name="20% - Accent3 9 5" xfId="2525"/>
    <cellStyle name="20% - Accent3 9 5 2" xfId="2526"/>
    <cellStyle name="20% - Accent3 9 5 2 2" xfId="13831"/>
    <cellStyle name="20% - Accent3 9 5 2 3" xfId="17782"/>
    <cellStyle name="20% - Accent3 9 5 3" xfId="2527"/>
    <cellStyle name="20% - Accent3 9 5 3 2" xfId="13832"/>
    <cellStyle name="20% - Accent3 9 5 3 3" xfId="17783"/>
    <cellStyle name="20% - Accent3 9 5 4" xfId="13830"/>
    <cellStyle name="20% - Accent3 9 5 5" xfId="17781"/>
    <cellStyle name="20% - Accent3 9 6" xfId="2528"/>
    <cellStyle name="20% - Accent3 9 6 2" xfId="2529"/>
    <cellStyle name="20% - Accent3 9 6 2 2" xfId="13834"/>
    <cellStyle name="20% - Accent3 9 6 2 3" xfId="17785"/>
    <cellStyle name="20% - Accent3 9 6 3" xfId="2530"/>
    <cellStyle name="20% - Accent3 9 6 3 2" xfId="13835"/>
    <cellStyle name="20% - Accent3 9 6 3 3" xfId="17786"/>
    <cellStyle name="20% - Accent3 9 6 4" xfId="13833"/>
    <cellStyle name="20% - Accent3 9 6 5" xfId="17784"/>
    <cellStyle name="20% - Accent3 9 7" xfId="2531"/>
    <cellStyle name="20% - Accent3 9 7 2" xfId="13836"/>
    <cellStyle name="20% - Accent3 9 7 3" xfId="17787"/>
    <cellStyle name="20% - Accent3 9 8" xfId="2532"/>
    <cellStyle name="20% - Accent3 9 8 2" xfId="13837"/>
    <cellStyle name="20% - Accent3 9 8 3" xfId="17788"/>
    <cellStyle name="20% - Accent3 9 9" xfId="13805"/>
    <cellStyle name="20% - Accent3 9_Volatility" xfId="2533"/>
    <cellStyle name="20% - Accent4 10" xfId="2534"/>
    <cellStyle name="20% - Accent4 10 10" xfId="17789"/>
    <cellStyle name="20% - Accent4 10 2" xfId="2535"/>
    <cellStyle name="20% - Accent4 10 2 2" xfId="2536"/>
    <cellStyle name="20% - Accent4 10 2 2 2" xfId="2537"/>
    <cellStyle name="20% - Accent4 10 2 2 2 2" xfId="13841"/>
    <cellStyle name="20% - Accent4 10 2 2 2 3" xfId="17792"/>
    <cellStyle name="20% - Accent4 10 2 2 3" xfId="2538"/>
    <cellStyle name="20% - Accent4 10 2 2 3 2" xfId="13842"/>
    <cellStyle name="20% - Accent4 10 2 2 3 3" xfId="17793"/>
    <cellStyle name="20% - Accent4 10 2 2 4" xfId="13840"/>
    <cellStyle name="20% - Accent4 10 2 2 5" xfId="17791"/>
    <cellStyle name="20% - Accent4 10 2 3" xfId="2539"/>
    <cellStyle name="20% - Accent4 10 2 3 2" xfId="2540"/>
    <cellStyle name="20% - Accent4 10 2 3 2 2" xfId="13844"/>
    <cellStyle name="20% - Accent4 10 2 3 2 3" xfId="17795"/>
    <cellStyle name="20% - Accent4 10 2 3 3" xfId="2541"/>
    <cellStyle name="20% - Accent4 10 2 3 3 2" xfId="13845"/>
    <cellStyle name="20% - Accent4 10 2 3 3 3" xfId="17796"/>
    <cellStyle name="20% - Accent4 10 2 3 4" xfId="13843"/>
    <cellStyle name="20% - Accent4 10 2 3 5" xfId="17794"/>
    <cellStyle name="20% - Accent4 10 2 4" xfId="2542"/>
    <cellStyle name="20% - Accent4 10 2 4 2" xfId="2543"/>
    <cellStyle name="20% - Accent4 10 2 4 2 2" xfId="13847"/>
    <cellStyle name="20% - Accent4 10 2 4 2 3" xfId="17798"/>
    <cellStyle name="20% - Accent4 10 2 4 3" xfId="2544"/>
    <cellStyle name="20% - Accent4 10 2 4 3 2" xfId="13848"/>
    <cellStyle name="20% - Accent4 10 2 4 3 3" xfId="17799"/>
    <cellStyle name="20% - Accent4 10 2 4 4" xfId="13846"/>
    <cellStyle name="20% - Accent4 10 2 4 5" xfId="17797"/>
    <cellStyle name="20% - Accent4 10 2 5" xfId="2545"/>
    <cellStyle name="20% - Accent4 10 2 5 2" xfId="13849"/>
    <cellStyle name="20% - Accent4 10 2 5 3" xfId="17800"/>
    <cellStyle name="20% - Accent4 10 2 6" xfId="2546"/>
    <cellStyle name="20% - Accent4 10 2 6 2" xfId="13850"/>
    <cellStyle name="20% - Accent4 10 2 6 3" xfId="17801"/>
    <cellStyle name="20% - Accent4 10 2 7" xfId="13839"/>
    <cellStyle name="20% - Accent4 10 2 8" xfId="17790"/>
    <cellStyle name="20% - Accent4 10 2_Volatility" xfId="2547"/>
    <cellStyle name="20% - Accent4 10 3" xfId="2548"/>
    <cellStyle name="20% - Accent4 10 3 2" xfId="2549"/>
    <cellStyle name="20% - Accent4 10 3 2 2" xfId="2550"/>
    <cellStyle name="20% - Accent4 10 3 2 2 2" xfId="13853"/>
    <cellStyle name="20% - Accent4 10 3 2 2 3" xfId="17804"/>
    <cellStyle name="20% - Accent4 10 3 2 3" xfId="2551"/>
    <cellStyle name="20% - Accent4 10 3 2 3 2" xfId="13854"/>
    <cellStyle name="20% - Accent4 10 3 2 3 3" xfId="17805"/>
    <cellStyle name="20% - Accent4 10 3 2 4" xfId="13852"/>
    <cellStyle name="20% - Accent4 10 3 2 5" xfId="17803"/>
    <cellStyle name="20% - Accent4 10 3 3" xfId="2552"/>
    <cellStyle name="20% - Accent4 10 3 3 2" xfId="2553"/>
    <cellStyle name="20% - Accent4 10 3 3 2 2" xfId="13856"/>
    <cellStyle name="20% - Accent4 10 3 3 2 3" xfId="17807"/>
    <cellStyle name="20% - Accent4 10 3 3 3" xfId="2554"/>
    <cellStyle name="20% - Accent4 10 3 3 3 2" xfId="13857"/>
    <cellStyle name="20% - Accent4 10 3 3 3 3" xfId="17808"/>
    <cellStyle name="20% - Accent4 10 3 3 4" xfId="13855"/>
    <cellStyle name="20% - Accent4 10 3 3 5" xfId="17806"/>
    <cellStyle name="20% - Accent4 10 3 4" xfId="2555"/>
    <cellStyle name="20% - Accent4 10 3 4 2" xfId="13858"/>
    <cellStyle name="20% - Accent4 10 3 4 3" xfId="17809"/>
    <cellStyle name="20% - Accent4 10 3 5" xfId="2556"/>
    <cellStyle name="20% - Accent4 10 3 5 2" xfId="13859"/>
    <cellStyle name="20% - Accent4 10 3 5 3" xfId="17810"/>
    <cellStyle name="20% - Accent4 10 3 6" xfId="13851"/>
    <cellStyle name="20% - Accent4 10 3 7" xfId="17802"/>
    <cellStyle name="20% - Accent4 10 3_Volatility" xfId="2557"/>
    <cellStyle name="20% - Accent4 10 4" xfId="2558"/>
    <cellStyle name="20% - Accent4 10 4 2" xfId="2559"/>
    <cellStyle name="20% - Accent4 10 4 2 2" xfId="13861"/>
    <cellStyle name="20% - Accent4 10 4 2 3" xfId="17812"/>
    <cellStyle name="20% - Accent4 10 4 3" xfId="2560"/>
    <cellStyle name="20% - Accent4 10 4 3 2" xfId="13862"/>
    <cellStyle name="20% - Accent4 10 4 3 3" xfId="17813"/>
    <cellStyle name="20% - Accent4 10 4 4" xfId="13860"/>
    <cellStyle name="20% - Accent4 10 4 5" xfId="17811"/>
    <cellStyle name="20% - Accent4 10 5" xfId="2561"/>
    <cellStyle name="20% - Accent4 10 5 2" xfId="2562"/>
    <cellStyle name="20% - Accent4 10 5 2 2" xfId="13864"/>
    <cellStyle name="20% - Accent4 10 5 2 3" xfId="17815"/>
    <cellStyle name="20% - Accent4 10 5 3" xfId="2563"/>
    <cellStyle name="20% - Accent4 10 5 3 2" xfId="13865"/>
    <cellStyle name="20% - Accent4 10 5 3 3" xfId="17816"/>
    <cellStyle name="20% - Accent4 10 5 4" xfId="13863"/>
    <cellStyle name="20% - Accent4 10 5 5" xfId="17814"/>
    <cellStyle name="20% - Accent4 10 6" xfId="2564"/>
    <cellStyle name="20% - Accent4 10 6 2" xfId="2565"/>
    <cellStyle name="20% - Accent4 10 6 2 2" xfId="13867"/>
    <cellStyle name="20% - Accent4 10 6 2 3" xfId="17818"/>
    <cellStyle name="20% - Accent4 10 6 3" xfId="2566"/>
    <cellStyle name="20% - Accent4 10 6 3 2" xfId="13868"/>
    <cellStyle name="20% - Accent4 10 6 3 3" xfId="17819"/>
    <cellStyle name="20% - Accent4 10 6 4" xfId="13866"/>
    <cellStyle name="20% - Accent4 10 6 5" xfId="17817"/>
    <cellStyle name="20% - Accent4 10 7" xfId="2567"/>
    <cellStyle name="20% - Accent4 10 7 2" xfId="13869"/>
    <cellStyle name="20% - Accent4 10 7 3" xfId="17820"/>
    <cellStyle name="20% - Accent4 10 8" xfId="2568"/>
    <cellStyle name="20% - Accent4 10 8 2" xfId="13870"/>
    <cellStyle name="20% - Accent4 10 8 3" xfId="17821"/>
    <cellStyle name="20% - Accent4 10 9" xfId="13838"/>
    <cellStyle name="20% - Accent4 10_Volatility" xfId="2569"/>
    <cellStyle name="20% - Accent4 11" xfId="2570"/>
    <cellStyle name="20% - Accent4 11 10" xfId="17822"/>
    <cellStyle name="20% - Accent4 11 2" xfId="2571"/>
    <cellStyle name="20% - Accent4 11 2 2" xfId="2572"/>
    <cellStyle name="20% - Accent4 11 2 2 2" xfId="2573"/>
    <cellStyle name="20% - Accent4 11 2 2 2 2" xfId="13874"/>
    <cellStyle name="20% - Accent4 11 2 2 2 3" xfId="17825"/>
    <cellStyle name="20% - Accent4 11 2 2 3" xfId="2574"/>
    <cellStyle name="20% - Accent4 11 2 2 3 2" xfId="13875"/>
    <cellStyle name="20% - Accent4 11 2 2 3 3" xfId="17826"/>
    <cellStyle name="20% - Accent4 11 2 2 4" xfId="13873"/>
    <cellStyle name="20% - Accent4 11 2 2 5" xfId="17824"/>
    <cellStyle name="20% - Accent4 11 2 3" xfId="2575"/>
    <cellStyle name="20% - Accent4 11 2 3 2" xfId="2576"/>
    <cellStyle name="20% - Accent4 11 2 3 2 2" xfId="13877"/>
    <cellStyle name="20% - Accent4 11 2 3 2 3" xfId="17828"/>
    <cellStyle name="20% - Accent4 11 2 3 3" xfId="2577"/>
    <cellStyle name="20% - Accent4 11 2 3 3 2" xfId="13878"/>
    <cellStyle name="20% - Accent4 11 2 3 3 3" xfId="17829"/>
    <cellStyle name="20% - Accent4 11 2 3 4" xfId="13876"/>
    <cellStyle name="20% - Accent4 11 2 3 5" xfId="17827"/>
    <cellStyle name="20% - Accent4 11 2 4" xfId="2578"/>
    <cellStyle name="20% - Accent4 11 2 4 2" xfId="2579"/>
    <cellStyle name="20% - Accent4 11 2 4 2 2" xfId="13880"/>
    <cellStyle name="20% - Accent4 11 2 4 2 3" xfId="17831"/>
    <cellStyle name="20% - Accent4 11 2 4 3" xfId="2580"/>
    <cellStyle name="20% - Accent4 11 2 4 3 2" xfId="13881"/>
    <cellStyle name="20% - Accent4 11 2 4 3 3" xfId="17832"/>
    <cellStyle name="20% - Accent4 11 2 4 4" xfId="13879"/>
    <cellStyle name="20% - Accent4 11 2 4 5" xfId="17830"/>
    <cellStyle name="20% - Accent4 11 2 5" xfId="2581"/>
    <cellStyle name="20% - Accent4 11 2 5 2" xfId="13882"/>
    <cellStyle name="20% - Accent4 11 2 5 3" xfId="17833"/>
    <cellStyle name="20% - Accent4 11 2 6" xfId="2582"/>
    <cellStyle name="20% - Accent4 11 2 6 2" xfId="13883"/>
    <cellStyle name="20% - Accent4 11 2 6 3" xfId="17834"/>
    <cellStyle name="20% - Accent4 11 2 7" xfId="13872"/>
    <cellStyle name="20% - Accent4 11 2 8" xfId="17823"/>
    <cellStyle name="20% - Accent4 11 2_Volatility" xfId="2583"/>
    <cellStyle name="20% - Accent4 11 3" xfId="2584"/>
    <cellStyle name="20% - Accent4 11 3 2" xfId="2585"/>
    <cellStyle name="20% - Accent4 11 3 2 2" xfId="2586"/>
    <cellStyle name="20% - Accent4 11 3 2 2 2" xfId="13886"/>
    <cellStyle name="20% - Accent4 11 3 2 2 3" xfId="17837"/>
    <cellStyle name="20% - Accent4 11 3 2 3" xfId="2587"/>
    <cellStyle name="20% - Accent4 11 3 2 3 2" xfId="13887"/>
    <cellStyle name="20% - Accent4 11 3 2 3 3" xfId="17838"/>
    <cellStyle name="20% - Accent4 11 3 2 4" xfId="13885"/>
    <cellStyle name="20% - Accent4 11 3 2 5" xfId="17836"/>
    <cellStyle name="20% - Accent4 11 3 3" xfId="2588"/>
    <cellStyle name="20% - Accent4 11 3 3 2" xfId="2589"/>
    <cellStyle name="20% - Accent4 11 3 3 2 2" xfId="13889"/>
    <cellStyle name="20% - Accent4 11 3 3 2 3" xfId="17840"/>
    <cellStyle name="20% - Accent4 11 3 3 3" xfId="2590"/>
    <cellStyle name="20% - Accent4 11 3 3 3 2" xfId="13890"/>
    <cellStyle name="20% - Accent4 11 3 3 3 3" xfId="17841"/>
    <cellStyle name="20% - Accent4 11 3 3 4" xfId="13888"/>
    <cellStyle name="20% - Accent4 11 3 3 5" xfId="17839"/>
    <cellStyle name="20% - Accent4 11 3 4" xfId="2591"/>
    <cellStyle name="20% - Accent4 11 3 4 2" xfId="13891"/>
    <cellStyle name="20% - Accent4 11 3 4 3" xfId="17842"/>
    <cellStyle name="20% - Accent4 11 3 5" xfId="2592"/>
    <cellStyle name="20% - Accent4 11 3 5 2" xfId="13892"/>
    <cellStyle name="20% - Accent4 11 3 5 3" xfId="17843"/>
    <cellStyle name="20% - Accent4 11 3 6" xfId="13884"/>
    <cellStyle name="20% - Accent4 11 3 7" xfId="17835"/>
    <cellStyle name="20% - Accent4 11 3_Volatility" xfId="2593"/>
    <cellStyle name="20% - Accent4 11 4" xfId="2594"/>
    <cellStyle name="20% - Accent4 11 4 2" xfId="2595"/>
    <cellStyle name="20% - Accent4 11 4 2 2" xfId="13894"/>
    <cellStyle name="20% - Accent4 11 4 2 3" xfId="17845"/>
    <cellStyle name="20% - Accent4 11 4 3" xfId="2596"/>
    <cellStyle name="20% - Accent4 11 4 3 2" xfId="13895"/>
    <cellStyle name="20% - Accent4 11 4 3 3" xfId="17846"/>
    <cellStyle name="20% - Accent4 11 4 4" xfId="13893"/>
    <cellStyle name="20% - Accent4 11 4 5" xfId="17844"/>
    <cellStyle name="20% - Accent4 11 5" xfId="2597"/>
    <cellStyle name="20% - Accent4 11 5 2" xfId="2598"/>
    <cellStyle name="20% - Accent4 11 5 2 2" xfId="13897"/>
    <cellStyle name="20% - Accent4 11 5 2 3" xfId="17848"/>
    <cellStyle name="20% - Accent4 11 5 3" xfId="2599"/>
    <cellStyle name="20% - Accent4 11 5 3 2" xfId="13898"/>
    <cellStyle name="20% - Accent4 11 5 3 3" xfId="17849"/>
    <cellStyle name="20% - Accent4 11 5 4" xfId="13896"/>
    <cellStyle name="20% - Accent4 11 5 5" xfId="17847"/>
    <cellStyle name="20% - Accent4 11 6" xfId="2600"/>
    <cellStyle name="20% - Accent4 11 6 2" xfId="2601"/>
    <cellStyle name="20% - Accent4 11 6 2 2" xfId="13900"/>
    <cellStyle name="20% - Accent4 11 6 2 3" xfId="17851"/>
    <cellStyle name="20% - Accent4 11 6 3" xfId="2602"/>
    <cellStyle name="20% - Accent4 11 6 3 2" xfId="13901"/>
    <cellStyle name="20% - Accent4 11 6 3 3" xfId="17852"/>
    <cellStyle name="20% - Accent4 11 6 4" xfId="13899"/>
    <cellStyle name="20% - Accent4 11 6 5" xfId="17850"/>
    <cellStyle name="20% - Accent4 11 7" xfId="2603"/>
    <cellStyle name="20% - Accent4 11 7 2" xfId="13902"/>
    <cellStyle name="20% - Accent4 11 7 3" xfId="17853"/>
    <cellStyle name="20% - Accent4 11 8" xfId="2604"/>
    <cellStyle name="20% - Accent4 11 8 2" xfId="13903"/>
    <cellStyle name="20% - Accent4 11 8 3" xfId="17854"/>
    <cellStyle name="20% - Accent4 11 9" xfId="13871"/>
    <cellStyle name="20% - Accent4 11_Volatility" xfId="2605"/>
    <cellStyle name="20% - Accent4 12" xfId="2606"/>
    <cellStyle name="20% - Accent4 12 10" xfId="17855"/>
    <cellStyle name="20% - Accent4 12 2" xfId="2607"/>
    <cellStyle name="20% - Accent4 12 2 2" xfId="2608"/>
    <cellStyle name="20% - Accent4 12 2 2 2" xfId="2609"/>
    <cellStyle name="20% - Accent4 12 2 2 2 2" xfId="13907"/>
    <cellStyle name="20% - Accent4 12 2 2 2 3" xfId="17858"/>
    <cellStyle name="20% - Accent4 12 2 2 3" xfId="2610"/>
    <cellStyle name="20% - Accent4 12 2 2 3 2" xfId="13908"/>
    <cellStyle name="20% - Accent4 12 2 2 3 3" xfId="17859"/>
    <cellStyle name="20% - Accent4 12 2 2 4" xfId="13906"/>
    <cellStyle name="20% - Accent4 12 2 2 5" xfId="17857"/>
    <cellStyle name="20% - Accent4 12 2 3" xfId="2611"/>
    <cellStyle name="20% - Accent4 12 2 3 2" xfId="2612"/>
    <cellStyle name="20% - Accent4 12 2 3 2 2" xfId="13910"/>
    <cellStyle name="20% - Accent4 12 2 3 2 3" xfId="17861"/>
    <cellStyle name="20% - Accent4 12 2 3 3" xfId="2613"/>
    <cellStyle name="20% - Accent4 12 2 3 3 2" xfId="13911"/>
    <cellStyle name="20% - Accent4 12 2 3 3 3" xfId="17862"/>
    <cellStyle name="20% - Accent4 12 2 3 4" xfId="13909"/>
    <cellStyle name="20% - Accent4 12 2 3 5" xfId="17860"/>
    <cellStyle name="20% - Accent4 12 2 4" xfId="2614"/>
    <cellStyle name="20% - Accent4 12 2 4 2" xfId="2615"/>
    <cellStyle name="20% - Accent4 12 2 4 2 2" xfId="13913"/>
    <cellStyle name="20% - Accent4 12 2 4 2 3" xfId="17864"/>
    <cellStyle name="20% - Accent4 12 2 4 3" xfId="2616"/>
    <cellStyle name="20% - Accent4 12 2 4 3 2" xfId="13914"/>
    <cellStyle name="20% - Accent4 12 2 4 3 3" xfId="17865"/>
    <cellStyle name="20% - Accent4 12 2 4 4" xfId="13912"/>
    <cellStyle name="20% - Accent4 12 2 4 5" xfId="17863"/>
    <cellStyle name="20% - Accent4 12 2 5" xfId="2617"/>
    <cellStyle name="20% - Accent4 12 2 5 2" xfId="13915"/>
    <cellStyle name="20% - Accent4 12 2 5 3" xfId="17866"/>
    <cellStyle name="20% - Accent4 12 2 6" xfId="2618"/>
    <cellStyle name="20% - Accent4 12 2 6 2" xfId="13916"/>
    <cellStyle name="20% - Accent4 12 2 6 3" xfId="17867"/>
    <cellStyle name="20% - Accent4 12 2 7" xfId="13905"/>
    <cellStyle name="20% - Accent4 12 2 8" xfId="17856"/>
    <cellStyle name="20% - Accent4 12 2_Volatility" xfId="2619"/>
    <cellStyle name="20% - Accent4 12 3" xfId="2620"/>
    <cellStyle name="20% - Accent4 12 3 2" xfId="2621"/>
    <cellStyle name="20% - Accent4 12 3 2 2" xfId="2622"/>
    <cellStyle name="20% - Accent4 12 3 2 2 2" xfId="13919"/>
    <cellStyle name="20% - Accent4 12 3 2 2 3" xfId="17870"/>
    <cellStyle name="20% - Accent4 12 3 2 3" xfId="2623"/>
    <cellStyle name="20% - Accent4 12 3 2 3 2" xfId="13920"/>
    <cellStyle name="20% - Accent4 12 3 2 3 3" xfId="17871"/>
    <cellStyle name="20% - Accent4 12 3 2 4" xfId="13918"/>
    <cellStyle name="20% - Accent4 12 3 2 5" xfId="17869"/>
    <cellStyle name="20% - Accent4 12 3 3" xfId="2624"/>
    <cellStyle name="20% - Accent4 12 3 3 2" xfId="2625"/>
    <cellStyle name="20% - Accent4 12 3 3 2 2" xfId="13922"/>
    <cellStyle name="20% - Accent4 12 3 3 2 3" xfId="17873"/>
    <cellStyle name="20% - Accent4 12 3 3 3" xfId="2626"/>
    <cellStyle name="20% - Accent4 12 3 3 3 2" xfId="13923"/>
    <cellStyle name="20% - Accent4 12 3 3 3 3" xfId="17874"/>
    <cellStyle name="20% - Accent4 12 3 3 4" xfId="13921"/>
    <cellStyle name="20% - Accent4 12 3 3 5" xfId="17872"/>
    <cellStyle name="20% - Accent4 12 3 4" xfId="2627"/>
    <cellStyle name="20% - Accent4 12 3 4 2" xfId="13924"/>
    <cellStyle name="20% - Accent4 12 3 4 3" xfId="17875"/>
    <cellStyle name="20% - Accent4 12 3 5" xfId="2628"/>
    <cellStyle name="20% - Accent4 12 3 5 2" xfId="13925"/>
    <cellStyle name="20% - Accent4 12 3 5 3" xfId="17876"/>
    <cellStyle name="20% - Accent4 12 3 6" xfId="13917"/>
    <cellStyle name="20% - Accent4 12 3 7" xfId="17868"/>
    <cellStyle name="20% - Accent4 12 3_Volatility" xfId="2629"/>
    <cellStyle name="20% - Accent4 12 4" xfId="2630"/>
    <cellStyle name="20% - Accent4 12 4 2" xfId="2631"/>
    <cellStyle name="20% - Accent4 12 4 2 2" xfId="13927"/>
    <cellStyle name="20% - Accent4 12 4 2 3" xfId="17878"/>
    <cellStyle name="20% - Accent4 12 4 3" xfId="2632"/>
    <cellStyle name="20% - Accent4 12 4 3 2" xfId="13928"/>
    <cellStyle name="20% - Accent4 12 4 3 3" xfId="17879"/>
    <cellStyle name="20% - Accent4 12 4 4" xfId="13926"/>
    <cellStyle name="20% - Accent4 12 4 5" xfId="17877"/>
    <cellStyle name="20% - Accent4 12 5" xfId="2633"/>
    <cellStyle name="20% - Accent4 12 5 2" xfId="2634"/>
    <cellStyle name="20% - Accent4 12 5 2 2" xfId="13930"/>
    <cellStyle name="20% - Accent4 12 5 2 3" xfId="17881"/>
    <cellStyle name="20% - Accent4 12 5 3" xfId="2635"/>
    <cellStyle name="20% - Accent4 12 5 3 2" xfId="13931"/>
    <cellStyle name="20% - Accent4 12 5 3 3" xfId="17882"/>
    <cellStyle name="20% - Accent4 12 5 4" xfId="13929"/>
    <cellStyle name="20% - Accent4 12 5 5" xfId="17880"/>
    <cellStyle name="20% - Accent4 12 6" xfId="2636"/>
    <cellStyle name="20% - Accent4 12 6 2" xfId="2637"/>
    <cellStyle name="20% - Accent4 12 6 2 2" xfId="13933"/>
    <cellStyle name="20% - Accent4 12 6 2 3" xfId="17884"/>
    <cellStyle name="20% - Accent4 12 6 3" xfId="2638"/>
    <cellStyle name="20% - Accent4 12 6 3 2" xfId="13934"/>
    <cellStyle name="20% - Accent4 12 6 3 3" xfId="17885"/>
    <cellStyle name="20% - Accent4 12 6 4" xfId="13932"/>
    <cellStyle name="20% - Accent4 12 6 5" xfId="17883"/>
    <cellStyle name="20% - Accent4 12 7" xfId="2639"/>
    <cellStyle name="20% - Accent4 12 7 2" xfId="13935"/>
    <cellStyle name="20% - Accent4 12 7 3" xfId="17886"/>
    <cellStyle name="20% - Accent4 12 8" xfId="2640"/>
    <cellStyle name="20% - Accent4 12 8 2" xfId="13936"/>
    <cellStyle name="20% - Accent4 12 8 3" xfId="17887"/>
    <cellStyle name="20% - Accent4 12 9" xfId="13904"/>
    <cellStyle name="20% - Accent4 12_Volatility" xfId="2641"/>
    <cellStyle name="20% - Accent4 13" xfId="2642"/>
    <cellStyle name="20% - Accent4 13 10" xfId="17888"/>
    <cellStyle name="20% - Accent4 13 2" xfId="2643"/>
    <cellStyle name="20% - Accent4 13 2 2" xfId="2644"/>
    <cellStyle name="20% - Accent4 13 2 2 2" xfId="2645"/>
    <cellStyle name="20% - Accent4 13 2 2 2 2" xfId="13940"/>
    <cellStyle name="20% - Accent4 13 2 2 2 3" xfId="17891"/>
    <cellStyle name="20% - Accent4 13 2 2 3" xfId="2646"/>
    <cellStyle name="20% - Accent4 13 2 2 3 2" xfId="13941"/>
    <cellStyle name="20% - Accent4 13 2 2 3 3" xfId="17892"/>
    <cellStyle name="20% - Accent4 13 2 2 4" xfId="13939"/>
    <cellStyle name="20% - Accent4 13 2 2 5" xfId="17890"/>
    <cellStyle name="20% - Accent4 13 2 3" xfId="2647"/>
    <cellStyle name="20% - Accent4 13 2 3 2" xfId="2648"/>
    <cellStyle name="20% - Accent4 13 2 3 2 2" xfId="13943"/>
    <cellStyle name="20% - Accent4 13 2 3 2 3" xfId="17894"/>
    <cellStyle name="20% - Accent4 13 2 3 3" xfId="2649"/>
    <cellStyle name="20% - Accent4 13 2 3 3 2" xfId="13944"/>
    <cellStyle name="20% - Accent4 13 2 3 3 3" xfId="17895"/>
    <cellStyle name="20% - Accent4 13 2 3 4" xfId="13942"/>
    <cellStyle name="20% - Accent4 13 2 3 5" xfId="17893"/>
    <cellStyle name="20% - Accent4 13 2 4" xfId="2650"/>
    <cellStyle name="20% - Accent4 13 2 4 2" xfId="2651"/>
    <cellStyle name="20% - Accent4 13 2 4 2 2" xfId="13946"/>
    <cellStyle name="20% - Accent4 13 2 4 2 3" xfId="17897"/>
    <cellStyle name="20% - Accent4 13 2 4 3" xfId="2652"/>
    <cellStyle name="20% - Accent4 13 2 4 3 2" xfId="13947"/>
    <cellStyle name="20% - Accent4 13 2 4 3 3" xfId="17898"/>
    <cellStyle name="20% - Accent4 13 2 4 4" xfId="13945"/>
    <cellStyle name="20% - Accent4 13 2 4 5" xfId="17896"/>
    <cellStyle name="20% - Accent4 13 2 5" xfId="2653"/>
    <cellStyle name="20% - Accent4 13 2 5 2" xfId="13948"/>
    <cellStyle name="20% - Accent4 13 2 5 3" xfId="17899"/>
    <cellStyle name="20% - Accent4 13 2 6" xfId="2654"/>
    <cellStyle name="20% - Accent4 13 2 6 2" xfId="13949"/>
    <cellStyle name="20% - Accent4 13 2 6 3" xfId="17900"/>
    <cellStyle name="20% - Accent4 13 2 7" xfId="13938"/>
    <cellStyle name="20% - Accent4 13 2 8" xfId="17889"/>
    <cellStyle name="20% - Accent4 13 2_Volatility" xfId="2655"/>
    <cellStyle name="20% - Accent4 13 3" xfId="2656"/>
    <cellStyle name="20% - Accent4 13 3 2" xfId="2657"/>
    <cellStyle name="20% - Accent4 13 3 2 2" xfId="2658"/>
    <cellStyle name="20% - Accent4 13 3 2 2 2" xfId="13952"/>
    <cellStyle name="20% - Accent4 13 3 2 2 3" xfId="17903"/>
    <cellStyle name="20% - Accent4 13 3 2 3" xfId="2659"/>
    <cellStyle name="20% - Accent4 13 3 2 3 2" xfId="13953"/>
    <cellStyle name="20% - Accent4 13 3 2 3 3" xfId="17904"/>
    <cellStyle name="20% - Accent4 13 3 2 4" xfId="13951"/>
    <cellStyle name="20% - Accent4 13 3 2 5" xfId="17902"/>
    <cellStyle name="20% - Accent4 13 3 3" xfId="2660"/>
    <cellStyle name="20% - Accent4 13 3 3 2" xfId="2661"/>
    <cellStyle name="20% - Accent4 13 3 3 2 2" xfId="13955"/>
    <cellStyle name="20% - Accent4 13 3 3 2 3" xfId="17906"/>
    <cellStyle name="20% - Accent4 13 3 3 3" xfId="2662"/>
    <cellStyle name="20% - Accent4 13 3 3 3 2" xfId="13956"/>
    <cellStyle name="20% - Accent4 13 3 3 3 3" xfId="17907"/>
    <cellStyle name="20% - Accent4 13 3 3 4" xfId="13954"/>
    <cellStyle name="20% - Accent4 13 3 3 5" xfId="17905"/>
    <cellStyle name="20% - Accent4 13 3 4" xfId="2663"/>
    <cellStyle name="20% - Accent4 13 3 4 2" xfId="13957"/>
    <cellStyle name="20% - Accent4 13 3 4 3" xfId="17908"/>
    <cellStyle name="20% - Accent4 13 3 5" xfId="2664"/>
    <cellStyle name="20% - Accent4 13 3 5 2" xfId="13958"/>
    <cellStyle name="20% - Accent4 13 3 5 3" xfId="17909"/>
    <cellStyle name="20% - Accent4 13 3 6" xfId="13950"/>
    <cellStyle name="20% - Accent4 13 3 7" xfId="17901"/>
    <cellStyle name="20% - Accent4 13 3_Volatility" xfId="2665"/>
    <cellStyle name="20% - Accent4 13 4" xfId="2666"/>
    <cellStyle name="20% - Accent4 13 4 2" xfId="2667"/>
    <cellStyle name="20% - Accent4 13 4 2 2" xfId="13960"/>
    <cellStyle name="20% - Accent4 13 4 2 3" xfId="17911"/>
    <cellStyle name="20% - Accent4 13 4 3" xfId="2668"/>
    <cellStyle name="20% - Accent4 13 4 3 2" xfId="13961"/>
    <cellStyle name="20% - Accent4 13 4 3 3" xfId="17912"/>
    <cellStyle name="20% - Accent4 13 4 4" xfId="13959"/>
    <cellStyle name="20% - Accent4 13 4 5" xfId="17910"/>
    <cellStyle name="20% - Accent4 13 5" xfId="2669"/>
    <cellStyle name="20% - Accent4 13 5 2" xfId="2670"/>
    <cellStyle name="20% - Accent4 13 5 2 2" xfId="13963"/>
    <cellStyle name="20% - Accent4 13 5 2 3" xfId="17914"/>
    <cellStyle name="20% - Accent4 13 5 3" xfId="2671"/>
    <cellStyle name="20% - Accent4 13 5 3 2" xfId="13964"/>
    <cellStyle name="20% - Accent4 13 5 3 3" xfId="17915"/>
    <cellStyle name="20% - Accent4 13 5 4" xfId="13962"/>
    <cellStyle name="20% - Accent4 13 5 5" xfId="17913"/>
    <cellStyle name="20% - Accent4 13 6" xfId="2672"/>
    <cellStyle name="20% - Accent4 13 6 2" xfId="2673"/>
    <cellStyle name="20% - Accent4 13 6 2 2" xfId="13966"/>
    <cellStyle name="20% - Accent4 13 6 2 3" xfId="17917"/>
    <cellStyle name="20% - Accent4 13 6 3" xfId="2674"/>
    <cellStyle name="20% - Accent4 13 6 3 2" xfId="13967"/>
    <cellStyle name="20% - Accent4 13 6 3 3" xfId="17918"/>
    <cellStyle name="20% - Accent4 13 6 4" xfId="13965"/>
    <cellStyle name="20% - Accent4 13 6 5" xfId="17916"/>
    <cellStyle name="20% - Accent4 13 7" xfId="2675"/>
    <cellStyle name="20% - Accent4 13 7 2" xfId="13968"/>
    <cellStyle name="20% - Accent4 13 7 3" xfId="17919"/>
    <cellStyle name="20% - Accent4 13 8" xfId="2676"/>
    <cellStyle name="20% - Accent4 13 8 2" xfId="13969"/>
    <cellStyle name="20% - Accent4 13 8 3" xfId="17920"/>
    <cellStyle name="20% - Accent4 13 9" xfId="13937"/>
    <cellStyle name="20% - Accent4 13_Volatility" xfId="2677"/>
    <cellStyle name="20% - Accent4 14" xfId="2678"/>
    <cellStyle name="20% - Accent4 14 10" xfId="17921"/>
    <cellStyle name="20% - Accent4 14 2" xfId="2679"/>
    <cellStyle name="20% - Accent4 14 2 2" xfId="2680"/>
    <cellStyle name="20% - Accent4 14 2 2 2" xfId="2681"/>
    <cellStyle name="20% - Accent4 14 2 2 2 2" xfId="13973"/>
    <cellStyle name="20% - Accent4 14 2 2 2 3" xfId="17924"/>
    <cellStyle name="20% - Accent4 14 2 2 3" xfId="2682"/>
    <cellStyle name="20% - Accent4 14 2 2 3 2" xfId="13974"/>
    <cellStyle name="20% - Accent4 14 2 2 3 3" xfId="17925"/>
    <cellStyle name="20% - Accent4 14 2 2 4" xfId="13972"/>
    <cellStyle name="20% - Accent4 14 2 2 5" xfId="17923"/>
    <cellStyle name="20% - Accent4 14 2 3" xfId="2683"/>
    <cellStyle name="20% - Accent4 14 2 3 2" xfId="2684"/>
    <cellStyle name="20% - Accent4 14 2 3 2 2" xfId="13976"/>
    <cellStyle name="20% - Accent4 14 2 3 2 3" xfId="17927"/>
    <cellStyle name="20% - Accent4 14 2 3 3" xfId="2685"/>
    <cellStyle name="20% - Accent4 14 2 3 3 2" xfId="13977"/>
    <cellStyle name="20% - Accent4 14 2 3 3 3" xfId="17928"/>
    <cellStyle name="20% - Accent4 14 2 3 4" xfId="13975"/>
    <cellStyle name="20% - Accent4 14 2 3 5" xfId="17926"/>
    <cellStyle name="20% - Accent4 14 2 4" xfId="2686"/>
    <cellStyle name="20% - Accent4 14 2 4 2" xfId="2687"/>
    <cellStyle name="20% - Accent4 14 2 4 2 2" xfId="13979"/>
    <cellStyle name="20% - Accent4 14 2 4 2 3" xfId="17930"/>
    <cellStyle name="20% - Accent4 14 2 4 3" xfId="2688"/>
    <cellStyle name="20% - Accent4 14 2 4 3 2" xfId="13980"/>
    <cellStyle name="20% - Accent4 14 2 4 3 3" xfId="17931"/>
    <cellStyle name="20% - Accent4 14 2 4 4" xfId="13978"/>
    <cellStyle name="20% - Accent4 14 2 4 5" xfId="17929"/>
    <cellStyle name="20% - Accent4 14 2 5" xfId="2689"/>
    <cellStyle name="20% - Accent4 14 2 5 2" xfId="13981"/>
    <cellStyle name="20% - Accent4 14 2 5 3" xfId="17932"/>
    <cellStyle name="20% - Accent4 14 2 6" xfId="2690"/>
    <cellStyle name="20% - Accent4 14 2 6 2" xfId="13982"/>
    <cellStyle name="20% - Accent4 14 2 6 3" xfId="17933"/>
    <cellStyle name="20% - Accent4 14 2 7" xfId="13971"/>
    <cellStyle name="20% - Accent4 14 2 8" xfId="17922"/>
    <cellStyle name="20% - Accent4 14 2_Volatility" xfId="2691"/>
    <cellStyle name="20% - Accent4 14 3" xfId="2692"/>
    <cellStyle name="20% - Accent4 14 3 2" xfId="2693"/>
    <cellStyle name="20% - Accent4 14 3 2 2" xfId="2694"/>
    <cellStyle name="20% - Accent4 14 3 2 2 2" xfId="13985"/>
    <cellStyle name="20% - Accent4 14 3 2 2 3" xfId="17936"/>
    <cellStyle name="20% - Accent4 14 3 2 3" xfId="2695"/>
    <cellStyle name="20% - Accent4 14 3 2 3 2" xfId="13986"/>
    <cellStyle name="20% - Accent4 14 3 2 3 3" xfId="17937"/>
    <cellStyle name="20% - Accent4 14 3 2 4" xfId="13984"/>
    <cellStyle name="20% - Accent4 14 3 2 5" xfId="17935"/>
    <cellStyle name="20% - Accent4 14 3 3" xfId="2696"/>
    <cellStyle name="20% - Accent4 14 3 3 2" xfId="2697"/>
    <cellStyle name="20% - Accent4 14 3 3 2 2" xfId="13988"/>
    <cellStyle name="20% - Accent4 14 3 3 2 3" xfId="17939"/>
    <cellStyle name="20% - Accent4 14 3 3 3" xfId="2698"/>
    <cellStyle name="20% - Accent4 14 3 3 3 2" xfId="13989"/>
    <cellStyle name="20% - Accent4 14 3 3 3 3" xfId="17940"/>
    <cellStyle name="20% - Accent4 14 3 3 4" xfId="13987"/>
    <cellStyle name="20% - Accent4 14 3 3 5" xfId="17938"/>
    <cellStyle name="20% - Accent4 14 3 4" xfId="2699"/>
    <cellStyle name="20% - Accent4 14 3 4 2" xfId="13990"/>
    <cellStyle name="20% - Accent4 14 3 4 3" xfId="17941"/>
    <cellStyle name="20% - Accent4 14 3 5" xfId="2700"/>
    <cellStyle name="20% - Accent4 14 3 5 2" xfId="13991"/>
    <cellStyle name="20% - Accent4 14 3 5 3" xfId="17942"/>
    <cellStyle name="20% - Accent4 14 3 6" xfId="13983"/>
    <cellStyle name="20% - Accent4 14 3 7" xfId="17934"/>
    <cellStyle name="20% - Accent4 14 3_Volatility" xfId="2701"/>
    <cellStyle name="20% - Accent4 14 4" xfId="2702"/>
    <cellStyle name="20% - Accent4 14 4 2" xfId="2703"/>
    <cellStyle name="20% - Accent4 14 4 2 2" xfId="13993"/>
    <cellStyle name="20% - Accent4 14 4 2 3" xfId="17944"/>
    <cellStyle name="20% - Accent4 14 4 3" xfId="2704"/>
    <cellStyle name="20% - Accent4 14 4 3 2" xfId="13994"/>
    <cellStyle name="20% - Accent4 14 4 3 3" xfId="17945"/>
    <cellStyle name="20% - Accent4 14 4 4" xfId="13992"/>
    <cellStyle name="20% - Accent4 14 4 5" xfId="17943"/>
    <cellStyle name="20% - Accent4 14 5" xfId="2705"/>
    <cellStyle name="20% - Accent4 14 5 2" xfId="2706"/>
    <cellStyle name="20% - Accent4 14 5 2 2" xfId="13996"/>
    <cellStyle name="20% - Accent4 14 5 2 3" xfId="17947"/>
    <cellStyle name="20% - Accent4 14 5 3" xfId="2707"/>
    <cellStyle name="20% - Accent4 14 5 3 2" xfId="13997"/>
    <cellStyle name="20% - Accent4 14 5 3 3" xfId="17948"/>
    <cellStyle name="20% - Accent4 14 5 4" xfId="13995"/>
    <cellStyle name="20% - Accent4 14 5 5" xfId="17946"/>
    <cellStyle name="20% - Accent4 14 6" xfId="2708"/>
    <cellStyle name="20% - Accent4 14 6 2" xfId="2709"/>
    <cellStyle name="20% - Accent4 14 6 2 2" xfId="13999"/>
    <cellStyle name="20% - Accent4 14 6 2 3" xfId="17950"/>
    <cellStyle name="20% - Accent4 14 6 3" xfId="2710"/>
    <cellStyle name="20% - Accent4 14 6 3 2" xfId="14000"/>
    <cellStyle name="20% - Accent4 14 6 3 3" xfId="17951"/>
    <cellStyle name="20% - Accent4 14 6 4" xfId="13998"/>
    <cellStyle name="20% - Accent4 14 6 5" xfId="17949"/>
    <cellStyle name="20% - Accent4 14 7" xfId="2711"/>
    <cellStyle name="20% - Accent4 14 7 2" xfId="14001"/>
    <cellStyle name="20% - Accent4 14 7 3" xfId="17952"/>
    <cellStyle name="20% - Accent4 14 8" xfId="2712"/>
    <cellStyle name="20% - Accent4 14 8 2" xfId="14002"/>
    <cellStyle name="20% - Accent4 14 8 3" xfId="17953"/>
    <cellStyle name="20% - Accent4 14 9" xfId="13970"/>
    <cellStyle name="20% - Accent4 14_Volatility" xfId="2713"/>
    <cellStyle name="20% - Accent4 15" xfId="2714"/>
    <cellStyle name="20% - Accent4 15 10" xfId="17954"/>
    <cellStyle name="20% - Accent4 15 2" xfId="2715"/>
    <cellStyle name="20% - Accent4 15 2 2" xfId="2716"/>
    <cellStyle name="20% - Accent4 15 2 2 2" xfId="2717"/>
    <cellStyle name="20% - Accent4 15 2 2 2 2" xfId="14006"/>
    <cellStyle name="20% - Accent4 15 2 2 2 3" xfId="17957"/>
    <cellStyle name="20% - Accent4 15 2 2 3" xfId="2718"/>
    <cellStyle name="20% - Accent4 15 2 2 3 2" xfId="14007"/>
    <cellStyle name="20% - Accent4 15 2 2 3 3" xfId="17958"/>
    <cellStyle name="20% - Accent4 15 2 2 4" xfId="14005"/>
    <cellStyle name="20% - Accent4 15 2 2 5" xfId="17956"/>
    <cellStyle name="20% - Accent4 15 2 3" xfId="2719"/>
    <cellStyle name="20% - Accent4 15 2 3 2" xfId="2720"/>
    <cellStyle name="20% - Accent4 15 2 3 2 2" xfId="14009"/>
    <cellStyle name="20% - Accent4 15 2 3 2 3" xfId="17960"/>
    <cellStyle name="20% - Accent4 15 2 3 3" xfId="2721"/>
    <cellStyle name="20% - Accent4 15 2 3 3 2" xfId="14010"/>
    <cellStyle name="20% - Accent4 15 2 3 3 3" xfId="17961"/>
    <cellStyle name="20% - Accent4 15 2 3 4" xfId="14008"/>
    <cellStyle name="20% - Accent4 15 2 3 5" xfId="17959"/>
    <cellStyle name="20% - Accent4 15 2 4" xfId="2722"/>
    <cellStyle name="20% - Accent4 15 2 4 2" xfId="2723"/>
    <cellStyle name="20% - Accent4 15 2 4 2 2" xfId="14012"/>
    <cellStyle name="20% - Accent4 15 2 4 2 3" xfId="17963"/>
    <cellStyle name="20% - Accent4 15 2 4 3" xfId="2724"/>
    <cellStyle name="20% - Accent4 15 2 4 3 2" xfId="14013"/>
    <cellStyle name="20% - Accent4 15 2 4 3 3" xfId="17964"/>
    <cellStyle name="20% - Accent4 15 2 4 4" xfId="14011"/>
    <cellStyle name="20% - Accent4 15 2 4 5" xfId="17962"/>
    <cellStyle name="20% - Accent4 15 2 5" xfId="2725"/>
    <cellStyle name="20% - Accent4 15 2 5 2" xfId="14014"/>
    <cellStyle name="20% - Accent4 15 2 5 3" xfId="17965"/>
    <cellStyle name="20% - Accent4 15 2 6" xfId="2726"/>
    <cellStyle name="20% - Accent4 15 2 6 2" xfId="14015"/>
    <cellStyle name="20% - Accent4 15 2 6 3" xfId="17966"/>
    <cellStyle name="20% - Accent4 15 2 7" xfId="14004"/>
    <cellStyle name="20% - Accent4 15 2 8" xfId="17955"/>
    <cellStyle name="20% - Accent4 15 2_Volatility" xfId="2727"/>
    <cellStyle name="20% - Accent4 15 3" xfId="2728"/>
    <cellStyle name="20% - Accent4 15 3 2" xfId="2729"/>
    <cellStyle name="20% - Accent4 15 3 2 2" xfId="2730"/>
    <cellStyle name="20% - Accent4 15 3 2 2 2" xfId="14018"/>
    <cellStyle name="20% - Accent4 15 3 2 2 3" xfId="17969"/>
    <cellStyle name="20% - Accent4 15 3 2 3" xfId="2731"/>
    <cellStyle name="20% - Accent4 15 3 2 3 2" xfId="14019"/>
    <cellStyle name="20% - Accent4 15 3 2 3 3" xfId="17970"/>
    <cellStyle name="20% - Accent4 15 3 2 4" xfId="14017"/>
    <cellStyle name="20% - Accent4 15 3 2 5" xfId="17968"/>
    <cellStyle name="20% - Accent4 15 3 3" xfId="2732"/>
    <cellStyle name="20% - Accent4 15 3 3 2" xfId="2733"/>
    <cellStyle name="20% - Accent4 15 3 3 2 2" xfId="14021"/>
    <cellStyle name="20% - Accent4 15 3 3 2 3" xfId="17972"/>
    <cellStyle name="20% - Accent4 15 3 3 3" xfId="2734"/>
    <cellStyle name="20% - Accent4 15 3 3 3 2" xfId="14022"/>
    <cellStyle name="20% - Accent4 15 3 3 3 3" xfId="17973"/>
    <cellStyle name="20% - Accent4 15 3 3 4" xfId="14020"/>
    <cellStyle name="20% - Accent4 15 3 3 5" xfId="17971"/>
    <cellStyle name="20% - Accent4 15 3 4" xfId="2735"/>
    <cellStyle name="20% - Accent4 15 3 4 2" xfId="14023"/>
    <cellStyle name="20% - Accent4 15 3 4 3" xfId="17974"/>
    <cellStyle name="20% - Accent4 15 3 5" xfId="2736"/>
    <cellStyle name="20% - Accent4 15 3 5 2" xfId="14024"/>
    <cellStyle name="20% - Accent4 15 3 5 3" xfId="17975"/>
    <cellStyle name="20% - Accent4 15 3 6" xfId="14016"/>
    <cellStyle name="20% - Accent4 15 3 7" xfId="17967"/>
    <cellStyle name="20% - Accent4 15 3_Volatility" xfId="2737"/>
    <cellStyle name="20% - Accent4 15 4" xfId="2738"/>
    <cellStyle name="20% - Accent4 15 4 2" xfId="2739"/>
    <cellStyle name="20% - Accent4 15 4 2 2" xfId="14026"/>
    <cellStyle name="20% - Accent4 15 4 2 3" xfId="17977"/>
    <cellStyle name="20% - Accent4 15 4 3" xfId="2740"/>
    <cellStyle name="20% - Accent4 15 4 3 2" xfId="14027"/>
    <cellStyle name="20% - Accent4 15 4 3 3" xfId="17978"/>
    <cellStyle name="20% - Accent4 15 4 4" xfId="14025"/>
    <cellStyle name="20% - Accent4 15 4 5" xfId="17976"/>
    <cellStyle name="20% - Accent4 15 5" xfId="2741"/>
    <cellStyle name="20% - Accent4 15 5 2" xfId="2742"/>
    <cellStyle name="20% - Accent4 15 5 2 2" xfId="14029"/>
    <cellStyle name="20% - Accent4 15 5 2 3" xfId="17980"/>
    <cellStyle name="20% - Accent4 15 5 3" xfId="2743"/>
    <cellStyle name="20% - Accent4 15 5 3 2" xfId="14030"/>
    <cellStyle name="20% - Accent4 15 5 3 3" xfId="17981"/>
    <cellStyle name="20% - Accent4 15 5 4" xfId="14028"/>
    <cellStyle name="20% - Accent4 15 5 5" xfId="17979"/>
    <cellStyle name="20% - Accent4 15 6" xfId="2744"/>
    <cellStyle name="20% - Accent4 15 6 2" xfId="2745"/>
    <cellStyle name="20% - Accent4 15 6 2 2" xfId="14032"/>
    <cellStyle name="20% - Accent4 15 6 2 3" xfId="17983"/>
    <cellStyle name="20% - Accent4 15 6 3" xfId="2746"/>
    <cellStyle name="20% - Accent4 15 6 3 2" xfId="14033"/>
    <cellStyle name="20% - Accent4 15 6 3 3" xfId="17984"/>
    <cellStyle name="20% - Accent4 15 6 4" xfId="14031"/>
    <cellStyle name="20% - Accent4 15 6 5" xfId="17982"/>
    <cellStyle name="20% - Accent4 15 7" xfId="2747"/>
    <cellStyle name="20% - Accent4 15 7 2" xfId="14034"/>
    <cellStyle name="20% - Accent4 15 7 3" xfId="17985"/>
    <cellStyle name="20% - Accent4 15 8" xfId="2748"/>
    <cellStyle name="20% - Accent4 15 8 2" xfId="14035"/>
    <cellStyle name="20% - Accent4 15 8 3" xfId="17986"/>
    <cellStyle name="20% - Accent4 15 9" xfId="14003"/>
    <cellStyle name="20% - Accent4 15_Volatility" xfId="2749"/>
    <cellStyle name="20% - Accent4 16" xfId="2750"/>
    <cellStyle name="20% - Accent4 16 2" xfId="14036"/>
    <cellStyle name="20% - Accent4 16 3" xfId="17987"/>
    <cellStyle name="20% - Accent4 17" xfId="2751"/>
    <cellStyle name="20% - Accent4 17 2" xfId="14037"/>
    <cellStyle name="20% - Accent4 17 3" xfId="17988"/>
    <cellStyle name="20% - Accent4 18" xfId="2752"/>
    <cellStyle name="20% - Accent4 18 2" xfId="14038"/>
    <cellStyle name="20% - Accent4 18 3" xfId="17989"/>
    <cellStyle name="20% - Accent4 19" xfId="2753"/>
    <cellStyle name="20% - Accent4 19 2" xfId="14039"/>
    <cellStyle name="20% - Accent4 19 3" xfId="17990"/>
    <cellStyle name="20% - Accent4 2" xfId="2754"/>
    <cellStyle name="20% - Accent4 2 10" xfId="17991"/>
    <cellStyle name="20% - Accent4 2 2" xfId="2755"/>
    <cellStyle name="20% - Accent4 2 2 2" xfId="2756"/>
    <cellStyle name="20% - Accent4 2 2 2 2" xfId="2757"/>
    <cellStyle name="20% - Accent4 2 2 2 2 2" xfId="14043"/>
    <cellStyle name="20% - Accent4 2 2 2 2 3" xfId="17994"/>
    <cellStyle name="20% - Accent4 2 2 2 3" xfId="2758"/>
    <cellStyle name="20% - Accent4 2 2 2 3 2" xfId="14044"/>
    <cellStyle name="20% - Accent4 2 2 2 3 3" xfId="17995"/>
    <cellStyle name="20% - Accent4 2 2 2 4" xfId="14042"/>
    <cellStyle name="20% - Accent4 2 2 2 5" xfId="17993"/>
    <cellStyle name="20% - Accent4 2 2 3" xfId="2759"/>
    <cellStyle name="20% - Accent4 2 2 3 2" xfId="2760"/>
    <cellStyle name="20% - Accent4 2 2 3 2 2" xfId="14046"/>
    <cellStyle name="20% - Accent4 2 2 3 2 3" xfId="17997"/>
    <cellStyle name="20% - Accent4 2 2 3 3" xfId="2761"/>
    <cellStyle name="20% - Accent4 2 2 3 3 2" xfId="14047"/>
    <cellStyle name="20% - Accent4 2 2 3 3 3" xfId="17998"/>
    <cellStyle name="20% - Accent4 2 2 3 4" xfId="14045"/>
    <cellStyle name="20% - Accent4 2 2 3 5" xfId="17996"/>
    <cellStyle name="20% - Accent4 2 2 4" xfId="2762"/>
    <cellStyle name="20% - Accent4 2 2 4 2" xfId="2763"/>
    <cellStyle name="20% - Accent4 2 2 4 2 2" xfId="14049"/>
    <cellStyle name="20% - Accent4 2 2 4 2 3" xfId="18000"/>
    <cellStyle name="20% - Accent4 2 2 4 3" xfId="2764"/>
    <cellStyle name="20% - Accent4 2 2 4 3 2" xfId="14050"/>
    <cellStyle name="20% - Accent4 2 2 4 3 3" xfId="18001"/>
    <cellStyle name="20% - Accent4 2 2 4 4" xfId="14048"/>
    <cellStyle name="20% - Accent4 2 2 4 5" xfId="17999"/>
    <cellStyle name="20% - Accent4 2 2 5" xfId="2765"/>
    <cellStyle name="20% - Accent4 2 2 5 2" xfId="14051"/>
    <cellStyle name="20% - Accent4 2 2 5 3" xfId="18002"/>
    <cellStyle name="20% - Accent4 2 2 6" xfId="2766"/>
    <cellStyle name="20% - Accent4 2 2 6 2" xfId="14052"/>
    <cellStyle name="20% - Accent4 2 2 6 3" xfId="18003"/>
    <cellStyle name="20% - Accent4 2 2 7" xfId="14041"/>
    <cellStyle name="20% - Accent4 2 2 8" xfId="17992"/>
    <cellStyle name="20% - Accent4 2 2_Volatility" xfId="2767"/>
    <cellStyle name="20% - Accent4 2 3" xfId="2768"/>
    <cellStyle name="20% - Accent4 2 3 2" xfId="2769"/>
    <cellStyle name="20% - Accent4 2 3 2 2" xfId="2770"/>
    <cellStyle name="20% - Accent4 2 3 2 2 2" xfId="14055"/>
    <cellStyle name="20% - Accent4 2 3 2 2 3" xfId="18006"/>
    <cellStyle name="20% - Accent4 2 3 2 3" xfId="2771"/>
    <cellStyle name="20% - Accent4 2 3 2 3 2" xfId="14056"/>
    <cellStyle name="20% - Accent4 2 3 2 3 3" xfId="18007"/>
    <cellStyle name="20% - Accent4 2 3 2 4" xfId="14054"/>
    <cellStyle name="20% - Accent4 2 3 2 5" xfId="18005"/>
    <cellStyle name="20% - Accent4 2 3 3" xfId="2772"/>
    <cellStyle name="20% - Accent4 2 3 3 2" xfId="2773"/>
    <cellStyle name="20% - Accent4 2 3 3 2 2" xfId="14058"/>
    <cellStyle name="20% - Accent4 2 3 3 2 3" xfId="18009"/>
    <cellStyle name="20% - Accent4 2 3 3 3" xfId="2774"/>
    <cellStyle name="20% - Accent4 2 3 3 3 2" xfId="14059"/>
    <cellStyle name="20% - Accent4 2 3 3 3 3" xfId="18010"/>
    <cellStyle name="20% - Accent4 2 3 3 4" xfId="14057"/>
    <cellStyle name="20% - Accent4 2 3 3 5" xfId="18008"/>
    <cellStyle name="20% - Accent4 2 3 4" xfId="2775"/>
    <cellStyle name="20% - Accent4 2 3 4 2" xfId="14060"/>
    <cellStyle name="20% - Accent4 2 3 4 3" xfId="18011"/>
    <cellStyle name="20% - Accent4 2 3 5" xfId="2776"/>
    <cellStyle name="20% - Accent4 2 3 5 2" xfId="14061"/>
    <cellStyle name="20% - Accent4 2 3 5 3" xfId="18012"/>
    <cellStyle name="20% - Accent4 2 3 6" xfId="14053"/>
    <cellStyle name="20% - Accent4 2 3 7" xfId="18004"/>
    <cellStyle name="20% - Accent4 2 3_Volatility" xfId="2777"/>
    <cellStyle name="20% - Accent4 2 4" xfId="2778"/>
    <cellStyle name="20% - Accent4 2 4 2" xfId="2779"/>
    <cellStyle name="20% - Accent4 2 4 2 2" xfId="14063"/>
    <cellStyle name="20% - Accent4 2 4 2 3" xfId="18014"/>
    <cellStyle name="20% - Accent4 2 4 3" xfId="2780"/>
    <cellStyle name="20% - Accent4 2 4 3 2" xfId="14064"/>
    <cellStyle name="20% - Accent4 2 4 3 3" xfId="18015"/>
    <cellStyle name="20% - Accent4 2 4 4" xfId="14062"/>
    <cellStyle name="20% - Accent4 2 4 5" xfId="18013"/>
    <cellStyle name="20% - Accent4 2 5" xfId="2781"/>
    <cellStyle name="20% - Accent4 2 5 2" xfId="2782"/>
    <cellStyle name="20% - Accent4 2 5 2 2" xfId="14066"/>
    <cellStyle name="20% - Accent4 2 5 2 3" xfId="18017"/>
    <cellStyle name="20% - Accent4 2 5 3" xfId="2783"/>
    <cellStyle name="20% - Accent4 2 5 3 2" xfId="14067"/>
    <cellStyle name="20% - Accent4 2 5 3 3" xfId="18018"/>
    <cellStyle name="20% - Accent4 2 5 4" xfId="14065"/>
    <cellStyle name="20% - Accent4 2 5 5" xfId="18016"/>
    <cellStyle name="20% - Accent4 2 6" xfId="2784"/>
    <cellStyle name="20% - Accent4 2 6 2" xfId="2785"/>
    <cellStyle name="20% - Accent4 2 6 2 2" xfId="14069"/>
    <cellStyle name="20% - Accent4 2 6 2 3" xfId="18020"/>
    <cellStyle name="20% - Accent4 2 6 3" xfId="2786"/>
    <cellStyle name="20% - Accent4 2 6 3 2" xfId="14070"/>
    <cellStyle name="20% - Accent4 2 6 3 3" xfId="18021"/>
    <cellStyle name="20% - Accent4 2 6 4" xfId="14068"/>
    <cellStyle name="20% - Accent4 2 6 5" xfId="18019"/>
    <cellStyle name="20% - Accent4 2 7" xfId="2787"/>
    <cellStyle name="20% - Accent4 2 7 2" xfId="14071"/>
    <cellStyle name="20% - Accent4 2 7 3" xfId="18022"/>
    <cellStyle name="20% - Accent4 2 8" xfId="2788"/>
    <cellStyle name="20% - Accent4 2 8 2" xfId="14072"/>
    <cellStyle name="20% - Accent4 2 8 3" xfId="18023"/>
    <cellStyle name="20% - Accent4 2 9" xfId="14040"/>
    <cellStyle name="20% - Accent4 2_Volatility" xfId="2789"/>
    <cellStyle name="20% - Accent4 3" xfId="2790"/>
    <cellStyle name="20% - Accent4 3 10" xfId="18024"/>
    <cellStyle name="20% - Accent4 3 2" xfId="2791"/>
    <cellStyle name="20% - Accent4 3 2 2" xfId="2792"/>
    <cellStyle name="20% - Accent4 3 2 2 2" xfId="2793"/>
    <cellStyle name="20% - Accent4 3 2 2 2 2" xfId="14076"/>
    <cellStyle name="20% - Accent4 3 2 2 2 3" xfId="18027"/>
    <cellStyle name="20% - Accent4 3 2 2 3" xfId="2794"/>
    <cellStyle name="20% - Accent4 3 2 2 3 2" xfId="14077"/>
    <cellStyle name="20% - Accent4 3 2 2 3 3" xfId="18028"/>
    <cellStyle name="20% - Accent4 3 2 2 4" xfId="14075"/>
    <cellStyle name="20% - Accent4 3 2 2 5" xfId="18026"/>
    <cellStyle name="20% - Accent4 3 2 3" xfId="2795"/>
    <cellStyle name="20% - Accent4 3 2 3 2" xfId="2796"/>
    <cellStyle name="20% - Accent4 3 2 3 2 2" xfId="14079"/>
    <cellStyle name="20% - Accent4 3 2 3 2 3" xfId="18030"/>
    <cellStyle name="20% - Accent4 3 2 3 3" xfId="2797"/>
    <cellStyle name="20% - Accent4 3 2 3 3 2" xfId="14080"/>
    <cellStyle name="20% - Accent4 3 2 3 3 3" xfId="18031"/>
    <cellStyle name="20% - Accent4 3 2 3 4" xfId="14078"/>
    <cellStyle name="20% - Accent4 3 2 3 5" xfId="18029"/>
    <cellStyle name="20% - Accent4 3 2 4" xfId="2798"/>
    <cellStyle name="20% - Accent4 3 2 4 2" xfId="2799"/>
    <cellStyle name="20% - Accent4 3 2 4 2 2" xfId="14082"/>
    <cellStyle name="20% - Accent4 3 2 4 2 3" xfId="18033"/>
    <cellStyle name="20% - Accent4 3 2 4 3" xfId="2800"/>
    <cellStyle name="20% - Accent4 3 2 4 3 2" xfId="14083"/>
    <cellStyle name="20% - Accent4 3 2 4 3 3" xfId="18034"/>
    <cellStyle name="20% - Accent4 3 2 4 4" xfId="14081"/>
    <cellStyle name="20% - Accent4 3 2 4 5" xfId="18032"/>
    <cellStyle name="20% - Accent4 3 2 5" xfId="2801"/>
    <cellStyle name="20% - Accent4 3 2 5 2" xfId="14084"/>
    <cellStyle name="20% - Accent4 3 2 5 3" xfId="18035"/>
    <cellStyle name="20% - Accent4 3 2 6" xfId="2802"/>
    <cellStyle name="20% - Accent4 3 2 6 2" xfId="14085"/>
    <cellStyle name="20% - Accent4 3 2 6 3" xfId="18036"/>
    <cellStyle name="20% - Accent4 3 2 7" xfId="14074"/>
    <cellStyle name="20% - Accent4 3 2 8" xfId="18025"/>
    <cellStyle name="20% - Accent4 3 2_Volatility" xfId="2803"/>
    <cellStyle name="20% - Accent4 3 3" xfId="2804"/>
    <cellStyle name="20% - Accent4 3 3 2" xfId="2805"/>
    <cellStyle name="20% - Accent4 3 3 2 2" xfId="2806"/>
    <cellStyle name="20% - Accent4 3 3 2 2 2" xfId="14088"/>
    <cellStyle name="20% - Accent4 3 3 2 2 3" xfId="18039"/>
    <cellStyle name="20% - Accent4 3 3 2 3" xfId="2807"/>
    <cellStyle name="20% - Accent4 3 3 2 3 2" xfId="14089"/>
    <cellStyle name="20% - Accent4 3 3 2 3 3" xfId="18040"/>
    <cellStyle name="20% - Accent4 3 3 2 4" xfId="14087"/>
    <cellStyle name="20% - Accent4 3 3 2 5" xfId="18038"/>
    <cellStyle name="20% - Accent4 3 3 3" xfId="2808"/>
    <cellStyle name="20% - Accent4 3 3 3 2" xfId="2809"/>
    <cellStyle name="20% - Accent4 3 3 3 2 2" xfId="14091"/>
    <cellStyle name="20% - Accent4 3 3 3 2 3" xfId="18042"/>
    <cellStyle name="20% - Accent4 3 3 3 3" xfId="2810"/>
    <cellStyle name="20% - Accent4 3 3 3 3 2" xfId="14092"/>
    <cellStyle name="20% - Accent4 3 3 3 3 3" xfId="18043"/>
    <cellStyle name="20% - Accent4 3 3 3 4" xfId="14090"/>
    <cellStyle name="20% - Accent4 3 3 3 5" xfId="18041"/>
    <cellStyle name="20% - Accent4 3 3 4" xfId="2811"/>
    <cellStyle name="20% - Accent4 3 3 4 2" xfId="14093"/>
    <cellStyle name="20% - Accent4 3 3 4 3" xfId="18044"/>
    <cellStyle name="20% - Accent4 3 3 5" xfId="2812"/>
    <cellStyle name="20% - Accent4 3 3 5 2" xfId="14094"/>
    <cellStyle name="20% - Accent4 3 3 5 3" xfId="18045"/>
    <cellStyle name="20% - Accent4 3 3 6" xfId="14086"/>
    <cellStyle name="20% - Accent4 3 3 7" xfId="18037"/>
    <cellStyle name="20% - Accent4 3 3_Volatility" xfId="2813"/>
    <cellStyle name="20% - Accent4 3 4" xfId="2814"/>
    <cellStyle name="20% - Accent4 3 4 2" xfId="2815"/>
    <cellStyle name="20% - Accent4 3 4 2 2" xfId="14096"/>
    <cellStyle name="20% - Accent4 3 4 2 3" xfId="18047"/>
    <cellStyle name="20% - Accent4 3 4 3" xfId="2816"/>
    <cellStyle name="20% - Accent4 3 4 3 2" xfId="14097"/>
    <cellStyle name="20% - Accent4 3 4 3 3" xfId="18048"/>
    <cellStyle name="20% - Accent4 3 4 4" xfId="14095"/>
    <cellStyle name="20% - Accent4 3 4 5" xfId="18046"/>
    <cellStyle name="20% - Accent4 3 5" xfId="2817"/>
    <cellStyle name="20% - Accent4 3 5 2" xfId="2818"/>
    <cellStyle name="20% - Accent4 3 5 2 2" xfId="14099"/>
    <cellStyle name="20% - Accent4 3 5 2 3" xfId="18050"/>
    <cellStyle name="20% - Accent4 3 5 3" xfId="2819"/>
    <cellStyle name="20% - Accent4 3 5 3 2" xfId="14100"/>
    <cellStyle name="20% - Accent4 3 5 3 3" xfId="18051"/>
    <cellStyle name="20% - Accent4 3 5 4" xfId="14098"/>
    <cellStyle name="20% - Accent4 3 5 5" xfId="18049"/>
    <cellStyle name="20% - Accent4 3 6" xfId="2820"/>
    <cellStyle name="20% - Accent4 3 6 2" xfId="2821"/>
    <cellStyle name="20% - Accent4 3 6 2 2" xfId="14102"/>
    <cellStyle name="20% - Accent4 3 6 2 3" xfId="18053"/>
    <cellStyle name="20% - Accent4 3 6 3" xfId="2822"/>
    <cellStyle name="20% - Accent4 3 6 3 2" xfId="14103"/>
    <cellStyle name="20% - Accent4 3 6 3 3" xfId="18054"/>
    <cellStyle name="20% - Accent4 3 6 4" xfId="14101"/>
    <cellStyle name="20% - Accent4 3 6 5" xfId="18052"/>
    <cellStyle name="20% - Accent4 3 7" xfId="2823"/>
    <cellStyle name="20% - Accent4 3 7 2" xfId="14104"/>
    <cellStyle name="20% - Accent4 3 7 3" xfId="18055"/>
    <cellStyle name="20% - Accent4 3 8" xfId="2824"/>
    <cellStyle name="20% - Accent4 3 8 2" xfId="14105"/>
    <cellStyle name="20% - Accent4 3 8 3" xfId="18056"/>
    <cellStyle name="20% - Accent4 3 9" xfId="14073"/>
    <cellStyle name="20% - Accent4 3_Volatility" xfId="2825"/>
    <cellStyle name="20% - Accent4 4" xfId="2826"/>
    <cellStyle name="20% - Accent4 4 10" xfId="18057"/>
    <cellStyle name="20% - Accent4 4 2" xfId="2827"/>
    <cellStyle name="20% - Accent4 4 2 2" xfId="2828"/>
    <cellStyle name="20% - Accent4 4 2 2 2" xfId="2829"/>
    <cellStyle name="20% - Accent4 4 2 2 2 2" xfId="14109"/>
    <cellStyle name="20% - Accent4 4 2 2 2 3" xfId="18060"/>
    <cellStyle name="20% - Accent4 4 2 2 3" xfId="2830"/>
    <cellStyle name="20% - Accent4 4 2 2 3 2" xfId="14110"/>
    <cellStyle name="20% - Accent4 4 2 2 3 3" xfId="18061"/>
    <cellStyle name="20% - Accent4 4 2 2 4" xfId="14108"/>
    <cellStyle name="20% - Accent4 4 2 2 5" xfId="18059"/>
    <cellStyle name="20% - Accent4 4 2 3" xfId="2831"/>
    <cellStyle name="20% - Accent4 4 2 3 2" xfId="2832"/>
    <cellStyle name="20% - Accent4 4 2 3 2 2" xfId="14112"/>
    <cellStyle name="20% - Accent4 4 2 3 2 3" xfId="18063"/>
    <cellStyle name="20% - Accent4 4 2 3 3" xfId="2833"/>
    <cellStyle name="20% - Accent4 4 2 3 3 2" xfId="14113"/>
    <cellStyle name="20% - Accent4 4 2 3 3 3" xfId="18064"/>
    <cellStyle name="20% - Accent4 4 2 3 4" xfId="14111"/>
    <cellStyle name="20% - Accent4 4 2 3 5" xfId="18062"/>
    <cellStyle name="20% - Accent4 4 2 4" xfId="2834"/>
    <cellStyle name="20% - Accent4 4 2 4 2" xfId="2835"/>
    <cellStyle name="20% - Accent4 4 2 4 2 2" xfId="14115"/>
    <cellStyle name="20% - Accent4 4 2 4 2 3" xfId="18066"/>
    <cellStyle name="20% - Accent4 4 2 4 3" xfId="2836"/>
    <cellStyle name="20% - Accent4 4 2 4 3 2" xfId="14116"/>
    <cellStyle name="20% - Accent4 4 2 4 3 3" xfId="18067"/>
    <cellStyle name="20% - Accent4 4 2 4 4" xfId="14114"/>
    <cellStyle name="20% - Accent4 4 2 4 5" xfId="18065"/>
    <cellStyle name="20% - Accent4 4 2 5" xfId="2837"/>
    <cellStyle name="20% - Accent4 4 2 5 2" xfId="14117"/>
    <cellStyle name="20% - Accent4 4 2 5 3" xfId="18068"/>
    <cellStyle name="20% - Accent4 4 2 6" xfId="2838"/>
    <cellStyle name="20% - Accent4 4 2 6 2" xfId="14118"/>
    <cellStyle name="20% - Accent4 4 2 6 3" xfId="18069"/>
    <cellStyle name="20% - Accent4 4 2 7" xfId="14107"/>
    <cellStyle name="20% - Accent4 4 2 8" xfId="18058"/>
    <cellStyle name="20% - Accent4 4 2_Volatility" xfId="2839"/>
    <cellStyle name="20% - Accent4 4 3" xfId="2840"/>
    <cellStyle name="20% - Accent4 4 3 2" xfId="2841"/>
    <cellStyle name="20% - Accent4 4 3 2 2" xfId="2842"/>
    <cellStyle name="20% - Accent4 4 3 2 2 2" xfId="14121"/>
    <cellStyle name="20% - Accent4 4 3 2 2 3" xfId="18072"/>
    <cellStyle name="20% - Accent4 4 3 2 3" xfId="2843"/>
    <cellStyle name="20% - Accent4 4 3 2 3 2" xfId="14122"/>
    <cellStyle name="20% - Accent4 4 3 2 3 3" xfId="18073"/>
    <cellStyle name="20% - Accent4 4 3 2 4" xfId="14120"/>
    <cellStyle name="20% - Accent4 4 3 2 5" xfId="18071"/>
    <cellStyle name="20% - Accent4 4 3 3" xfId="2844"/>
    <cellStyle name="20% - Accent4 4 3 3 2" xfId="2845"/>
    <cellStyle name="20% - Accent4 4 3 3 2 2" xfId="14124"/>
    <cellStyle name="20% - Accent4 4 3 3 2 3" xfId="18075"/>
    <cellStyle name="20% - Accent4 4 3 3 3" xfId="2846"/>
    <cellStyle name="20% - Accent4 4 3 3 3 2" xfId="14125"/>
    <cellStyle name="20% - Accent4 4 3 3 3 3" xfId="18076"/>
    <cellStyle name="20% - Accent4 4 3 3 4" xfId="14123"/>
    <cellStyle name="20% - Accent4 4 3 3 5" xfId="18074"/>
    <cellStyle name="20% - Accent4 4 3 4" xfId="2847"/>
    <cellStyle name="20% - Accent4 4 3 4 2" xfId="14126"/>
    <cellStyle name="20% - Accent4 4 3 4 3" xfId="18077"/>
    <cellStyle name="20% - Accent4 4 3 5" xfId="2848"/>
    <cellStyle name="20% - Accent4 4 3 5 2" xfId="14127"/>
    <cellStyle name="20% - Accent4 4 3 5 3" xfId="18078"/>
    <cellStyle name="20% - Accent4 4 3 6" xfId="14119"/>
    <cellStyle name="20% - Accent4 4 3 7" xfId="18070"/>
    <cellStyle name="20% - Accent4 4 3_Volatility" xfId="2849"/>
    <cellStyle name="20% - Accent4 4 4" xfId="2850"/>
    <cellStyle name="20% - Accent4 4 4 2" xfId="2851"/>
    <cellStyle name="20% - Accent4 4 4 2 2" xfId="14129"/>
    <cellStyle name="20% - Accent4 4 4 2 3" xfId="18080"/>
    <cellStyle name="20% - Accent4 4 4 3" xfId="2852"/>
    <cellStyle name="20% - Accent4 4 4 3 2" xfId="14130"/>
    <cellStyle name="20% - Accent4 4 4 3 3" xfId="18081"/>
    <cellStyle name="20% - Accent4 4 4 4" xfId="14128"/>
    <cellStyle name="20% - Accent4 4 4 5" xfId="18079"/>
    <cellStyle name="20% - Accent4 4 5" xfId="2853"/>
    <cellStyle name="20% - Accent4 4 5 2" xfId="2854"/>
    <cellStyle name="20% - Accent4 4 5 2 2" xfId="14132"/>
    <cellStyle name="20% - Accent4 4 5 2 3" xfId="18083"/>
    <cellStyle name="20% - Accent4 4 5 3" xfId="2855"/>
    <cellStyle name="20% - Accent4 4 5 3 2" xfId="14133"/>
    <cellStyle name="20% - Accent4 4 5 3 3" xfId="18084"/>
    <cellStyle name="20% - Accent4 4 5 4" xfId="14131"/>
    <cellStyle name="20% - Accent4 4 5 5" xfId="18082"/>
    <cellStyle name="20% - Accent4 4 6" xfId="2856"/>
    <cellStyle name="20% - Accent4 4 6 2" xfId="2857"/>
    <cellStyle name="20% - Accent4 4 6 2 2" xfId="14135"/>
    <cellStyle name="20% - Accent4 4 6 2 3" xfId="18086"/>
    <cellStyle name="20% - Accent4 4 6 3" xfId="2858"/>
    <cellStyle name="20% - Accent4 4 6 3 2" xfId="14136"/>
    <cellStyle name="20% - Accent4 4 6 3 3" xfId="18087"/>
    <cellStyle name="20% - Accent4 4 6 4" xfId="14134"/>
    <cellStyle name="20% - Accent4 4 6 5" xfId="18085"/>
    <cellStyle name="20% - Accent4 4 7" xfId="2859"/>
    <cellStyle name="20% - Accent4 4 7 2" xfId="14137"/>
    <cellStyle name="20% - Accent4 4 7 3" xfId="18088"/>
    <cellStyle name="20% - Accent4 4 8" xfId="2860"/>
    <cellStyle name="20% - Accent4 4 8 2" xfId="14138"/>
    <cellStyle name="20% - Accent4 4 8 3" xfId="18089"/>
    <cellStyle name="20% - Accent4 4 9" xfId="14106"/>
    <cellStyle name="20% - Accent4 4_Volatility" xfId="2861"/>
    <cellStyle name="20% - Accent4 5" xfId="2862"/>
    <cellStyle name="20% - Accent4 5 10" xfId="18090"/>
    <cellStyle name="20% - Accent4 5 2" xfId="2863"/>
    <cellStyle name="20% - Accent4 5 2 2" xfId="2864"/>
    <cellStyle name="20% - Accent4 5 2 2 2" xfId="2865"/>
    <cellStyle name="20% - Accent4 5 2 2 2 2" xfId="14142"/>
    <cellStyle name="20% - Accent4 5 2 2 2 3" xfId="18093"/>
    <cellStyle name="20% - Accent4 5 2 2 3" xfId="2866"/>
    <cellStyle name="20% - Accent4 5 2 2 3 2" xfId="14143"/>
    <cellStyle name="20% - Accent4 5 2 2 3 3" xfId="18094"/>
    <cellStyle name="20% - Accent4 5 2 2 4" xfId="14141"/>
    <cellStyle name="20% - Accent4 5 2 2 5" xfId="18092"/>
    <cellStyle name="20% - Accent4 5 2 3" xfId="2867"/>
    <cellStyle name="20% - Accent4 5 2 3 2" xfId="2868"/>
    <cellStyle name="20% - Accent4 5 2 3 2 2" xfId="14145"/>
    <cellStyle name="20% - Accent4 5 2 3 2 3" xfId="18096"/>
    <cellStyle name="20% - Accent4 5 2 3 3" xfId="2869"/>
    <cellStyle name="20% - Accent4 5 2 3 3 2" xfId="14146"/>
    <cellStyle name="20% - Accent4 5 2 3 3 3" xfId="18097"/>
    <cellStyle name="20% - Accent4 5 2 3 4" xfId="14144"/>
    <cellStyle name="20% - Accent4 5 2 3 5" xfId="18095"/>
    <cellStyle name="20% - Accent4 5 2 4" xfId="2870"/>
    <cellStyle name="20% - Accent4 5 2 4 2" xfId="2871"/>
    <cellStyle name="20% - Accent4 5 2 4 2 2" xfId="14148"/>
    <cellStyle name="20% - Accent4 5 2 4 2 3" xfId="18099"/>
    <cellStyle name="20% - Accent4 5 2 4 3" xfId="2872"/>
    <cellStyle name="20% - Accent4 5 2 4 3 2" xfId="14149"/>
    <cellStyle name="20% - Accent4 5 2 4 3 3" xfId="18100"/>
    <cellStyle name="20% - Accent4 5 2 4 4" xfId="14147"/>
    <cellStyle name="20% - Accent4 5 2 4 5" xfId="18098"/>
    <cellStyle name="20% - Accent4 5 2 5" xfId="2873"/>
    <cellStyle name="20% - Accent4 5 2 5 2" xfId="14150"/>
    <cellStyle name="20% - Accent4 5 2 5 3" xfId="18101"/>
    <cellStyle name="20% - Accent4 5 2 6" xfId="2874"/>
    <cellStyle name="20% - Accent4 5 2 6 2" xfId="14151"/>
    <cellStyle name="20% - Accent4 5 2 6 3" xfId="18102"/>
    <cellStyle name="20% - Accent4 5 2 7" xfId="14140"/>
    <cellStyle name="20% - Accent4 5 2 8" xfId="18091"/>
    <cellStyle name="20% - Accent4 5 2_Volatility" xfId="2875"/>
    <cellStyle name="20% - Accent4 5 3" xfId="2876"/>
    <cellStyle name="20% - Accent4 5 3 2" xfId="2877"/>
    <cellStyle name="20% - Accent4 5 3 2 2" xfId="2878"/>
    <cellStyle name="20% - Accent4 5 3 2 2 2" xfId="14154"/>
    <cellStyle name="20% - Accent4 5 3 2 2 3" xfId="18105"/>
    <cellStyle name="20% - Accent4 5 3 2 3" xfId="2879"/>
    <cellStyle name="20% - Accent4 5 3 2 3 2" xfId="14155"/>
    <cellStyle name="20% - Accent4 5 3 2 3 3" xfId="18106"/>
    <cellStyle name="20% - Accent4 5 3 2 4" xfId="14153"/>
    <cellStyle name="20% - Accent4 5 3 2 5" xfId="18104"/>
    <cellStyle name="20% - Accent4 5 3 3" xfId="2880"/>
    <cellStyle name="20% - Accent4 5 3 3 2" xfId="2881"/>
    <cellStyle name="20% - Accent4 5 3 3 2 2" xfId="14157"/>
    <cellStyle name="20% - Accent4 5 3 3 2 3" xfId="18108"/>
    <cellStyle name="20% - Accent4 5 3 3 3" xfId="2882"/>
    <cellStyle name="20% - Accent4 5 3 3 3 2" xfId="14158"/>
    <cellStyle name="20% - Accent4 5 3 3 3 3" xfId="18109"/>
    <cellStyle name="20% - Accent4 5 3 3 4" xfId="14156"/>
    <cellStyle name="20% - Accent4 5 3 3 5" xfId="18107"/>
    <cellStyle name="20% - Accent4 5 3 4" xfId="2883"/>
    <cellStyle name="20% - Accent4 5 3 4 2" xfId="14159"/>
    <cellStyle name="20% - Accent4 5 3 4 3" xfId="18110"/>
    <cellStyle name="20% - Accent4 5 3 5" xfId="2884"/>
    <cellStyle name="20% - Accent4 5 3 5 2" xfId="14160"/>
    <cellStyle name="20% - Accent4 5 3 5 3" xfId="18111"/>
    <cellStyle name="20% - Accent4 5 3 6" xfId="14152"/>
    <cellStyle name="20% - Accent4 5 3 7" xfId="18103"/>
    <cellStyle name="20% - Accent4 5 3_Volatility" xfId="2885"/>
    <cellStyle name="20% - Accent4 5 4" xfId="2886"/>
    <cellStyle name="20% - Accent4 5 4 2" xfId="2887"/>
    <cellStyle name="20% - Accent4 5 4 2 2" xfId="14162"/>
    <cellStyle name="20% - Accent4 5 4 2 3" xfId="18113"/>
    <cellStyle name="20% - Accent4 5 4 3" xfId="2888"/>
    <cellStyle name="20% - Accent4 5 4 3 2" xfId="14163"/>
    <cellStyle name="20% - Accent4 5 4 3 3" xfId="18114"/>
    <cellStyle name="20% - Accent4 5 4 4" xfId="14161"/>
    <cellStyle name="20% - Accent4 5 4 5" xfId="18112"/>
    <cellStyle name="20% - Accent4 5 5" xfId="2889"/>
    <cellStyle name="20% - Accent4 5 5 2" xfId="2890"/>
    <cellStyle name="20% - Accent4 5 5 2 2" xfId="14165"/>
    <cellStyle name="20% - Accent4 5 5 2 3" xfId="18116"/>
    <cellStyle name="20% - Accent4 5 5 3" xfId="2891"/>
    <cellStyle name="20% - Accent4 5 5 3 2" xfId="14166"/>
    <cellStyle name="20% - Accent4 5 5 3 3" xfId="18117"/>
    <cellStyle name="20% - Accent4 5 5 4" xfId="14164"/>
    <cellStyle name="20% - Accent4 5 5 5" xfId="18115"/>
    <cellStyle name="20% - Accent4 5 6" xfId="2892"/>
    <cellStyle name="20% - Accent4 5 6 2" xfId="2893"/>
    <cellStyle name="20% - Accent4 5 6 2 2" xfId="14168"/>
    <cellStyle name="20% - Accent4 5 6 2 3" xfId="18119"/>
    <cellStyle name="20% - Accent4 5 6 3" xfId="2894"/>
    <cellStyle name="20% - Accent4 5 6 3 2" xfId="14169"/>
    <cellStyle name="20% - Accent4 5 6 3 3" xfId="18120"/>
    <cellStyle name="20% - Accent4 5 6 4" xfId="14167"/>
    <cellStyle name="20% - Accent4 5 6 5" xfId="18118"/>
    <cellStyle name="20% - Accent4 5 7" xfId="2895"/>
    <cellStyle name="20% - Accent4 5 7 2" xfId="14170"/>
    <cellStyle name="20% - Accent4 5 7 3" xfId="18121"/>
    <cellStyle name="20% - Accent4 5 8" xfId="2896"/>
    <cellStyle name="20% - Accent4 5 8 2" xfId="14171"/>
    <cellStyle name="20% - Accent4 5 8 3" xfId="18122"/>
    <cellStyle name="20% - Accent4 5 9" xfId="14139"/>
    <cellStyle name="20% - Accent4 5_Volatility" xfId="2897"/>
    <cellStyle name="20% - Accent4 6" xfId="2898"/>
    <cellStyle name="20% - Accent4 6 10" xfId="18123"/>
    <cellStyle name="20% - Accent4 6 2" xfId="2899"/>
    <cellStyle name="20% - Accent4 6 2 2" xfId="2900"/>
    <cellStyle name="20% - Accent4 6 2 2 2" xfId="2901"/>
    <cellStyle name="20% - Accent4 6 2 2 2 2" xfId="14175"/>
    <cellStyle name="20% - Accent4 6 2 2 2 3" xfId="18126"/>
    <cellStyle name="20% - Accent4 6 2 2 3" xfId="2902"/>
    <cellStyle name="20% - Accent4 6 2 2 3 2" xfId="14176"/>
    <cellStyle name="20% - Accent4 6 2 2 3 3" xfId="18127"/>
    <cellStyle name="20% - Accent4 6 2 2 4" xfId="14174"/>
    <cellStyle name="20% - Accent4 6 2 2 5" xfId="18125"/>
    <cellStyle name="20% - Accent4 6 2 3" xfId="2903"/>
    <cellStyle name="20% - Accent4 6 2 3 2" xfId="2904"/>
    <cellStyle name="20% - Accent4 6 2 3 2 2" xfId="14178"/>
    <cellStyle name="20% - Accent4 6 2 3 2 3" xfId="18129"/>
    <cellStyle name="20% - Accent4 6 2 3 3" xfId="2905"/>
    <cellStyle name="20% - Accent4 6 2 3 3 2" xfId="14179"/>
    <cellStyle name="20% - Accent4 6 2 3 3 3" xfId="18130"/>
    <cellStyle name="20% - Accent4 6 2 3 4" xfId="14177"/>
    <cellStyle name="20% - Accent4 6 2 3 5" xfId="18128"/>
    <cellStyle name="20% - Accent4 6 2 4" xfId="2906"/>
    <cellStyle name="20% - Accent4 6 2 4 2" xfId="2907"/>
    <cellStyle name="20% - Accent4 6 2 4 2 2" xfId="14181"/>
    <cellStyle name="20% - Accent4 6 2 4 2 3" xfId="18132"/>
    <cellStyle name="20% - Accent4 6 2 4 3" xfId="2908"/>
    <cellStyle name="20% - Accent4 6 2 4 3 2" xfId="14182"/>
    <cellStyle name="20% - Accent4 6 2 4 3 3" xfId="18133"/>
    <cellStyle name="20% - Accent4 6 2 4 4" xfId="14180"/>
    <cellStyle name="20% - Accent4 6 2 4 5" xfId="18131"/>
    <cellStyle name="20% - Accent4 6 2 5" xfId="2909"/>
    <cellStyle name="20% - Accent4 6 2 5 2" xfId="14183"/>
    <cellStyle name="20% - Accent4 6 2 5 3" xfId="18134"/>
    <cellStyle name="20% - Accent4 6 2 6" xfId="2910"/>
    <cellStyle name="20% - Accent4 6 2 6 2" xfId="14184"/>
    <cellStyle name="20% - Accent4 6 2 6 3" xfId="18135"/>
    <cellStyle name="20% - Accent4 6 2 7" xfId="14173"/>
    <cellStyle name="20% - Accent4 6 2 8" xfId="18124"/>
    <cellStyle name="20% - Accent4 6 2_Volatility" xfId="2911"/>
    <cellStyle name="20% - Accent4 6 3" xfId="2912"/>
    <cellStyle name="20% - Accent4 6 3 2" xfId="2913"/>
    <cellStyle name="20% - Accent4 6 3 2 2" xfId="2914"/>
    <cellStyle name="20% - Accent4 6 3 2 2 2" xfId="14187"/>
    <cellStyle name="20% - Accent4 6 3 2 2 3" xfId="18138"/>
    <cellStyle name="20% - Accent4 6 3 2 3" xfId="2915"/>
    <cellStyle name="20% - Accent4 6 3 2 3 2" xfId="14188"/>
    <cellStyle name="20% - Accent4 6 3 2 3 3" xfId="18139"/>
    <cellStyle name="20% - Accent4 6 3 2 4" xfId="14186"/>
    <cellStyle name="20% - Accent4 6 3 2 5" xfId="18137"/>
    <cellStyle name="20% - Accent4 6 3 3" xfId="2916"/>
    <cellStyle name="20% - Accent4 6 3 3 2" xfId="2917"/>
    <cellStyle name="20% - Accent4 6 3 3 2 2" xfId="14190"/>
    <cellStyle name="20% - Accent4 6 3 3 2 3" xfId="18141"/>
    <cellStyle name="20% - Accent4 6 3 3 3" xfId="2918"/>
    <cellStyle name="20% - Accent4 6 3 3 3 2" xfId="14191"/>
    <cellStyle name="20% - Accent4 6 3 3 3 3" xfId="18142"/>
    <cellStyle name="20% - Accent4 6 3 3 4" xfId="14189"/>
    <cellStyle name="20% - Accent4 6 3 3 5" xfId="18140"/>
    <cellStyle name="20% - Accent4 6 3 4" xfId="2919"/>
    <cellStyle name="20% - Accent4 6 3 4 2" xfId="14192"/>
    <cellStyle name="20% - Accent4 6 3 4 3" xfId="18143"/>
    <cellStyle name="20% - Accent4 6 3 5" xfId="2920"/>
    <cellStyle name="20% - Accent4 6 3 5 2" xfId="14193"/>
    <cellStyle name="20% - Accent4 6 3 5 3" xfId="18144"/>
    <cellStyle name="20% - Accent4 6 3 6" xfId="14185"/>
    <cellStyle name="20% - Accent4 6 3 7" xfId="18136"/>
    <cellStyle name="20% - Accent4 6 3_Volatility" xfId="2921"/>
    <cellStyle name="20% - Accent4 6 4" xfId="2922"/>
    <cellStyle name="20% - Accent4 6 4 2" xfId="2923"/>
    <cellStyle name="20% - Accent4 6 4 2 2" xfId="14195"/>
    <cellStyle name="20% - Accent4 6 4 2 3" xfId="18146"/>
    <cellStyle name="20% - Accent4 6 4 3" xfId="2924"/>
    <cellStyle name="20% - Accent4 6 4 3 2" xfId="14196"/>
    <cellStyle name="20% - Accent4 6 4 3 3" xfId="18147"/>
    <cellStyle name="20% - Accent4 6 4 4" xfId="14194"/>
    <cellStyle name="20% - Accent4 6 4 5" xfId="18145"/>
    <cellStyle name="20% - Accent4 6 5" xfId="2925"/>
    <cellStyle name="20% - Accent4 6 5 2" xfId="2926"/>
    <cellStyle name="20% - Accent4 6 5 2 2" xfId="14198"/>
    <cellStyle name="20% - Accent4 6 5 2 3" xfId="18149"/>
    <cellStyle name="20% - Accent4 6 5 3" xfId="2927"/>
    <cellStyle name="20% - Accent4 6 5 3 2" xfId="14199"/>
    <cellStyle name="20% - Accent4 6 5 3 3" xfId="18150"/>
    <cellStyle name="20% - Accent4 6 5 4" xfId="14197"/>
    <cellStyle name="20% - Accent4 6 5 5" xfId="18148"/>
    <cellStyle name="20% - Accent4 6 6" xfId="2928"/>
    <cellStyle name="20% - Accent4 6 6 2" xfId="2929"/>
    <cellStyle name="20% - Accent4 6 6 2 2" xfId="14201"/>
    <cellStyle name="20% - Accent4 6 6 2 3" xfId="18152"/>
    <cellStyle name="20% - Accent4 6 6 3" xfId="2930"/>
    <cellStyle name="20% - Accent4 6 6 3 2" xfId="14202"/>
    <cellStyle name="20% - Accent4 6 6 3 3" xfId="18153"/>
    <cellStyle name="20% - Accent4 6 6 4" xfId="14200"/>
    <cellStyle name="20% - Accent4 6 6 5" xfId="18151"/>
    <cellStyle name="20% - Accent4 6 7" xfId="2931"/>
    <cellStyle name="20% - Accent4 6 7 2" xfId="14203"/>
    <cellStyle name="20% - Accent4 6 7 3" xfId="18154"/>
    <cellStyle name="20% - Accent4 6 8" xfId="2932"/>
    <cellStyle name="20% - Accent4 6 8 2" xfId="14204"/>
    <cellStyle name="20% - Accent4 6 8 3" xfId="18155"/>
    <cellStyle name="20% - Accent4 6 9" xfId="14172"/>
    <cellStyle name="20% - Accent4 6_Volatility" xfId="2933"/>
    <cellStyle name="20% - Accent4 7" xfId="2934"/>
    <cellStyle name="20% - Accent4 7 10" xfId="18156"/>
    <cellStyle name="20% - Accent4 7 2" xfId="2935"/>
    <cellStyle name="20% - Accent4 7 2 2" xfId="2936"/>
    <cellStyle name="20% - Accent4 7 2 2 2" xfId="2937"/>
    <cellStyle name="20% - Accent4 7 2 2 2 2" xfId="14208"/>
    <cellStyle name="20% - Accent4 7 2 2 2 3" xfId="18159"/>
    <cellStyle name="20% - Accent4 7 2 2 3" xfId="2938"/>
    <cellStyle name="20% - Accent4 7 2 2 3 2" xfId="14209"/>
    <cellStyle name="20% - Accent4 7 2 2 3 3" xfId="18160"/>
    <cellStyle name="20% - Accent4 7 2 2 4" xfId="14207"/>
    <cellStyle name="20% - Accent4 7 2 2 5" xfId="18158"/>
    <cellStyle name="20% - Accent4 7 2 3" xfId="2939"/>
    <cellStyle name="20% - Accent4 7 2 3 2" xfId="2940"/>
    <cellStyle name="20% - Accent4 7 2 3 2 2" xfId="14211"/>
    <cellStyle name="20% - Accent4 7 2 3 2 3" xfId="18162"/>
    <cellStyle name="20% - Accent4 7 2 3 3" xfId="2941"/>
    <cellStyle name="20% - Accent4 7 2 3 3 2" xfId="14212"/>
    <cellStyle name="20% - Accent4 7 2 3 3 3" xfId="18163"/>
    <cellStyle name="20% - Accent4 7 2 3 4" xfId="14210"/>
    <cellStyle name="20% - Accent4 7 2 3 5" xfId="18161"/>
    <cellStyle name="20% - Accent4 7 2 4" xfId="2942"/>
    <cellStyle name="20% - Accent4 7 2 4 2" xfId="2943"/>
    <cellStyle name="20% - Accent4 7 2 4 2 2" xfId="14214"/>
    <cellStyle name="20% - Accent4 7 2 4 2 3" xfId="18165"/>
    <cellStyle name="20% - Accent4 7 2 4 3" xfId="2944"/>
    <cellStyle name="20% - Accent4 7 2 4 3 2" xfId="14215"/>
    <cellStyle name="20% - Accent4 7 2 4 3 3" xfId="18166"/>
    <cellStyle name="20% - Accent4 7 2 4 4" xfId="14213"/>
    <cellStyle name="20% - Accent4 7 2 4 5" xfId="18164"/>
    <cellStyle name="20% - Accent4 7 2 5" xfId="2945"/>
    <cellStyle name="20% - Accent4 7 2 5 2" xfId="14216"/>
    <cellStyle name="20% - Accent4 7 2 5 3" xfId="18167"/>
    <cellStyle name="20% - Accent4 7 2 6" xfId="2946"/>
    <cellStyle name="20% - Accent4 7 2 6 2" xfId="14217"/>
    <cellStyle name="20% - Accent4 7 2 6 3" xfId="18168"/>
    <cellStyle name="20% - Accent4 7 2 7" xfId="14206"/>
    <cellStyle name="20% - Accent4 7 2 8" xfId="18157"/>
    <cellStyle name="20% - Accent4 7 2_Volatility" xfId="2947"/>
    <cellStyle name="20% - Accent4 7 3" xfId="2948"/>
    <cellStyle name="20% - Accent4 7 3 2" xfId="2949"/>
    <cellStyle name="20% - Accent4 7 3 2 2" xfId="2950"/>
    <cellStyle name="20% - Accent4 7 3 2 2 2" xfId="14220"/>
    <cellStyle name="20% - Accent4 7 3 2 2 3" xfId="18171"/>
    <cellStyle name="20% - Accent4 7 3 2 3" xfId="2951"/>
    <cellStyle name="20% - Accent4 7 3 2 3 2" xfId="14221"/>
    <cellStyle name="20% - Accent4 7 3 2 3 3" xfId="18172"/>
    <cellStyle name="20% - Accent4 7 3 2 4" xfId="14219"/>
    <cellStyle name="20% - Accent4 7 3 2 5" xfId="18170"/>
    <cellStyle name="20% - Accent4 7 3 3" xfId="2952"/>
    <cellStyle name="20% - Accent4 7 3 3 2" xfId="2953"/>
    <cellStyle name="20% - Accent4 7 3 3 2 2" xfId="14223"/>
    <cellStyle name="20% - Accent4 7 3 3 2 3" xfId="18174"/>
    <cellStyle name="20% - Accent4 7 3 3 3" xfId="2954"/>
    <cellStyle name="20% - Accent4 7 3 3 3 2" xfId="14224"/>
    <cellStyle name="20% - Accent4 7 3 3 3 3" xfId="18175"/>
    <cellStyle name="20% - Accent4 7 3 3 4" xfId="14222"/>
    <cellStyle name="20% - Accent4 7 3 3 5" xfId="18173"/>
    <cellStyle name="20% - Accent4 7 3 4" xfId="2955"/>
    <cellStyle name="20% - Accent4 7 3 4 2" xfId="14225"/>
    <cellStyle name="20% - Accent4 7 3 4 3" xfId="18176"/>
    <cellStyle name="20% - Accent4 7 3 5" xfId="2956"/>
    <cellStyle name="20% - Accent4 7 3 5 2" xfId="14226"/>
    <cellStyle name="20% - Accent4 7 3 5 3" xfId="18177"/>
    <cellStyle name="20% - Accent4 7 3 6" xfId="14218"/>
    <cellStyle name="20% - Accent4 7 3 7" xfId="18169"/>
    <cellStyle name="20% - Accent4 7 3_Volatility" xfId="2957"/>
    <cellStyle name="20% - Accent4 7 4" xfId="2958"/>
    <cellStyle name="20% - Accent4 7 4 2" xfId="2959"/>
    <cellStyle name="20% - Accent4 7 4 2 2" xfId="14228"/>
    <cellStyle name="20% - Accent4 7 4 2 3" xfId="18179"/>
    <cellStyle name="20% - Accent4 7 4 3" xfId="2960"/>
    <cellStyle name="20% - Accent4 7 4 3 2" xfId="14229"/>
    <cellStyle name="20% - Accent4 7 4 3 3" xfId="18180"/>
    <cellStyle name="20% - Accent4 7 4 4" xfId="14227"/>
    <cellStyle name="20% - Accent4 7 4 5" xfId="18178"/>
    <cellStyle name="20% - Accent4 7 5" xfId="2961"/>
    <cellStyle name="20% - Accent4 7 5 2" xfId="2962"/>
    <cellStyle name="20% - Accent4 7 5 2 2" xfId="14231"/>
    <cellStyle name="20% - Accent4 7 5 2 3" xfId="18182"/>
    <cellStyle name="20% - Accent4 7 5 3" xfId="2963"/>
    <cellStyle name="20% - Accent4 7 5 3 2" xfId="14232"/>
    <cellStyle name="20% - Accent4 7 5 3 3" xfId="18183"/>
    <cellStyle name="20% - Accent4 7 5 4" xfId="14230"/>
    <cellStyle name="20% - Accent4 7 5 5" xfId="18181"/>
    <cellStyle name="20% - Accent4 7 6" xfId="2964"/>
    <cellStyle name="20% - Accent4 7 6 2" xfId="2965"/>
    <cellStyle name="20% - Accent4 7 6 2 2" xfId="14234"/>
    <cellStyle name="20% - Accent4 7 6 2 3" xfId="18185"/>
    <cellStyle name="20% - Accent4 7 6 3" xfId="2966"/>
    <cellStyle name="20% - Accent4 7 6 3 2" xfId="14235"/>
    <cellStyle name="20% - Accent4 7 6 3 3" xfId="18186"/>
    <cellStyle name="20% - Accent4 7 6 4" xfId="14233"/>
    <cellStyle name="20% - Accent4 7 6 5" xfId="18184"/>
    <cellStyle name="20% - Accent4 7 7" xfId="2967"/>
    <cellStyle name="20% - Accent4 7 7 2" xfId="14236"/>
    <cellStyle name="20% - Accent4 7 7 3" xfId="18187"/>
    <cellStyle name="20% - Accent4 7 8" xfId="2968"/>
    <cellStyle name="20% - Accent4 7 8 2" xfId="14237"/>
    <cellStyle name="20% - Accent4 7 8 3" xfId="18188"/>
    <cellStyle name="20% - Accent4 7 9" xfId="14205"/>
    <cellStyle name="20% - Accent4 7_Volatility" xfId="2969"/>
    <cellStyle name="20% - Accent4 8" xfId="2970"/>
    <cellStyle name="20% - Accent4 8 10" xfId="18189"/>
    <cellStyle name="20% - Accent4 8 2" xfId="2971"/>
    <cellStyle name="20% - Accent4 8 2 2" xfId="2972"/>
    <cellStyle name="20% - Accent4 8 2 2 2" xfId="2973"/>
    <cellStyle name="20% - Accent4 8 2 2 2 2" xfId="14241"/>
    <cellStyle name="20% - Accent4 8 2 2 2 3" xfId="18192"/>
    <cellStyle name="20% - Accent4 8 2 2 3" xfId="2974"/>
    <cellStyle name="20% - Accent4 8 2 2 3 2" xfId="14242"/>
    <cellStyle name="20% - Accent4 8 2 2 3 3" xfId="18193"/>
    <cellStyle name="20% - Accent4 8 2 2 4" xfId="14240"/>
    <cellStyle name="20% - Accent4 8 2 2 5" xfId="18191"/>
    <cellStyle name="20% - Accent4 8 2 3" xfId="2975"/>
    <cellStyle name="20% - Accent4 8 2 3 2" xfId="2976"/>
    <cellStyle name="20% - Accent4 8 2 3 2 2" xfId="14244"/>
    <cellStyle name="20% - Accent4 8 2 3 2 3" xfId="18195"/>
    <cellStyle name="20% - Accent4 8 2 3 3" xfId="2977"/>
    <cellStyle name="20% - Accent4 8 2 3 3 2" xfId="14245"/>
    <cellStyle name="20% - Accent4 8 2 3 3 3" xfId="18196"/>
    <cellStyle name="20% - Accent4 8 2 3 4" xfId="14243"/>
    <cellStyle name="20% - Accent4 8 2 3 5" xfId="18194"/>
    <cellStyle name="20% - Accent4 8 2 4" xfId="2978"/>
    <cellStyle name="20% - Accent4 8 2 4 2" xfId="2979"/>
    <cellStyle name="20% - Accent4 8 2 4 2 2" xfId="14247"/>
    <cellStyle name="20% - Accent4 8 2 4 2 3" xfId="18198"/>
    <cellStyle name="20% - Accent4 8 2 4 3" xfId="2980"/>
    <cellStyle name="20% - Accent4 8 2 4 3 2" xfId="14248"/>
    <cellStyle name="20% - Accent4 8 2 4 3 3" xfId="18199"/>
    <cellStyle name="20% - Accent4 8 2 4 4" xfId="14246"/>
    <cellStyle name="20% - Accent4 8 2 4 5" xfId="18197"/>
    <cellStyle name="20% - Accent4 8 2 5" xfId="2981"/>
    <cellStyle name="20% - Accent4 8 2 5 2" xfId="14249"/>
    <cellStyle name="20% - Accent4 8 2 5 3" xfId="18200"/>
    <cellStyle name="20% - Accent4 8 2 6" xfId="2982"/>
    <cellStyle name="20% - Accent4 8 2 6 2" xfId="14250"/>
    <cellStyle name="20% - Accent4 8 2 6 3" xfId="18201"/>
    <cellStyle name="20% - Accent4 8 2 7" xfId="14239"/>
    <cellStyle name="20% - Accent4 8 2 8" xfId="18190"/>
    <cellStyle name="20% - Accent4 8 2_Volatility" xfId="2983"/>
    <cellStyle name="20% - Accent4 8 3" xfId="2984"/>
    <cellStyle name="20% - Accent4 8 3 2" xfId="2985"/>
    <cellStyle name="20% - Accent4 8 3 2 2" xfId="2986"/>
    <cellStyle name="20% - Accent4 8 3 2 2 2" xfId="14253"/>
    <cellStyle name="20% - Accent4 8 3 2 2 3" xfId="18204"/>
    <cellStyle name="20% - Accent4 8 3 2 3" xfId="2987"/>
    <cellStyle name="20% - Accent4 8 3 2 3 2" xfId="14254"/>
    <cellStyle name="20% - Accent4 8 3 2 3 3" xfId="18205"/>
    <cellStyle name="20% - Accent4 8 3 2 4" xfId="14252"/>
    <cellStyle name="20% - Accent4 8 3 2 5" xfId="18203"/>
    <cellStyle name="20% - Accent4 8 3 3" xfId="2988"/>
    <cellStyle name="20% - Accent4 8 3 3 2" xfId="2989"/>
    <cellStyle name="20% - Accent4 8 3 3 2 2" xfId="14256"/>
    <cellStyle name="20% - Accent4 8 3 3 2 3" xfId="18207"/>
    <cellStyle name="20% - Accent4 8 3 3 3" xfId="2990"/>
    <cellStyle name="20% - Accent4 8 3 3 3 2" xfId="14257"/>
    <cellStyle name="20% - Accent4 8 3 3 3 3" xfId="18208"/>
    <cellStyle name="20% - Accent4 8 3 3 4" xfId="14255"/>
    <cellStyle name="20% - Accent4 8 3 3 5" xfId="18206"/>
    <cellStyle name="20% - Accent4 8 3 4" xfId="2991"/>
    <cellStyle name="20% - Accent4 8 3 4 2" xfId="14258"/>
    <cellStyle name="20% - Accent4 8 3 4 3" xfId="18209"/>
    <cellStyle name="20% - Accent4 8 3 5" xfId="2992"/>
    <cellStyle name="20% - Accent4 8 3 5 2" xfId="14259"/>
    <cellStyle name="20% - Accent4 8 3 5 3" xfId="18210"/>
    <cellStyle name="20% - Accent4 8 3 6" xfId="14251"/>
    <cellStyle name="20% - Accent4 8 3 7" xfId="18202"/>
    <cellStyle name="20% - Accent4 8 3_Volatility" xfId="2993"/>
    <cellStyle name="20% - Accent4 8 4" xfId="2994"/>
    <cellStyle name="20% - Accent4 8 4 2" xfId="2995"/>
    <cellStyle name="20% - Accent4 8 4 2 2" xfId="14261"/>
    <cellStyle name="20% - Accent4 8 4 2 3" xfId="18212"/>
    <cellStyle name="20% - Accent4 8 4 3" xfId="2996"/>
    <cellStyle name="20% - Accent4 8 4 3 2" xfId="14262"/>
    <cellStyle name="20% - Accent4 8 4 3 3" xfId="18213"/>
    <cellStyle name="20% - Accent4 8 4 4" xfId="14260"/>
    <cellStyle name="20% - Accent4 8 4 5" xfId="18211"/>
    <cellStyle name="20% - Accent4 8 5" xfId="2997"/>
    <cellStyle name="20% - Accent4 8 5 2" xfId="2998"/>
    <cellStyle name="20% - Accent4 8 5 2 2" xfId="14264"/>
    <cellStyle name="20% - Accent4 8 5 2 3" xfId="18215"/>
    <cellStyle name="20% - Accent4 8 5 3" xfId="2999"/>
    <cellStyle name="20% - Accent4 8 5 3 2" xfId="14265"/>
    <cellStyle name="20% - Accent4 8 5 3 3" xfId="18216"/>
    <cellStyle name="20% - Accent4 8 5 4" xfId="14263"/>
    <cellStyle name="20% - Accent4 8 5 5" xfId="18214"/>
    <cellStyle name="20% - Accent4 8 6" xfId="3000"/>
    <cellStyle name="20% - Accent4 8 6 2" xfId="3001"/>
    <cellStyle name="20% - Accent4 8 6 2 2" xfId="14267"/>
    <cellStyle name="20% - Accent4 8 6 2 3" xfId="18218"/>
    <cellStyle name="20% - Accent4 8 6 3" xfId="3002"/>
    <cellStyle name="20% - Accent4 8 6 3 2" xfId="14268"/>
    <cellStyle name="20% - Accent4 8 6 3 3" xfId="18219"/>
    <cellStyle name="20% - Accent4 8 6 4" xfId="14266"/>
    <cellStyle name="20% - Accent4 8 6 5" xfId="18217"/>
    <cellStyle name="20% - Accent4 8 7" xfId="3003"/>
    <cellStyle name="20% - Accent4 8 7 2" xfId="14269"/>
    <cellStyle name="20% - Accent4 8 7 3" xfId="18220"/>
    <cellStyle name="20% - Accent4 8 8" xfId="3004"/>
    <cellStyle name="20% - Accent4 8 8 2" xfId="14270"/>
    <cellStyle name="20% - Accent4 8 8 3" xfId="18221"/>
    <cellStyle name="20% - Accent4 8 9" xfId="14238"/>
    <cellStyle name="20% - Accent4 8_Volatility" xfId="3005"/>
    <cellStyle name="20% - Accent4 9" xfId="3006"/>
    <cellStyle name="20% - Accent4 9 10" xfId="18222"/>
    <cellStyle name="20% - Accent4 9 2" xfId="3007"/>
    <cellStyle name="20% - Accent4 9 2 2" xfId="3008"/>
    <cellStyle name="20% - Accent4 9 2 2 2" xfId="3009"/>
    <cellStyle name="20% - Accent4 9 2 2 2 2" xfId="14274"/>
    <cellStyle name="20% - Accent4 9 2 2 2 3" xfId="18225"/>
    <cellStyle name="20% - Accent4 9 2 2 3" xfId="3010"/>
    <cellStyle name="20% - Accent4 9 2 2 3 2" xfId="14275"/>
    <cellStyle name="20% - Accent4 9 2 2 3 3" xfId="18226"/>
    <cellStyle name="20% - Accent4 9 2 2 4" xfId="14273"/>
    <cellStyle name="20% - Accent4 9 2 2 5" xfId="18224"/>
    <cellStyle name="20% - Accent4 9 2 3" xfId="3011"/>
    <cellStyle name="20% - Accent4 9 2 3 2" xfId="3012"/>
    <cellStyle name="20% - Accent4 9 2 3 2 2" xfId="14277"/>
    <cellStyle name="20% - Accent4 9 2 3 2 3" xfId="18228"/>
    <cellStyle name="20% - Accent4 9 2 3 3" xfId="3013"/>
    <cellStyle name="20% - Accent4 9 2 3 3 2" xfId="14278"/>
    <cellStyle name="20% - Accent4 9 2 3 3 3" xfId="18229"/>
    <cellStyle name="20% - Accent4 9 2 3 4" xfId="14276"/>
    <cellStyle name="20% - Accent4 9 2 3 5" xfId="18227"/>
    <cellStyle name="20% - Accent4 9 2 4" xfId="3014"/>
    <cellStyle name="20% - Accent4 9 2 4 2" xfId="3015"/>
    <cellStyle name="20% - Accent4 9 2 4 2 2" xfId="14280"/>
    <cellStyle name="20% - Accent4 9 2 4 2 3" xfId="18231"/>
    <cellStyle name="20% - Accent4 9 2 4 3" xfId="3016"/>
    <cellStyle name="20% - Accent4 9 2 4 3 2" xfId="14281"/>
    <cellStyle name="20% - Accent4 9 2 4 3 3" xfId="18232"/>
    <cellStyle name="20% - Accent4 9 2 4 4" xfId="14279"/>
    <cellStyle name="20% - Accent4 9 2 4 5" xfId="18230"/>
    <cellStyle name="20% - Accent4 9 2 5" xfId="3017"/>
    <cellStyle name="20% - Accent4 9 2 5 2" xfId="14282"/>
    <cellStyle name="20% - Accent4 9 2 5 3" xfId="18233"/>
    <cellStyle name="20% - Accent4 9 2 6" xfId="3018"/>
    <cellStyle name="20% - Accent4 9 2 6 2" xfId="14283"/>
    <cellStyle name="20% - Accent4 9 2 6 3" xfId="18234"/>
    <cellStyle name="20% - Accent4 9 2 7" xfId="14272"/>
    <cellStyle name="20% - Accent4 9 2 8" xfId="18223"/>
    <cellStyle name="20% - Accent4 9 2_Volatility" xfId="3019"/>
    <cellStyle name="20% - Accent4 9 3" xfId="3020"/>
    <cellStyle name="20% - Accent4 9 3 2" xfId="3021"/>
    <cellStyle name="20% - Accent4 9 3 2 2" xfId="3022"/>
    <cellStyle name="20% - Accent4 9 3 2 2 2" xfId="14286"/>
    <cellStyle name="20% - Accent4 9 3 2 2 3" xfId="18237"/>
    <cellStyle name="20% - Accent4 9 3 2 3" xfId="3023"/>
    <cellStyle name="20% - Accent4 9 3 2 3 2" xfId="14287"/>
    <cellStyle name="20% - Accent4 9 3 2 3 3" xfId="18238"/>
    <cellStyle name="20% - Accent4 9 3 2 4" xfId="14285"/>
    <cellStyle name="20% - Accent4 9 3 2 5" xfId="18236"/>
    <cellStyle name="20% - Accent4 9 3 3" xfId="3024"/>
    <cellStyle name="20% - Accent4 9 3 3 2" xfId="3025"/>
    <cellStyle name="20% - Accent4 9 3 3 2 2" xfId="14289"/>
    <cellStyle name="20% - Accent4 9 3 3 2 3" xfId="18240"/>
    <cellStyle name="20% - Accent4 9 3 3 3" xfId="3026"/>
    <cellStyle name="20% - Accent4 9 3 3 3 2" xfId="14290"/>
    <cellStyle name="20% - Accent4 9 3 3 3 3" xfId="18241"/>
    <cellStyle name="20% - Accent4 9 3 3 4" xfId="14288"/>
    <cellStyle name="20% - Accent4 9 3 3 5" xfId="18239"/>
    <cellStyle name="20% - Accent4 9 3 4" xfId="3027"/>
    <cellStyle name="20% - Accent4 9 3 4 2" xfId="14291"/>
    <cellStyle name="20% - Accent4 9 3 4 3" xfId="18242"/>
    <cellStyle name="20% - Accent4 9 3 5" xfId="3028"/>
    <cellStyle name="20% - Accent4 9 3 5 2" xfId="14292"/>
    <cellStyle name="20% - Accent4 9 3 5 3" xfId="18243"/>
    <cellStyle name="20% - Accent4 9 3 6" xfId="14284"/>
    <cellStyle name="20% - Accent4 9 3 7" xfId="18235"/>
    <cellStyle name="20% - Accent4 9 3_Volatility" xfId="3029"/>
    <cellStyle name="20% - Accent4 9 4" xfId="3030"/>
    <cellStyle name="20% - Accent4 9 4 2" xfId="3031"/>
    <cellStyle name="20% - Accent4 9 4 2 2" xfId="14294"/>
    <cellStyle name="20% - Accent4 9 4 2 3" xfId="18245"/>
    <cellStyle name="20% - Accent4 9 4 3" xfId="3032"/>
    <cellStyle name="20% - Accent4 9 4 3 2" xfId="14295"/>
    <cellStyle name="20% - Accent4 9 4 3 3" xfId="18246"/>
    <cellStyle name="20% - Accent4 9 4 4" xfId="14293"/>
    <cellStyle name="20% - Accent4 9 4 5" xfId="18244"/>
    <cellStyle name="20% - Accent4 9 5" xfId="3033"/>
    <cellStyle name="20% - Accent4 9 5 2" xfId="3034"/>
    <cellStyle name="20% - Accent4 9 5 2 2" xfId="14297"/>
    <cellStyle name="20% - Accent4 9 5 2 3" xfId="18248"/>
    <cellStyle name="20% - Accent4 9 5 3" xfId="3035"/>
    <cellStyle name="20% - Accent4 9 5 3 2" xfId="14298"/>
    <cellStyle name="20% - Accent4 9 5 3 3" xfId="18249"/>
    <cellStyle name="20% - Accent4 9 5 4" xfId="14296"/>
    <cellStyle name="20% - Accent4 9 5 5" xfId="18247"/>
    <cellStyle name="20% - Accent4 9 6" xfId="3036"/>
    <cellStyle name="20% - Accent4 9 6 2" xfId="3037"/>
    <cellStyle name="20% - Accent4 9 6 2 2" xfId="14300"/>
    <cellStyle name="20% - Accent4 9 6 2 3" xfId="18251"/>
    <cellStyle name="20% - Accent4 9 6 3" xfId="3038"/>
    <cellStyle name="20% - Accent4 9 6 3 2" xfId="14301"/>
    <cellStyle name="20% - Accent4 9 6 3 3" xfId="18252"/>
    <cellStyle name="20% - Accent4 9 6 4" xfId="14299"/>
    <cellStyle name="20% - Accent4 9 6 5" xfId="18250"/>
    <cellStyle name="20% - Accent4 9 7" xfId="3039"/>
    <cellStyle name="20% - Accent4 9 7 2" xfId="14302"/>
    <cellStyle name="20% - Accent4 9 7 3" xfId="18253"/>
    <cellStyle name="20% - Accent4 9 8" xfId="3040"/>
    <cellStyle name="20% - Accent4 9 8 2" xfId="14303"/>
    <cellStyle name="20% - Accent4 9 8 3" xfId="18254"/>
    <cellStyle name="20% - Accent4 9 9" xfId="14271"/>
    <cellStyle name="20% - Accent4 9_Volatility" xfId="3041"/>
    <cellStyle name="20% - Accent5 10" xfId="3042"/>
    <cellStyle name="20% - Accent5 10 10" xfId="18255"/>
    <cellStyle name="20% - Accent5 10 2" xfId="3043"/>
    <cellStyle name="20% - Accent5 10 2 2" xfId="3044"/>
    <cellStyle name="20% - Accent5 10 2 2 2" xfId="3045"/>
    <cellStyle name="20% - Accent5 10 2 2 2 2" xfId="14307"/>
    <cellStyle name="20% - Accent5 10 2 2 2 3" xfId="18258"/>
    <cellStyle name="20% - Accent5 10 2 2 3" xfId="3046"/>
    <cellStyle name="20% - Accent5 10 2 2 3 2" xfId="14308"/>
    <cellStyle name="20% - Accent5 10 2 2 3 3" xfId="18259"/>
    <cellStyle name="20% - Accent5 10 2 2 4" xfId="14306"/>
    <cellStyle name="20% - Accent5 10 2 2 5" xfId="18257"/>
    <cellStyle name="20% - Accent5 10 2 3" xfId="3047"/>
    <cellStyle name="20% - Accent5 10 2 3 2" xfId="3048"/>
    <cellStyle name="20% - Accent5 10 2 3 2 2" xfId="14310"/>
    <cellStyle name="20% - Accent5 10 2 3 2 3" xfId="18261"/>
    <cellStyle name="20% - Accent5 10 2 3 3" xfId="3049"/>
    <cellStyle name="20% - Accent5 10 2 3 3 2" xfId="14311"/>
    <cellStyle name="20% - Accent5 10 2 3 3 3" xfId="18262"/>
    <cellStyle name="20% - Accent5 10 2 3 4" xfId="14309"/>
    <cellStyle name="20% - Accent5 10 2 3 5" xfId="18260"/>
    <cellStyle name="20% - Accent5 10 2 4" xfId="3050"/>
    <cellStyle name="20% - Accent5 10 2 4 2" xfId="3051"/>
    <cellStyle name="20% - Accent5 10 2 4 2 2" xfId="14313"/>
    <cellStyle name="20% - Accent5 10 2 4 2 3" xfId="18264"/>
    <cellStyle name="20% - Accent5 10 2 4 3" xfId="3052"/>
    <cellStyle name="20% - Accent5 10 2 4 3 2" xfId="14314"/>
    <cellStyle name="20% - Accent5 10 2 4 3 3" xfId="18265"/>
    <cellStyle name="20% - Accent5 10 2 4 4" xfId="14312"/>
    <cellStyle name="20% - Accent5 10 2 4 5" xfId="18263"/>
    <cellStyle name="20% - Accent5 10 2 5" xfId="3053"/>
    <cellStyle name="20% - Accent5 10 2 5 2" xfId="14315"/>
    <cellStyle name="20% - Accent5 10 2 5 3" xfId="18266"/>
    <cellStyle name="20% - Accent5 10 2 6" xfId="3054"/>
    <cellStyle name="20% - Accent5 10 2 6 2" xfId="14316"/>
    <cellStyle name="20% - Accent5 10 2 6 3" xfId="18267"/>
    <cellStyle name="20% - Accent5 10 2 7" xfId="14305"/>
    <cellStyle name="20% - Accent5 10 2 8" xfId="18256"/>
    <cellStyle name="20% - Accent5 10 2_Volatility" xfId="3055"/>
    <cellStyle name="20% - Accent5 10 3" xfId="3056"/>
    <cellStyle name="20% - Accent5 10 3 2" xfId="3057"/>
    <cellStyle name="20% - Accent5 10 3 2 2" xfId="3058"/>
    <cellStyle name="20% - Accent5 10 3 2 2 2" xfId="14319"/>
    <cellStyle name="20% - Accent5 10 3 2 2 3" xfId="18270"/>
    <cellStyle name="20% - Accent5 10 3 2 3" xfId="3059"/>
    <cellStyle name="20% - Accent5 10 3 2 3 2" xfId="14320"/>
    <cellStyle name="20% - Accent5 10 3 2 3 3" xfId="18271"/>
    <cellStyle name="20% - Accent5 10 3 2 4" xfId="14318"/>
    <cellStyle name="20% - Accent5 10 3 2 5" xfId="18269"/>
    <cellStyle name="20% - Accent5 10 3 3" xfId="3060"/>
    <cellStyle name="20% - Accent5 10 3 3 2" xfId="3061"/>
    <cellStyle name="20% - Accent5 10 3 3 2 2" xfId="14322"/>
    <cellStyle name="20% - Accent5 10 3 3 2 3" xfId="18273"/>
    <cellStyle name="20% - Accent5 10 3 3 3" xfId="3062"/>
    <cellStyle name="20% - Accent5 10 3 3 3 2" xfId="14323"/>
    <cellStyle name="20% - Accent5 10 3 3 3 3" xfId="18274"/>
    <cellStyle name="20% - Accent5 10 3 3 4" xfId="14321"/>
    <cellStyle name="20% - Accent5 10 3 3 5" xfId="18272"/>
    <cellStyle name="20% - Accent5 10 3 4" xfId="3063"/>
    <cellStyle name="20% - Accent5 10 3 4 2" xfId="14324"/>
    <cellStyle name="20% - Accent5 10 3 4 3" xfId="18275"/>
    <cellStyle name="20% - Accent5 10 3 5" xfId="3064"/>
    <cellStyle name="20% - Accent5 10 3 5 2" xfId="14325"/>
    <cellStyle name="20% - Accent5 10 3 5 3" xfId="18276"/>
    <cellStyle name="20% - Accent5 10 3 6" xfId="14317"/>
    <cellStyle name="20% - Accent5 10 3 7" xfId="18268"/>
    <cellStyle name="20% - Accent5 10 3_Volatility" xfId="3065"/>
    <cellStyle name="20% - Accent5 10 4" xfId="3066"/>
    <cellStyle name="20% - Accent5 10 4 2" xfId="3067"/>
    <cellStyle name="20% - Accent5 10 4 2 2" xfId="14327"/>
    <cellStyle name="20% - Accent5 10 4 2 3" xfId="18278"/>
    <cellStyle name="20% - Accent5 10 4 3" xfId="3068"/>
    <cellStyle name="20% - Accent5 10 4 3 2" xfId="14328"/>
    <cellStyle name="20% - Accent5 10 4 3 3" xfId="18279"/>
    <cellStyle name="20% - Accent5 10 4 4" xfId="14326"/>
    <cellStyle name="20% - Accent5 10 4 5" xfId="18277"/>
    <cellStyle name="20% - Accent5 10 5" xfId="3069"/>
    <cellStyle name="20% - Accent5 10 5 2" xfId="3070"/>
    <cellStyle name="20% - Accent5 10 5 2 2" xfId="14330"/>
    <cellStyle name="20% - Accent5 10 5 2 3" xfId="18281"/>
    <cellStyle name="20% - Accent5 10 5 3" xfId="3071"/>
    <cellStyle name="20% - Accent5 10 5 3 2" xfId="14331"/>
    <cellStyle name="20% - Accent5 10 5 3 3" xfId="18282"/>
    <cellStyle name="20% - Accent5 10 5 4" xfId="14329"/>
    <cellStyle name="20% - Accent5 10 5 5" xfId="18280"/>
    <cellStyle name="20% - Accent5 10 6" xfId="3072"/>
    <cellStyle name="20% - Accent5 10 6 2" xfId="3073"/>
    <cellStyle name="20% - Accent5 10 6 2 2" xfId="14333"/>
    <cellStyle name="20% - Accent5 10 6 2 3" xfId="18284"/>
    <cellStyle name="20% - Accent5 10 6 3" xfId="3074"/>
    <cellStyle name="20% - Accent5 10 6 3 2" xfId="14334"/>
    <cellStyle name="20% - Accent5 10 6 3 3" xfId="18285"/>
    <cellStyle name="20% - Accent5 10 6 4" xfId="14332"/>
    <cellStyle name="20% - Accent5 10 6 5" xfId="18283"/>
    <cellStyle name="20% - Accent5 10 7" xfId="3075"/>
    <cellStyle name="20% - Accent5 10 7 2" xfId="14335"/>
    <cellStyle name="20% - Accent5 10 7 3" xfId="18286"/>
    <cellStyle name="20% - Accent5 10 8" xfId="3076"/>
    <cellStyle name="20% - Accent5 10 8 2" xfId="14336"/>
    <cellStyle name="20% - Accent5 10 8 3" xfId="18287"/>
    <cellStyle name="20% - Accent5 10 9" xfId="14304"/>
    <cellStyle name="20% - Accent5 10_Volatility" xfId="3077"/>
    <cellStyle name="20% - Accent5 11" xfId="3078"/>
    <cellStyle name="20% - Accent5 11 10" xfId="18288"/>
    <cellStyle name="20% - Accent5 11 2" xfId="3079"/>
    <cellStyle name="20% - Accent5 11 2 2" xfId="3080"/>
    <cellStyle name="20% - Accent5 11 2 2 2" xfId="3081"/>
    <cellStyle name="20% - Accent5 11 2 2 2 2" xfId="14340"/>
    <cellStyle name="20% - Accent5 11 2 2 2 3" xfId="18291"/>
    <cellStyle name="20% - Accent5 11 2 2 3" xfId="3082"/>
    <cellStyle name="20% - Accent5 11 2 2 3 2" xfId="14341"/>
    <cellStyle name="20% - Accent5 11 2 2 3 3" xfId="18292"/>
    <cellStyle name="20% - Accent5 11 2 2 4" xfId="14339"/>
    <cellStyle name="20% - Accent5 11 2 2 5" xfId="18290"/>
    <cellStyle name="20% - Accent5 11 2 3" xfId="3083"/>
    <cellStyle name="20% - Accent5 11 2 3 2" xfId="3084"/>
    <cellStyle name="20% - Accent5 11 2 3 2 2" xfId="14343"/>
    <cellStyle name="20% - Accent5 11 2 3 2 3" xfId="18294"/>
    <cellStyle name="20% - Accent5 11 2 3 3" xfId="3085"/>
    <cellStyle name="20% - Accent5 11 2 3 3 2" xfId="14344"/>
    <cellStyle name="20% - Accent5 11 2 3 3 3" xfId="18295"/>
    <cellStyle name="20% - Accent5 11 2 3 4" xfId="14342"/>
    <cellStyle name="20% - Accent5 11 2 3 5" xfId="18293"/>
    <cellStyle name="20% - Accent5 11 2 4" xfId="3086"/>
    <cellStyle name="20% - Accent5 11 2 4 2" xfId="3087"/>
    <cellStyle name="20% - Accent5 11 2 4 2 2" xfId="14346"/>
    <cellStyle name="20% - Accent5 11 2 4 2 3" xfId="18297"/>
    <cellStyle name="20% - Accent5 11 2 4 3" xfId="3088"/>
    <cellStyle name="20% - Accent5 11 2 4 3 2" xfId="14347"/>
    <cellStyle name="20% - Accent5 11 2 4 3 3" xfId="18298"/>
    <cellStyle name="20% - Accent5 11 2 4 4" xfId="14345"/>
    <cellStyle name="20% - Accent5 11 2 4 5" xfId="18296"/>
    <cellStyle name="20% - Accent5 11 2 5" xfId="3089"/>
    <cellStyle name="20% - Accent5 11 2 5 2" xfId="14348"/>
    <cellStyle name="20% - Accent5 11 2 5 3" xfId="18299"/>
    <cellStyle name="20% - Accent5 11 2 6" xfId="3090"/>
    <cellStyle name="20% - Accent5 11 2 6 2" xfId="14349"/>
    <cellStyle name="20% - Accent5 11 2 6 3" xfId="18300"/>
    <cellStyle name="20% - Accent5 11 2 7" xfId="14338"/>
    <cellStyle name="20% - Accent5 11 2 8" xfId="18289"/>
    <cellStyle name="20% - Accent5 11 2_Volatility" xfId="3091"/>
    <cellStyle name="20% - Accent5 11 3" xfId="3092"/>
    <cellStyle name="20% - Accent5 11 3 2" xfId="3093"/>
    <cellStyle name="20% - Accent5 11 3 2 2" xfId="3094"/>
    <cellStyle name="20% - Accent5 11 3 2 2 2" xfId="14352"/>
    <cellStyle name="20% - Accent5 11 3 2 2 3" xfId="18303"/>
    <cellStyle name="20% - Accent5 11 3 2 3" xfId="3095"/>
    <cellStyle name="20% - Accent5 11 3 2 3 2" xfId="14353"/>
    <cellStyle name="20% - Accent5 11 3 2 3 3" xfId="18304"/>
    <cellStyle name="20% - Accent5 11 3 2 4" xfId="14351"/>
    <cellStyle name="20% - Accent5 11 3 2 5" xfId="18302"/>
    <cellStyle name="20% - Accent5 11 3 3" xfId="3096"/>
    <cellStyle name="20% - Accent5 11 3 3 2" xfId="3097"/>
    <cellStyle name="20% - Accent5 11 3 3 2 2" xfId="14355"/>
    <cellStyle name="20% - Accent5 11 3 3 2 3" xfId="18306"/>
    <cellStyle name="20% - Accent5 11 3 3 3" xfId="3098"/>
    <cellStyle name="20% - Accent5 11 3 3 3 2" xfId="14356"/>
    <cellStyle name="20% - Accent5 11 3 3 3 3" xfId="18307"/>
    <cellStyle name="20% - Accent5 11 3 3 4" xfId="14354"/>
    <cellStyle name="20% - Accent5 11 3 3 5" xfId="18305"/>
    <cellStyle name="20% - Accent5 11 3 4" xfId="3099"/>
    <cellStyle name="20% - Accent5 11 3 4 2" xfId="14357"/>
    <cellStyle name="20% - Accent5 11 3 4 3" xfId="18308"/>
    <cellStyle name="20% - Accent5 11 3 5" xfId="3100"/>
    <cellStyle name="20% - Accent5 11 3 5 2" xfId="14358"/>
    <cellStyle name="20% - Accent5 11 3 5 3" xfId="18309"/>
    <cellStyle name="20% - Accent5 11 3 6" xfId="14350"/>
    <cellStyle name="20% - Accent5 11 3 7" xfId="18301"/>
    <cellStyle name="20% - Accent5 11 3_Volatility" xfId="3101"/>
    <cellStyle name="20% - Accent5 11 4" xfId="3102"/>
    <cellStyle name="20% - Accent5 11 4 2" xfId="3103"/>
    <cellStyle name="20% - Accent5 11 4 2 2" xfId="14360"/>
    <cellStyle name="20% - Accent5 11 4 2 3" xfId="18311"/>
    <cellStyle name="20% - Accent5 11 4 3" xfId="3104"/>
    <cellStyle name="20% - Accent5 11 4 3 2" xfId="14361"/>
    <cellStyle name="20% - Accent5 11 4 3 3" xfId="18312"/>
    <cellStyle name="20% - Accent5 11 4 4" xfId="14359"/>
    <cellStyle name="20% - Accent5 11 4 5" xfId="18310"/>
    <cellStyle name="20% - Accent5 11 5" xfId="3105"/>
    <cellStyle name="20% - Accent5 11 5 2" xfId="3106"/>
    <cellStyle name="20% - Accent5 11 5 2 2" xfId="14363"/>
    <cellStyle name="20% - Accent5 11 5 2 3" xfId="18314"/>
    <cellStyle name="20% - Accent5 11 5 3" xfId="3107"/>
    <cellStyle name="20% - Accent5 11 5 3 2" xfId="14364"/>
    <cellStyle name="20% - Accent5 11 5 3 3" xfId="18315"/>
    <cellStyle name="20% - Accent5 11 5 4" xfId="14362"/>
    <cellStyle name="20% - Accent5 11 5 5" xfId="18313"/>
    <cellStyle name="20% - Accent5 11 6" xfId="3108"/>
    <cellStyle name="20% - Accent5 11 6 2" xfId="3109"/>
    <cellStyle name="20% - Accent5 11 6 2 2" xfId="14366"/>
    <cellStyle name="20% - Accent5 11 6 2 3" xfId="18317"/>
    <cellStyle name="20% - Accent5 11 6 3" xfId="3110"/>
    <cellStyle name="20% - Accent5 11 6 3 2" xfId="14367"/>
    <cellStyle name="20% - Accent5 11 6 3 3" xfId="18318"/>
    <cellStyle name="20% - Accent5 11 6 4" xfId="14365"/>
    <cellStyle name="20% - Accent5 11 6 5" xfId="18316"/>
    <cellStyle name="20% - Accent5 11 7" xfId="3111"/>
    <cellStyle name="20% - Accent5 11 7 2" xfId="14368"/>
    <cellStyle name="20% - Accent5 11 7 3" xfId="18319"/>
    <cellStyle name="20% - Accent5 11 8" xfId="3112"/>
    <cellStyle name="20% - Accent5 11 8 2" xfId="14369"/>
    <cellStyle name="20% - Accent5 11 8 3" xfId="18320"/>
    <cellStyle name="20% - Accent5 11 9" xfId="14337"/>
    <cellStyle name="20% - Accent5 11_Volatility" xfId="3113"/>
    <cellStyle name="20% - Accent5 12" xfId="3114"/>
    <cellStyle name="20% - Accent5 12 10" xfId="18321"/>
    <cellStyle name="20% - Accent5 12 2" xfId="3115"/>
    <cellStyle name="20% - Accent5 12 2 2" xfId="3116"/>
    <cellStyle name="20% - Accent5 12 2 2 2" xfId="3117"/>
    <cellStyle name="20% - Accent5 12 2 2 2 2" xfId="14373"/>
    <cellStyle name="20% - Accent5 12 2 2 2 3" xfId="18324"/>
    <cellStyle name="20% - Accent5 12 2 2 3" xfId="3118"/>
    <cellStyle name="20% - Accent5 12 2 2 3 2" xfId="14374"/>
    <cellStyle name="20% - Accent5 12 2 2 3 3" xfId="18325"/>
    <cellStyle name="20% - Accent5 12 2 2 4" xfId="14372"/>
    <cellStyle name="20% - Accent5 12 2 2 5" xfId="18323"/>
    <cellStyle name="20% - Accent5 12 2 3" xfId="3119"/>
    <cellStyle name="20% - Accent5 12 2 3 2" xfId="3120"/>
    <cellStyle name="20% - Accent5 12 2 3 2 2" xfId="14376"/>
    <cellStyle name="20% - Accent5 12 2 3 2 3" xfId="18327"/>
    <cellStyle name="20% - Accent5 12 2 3 3" xfId="3121"/>
    <cellStyle name="20% - Accent5 12 2 3 3 2" xfId="14377"/>
    <cellStyle name="20% - Accent5 12 2 3 3 3" xfId="18328"/>
    <cellStyle name="20% - Accent5 12 2 3 4" xfId="14375"/>
    <cellStyle name="20% - Accent5 12 2 3 5" xfId="18326"/>
    <cellStyle name="20% - Accent5 12 2 4" xfId="3122"/>
    <cellStyle name="20% - Accent5 12 2 4 2" xfId="3123"/>
    <cellStyle name="20% - Accent5 12 2 4 2 2" xfId="14379"/>
    <cellStyle name="20% - Accent5 12 2 4 2 3" xfId="18330"/>
    <cellStyle name="20% - Accent5 12 2 4 3" xfId="3124"/>
    <cellStyle name="20% - Accent5 12 2 4 3 2" xfId="14380"/>
    <cellStyle name="20% - Accent5 12 2 4 3 3" xfId="18331"/>
    <cellStyle name="20% - Accent5 12 2 4 4" xfId="14378"/>
    <cellStyle name="20% - Accent5 12 2 4 5" xfId="18329"/>
    <cellStyle name="20% - Accent5 12 2 5" xfId="3125"/>
    <cellStyle name="20% - Accent5 12 2 5 2" xfId="14381"/>
    <cellStyle name="20% - Accent5 12 2 5 3" xfId="18332"/>
    <cellStyle name="20% - Accent5 12 2 6" xfId="3126"/>
    <cellStyle name="20% - Accent5 12 2 6 2" xfId="14382"/>
    <cellStyle name="20% - Accent5 12 2 6 3" xfId="18333"/>
    <cellStyle name="20% - Accent5 12 2 7" xfId="14371"/>
    <cellStyle name="20% - Accent5 12 2 8" xfId="18322"/>
    <cellStyle name="20% - Accent5 12 2_Volatility" xfId="3127"/>
    <cellStyle name="20% - Accent5 12 3" xfId="3128"/>
    <cellStyle name="20% - Accent5 12 3 2" xfId="3129"/>
    <cellStyle name="20% - Accent5 12 3 2 2" xfId="3130"/>
    <cellStyle name="20% - Accent5 12 3 2 2 2" xfId="14385"/>
    <cellStyle name="20% - Accent5 12 3 2 2 3" xfId="18336"/>
    <cellStyle name="20% - Accent5 12 3 2 3" xfId="3131"/>
    <cellStyle name="20% - Accent5 12 3 2 3 2" xfId="14386"/>
    <cellStyle name="20% - Accent5 12 3 2 3 3" xfId="18337"/>
    <cellStyle name="20% - Accent5 12 3 2 4" xfId="14384"/>
    <cellStyle name="20% - Accent5 12 3 2 5" xfId="18335"/>
    <cellStyle name="20% - Accent5 12 3 3" xfId="3132"/>
    <cellStyle name="20% - Accent5 12 3 3 2" xfId="3133"/>
    <cellStyle name="20% - Accent5 12 3 3 2 2" xfId="14388"/>
    <cellStyle name="20% - Accent5 12 3 3 2 3" xfId="18339"/>
    <cellStyle name="20% - Accent5 12 3 3 3" xfId="3134"/>
    <cellStyle name="20% - Accent5 12 3 3 3 2" xfId="14389"/>
    <cellStyle name="20% - Accent5 12 3 3 3 3" xfId="18340"/>
    <cellStyle name="20% - Accent5 12 3 3 4" xfId="14387"/>
    <cellStyle name="20% - Accent5 12 3 3 5" xfId="18338"/>
    <cellStyle name="20% - Accent5 12 3 4" xfId="3135"/>
    <cellStyle name="20% - Accent5 12 3 4 2" xfId="14390"/>
    <cellStyle name="20% - Accent5 12 3 4 3" xfId="18341"/>
    <cellStyle name="20% - Accent5 12 3 5" xfId="3136"/>
    <cellStyle name="20% - Accent5 12 3 5 2" xfId="14391"/>
    <cellStyle name="20% - Accent5 12 3 5 3" xfId="18342"/>
    <cellStyle name="20% - Accent5 12 3 6" xfId="14383"/>
    <cellStyle name="20% - Accent5 12 3 7" xfId="18334"/>
    <cellStyle name="20% - Accent5 12 3_Volatility" xfId="3137"/>
    <cellStyle name="20% - Accent5 12 4" xfId="3138"/>
    <cellStyle name="20% - Accent5 12 4 2" xfId="3139"/>
    <cellStyle name="20% - Accent5 12 4 2 2" xfId="14393"/>
    <cellStyle name="20% - Accent5 12 4 2 3" xfId="18344"/>
    <cellStyle name="20% - Accent5 12 4 3" xfId="3140"/>
    <cellStyle name="20% - Accent5 12 4 3 2" xfId="14394"/>
    <cellStyle name="20% - Accent5 12 4 3 3" xfId="18345"/>
    <cellStyle name="20% - Accent5 12 4 4" xfId="14392"/>
    <cellStyle name="20% - Accent5 12 4 5" xfId="18343"/>
    <cellStyle name="20% - Accent5 12 5" xfId="3141"/>
    <cellStyle name="20% - Accent5 12 5 2" xfId="3142"/>
    <cellStyle name="20% - Accent5 12 5 2 2" xfId="14396"/>
    <cellStyle name="20% - Accent5 12 5 2 3" xfId="18347"/>
    <cellStyle name="20% - Accent5 12 5 3" xfId="3143"/>
    <cellStyle name="20% - Accent5 12 5 3 2" xfId="14397"/>
    <cellStyle name="20% - Accent5 12 5 3 3" xfId="18348"/>
    <cellStyle name="20% - Accent5 12 5 4" xfId="14395"/>
    <cellStyle name="20% - Accent5 12 5 5" xfId="18346"/>
    <cellStyle name="20% - Accent5 12 6" xfId="3144"/>
    <cellStyle name="20% - Accent5 12 6 2" xfId="3145"/>
    <cellStyle name="20% - Accent5 12 6 2 2" xfId="14399"/>
    <cellStyle name="20% - Accent5 12 6 2 3" xfId="18350"/>
    <cellStyle name="20% - Accent5 12 6 3" xfId="3146"/>
    <cellStyle name="20% - Accent5 12 6 3 2" xfId="14400"/>
    <cellStyle name="20% - Accent5 12 6 3 3" xfId="18351"/>
    <cellStyle name="20% - Accent5 12 6 4" xfId="14398"/>
    <cellStyle name="20% - Accent5 12 6 5" xfId="18349"/>
    <cellStyle name="20% - Accent5 12 7" xfId="3147"/>
    <cellStyle name="20% - Accent5 12 7 2" xfId="14401"/>
    <cellStyle name="20% - Accent5 12 7 3" xfId="18352"/>
    <cellStyle name="20% - Accent5 12 8" xfId="3148"/>
    <cellStyle name="20% - Accent5 12 8 2" xfId="14402"/>
    <cellStyle name="20% - Accent5 12 8 3" xfId="18353"/>
    <cellStyle name="20% - Accent5 12 9" xfId="14370"/>
    <cellStyle name="20% - Accent5 12_Volatility" xfId="3149"/>
    <cellStyle name="20% - Accent5 13" xfId="3150"/>
    <cellStyle name="20% - Accent5 13 10" xfId="18354"/>
    <cellStyle name="20% - Accent5 13 2" xfId="3151"/>
    <cellStyle name="20% - Accent5 13 2 2" xfId="3152"/>
    <cellStyle name="20% - Accent5 13 2 2 2" xfId="3153"/>
    <cellStyle name="20% - Accent5 13 2 2 2 2" xfId="14406"/>
    <cellStyle name="20% - Accent5 13 2 2 2 3" xfId="18357"/>
    <cellStyle name="20% - Accent5 13 2 2 3" xfId="3154"/>
    <cellStyle name="20% - Accent5 13 2 2 3 2" xfId="14407"/>
    <cellStyle name="20% - Accent5 13 2 2 3 3" xfId="18358"/>
    <cellStyle name="20% - Accent5 13 2 2 4" xfId="14405"/>
    <cellStyle name="20% - Accent5 13 2 2 5" xfId="18356"/>
    <cellStyle name="20% - Accent5 13 2 3" xfId="3155"/>
    <cellStyle name="20% - Accent5 13 2 3 2" xfId="3156"/>
    <cellStyle name="20% - Accent5 13 2 3 2 2" xfId="14409"/>
    <cellStyle name="20% - Accent5 13 2 3 2 3" xfId="18360"/>
    <cellStyle name="20% - Accent5 13 2 3 3" xfId="3157"/>
    <cellStyle name="20% - Accent5 13 2 3 3 2" xfId="14410"/>
    <cellStyle name="20% - Accent5 13 2 3 3 3" xfId="18361"/>
    <cellStyle name="20% - Accent5 13 2 3 4" xfId="14408"/>
    <cellStyle name="20% - Accent5 13 2 3 5" xfId="18359"/>
    <cellStyle name="20% - Accent5 13 2 4" xfId="3158"/>
    <cellStyle name="20% - Accent5 13 2 4 2" xfId="3159"/>
    <cellStyle name="20% - Accent5 13 2 4 2 2" xfId="14412"/>
    <cellStyle name="20% - Accent5 13 2 4 2 3" xfId="18363"/>
    <cellStyle name="20% - Accent5 13 2 4 3" xfId="3160"/>
    <cellStyle name="20% - Accent5 13 2 4 3 2" xfId="14413"/>
    <cellStyle name="20% - Accent5 13 2 4 3 3" xfId="18364"/>
    <cellStyle name="20% - Accent5 13 2 4 4" xfId="14411"/>
    <cellStyle name="20% - Accent5 13 2 4 5" xfId="18362"/>
    <cellStyle name="20% - Accent5 13 2 5" xfId="3161"/>
    <cellStyle name="20% - Accent5 13 2 5 2" xfId="14414"/>
    <cellStyle name="20% - Accent5 13 2 5 3" xfId="18365"/>
    <cellStyle name="20% - Accent5 13 2 6" xfId="3162"/>
    <cellStyle name="20% - Accent5 13 2 6 2" xfId="14415"/>
    <cellStyle name="20% - Accent5 13 2 6 3" xfId="18366"/>
    <cellStyle name="20% - Accent5 13 2 7" xfId="14404"/>
    <cellStyle name="20% - Accent5 13 2 8" xfId="18355"/>
    <cellStyle name="20% - Accent5 13 2_Volatility" xfId="3163"/>
    <cellStyle name="20% - Accent5 13 3" xfId="3164"/>
    <cellStyle name="20% - Accent5 13 3 2" xfId="3165"/>
    <cellStyle name="20% - Accent5 13 3 2 2" xfId="3166"/>
    <cellStyle name="20% - Accent5 13 3 2 2 2" xfId="14418"/>
    <cellStyle name="20% - Accent5 13 3 2 2 3" xfId="18369"/>
    <cellStyle name="20% - Accent5 13 3 2 3" xfId="3167"/>
    <cellStyle name="20% - Accent5 13 3 2 3 2" xfId="14419"/>
    <cellStyle name="20% - Accent5 13 3 2 3 3" xfId="18370"/>
    <cellStyle name="20% - Accent5 13 3 2 4" xfId="14417"/>
    <cellStyle name="20% - Accent5 13 3 2 5" xfId="18368"/>
    <cellStyle name="20% - Accent5 13 3 3" xfId="3168"/>
    <cellStyle name="20% - Accent5 13 3 3 2" xfId="3169"/>
    <cellStyle name="20% - Accent5 13 3 3 2 2" xfId="14421"/>
    <cellStyle name="20% - Accent5 13 3 3 2 3" xfId="18372"/>
    <cellStyle name="20% - Accent5 13 3 3 3" xfId="3170"/>
    <cellStyle name="20% - Accent5 13 3 3 3 2" xfId="14422"/>
    <cellStyle name="20% - Accent5 13 3 3 3 3" xfId="18373"/>
    <cellStyle name="20% - Accent5 13 3 3 4" xfId="14420"/>
    <cellStyle name="20% - Accent5 13 3 3 5" xfId="18371"/>
    <cellStyle name="20% - Accent5 13 3 4" xfId="3171"/>
    <cellStyle name="20% - Accent5 13 3 4 2" xfId="14423"/>
    <cellStyle name="20% - Accent5 13 3 4 3" xfId="18374"/>
    <cellStyle name="20% - Accent5 13 3 5" xfId="3172"/>
    <cellStyle name="20% - Accent5 13 3 5 2" xfId="14424"/>
    <cellStyle name="20% - Accent5 13 3 5 3" xfId="18375"/>
    <cellStyle name="20% - Accent5 13 3 6" xfId="14416"/>
    <cellStyle name="20% - Accent5 13 3 7" xfId="18367"/>
    <cellStyle name="20% - Accent5 13 3_Volatility" xfId="3173"/>
    <cellStyle name="20% - Accent5 13 4" xfId="3174"/>
    <cellStyle name="20% - Accent5 13 4 2" xfId="3175"/>
    <cellStyle name="20% - Accent5 13 4 2 2" xfId="14426"/>
    <cellStyle name="20% - Accent5 13 4 2 3" xfId="18377"/>
    <cellStyle name="20% - Accent5 13 4 3" xfId="3176"/>
    <cellStyle name="20% - Accent5 13 4 3 2" xfId="14427"/>
    <cellStyle name="20% - Accent5 13 4 3 3" xfId="18378"/>
    <cellStyle name="20% - Accent5 13 4 4" xfId="14425"/>
    <cellStyle name="20% - Accent5 13 4 5" xfId="18376"/>
    <cellStyle name="20% - Accent5 13 5" xfId="3177"/>
    <cellStyle name="20% - Accent5 13 5 2" xfId="3178"/>
    <cellStyle name="20% - Accent5 13 5 2 2" xfId="14429"/>
    <cellStyle name="20% - Accent5 13 5 2 3" xfId="18380"/>
    <cellStyle name="20% - Accent5 13 5 3" xfId="3179"/>
    <cellStyle name="20% - Accent5 13 5 3 2" xfId="14430"/>
    <cellStyle name="20% - Accent5 13 5 3 3" xfId="18381"/>
    <cellStyle name="20% - Accent5 13 5 4" xfId="14428"/>
    <cellStyle name="20% - Accent5 13 5 5" xfId="18379"/>
    <cellStyle name="20% - Accent5 13 6" xfId="3180"/>
    <cellStyle name="20% - Accent5 13 6 2" xfId="3181"/>
    <cellStyle name="20% - Accent5 13 6 2 2" xfId="14432"/>
    <cellStyle name="20% - Accent5 13 6 2 3" xfId="18383"/>
    <cellStyle name="20% - Accent5 13 6 3" xfId="3182"/>
    <cellStyle name="20% - Accent5 13 6 3 2" xfId="14433"/>
    <cellStyle name="20% - Accent5 13 6 3 3" xfId="18384"/>
    <cellStyle name="20% - Accent5 13 6 4" xfId="14431"/>
    <cellStyle name="20% - Accent5 13 6 5" xfId="18382"/>
    <cellStyle name="20% - Accent5 13 7" xfId="3183"/>
    <cellStyle name="20% - Accent5 13 7 2" xfId="14434"/>
    <cellStyle name="20% - Accent5 13 7 3" xfId="18385"/>
    <cellStyle name="20% - Accent5 13 8" xfId="3184"/>
    <cellStyle name="20% - Accent5 13 8 2" xfId="14435"/>
    <cellStyle name="20% - Accent5 13 8 3" xfId="18386"/>
    <cellStyle name="20% - Accent5 13 9" xfId="14403"/>
    <cellStyle name="20% - Accent5 13_Volatility" xfId="3185"/>
    <cellStyle name="20% - Accent5 14" xfId="3186"/>
    <cellStyle name="20% - Accent5 14 10" xfId="18387"/>
    <cellStyle name="20% - Accent5 14 2" xfId="3187"/>
    <cellStyle name="20% - Accent5 14 2 2" xfId="3188"/>
    <cellStyle name="20% - Accent5 14 2 2 2" xfId="3189"/>
    <cellStyle name="20% - Accent5 14 2 2 2 2" xfId="14439"/>
    <cellStyle name="20% - Accent5 14 2 2 2 3" xfId="18390"/>
    <cellStyle name="20% - Accent5 14 2 2 3" xfId="3190"/>
    <cellStyle name="20% - Accent5 14 2 2 3 2" xfId="14440"/>
    <cellStyle name="20% - Accent5 14 2 2 3 3" xfId="18391"/>
    <cellStyle name="20% - Accent5 14 2 2 4" xfId="14438"/>
    <cellStyle name="20% - Accent5 14 2 2 5" xfId="18389"/>
    <cellStyle name="20% - Accent5 14 2 3" xfId="3191"/>
    <cellStyle name="20% - Accent5 14 2 3 2" xfId="3192"/>
    <cellStyle name="20% - Accent5 14 2 3 2 2" xfId="14442"/>
    <cellStyle name="20% - Accent5 14 2 3 2 3" xfId="18393"/>
    <cellStyle name="20% - Accent5 14 2 3 3" xfId="3193"/>
    <cellStyle name="20% - Accent5 14 2 3 3 2" xfId="14443"/>
    <cellStyle name="20% - Accent5 14 2 3 3 3" xfId="18394"/>
    <cellStyle name="20% - Accent5 14 2 3 4" xfId="14441"/>
    <cellStyle name="20% - Accent5 14 2 3 5" xfId="18392"/>
    <cellStyle name="20% - Accent5 14 2 4" xfId="3194"/>
    <cellStyle name="20% - Accent5 14 2 4 2" xfId="3195"/>
    <cellStyle name="20% - Accent5 14 2 4 2 2" xfId="14445"/>
    <cellStyle name="20% - Accent5 14 2 4 2 3" xfId="18396"/>
    <cellStyle name="20% - Accent5 14 2 4 3" xfId="3196"/>
    <cellStyle name="20% - Accent5 14 2 4 3 2" xfId="14446"/>
    <cellStyle name="20% - Accent5 14 2 4 3 3" xfId="18397"/>
    <cellStyle name="20% - Accent5 14 2 4 4" xfId="14444"/>
    <cellStyle name="20% - Accent5 14 2 4 5" xfId="18395"/>
    <cellStyle name="20% - Accent5 14 2 5" xfId="3197"/>
    <cellStyle name="20% - Accent5 14 2 5 2" xfId="14447"/>
    <cellStyle name="20% - Accent5 14 2 5 3" xfId="18398"/>
    <cellStyle name="20% - Accent5 14 2 6" xfId="3198"/>
    <cellStyle name="20% - Accent5 14 2 6 2" xfId="14448"/>
    <cellStyle name="20% - Accent5 14 2 6 3" xfId="18399"/>
    <cellStyle name="20% - Accent5 14 2 7" xfId="14437"/>
    <cellStyle name="20% - Accent5 14 2 8" xfId="18388"/>
    <cellStyle name="20% - Accent5 14 2_Volatility" xfId="3199"/>
    <cellStyle name="20% - Accent5 14 3" xfId="3200"/>
    <cellStyle name="20% - Accent5 14 3 2" xfId="3201"/>
    <cellStyle name="20% - Accent5 14 3 2 2" xfId="3202"/>
    <cellStyle name="20% - Accent5 14 3 2 2 2" xfId="14451"/>
    <cellStyle name="20% - Accent5 14 3 2 2 3" xfId="18402"/>
    <cellStyle name="20% - Accent5 14 3 2 3" xfId="3203"/>
    <cellStyle name="20% - Accent5 14 3 2 3 2" xfId="14452"/>
    <cellStyle name="20% - Accent5 14 3 2 3 3" xfId="18403"/>
    <cellStyle name="20% - Accent5 14 3 2 4" xfId="14450"/>
    <cellStyle name="20% - Accent5 14 3 2 5" xfId="18401"/>
    <cellStyle name="20% - Accent5 14 3 3" xfId="3204"/>
    <cellStyle name="20% - Accent5 14 3 3 2" xfId="3205"/>
    <cellStyle name="20% - Accent5 14 3 3 2 2" xfId="14454"/>
    <cellStyle name="20% - Accent5 14 3 3 2 3" xfId="18405"/>
    <cellStyle name="20% - Accent5 14 3 3 3" xfId="3206"/>
    <cellStyle name="20% - Accent5 14 3 3 3 2" xfId="14455"/>
    <cellStyle name="20% - Accent5 14 3 3 3 3" xfId="18406"/>
    <cellStyle name="20% - Accent5 14 3 3 4" xfId="14453"/>
    <cellStyle name="20% - Accent5 14 3 3 5" xfId="18404"/>
    <cellStyle name="20% - Accent5 14 3 4" xfId="3207"/>
    <cellStyle name="20% - Accent5 14 3 4 2" xfId="14456"/>
    <cellStyle name="20% - Accent5 14 3 4 3" xfId="18407"/>
    <cellStyle name="20% - Accent5 14 3 5" xfId="3208"/>
    <cellStyle name="20% - Accent5 14 3 5 2" xfId="14457"/>
    <cellStyle name="20% - Accent5 14 3 5 3" xfId="18408"/>
    <cellStyle name="20% - Accent5 14 3 6" xfId="14449"/>
    <cellStyle name="20% - Accent5 14 3 7" xfId="18400"/>
    <cellStyle name="20% - Accent5 14 3_Volatility" xfId="3209"/>
    <cellStyle name="20% - Accent5 14 4" xfId="3210"/>
    <cellStyle name="20% - Accent5 14 4 2" xfId="3211"/>
    <cellStyle name="20% - Accent5 14 4 2 2" xfId="14459"/>
    <cellStyle name="20% - Accent5 14 4 2 3" xfId="18410"/>
    <cellStyle name="20% - Accent5 14 4 3" xfId="3212"/>
    <cellStyle name="20% - Accent5 14 4 3 2" xfId="14460"/>
    <cellStyle name="20% - Accent5 14 4 3 3" xfId="18411"/>
    <cellStyle name="20% - Accent5 14 4 4" xfId="14458"/>
    <cellStyle name="20% - Accent5 14 4 5" xfId="18409"/>
    <cellStyle name="20% - Accent5 14 5" xfId="3213"/>
    <cellStyle name="20% - Accent5 14 5 2" xfId="3214"/>
    <cellStyle name="20% - Accent5 14 5 2 2" xfId="14462"/>
    <cellStyle name="20% - Accent5 14 5 2 3" xfId="18413"/>
    <cellStyle name="20% - Accent5 14 5 3" xfId="3215"/>
    <cellStyle name="20% - Accent5 14 5 3 2" xfId="14463"/>
    <cellStyle name="20% - Accent5 14 5 3 3" xfId="18414"/>
    <cellStyle name="20% - Accent5 14 5 4" xfId="14461"/>
    <cellStyle name="20% - Accent5 14 5 5" xfId="18412"/>
    <cellStyle name="20% - Accent5 14 6" xfId="3216"/>
    <cellStyle name="20% - Accent5 14 6 2" xfId="3217"/>
    <cellStyle name="20% - Accent5 14 6 2 2" xfId="14465"/>
    <cellStyle name="20% - Accent5 14 6 2 3" xfId="18416"/>
    <cellStyle name="20% - Accent5 14 6 3" xfId="3218"/>
    <cellStyle name="20% - Accent5 14 6 3 2" xfId="14466"/>
    <cellStyle name="20% - Accent5 14 6 3 3" xfId="18417"/>
    <cellStyle name="20% - Accent5 14 6 4" xfId="14464"/>
    <cellStyle name="20% - Accent5 14 6 5" xfId="18415"/>
    <cellStyle name="20% - Accent5 14 7" xfId="3219"/>
    <cellStyle name="20% - Accent5 14 7 2" xfId="14467"/>
    <cellStyle name="20% - Accent5 14 7 3" xfId="18418"/>
    <cellStyle name="20% - Accent5 14 8" xfId="3220"/>
    <cellStyle name="20% - Accent5 14 8 2" xfId="14468"/>
    <cellStyle name="20% - Accent5 14 8 3" xfId="18419"/>
    <cellStyle name="20% - Accent5 14 9" xfId="14436"/>
    <cellStyle name="20% - Accent5 14_Volatility" xfId="3221"/>
    <cellStyle name="20% - Accent5 15" xfId="3222"/>
    <cellStyle name="20% - Accent5 15 10" xfId="18420"/>
    <cellStyle name="20% - Accent5 15 2" xfId="3223"/>
    <cellStyle name="20% - Accent5 15 2 2" xfId="3224"/>
    <cellStyle name="20% - Accent5 15 2 2 2" xfId="3225"/>
    <cellStyle name="20% - Accent5 15 2 2 2 2" xfId="14472"/>
    <cellStyle name="20% - Accent5 15 2 2 2 3" xfId="18423"/>
    <cellStyle name="20% - Accent5 15 2 2 3" xfId="3226"/>
    <cellStyle name="20% - Accent5 15 2 2 3 2" xfId="14473"/>
    <cellStyle name="20% - Accent5 15 2 2 3 3" xfId="18424"/>
    <cellStyle name="20% - Accent5 15 2 2 4" xfId="14471"/>
    <cellStyle name="20% - Accent5 15 2 2 5" xfId="18422"/>
    <cellStyle name="20% - Accent5 15 2 3" xfId="3227"/>
    <cellStyle name="20% - Accent5 15 2 3 2" xfId="3228"/>
    <cellStyle name="20% - Accent5 15 2 3 2 2" xfId="14475"/>
    <cellStyle name="20% - Accent5 15 2 3 2 3" xfId="18426"/>
    <cellStyle name="20% - Accent5 15 2 3 3" xfId="3229"/>
    <cellStyle name="20% - Accent5 15 2 3 3 2" xfId="14476"/>
    <cellStyle name="20% - Accent5 15 2 3 3 3" xfId="18427"/>
    <cellStyle name="20% - Accent5 15 2 3 4" xfId="14474"/>
    <cellStyle name="20% - Accent5 15 2 3 5" xfId="18425"/>
    <cellStyle name="20% - Accent5 15 2 4" xfId="3230"/>
    <cellStyle name="20% - Accent5 15 2 4 2" xfId="3231"/>
    <cellStyle name="20% - Accent5 15 2 4 2 2" xfId="14478"/>
    <cellStyle name="20% - Accent5 15 2 4 2 3" xfId="18429"/>
    <cellStyle name="20% - Accent5 15 2 4 3" xfId="3232"/>
    <cellStyle name="20% - Accent5 15 2 4 3 2" xfId="14479"/>
    <cellStyle name="20% - Accent5 15 2 4 3 3" xfId="18430"/>
    <cellStyle name="20% - Accent5 15 2 4 4" xfId="14477"/>
    <cellStyle name="20% - Accent5 15 2 4 5" xfId="18428"/>
    <cellStyle name="20% - Accent5 15 2 5" xfId="3233"/>
    <cellStyle name="20% - Accent5 15 2 5 2" xfId="14480"/>
    <cellStyle name="20% - Accent5 15 2 5 3" xfId="18431"/>
    <cellStyle name="20% - Accent5 15 2 6" xfId="3234"/>
    <cellStyle name="20% - Accent5 15 2 6 2" xfId="14481"/>
    <cellStyle name="20% - Accent5 15 2 6 3" xfId="18432"/>
    <cellStyle name="20% - Accent5 15 2 7" xfId="14470"/>
    <cellStyle name="20% - Accent5 15 2 8" xfId="18421"/>
    <cellStyle name="20% - Accent5 15 2_Volatility" xfId="3235"/>
    <cellStyle name="20% - Accent5 15 3" xfId="3236"/>
    <cellStyle name="20% - Accent5 15 3 2" xfId="3237"/>
    <cellStyle name="20% - Accent5 15 3 2 2" xfId="3238"/>
    <cellStyle name="20% - Accent5 15 3 2 2 2" xfId="14484"/>
    <cellStyle name="20% - Accent5 15 3 2 2 3" xfId="18435"/>
    <cellStyle name="20% - Accent5 15 3 2 3" xfId="3239"/>
    <cellStyle name="20% - Accent5 15 3 2 3 2" xfId="14485"/>
    <cellStyle name="20% - Accent5 15 3 2 3 3" xfId="18436"/>
    <cellStyle name="20% - Accent5 15 3 2 4" xfId="14483"/>
    <cellStyle name="20% - Accent5 15 3 2 5" xfId="18434"/>
    <cellStyle name="20% - Accent5 15 3 3" xfId="3240"/>
    <cellStyle name="20% - Accent5 15 3 3 2" xfId="3241"/>
    <cellStyle name="20% - Accent5 15 3 3 2 2" xfId="14487"/>
    <cellStyle name="20% - Accent5 15 3 3 2 3" xfId="18438"/>
    <cellStyle name="20% - Accent5 15 3 3 3" xfId="3242"/>
    <cellStyle name="20% - Accent5 15 3 3 3 2" xfId="14488"/>
    <cellStyle name="20% - Accent5 15 3 3 3 3" xfId="18439"/>
    <cellStyle name="20% - Accent5 15 3 3 4" xfId="14486"/>
    <cellStyle name="20% - Accent5 15 3 3 5" xfId="18437"/>
    <cellStyle name="20% - Accent5 15 3 4" xfId="3243"/>
    <cellStyle name="20% - Accent5 15 3 4 2" xfId="14489"/>
    <cellStyle name="20% - Accent5 15 3 4 3" xfId="18440"/>
    <cellStyle name="20% - Accent5 15 3 5" xfId="3244"/>
    <cellStyle name="20% - Accent5 15 3 5 2" xfId="14490"/>
    <cellStyle name="20% - Accent5 15 3 5 3" xfId="18441"/>
    <cellStyle name="20% - Accent5 15 3 6" xfId="14482"/>
    <cellStyle name="20% - Accent5 15 3 7" xfId="18433"/>
    <cellStyle name="20% - Accent5 15 3_Volatility" xfId="3245"/>
    <cellStyle name="20% - Accent5 15 4" xfId="3246"/>
    <cellStyle name="20% - Accent5 15 4 2" xfId="3247"/>
    <cellStyle name="20% - Accent5 15 4 2 2" xfId="14492"/>
    <cellStyle name="20% - Accent5 15 4 2 3" xfId="18443"/>
    <cellStyle name="20% - Accent5 15 4 3" xfId="3248"/>
    <cellStyle name="20% - Accent5 15 4 3 2" xfId="14493"/>
    <cellStyle name="20% - Accent5 15 4 3 3" xfId="18444"/>
    <cellStyle name="20% - Accent5 15 4 4" xfId="14491"/>
    <cellStyle name="20% - Accent5 15 4 5" xfId="18442"/>
    <cellStyle name="20% - Accent5 15 5" xfId="3249"/>
    <cellStyle name="20% - Accent5 15 5 2" xfId="3250"/>
    <cellStyle name="20% - Accent5 15 5 2 2" xfId="14495"/>
    <cellStyle name="20% - Accent5 15 5 2 3" xfId="18446"/>
    <cellStyle name="20% - Accent5 15 5 3" xfId="3251"/>
    <cellStyle name="20% - Accent5 15 5 3 2" xfId="14496"/>
    <cellStyle name="20% - Accent5 15 5 3 3" xfId="18447"/>
    <cellStyle name="20% - Accent5 15 5 4" xfId="14494"/>
    <cellStyle name="20% - Accent5 15 5 5" xfId="18445"/>
    <cellStyle name="20% - Accent5 15 6" xfId="3252"/>
    <cellStyle name="20% - Accent5 15 6 2" xfId="3253"/>
    <cellStyle name="20% - Accent5 15 6 2 2" xfId="14498"/>
    <cellStyle name="20% - Accent5 15 6 2 3" xfId="18449"/>
    <cellStyle name="20% - Accent5 15 6 3" xfId="3254"/>
    <cellStyle name="20% - Accent5 15 6 3 2" xfId="14499"/>
    <cellStyle name="20% - Accent5 15 6 3 3" xfId="18450"/>
    <cellStyle name="20% - Accent5 15 6 4" xfId="14497"/>
    <cellStyle name="20% - Accent5 15 6 5" xfId="18448"/>
    <cellStyle name="20% - Accent5 15 7" xfId="3255"/>
    <cellStyle name="20% - Accent5 15 7 2" xfId="14500"/>
    <cellStyle name="20% - Accent5 15 7 3" xfId="18451"/>
    <cellStyle name="20% - Accent5 15 8" xfId="3256"/>
    <cellStyle name="20% - Accent5 15 8 2" xfId="14501"/>
    <cellStyle name="20% - Accent5 15 8 3" xfId="18452"/>
    <cellStyle name="20% - Accent5 15 9" xfId="14469"/>
    <cellStyle name="20% - Accent5 15_Volatility" xfId="3257"/>
    <cellStyle name="20% - Accent5 16" xfId="3258"/>
    <cellStyle name="20% - Accent5 16 2" xfId="14502"/>
    <cellStyle name="20% - Accent5 16 3" xfId="18453"/>
    <cellStyle name="20% - Accent5 17" xfId="3259"/>
    <cellStyle name="20% - Accent5 17 2" xfId="14503"/>
    <cellStyle name="20% - Accent5 17 3" xfId="18454"/>
    <cellStyle name="20% - Accent5 18" xfId="3260"/>
    <cellStyle name="20% - Accent5 18 2" xfId="14504"/>
    <cellStyle name="20% - Accent5 18 3" xfId="18455"/>
    <cellStyle name="20% - Accent5 19" xfId="3261"/>
    <cellStyle name="20% - Accent5 19 2" xfId="14505"/>
    <cellStyle name="20% - Accent5 19 3" xfId="18456"/>
    <cellStyle name="20% - Accent5 2" xfId="3262"/>
    <cellStyle name="20% - Accent5 2 10" xfId="18457"/>
    <cellStyle name="20% - Accent5 2 2" xfId="3263"/>
    <cellStyle name="20% - Accent5 2 2 2" xfId="3264"/>
    <cellStyle name="20% - Accent5 2 2 2 2" xfId="3265"/>
    <cellStyle name="20% - Accent5 2 2 2 2 2" xfId="14509"/>
    <cellStyle name="20% - Accent5 2 2 2 2 3" xfId="18460"/>
    <cellStyle name="20% - Accent5 2 2 2 3" xfId="3266"/>
    <cellStyle name="20% - Accent5 2 2 2 3 2" xfId="14510"/>
    <cellStyle name="20% - Accent5 2 2 2 3 3" xfId="18461"/>
    <cellStyle name="20% - Accent5 2 2 2 4" xfId="14508"/>
    <cellStyle name="20% - Accent5 2 2 2 5" xfId="18459"/>
    <cellStyle name="20% - Accent5 2 2 3" xfId="3267"/>
    <cellStyle name="20% - Accent5 2 2 3 2" xfId="3268"/>
    <cellStyle name="20% - Accent5 2 2 3 2 2" xfId="14512"/>
    <cellStyle name="20% - Accent5 2 2 3 2 3" xfId="18463"/>
    <cellStyle name="20% - Accent5 2 2 3 3" xfId="3269"/>
    <cellStyle name="20% - Accent5 2 2 3 3 2" xfId="14513"/>
    <cellStyle name="20% - Accent5 2 2 3 3 3" xfId="18464"/>
    <cellStyle name="20% - Accent5 2 2 3 4" xfId="14511"/>
    <cellStyle name="20% - Accent5 2 2 3 5" xfId="18462"/>
    <cellStyle name="20% - Accent5 2 2 4" xfId="3270"/>
    <cellStyle name="20% - Accent5 2 2 4 2" xfId="3271"/>
    <cellStyle name="20% - Accent5 2 2 4 2 2" xfId="14515"/>
    <cellStyle name="20% - Accent5 2 2 4 2 3" xfId="18466"/>
    <cellStyle name="20% - Accent5 2 2 4 3" xfId="3272"/>
    <cellStyle name="20% - Accent5 2 2 4 3 2" xfId="14516"/>
    <cellStyle name="20% - Accent5 2 2 4 3 3" xfId="18467"/>
    <cellStyle name="20% - Accent5 2 2 4 4" xfId="14514"/>
    <cellStyle name="20% - Accent5 2 2 4 5" xfId="18465"/>
    <cellStyle name="20% - Accent5 2 2 5" xfId="3273"/>
    <cellStyle name="20% - Accent5 2 2 5 2" xfId="14517"/>
    <cellStyle name="20% - Accent5 2 2 5 3" xfId="18468"/>
    <cellStyle name="20% - Accent5 2 2 6" xfId="3274"/>
    <cellStyle name="20% - Accent5 2 2 6 2" xfId="14518"/>
    <cellStyle name="20% - Accent5 2 2 6 3" xfId="18469"/>
    <cellStyle name="20% - Accent5 2 2 7" xfId="14507"/>
    <cellStyle name="20% - Accent5 2 2 8" xfId="18458"/>
    <cellStyle name="20% - Accent5 2 2_Volatility" xfId="3275"/>
    <cellStyle name="20% - Accent5 2 3" xfId="3276"/>
    <cellStyle name="20% - Accent5 2 3 2" xfId="3277"/>
    <cellStyle name="20% - Accent5 2 3 2 2" xfId="3278"/>
    <cellStyle name="20% - Accent5 2 3 2 2 2" xfId="14521"/>
    <cellStyle name="20% - Accent5 2 3 2 2 3" xfId="18472"/>
    <cellStyle name="20% - Accent5 2 3 2 3" xfId="3279"/>
    <cellStyle name="20% - Accent5 2 3 2 3 2" xfId="14522"/>
    <cellStyle name="20% - Accent5 2 3 2 3 3" xfId="18473"/>
    <cellStyle name="20% - Accent5 2 3 2 4" xfId="14520"/>
    <cellStyle name="20% - Accent5 2 3 2 5" xfId="18471"/>
    <cellStyle name="20% - Accent5 2 3 3" xfId="3280"/>
    <cellStyle name="20% - Accent5 2 3 3 2" xfId="3281"/>
    <cellStyle name="20% - Accent5 2 3 3 2 2" xfId="14524"/>
    <cellStyle name="20% - Accent5 2 3 3 2 3" xfId="18475"/>
    <cellStyle name="20% - Accent5 2 3 3 3" xfId="3282"/>
    <cellStyle name="20% - Accent5 2 3 3 3 2" xfId="14525"/>
    <cellStyle name="20% - Accent5 2 3 3 3 3" xfId="18476"/>
    <cellStyle name="20% - Accent5 2 3 3 4" xfId="14523"/>
    <cellStyle name="20% - Accent5 2 3 3 5" xfId="18474"/>
    <cellStyle name="20% - Accent5 2 3 4" xfId="3283"/>
    <cellStyle name="20% - Accent5 2 3 4 2" xfId="14526"/>
    <cellStyle name="20% - Accent5 2 3 4 3" xfId="18477"/>
    <cellStyle name="20% - Accent5 2 3 5" xfId="3284"/>
    <cellStyle name="20% - Accent5 2 3 5 2" xfId="14527"/>
    <cellStyle name="20% - Accent5 2 3 5 3" xfId="18478"/>
    <cellStyle name="20% - Accent5 2 3 6" xfId="14519"/>
    <cellStyle name="20% - Accent5 2 3 7" xfId="18470"/>
    <cellStyle name="20% - Accent5 2 3_Volatility" xfId="3285"/>
    <cellStyle name="20% - Accent5 2 4" xfId="3286"/>
    <cellStyle name="20% - Accent5 2 4 2" xfId="3287"/>
    <cellStyle name="20% - Accent5 2 4 2 2" xfId="14529"/>
    <cellStyle name="20% - Accent5 2 4 2 3" xfId="18480"/>
    <cellStyle name="20% - Accent5 2 4 3" xfId="3288"/>
    <cellStyle name="20% - Accent5 2 4 3 2" xfId="14530"/>
    <cellStyle name="20% - Accent5 2 4 3 3" xfId="18481"/>
    <cellStyle name="20% - Accent5 2 4 4" xfId="14528"/>
    <cellStyle name="20% - Accent5 2 4 5" xfId="18479"/>
    <cellStyle name="20% - Accent5 2 5" xfId="3289"/>
    <cellStyle name="20% - Accent5 2 5 2" xfId="3290"/>
    <cellStyle name="20% - Accent5 2 5 2 2" xfId="14532"/>
    <cellStyle name="20% - Accent5 2 5 2 3" xfId="18483"/>
    <cellStyle name="20% - Accent5 2 5 3" xfId="3291"/>
    <cellStyle name="20% - Accent5 2 5 3 2" xfId="14533"/>
    <cellStyle name="20% - Accent5 2 5 3 3" xfId="18484"/>
    <cellStyle name="20% - Accent5 2 5 4" xfId="14531"/>
    <cellStyle name="20% - Accent5 2 5 5" xfId="18482"/>
    <cellStyle name="20% - Accent5 2 6" xfId="3292"/>
    <cellStyle name="20% - Accent5 2 6 2" xfId="3293"/>
    <cellStyle name="20% - Accent5 2 6 2 2" xfId="14535"/>
    <cellStyle name="20% - Accent5 2 6 2 3" xfId="18486"/>
    <cellStyle name="20% - Accent5 2 6 3" xfId="3294"/>
    <cellStyle name="20% - Accent5 2 6 3 2" xfId="14536"/>
    <cellStyle name="20% - Accent5 2 6 3 3" xfId="18487"/>
    <cellStyle name="20% - Accent5 2 6 4" xfId="14534"/>
    <cellStyle name="20% - Accent5 2 6 5" xfId="18485"/>
    <cellStyle name="20% - Accent5 2 7" xfId="3295"/>
    <cellStyle name="20% - Accent5 2 7 2" xfId="14537"/>
    <cellStyle name="20% - Accent5 2 7 3" xfId="18488"/>
    <cellStyle name="20% - Accent5 2 8" xfId="3296"/>
    <cellStyle name="20% - Accent5 2 8 2" xfId="14538"/>
    <cellStyle name="20% - Accent5 2 8 3" xfId="18489"/>
    <cellStyle name="20% - Accent5 2 9" xfId="14506"/>
    <cellStyle name="20% - Accent5 2_Volatility" xfId="3297"/>
    <cellStyle name="20% - Accent5 3" xfId="3298"/>
    <cellStyle name="20% - Accent5 3 10" xfId="18490"/>
    <cellStyle name="20% - Accent5 3 2" xfId="3299"/>
    <cellStyle name="20% - Accent5 3 2 2" xfId="3300"/>
    <cellStyle name="20% - Accent5 3 2 2 2" xfId="3301"/>
    <cellStyle name="20% - Accent5 3 2 2 2 2" xfId="14542"/>
    <cellStyle name="20% - Accent5 3 2 2 2 3" xfId="18493"/>
    <cellStyle name="20% - Accent5 3 2 2 3" xfId="3302"/>
    <cellStyle name="20% - Accent5 3 2 2 3 2" xfId="14543"/>
    <cellStyle name="20% - Accent5 3 2 2 3 3" xfId="18494"/>
    <cellStyle name="20% - Accent5 3 2 2 4" xfId="14541"/>
    <cellStyle name="20% - Accent5 3 2 2 5" xfId="18492"/>
    <cellStyle name="20% - Accent5 3 2 3" xfId="3303"/>
    <cellStyle name="20% - Accent5 3 2 3 2" xfId="3304"/>
    <cellStyle name="20% - Accent5 3 2 3 2 2" xfId="14545"/>
    <cellStyle name="20% - Accent5 3 2 3 2 3" xfId="18496"/>
    <cellStyle name="20% - Accent5 3 2 3 3" xfId="3305"/>
    <cellStyle name="20% - Accent5 3 2 3 3 2" xfId="14546"/>
    <cellStyle name="20% - Accent5 3 2 3 3 3" xfId="18497"/>
    <cellStyle name="20% - Accent5 3 2 3 4" xfId="14544"/>
    <cellStyle name="20% - Accent5 3 2 3 5" xfId="18495"/>
    <cellStyle name="20% - Accent5 3 2 4" xfId="3306"/>
    <cellStyle name="20% - Accent5 3 2 4 2" xfId="3307"/>
    <cellStyle name="20% - Accent5 3 2 4 2 2" xfId="14548"/>
    <cellStyle name="20% - Accent5 3 2 4 2 3" xfId="18499"/>
    <cellStyle name="20% - Accent5 3 2 4 3" xfId="3308"/>
    <cellStyle name="20% - Accent5 3 2 4 3 2" xfId="14549"/>
    <cellStyle name="20% - Accent5 3 2 4 3 3" xfId="18500"/>
    <cellStyle name="20% - Accent5 3 2 4 4" xfId="14547"/>
    <cellStyle name="20% - Accent5 3 2 4 5" xfId="18498"/>
    <cellStyle name="20% - Accent5 3 2 5" xfId="3309"/>
    <cellStyle name="20% - Accent5 3 2 5 2" xfId="14550"/>
    <cellStyle name="20% - Accent5 3 2 5 3" xfId="18501"/>
    <cellStyle name="20% - Accent5 3 2 6" xfId="3310"/>
    <cellStyle name="20% - Accent5 3 2 6 2" xfId="14551"/>
    <cellStyle name="20% - Accent5 3 2 6 3" xfId="18502"/>
    <cellStyle name="20% - Accent5 3 2 7" xfId="14540"/>
    <cellStyle name="20% - Accent5 3 2 8" xfId="18491"/>
    <cellStyle name="20% - Accent5 3 2_Volatility" xfId="3311"/>
    <cellStyle name="20% - Accent5 3 3" xfId="3312"/>
    <cellStyle name="20% - Accent5 3 3 2" xfId="3313"/>
    <cellStyle name="20% - Accent5 3 3 2 2" xfId="3314"/>
    <cellStyle name="20% - Accent5 3 3 2 2 2" xfId="14554"/>
    <cellStyle name="20% - Accent5 3 3 2 2 3" xfId="18505"/>
    <cellStyle name="20% - Accent5 3 3 2 3" xfId="3315"/>
    <cellStyle name="20% - Accent5 3 3 2 3 2" xfId="14555"/>
    <cellStyle name="20% - Accent5 3 3 2 3 3" xfId="18506"/>
    <cellStyle name="20% - Accent5 3 3 2 4" xfId="14553"/>
    <cellStyle name="20% - Accent5 3 3 2 5" xfId="18504"/>
    <cellStyle name="20% - Accent5 3 3 3" xfId="3316"/>
    <cellStyle name="20% - Accent5 3 3 3 2" xfId="3317"/>
    <cellStyle name="20% - Accent5 3 3 3 2 2" xfId="14557"/>
    <cellStyle name="20% - Accent5 3 3 3 2 3" xfId="18508"/>
    <cellStyle name="20% - Accent5 3 3 3 3" xfId="3318"/>
    <cellStyle name="20% - Accent5 3 3 3 3 2" xfId="14558"/>
    <cellStyle name="20% - Accent5 3 3 3 3 3" xfId="18509"/>
    <cellStyle name="20% - Accent5 3 3 3 4" xfId="14556"/>
    <cellStyle name="20% - Accent5 3 3 3 5" xfId="18507"/>
    <cellStyle name="20% - Accent5 3 3 4" xfId="3319"/>
    <cellStyle name="20% - Accent5 3 3 4 2" xfId="14559"/>
    <cellStyle name="20% - Accent5 3 3 4 3" xfId="18510"/>
    <cellStyle name="20% - Accent5 3 3 5" xfId="3320"/>
    <cellStyle name="20% - Accent5 3 3 5 2" xfId="14560"/>
    <cellStyle name="20% - Accent5 3 3 5 3" xfId="18511"/>
    <cellStyle name="20% - Accent5 3 3 6" xfId="14552"/>
    <cellStyle name="20% - Accent5 3 3 7" xfId="18503"/>
    <cellStyle name="20% - Accent5 3 3_Volatility" xfId="3321"/>
    <cellStyle name="20% - Accent5 3 4" xfId="3322"/>
    <cellStyle name="20% - Accent5 3 4 2" xfId="3323"/>
    <cellStyle name="20% - Accent5 3 4 2 2" xfId="14562"/>
    <cellStyle name="20% - Accent5 3 4 2 3" xfId="18513"/>
    <cellStyle name="20% - Accent5 3 4 3" xfId="3324"/>
    <cellStyle name="20% - Accent5 3 4 3 2" xfId="14563"/>
    <cellStyle name="20% - Accent5 3 4 3 3" xfId="18514"/>
    <cellStyle name="20% - Accent5 3 4 4" xfId="14561"/>
    <cellStyle name="20% - Accent5 3 4 5" xfId="18512"/>
    <cellStyle name="20% - Accent5 3 5" xfId="3325"/>
    <cellStyle name="20% - Accent5 3 5 2" xfId="3326"/>
    <cellStyle name="20% - Accent5 3 5 2 2" xfId="14565"/>
    <cellStyle name="20% - Accent5 3 5 2 3" xfId="18516"/>
    <cellStyle name="20% - Accent5 3 5 3" xfId="3327"/>
    <cellStyle name="20% - Accent5 3 5 3 2" xfId="14566"/>
    <cellStyle name="20% - Accent5 3 5 3 3" xfId="18517"/>
    <cellStyle name="20% - Accent5 3 5 4" xfId="14564"/>
    <cellStyle name="20% - Accent5 3 5 5" xfId="18515"/>
    <cellStyle name="20% - Accent5 3 6" xfId="3328"/>
    <cellStyle name="20% - Accent5 3 6 2" xfId="3329"/>
    <cellStyle name="20% - Accent5 3 6 2 2" xfId="14568"/>
    <cellStyle name="20% - Accent5 3 6 2 3" xfId="18519"/>
    <cellStyle name="20% - Accent5 3 6 3" xfId="3330"/>
    <cellStyle name="20% - Accent5 3 6 3 2" xfId="14569"/>
    <cellStyle name="20% - Accent5 3 6 3 3" xfId="18520"/>
    <cellStyle name="20% - Accent5 3 6 4" xfId="14567"/>
    <cellStyle name="20% - Accent5 3 6 5" xfId="18518"/>
    <cellStyle name="20% - Accent5 3 7" xfId="3331"/>
    <cellStyle name="20% - Accent5 3 7 2" xfId="14570"/>
    <cellStyle name="20% - Accent5 3 7 3" xfId="18521"/>
    <cellStyle name="20% - Accent5 3 8" xfId="3332"/>
    <cellStyle name="20% - Accent5 3 8 2" xfId="14571"/>
    <cellStyle name="20% - Accent5 3 8 3" xfId="18522"/>
    <cellStyle name="20% - Accent5 3 9" xfId="14539"/>
    <cellStyle name="20% - Accent5 3_Volatility" xfId="3333"/>
    <cellStyle name="20% - Accent5 4" xfId="3334"/>
    <cellStyle name="20% - Accent5 4 10" xfId="18523"/>
    <cellStyle name="20% - Accent5 4 2" xfId="3335"/>
    <cellStyle name="20% - Accent5 4 2 2" xfId="3336"/>
    <cellStyle name="20% - Accent5 4 2 2 2" xfId="3337"/>
    <cellStyle name="20% - Accent5 4 2 2 2 2" xfId="14575"/>
    <cellStyle name="20% - Accent5 4 2 2 2 3" xfId="18526"/>
    <cellStyle name="20% - Accent5 4 2 2 3" xfId="3338"/>
    <cellStyle name="20% - Accent5 4 2 2 3 2" xfId="14576"/>
    <cellStyle name="20% - Accent5 4 2 2 3 3" xfId="18527"/>
    <cellStyle name="20% - Accent5 4 2 2 4" xfId="14574"/>
    <cellStyle name="20% - Accent5 4 2 2 5" xfId="18525"/>
    <cellStyle name="20% - Accent5 4 2 3" xfId="3339"/>
    <cellStyle name="20% - Accent5 4 2 3 2" xfId="3340"/>
    <cellStyle name="20% - Accent5 4 2 3 2 2" xfId="14578"/>
    <cellStyle name="20% - Accent5 4 2 3 2 3" xfId="18529"/>
    <cellStyle name="20% - Accent5 4 2 3 3" xfId="3341"/>
    <cellStyle name="20% - Accent5 4 2 3 3 2" xfId="14579"/>
    <cellStyle name="20% - Accent5 4 2 3 3 3" xfId="18530"/>
    <cellStyle name="20% - Accent5 4 2 3 4" xfId="14577"/>
    <cellStyle name="20% - Accent5 4 2 3 5" xfId="18528"/>
    <cellStyle name="20% - Accent5 4 2 4" xfId="3342"/>
    <cellStyle name="20% - Accent5 4 2 4 2" xfId="3343"/>
    <cellStyle name="20% - Accent5 4 2 4 2 2" xfId="14581"/>
    <cellStyle name="20% - Accent5 4 2 4 2 3" xfId="18532"/>
    <cellStyle name="20% - Accent5 4 2 4 3" xfId="3344"/>
    <cellStyle name="20% - Accent5 4 2 4 3 2" xfId="14582"/>
    <cellStyle name="20% - Accent5 4 2 4 3 3" xfId="18533"/>
    <cellStyle name="20% - Accent5 4 2 4 4" xfId="14580"/>
    <cellStyle name="20% - Accent5 4 2 4 5" xfId="18531"/>
    <cellStyle name="20% - Accent5 4 2 5" xfId="3345"/>
    <cellStyle name="20% - Accent5 4 2 5 2" xfId="14583"/>
    <cellStyle name="20% - Accent5 4 2 5 3" xfId="18534"/>
    <cellStyle name="20% - Accent5 4 2 6" xfId="3346"/>
    <cellStyle name="20% - Accent5 4 2 6 2" xfId="14584"/>
    <cellStyle name="20% - Accent5 4 2 6 3" xfId="18535"/>
    <cellStyle name="20% - Accent5 4 2 7" xfId="14573"/>
    <cellStyle name="20% - Accent5 4 2 8" xfId="18524"/>
    <cellStyle name="20% - Accent5 4 2_Volatility" xfId="3347"/>
    <cellStyle name="20% - Accent5 4 3" xfId="3348"/>
    <cellStyle name="20% - Accent5 4 3 2" xfId="3349"/>
    <cellStyle name="20% - Accent5 4 3 2 2" xfId="3350"/>
    <cellStyle name="20% - Accent5 4 3 2 2 2" xfId="14587"/>
    <cellStyle name="20% - Accent5 4 3 2 2 3" xfId="18538"/>
    <cellStyle name="20% - Accent5 4 3 2 3" xfId="3351"/>
    <cellStyle name="20% - Accent5 4 3 2 3 2" xfId="14588"/>
    <cellStyle name="20% - Accent5 4 3 2 3 3" xfId="18539"/>
    <cellStyle name="20% - Accent5 4 3 2 4" xfId="14586"/>
    <cellStyle name="20% - Accent5 4 3 2 5" xfId="18537"/>
    <cellStyle name="20% - Accent5 4 3 3" xfId="3352"/>
    <cellStyle name="20% - Accent5 4 3 3 2" xfId="3353"/>
    <cellStyle name="20% - Accent5 4 3 3 2 2" xfId="14590"/>
    <cellStyle name="20% - Accent5 4 3 3 2 3" xfId="18541"/>
    <cellStyle name="20% - Accent5 4 3 3 3" xfId="3354"/>
    <cellStyle name="20% - Accent5 4 3 3 3 2" xfId="14591"/>
    <cellStyle name="20% - Accent5 4 3 3 3 3" xfId="18542"/>
    <cellStyle name="20% - Accent5 4 3 3 4" xfId="14589"/>
    <cellStyle name="20% - Accent5 4 3 3 5" xfId="18540"/>
    <cellStyle name="20% - Accent5 4 3 4" xfId="3355"/>
    <cellStyle name="20% - Accent5 4 3 4 2" xfId="14592"/>
    <cellStyle name="20% - Accent5 4 3 4 3" xfId="18543"/>
    <cellStyle name="20% - Accent5 4 3 5" xfId="3356"/>
    <cellStyle name="20% - Accent5 4 3 5 2" xfId="14593"/>
    <cellStyle name="20% - Accent5 4 3 5 3" xfId="18544"/>
    <cellStyle name="20% - Accent5 4 3 6" xfId="14585"/>
    <cellStyle name="20% - Accent5 4 3 7" xfId="18536"/>
    <cellStyle name="20% - Accent5 4 3_Volatility" xfId="3357"/>
    <cellStyle name="20% - Accent5 4 4" xfId="3358"/>
    <cellStyle name="20% - Accent5 4 4 2" xfId="3359"/>
    <cellStyle name="20% - Accent5 4 4 2 2" xfId="14595"/>
    <cellStyle name="20% - Accent5 4 4 2 3" xfId="18546"/>
    <cellStyle name="20% - Accent5 4 4 3" xfId="3360"/>
    <cellStyle name="20% - Accent5 4 4 3 2" xfId="14596"/>
    <cellStyle name="20% - Accent5 4 4 3 3" xfId="18547"/>
    <cellStyle name="20% - Accent5 4 4 4" xfId="14594"/>
    <cellStyle name="20% - Accent5 4 4 5" xfId="18545"/>
    <cellStyle name="20% - Accent5 4 5" xfId="3361"/>
    <cellStyle name="20% - Accent5 4 5 2" xfId="3362"/>
    <cellStyle name="20% - Accent5 4 5 2 2" xfId="14598"/>
    <cellStyle name="20% - Accent5 4 5 2 3" xfId="18549"/>
    <cellStyle name="20% - Accent5 4 5 3" xfId="3363"/>
    <cellStyle name="20% - Accent5 4 5 3 2" xfId="14599"/>
    <cellStyle name="20% - Accent5 4 5 3 3" xfId="18550"/>
    <cellStyle name="20% - Accent5 4 5 4" xfId="14597"/>
    <cellStyle name="20% - Accent5 4 5 5" xfId="18548"/>
    <cellStyle name="20% - Accent5 4 6" xfId="3364"/>
    <cellStyle name="20% - Accent5 4 6 2" xfId="3365"/>
    <cellStyle name="20% - Accent5 4 6 2 2" xfId="14601"/>
    <cellStyle name="20% - Accent5 4 6 2 3" xfId="18552"/>
    <cellStyle name="20% - Accent5 4 6 3" xfId="3366"/>
    <cellStyle name="20% - Accent5 4 6 3 2" xfId="14602"/>
    <cellStyle name="20% - Accent5 4 6 3 3" xfId="18553"/>
    <cellStyle name="20% - Accent5 4 6 4" xfId="14600"/>
    <cellStyle name="20% - Accent5 4 6 5" xfId="18551"/>
    <cellStyle name="20% - Accent5 4 7" xfId="3367"/>
    <cellStyle name="20% - Accent5 4 7 2" xfId="14603"/>
    <cellStyle name="20% - Accent5 4 7 3" xfId="18554"/>
    <cellStyle name="20% - Accent5 4 8" xfId="3368"/>
    <cellStyle name="20% - Accent5 4 8 2" xfId="14604"/>
    <cellStyle name="20% - Accent5 4 8 3" xfId="18555"/>
    <cellStyle name="20% - Accent5 4 9" xfId="14572"/>
    <cellStyle name="20% - Accent5 4_Volatility" xfId="3369"/>
    <cellStyle name="20% - Accent5 5" xfId="3370"/>
    <cellStyle name="20% - Accent5 5 10" xfId="18556"/>
    <cellStyle name="20% - Accent5 5 2" xfId="3371"/>
    <cellStyle name="20% - Accent5 5 2 2" xfId="3372"/>
    <cellStyle name="20% - Accent5 5 2 2 2" xfId="3373"/>
    <cellStyle name="20% - Accent5 5 2 2 2 2" xfId="14608"/>
    <cellStyle name="20% - Accent5 5 2 2 2 3" xfId="18559"/>
    <cellStyle name="20% - Accent5 5 2 2 3" xfId="3374"/>
    <cellStyle name="20% - Accent5 5 2 2 3 2" xfId="14609"/>
    <cellStyle name="20% - Accent5 5 2 2 3 3" xfId="18560"/>
    <cellStyle name="20% - Accent5 5 2 2 4" xfId="14607"/>
    <cellStyle name="20% - Accent5 5 2 2 5" xfId="18558"/>
    <cellStyle name="20% - Accent5 5 2 3" xfId="3375"/>
    <cellStyle name="20% - Accent5 5 2 3 2" xfId="3376"/>
    <cellStyle name="20% - Accent5 5 2 3 2 2" xfId="14611"/>
    <cellStyle name="20% - Accent5 5 2 3 2 3" xfId="18562"/>
    <cellStyle name="20% - Accent5 5 2 3 3" xfId="3377"/>
    <cellStyle name="20% - Accent5 5 2 3 3 2" xfId="14612"/>
    <cellStyle name="20% - Accent5 5 2 3 3 3" xfId="18563"/>
    <cellStyle name="20% - Accent5 5 2 3 4" xfId="14610"/>
    <cellStyle name="20% - Accent5 5 2 3 5" xfId="18561"/>
    <cellStyle name="20% - Accent5 5 2 4" xfId="3378"/>
    <cellStyle name="20% - Accent5 5 2 4 2" xfId="3379"/>
    <cellStyle name="20% - Accent5 5 2 4 2 2" xfId="14614"/>
    <cellStyle name="20% - Accent5 5 2 4 2 3" xfId="18565"/>
    <cellStyle name="20% - Accent5 5 2 4 3" xfId="3380"/>
    <cellStyle name="20% - Accent5 5 2 4 3 2" xfId="14615"/>
    <cellStyle name="20% - Accent5 5 2 4 3 3" xfId="18566"/>
    <cellStyle name="20% - Accent5 5 2 4 4" xfId="14613"/>
    <cellStyle name="20% - Accent5 5 2 4 5" xfId="18564"/>
    <cellStyle name="20% - Accent5 5 2 5" xfId="3381"/>
    <cellStyle name="20% - Accent5 5 2 5 2" xfId="14616"/>
    <cellStyle name="20% - Accent5 5 2 5 3" xfId="18567"/>
    <cellStyle name="20% - Accent5 5 2 6" xfId="3382"/>
    <cellStyle name="20% - Accent5 5 2 6 2" xfId="14617"/>
    <cellStyle name="20% - Accent5 5 2 6 3" xfId="18568"/>
    <cellStyle name="20% - Accent5 5 2 7" xfId="14606"/>
    <cellStyle name="20% - Accent5 5 2 8" xfId="18557"/>
    <cellStyle name="20% - Accent5 5 2_Volatility" xfId="3383"/>
    <cellStyle name="20% - Accent5 5 3" xfId="3384"/>
    <cellStyle name="20% - Accent5 5 3 2" xfId="3385"/>
    <cellStyle name="20% - Accent5 5 3 2 2" xfId="3386"/>
    <cellStyle name="20% - Accent5 5 3 2 2 2" xfId="14620"/>
    <cellStyle name="20% - Accent5 5 3 2 2 3" xfId="18571"/>
    <cellStyle name="20% - Accent5 5 3 2 3" xfId="3387"/>
    <cellStyle name="20% - Accent5 5 3 2 3 2" xfId="14621"/>
    <cellStyle name="20% - Accent5 5 3 2 3 3" xfId="18572"/>
    <cellStyle name="20% - Accent5 5 3 2 4" xfId="14619"/>
    <cellStyle name="20% - Accent5 5 3 2 5" xfId="18570"/>
    <cellStyle name="20% - Accent5 5 3 3" xfId="3388"/>
    <cellStyle name="20% - Accent5 5 3 3 2" xfId="3389"/>
    <cellStyle name="20% - Accent5 5 3 3 2 2" xfId="14623"/>
    <cellStyle name="20% - Accent5 5 3 3 2 3" xfId="18574"/>
    <cellStyle name="20% - Accent5 5 3 3 3" xfId="3390"/>
    <cellStyle name="20% - Accent5 5 3 3 3 2" xfId="14624"/>
    <cellStyle name="20% - Accent5 5 3 3 3 3" xfId="18575"/>
    <cellStyle name="20% - Accent5 5 3 3 4" xfId="14622"/>
    <cellStyle name="20% - Accent5 5 3 3 5" xfId="18573"/>
    <cellStyle name="20% - Accent5 5 3 4" xfId="3391"/>
    <cellStyle name="20% - Accent5 5 3 4 2" xfId="14625"/>
    <cellStyle name="20% - Accent5 5 3 4 3" xfId="18576"/>
    <cellStyle name="20% - Accent5 5 3 5" xfId="3392"/>
    <cellStyle name="20% - Accent5 5 3 5 2" xfId="14626"/>
    <cellStyle name="20% - Accent5 5 3 5 3" xfId="18577"/>
    <cellStyle name="20% - Accent5 5 3 6" xfId="14618"/>
    <cellStyle name="20% - Accent5 5 3 7" xfId="18569"/>
    <cellStyle name="20% - Accent5 5 3_Volatility" xfId="3393"/>
    <cellStyle name="20% - Accent5 5 4" xfId="3394"/>
    <cellStyle name="20% - Accent5 5 4 2" xfId="3395"/>
    <cellStyle name="20% - Accent5 5 4 2 2" xfId="14628"/>
    <cellStyle name="20% - Accent5 5 4 2 3" xfId="18579"/>
    <cellStyle name="20% - Accent5 5 4 3" xfId="3396"/>
    <cellStyle name="20% - Accent5 5 4 3 2" xfId="14629"/>
    <cellStyle name="20% - Accent5 5 4 3 3" xfId="18580"/>
    <cellStyle name="20% - Accent5 5 4 4" xfId="14627"/>
    <cellStyle name="20% - Accent5 5 4 5" xfId="18578"/>
    <cellStyle name="20% - Accent5 5 5" xfId="3397"/>
    <cellStyle name="20% - Accent5 5 5 2" xfId="3398"/>
    <cellStyle name="20% - Accent5 5 5 2 2" xfId="14631"/>
    <cellStyle name="20% - Accent5 5 5 2 3" xfId="18582"/>
    <cellStyle name="20% - Accent5 5 5 3" xfId="3399"/>
    <cellStyle name="20% - Accent5 5 5 3 2" xfId="14632"/>
    <cellStyle name="20% - Accent5 5 5 3 3" xfId="18583"/>
    <cellStyle name="20% - Accent5 5 5 4" xfId="14630"/>
    <cellStyle name="20% - Accent5 5 5 5" xfId="18581"/>
    <cellStyle name="20% - Accent5 5 6" xfId="3400"/>
    <cellStyle name="20% - Accent5 5 6 2" xfId="3401"/>
    <cellStyle name="20% - Accent5 5 6 2 2" xfId="14634"/>
    <cellStyle name="20% - Accent5 5 6 2 3" xfId="18585"/>
    <cellStyle name="20% - Accent5 5 6 3" xfId="3402"/>
    <cellStyle name="20% - Accent5 5 6 3 2" xfId="14635"/>
    <cellStyle name="20% - Accent5 5 6 3 3" xfId="18586"/>
    <cellStyle name="20% - Accent5 5 6 4" xfId="14633"/>
    <cellStyle name="20% - Accent5 5 6 5" xfId="18584"/>
    <cellStyle name="20% - Accent5 5 7" xfId="3403"/>
    <cellStyle name="20% - Accent5 5 7 2" xfId="14636"/>
    <cellStyle name="20% - Accent5 5 7 3" xfId="18587"/>
    <cellStyle name="20% - Accent5 5 8" xfId="3404"/>
    <cellStyle name="20% - Accent5 5 8 2" xfId="14637"/>
    <cellStyle name="20% - Accent5 5 8 3" xfId="18588"/>
    <cellStyle name="20% - Accent5 5 9" xfId="14605"/>
    <cellStyle name="20% - Accent5 5_Volatility" xfId="3405"/>
    <cellStyle name="20% - Accent5 6" xfId="3406"/>
    <cellStyle name="20% - Accent5 6 10" xfId="18589"/>
    <cellStyle name="20% - Accent5 6 2" xfId="3407"/>
    <cellStyle name="20% - Accent5 6 2 2" xfId="3408"/>
    <cellStyle name="20% - Accent5 6 2 2 2" xfId="3409"/>
    <cellStyle name="20% - Accent5 6 2 2 2 2" xfId="14641"/>
    <cellStyle name="20% - Accent5 6 2 2 2 3" xfId="18592"/>
    <cellStyle name="20% - Accent5 6 2 2 3" xfId="3410"/>
    <cellStyle name="20% - Accent5 6 2 2 3 2" xfId="14642"/>
    <cellStyle name="20% - Accent5 6 2 2 3 3" xfId="18593"/>
    <cellStyle name="20% - Accent5 6 2 2 4" xfId="14640"/>
    <cellStyle name="20% - Accent5 6 2 2 5" xfId="18591"/>
    <cellStyle name="20% - Accent5 6 2 3" xfId="3411"/>
    <cellStyle name="20% - Accent5 6 2 3 2" xfId="3412"/>
    <cellStyle name="20% - Accent5 6 2 3 2 2" xfId="14644"/>
    <cellStyle name="20% - Accent5 6 2 3 2 3" xfId="18595"/>
    <cellStyle name="20% - Accent5 6 2 3 3" xfId="3413"/>
    <cellStyle name="20% - Accent5 6 2 3 3 2" xfId="14645"/>
    <cellStyle name="20% - Accent5 6 2 3 3 3" xfId="18596"/>
    <cellStyle name="20% - Accent5 6 2 3 4" xfId="14643"/>
    <cellStyle name="20% - Accent5 6 2 3 5" xfId="18594"/>
    <cellStyle name="20% - Accent5 6 2 4" xfId="3414"/>
    <cellStyle name="20% - Accent5 6 2 4 2" xfId="3415"/>
    <cellStyle name="20% - Accent5 6 2 4 2 2" xfId="14647"/>
    <cellStyle name="20% - Accent5 6 2 4 2 3" xfId="18598"/>
    <cellStyle name="20% - Accent5 6 2 4 3" xfId="3416"/>
    <cellStyle name="20% - Accent5 6 2 4 3 2" xfId="14648"/>
    <cellStyle name="20% - Accent5 6 2 4 3 3" xfId="18599"/>
    <cellStyle name="20% - Accent5 6 2 4 4" xfId="14646"/>
    <cellStyle name="20% - Accent5 6 2 4 5" xfId="18597"/>
    <cellStyle name="20% - Accent5 6 2 5" xfId="3417"/>
    <cellStyle name="20% - Accent5 6 2 5 2" xfId="14649"/>
    <cellStyle name="20% - Accent5 6 2 5 3" xfId="18600"/>
    <cellStyle name="20% - Accent5 6 2 6" xfId="3418"/>
    <cellStyle name="20% - Accent5 6 2 6 2" xfId="14650"/>
    <cellStyle name="20% - Accent5 6 2 6 3" xfId="18601"/>
    <cellStyle name="20% - Accent5 6 2 7" xfId="14639"/>
    <cellStyle name="20% - Accent5 6 2 8" xfId="18590"/>
    <cellStyle name="20% - Accent5 6 2_Volatility" xfId="3419"/>
    <cellStyle name="20% - Accent5 6 3" xfId="3420"/>
    <cellStyle name="20% - Accent5 6 3 2" xfId="3421"/>
    <cellStyle name="20% - Accent5 6 3 2 2" xfId="3422"/>
    <cellStyle name="20% - Accent5 6 3 2 2 2" xfId="14653"/>
    <cellStyle name="20% - Accent5 6 3 2 2 3" xfId="18604"/>
    <cellStyle name="20% - Accent5 6 3 2 3" xfId="3423"/>
    <cellStyle name="20% - Accent5 6 3 2 3 2" xfId="14654"/>
    <cellStyle name="20% - Accent5 6 3 2 3 3" xfId="18605"/>
    <cellStyle name="20% - Accent5 6 3 2 4" xfId="14652"/>
    <cellStyle name="20% - Accent5 6 3 2 5" xfId="18603"/>
    <cellStyle name="20% - Accent5 6 3 3" xfId="3424"/>
    <cellStyle name="20% - Accent5 6 3 3 2" xfId="3425"/>
    <cellStyle name="20% - Accent5 6 3 3 2 2" xfId="14656"/>
    <cellStyle name="20% - Accent5 6 3 3 2 3" xfId="18607"/>
    <cellStyle name="20% - Accent5 6 3 3 3" xfId="3426"/>
    <cellStyle name="20% - Accent5 6 3 3 3 2" xfId="14657"/>
    <cellStyle name="20% - Accent5 6 3 3 3 3" xfId="18608"/>
    <cellStyle name="20% - Accent5 6 3 3 4" xfId="14655"/>
    <cellStyle name="20% - Accent5 6 3 3 5" xfId="18606"/>
    <cellStyle name="20% - Accent5 6 3 4" xfId="3427"/>
    <cellStyle name="20% - Accent5 6 3 4 2" xfId="14658"/>
    <cellStyle name="20% - Accent5 6 3 4 3" xfId="18609"/>
    <cellStyle name="20% - Accent5 6 3 5" xfId="3428"/>
    <cellStyle name="20% - Accent5 6 3 5 2" xfId="14659"/>
    <cellStyle name="20% - Accent5 6 3 5 3" xfId="18610"/>
    <cellStyle name="20% - Accent5 6 3 6" xfId="14651"/>
    <cellStyle name="20% - Accent5 6 3 7" xfId="18602"/>
    <cellStyle name="20% - Accent5 6 3_Volatility" xfId="3429"/>
    <cellStyle name="20% - Accent5 6 4" xfId="3430"/>
    <cellStyle name="20% - Accent5 6 4 2" xfId="3431"/>
    <cellStyle name="20% - Accent5 6 4 2 2" xfId="14661"/>
    <cellStyle name="20% - Accent5 6 4 2 3" xfId="18612"/>
    <cellStyle name="20% - Accent5 6 4 3" xfId="3432"/>
    <cellStyle name="20% - Accent5 6 4 3 2" xfId="14662"/>
    <cellStyle name="20% - Accent5 6 4 3 3" xfId="18613"/>
    <cellStyle name="20% - Accent5 6 4 4" xfId="14660"/>
    <cellStyle name="20% - Accent5 6 4 5" xfId="18611"/>
    <cellStyle name="20% - Accent5 6 5" xfId="3433"/>
    <cellStyle name="20% - Accent5 6 5 2" xfId="3434"/>
    <cellStyle name="20% - Accent5 6 5 2 2" xfId="14664"/>
    <cellStyle name="20% - Accent5 6 5 2 3" xfId="18615"/>
    <cellStyle name="20% - Accent5 6 5 3" xfId="3435"/>
    <cellStyle name="20% - Accent5 6 5 3 2" xfId="14665"/>
    <cellStyle name="20% - Accent5 6 5 3 3" xfId="18616"/>
    <cellStyle name="20% - Accent5 6 5 4" xfId="14663"/>
    <cellStyle name="20% - Accent5 6 5 5" xfId="18614"/>
    <cellStyle name="20% - Accent5 6 6" xfId="3436"/>
    <cellStyle name="20% - Accent5 6 6 2" xfId="3437"/>
    <cellStyle name="20% - Accent5 6 6 2 2" xfId="14667"/>
    <cellStyle name="20% - Accent5 6 6 2 3" xfId="18618"/>
    <cellStyle name="20% - Accent5 6 6 3" xfId="3438"/>
    <cellStyle name="20% - Accent5 6 6 3 2" xfId="14668"/>
    <cellStyle name="20% - Accent5 6 6 3 3" xfId="18619"/>
    <cellStyle name="20% - Accent5 6 6 4" xfId="14666"/>
    <cellStyle name="20% - Accent5 6 6 5" xfId="18617"/>
    <cellStyle name="20% - Accent5 6 7" xfId="3439"/>
    <cellStyle name="20% - Accent5 6 7 2" xfId="14669"/>
    <cellStyle name="20% - Accent5 6 7 3" xfId="18620"/>
    <cellStyle name="20% - Accent5 6 8" xfId="3440"/>
    <cellStyle name="20% - Accent5 6 8 2" xfId="14670"/>
    <cellStyle name="20% - Accent5 6 8 3" xfId="18621"/>
    <cellStyle name="20% - Accent5 6 9" xfId="14638"/>
    <cellStyle name="20% - Accent5 6_Volatility" xfId="3441"/>
    <cellStyle name="20% - Accent5 7" xfId="3442"/>
    <cellStyle name="20% - Accent5 7 10" xfId="18622"/>
    <cellStyle name="20% - Accent5 7 2" xfId="3443"/>
    <cellStyle name="20% - Accent5 7 2 2" xfId="3444"/>
    <cellStyle name="20% - Accent5 7 2 2 2" xfId="3445"/>
    <cellStyle name="20% - Accent5 7 2 2 2 2" xfId="14674"/>
    <cellStyle name="20% - Accent5 7 2 2 2 3" xfId="18625"/>
    <cellStyle name="20% - Accent5 7 2 2 3" xfId="3446"/>
    <cellStyle name="20% - Accent5 7 2 2 3 2" xfId="14675"/>
    <cellStyle name="20% - Accent5 7 2 2 3 3" xfId="18626"/>
    <cellStyle name="20% - Accent5 7 2 2 4" xfId="14673"/>
    <cellStyle name="20% - Accent5 7 2 2 5" xfId="18624"/>
    <cellStyle name="20% - Accent5 7 2 3" xfId="3447"/>
    <cellStyle name="20% - Accent5 7 2 3 2" xfId="3448"/>
    <cellStyle name="20% - Accent5 7 2 3 2 2" xfId="14677"/>
    <cellStyle name="20% - Accent5 7 2 3 2 3" xfId="18628"/>
    <cellStyle name="20% - Accent5 7 2 3 3" xfId="3449"/>
    <cellStyle name="20% - Accent5 7 2 3 3 2" xfId="14678"/>
    <cellStyle name="20% - Accent5 7 2 3 3 3" xfId="18629"/>
    <cellStyle name="20% - Accent5 7 2 3 4" xfId="14676"/>
    <cellStyle name="20% - Accent5 7 2 3 5" xfId="18627"/>
    <cellStyle name="20% - Accent5 7 2 4" xfId="3450"/>
    <cellStyle name="20% - Accent5 7 2 4 2" xfId="3451"/>
    <cellStyle name="20% - Accent5 7 2 4 2 2" xfId="14680"/>
    <cellStyle name="20% - Accent5 7 2 4 2 3" xfId="18631"/>
    <cellStyle name="20% - Accent5 7 2 4 3" xfId="3452"/>
    <cellStyle name="20% - Accent5 7 2 4 3 2" xfId="14681"/>
    <cellStyle name="20% - Accent5 7 2 4 3 3" xfId="18632"/>
    <cellStyle name="20% - Accent5 7 2 4 4" xfId="14679"/>
    <cellStyle name="20% - Accent5 7 2 4 5" xfId="18630"/>
    <cellStyle name="20% - Accent5 7 2 5" xfId="3453"/>
    <cellStyle name="20% - Accent5 7 2 5 2" xfId="14682"/>
    <cellStyle name="20% - Accent5 7 2 5 3" xfId="18633"/>
    <cellStyle name="20% - Accent5 7 2 6" xfId="3454"/>
    <cellStyle name="20% - Accent5 7 2 6 2" xfId="14683"/>
    <cellStyle name="20% - Accent5 7 2 6 3" xfId="18634"/>
    <cellStyle name="20% - Accent5 7 2 7" xfId="14672"/>
    <cellStyle name="20% - Accent5 7 2 8" xfId="18623"/>
    <cellStyle name="20% - Accent5 7 2_Volatility" xfId="3455"/>
    <cellStyle name="20% - Accent5 7 3" xfId="3456"/>
    <cellStyle name="20% - Accent5 7 3 2" xfId="3457"/>
    <cellStyle name="20% - Accent5 7 3 2 2" xfId="3458"/>
    <cellStyle name="20% - Accent5 7 3 2 2 2" xfId="14686"/>
    <cellStyle name="20% - Accent5 7 3 2 2 3" xfId="18637"/>
    <cellStyle name="20% - Accent5 7 3 2 3" xfId="3459"/>
    <cellStyle name="20% - Accent5 7 3 2 3 2" xfId="14687"/>
    <cellStyle name="20% - Accent5 7 3 2 3 3" xfId="18638"/>
    <cellStyle name="20% - Accent5 7 3 2 4" xfId="14685"/>
    <cellStyle name="20% - Accent5 7 3 2 5" xfId="18636"/>
    <cellStyle name="20% - Accent5 7 3 3" xfId="3460"/>
    <cellStyle name="20% - Accent5 7 3 3 2" xfId="3461"/>
    <cellStyle name="20% - Accent5 7 3 3 2 2" xfId="14689"/>
    <cellStyle name="20% - Accent5 7 3 3 2 3" xfId="18640"/>
    <cellStyle name="20% - Accent5 7 3 3 3" xfId="3462"/>
    <cellStyle name="20% - Accent5 7 3 3 3 2" xfId="14690"/>
    <cellStyle name="20% - Accent5 7 3 3 3 3" xfId="18641"/>
    <cellStyle name="20% - Accent5 7 3 3 4" xfId="14688"/>
    <cellStyle name="20% - Accent5 7 3 3 5" xfId="18639"/>
    <cellStyle name="20% - Accent5 7 3 4" xfId="3463"/>
    <cellStyle name="20% - Accent5 7 3 4 2" xfId="14691"/>
    <cellStyle name="20% - Accent5 7 3 4 3" xfId="18642"/>
    <cellStyle name="20% - Accent5 7 3 5" xfId="3464"/>
    <cellStyle name="20% - Accent5 7 3 5 2" xfId="14692"/>
    <cellStyle name="20% - Accent5 7 3 5 3" xfId="18643"/>
    <cellStyle name="20% - Accent5 7 3 6" xfId="14684"/>
    <cellStyle name="20% - Accent5 7 3 7" xfId="18635"/>
    <cellStyle name="20% - Accent5 7 3_Volatility" xfId="3465"/>
    <cellStyle name="20% - Accent5 7 4" xfId="3466"/>
    <cellStyle name="20% - Accent5 7 4 2" xfId="3467"/>
    <cellStyle name="20% - Accent5 7 4 2 2" xfId="14694"/>
    <cellStyle name="20% - Accent5 7 4 2 3" xfId="18645"/>
    <cellStyle name="20% - Accent5 7 4 3" xfId="3468"/>
    <cellStyle name="20% - Accent5 7 4 3 2" xfId="14695"/>
    <cellStyle name="20% - Accent5 7 4 3 3" xfId="18646"/>
    <cellStyle name="20% - Accent5 7 4 4" xfId="14693"/>
    <cellStyle name="20% - Accent5 7 4 5" xfId="18644"/>
    <cellStyle name="20% - Accent5 7 5" xfId="3469"/>
    <cellStyle name="20% - Accent5 7 5 2" xfId="3470"/>
    <cellStyle name="20% - Accent5 7 5 2 2" xfId="14697"/>
    <cellStyle name="20% - Accent5 7 5 2 3" xfId="18648"/>
    <cellStyle name="20% - Accent5 7 5 3" xfId="3471"/>
    <cellStyle name="20% - Accent5 7 5 3 2" xfId="14698"/>
    <cellStyle name="20% - Accent5 7 5 3 3" xfId="18649"/>
    <cellStyle name="20% - Accent5 7 5 4" xfId="14696"/>
    <cellStyle name="20% - Accent5 7 5 5" xfId="18647"/>
    <cellStyle name="20% - Accent5 7 6" xfId="3472"/>
    <cellStyle name="20% - Accent5 7 6 2" xfId="3473"/>
    <cellStyle name="20% - Accent5 7 6 2 2" xfId="14700"/>
    <cellStyle name="20% - Accent5 7 6 2 3" xfId="18651"/>
    <cellStyle name="20% - Accent5 7 6 3" xfId="3474"/>
    <cellStyle name="20% - Accent5 7 6 3 2" xfId="14701"/>
    <cellStyle name="20% - Accent5 7 6 3 3" xfId="18652"/>
    <cellStyle name="20% - Accent5 7 6 4" xfId="14699"/>
    <cellStyle name="20% - Accent5 7 6 5" xfId="18650"/>
    <cellStyle name="20% - Accent5 7 7" xfId="3475"/>
    <cellStyle name="20% - Accent5 7 7 2" xfId="14702"/>
    <cellStyle name="20% - Accent5 7 7 3" xfId="18653"/>
    <cellStyle name="20% - Accent5 7 8" xfId="3476"/>
    <cellStyle name="20% - Accent5 7 8 2" xfId="14703"/>
    <cellStyle name="20% - Accent5 7 8 3" xfId="18654"/>
    <cellStyle name="20% - Accent5 7 9" xfId="14671"/>
    <cellStyle name="20% - Accent5 7_Volatility" xfId="3477"/>
    <cellStyle name="20% - Accent5 8" xfId="3478"/>
    <cellStyle name="20% - Accent5 8 10" xfId="18655"/>
    <cellStyle name="20% - Accent5 8 2" xfId="3479"/>
    <cellStyle name="20% - Accent5 8 2 2" xfId="3480"/>
    <cellStyle name="20% - Accent5 8 2 2 2" xfId="3481"/>
    <cellStyle name="20% - Accent5 8 2 2 2 2" xfId="14707"/>
    <cellStyle name="20% - Accent5 8 2 2 2 3" xfId="18658"/>
    <cellStyle name="20% - Accent5 8 2 2 3" xfId="3482"/>
    <cellStyle name="20% - Accent5 8 2 2 3 2" xfId="14708"/>
    <cellStyle name="20% - Accent5 8 2 2 3 3" xfId="18659"/>
    <cellStyle name="20% - Accent5 8 2 2 4" xfId="14706"/>
    <cellStyle name="20% - Accent5 8 2 2 5" xfId="18657"/>
    <cellStyle name="20% - Accent5 8 2 3" xfId="3483"/>
    <cellStyle name="20% - Accent5 8 2 3 2" xfId="3484"/>
    <cellStyle name="20% - Accent5 8 2 3 2 2" xfId="14710"/>
    <cellStyle name="20% - Accent5 8 2 3 2 3" xfId="18661"/>
    <cellStyle name="20% - Accent5 8 2 3 3" xfId="3485"/>
    <cellStyle name="20% - Accent5 8 2 3 3 2" xfId="14711"/>
    <cellStyle name="20% - Accent5 8 2 3 3 3" xfId="18662"/>
    <cellStyle name="20% - Accent5 8 2 3 4" xfId="14709"/>
    <cellStyle name="20% - Accent5 8 2 3 5" xfId="18660"/>
    <cellStyle name="20% - Accent5 8 2 4" xfId="3486"/>
    <cellStyle name="20% - Accent5 8 2 4 2" xfId="3487"/>
    <cellStyle name="20% - Accent5 8 2 4 2 2" xfId="14713"/>
    <cellStyle name="20% - Accent5 8 2 4 2 3" xfId="18664"/>
    <cellStyle name="20% - Accent5 8 2 4 3" xfId="3488"/>
    <cellStyle name="20% - Accent5 8 2 4 3 2" xfId="14714"/>
    <cellStyle name="20% - Accent5 8 2 4 3 3" xfId="18665"/>
    <cellStyle name="20% - Accent5 8 2 4 4" xfId="14712"/>
    <cellStyle name="20% - Accent5 8 2 4 5" xfId="18663"/>
    <cellStyle name="20% - Accent5 8 2 5" xfId="3489"/>
    <cellStyle name="20% - Accent5 8 2 5 2" xfId="14715"/>
    <cellStyle name="20% - Accent5 8 2 5 3" xfId="18666"/>
    <cellStyle name="20% - Accent5 8 2 6" xfId="3490"/>
    <cellStyle name="20% - Accent5 8 2 6 2" xfId="14716"/>
    <cellStyle name="20% - Accent5 8 2 6 3" xfId="18667"/>
    <cellStyle name="20% - Accent5 8 2 7" xfId="14705"/>
    <cellStyle name="20% - Accent5 8 2 8" xfId="18656"/>
    <cellStyle name="20% - Accent5 8 2_Volatility" xfId="3491"/>
    <cellStyle name="20% - Accent5 8 3" xfId="3492"/>
    <cellStyle name="20% - Accent5 8 3 2" xfId="3493"/>
    <cellStyle name="20% - Accent5 8 3 2 2" xfId="3494"/>
    <cellStyle name="20% - Accent5 8 3 2 2 2" xfId="14719"/>
    <cellStyle name="20% - Accent5 8 3 2 2 3" xfId="18670"/>
    <cellStyle name="20% - Accent5 8 3 2 3" xfId="3495"/>
    <cellStyle name="20% - Accent5 8 3 2 3 2" xfId="14720"/>
    <cellStyle name="20% - Accent5 8 3 2 3 3" xfId="18671"/>
    <cellStyle name="20% - Accent5 8 3 2 4" xfId="14718"/>
    <cellStyle name="20% - Accent5 8 3 2 5" xfId="18669"/>
    <cellStyle name="20% - Accent5 8 3 3" xfId="3496"/>
    <cellStyle name="20% - Accent5 8 3 3 2" xfId="3497"/>
    <cellStyle name="20% - Accent5 8 3 3 2 2" xfId="14722"/>
    <cellStyle name="20% - Accent5 8 3 3 2 3" xfId="18673"/>
    <cellStyle name="20% - Accent5 8 3 3 3" xfId="3498"/>
    <cellStyle name="20% - Accent5 8 3 3 3 2" xfId="14723"/>
    <cellStyle name="20% - Accent5 8 3 3 3 3" xfId="18674"/>
    <cellStyle name="20% - Accent5 8 3 3 4" xfId="14721"/>
    <cellStyle name="20% - Accent5 8 3 3 5" xfId="18672"/>
    <cellStyle name="20% - Accent5 8 3 4" xfId="3499"/>
    <cellStyle name="20% - Accent5 8 3 4 2" xfId="14724"/>
    <cellStyle name="20% - Accent5 8 3 4 3" xfId="18675"/>
    <cellStyle name="20% - Accent5 8 3 5" xfId="3500"/>
    <cellStyle name="20% - Accent5 8 3 5 2" xfId="14725"/>
    <cellStyle name="20% - Accent5 8 3 5 3" xfId="18676"/>
    <cellStyle name="20% - Accent5 8 3 6" xfId="14717"/>
    <cellStyle name="20% - Accent5 8 3 7" xfId="18668"/>
    <cellStyle name="20% - Accent5 8 3_Volatility" xfId="3501"/>
    <cellStyle name="20% - Accent5 8 4" xfId="3502"/>
    <cellStyle name="20% - Accent5 8 4 2" xfId="3503"/>
    <cellStyle name="20% - Accent5 8 4 2 2" xfId="14727"/>
    <cellStyle name="20% - Accent5 8 4 2 3" xfId="18678"/>
    <cellStyle name="20% - Accent5 8 4 3" xfId="3504"/>
    <cellStyle name="20% - Accent5 8 4 3 2" xfId="14728"/>
    <cellStyle name="20% - Accent5 8 4 3 3" xfId="18679"/>
    <cellStyle name="20% - Accent5 8 4 4" xfId="14726"/>
    <cellStyle name="20% - Accent5 8 4 5" xfId="18677"/>
    <cellStyle name="20% - Accent5 8 5" xfId="3505"/>
    <cellStyle name="20% - Accent5 8 5 2" xfId="3506"/>
    <cellStyle name="20% - Accent5 8 5 2 2" xfId="14730"/>
    <cellStyle name="20% - Accent5 8 5 2 3" xfId="18681"/>
    <cellStyle name="20% - Accent5 8 5 3" xfId="3507"/>
    <cellStyle name="20% - Accent5 8 5 3 2" xfId="14731"/>
    <cellStyle name="20% - Accent5 8 5 3 3" xfId="18682"/>
    <cellStyle name="20% - Accent5 8 5 4" xfId="14729"/>
    <cellStyle name="20% - Accent5 8 5 5" xfId="18680"/>
    <cellStyle name="20% - Accent5 8 6" xfId="3508"/>
    <cellStyle name="20% - Accent5 8 6 2" xfId="3509"/>
    <cellStyle name="20% - Accent5 8 6 2 2" xfId="14733"/>
    <cellStyle name="20% - Accent5 8 6 2 3" xfId="18684"/>
    <cellStyle name="20% - Accent5 8 6 3" xfId="3510"/>
    <cellStyle name="20% - Accent5 8 6 3 2" xfId="14734"/>
    <cellStyle name="20% - Accent5 8 6 3 3" xfId="18685"/>
    <cellStyle name="20% - Accent5 8 6 4" xfId="14732"/>
    <cellStyle name="20% - Accent5 8 6 5" xfId="18683"/>
    <cellStyle name="20% - Accent5 8 7" xfId="3511"/>
    <cellStyle name="20% - Accent5 8 7 2" xfId="14735"/>
    <cellStyle name="20% - Accent5 8 7 3" xfId="18686"/>
    <cellStyle name="20% - Accent5 8 8" xfId="3512"/>
    <cellStyle name="20% - Accent5 8 8 2" xfId="14736"/>
    <cellStyle name="20% - Accent5 8 8 3" xfId="18687"/>
    <cellStyle name="20% - Accent5 8 9" xfId="14704"/>
    <cellStyle name="20% - Accent5 8_Volatility" xfId="3513"/>
    <cellStyle name="20% - Accent5 9" xfId="3514"/>
    <cellStyle name="20% - Accent5 9 10" xfId="18688"/>
    <cellStyle name="20% - Accent5 9 2" xfId="3515"/>
    <cellStyle name="20% - Accent5 9 2 2" xfId="3516"/>
    <cellStyle name="20% - Accent5 9 2 2 2" xfId="3517"/>
    <cellStyle name="20% - Accent5 9 2 2 2 2" xfId="14740"/>
    <cellStyle name="20% - Accent5 9 2 2 2 3" xfId="18691"/>
    <cellStyle name="20% - Accent5 9 2 2 3" xfId="3518"/>
    <cellStyle name="20% - Accent5 9 2 2 3 2" xfId="14741"/>
    <cellStyle name="20% - Accent5 9 2 2 3 3" xfId="18692"/>
    <cellStyle name="20% - Accent5 9 2 2 4" xfId="14739"/>
    <cellStyle name="20% - Accent5 9 2 2 5" xfId="18690"/>
    <cellStyle name="20% - Accent5 9 2 3" xfId="3519"/>
    <cellStyle name="20% - Accent5 9 2 3 2" xfId="3520"/>
    <cellStyle name="20% - Accent5 9 2 3 2 2" xfId="14743"/>
    <cellStyle name="20% - Accent5 9 2 3 2 3" xfId="18694"/>
    <cellStyle name="20% - Accent5 9 2 3 3" xfId="3521"/>
    <cellStyle name="20% - Accent5 9 2 3 3 2" xfId="14744"/>
    <cellStyle name="20% - Accent5 9 2 3 3 3" xfId="18695"/>
    <cellStyle name="20% - Accent5 9 2 3 4" xfId="14742"/>
    <cellStyle name="20% - Accent5 9 2 3 5" xfId="18693"/>
    <cellStyle name="20% - Accent5 9 2 4" xfId="3522"/>
    <cellStyle name="20% - Accent5 9 2 4 2" xfId="3523"/>
    <cellStyle name="20% - Accent5 9 2 4 2 2" xfId="14746"/>
    <cellStyle name="20% - Accent5 9 2 4 2 3" xfId="18697"/>
    <cellStyle name="20% - Accent5 9 2 4 3" xfId="3524"/>
    <cellStyle name="20% - Accent5 9 2 4 3 2" xfId="14747"/>
    <cellStyle name="20% - Accent5 9 2 4 3 3" xfId="18698"/>
    <cellStyle name="20% - Accent5 9 2 4 4" xfId="14745"/>
    <cellStyle name="20% - Accent5 9 2 4 5" xfId="18696"/>
    <cellStyle name="20% - Accent5 9 2 5" xfId="3525"/>
    <cellStyle name="20% - Accent5 9 2 5 2" xfId="14748"/>
    <cellStyle name="20% - Accent5 9 2 5 3" xfId="18699"/>
    <cellStyle name="20% - Accent5 9 2 6" xfId="3526"/>
    <cellStyle name="20% - Accent5 9 2 6 2" xfId="14749"/>
    <cellStyle name="20% - Accent5 9 2 6 3" xfId="18700"/>
    <cellStyle name="20% - Accent5 9 2 7" xfId="14738"/>
    <cellStyle name="20% - Accent5 9 2 8" xfId="18689"/>
    <cellStyle name="20% - Accent5 9 2_Volatility" xfId="3527"/>
    <cellStyle name="20% - Accent5 9 3" xfId="3528"/>
    <cellStyle name="20% - Accent5 9 3 2" xfId="3529"/>
    <cellStyle name="20% - Accent5 9 3 2 2" xfId="3530"/>
    <cellStyle name="20% - Accent5 9 3 2 2 2" xfId="14752"/>
    <cellStyle name="20% - Accent5 9 3 2 2 3" xfId="18703"/>
    <cellStyle name="20% - Accent5 9 3 2 3" xfId="3531"/>
    <cellStyle name="20% - Accent5 9 3 2 3 2" xfId="14753"/>
    <cellStyle name="20% - Accent5 9 3 2 3 3" xfId="18704"/>
    <cellStyle name="20% - Accent5 9 3 2 4" xfId="14751"/>
    <cellStyle name="20% - Accent5 9 3 2 5" xfId="18702"/>
    <cellStyle name="20% - Accent5 9 3 3" xfId="3532"/>
    <cellStyle name="20% - Accent5 9 3 3 2" xfId="3533"/>
    <cellStyle name="20% - Accent5 9 3 3 2 2" xfId="14755"/>
    <cellStyle name="20% - Accent5 9 3 3 2 3" xfId="18706"/>
    <cellStyle name="20% - Accent5 9 3 3 3" xfId="3534"/>
    <cellStyle name="20% - Accent5 9 3 3 3 2" xfId="14756"/>
    <cellStyle name="20% - Accent5 9 3 3 3 3" xfId="18707"/>
    <cellStyle name="20% - Accent5 9 3 3 4" xfId="14754"/>
    <cellStyle name="20% - Accent5 9 3 3 5" xfId="18705"/>
    <cellStyle name="20% - Accent5 9 3 4" xfId="3535"/>
    <cellStyle name="20% - Accent5 9 3 4 2" xfId="14757"/>
    <cellStyle name="20% - Accent5 9 3 4 3" xfId="18708"/>
    <cellStyle name="20% - Accent5 9 3 5" xfId="3536"/>
    <cellStyle name="20% - Accent5 9 3 5 2" xfId="14758"/>
    <cellStyle name="20% - Accent5 9 3 5 3" xfId="18709"/>
    <cellStyle name="20% - Accent5 9 3 6" xfId="14750"/>
    <cellStyle name="20% - Accent5 9 3 7" xfId="18701"/>
    <cellStyle name="20% - Accent5 9 3_Volatility" xfId="3537"/>
    <cellStyle name="20% - Accent5 9 4" xfId="3538"/>
    <cellStyle name="20% - Accent5 9 4 2" xfId="3539"/>
    <cellStyle name="20% - Accent5 9 4 2 2" xfId="14760"/>
    <cellStyle name="20% - Accent5 9 4 2 3" xfId="18711"/>
    <cellStyle name="20% - Accent5 9 4 3" xfId="3540"/>
    <cellStyle name="20% - Accent5 9 4 3 2" xfId="14761"/>
    <cellStyle name="20% - Accent5 9 4 3 3" xfId="18712"/>
    <cellStyle name="20% - Accent5 9 4 4" xfId="14759"/>
    <cellStyle name="20% - Accent5 9 4 5" xfId="18710"/>
    <cellStyle name="20% - Accent5 9 5" xfId="3541"/>
    <cellStyle name="20% - Accent5 9 5 2" xfId="3542"/>
    <cellStyle name="20% - Accent5 9 5 2 2" xfId="14763"/>
    <cellStyle name="20% - Accent5 9 5 2 3" xfId="18714"/>
    <cellStyle name="20% - Accent5 9 5 3" xfId="3543"/>
    <cellStyle name="20% - Accent5 9 5 3 2" xfId="14764"/>
    <cellStyle name="20% - Accent5 9 5 3 3" xfId="18715"/>
    <cellStyle name="20% - Accent5 9 5 4" xfId="14762"/>
    <cellStyle name="20% - Accent5 9 5 5" xfId="18713"/>
    <cellStyle name="20% - Accent5 9 6" xfId="3544"/>
    <cellStyle name="20% - Accent5 9 6 2" xfId="3545"/>
    <cellStyle name="20% - Accent5 9 6 2 2" xfId="14766"/>
    <cellStyle name="20% - Accent5 9 6 2 3" xfId="18717"/>
    <cellStyle name="20% - Accent5 9 6 3" xfId="3546"/>
    <cellStyle name="20% - Accent5 9 6 3 2" xfId="14767"/>
    <cellStyle name="20% - Accent5 9 6 3 3" xfId="18718"/>
    <cellStyle name="20% - Accent5 9 6 4" xfId="14765"/>
    <cellStyle name="20% - Accent5 9 6 5" xfId="18716"/>
    <cellStyle name="20% - Accent5 9 7" xfId="3547"/>
    <cellStyle name="20% - Accent5 9 7 2" xfId="14768"/>
    <cellStyle name="20% - Accent5 9 7 3" xfId="18719"/>
    <cellStyle name="20% - Accent5 9 8" xfId="3548"/>
    <cellStyle name="20% - Accent5 9 8 2" xfId="14769"/>
    <cellStyle name="20% - Accent5 9 8 3" xfId="18720"/>
    <cellStyle name="20% - Accent5 9 9" xfId="14737"/>
    <cellStyle name="20% - Accent5 9_Volatility" xfId="3549"/>
    <cellStyle name="20% - Accent6 10" xfId="3550"/>
    <cellStyle name="20% - Accent6 10 10" xfId="18721"/>
    <cellStyle name="20% - Accent6 10 2" xfId="3551"/>
    <cellStyle name="20% - Accent6 10 2 2" xfId="3552"/>
    <cellStyle name="20% - Accent6 10 2 2 2" xfId="3553"/>
    <cellStyle name="20% - Accent6 10 2 2 2 2" xfId="14773"/>
    <cellStyle name="20% - Accent6 10 2 2 2 3" xfId="18724"/>
    <cellStyle name="20% - Accent6 10 2 2 3" xfId="3554"/>
    <cellStyle name="20% - Accent6 10 2 2 3 2" xfId="14774"/>
    <cellStyle name="20% - Accent6 10 2 2 3 3" xfId="18725"/>
    <cellStyle name="20% - Accent6 10 2 2 4" xfId="14772"/>
    <cellStyle name="20% - Accent6 10 2 2 5" xfId="18723"/>
    <cellStyle name="20% - Accent6 10 2 3" xfId="3555"/>
    <cellStyle name="20% - Accent6 10 2 3 2" xfId="3556"/>
    <cellStyle name="20% - Accent6 10 2 3 2 2" xfId="14776"/>
    <cellStyle name="20% - Accent6 10 2 3 2 3" xfId="18727"/>
    <cellStyle name="20% - Accent6 10 2 3 3" xfId="3557"/>
    <cellStyle name="20% - Accent6 10 2 3 3 2" xfId="14777"/>
    <cellStyle name="20% - Accent6 10 2 3 3 3" xfId="18728"/>
    <cellStyle name="20% - Accent6 10 2 3 4" xfId="14775"/>
    <cellStyle name="20% - Accent6 10 2 3 5" xfId="18726"/>
    <cellStyle name="20% - Accent6 10 2 4" xfId="3558"/>
    <cellStyle name="20% - Accent6 10 2 4 2" xfId="3559"/>
    <cellStyle name="20% - Accent6 10 2 4 2 2" xfId="14779"/>
    <cellStyle name="20% - Accent6 10 2 4 2 3" xfId="18730"/>
    <cellStyle name="20% - Accent6 10 2 4 3" xfId="3560"/>
    <cellStyle name="20% - Accent6 10 2 4 3 2" xfId="14780"/>
    <cellStyle name="20% - Accent6 10 2 4 3 3" xfId="18731"/>
    <cellStyle name="20% - Accent6 10 2 4 4" xfId="14778"/>
    <cellStyle name="20% - Accent6 10 2 4 5" xfId="18729"/>
    <cellStyle name="20% - Accent6 10 2 5" xfId="3561"/>
    <cellStyle name="20% - Accent6 10 2 5 2" xfId="14781"/>
    <cellStyle name="20% - Accent6 10 2 5 3" xfId="18732"/>
    <cellStyle name="20% - Accent6 10 2 6" xfId="3562"/>
    <cellStyle name="20% - Accent6 10 2 6 2" xfId="14782"/>
    <cellStyle name="20% - Accent6 10 2 6 3" xfId="18733"/>
    <cellStyle name="20% - Accent6 10 2 7" xfId="14771"/>
    <cellStyle name="20% - Accent6 10 2 8" xfId="18722"/>
    <cellStyle name="20% - Accent6 10 2_Volatility" xfId="3563"/>
    <cellStyle name="20% - Accent6 10 3" xfId="3564"/>
    <cellStyle name="20% - Accent6 10 3 2" xfId="3565"/>
    <cellStyle name="20% - Accent6 10 3 2 2" xfId="3566"/>
    <cellStyle name="20% - Accent6 10 3 2 2 2" xfId="14785"/>
    <cellStyle name="20% - Accent6 10 3 2 2 3" xfId="18736"/>
    <cellStyle name="20% - Accent6 10 3 2 3" xfId="3567"/>
    <cellStyle name="20% - Accent6 10 3 2 3 2" xfId="14786"/>
    <cellStyle name="20% - Accent6 10 3 2 3 3" xfId="18737"/>
    <cellStyle name="20% - Accent6 10 3 2 4" xfId="14784"/>
    <cellStyle name="20% - Accent6 10 3 2 5" xfId="18735"/>
    <cellStyle name="20% - Accent6 10 3 3" xfId="3568"/>
    <cellStyle name="20% - Accent6 10 3 3 2" xfId="3569"/>
    <cellStyle name="20% - Accent6 10 3 3 2 2" xfId="14788"/>
    <cellStyle name="20% - Accent6 10 3 3 2 3" xfId="18739"/>
    <cellStyle name="20% - Accent6 10 3 3 3" xfId="3570"/>
    <cellStyle name="20% - Accent6 10 3 3 3 2" xfId="14789"/>
    <cellStyle name="20% - Accent6 10 3 3 3 3" xfId="18740"/>
    <cellStyle name="20% - Accent6 10 3 3 4" xfId="14787"/>
    <cellStyle name="20% - Accent6 10 3 3 5" xfId="18738"/>
    <cellStyle name="20% - Accent6 10 3 4" xfId="3571"/>
    <cellStyle name="20% - Accent6 10 3 4 2" xfId="14790"/>
    <cellStyle name="20% - Accent6 10 3 4 3" xfId="18741"/>
    <cellStyle name="20% - Accent6 10 3 5" xfId="3572"/>
    <cellStyle name="20% - Accent6 10 3 5 2" xfId="14791"/>
    <cellStyle name="20% - Accent6 10 3 5 3" xfId="18742"/>
    <cellStyle name="20% - Accent6 10 3 6" xfId="14783"/>
    <cellStyle name="20% - Accent6 10 3 7" xfId="18734"/>
    <cellStyle name="20% - Accent6 10 3_Volatility" xfId="3573"/>
    <cellStyle name="20% - Accent6 10 4" xfId="3574"/>
    <cellStyle name="20% - Accent6 10 4 2" xfId="3575"/>
    <cellStyle name="20% - Accent6 10 4 2 2" xfId="14793"/>
    <cellStyle name="20% - Accent6 10 4 2 3" xfId="18744"/>
    <cellStyle name="20% - Accent6 10 4 3" xfId="3576"/>
    <cellStyle name="20% - Accent6 10 4 3 2" xfId="14794"/>
    <cellStyle name="20% - Accent6 10 4 3 3" xfId="18745"/>
    <cellStyle name="20% - Accent6 10 4 4" xfId="14792"/>
    <cellStyle name="20% - Accent6 10 4 5" xfId="18743"/>
    <cellStyle name="20% - Accent6 10 5" xfId="3577"/>
    <cellStyle name="20% - Accent6 10 5 2" xfId="3578"/>
    <cellStyle name="20% - Accent6 10 5 2 2" xfId="14796"/>
    <cellStyle name="20% - Accent6 10 5 2 3" xfId="18747"/>
    <cellStyle name="20% - Accent6 10 5 3" xfId="3579"/>
    <cellStyle name="20% - Accent6 10 5 3 2" xfId="14797"/>
    <cellStyle name="20% - Accent6 10 5 3 3" xfId="18748"/>
    <cellStyle name="20% - Accent6 10 5 4" xfId="14795"/>
    <cellStyle name="20% - Accent6 10 5 5" xfId="18746"/>
    <cellStyle name="20% - Accent6 10 6" xfId="3580"/>
    <cellStyle name="20% - Accent6 10 6 2" xfId="3581"/>
    <cellStyle name="20% - Accent6 10 6 2 2" xfId="14799"/>
    <cellStyle name="20% - Accent6 10 6 2 3" xfId="18750"/>
    <cellStyle name="20% - Accent6 10 6 3" xfId="3582"/>
    <cellStyle name="20% - Accent6 10 6 3 2" xfId="14800"/>
    <cellStyle name="20% - Accent6 10 6 3 3" xfId="18751"/>
    <cellStyle name="20% - Accent6 10 6 4" xfId="14798"/>
    <cellStyle name="20% - Accent6 10 6 5" xfId="18749"/>
    <cellStyle name="20% - Accent6 10 7" xfId="3583"/>
    <cellStyle name="20% - Accent6 10 7 2" xfId="14801"/>
    <cellStyle name="20% - Accent6 10 7 3" xfId="18752"/>
    <cellStyle name="20% - Accent6 10 8" xfId="3584"/>
    <cellStyle name="20% - Accent6 10 8 2" xfId="14802"/>
    <cellStyle name="20% - Accent6 10 8 3" xfId="18753"/>
    <cellStyle name="20% - Accent6 10 9" xfId="14770"/>
    <cellStyle name="20% - Accent6 10_Volatility" xfId="3585"/>
    <cellStyle name="20% - Accent6 11" xfId="3586"/>
    <cellStyle name="20% - Accent6 11 10" xfId="18754"/>
    <cellStyle name="20% - Accent6 11 2" xfId="3587"/>
    <cellStyle name="20% - Accent6 11 2 2" xfId="3588"/>
    <cellStyle name="20% - Accent6 11 2 2 2" xfId="3589"/>
    <cellStyle name="20% - Accent6 11 2 2 2 2" xfId="14806"/>
    <cellStyle name="20% - Accent6 11 2 2 2 3" xfId="18757"/>
    <cellStyle name="20% - Accent6 11 2 2 3" xfId="3590"/>
    <cellStyle name="20% - Accent6 11 2 2 3 2" xfId="14807"/>
    <cellStyle name="20% - Accent6 11 2 2 3 3" xfId="18758"/>
    <cellStyle name="20% - Accent6 11 2 2 4" xfId="14805"/>
    <cellStyle name="20% - Accent6 11 2 2 5" xfId="18756"/>
    <cellStyle name="20% - Accent6 11 2 3" xfId="3591"/>
    <cellStyle name="20% - Accent6 11 2 3 2" xfId="3592"/>
    <cellStyle name="20% - Accent6 11 2 3 2 2" xfId="14809"/>
    <cellStyle name="20% - Accent6 11 2 3 2 3" xfId="18760"/>
    <cellStyle name="20% - Accent6 11 2 3 3" xfId="3593"/>
    <cellStyle name="20% - Accent6 11 2 3 3 2" xfId="14810"/>
    <cellStyle name="20% - Accent6 11 2 3 3 3" xfId="18761"/>
    <cellStyle name="20% - Accent6 11 2 3 4" xfId="14808"/>
    <cellStyle name="20% - Accent6 11 2 3 5" xfId="18759"/>
    <cellStyle name="20% - Accent6 11 2 4" xfId="3594"/>
    <cellStyle name="20% - Accent6 11 2 4 2" xfId="3595"/>
    <cellStyle name="20% - Accent6 11 2 4 2 2" xfId="14812"/>
    <cellStyle name="20% - Accent6 11 2 4 2 3" xfId="18763"/>
    <cellStyle name="20% - Accent6 11 2 4 3" xfId="3596"/>
    <cellStyle name="20% - Accent6 11 2 4 3 2" xfId="14813"/>
    <cellStyle name="20% - Accent6 11 2 4 3 3" xfId="18764"/>
    <cellStyle name="20% - Accent6 11 2 4 4" xfId="14811"/>
    <cellStyle name="20% - Accent6 11 2 4 5" xfId="18762"/>
    <cellStyle name="20% - Accent6 11 2 5" xfId="3597"/>
    <cellStyle name="20% - Accent6 11 2 5 2" xfId="14814"/>
    <cellStyle name="20% - Accent6 11 2 5 3" xfId="18765"/>
    <cellStyle name="20% - Accent6 11 2 6" xfId="3598"/>
    <cellStyle name="20% - Accent6 11 2 6 2" xfId="14815"/>
    <cellStyle name="20% - Accent6 11 2 6 3" xfId="18766"/>
    <cellStyle name="20% - Accent6 11 2 7" xfId="14804"/>
    <cellStyle name="20% - Accent6 11 2 8" xfId="18755"/>
    <cellStyle name="20% - Accent6 11 2_Volatility" xfId="3599"/>
    <cellStyle name="20% - Accent6 11 3" xfId="3600"/>
    <cellStyle name="20% - Accent6 11 3 2" xfId="3601"/>
    <cellStyle name="20% - Accent6 11 3 2 2" xfId="3602"/>
    <cellStyle name="20% - Accent6 11 3 2 2 2" xfId="14818"/>
    <cellStyle name="20% - Accent6 11 3 2 2 3" xfId="18769"/>
    <cellStyle name="20% - Accent6 11 3 2 3" xfId="3603"/>
    <cellStyle name="20% - Accent6 11 3 2 3 2" xfId="14819"/>
    <cellStyle name="20% - Accent6 11 3 2 3 3" xfId="18770"/>
    <cellStyle name="20% - Accent6 11 3 2 4" xfId="14817"/>
    <cellStyle name="20% - Accent6 11 3 2 5" xfId="18768"/>
    <cellStyle name="20% - Accent6 11 3 3" xfId="3604"/>
    <cellStyle name="20% - Accent6 11 3 3 2" xfId="3605"/>
    <cellStyle name="20% - Accent6 11 3 3 2 2" xfId="14821"/>
    <cellStyle name="20% - Accent6 11 3 3 2 3" xfId="18772"/>
    <cellStyle name="20% - Accent6 11 3 3 3" xfId="3606"/>
    <cellStyle name="20% - Accent6 11 3 3 3 2" xfId="14822"/>
    <cellStyle name="20% - Accent6 11 3 3 3 3" xfId="18773"/>
    <cellStyle name="20% - Accent6 11 3 3 4" xfId="14820"/>
    <cellStyle name="20% - Accent6 11 3 3 5" xfId="18771"/>
    <cellStyle name="20% - Accent6 11 3 4" xfId="3607"/>
    <cellStyle name="20% - Accent6 11 3 4 2" xfId="14823"/>
    <cellStyle name="20% - Accent6 11 3 4 3" xfId="18774"/>
    <cellStyle name="20% - Accent6 11 3 5" xfId="3608"/>
    <cellStyle name="20% - Accent6 11 3 5 2" xfId="14824"/>
    <cellStyle name="20% - Accent6 11 3 5 3" xfId="18775"/>
    <cellStyle name="20% - Accent6 11 3 6" xfId="14816"/>
    <cellStyle name="20% - Accent6 11 3 7" xfId="18767"/>
    <cellStyle name="20% - Accent6 11 3_Volatility" xfId="3609"/>
    <cellStyle name="20% - Accent6 11 4" xfId="3610"/>
    <cellStyle name="20% - Accent6 11 4 2" xfId="3611"/>
    <cellStyle name="20% - Accent6 11 4 2 2" xfId="14826"/>
    <cellStyle name="20% - Accent6 11 4 2 3" xfId="18777"/>
    <cellStyle name="20% - Accent6 11 4 3" xfId="3612"/>
    <cellStyle name="20% - Accent6 11 4 3 2" xfId="14827"/>
    <cellStyle name="20% - Accent6 11 4 3 3" xfId="18778"/>
    <cellStyle name="20% - Accent6 11 4 4" xfId="14825"/>
    <cellStyle name="20% - Accent6 11 4 5" xfId="18776"/>
    <cellStyle name="20% - Accent6 11 5" xfId="3613"/>
    <cellStyle name="20% - Accent6 11 5 2" xfId="3614"/>
    <cellStyle name="20% - Accent6 11 5 2 2" xfId="14829"/>
    <cellStyle name="20% - Accent6 11 5 2 3" xfId="18780"/>
    <cellStyle name="20% - Accent6 11 5 3" xfId="3615"/>
    <cellStyle name="20% - Accent6 11 5 3 2" xfId="14830"/>
    <cellStyle name="20% - Accent6 11 5 3 3" xfId="18781"/>
    <cellStyle name="20% - Accent6 11 5 4" xfId="14828"/>
    <cellStyle name="20% - Accent6 11 5 5" xfId="18779"/>
    <cellStyle name="20% - Accent6 11 6" xfId="3616"/>
    <cellStyle name="20% - Accent6 11 6 2" xfId="3617"/>
    <cellStyle name="20% - Accent6 11 6 2 2" xfId="14832"/>
    <cellStyle name="20% - Accent6 11 6 2 3" xfId="18783"/>
    <cellStyle name="20% - Accent6 11 6 3" xfId="3618"/>
    <cellStyle name="20% - Accent6 11 6 3 2" xfId="14833"/>
    <cellStyle name="20% - Accent6 11 6 3 3" xfId="18784"/>
    <cellStyle name="20% - Accent6 11 6 4" xfId="14831"/>
    <cellStyle name="20% - Accent6 11 6 5" xfId="18782"/>
    <cellStyle name="20% - Accent6 11 7" xfId="3619"/>
    <cellStyle name="20% - Accent6 11 7 2" xfId="14834"/>
    <cellStyle name="20% - Accent6 11 7 3" xfId="18785"/>
    <cellStyle name="20% - Accent6 11 8" xfId="3620"/>
    <cellStyle name="20% - Accent6 11 8 2" xfId="14835"/>
    <cellStyle name="20% - Accent6 11 8 3" xfId="18786"/>
    <cellStyle name="20% - Accent6 11 9" xfId="14803"/>
    <cellStyle name="20% - Accent6 11_Volatility" xfId="3621"/>
    <cellStyle name="20% - Accent6 12" xfId="3622"/>
    <cellStyle name="20% - Accent6 12 10" xfId="18787"/>
    <cellStyle name="20% - Accent6 12 2" xfId="3623"/>
    <cellStyle name="20% - Accent6 12 2 2" xfId="3624"/>
    <cellStyle name="20% - Accent6 12 2 2 2" xfId="3625"/>
    <cellStyle name="20% - Accent6 12 2 2 2 2" xfId="14839"/>
    <cellStyle name="20% - Accent6 12 2 2 2 3" xfId="18790"/>
    <cellStyle name="20% - Accent6 12 2 2 3" xfId="3626"/>
    <cellStyle name="20% - Accent6 12 2 2 3 2" xfId="14840"/>
    <cellStyle name="20% - Accent6 12 2 2 3 3" xfId="18791"/>
    <cellStyle name="20% - Accent6 12 2 2 4" xfId="14838"/>
    <cellStyle name="20% - Accent6 12 2 2 5" xfId="18789"/>
    <cellStyle name="20% - Accent6 12 2 3" xfId="3627"/>
    <cellStyle name="20% - Accent6 12 2 3 2" xfId="3628"/>
    <cellStyle name="20% - Accent6 12 2 3 2 2" xfId="14842"/>
    <cellStyle name="20% - Accent6 12 2 3 2 3" xfId="18793"/>
    <cellStyle name="20% - Accent6 12 2 3 3" xfId="3629"/>
    <cellStyle name="20% - Accent6 12 2 3 3 2" xfId="14843"/>
    <cellStyle name="20% - Accent6 12 2 3 3 3" xfId="18794"/>
    <cellStyle name="20% - Accent6 12 2 3 4" xfId="14841"/>
    <cellStyle name="20% - Accent6 12 2 3 5" xfId="18792"/>
    <cellStyle name="20% - Accent6 12 2 4" xfId="3630"/>
    <cellStyle name="20% - Accent6 12 2 4 2" xfId="3631"/>
    <cellStyle name="20% - Accent6 12 2 4 2 2" xfId="14845"/>
    <cellStyle name="20% - Accent6 12 2 4 2 3" xfId="18796"/>
    <cellStyle name="20% - Accent6 12 2 4 3" xfId="3632"/>
    <cellStyle name="20% - Accent6 12 2 4 3 2" xfId="14846"/>
    <cellStyle name="20% - Accent6 12 2 4 3 3" xfId="18797"/>
    <cellStyle name="20% - Accent6 12 2 4 4" xfId="14844"/>
    <cellStyle name="20% - Accent6 12 2 4 5" xfId="18795"/>
    <cellStyle name="20% - Accent6 12 2 5" xfId="3633"/>
    <cellStyle name="20% - Accent6 12 2 5 2" xfId="14847"/>
    <cellStyle name="20% - Accent6 12 2 5 3" xfId="18798"/>
    <cellStyle name="20% - Accent6 12 2 6" xfId="3634"/>
    <cellStyle name="20% - Accent6 12 2 6 2" xfId="14848"/>
    <cellStyle name="20% - Accent6 12 2 6 3" xfId="18799"/>
    <cellStyle name="20% - Accent6 12 2 7" xfId="14837"/>
    <cellStyle name="20% - Accent6 12 2 8" xfId="18788"/>
    <cellStyle name="20% - Accent6 12 2_Volatility" xfId="3635"/>
    <cellStyle name="20% - Accent6 12 3" xfId="3636"/>
    <cellStyle name="20% - Accent6 12 3 2" xfId="3637"/>
    <cellStyle name="20% - Accent6 12 3 2 2" xfId="3638"/>
    <cellStyle name="20% - Accent6 12 3 2 2 2" xfId="14851"/>
    <cellStyle name="20% - Accent6 12 3 2 2 3" xfId="18802"/>
    <cellStyle name="20% - Accent6 12 3 2 3" xfId="3639"/>
    <cellStyle name="20% - Accent6 12 3 2 3 2" xfId="14852"/>
    <cellStyle name="20% - Accent6 12 3 2 3 3" xfId="18803"/>
    <cellStyle name="20% - Accent6 12 3 2 4" xfId="14850"/>
    <cellStyle name="20% - Accent6 12 3 2 5" xfId="18801"/>
    <cellStyle name="20% - Accent6 12 3 3" xfId="3640"/>
    <cellStyle name="20% - Accent6 12 3 3 2" xfId="3641"/>
    <cellStyle name="20% - Accent6 12 3 3 2 2" xfId="14854"/>
    <cellStyle name="20% - Accent6 12 3 3 2 3" xfId="18805"/>
    <cellStyle name="20% - Accent6 12 3 3 3" xfId="3642"/>
    <cellStyle name="20% - Accent6 12 3 3 3 2" xfId="14855"/>
    <cellStyle name="20% - Accent6 12 3 3 3 3" xfId="18806"/>
    <cellStyle name="20% - Accent6 12 3 3 4" xfId="14853"/>
    <cellStyle name="20% - Accent6 12 3 3 5" xfId="18804"/>
    <cellStyle name="20% - Accent6 12 3 4" xfId="3643"/>
    <cellStyle name="20% - Accent6 12 3 4 2" xfId="14856"/>
    <cellStyle name="20% - Accent6 12 3 4 3" xfId="18807"/>
    <cellStyle name="20% - Accent6 12 3 5" xfId="3644"/>
    <cellStyle name="20% - Accent6 12 3 5 2" xfId="14857"/>
    <cellStyle name="20% - Accent6 12 3 5 3" xfId="18808"/>
    <cellStyle name="20% - Accent6 12 3 6" xfId="14849"/>
    <cellStyle name="20% - Accent6 12 3 7" xfId="18800"/>
    <cellStyle name="20% - Accent6 12 3_Volatility" xfId="3645"/>
    <cellStyle name="20% - Accent6 12 4" xfId="3646"/>
    <cellStyle name="20% - Accent6 12 4 2" xfId="3647"/>
    <cellStyle name="20% - Accent6 12 4 2 2" xfId="14859"/>
    <cellStyle name="20% - Accent6 12 4 2 3" xfId="18810"/>
    <cellStyle name="20% - Accent6 12 4 3" xfId="3648"/>
    <cellStyle name="20% - Accent6 12 4 3 2" xfId="14860"/>
    <cellStyle name="20% - Accent6 12 4 3 3" xfId="18811"/>
    <cellStyle name="20% - Accent6 12 4 4" xfId="14858"/>
    <cellStyle name="20% - Accent6 12 4 5" xfId="18809"/>
    <cellStyle name="20% - Accent6 12 5" xfId="3649"/>
    <cellStyle name="20% - Accent6 12 5 2" xfId="3650"/>
    <cellStyle name="20% - Accent6 12 5 2 2" xfId="14862"/>
    <cellStyle name="20% - Accent6 12 5 2 3" xfId="18813"/>
    <cellStyle name="20% - Accent6 12 5 3" xfId="3651"/>
    <cellStyle name="20% - Accent6 12 5 3 2" xfId="14863"/>
    <cellStyle name="20% - Accent6 12 5 3 3" xfId="18814"/>
    <cellStyle name="20% - Accent6 12 5 4" xfId="14861"/>
    <cellStyle name="20% - Accent6 12 5 5" xfId="18812"/>
    <cellStyle name="20% - Accent6 12 6" xfId="3652"/>
    <cellStyle name="20% - Accent6 12 6 2" xfId="3653"/>
    <cellStyle name="20% - Accent6 12 6 2 2" xfId="14865"/>
    <cellStyle name="20% - Accent6 12 6 2 3" xfId="18816"/>
    <cellStyle name="20% - Accent6 12 6 3" xfId="3654"/>
    <cellStyle name="20% - Accent6 12 6 3 2" xfId="14866"/>
    <cellStyle name="20% - Accent6 12 6 3 3" xfId="18817"/>
    <cellStyle name="20% - Accent6 12 6 4" xfId="14864"/>
    <cellStyle name="20% - Accent6 12 6 5" xfId="18815"/>
    <cellStyle name="20% - Accent6 12 7" xfId="3655"/>
    <cellStyle name="20% - Accent6 12 7 2" xfId="14867"/>
    <cellStyle name="20% - Accent6 12 7 3" xfId="18818"/>
    <cellStyle name="20% - Accent6 12 8" xfId="3656"/>
    <cellStyle name="20% - Accent6 12 8 2" xfId="14868"/>
    <cellStyle name="20% - Accent6 12 8 3" xfId="18819"/>
    <cellStyle name="20% - Accent6 12 9" xfId="14836"/>
    <cellStyle name="20% - Accent6 12_Volatility" xfId="3657"/>
    <cellStyle name="20% - Accent6 13" xfId="3658"/>
    <cellStyle name="20% - Accent6 13 10" xfId="18820"/>
    <cellStyle name="20% - Accent6 13 2" xfId="3659"/>
    <cellStyle name="20% - Accent6 13 2 2" xfId="3660"/>
    <cellStyle name="20% - Accent6 13 2 2 2" xfId="3661"/>
    <cellStyle name="20% - Accent6 13 2 2 2 2" xfId="14872"/>
    <cellStyle name="20% - Accent6 13 2 2 2 3" xfId="18823"/>
    <cellStyle name="20% - Accent6 13 2 2 3" xfId="3662"/>
    <cellStyle name="20% - Accent6 13 2 2 3 2" xfId="14873"/>
    <cellStyle name="20% - Accent6 13 2 2 3 3" xfId="18824"/>
    <cellStyle name="20% - Accent6 13 2 2 4" xfId="14871"/>
    <cellStyle name="20% - Accent6 13 2 2 5" xfId="18822"/>
    <cellStyle name="20% - Accent6 13 2 3" xfId="3663"/>
    <cellStyle name="20% - Accent6 13 2 3 2" xfId="3664"/>
    <cellStyle name="20% - Accent6 13 2 3 2 2" xfId="14875"/>
    <cellStyle name="20% - Accent6 13 2 3 2 3" xfId="18826"/>
    <cellStyle name="20% - Accent6 13 2 3 3" xfId="3665"/>
    <cellStyle name="20% - Accent6 13 2 3 3 2" xfId="14876"/>
    <cellStyle name="20% - Accent6 13 2 3 3 3" xfId="18827"/>
    <cellStyle name="20% - Accent6 13 2 3 4" xfId="14874"/>
    <cellStyle name="20% - Accent6 13 2 3 5" xfId="18825"/>
    <cellStyle name="20% - Accent6 13 2 4" xfId="3666"/>
    <cellStyle name="20% - Accent6 13 2 4 2" xfId="3667"/>
    <cellStyle name="20% - Accent6 13 2 4 2 2" xfId="14878"/>
    <cellStyle name="20% - Accent6 13 2 4 2 3" xfId="18829"/>
    <cellStyle name="20% - Accent6 13 2 4 3" xfId="3668"/>
    <cellStyle name="20% - Accent6 13 2 4 3 2" xfId="14879"/>
    <cellStyle name="20% - Accent6 13 2 4 3 3" xfId="18830"/>
    <cellStyle name="20% - Accent6 13 2 4 4" xfId="14877"/>
    <cellStyle name="20% - Accent6 13 2 4 5" xfId="18828"/>
    <cellStyle name="20% - Accent6 13 2 5" xfId="3669"/>
    <cellStyle name="20% - Accent6 13 2 5 2" xfId="14880"/>
    <cellStyle name="20% - Accent6 13 2 5 3" xfId="18831"/>
    <cellStyle name="20% - Accent6 13 2 6" xfId="3670"/>
    <cellStyle name="20% - Accent6 13 2 6 2" xfId="14881"/>
    <cellStyle name="20% - Accent6 13 2 6 3" xfId="18832"/>
    <cellStyle name="20% - Accent6 13 2 7" xfId="14870"/>
    <cellStyle name="20% - Accent6 13 2 8" xfId="18821"/>
    <cellStyle name="20% - Accent6 13 2_Volatility" xfId="3671"/>
    <cellStyle name="20% - Accent6 13 3" xfId="3672"/>
    <cellStyle name="20% - Accent6 13 3 2" xfId="3673"/>
    <cellStyle name="20% - Accent6 13 3 2 2" xfId="3674"/>
    <cellStyle name="20% - Accent6 13 3 2 2 2" xfId="14884"/>
    <cellStyle name="20% - Accent6 13 3 2 2 3" xfId="18835"/>
    <cellStyle name="20% - Accent6 13 3 2 3" xfId="3675"/>
    <cellStyle name="20% - Accent6 13 3 2 3 2" xfId="14885"/>
    <cellStyle name="20% - Accent6 13 3 2 3 3" xfId="18836"/>
    <cellStyle name="20% - Accent6 13 3 2 4" xfId="14883"/>
    <cellStyle name="20% - Accent6 13 3 2 5" xfId="18834"/>
    <cellStyle name="20% - Accent6 13 3 3" xfId="3676"/>
    <cellStyle name="20% - Accent6 13 3 3 2" xfId="3677"/>
    <cellStyle name="20% - Accent6 13 3 3 2 2" xfId="14887"/>
    <cellStyle name="20% - Accent6 13 3 3 2 3" xfId="18838"/>
    <cellStyle name="20% - Accent6 13 3 3 3" xfId="3678"/>
    <cellStyle name="20% - Accent6 13 3 3 3 2" xfId="14888"/>
    <cellStyle name="20% - Accent6 13 3 3 3 3" xfId="18839"/>
    <cellStyle name="20% - Accent6 13 3 3 4" xfId="14886"/>
    <cellStyle name="20% - Accent6 13 3 3 5" xfId="18837"/>
    <cellStyle name="20% - Accent6 13 3 4" xfId="3679"/>
    <cellStyle name="20% - Accent6 13 3 4 2" xfId="14889"/>
    <cellStyle name="20% - Accent6 13 3 4 3" xfId="18840"/>
    <cellStyle name="20% - Accent6 13 3 5" xfId="3680"/>
    <cellStyle name="20% - Accent6 13 3 5 2" xfId="14890"/>
    <cellStyle name="20% - Accent6 13 3 5 3" xfId="18841"/>
    <cellStyle name="20% - Accent6 13 3 6" xfId="14882"/>
    <cellStyle name="20% - Accent6 13 3 7" xfId="18833"/>
    <cellStyle name="20% - Accent6 13 3_Volatility" xfId="3681"/>
    <cellStyle name="20% - Accent6 13 4" xfId="3682"/>
    <cellStyle name="20% - Accent6 13 4 2" xfId="3683"/>
    <cellStyle name="20% - Accent6 13 4 2 2" xfId="14892"/>
    <cellStyle name="20% - Accent6 13 4 2 3" xfId="18843"/>
    <cellStyle name="20% - Accent6 13 4 3" xfId="3684"/>
    <cellStyle name="20% - Accent6 13 4 3 2" xfId="14893"/>
    <cellStyle name="20% - Accent6 13 4 3 3" xfId="18844"/>
    <cellStyle name="20% - Accent6 13 4 4" xfId="14891"/>
    <cellStyle name="20% - Accent6 13 4 5" xfId="18842"/>
    <cellStyle name="20% - Accent6 13 5" xfId="3685"/>
    <cellStyle name="20% - Accent6 13 5 2" xfId="3686"/>
    <cellStyle name="20% - Accent6 13 5 2 2" xfId="14895"/>
    <cellStyle name="20% - Accent6 13 5 2 3" xfId="18846"/>
    <cellStyle name="20% - Accent6 13 5 3" xfId="3687"/>
    <cellStyle name="20% - Accent6 13 5 3 2" xfId="14896"/>
    <cellStyle name="20% - Accent6 13 5 3 3" xfId="18847"/>
    <cellStyle name="20% - Accent6 13 5 4" xfId="14894"/>
    <cellStyle name="20% - Accent6 13 5 5" xfId="18845"/>
    <cellStyle name="20% - Accent6 13 6" xfId="3688"/>
    <cellStyle name="20% - Accent6 13 6 2" xfId="3689"/>
    <cellStyle name="20% - Accent6 13 6 2 2" xfId="14898"/>
    <cellStyle name="20% - Accent6 13 6 2 3" xfId="18849"/>
    <cellStyle name="20% - Accent6 13 6 3" xfId="3690"/>
    <cellStyle name="20% - Accent6 13 6 3 2" xfId="14899"/>
    <cellStyle name="20% - Accent6 13 6 3 3" xfId="18850"/>
    <cellStyle name="20% - Accent6 13 6 4" xfId="14897"/>
    <cellStyle name="20% - Accent6 13 6 5" xfId="18848"/>
    <cellStyle name="20% - Accent6 13 7" xfId="3691"/>
    <cellStyle name="20% - Accent6 13 7 2" xfId="14900"/>
    <cellStyle name="20% - Accent6 13 7 3" xfId="18851"/>
    <cellStyle name="20% - Accent6 13 8" xfId="3692"/>
    <cellStyle name="20% - Accent6 13 8 2" xfId="14901"/>
    <cellStyle name="20% - Accent6 13 8 3" xfId="18852"/>
    <cellStyle name="20% - Accent6 13 9" xfId="14869"/>
    <cellStyle name="20% - Accent6 13_Volatility" xfId="3693"/>
    <cellStyle name="20% - Accent6 14" xfId="3694"/>
    <cellStyle name="20% - Accent6 14 10" xfId="18853"/>
    <cellStyle name="20% - Accent6 14 2" xfId="3695"/>
    <cellStyle name="20% - Accent6 14 2 2" xfId="3696"/>
    <cellStyle name="20% - Accent6 14 2 2 2" xfId="3697"/>
    <cellStyle name="20% - Accent6 14 2 2 2 2" xfId="14905"/>
    <cellStyle name="20% - Accent6 14 2 2 2 3" xfId="18856"/>
    <cellStyle name="20% - Accent6 14 2 2 3" xfId="3698"/>
    <cellStyle name="20% - Accent6 14 2 2 3 2" xfId="14906"/>
    <cellStyle name="20% - Accent6 14 2 2 3 3" xfId="18857"/>
    <cellStyle name="20% - Accent6 14 2 2 4" xfId="14904"/>
    <cellStyle name="20% - Accent6 14 2 2 5" xfId="18855"/>
    <cellStyle name="20% - Accent6 14 2 3" xfId="3699"/>
    <cellStyle name="20% - Accent6 14 2 3 2" xfId="3700"/>
    <cellStyle name="20% - Accent6 14 2 3 2 2" xfId="14908"/>
    <cellStyle name="20% - Accent6 14 2 3 2 3" xfId="18859"/>
    <cellStyle name="20% - Accent6 14 2 3 3" xfId="3701"/>
    <cellStyle name="20% - Accent6 14 2 3 3 2" xfId="14909"/>
    <cellStyle name="20% - Accent6 14 2 3 3 3" xfId="18860"/>
    <cellStyle name="20% - Accent6 14 2 3 4" xfId="14907"/>
    <cellStyle name="20% - Accent6 14 2 3 5" xfId="18858"/>
    <cellStyle name="20% - Accent6 14 2 4" xfId="3702"/>
    <cellStyle name="20% - Accent6 14 2 4 2" xfId="3703"/>
    <cellStyle name="20% - Accent6 14 2 4 2 2" xfId="14911"/>
    <cellStyle name="20% - Accent6 14 2 4 2 3" xfId="18862"/>
    <cellStyle name="20% - Accent6 14 2 4 3" xfId="3704"/>
    <cellStyle name="20% - Accent6 14 2 4 3 2" xfId="14912"/>
    <cellStyle name="20% - Accent6 14 2 4 3 3" xfId="18863"/>
    <cellStyle name="20% - Accent6 14 2 4 4" xfId="14910"/>
    <cellStyle name="20% - Accent6 14 2 4 5" xfId="18861"/>
    <cellStyle name="20% - Accent6 14 2 5" xfId="3705"/>
    <cellStyle name="20% - Accent6 14 2 5 2" xfId="14913"/>
    <cellStyle name="20% - Accent6 14 2 5 3" xfId="18864"/>
    <cellStyle name="20% - Accent6 14 2 6" xfId="3706"/>
    <cellStyle name="20% - Accent6 14 2 6 2" xfId="14914"/>
    <cellStyle name="20% - Accent6 14 2 6 3" xfId="18865"/>
    <cellStyle name="20% - Accent6 14 2 7" xfId="14903"/>
    <cellStyle name="20% - Accent6 14 2 8" xfId="18854"/>
    <cellStyle name="20% - Accent6 14 2_Volatility" xfId="3707"/>
    <cellStyle name="20% - Accent6 14 3" xfId="3708"/>
    <cellStyle name="20% - Accent6 14 3 2" xfId="3709"/>
    <cellStyle name="20% - Accent6 14 3 2 2" xfId="3710"/>
    <cellStyle name="20% - Accent6 14 3 2 2 2" xfId="14917"/>
    <cellStyle name="20% - Accent6 14 3 2 2 3" xfId="18868"/>
    <cellStyle name="20% - Accent6 14 3 2 3" xfId="3711"/>
    <cellStyle name="20% - Accent6 14 3 2 3 2" xfId="14918"/>
    <cellStyle name="20% - Accent6 14 3 2 3 3" xfId="18869"/>
    <cellStyle name="20% - Accent6 14 3 2 4" xfId="14916"/>
    <cellStyle name="20% - Accent6 14 3 2 5" xfId="18867"/>
    <cellStyle name="20% - Accent6 14 3 3" xfId="3712"/>
    <cellStyle name="20% - Accent6 14 3 3 2" xfId="3713"/>
    <cellStyle name="20% - Accent6 14 3 3 2 2" xfId="14920"/>
    <cellStyle name="20% - Accent6 14 3 3 2 3" xfId="18871"/>
    <cellStyle name="20% - Accent6 14 3 3 3" xfId="3714"/>
    <cellStyle name="20% - Accent6 14 3 3 3 2" xfId="14921"/>
    <cellStyle name="20% - Accent6 14 3 3 3 3" xfId="18872"/>
    <cellStyle name="20% - Accent6 14 3 3 4" xfId="14919"/>
    <cellStyle name="20% - Accent6 14 3 3 5" xfId="18870"/>
    <cellStyle name="20% - Accent6 14 3 4" xfId="3715"/>
    <cellStyle name="20% - Accent6 14 3 4 2" xfId="14922"/>
    <cellStyle name="20% - Accent6 14 3 4 3" xfId="18873"/>
    <cellStyle name="20% - Accent6 14 3 5" xfId="3716"/>
    <cellStyle name="20% - Accent6 14 3 5 2" xfId="14923"/>
    <cellStyle name="20% - Accent6 14 3 5 3" xfId="18874"/>
    <cellStyle name="20% - Accent6 14 3 6" xfId="14915"/>
    <cellStyle name="20% - Accent6 14 3 7" xfId="18866"/>
    <cellStyle name="20% - Accent6 14 3_Volatility" xfId="3717"/>
    <cellStyle name="20% - Accent6 14 4" xfId="3718"/>
    <cellStyle name="20% - Accent6 14 4 2" xfId="3719"/>
    <cellStyle name="20% - Accent6 14 4 2 2" xfId="14925"/>
    <cellStyle name="20% - Accent6 14 4 2 3" xfId="18876"/>
    <cellStyle name="20% - Accent6 14 4 3" xfId="3720"/>
    <cellStyle name="20% - Accent6 14 4 3 2" xfId="14926"/>
    <cellStyle name="20% - Accent6 14 4 3 3" xfId="18877"/>
    <cellStyle name="20% - Accent6 14 4 4" xfId="14924"/>
    <cellStyle name="20% - Accent6 14 4 5" xfId="18875"/>
    <cellStyle name="20% - Accent6 14 5" xfId="3721"/>
    <cellStyle name="20% - Accent6 14 5 2" xfId="3722"/>
    <cellStyle name="20% - Accent6 14 5 2 2" xfId="14928"/>
    <cellStyle name="20% - Accent6 14 5 2 3" xfId="18879"/>
    <cellStyle name="20% - Accent6 14 5 3" xfId="3723"/>
    <cellStyle name="20% - Accent6 14 5 3 2" xfId="14929"/>
    <cellStyle name="20% - Accent6 14 5 3 3" xfId="18880"/>
    <cellStyle name="20% - Accent6 14 5 4" xfId="14927"/>
    <cellStyle name="20% - Accent6 14 5 5" xfId="18878"/>
    <cellStyle name="20% - Accent6 14 6" xfId="3724"/>
    <cellStyle name="20% - Accent6 14 6 2" xfId="3725"/>
    <cellStyle name="20% - Accent6 14 6 2 2" xfId="14931"/>
    <cellStyle name="20% - Accent6 14 6 2 3" xfId="18882"/>
    <cellStyle name="20% - Accent6 14 6 3" xfId="3726"/>
    <cellStyle name="20% - Accent6 14 6 3 2" xfId="14932"/>
    <cellStyle name="20% - Accent6 14 6 3 3" xfId="18883"/>
    <cellStyle name="20% - Accent6 14 6 4" xfId="14930"/>
    <cellStyle name="20% - Accent6 14 6 5" xfId="18881"/>
    <cellStyle name="20% - Accent6 14 7" xfId="3727"/>
    <cellStyle name="20% - Accent6 14 7 2" xfId="14933"/>
    <cellStyle name="20% - Accent6 14 7 3" xfId="18884"/>
    <cellStyle name="20% - Accent6 14 8" xfId="3728"/>
    <cellStyle name="20% - Accent6 14 8 2" xfId="14934"/>
    <cellStyle name="20% - Accent6 14 8 3" xfId="18885"/>
    <cellStyle name="20% - Accent6 14 9" xfId="14902"/>
    <cellStyle name="20% - Accent6 14_Volatility" xfId="3729"/>
    <cellStyle name="20% - Accent6 15" xfId="3730"/>
    <cellStyle name="20% - Accent6 15 10" xfId="18886"/>
    <cellStyle name="20% - Accent6 15 2" xfId="3731"/>
    <cellStyle name="20% - Accent6 15 2 2" xfId="3732"/>
    <cellStyle name="20% - Accent6 15 2 2 2" xfId="3733"/>
    <cellStyle name="20% - Accent6 15 2 2 2 2" xfId="14938"/>
    <cellStyle name="20% - Accent6 15 2 2 2 3" xfId="18889"/>
    <cellStyle name="20% - Accent6 15 2 2 3" xfId="3734"/>
    <cellStyle name="20% - Accent6 15 2 2 3 2" xfId="14939"/>
    <cellStyle name="20% - Accent6 15 2 2 3 3" xfId="18890"/>
    <cellStyle name="20% - Accent6 15 2 2 4" xfId="14937"/>
    <cellStyle name="20% - Accent6 15 2 2 5" xfId="18888"/>
    <cellStyle name="20% - Accent6 15 2 3" xfId="3735"/>
    <cellStyle name="20% - Accent6 15 2 3 2" xfId="3736"/>
    <cellStyle name="20% - Accent6 15 2 3 2 2" xfId="14941"/>
    <cellStyle name="20% - Accent6 15 2 3 2 3" xfId="18892"/>
    <cellStyle name="20% - Accent6 15 2 3 3" xfId="3737"/>
    <cellStyle name="20% - Accent6 15 2 3 3 2" xfId="14942"/>
    <cellStyle name="20% - Accent6 15 2 3 3 3" xfId="18893"/>
    <cellStyle name="20% - Accent6 15 2 3 4" xfId="14940"/>
    <cellStyle name="20% - Accent6 15 2 3 5" xfId="18891"/>
    <cellStyle name="20% - Accent6 15 2 4" xfId="3738"/>
    <cellStyle name="20% - Accent6 15 2 4 2" xfId="3739"/>
    <cellStyle name="20% - Accent6 15 2 4 2 2" xfId="14944"/>
    <cellStyle name="20% - Accent6 15 2 4 2 3" xfId="18895"/>
    <cellStyle name="20% - Accent6 15 2 4 3" xfId="3740"/>
    <cellStyle name="20% - Accent6 15 2 4 3 2" xfId="14945"/>
    <cellStyle name="20% - Accent6 15 2 4 3 3" xfId="18896"/>
    <cellStyle name="20% - Accent6 15 2 4 4" xfId="14943"/>
    <cellStyle name="20% - Accent6 15 2 4 5" xfId="18894"/>
    <cellStyle name="20% - Accent6 15 2 5" xfId="3741"/>
    <cellStyle name="20% - Accent6 15 2 5 2" xfId="14946"/>
    <cellStyle name="20% - Accent6 15 2 5 3" xfId="18897"/>
    <cellStyle name="20% - Accent6 15 2 6" xfId="3742"/>
    <cellStyle name="20% - Accent6 15 2 6 2" xfId="14947"/>
    <cellStyle name="20% - Accent6 15 2 6 3" xfId="18898"/>
    <cellStyle name="20% - Accent6 15 2 7" xfId="14936"/>
    <cellStyle name="20% - Accent6 15 2 8" xfId="18887"/>
    <cellStyle name="20% - Accent6 15 2_Volatility" xfId="3743"/>
    <cellStyle name="20% - Accent6 15 3" xfId="3744"/>
    <cellStyle name="20% - Accent6 15 3 2" xfId="3745"/>
    <cellStyle name="20% - Accent6 15 3 2 2" xfId="3746"/>
    <cellStyle name="20% - Accent6 15 3 2 2 2" xfId="14950"/>
    <cellStyle name="20% - Accent6 15 3 2 2 3" xfId="18901"/>
    <cellStyle name="20% - Accent6 15 3 2 3" xfId="3747"/>
    <cellStyle name="20% - Accent6 15 3 2 3 2" xfId="14951"/>
    <cellStyle name="20% - Accent6 15 3 2 3 3" xfId="18902"/>
    <cellStyle name="20% - Accent6 15 3 2 4" xfId="14949"/>
    <cellStyle name="20% - Accent6 15 3 2 5" xfId="18900"/>
    <cellStyle name="20% - Accent6 15 3 3" xfId="3748"/>
    <cellStyle name="20% - Accent6 15 3 3 2" xfId="3749"/>
    <cellStyle name="20% - Accent6 15 3 3 2 2" xfId="14953"/>
    <cellStyle name="20% - Accent6 15 3 3 2 3" xfId="18904"/>
    <cellStyle name="20% - Accent6 15 3 3 3" xfId="3750"/>
    <cellStyle name="20% - Accent6 15 3 3 3 2" xfId="14954"/>
    <cellStyle name="20% - Accent6 15 3 3 3 3" xfId="18905"/>
    <cellStyle name="20% - Accent6 15 3 3 4" xfId="14952"/>
    <cellStyle name="20% - Accent6 15 3 3 5" xfId="18903"/>
    <cellStyle name="20% - Accent6 15 3 4" xfId="3751"/>
    <cellStyle name="20% - Accent6 15 3 4 2" xfId="14955"/>
    <cellStyle name="20% - Accent6 15 3 4 3" xfId="18906"/>
    <cellStyle name="20% - Accent6 15 3 5" xfId="3752"/>
    <cellStyle name="20% - Accent6 15 3 5 2" xfId="14956"/>
    <cellStyle name="20% - Accent6 15 3 5 3" xfId="18907"/>
    <cellStyle name="20% - Accent6 15 3 6" xfId="14948"/>
    <cellStyle name="20% - Accent6 15 3 7" xfId="18899"/>
    <cellStyle name="20% - Accent6 15 3_Volatility" xfId="3753"/>
    <cellStyle name="20% - Accent6 15 4" xfId="3754"/>
    <cellStyle name="20% - Accent6 15 4 2" xfId="3755"/>
    <cellStyle name="20% - Accent6 15 4 2 2" xfId="14958"/>
    <cellStyle name="20% - Accent6 15 4 2 3" xfId="18909"/>
    <cellStyle name="20% - Accent6 15 4 3" xfId="3756"/>
    <cellStyle name="20% - Accent6 15 4 3 2" xfId="14959"/>
    <cellStyle name="20% - Accent6 15 4 3 3" xfId="18910"/>
    <cellStyle name="20% - Accent6 15 4 4" xfId="14957"/>
    <cellStyle name="20% - Accent6 15 4 5" xfId="18908"/>
    <cellStyle name="20% - Accent6 15 5" xfId="3757"/>
    <cellStyle name="20% - Accent6 15 5 2" xfId="3758"/>
    <cellStyle name="20% - Accent6 15 5 2 2" xfId="14961"/>
    <cellStyle name="20% - Accent6 15 5 2 3" xfId="18912"/>
    <cellStyle name="20% - Accent6 15 5 3" xfId="3759"/>
    <cellStyle name="20% - Accent6 15 5 3 2" xfId="14962"/>
    <cellStyle name="20% - Accent6 15 5 3 3" xfId="18913"/>
    <cellStyle name="20% - Accent6 15 5 4" xfId="14960"/>
    <cellStyle name="20% - Accent6 15 5 5" xfId="18911"/>
    <cellStyle name="20% - Accent6 15 6" xfId="3760"/>
    <cellStyle name="20% - Accent6 15 6 2" xfId="3761"/>
    <cellStyle name="20% - Accent6 15 6 2 2" xfId="14964"/>
    <cellStyle name="20% - Accent6 15 6 2 3" xfId="18915"/>
    <cellStyle name="20% - Accent6 15 6 3" xfId="3762"/>
    <cellStyle name="20% - Accent6 15 6 3 2" xfId="14965"/>
    <cellStyle name="20% - Accent6 15 6 3 3" xfId="18916"/>
    <cellStyle name="20% - Accent6 15 6 4" xfId="14963"/>
    <cellStyle name="20% - Accent6 15 6 5" xfId="18914"/>
    <cellStyle name="20% - Accent6 15 7" xfId="3763"/>
    <cellStyle name="20% - Accent6 15 7 2" xfId="14966"/>
    <cellStyle name="20% - Accent6 15 7 3" xfId="18917"/>
    <cellStyle name="20% - Accent6 15 8" xfId="3764"/>
    <cellStyle name="20% - Accent6 15 8 2" xfId="14967"/>
    <cellStyle name="20% - Accent6 15 8 3" xfId="18918"/>
    <cellStyle name="20% - Accent6 15 9" xfId="14935"/>
    <cellStyle name="20% - Accent6 15_Volatility" xfId="3765"/>
    <cellStyle name="20% - Accent6 16" xfId="3766"/>
    <cellStyle name="20% - Accent6 16 2" xfId="14968"/>
    <cellStyle name="20% - Accent6 16 3" xfId="18919"/>
    <cellStyle name="20% - Accent6 17" xfId="3767"/>
    <cellStyle name="20% - Accent6 17 2" xfId="14969"/>
    <cellStyle name="20% - Accent6 17 3" xfId="18920"/>
    <cellStyle name="20% - Accent6 18" xfId="3768"/>
    <cellStyle name="20% - Accent6 18 2" xfId="14970"/>
    <cellStyle name="20% - Accent6 18 3" xfId="18921"/>
    <cellStyle name="20% - Accent6 19" xfId="3769"/>
    <cellStyle name="20% - Accent6 19 2" xfId="14971"/>
    <cellStyle name="20% - Accent6 19 3" xfId="18922"/>
    <cellStyle name="20% - Accent6 2" xfId="3770"/>
    <cellStyle name="20% - Accent6 2 10" xfId="18923"/>
    <cellStyle name="20% - Accent6 2 2" xfId="3771"/>
    <cellStyle name="20% - Accent6 2 2 2" xfId="3772"/>
    <cellStyle name="20% - Accent6 2 2 2 2" xfId="3773"/>
    <cellStyle name="20% - Accent6 2 2 2 2 2" xfId="14975"/>
    <cellStyle name="20% - Accent6 2 2 2 2 3" xfId="18926"/>
    <cellStyle name="20% - Accent6 2 2 2 3" xfId="3774"/>
    <cellStyle name="20% - Accent6 2 2 2 3 2" xfId="14976"/>
    <cellStyle name="20% - Accent6 2 2 2 3 3" xfId="18927"/>
    <cellStyle name="20% - Accent6 2 2 2 4" xfId="14974"/>
    <cellStyle name="20% - Accent6 2 2 2 5" xfId="18925"/>
    <cellStyle name="20% - Accent6 2 2 3" xfId="3775"/>
    <cellStyle name="20% - Accent6 2 2 3 2" xfId="3776"/>
    <cellStyle name="20% - Accent6 2 2 3 2 2" xfId="14978"/>
    <cellStyle name="20% - Accent6 2 2 3 2 3" xfId="18929"/>
    <cellStyle name="20% - Accent6 2 2 3 3" xfId="3777"/>
    <cellStyle name="20% - Accent6 2 2 3 3 2" xfId="14979"/>
    <cellStyle name="20% - Accent6 2 2 3 3 3" xfId="18930"/>
    <cellStyle name="20% - Accent6 2 2 3 4" xfId="14977"/>
    <cellStyle name="20% - Accent6 2 2 3 5" xfId="18928"/>
    <cellStyle name="20% - Accent6 2 2 4" xfId="3778"/>
    <cellStyle name="20% - Accent6 2 2 4 2" xfId="3779"/>
    <cellStyle name="20% - Accent6 2 2 4 2 2" xfId="14981"/>
    <cellStyle name="20% - Accent6 2 2 4 2 3" xfId="18932"/>
    <cellStyle name="20% - Accent6 2 2 4 3" xfId="3780"/>
    <cellStyle name="20% - Accent6 2 2 4 3 2" xfId="14982"/>
    <cellStyle name="20% - Accent6 2 2 4 3 3" xfId="18933"/>
    <cellStyle name="20% - Accent6 2 2 4 4" xfId="14980"/>
    <cellStyle name="20% - Accent6 2 2 4 5" xfId="18931"/>
    <cellStyle name="20% - Accent6 2 2 5" xfId="3781"/>
    <cellStyle name="20% - Accent6 2 2 5 2" xfId="14983"/>
    <cellStyle name="20% - Accent6 2 2 5 3" xfId="18934"/>
    <cellStyle name="20% - Accent6 2 2 6" xfId="3782"/>
    <cellStyle name="20% - Accent6 2 2 6 2" xfId="14984"/>
    <cellStyle name="20% - Accent6 2 2 6 3" xfId="18935"/>
    <cellStyle name="20% - Accent6 2 2 7" xfId="14973"/>
    <cellStyle name="20% - Accent6 2 2 8" xfId="18924"/>
    <cellStyle name="20% - Accent6 2 2_Volatility" xfId="3783"/>
    <cellStyle name="20% - Accent6 2 3" xfId="3784"/>
    <cellStyle name="20% - Accent6 2 3 2" xfId="3785"/>
    <cellStyle name="20% - Accent6 2 3 2 2" xfId="3786"/>
    <cellStyle name="20% - Accent6 2 3 2 2 2" xfId="14987"/>
    <cellStyle name="20% - Accent6 2 3 2 2 3" xfId="18938"/>
    <cellStyle name="20% - Accent6 2 3 2 3" xfId="3787"/>
    <cellStyle name="20% - Accent6 2 3 2 3 2" xfId="14988"/>
    <cellStyle name="20% - Accent6 2 3 2 3 3" xfId="18939"/>
    <cellStyle name="20% - Accent6 2 3 2 4" xfId="14986"/>
    <cellStyle name="20% - Accent6 2 3 2 5" xfId="18937"/>
    <cellStyle name="20% - Accent6 2 3 3" xfId="3788"/>
    <cellStyle name="20% - Accent6 2 3 3 2" xfId="3789"/>
    <cellStyle name="20% - Accent6 2 3 3 2 2" xfId="14990"/>
    <cellStyle name="20% - Accent6 2 3 3 2 3" xfId="18941"/>
    <cellStyle name="20% - Accent6 2 3 3 3" xfId="3790"/>
    <cellStyle name="20% - Accent6 2 3 3 3 2" xfId="14991"/>
    <cellStyle name="20% - Accent6 2 3 3 3 3" xfId="18942"/>
    <cellStyle name="20% - Accent6 2 3 3 4" xfId="14989"/>
    <cellStyle name="20% - Accent6 2 3 3 5" xfId="18940"/>
    <cellStyle name="20% - Accent6 2 3 4" xfId="3791"/>
    <cellStyle name="20% - Accent6 2 3 4 2" xfId="14992"/>
    <cellStyle name="20% - Accent6 2 3 4 3" xfId="18943"/>
    <cellStyle name="20% - Accent6 2 3 5" xfId="3792"/>
    <cellStyle name="20% - Accent6 2 3 5 2" xfId="14993"/>
    <cellStyle name="20% - Accent6 2 3 5 3" xfId="18944"/>
    <cellStyle name="20% - Accent6 2 3 6" xfId="14985"/>
    <cellStyle name="20% - Accent6 2 3 7" xfId="18936"/>
    <cellStyle name="20% - Accent6 2 3_Volatility" xfId="3793"/>
    <cellStyle name="20% - Accent6 2 4" xfId="3794"/>
    <cellStyle name="20% - Accent6 2 4 2" xfId="3795"/>
    <cellStyle name="20% - Accent6 2 4 2 2" xfId="14995"/>
    <cellStyle name="20% - Accent6 2 4 2 3" xfId="18946"/>
    <cellStyle name="20% - Accent6 2 4 3" xfId="3796"/>
    <cellStyle name="20% - Accent6 2 4 3 2" xfId="14996"/>
    <cellStyle name="20% - Accent6 2 4 3 3" xfId="18947"/>
    <cellStyle name="20% - Accent6 2 4 4" xfId="14994"/>
    <cellStyle name="20% - Accent6 2 4 5" xfId="18945"/>
    <cellStyle name="20% - Accent6 2 5" xfId="3797"/>
    <cellStyle name="20% - Accent6 2 5 2" xfId="3798"/>
    <cellStyle name="20% - Accent6 2 5 2 2" xfId="14998"/>
    <cellStyle name="20% - Accent6 2 5 2 3" xfId="18949"/>
    <cellStyle name="20% - Accent6 2 5 3" xfId="3799"/>
    <cellStyle name="20% - Accent6 2 5 3 2" xfId="14999"/>
    <cellStyle name="20% - Accent6 2 5 3 3" xfId="18950"/>
    <cellStyle name="20% - Accent6 2 5 4" xfId="14997"/>
    <cellStyle name="20% - Accent6 2 5 5" xfId="18948"/>
    <cellStyle name="20% - Accent6 2 6" xfId="3800"/>
    <cellStyle name="20% - Accent6 2 6 2" xfId="3801"/>
    <cellStyle name="20% - Accent6 2 6 2 2" xfId="15001"/>
    <cellStyle name="20% - Accent6 2 6 2 3" xfId="18952"/>
    <cellStyle name="20% - Accent6 2 6 3" xfId="3802"/>
    <cellStyle name="20% - Accent6 2 6 3 2" xfId="15002"/>
    <cellStyle name="20% - Accent6 2 6 3 3" xfId="18953"/>
    <cellStyle name="20% - Accent6 2 6 4" xfId="15000"/>
    <cellStyle name="20% - Accent6 2 6 5" xfId="18951"/>
    <cellStyle name="20% - Accent6 2 7" xfId="3803"/>
    <cellStyle name="20% - Accent6 2 7 2" xfId="15003"/>
    <cellStyle name="20% - Accent6 2 7 3" xfId="18954"/>
    <cellStyle name="20% - Accent6 2 8" xfId="3804"/>
    <cellStyle name="20% - Accent6 2 8 2" xfId="15004"/>
    <cellStyle name="20% - Accent6 2 8 3" xfId="18955"/>
    <cellStyle name="20% - Accent6 2 9" xfId="14972"/>
    <cellStyle name="20% - Accent6 2_Volatility" xfId="3805"/>
    <cellStyle name="20% - Accent6 3" xfId="3806"/>
    <cellStyle name="20% - Accent6 3 10" xfId="18956"/>
    <cellStyle name="20% - Accent6 3 2" xfId="3807"/>
    <cellStyle name="20% - Accent6 3 2 2" xfId="3808"/>
    <cellStyle name="20% - Accent6 3 2 2 2" xfId="3809"/>
    <cellStyle name="20% - Accent6 3 2 2 2 2" xfId="15008"/>
    <cellStyle name="20% - Accent6 3 2 2 2 3" xfId="18959"/>
    <cellStyle name="20% - Accent6 3 2 2 3" xfId="3810"/>
    <cellStyle name="20% - Accent6 3 2 2 3 2" xfId="15009"/>
    <cellStyle name="20% - Accent6 3 2 2 3 3" xfId="18960"/>
    <cellStyle name="20% - Accent6 3 2 2 4" xfId="15007"/>
    <cellStyle name="20% - Accent6 3 2 2 5" xfId="18958"/>
    <cellStyle name="20% - Accent6 3 2 3" xfId="3811"/>
    <cellStyle name="20% - Accent6 3 2 3 2" xfId="3812"/>
    <cellStyle name="20% - Accent6 3 2 3 2 2" xfId="15011"/>
    <cellStyle name="20% - Accent6 3 2 3 2 3" xfId="18962"/>
    <cellStyle name="20% - Accent6 3 2 3 3" xfId="3813"/>
    <cellStyle name="20% - Accent6 3 2 3 3 2" xfId="15012"/>
    <cellStyle name="20% - Accent6 3 2 3 3 3" xfId="18963"/>
    <cellStyle name="20% - Accent6 3 2 3 4" xfId="15010"/>
    <cellStyle name="20% - Accent6 3 2 3 5" xfId="18961"/>
    <cellStyle name="20% - Accent6 3 2 4" xfId="3814"/>
    <cellStyle name="20% - Accent6 3 2 4 2" xfId="3815"/>
    <cellStyle name="20% - Accent6 3 2 4 2 2" xfId="15014"/>
    <cellStyle name="20% - Accent6 3 2 4 2 3" xfId="18965"/>
    <cellStyle name="20% - Accent6 3 2 4 3" xfId="3816"/>
    <cellStyle name="20% - Accent6 3 2 4 3 2" xfId="15015"/>
    <cellStyle name="20% - Accent6 3 2 4 3 3" xfId="18966"/>
    <cellStyle name="20% - Accent6 3 2 4 4" xfId="15013"/>
    <cellStyle name="20% - Accent6 3 2 4 5" xfId="18964"/>
    <cellStyle name="20% - Accent6 3 2 5" xfId="3817"/>
    <cellStyle name="20% - Accent6 3 2 5 2" xfId="15016"/>
    <cellStyle name="20% - Accent6 3 2 5 3" xfId="18967"/>
    <cellStyle name="20% - Accent6 3 2 6" xfId="3818"/>
    <cellStyle name="20% - Accent6 3 2 6 2" xfId="15017"/>
    <cellStyle name="20% - Accent6 3 2 6 3" xfId="18968"/>
    <cellStyle name="20% - Accent6 3 2 7" xfId="15006"/>
    <cellStyle name="20% - Accent6 3 2 8" xfId="18957"/>
    <cellStyle name="20% - Accent6 3 2_Volatility" xfId="3819"/>
    <cellStyle name="20% - Accent6 3 3" xfId="3820"/>
    <cellStyle name="20% - Accent6 3 3 2" xfId="3821"/>
    <cellStyle name="20% - Accent6 3 3 2 2" xfId="3822"/>
    <cellStyle name="20% - Accent6 3 3 2 2 2" xfId="15020"/>
    <cellStyle name="20% - Accent6 3 3 2 2 3" xfId="18971"/>
    <cellStyle name="20% - Accent6 3 3 2 3" xfId="3823"/>
    <cellStyle name="20% - Accent6 3 3 2 3 2" xfId="15021"/>
    <cellStyle name="20% - Accent6 3 3 2 3 3" xfId="18972"/>
    <cellStyle name="20% - Accent6 3 3 2 4" xfId="15019"/>
    <cellStyle name="20% - Accent6 3 3 2 5" xfId="18970"/>
    <cellStyle name="20% - Accent6 3 3 3" xfId="3824"/>
    <cellStyle name="20% - Accent6 3 3 3 2" xfId="3825"/>
    <cellStyle name="20% - Accent6 3 3 3 2 2" xfId="15023"/>
    <cellStyle name="20% - Accent6 3 3 3 2 3" xfId="18974"/>
    <cellStyle name="20% - Accent6 3 3 3 3" xfId="3826"/>
    <cellStyle name="20% - Accent6 3 3 3 3 2" xfId="15024"/>
    <cellStyle name="20% - Accent6 3 3 3 3 3" xfId="18975"/>
    <cellStyle name="20% - Accent6 3 3 3 4" xfId="15022"/>
    <cellStyle name="20% - Accent6 3 3 3 5" xfId="18973"/>
    <cellStyle name="20% - Accent6 3 3 4" xfId="3827"/>
    <cellStyle name="20% - Accent6 3 3 4 2" xfId="15025"/>
    <cellStyle name="20% - Accent6 3 3 4 3" xfId="18976"/>
    <cellStyle name="20% - Accent6 3 3 5" xfId="3828"/>
    <cellStyle name="20% - Accent6 3 3 5 2" xfId="15026"/>
    <cellStyle name="20% - Accent6 3 3 5 3" xfId="18977"/>
    <cellStyle name="20% - Accent6 3 3 6" xfId="15018"/>
    <cellStyle name="20% - Accent6 3 3 7" xfId="18969"/>
    <cellStyle name="20% - Accent6 3 3_Volatility" xfId="3829"/>
    <cellStyle name="20% - Accent6 3 4" xfId="3830"/>
    <cellStyle name="20% - Accent6 3 4 2" xfId="3831"/>
    <cellStyle name="20% - Accent6 3 4 2 2" xfId="15028"/>
    <cellStyle name="20% - Accent6 3 4 2 3" xfId="18979"/>
    <cellStyle name="20% - Accent6 3 4 3" xfId="3832"/>
    <cellStyle name="20% - Accent6 3 4 3 2" xfId="15029"/>
    <cellStyle name="20% - Accent6 3 4 3 3" xfId="18980"/>
    <cellStyle name="20% - Accent6 3 4 4" xfId="15027"/>
    <cellStyle name="20% - Accent6 3 4 5" xfId="18978"/>
    <cellStyle name="20% - Accent6 3 5" xfId="3833"/>
    <cellStyle name="20% - Accent6 3 5 2" xfId="3834"/>
    <cellStyle name="20% - Accent6 3 5 2 2" xfId="15031"/>
    <cellStyle name="20% - Accent6 3 5 2 3" xfId="18982"/>
    <cellStyle name="20% - Accent6 3 5 3" xfId="3835"/>
    <cellStyle name="20% - Accent6 3 5 3 2" xfId="15032"/>
    <cellStyle name="20% - Accent6 3 5 3 3" xfId="18983"/>
    <cellStyle name="20% - Accent6 3 5 4" xfId="15030"/>
    <cellStyle name="20% - Accent6 3 5 5" xfId="18981"/>
    <cellStyle name="20% - Accent6 3 6" xfId="3836"/>
    <cellStyle name="20% - Accent6 3 6 2" xfId="3837"/>
    <cellStyle name="20% - Accent6 3 6 2 2" xfId="15034"/>
    <cellStyle name="20% - Accent6 3 6 2 3" xfId="18985"/>
    <cellStyle name="20% - Accent6 3 6 3" xfId="3838"/>
    <cellStyle name="20% - Accent6 3 6 3 2" xfId="15035"/>
    <cellStyle name="20% - Accent6 3 6 3 3" xfId="18986"/>
    <cellStyle name="20% - Accent6 3 6 4" xfId="15033"/>
    <cellStyle name="20% - Accent6 3 6 5" xfId="18984"/>
    <cellStyle name="20% - Accent6 3 7" xfId="3839"/>
    <cellStyle name="20% - Accent6 3 7 2" xfId="15036"/>
    <cellStyle name="20% - Accent6 3 7 3" xfId="18987"/>
    <cellStyle name="20% - Accent6 3 8" xfId="3840"/>
    <cellStyle name="20% - Accent6 3 8 2" xfId="15037"/>
    <cellStyle name="20% - Accent6 3 8 3" xfId="18988"/>
    <cellStyle name="20% - Accent6 3 9" xfId="15005"/>
    <cellStyle name="20% - Accent6 3_Volatility" xfId="3841"/>
    <cellStyle name="20% - Accent6 4" xfId="3842"/>
    <cellStyle name="20% - Accent6 4 10" xfId="18989"/>
    <cellStyle name="20% - Accent6 4 2" xfId="3843"/>
    <cellStyle name="20% - Accent6 4 2 2" xfId="3844"/>
    <cellStyle name="20% - Accent6 4 2 2 2" xfId="3845"/>
    <cellStyle name="20% - Accent6 4 2 2 2 2" xfId="15041"/>
    <cellStyle name="20% - Accent6 4 2 2 2 3" xfId="18992"/>
    <cellStyle name="20% - Accent6 4 2 2 3" xfId="3846"/>
    <cellStyle name="20% - Accent6 4 2 2 3 2" xfId="15042"/>
    <cellStyle name="20% - Accent6 4 2 2 3 3" xfId="18993"/>
    <cellStyle name="20% - Accent6 4 2 2 4" xfId="15040"/>
    <cellStyle name="20% - Accent6 4 2 2 5" xfId="18991"/>
    <cellStyle name="20% - Accent6 4 2 3" xfId="3847"/>
    <cellStyle name="20% - Accent6 4 2 3 2" xfId="3848"/>
    <cellStyle name="20% - Accent6 4 2 3 2 2" xfId="15044"/>
    <cellStyle name="20% - Accent6 4 2 3 2 3" xfId="18995"/>
    <cellStyle name="20% - Accent6 4 2 3 3" xfId="3849"/>
    <cellStyle name="20% - Accent6 4 2 3 3 2" xfId="15045"/>
    <cellStyle name="20% - Accent6 4 2 3 3 3" xfId="18996"/>
    <cellStyle name="20% - Accent6 4 2 3 4" xfId="15043"/>
    <cellStyle name="20% - Accent6 4 2 3 5" xfId="18994"/>
    <cellStyle name="20% - Accent6 4 2 4" xfId="3850"/>
    <cellStyle name="20% - Accent6 4 2 4 2" xfId="3851"/>
    <cellStyle name="20% - Accent6 4 2 4 2 2" xfId="15047"/>
    <cellStyle name="20% - Accent6 4 2 4 2 3" xfId="18998"/>
    <cellStyle name="20% - Accent6 4 2 4 3" xfId="3852"/>
    <cellStyle name="20% - Accent6 4 2 4 3 2" xfId="15048"/>
    <cellStyle name="20% - Accent6 4 2 4 3 3" xfId="18999"/>
    <cellStyle name="20% - Accent6 4 2 4 4" xfId="15046"/>
    <cellStyle name="20% - Accent6 4 2 4 5" xfId="18997"/>
    <cellStyle name="20% - Accent6 4 2 5" xfId="3853"/>
    <cellStyle name="20% - Accent6 4 2 5 2" xfId="15049"/>
    <cellStyle name="20% - Accent6 4 2 5 3" xfId="19000"/>
    <cellStyle name="20% - Accent6 4 2 6" xfId="3854"/>
    <cellStyle name="20% - Accent6 4 2 6 2" xfId="15050"/>
    <cellStyle name="20% - Accent6 4 2 6 3" xfId="19001"/>
    <cellStyle name="20% - Accent6 4 2 7" xfId="15039"/>
    <cellStyle name="20% - Accent6 4 2 8" xfId="18990"/>
    <cellStyle name="20% - Accent6 4 2_Volatility" xfId="3855"/>
    <cellStyle name="20% - Accent6 4 3" xfId="3856"/>
    <cellStyle name="20% - Accent6 4 3 2" xfId="3857"/>
    <cellStyle name="20% - Accent6 4 3 2 2" xfId="3858"/>
    <cellStyle name="20% - Accent6 4 3 2 2 2" xfId="15053"/>
    <cellStyle name="20% - Accent6 4 3 2 2 3" xfId="19004"/>
    <cellStyle name="20% - Accent6 4 3 2 3" xfId="3859"/>
    <cellStyle name="20% - Accent6 4 3 2 3 2" xfId="15054"/>
    <cellStyle name="20% - Accent6 4 3 2 3 3" xfId="19005"/>
    <cellStyle name="20% - Accent6 4 3 2 4" xfId="15052"/>
    <cellStyle name="20% - Accent6 4 3 2 5" xfId="19003"/>
    <cellStyle name="20% - Accent6 4 3 3" xfId="3860"/>
    <cellStyle name="20% - Accent6 4 3 3 2" xfId="3861"/>
    <cellStyle name="20% - Accent6 4 3 3 2 2" xfId="15056"/>
    <cellStyle name="20% - Accent6 4 3 3 2 3" xfId="19007"/>
    <cellStyle name="20% - Accent6 4 3 3 3" xfId="3862"/>
    <cellStyle name="20% - Accent6 4 3 3 3 2" xfId="15057"/>
    <cellStyle name="20% - Accent6 4 3 3 3 3" xfId="19008"/>
    <cellStyle name="20% - Accent6 4 3 3 4" xfId="15055"/>
    <cellStyle name="20% - Accent6 4 3 3 5" xfId="19006"/>
    <cellStyle name="20% - Accent6 4 3 4" xfId="3863"/>
    <cellStyle name="20% - Accent6 4 3 4 2" xfId="15058"/>
    <cellStyle name="20% - Accent6 4 3 4 3" xfId="19009"/>
    <cellStyle name="20% - Accent6 4 3 5" xfId="3864"/>
    <cellStyle name="20% - Accent6 4 3 5 2" xfId="15059"/>
    <cellStyle name="20% - Accent6 4 3 5 3" xfId="19010"/>
    <cellStyle name="20% - Accent6 4 3 6" xfId="15051"/>
    <cellStyle name="20% - Accent6 4 3 7" xfId="19002"/>
    <cellStyle name="20% - Accent6 4 3_Volatility" xfId="3865"/>
    <cellStyle name="20% - Accent6 4 4" xfId="3866"/>
    <cellStyle name="20% - Accent6 4 4 2" xfId="3867"/>
    <cellStyle name="20% - Accent6 4 4 2 2" xfId="15061"/>
    <cellStyle name="20% - Accent6 4 4 2 3" xfId="19012"/>
    <cellStyle name="20% - Accent6 4 4 3" xfId="3868"/>
    <cellStyle name="20% - Accent6 4 4 3 2" xfId="15062"/>
    <cellStyle name="20% - Accent6 4 4 3 3" xfId="19013"/>
    <cellStyle name="20% - Accent6 4 4 4" xfId="15060"/>
    <cellStyle name="20% - Accent6 4 4 5" xfId="19011"/>
    <cellStyle name="20% - Accent6 4 5" xfId="3869"/>
    <cellStyle name="20% - Accent6 4 5 2" xfId="3870"/>
    <cellStyle name="20% - Accent6 4 5 2 2" xfId="15064"/>
    <cellStyle name="20% - Accent6 4 5 2 3" xfId="19015"/>
    <cellStyle name="20% - Accent6 4 5 3" xfId="3871"/>
    <cellStyle name="20% - Accent6 4 5 3 2" xfId="15065"/>
    <cellStyle name="20% - Accent6 4 5 3 3" xfId="19016"/>
    <cellStyle name="20% - Accent6 4 5 4" xfId="15063"/>
    <cellStyle name="20% - Accent6 4 5 5" xfId="19014"/>
    <cellStyle name="20% - Accent6 4 6" xfId="3872"/>
    <cellStyle name="20% - Accent6 4 6 2" xfId="3873"/>
    <cellStyle name="20% - Accent6 4 6 2 2" xfId="15067"/>
    <cellStyle name="20% - Accent6 4 6 2 3" xfId="19018"/>
    <cellStyle name="20% - Accent6 4 6 3" xfId="3874"/>
    <cellStyle name="20% - Accent6 4 6 3 2" xfId="15068"/>
    <cellStyle name="20% - Accent6 4 6 3 3" xfId="19019"/>
    <cellStyle name="20% - Accent6 4 6 4" xfId="15066"/>
    <cellStyle name="20% - Accent6 4 6 5" xfId="19017"/>
    <cellStyle name="20% - Accent6 4 7" xfId="3875"/>
    <cellStyle name="20% - Accent6 4 7 2" xfId="15069"/>
    <cellStyle name="20% - Accent6 4 7 3" xfId="19020"/>
    <cellStyle name="20% - Accent6 4 8" xfId="3876"/>
    <cellStyle name="20% - Accent6 4 8 2" xfId="15070"/>
    <cellStyle name="20% - Accent6 4 8 3" xfId="19021"/>
    <cellStyle name="20% - Accent6 4 9" xfId="15038"/>
    <cellStyle name="20% - Accent6 4_Volatility" xfId="3877"/>
    <cellStyle name="20% - Accent6 5" xfId="3878"/>
    <cellStyle name="20% - Accent6 5 10" xfId="19022"/>
    <cellStyle name="20% - Accent6 5 2" xfId="3879"/>
    <cellStyle name="20% - Accent6 5 2 2" xfId="3880"/>
    <cellStyle name="20% - Accent6 5 2 2 2" xfId="3881"/>
    <cellStyle name="20% - Accent6 5 2 2 2 2" xfId="15074"/>
    <cellStyle name="20% - Accent6 5 2 2 2 3" xfId="19025"/>
    <cellStyle name="20% - Accent6 5 2 2 3" xfId="3882"/>
    <cellStyle name="20% - Accent6 5 2 2 3 2" xfId="15075"/>
    <cellStyle name="20% - Accent6 5 2 2 3 3" xfId="19026"/>
    <cellStyle name="20% - Accent6 5 2 2 4" xfId="15073"/>
    <cellStyle name="20% - Accent6 5 2 2 5" xfId="19024"/>
    <cellStyle name="20% - Accent6 5 2 3" xfId="3883"/>
    <cellStyle name="20% - Accent6 5 2 3 2" xfId="3884"/>
    <cellStyle name="20% - Accent6 5 2 3 2 2" xfId="15077"/>
    <cellStyle name="20% - Accent6 5 2 3 2 3" xfId="19028"/>
    <cellStyle name="20% - Accent6 5 2 3 3" xfId="3885"/>
    <cellStyle name="20% - Accent6 5 2 3 3 2" xfId="15078"/>
    <cellStyle name="20% - Accent6 5 2 3 3 3" xfId="19029"/>
    <cellStyle name="20% - Accent6 5 2 3 4" xfId="15076"/>
    <cellStyle name="20% - Accent6 5 2 3 5" xfId="19027"/>
    <cellStyle name="20% - Accent6 5 2 4" xfId="3886"/>
    <cellStyle name="20% - Accent6 5 2 4 2" xfId="3887"/>
    <cellStyle name="20% - Accent6 5 2 4 2 2" xfId="15080"/>
    <cellStyle name="20% - Accent6 5 2 4 2 3" xfId="19031"/>
    <cellStyle name="20% - Accent6 5 2 4 3" xfId="3888"/>
    <cellStyle name="20% - Accent6 5 2 4 3 2" xfId="15081"/>
    <cellStyle name="20% - Accent6 5 2 4 3 3" xfId="19032"/>
    <cellStyle name="20% - Accent6 5 2 4 4" xfId="15079"/>
    <cellStyle name="20% - Accent6 5 2 4 5" xfId="19030"/>
    <cellStyle name="20% - Accent6 5 2 5" xfId="3889"/>
    <cellStyle name="20% - Accent6 5 2 5 2" xfId="15082"/>
    <cellStyle name="20% - Accent6 5 2 5 3" xfId="19033"/>
    <cellStyle name="20% - Accent6 5 2 6" xfId="3890"/>
    <cellStyle name="20% - Accent6 5 2 6 2" xfId="15083"/>
    <cellStyle name="20% - Accent6 5 2 6 3" xfId="19034"/>
    <cellStyle name="20% - Accent6 5 2 7" xfId="15072"/>
    <cellStyle name="20% - Accent6 5 2 8" xfId="19023"/>
    <cellStyle name="20% - Accent6 5 2_Volatility" xfId="3891"/>
    <cellStyle name="20% - Accent6 5 3" xfId="3892"/>
    <cellStyle name="20% - Accent6 5 3 2" xfId="3893"/>
    <cellStyle name="20% - Accent6 5 3 2 2" xfId="3894"/>
    <cellStyle name="20% - Accent6 5 3 2 2 2" xfId="15086"/>
    <cellStyle name="20% - Accent6 5 3 2 2 3" xfId="19037"/>
    <cellStyle name="20% - Accent6 5 3 2 3" xfId="3895"/>
    <cellStyle name="20% - Accent6 5 3 2 3 2" xfId="15087"/>
    <cellStyle name="20% - Accent6 5 3 2 3 3" xfId="19038"/>
    <cellStyle name="20% - Accent6 5 3 2 4" xfId="15085"/>
    <cellStyle name="20% - Accent6 5 3 2 5" xfId="19036"/>
    <cellStyle name="20% - Accent6 5 3 3" xfId="3896"/>
    <cellStyle name="20% - Accent6 5 3 3 2" xfId="3897"/>
    <cellStyle name="20% - Accent6 5 3 3 2 2" xfId="15089"/>
    <cellStyle name="20% - Accent6 5 3 3 2 3" xfId="19040"/>
    <cellStyle name="20% - Accent6 5 3 3 3" xfId="3898"/>
    <cellStyle name="20% - Accent6 5 3 3 3 2" xfId="15090"/>
    <cellStyle name="20% - Accent6 5 3 3 3 3" xfId="19041"/>
    <cellStyle name="20% - Accent6 5 3 3 4" xfId="15088"/>
    <cellStyle name="20% - Accent6 5 3 3 5" xfId="19039"/>
    <cellStyle name="20% - Accent6 5 3 4" xfId="3899"/>
    <cellStyle name="20% - Accent6 5 3 4 2" xfId="15091"/>
    <cellStyle name="20% - Accent6 5 3 4 3" xfId="19042"/>
    <cellStyle name="20% - Accent6 5 3 5" xfId="3900"/>
    <cellStyle name="20% - Accent6 5 3 5 2" xfId="15092"/>
    <cellStyle name="20% - Accent6 5 3 5 3" xfId="19043"/>
    <cellStyle name="20% - Accent6 5 3 6" xfId="15084"/>
    <cellStyle name="20% - Accent6 5 3 7" xfId="19035"/>
    <cellStyle name="20% - Accent6 5 3_Volatility" xfId="3901"/>
    <cellStyle name="20% - Accent6 5 4" xfId="3902"/>
    <cellStyle name="20% - Accent6 5 4 2" xfId="3903"/>
    <cellStyle name="20% - Accent6 5 4 2 2" xfId="15094"/>
    <cellStyle name="20% - Accent6 5 4 2 3" xfId="19045"/>
    <cellStyle name="20% - Accent6 5 4 3" xfId="3904"/>
    <cellStyle name="20% - Accent6 5 4 3 2" xfId="15095"/>
    <cellStyle name="20% - Accent6 5 4 3 3" xfId="19046"/>
    <cellStyle name="20% - Accent6 5 4 4" xfId="15093"/>
    <cellStyle name="20% - Accent6 5 4 5" xfId="19044"/>
    <cellStyle name="20% - Accent6 5 5" xfId="3905"/>
    <cellStyle name="20% - Accent6 5 5 2" xfId="3906"/>
    <cellStyle name="20% - Accent6 5 5 2 2" xfId="15097"/>
    <cellStyle name="20% - Accent6 5 5 2 3" xfId="19048"/>
    <cellStyle name="20% - Accent6 5 5 3" xfId="3907"/>
    <cellStyle name="20% - Accent6 5 5 3 2" xfId="15098"/>
    <cellStyle name="20% - Accent6 5 5 3 3" xfId="19049"/>
    <cellStyle name="20% - Accent6 5 5 4" xfId="15096"/>
    <cellStyle name="20% - Accent6 5 5 5" xfId="19047"/>
    <cellStyle name="20% - Accent6 5 6" xfId="3908"/>
    <cellStyle name="20% - Accent6 5 6 2" xfId="3909"/>
    <cellStyle name="20% - Accent6 5 6 2 2" xfId="15100"/>
    <cellStyle name="20% - Accent6 5 6 2 3" xfId="19051"/>
    <cellStyle name="20% - Accent6 5 6 3" xfId="3910"/>
    <cellStyle name="20% - Accent6 5 6 3 2" xfId="15101"/>
    <cellStyle name="20% - Accent6 5 6 3 3" xfId="19052"/>
    <cellStyle name="20% - Accent6 5 6 4" xfId="15099"/>
    <cellStyle name="20% - Accent6 5 6 5" xfId="19050"/>
    <cellStyle name="20% - Accent6 5 7" xfId="3911"/>
    <cellStyle name="20% - Accent6 5 7 2" xfId="15102"/>
    <cellStyle name="20% - Accent6 5 7 3" xfId="19053"/>
    <cellStyle name="20% - Accent6 5 8" xfId="3912"/>
    <cellStyle name="20% - Accent6 5 8 2" xfId="15103"/>
    <cellStyle name="20% - Accent6 5 8 3" xfId="19054"/>
    <cellStyle name="20% - Accent6 5 9" xfId="15071"/>
    <cellStyle name="20% - Accent6 5_Volatility" xfId="3913"/>
    <cellStyle name="20% - Accent6 6" xfId="3914"/>
    <cellStyle name="20% - Accent6 6 10" xfId="19055"/>
    <cellStyle name="20% - Accent6 6 2" xfId="3915"/>
    <cellStyle name="20% - Accent6 6 2 2" xfId="3916"/>
    <cellStyle name="20% - Accent6 6 2 2 2" xfId="3917"/>
    <cellStyle name="20% - Accent6 6 2 2 2 2" xfId="15107"/>
    <cellStyle name="20% - Accent6 6 2 2 2 3" xfId="19058"/>
    <cellStyle name="20% - Accent6 6 2 2 3" xfId="3918"/>
    <cellStyle name="20% - Accent6 6 2 2 3 2" xfId="15108"/>
    <cellStyle name="20% - Accent6 6 2 2 3 3" xfId="19059"/>
    <cellStyle name="20% - Accent6 6 2 2 4" xfId="15106"/>
    <cellStyle name="20% - Accent6 6 2 2 5" xfId="19057"/>
    <cellStyle name="20% - Accent6 6 2 3" xfId="3919"/>
    <cellStyle name="20% - Accent6 6 2 3 2" xfId="3920"/>
    <cellStyle name="20% - Accent6 6 2 3 2 2" xfId="15110"/>
    <cellStyle name="20% - Accent6 6 2 3 2 3" xfId="19061"/>
    <cellStyle name="20% - Accent6 6 2 3 3" xfId="3921"/>
    <cellStyle name="20% - Accent6 6 2 3 3 2" xfId="15111"/>
    <cellStyle name="20% - Accent6 6 2 3 3 3" xfId="19062"/>
    <cellStyle name="20% - Accent6 6 2 3 4" xfId="15109"/>
    <cellStyle name="20% - Accent6 6 2 3 5" xfId="19060"/>
    <cellStyle name="20% - Accent6 6 2 4" xfId="3922"/>
    <cellStyle name="20% - Accent6 6 2 4 2" xfId="3923"/>
    <cellStyle name="20% - Accent6 6 2 4 2 2" xfId="15113"/>
    <cellStyle name="20% - Accent6 6 2 4 2 3" xfId="19064"/>
    <cellStyle name="20% - Accent6 6 2 4 3" xfId="3924"/>
    <cellStyle name="20% - Accent6 6 2 4 3 2" xfId="15114"/>
    <cellStyle name="20% - Accent6 6 2 4 3 3" xfId="19065"/>
    <cellStyle name="20% - Accent6 6 2 4 4" xfId="15112"/>
    <cellStyle name="20% - Accent6 6 2 4 5" xfId="19063"/>
    <cellStyle name="20% - Accent6 6 2 5" xfId="3925"/>
    <cellStyle name="20% - Accent6 6 2 5 2" xfId="15115"/>
    <cellStyle name="20% - Accent6 6 2 5 3" xfId="19066"/>
    <cellStyle name="20% - Accent6 6 2 6" xfId="3926"/>
    <cellStyle name="20% - Accent6 6 2 6 2" xfId="15116"/>
    <cellStyle name="20% - Accent6 6 2 6 3" xfId="19067"/>
    <cellStyle name="20% - Accent6 6 2 7" xfId="15105"/>
    <cellStyle name="20% - Accent6 6 2 8" xfId="19056"/>
    <cellStyle name="20% - Accent6 6 2_Volatility" xfId="3927"/>
    <cellStyle name="20% - Accent6 6 3" xfId="3928"/>
    <cellStyle name="20% - Accent6 6 3 2" xfId="3929"/>
    <cellStyle name="20% - Accent6 6 3 2 2" xfId="3930"/>
    <cellStyle name="20% - Accent6 6 3 2 2 2" xfId="15119"/>
    <cellStyle name="20% - Accent6 6 3 2 2 3" xfId="19070"/>
    <cellStyle name="20% - Accent6 6 3 2 3" xfId="3931"/>
    <cellStyle name="20% - Accent6 6 3 2 3 2" xfId="15120"/>
    <cellStyle name="20% - Accent6 6 3 2 3 3" xfId="19071"/>
    <cellStyle name="20% - Accent6 6 3 2 4" xfId="15118"/>
    <cellStyle name="20% - Accent6 6 3 2 5" xfId="19069"/>
    <cellStyle name="20% - Accent6 6 3 3" xfId="3932"/>
    <cellStyle name="20% - Accent6 6 3 3 2" xfId="3933"/>
    <cellStyle name="20% - Accent6 6 3 3 2 2" xfId="15122"/>
    <cellStyle name="20% - Accent6 6 3 3 2 3" xfId="19073"/>
    <cellStyle name="20% - Accent6 6 3 3 3" xfId="3934"/>
    <cellStyle name="20% - Accent6 6 3 3 3 2" xfId="15123"/>
    <cellStyle name="20% - Accent6 6 3 3 3 3" xfId="19074"/>
    <cellStyle name="20% - Accent6 6 3 3 4" xfId="15121"/>
    <cellStyle name="20% - Accent6 6 3 3 5" xfId="19072"/>
    <cellStyle name="20% - Accent6 6 3 4" xfId="3935"/>
    <cellStyle name="20% - Accent6 6 3 4 2" xfId="15124"/>
    <cellStyle name="20% - Accent6 6 3 4 3" xfId="19075"/>
    <cellStyle name="20% - Accent6 6 3 5" xfId="3936"/>
    <cellStyle name="20% - Accent6 6 3 5 2" xfId="15125"/>
    <cellStyle name="20% - Accent6 6 3 5 3" xfId="19076"/>
    <cellStyle name="20% - Accent6 6 3 6" xfId="15117"/>
    <cellStyle name="20% - Accent6 6 3 7" xfId="19068"/>
    <cellStyle name="20% - Accent6 6 3_Volatility" xfId="3937"/>
    <cellStyle name="20% - Accent6 6 4" xfId="3938"/>
    <cellStyle name="20% - Accent6 6 4 2" xfId="3939"/>
    <cellStyle name="20% - Accent6 6 4 2 2" xfId="15127"/>
    <cellStyle name="20% - Accent6 6 4 2 3" xfId="19078"/>
    <cellStyle name="20% - Accent6 6 4 3" xfId="3940"/>
    <cellStyle name="20% - Accent6 6 4 3 2" xfId="15128"/>
    <cellStyle name="20% - Accent6 6 4 3 3" xfId="19079"/>
    <cellStyle name="20% - Accent6 6 4 4" xfId="15126"/>
    <cellStyle name="20% - Accent6 6 4 5" xfId="19077"/>
    <cellStyle name="20% - Accent6 6 5" xfId="3941"/>
    <cellStyle name="20% - Accent6 6 5 2" xfId="3942"/>
    <cellStyle name="20% - Accent6 6 5 2 2" xfId="15130"/>
    <cellStyle name="20% - Accent6 6 5 2 3" xfId="19081"/>
    <cellStyle name="20% - Accent6 6 5 3" xfId="3943"/>
    <cellStyle name="20% - Accent6 6 5 3 2" xfId="15131"/>
    <cellStyle name="20% - Accent6 6 5 3 3" xfId="19082"/>
    <cellStyle name="20% - Accent6 6 5 4" xfId="15129"/>
    <cellStyle name="20% - Accent6 6 5 5" xfId="19080"/>
    <cellStyle name="20% - Accent6 6 6" xfId="3944"/>
    <cellStyle name="20% - Accent6 6 6 2" xfId="3945"/>
    <cellStyle name="20% - Accent6 6 6 2 2" xfId="15133"/>
    <cellStyle name="20% - Accent6 6 6 2 3" xfId="19084"/>
    <cellStyle name="20% - Accent6 6 6 3" xfId="3946"/>
    <cellStyle name="20% - Accent6 6 6 3 2" xfId="15134"/>
    <cellStyle name="20% - Accent6 6 6 3 3" xfId="19085"/>
    <cellStyle name="20% - Accent6 6 6 4" xfId="15132"/>
    <cellStyle name="20% - Accent6 6 6 5" xfId="19083"/>
    <cellStyle name="20% - Accent6 6 7" xfId="3947"/>
    <cellStyle name="20% - Accent6 6 7 2" xfId="15135"/>
    <cellStyle name="20% - Accent6 6 7 3" xfId="19086"/>
    <cellStyle name="20% - Accent6 6 8" xfId="3948"/>
    <cellStyle name="20% - Accent6 6 8 2" xfId="15136"/>
    <cellStyle name="20% - Accent6 6 8 3" xfId="19087"/>
    <cellStyle name="20% - Accent6 6 9" xfId="15104"/>
    <cellStyle name="20% - Accent6 6_Volatility" xfId="3949"/>
    <cellStyle name="20% - Accent6 7" xfId="3950"/>
    <cellStyle name="20% - Accent6 7 10" xfId="19088"/>
    <cellStyle name="20% - Accent6 7 2" xfId="3951"/>
    <cellStyle name="20% - Accent6 7 2 2" xfId="3952"/>
    <cellStyle name="20% - Accent6 7 2 2 2" xfId="3953"/>
    <cellStyle name="20% - Accent6 7 2 2 2 2" xfId="15140"/>
    <cellStyle name="20% - Accent6 7 2 2 2 3" xfId="19091"/>
    <cellStyle name="20% - Accent6 7 2 2 3" xfId="3954"/>
    <cellStyle name="20% - Accent6 7 2 2 3 2" xfId="15141"/>
    <cellStyle name="20% - Accent6 7 2 2 3 3" xfId="19092"/>
    <cellStyle name="20% - Accent6 7 2 2 4" xfId="15139"/>
    <cellStyle name="20% - Accent6 7 2 2 5" xfId="19090"/>
    <cellStyle name="20% - Accent6 7 2 3" xfId="3955"/>
    <cellStyle name="20% - Accent6 7 2 3 2" xfId="3956"/>
    <cellStyle name="20% - Accent6 7 2 3 2 2" xfId="15143"/>
    <cellStyle name="20% - Accent6 7 2 3 2 3" xfId="19094"/>
    <cellStyle name="20% - Accent6 7 2 3 3" xfId="3957"/>
    <cellStyle name="20% - Accent6 7 2 3 3 2" xfId="15144"/>
    <cellStyle name="20% - Accent6 7 2 3 3 3" xfId="19095"/>
    <cellStyle name="20% - Accent6 7 2 3 4" xfId="15142"/>
    <cellStyle name="20% - Accent6 7 2 3 5" xfId="19093"/>
    <cellStyle name="20% - Accent6 7 2 4" xfId="3958"/>
    <cellStyle name="20% - Accent6 7 2 4 2" xfId="3959"/>
    <cellStyle name="20% - Accent6 7 2 4 2 2" xfId="15146"/>
    <cellStyle name="20% - Accent6 7 2 4 2 3" xfId="19097"/>
    <cellStyle name="20% - Accent6 7 2 4 3" xfId="3960"/>
    <cellStyle name="20% - Accent6 7 2 4 3 2" xfId="15147"/>
    <cellStyle name="20% - Accent6 7 2 4 3 3" xfId="19098"/>
    <cellStyle name="20% - Accent6 7 2 4 4" xfId="15145"/>
    <cellStyle name="20% - Accent6 7 2 4 5" xfId="19096"/>
    <cellStyle name="20% - Accent6 7 2 5" xfId="3961"/>
    <cellStyle name="20% - Accent6 7 2 5 2" xfId="15148"/>
    <cellStyle name="20% - Accent6 7 2 5 3" xfId="19099"/>
    <cellStyle name="20% - Accent6 7 2 6" xfId="3962"/>
    <cellStyle name="20% - Accent6 7 2 6 2" xfId="15149"/>
    <cellStyle name="20% - Accent6 7 2 6 3" xfId="19100"/>
    <cellStyle name="20% - Accent6 7 2 7" xfId="15138"/>
    <cellStyle name="20% - Accent6 7 2 8" xfId="19089"/>
    <cellStyle name="20% - Accent6 7 2_Volatility" xfId="3963"/>
    <cellStyle name="20% - Accent6 7 3" xfId="3964"/>
    <cellStyle name="20% - Accent6 7 3 2" xfId="3965"/>
    <cellStyle name="20% - Accent6 7 3 2 2" xfId="3966"/>
    <cellStyle name="20% - Accent6 7 3 2 2 2" xfId="15152"/>
    <cellStyle name="20% - Accent6 7 3 2 2 3" xfId="19103"/>
    <cellStyle name="20% - Accent6 7 3 2 3" xfId="3967"/>
    <cellStyle name="20% - Accent6 7 3 2 3 2" xfId="15153"/>
    <cellStyle name="20% - Accent6 7 3 2 3 3" xfId="19104"/>
    <cellStyle name="20% - Accent6 7 3 2 4" xfId="15151"/>
    <cellStyle name="20% - Accent6 7 3 2 5" xfId="19102"/>
    <cellStyle name="20% - Accent6 7 3 3" xfId="3968"/>
    <cellStyle name="20% - Accent6 7 3 3 2" xfId="3969"/>
    <cellStyle name="20% - Accent6 7 3 3 2 2" xfId="15155"/>
    <cellStyle name="20% - Accent6 7 3 3 2 3" xfId="19106"/>
    <cellStyle name="20% - Accent6 7 3 3 3" xfId="3970"/>
    <cellStyle name="20% - Accent6 7 3 3 3 2" xfId="15156"/>
    <cellStyle name="20% - Accent6 7 3 3 3 3" xfId="19107"/>
    <cellStyle name="20% - Accent6 7 3 3 4" xfId="15154"/>
    <cellStyle name="20% - Accent6 7 3 3 5" xfId="19105"/>
    <cellStyle name="20% - Accent6 7 3 4" xfId="3971"/>
    <cellStyle name="20% - Accent6 7 3 4 2" xfId="15157"/>
    <cellStyle name="20% - Accent6 7 3 4 3" xfId="19108"/>
    <cellStyle name="20% - Accent6 7 3 5" xfId="3972"/>
    <cellStyle name="20% - Accent6 7 3 5 2" xfId="15158"/>
    <cellStyle name="20% - Accent6 7 3 5 3" xfId="19109"/>
    <cellStyle name="20% - Accent6 7 3 6" xfId="15150"/>
    <cellStyle name="20% - Accent6 7 3 7" xfId="19101"/>
    <cellStyle name="20% - Accent6 7 3_Volatility" xfId="3973"/>
    <cellStyle name="20% - Accent6 7 4" xfId="3974"/>
    <cellStyle name="20% - Accent6 7 4 2" xfId="3975"/>
    <cellStyle name="20% - Accent6 7 4 2 2" xfId="15160"/>
    <cellStyle name="20% - Accent6 7 4 2 3" xfId="19111"/>
    <cellStyle name="20% - Accent6 7 4 3" xfId="3976"/>
    <cellStyle name="20% - Accent6 7 4 3 2" xfId="15161"/>
    <cellStyle name="20% - Accent6 7 4 3 3" xfId="19112"/>
    <cellStyle name="20% - Accent6 7 4 4" xfId="15159"/>
    <cellStyle name="20% - Accent6 7 4 5" xfId="19110"/>
    <cellStyle name="20% - Accent6 7 5" xfId="3977"/>
    <cellStyle name="20% - Accent6 7 5 2" xfId="3978"/>
    <cellStyle name="20% - Accent6 7 5 2 2" xfId="15163"/>
    <cellStyle name="20% - Accent6 7 5 2 3" xfId="19114"/>
    <cellStyle name="20% - Accent6 7 5 3" xfId="3979"/>
    <cellStyle name="20% - Accent6 7 5 3 2" xfId="15164"/>
    <cellStyle name="20% - Accent6 7 5 3 3" xfId="19115"/>
    <cellStyle name="20% - Accent6 7 5 4" xfId="15162"/>
    <cellStyle name="20% - Accent6 7 5 5" xfId="19113"/>
    <cellStyle name="20% - Accent6 7 6" xfId="3980"/>
    <cellStyle name="20% - Accent6 7 6 2" xfId="3981"/>
    <cellStyle name="20% - Accent6 7 6 2 2" xfId="15166"/>
    <cellStyle name="20% - Accent6 7 6 2 3" xfId="19117"/>
    <cellStyle name="20% - Accent6 7 6 3" xfId="3982"/>
    <cellStyle name="20% - Accent6 7 6 3 2" xfId="15167"/>
    <cellStyle name="20% - Accent6 7 6 3 3" xfId="19118"/>
    <cellStyle name="20% - Accent6 7 6 4" xfId="15165"/>
    <cellStyle name="20% - Accent6 7 6 5" xfId="19116"/>
    <cellStyle name="20% - Accent6 7 7" xfId="3983"/>
    <cellStyle name="20% - Accent6 7 7 2" xfId="15168"/>
    <cellStyle name="20% - Accent6 7 7 3" xfId="19119"/>
    <cellStyle name="20% - Accent6 7 8" xfId="3984"/>
    <cellStyle name="20% - Accent6 7 8 2" xfId="15169"/>
    <cellStyle name="20% - Accent6 7 8 3" xfId="19120"/>
    <cellStyle name="20% - Accent6 7 9" xfId="15137"/>
    <cellStyle name="20% - Accent6 7_Volatility" xfId="3985"/>
    <cellStyle name="20% - Accent6 8" xfId="3986"/>
    <cellStyle name="20% - Accent6 8 10" xfId="19121"/>
    <cellStyle name="20% - Accent6 8 2" xfId="3987"/>
    <cellStyle name="20% - Accent6 8 2 2" xfId="3988"/>
    <cellStyle name="20% - Accent6 8 2 2 2" xfId="3989"/>
    <cellStyle name="20% - Accent6 8 2 2 2 2" xfId="15173"/>
    <cellStyle name="20% - Accent6 8 2 2 2 3" xfId="19124"/>
    <cellStyle name="20% - Accent6 8 2 2 3" xfId="3990"/>
    <cellStyle name="20% - Accent6 8 2 2 3 2" xfId="15174"/>
    <cellStyle name="20% - Accent6 8 2 2 3 3" xfId="19125"/>
    <cellStyle name="20% - Accent6 8 2 2 4" xfId="15172"/>
    <cellStyle name="20% - Accent6 8 2 2 5" xfId="19123"/>
    <cellStyle name="20% - Accent6 8 2 3" xfId="3991"/>
    <cellStyle name="20% - Accent6 8 2 3 2" xfId="3992"/>
    <cellStyle name="20% - Accent6 8 2 3 2 2" xfId="15176"/>
    <cellStyle name="20% - Accent6 8 2 3 2 3" xfId="19127"/>
    <cellStyle name="20% - Accent6 8 2 3 3" xfId="3993"/>
    <cellStyle name="20% - Accent6 8 2 3 3 2" xfId="15177"/>
    <cellStyle name="20% - Accent6 8 2 3 3 3" xfId="19128"/>
    <cellStyle name="20% - Accent6 8 2 3 4" xfId="15175"/>
    <cellStyle name="20% - Accent6 8 2 3 5" xfId="19126"/>
    <cellStyle name="20% - Accent6 8 2 4" xfId="3994"/>
    <cellStyle name="20% - Accent6 8 2 4 2" xfId="3995"/>
    <cellStyle name="20% - Accent6 8 2 4 2 2" xfId="15179"/>
    <cellStyle name="20% - Accent6 8 2 4 2 3" xfId="19130"/>
    <cellStyle name="20% - Accent6 8 2 4 3" xfId="3996"/>
    <cellStyle name="20% - Accent6 8 2 4 3 2" xfId="15180"/>
    <cellStyle name="20% - Accent6 8 2 4 3 3" xfId="19131"/>
    <cellStyle name="20% - Accent6 8 2 4 4" xfId="15178"/>
    <cellStyle name="20% - Accent6 8 2 4 5" xfId="19129"/>
    <cellStyle name="20% - Accent6 8 2 5" xfId="3997"/>
    <cellStyle name="20% - Accent6 8 2 5 2" xfId="15181"/>
    <cellStyle name="20% - Accent6 8 2 5 3" xfId="19132"/>
    <cellStyle name="20% - Accent6 8 2 6" xfId="3998"/>
    <cellStyle name="20% - Accent6 8 2 6 2" xfId="15182"/>
    <cellStyle name="20% - Accent6 8 2 6 3" xfId="19133"/>
    <cellStyle name="20% - Accent6 8 2 7" xfId="15171"/>
    <cellStyle name="20% - Accent6 8 2 8" xfId="19122"/>
    <cellStyle name="20% - Accent6 8 2_Volatility" xfId="3999"/>
    <cellStyle name="20% - Accent6 8 3" xfId="4000"/>
    <cellStyle name="20% - Accent6 8 3 2" xfId="4001"/>
    <cellStyle name="20% - Accent6 8 3 2 2" xfId="4002"/>
    <cellStyle name="20% - Accent6 8 3 2 2 2" xfId="15185"/>
    <cellStyle name="20% - Accent6 8 3 2 2 3" xfId="19136"/>
    <cellStyle name="20% - Accent6 8 3 2 3" xfId="4003"/>
    <cellStyle name="20% - Accent6 8 3 2 3 2" xfId="15186"/>
    <cellStyle name="20% - Accent6 8 3 2 3 3" xfId="19137"/>
    <cellStyle name="20% - Accent6 8 3 2 4" xfId="15184"/>
    <cellStyle name="20% - Accent6 8 3 2 5" xfId="19135"/>
    <cellStyle name="20% - Accent6 8 3 3" xfId="4004"/>
    <cellStyle name="20% - Accent6 8 3 3 2" xfId="4005"/>
    <cellStyle name="20% - Accent6 8 3 3 2 2" xfId="15188"/>
    <cellStyle name="20% - Accent6 8 3 3 2 3" xfId="19139"/>
    <cellStyle name="20% - Accent6 8 3 3 3" xfId="4006"/>
    <cellStyle name="20% - Accent6 8 3 3 3 2" xfId="15189"/>
    <cellStyle name="20% - Accent6 8 3 3 3 3" xfId="19140"/>
    <cellStyle name="20% - Accent6 8 3 3 4" xfId="15187"/>
    <cellStyle name="20% - Accent6 8 3 3 5" xfId="19138"/>
    <cellStyle name="20% - Accent6 8 3 4" xfId="4007"/>
    <cellStyle name="20% - Accent6 8 3 4 2" xfId="15190"/>
    <cellStyle name="20% - Accent6 8 3 4 3" xfId="19141"/>
    <cellStyle name="20% - Accent6 8 3 5" xfId="4008"/>
    <cellStyle name="20% - Accent6 8 3 5 2" xfId="15191"/>
    <cellStyle name="20% - Accent6 8 3 5 3" xfId="19142"/>
    <cellStyle name="20% - Accent6 8 3 6" xfId="15183"/>
    <cellStyle name="20% - Accent6 8 3 7" xfId="19134"/>
    <cellStyle name="20% - Accent6 8 3_Volatility" xfId="4009"/>
    <cellStyle name="20% - Accent6 8 4" xfId="4010"/>
    <cellStyle name="20% - Accent6 8 4 2" xfId="4011"/>
    <cellStyle name="20% - Accent6 8 4 2 2" xfId="15193"/>
    <cellStyle name="20% - Accent6 8 4 2 3" xfId="19144"/>
    <cellStyle name="20% - Accent6 8 4 3" xfId="4012"/>
    <cellStyle name="20% - Accent6 8 4 3 2" xfId="15194"/>
    <cellStyle name="20% - Accent6 8 4 3 3" xfId="19145"/>
    <cellStyle name="20% - Accent6 8 4 4" xfId="15192"/>
    <cellStyle name="20% - Accent6 8 4 5" xfId="19143"/>
    <cellStyle name="20% - Accent6 8 5" xfId="4013"/>
    <cellStyle name="20% - Accent6 8 5 2" xfId="4014"/>
    <cellStyle name="20% - Accent6 8 5 2 2" xfId="15196"/>
    <cellStyle name="20% - Accent6 8 5 2 3" xfId="19147"/>
    <cellStyle name="20% - Accent6 8 5 3" xfId="4015"/>
    <cellStyle name="20% - Accent6 8 5 3 2" xfId="15197"/>
    <cellStyle name="20% - Accent6 8 5 3 3" xfId="19148"/>
    <cellStyle name="20% - Accent6 8 5 4" xfId="15195"/>
    <cellStyle name="20% - Accent6 8 5 5" xfId="19146"/>
    <cellStyle name="20% - Accent6 8 6" xfId="4016"/>
    <cellStyle name="20% - Accent6 8 6 2" xfId="4017"/>
    <cellStyle name="20% - Accent6 8 6 2 2" xfId="15199"/>
    <cellStyle name="20% - Accent6 8 6 2 3" xfId="19150"/>
    <cellStyle name="20% - Accent6 8 6 3" xfId="4018"/>
    <cellStyle name="20% - Accent6 8 6 3 2" xfId="15200"/>
    <cellStyle name="20% - Accent6 8 6 3 3" xfId="19151"/>
    <cellStyle name="20% - Accent6 8 6 4" xfId="15198"/>
    <cellStyle name="20% - Accent6 8 6 5" xfId="19149"/>
    <cellStyle name="20% - Accent6 8 7" xfId="4019"/>
    <cellStyle name="20% - Accent6 8 7 2" xfId="15201"/>
    <cellStyle name="20% - Accent6 8 7 3" xfId="19152"/>
    <cellStyle name="20% - Accent6 8 8" xfId="4020"/>
    <cellStyle name="20% - Accent6 8 8 2" xfId="15202"/>
    <cellStyle name="20% - Accent6 8 8 3" xfId="19153"/>
    <cellStyle name="20% - Accent6 8 9" xfId="15170"/>
    <cellStyle name="20% - Accent6 8_Volatility" xfId="4021"/>
    <cellStyle name="20% - Accent6 9" xfId="4022"/>
    <cellStyle name="20% - Accent6 9 10" xfId="19154"/>
    <cellStyle name="20% - Accent6 9 2" xfId="4023"/>
    <cellStyle name="20% - Accent6 9 2 2" xfId="4024"/>
    <cellStyle name="20% - Accent6 9 2 2 2" xfId="4025"/>
    <cellStyle name="20% - Accent6 9 2 2 2 2" xfId="15206"/>
    <cellStyle name="20% - Accent6 9 2 2 2 3" xfId="19157"/>
    <cellStyle name="20% - Accent6 9 2 2 3" xfId="4026"/>
    <cellStyle name="20% - Accent6 9 2 2 3 2" xfId="15207"/>
    <cellStyle name="20% - Accent6 9 2 2 3 3" xfId="19158"/>
    <cellStyle name="20% - Accent6 9 2 2 4" xfId="15205"/>
    <cellStyle name="20% - Accent6 9 2 2 5" xfId="19156"/>
    <cellStyle name="20% - Accent6 9 2 3" xfId="4027"/>
    <cellStyle name="20% - Accent6 9 2 3 2" xfId="4028"/>
    <cellStyle name="20% - Accent6 9 2 3 2 2" xfId="15209"/>
    <cellStyle name="20% - Accent6 9 2 3 2 3" xfId="19160"/>
    <cellStyle name="20% - Accent6 9 2 3 3" xfId="4029"/>
    <cellStyle name="20% - Accent6 9 2 3 3 2" xfId="15210"/>
    <cellStyle name="20% - Accent6 9 2 3 3 3" xfId="19161"/>
    <cellStyle name="20% - Accent6 9 2 3 4" xfId="15208"/>
    <cellStyle name="20% - Accent6 9 2 3 5" xfId="19159"/>
    <cellStyle name="20% - Accent6 9 2 4" xfId="4030"/>
    <cellStyle name="20% - Accent6 9 2 4 2" xfId="4031"/>
    <cellStyle name="20% - Accent6 9 2 4 2 2" xfId="15212"/>
    <cellStyle name="20% - Accent6 9 2 4 2 3" xfId="19163"/>
    <cellStyle name="20% - Accent6 9 2 4 3" xfId="4032"/>
    <cellStyle name="20% - Accent6 9 2 4 3 2" xfId="15213"/>
    <cellStyle name="20% - Accent6 9 2 4 3 3" xfId="19164"/>
    <cellStyle name="20% - Accent6 9 2 4 4" xfId="15211"/>
    <cellStyle name="20% - Accent6 9 2 4 5" xfId="19162"/>
    <cellStyle name="20% - Accent6 9 2 5" xfId="4033"/>
    <cellStyle name="20% - Accent6 9 2 5 2" xfId="15214"/>
    <cellStyle name="20% - Accent6 9 2 5 3" xfId="19165"/>
    <cellStyle name="20% - Accent6 9 2 6" xfId="4034"/>
    <cellStyle name="20% - Accent6 9 2 6 2" xfId="15215"/>
    <cellStyle name="20% - Accent6 9 2 6 3" xfId="19166"/>
    <cellStyle name="20% - Accent6 9 2 7" xfId="15204"/>
    <cellStyle name="20% - Accent6 9 2 8" xfId="19155"/>
    <cellStyle name="20% - Accent6 9 2_Volatility" xfId="4035"/>
    <cellStyle name="20% - Accent6 9 3" xfId="4036"/>
    <cellStyle name="20% - Accent6 9 3 2" xfId="4037"/>
    <cellStyle name="20% - Accent6 9 3 2 2" xfId="4038"/>
    <cellStyle name="20% - Accent6 9 3 2 2 2" xfId="15218"/>
    <cellStyle name="20% - Accent6 9 3 2 2 3" xfId="19169"/>
    <cellStyle name="20% - Accent6 9 3 2 3" xfId="4039"/>
    <cellStyle name="20% - Accent6 9 3 2 3 2" xfId="15219"/>
    <cellStyle name="20% - Accent6 9 3 2 3 3" xfId="19170"/>
    <cellStyle name="20% - Accent6 9 3 2 4" xfId="15217"/>
    <cellStyle name="20% - Accent6 9 3 2 5" xfId="19168"/>
    <cellStyle name="20% - Accent6 9 3 3" xfId="4040"/>
    <cellStyle name="20% - Accent6 9 3 3 2" xfId="4041"/>
    <cellStyle name="20% - Accent6 9 3 3 2 2" xfId="15221"/>
    <cellStyle name="20% - Accent6 9 3 3 2 3" xfId="19172"/>
    <cellStyle name="20% - Accent6 9 3 3 3" xfId="4042"/>
    <cellStyle name="20% - Accent6 9 3 3 3 2" xfId="15222"/>
    <cellStyle name="20% - Accent6 9 3 3 3 3" xfId="19173"/>
    <cellStyle name="20% - Accent6 9 3 3 4" xfId="15220"/>
    <cellStyle name="20% - Accent6 9 3 3 5" xfId="19171"/>
    <cellStyle name="20% - Accent6 9 3 4" xfId="4043"/>
    <cellStyle name="20% - Accent6 9 3 4 2" xfId="15223"/>
    <cellStyle name="20% - Accent6 9 3 4 3" xfId="19174"/>
    <cellStyle name="20% - Accent6 9 3 5" xfId="4044"/>
    <cellStyle name="20% - Accent6 9 3 5 2" xfId="15224"/>
    <cellStyle name="20% - Accent6 9 3 5 3" xfId="19175"/>
    <cellStyle name="20% - Accent6 9 3 6" xfId="15216"/>
    <cellStyle name="20% - Accent6 9 3 7" xfId="19167"/>
    <cellStyle name="20% - Accent6 9 3_Volatility" xfId="4045"/>
    <cellStyle name="20% - Accent6 9 4" xfId="4046"/>
    <cellStyle name="20% - Accent6 9 4 2" xfId="4047"/>
    <cellStyle name="20% - Accent6 9 4 2 2" xfId="15226"/>
    <cellStyle name="20% - Accent6 9 4 2 3" xfId="19177"/>
    <cellStyle name="20% - Accent6 9 4 3" xfId="4048"/>
    <cellStyle name="20% - Accent6 9 4 3 2" xfId="15227"/>
    <cellStyle name="20% - Accent6 9 4 3 3" xfId="19178"/>
    <cellStyle name="20% - Accent6 9 4 4" xfId="15225"/>
    <cellStyle name="20% - Accent6 9 4 5" xfId="19176"/>
    <cellStyle name="20% - Accent6 9 5" xfId="4049"/>
    <cellStyle name="20% - Accent6 9 5 2" xfId="4050"/>
    <cellStyle name="20% - Accent6 9 5 2 2" xfId="15229"/>
    <cellStyle name="20% - Accent6 9 5 2 3" xfId="19180"/>
    <cellStyle name="20% - Accent6 9 5 3" xfId="4051"/>
    <cellStyle name="20% - Accent6 9 5 3 2" xfId="15230"/>
    <cellStyle name="20% - Accent6 9 5 3 3" xfId="19181"/>
    <cellStyle name="20% - Accent6 9 5 4" xfId="15228"/>
    <cellStyle name="20% - Accent6 9 5 5" xfId="19179"/>
    <cellStyle name="20% - Accent6 9 6" xfId="4052"/>
    <cellStyle name="20% - Accent6 9 6 2" xfId="4053"/>
    <cellStyle name="20% - Accent6 9 6 2 2" xfId="15232"/>
    <cellStyle name="20% - Accent6 9 6 2 3" xfId="19183"/>
    <cellStyle name="20% - Accent6 9 6 3" xfId="4054"/>
    <cellStyle name="20% - Accent6 9 6 3 2" xfId="15233"/>
    <cellStyle name="20% - Accent6 9 6 3 3" xfId="19184"/>
    <cellStyle name="20% - Accent6 9 6 4" xfId="15231"/>
    <cellStyle name="20% - Accent6 9 6 5" xfId="19182"/>
    <cellStyle name="20% - Accent6 9 7" xfId="4055"/>
    <cellStyle name="20% - Accent6 9 7 2" xfId="15234"/>
    <cellStyle name="20% - Accent6 9 7 3" xfId="19185"/>
    <cellStyle name="20% - Accent6 9 8" xfId="4056"/>
    <cellStyle name="20% - Accent6 9 8 2" xfId="15235"/>
    <cellStyle name="20% - Accent6 9 8 3" xfId="19186"/>
    <cellStyle name="20% - Accent6 9 9" xfId="15203"/>
    <cellStyle name="20% - Accent6 9_Volatility" xfId="4057"/>
    <cellStyle name="20% - Ênfase1" xfId="4058"/>
    <cellStyle name="20% - Ênfase2" xfId="4059"/>
    <cellStyle name="20% - Ênfase3" xfId="4060"/>
    <cellStyle name="20% - Ênfase4" xfId="4061"/>
    <cellStyle name="20% - Ênfase5" xfId="4062"/>
    <cellStyle name="20% - Ênfase6" xfId="4063"/>
    <cellStyle name="20% - Énfasis1" xfId="4064"/>
    <cellStyle name="20% - Énfasis2" xfId="4065"/>
    <cellStyle name="20% - Énfasis3" xfId="4066"/>
    <cellStyle name="20% - Énfasis4" xfId="4067"/>
    <cellStyle name="20% - Énfasis5" xfId="4068"/>
    <cellStyle name="20% - Énfasis6" xfId="4069"/>
    <cellStyle name="20% - 강조색1" xfId="4070"/>
    <cellStyle name="20% - 강조색1 2" xfId="4071"/>
    <cellStyle name="20% - 강조색2" xfId="4072"/>
    <cellStyle name="20% - 강조색2 2" xfId="4073"/>
    <cellStyle name="20% - 강조색3" xfId="4074"/>
    <cellStyle name="20% - 강조색3 2" xfId="4075"/>
    <cellStyle name="20% - 강조색4" xfId="4076"/>
    <cellStyle name="20% - 강조색4 2" xfId="4077"/>
    <cellStyle name="20% - 강조색5" xfId="4078"/>
    <cellStyle name="20% - 강조색5 2" xfId="4079"/>
    <cellStyle name="20% - 강조색6" xfId="4080"/>
    <cellStyle name="20% - 강조색6 2" xfId="4081"/>
    <cellStyle name="2DecimalPercent" xfId="4082"/>
    <cellStyle name="2DecimalPercent 2" xfId="4083"/>
    <cellStyle name="2DecimalPercent 2 2" xfId="4084"/>
    <cellStyle name="2DecimalPercent 3" xfId="4085"/>
    <cellStyle name="2DecimalPercent 4" xfId="4086"/>
    <cellStyle name="2DecimalPercent 5" xfId="4087"/>
    <cellStyle name="2Decimals" xfId="4088"/>
    <cellStyle name="2Decimals 2" xfId="4089"/>
    <cellStyle name="2Decimals 2 2" xfId="4090"/>
    <cellStyle name="2Decimals 3" xfId="4091"/>
    <cellStyle name="2Decimals 4" xfId="4092"/>
    <cellStyle name="2Decimals 5" xfId="4093"/>
    <cellStyle name="2places" xfId="4094"/>
    <cellStyle name="³f¹ô[0]_P721-Spd" xfId="4095"/>
    <cellStyle name="³f¹ô_P721-Spd" xfId="4096"/>
    <cellStyle name="4 spaces" xfId="16346"/>
    <cellStyle name="40% - Accent1 10" xfId="4097"/>
    <cellStyle name="40% - Accent1 10 10" xfId="19187"/>
    <cellStyle name="40% - Accent1 10 2" xfId="4098"/>
    <cellStyle name="40% - Accent1 10 2 2" xfId="4099"/>
    <cellStyle name="40% - Accent1 10 2 2 2" xfId="4100"/>
    <cellStyle name="40% - Accent1 10 2 2 2 2" xfId="15239"/>
    <cellStyle name="40% - Accent1 10 2 2 2 3" xfId="19190"/>
    <cellStyle name="40% - Accent1 10 2 2 3" xfId="4101"/>
    <cellStyle name="40% - Accent1 10 2 2 3 2" xfId="15240"/>
    <cellStyle name="40% - Accent1 10 2 2 3 3" xfId="19191"/>
    <cellStyle name="40% - Accent1 10 2 2 4" xfId="15238"/>
    <cellStyle name="40% - Accent1 10 2 2 5" xfId="19189"/>
    <cellStyle name="40% - Accent1 10 2 3" xfId="4102"/>
    <cellStyle name="40% - Accent1 10 2 3 2" xfId="4103"/>
    <cellStyle name="40% - Accent1 10 2 3 2 2" xfId="15242"/>
    <cellStyle name="40% - Accent1 10 2 3 2 3" xfId="19193"/>
    <cellStyle name="40% - Accent1 10 2 3 3" xfId="4104"/>
    <cellStyle name="40% - Accent1 10 2 3 3 2" xfId="15243"/>
    <cellStyle name="40% - Accent1 10 2 3 3 3" xfId="19194"/>
    <cellStyle name="40% - Accent1 10 2 3 4" xfId="15241"/>
    <cellStyle name="40% - Accent1 10 2 3 5" xfId="19192"/>
    <cellStyle name="40% - Accent1 10 2 4" xfId="4105"/>
    <cellStyle name="40% - Accent1 10 2 4 2" xfId="4106"/>
    <cellStyle name="40% - Accent1 10 2 4 2 2" xfId="15245"/>
    <cellStyle name="40% - Accent1 10 2 4 2 3" xfId="19196"/>
    <cellStyle name="40% - Accent1 10 2 4 3" xfId="4107"/>
    <cellStyle name="40% - Accent1 10 2 4 3 2" xfId="15246"/>
    <cellStyle name="40% - Accent1 10 2 4 3 3" xfId="19197"/>
    <cellStyle name="40% - Accent1 10 2 4 4" xfId="15244"/>
    <cellStyle name="40% - Accent1 10 2 4 5" xfId="19195"/>
    <cellStyle name="40% - Accent1 10 2 5" xfId="4108"/>
    <cellStyle name="40% - Accent1 10 2 5 2" xfId="15247"/>
    <cellStyle name="40% - Accent1 10 2 5 3" xfId="19198"/>
    <cellStyle name="40% - Accent1 10 2 6" xfId="4109"/>
    <cellStyle name="40% - Accent1 10 2 6 2" xfId="15248"/>
    <cellStyle name="40% - Accent1 10 2 6 3" xfId="19199"/>
    <cellStyle name="40% - Accent1 10 2 7" xfId="15237"/>
    <cellStyle name="40% - Accent1 10 2 8" xfId="19188"/>
    <cellStyle name="40% - Accent1 10 2_Volatility" xfId="4110"/>
    <cellStyle name="40% - Accent1 10 3" xfId="4111"/>
    <cellStyle name="40% - Accent1 10 3 2" xfId="4112"/>
    <cellStyle name="40% - Accent1 10 3 2 2" xfId="4113"/>
    <cellStyle name="40% - Accent1 10 3 2 2 2" xfId="15251"/>
    <cellStyle name="40% - Accent1 10 3 2 2 3" xfId="19202"/>
    <cellStyle name="40% - Accent1 10 3 2 3" xfId="4114"/>
    <cellStyle name="40% - Accent1 10 3 2 3 2" xfId="15252"/>
    <cellStyle name="40% - Accent1 10 3 2 3 3" xfId="19203"/>
    <cellStyle name="40% - Accent1 10 3 2 4" xfId="15250"/>
    <cellStyle name="40% - Accent1 10 3 2 5" xfId="19201"/>
    <cellStyle name="40% - Accent1 10 3 3" xfId="4115"/>
    <cellStyle name="40% - Accent1 10 3 3 2" xfId="4116"/>
    <cellStyle name="40% - Accent1 10 3 3 2 2" xfId="15254"/>
    <cellStyle name="40% - Accent1 10 3 3 2 3" xfId="19205"/>
    <cellStyle name="40% - Accent1 10 3 3 3" xfId="4117"/>
    <cellStyle name="40% - Accent1 10 3 3 3 2" xfId="15255"/>
    <cellStyle name="40% - Accent1 10 3 3 3 3" xfId="19206"/>
    <cellStyle name="40% - Accent1 10 3 3 4" xfId="15253"/>
    <cellStyle name="40% - Accent1 10 3 3 5" xfId="19204"/>
    <cellStyle name="40% - Accent1 10 3 4" xfId="4118"/>
    <cellStyle name="40% - Accent1 10 3 4 2" xfId="15256"/>
    <cellStyle name="40% - Accent1 10 3 4 3" xfId="19207"/>
    <cellStyle name="40% - Accent1 10 3 5" xfId="4119"/>
    <cellStyle name="40% - Accent1 10 3 5 2" xfId="15257"/>
    <cellStyle name="40% - Accent1 10 3 5 3" xfId="19208"/>
    <cellStyle name="40% - Accent1 10 3 6" xfId="15249"/>
    <cellStyle name="40% - Accent1 10 3 7" xfId="19200"/>
    <cellStyle name="40% - Accent1 10 3_Volatility" xfId="4120"/>
    <cellStyle name="40% - Accent1 10 4" xfId="4121"/>
    <cellStyle name="40% - Accent1 10 4 2" xfId="4122"/>
    <cellStyle name="40% - Accent1 10 4 2 2" xfId="15259"/>
    <cellStyle name="40% - Accent1 10 4 2 3" xfId="19210"/>
    <cellStyle name="40% - Accent1 10 4 3" xfId="4123"/>
    <cellStyle name="40% - Accent1 10 4 3 2" xfId="15260"/>
    <cellStyle name="40% - Accent1 10 4 3 3" xfId="19211"/>
    <cellStyle name="40% - Accent1 10 4 4" xfId="15258"/>
    <cellStyle name="40% - Accent1 10 4 5" xfId="19209"/>
    <cellStyle name="40% - Accent1 10 5" xfId="4124"/>
    <cellStyle name="40% - Accent1 10 5 2" xfId="4125"/>
    <cellStyle name="40% - Accent1 10 5 2 2" xfId="15262"/>
    <cellStyle name="40% - Accent1 10 5 2 3" xfId="19213"/>
    <cellStyle name="40% - Accent1 10 5 3" xfId="4126"/>
    <cellStyle name="40% - Accent1 10 5 3 2" xfId="15263"/>
    <cellStyle name="40% - Accent1 10 5 3 3" xfId="19214"/>
    <cellStyle name="40% - Accent1 10 5 4" xfId="15261"/>
    <cellStyle name="40% - Accent1 10 5 5" xfId="19212"/>
    <cellStyle name="40% - Accent1 10 6" xfId="4127"/>
    <cellStyle name="40% - Accent1 10 6 2" xfId="4128"/>
    <cellStyle name="40% - Accent1 10 6 2 2" xfId="15265"/>
    <cellStyle name="40% - Accent1 10 6 2 3" xfId="19216"/>
    <cellStyle name="40% - Accent1 10 6 3" xfId="4129"/>
    <cellStyle name="40% - Accent1 10 6 3 2" xfId="15266"/>
    <cellStyle name="40% - Accent1 10 6 3 3" xfId="19217"/>
    <cellStyle name="40% - Accent1 10 6 4" xfId="15264"/>
    <cellStyle name="40% - Accent1 10 6 5" xfId="19215"/>
    <cellStyle name="40% - Accent1 10 7" xfId="4130"/>
    <cellStyle name="40% - Accent1 10 7 2" xfId="15267"/>
    <cellStyle name="40% - Accent1 10 7 3" xfId="19218"/>
    <cellStyle name="40% - Accent1 10 8" xfId="4131"/>
    <cellStyle name="40% - Accent1 10 8 2" xfId="15268"/>
    <cellStyle name="40% - Accent1 10 8 3" xfId="19219"/>
    <cellStyle name="40% - Accent1 10 9" xfId="15236"/>
    <cellStyle name="40% - Accent1 10_Volatility" xfId="4132"/>
    <cellStyle name="40% - Accent1 11" xfId="4133"/>
    <cellStyle name="40% - Accent1 11 10" xfId="19220"/>
    <cellStyle name="40% - Accent1 11 2" xfId="4134"/>
    <cellStyle name="40% - Accent1 11 2 2" xfId="4135"/>
    <cellStyle name="40% - Accent1 11 2 2 2" xfId="4136"/>
    <cellStyle name="40% - Accent1 11 2 2 2 2" xfId="15272"/>
    <cellStyle name="40% - Accent1 11 2 2 2 3" xfId="19223"/>
    <cellStyle name="40% - Accent1 11 2 2 3" xfId="4137"/>
    <cellStyle name="40% - Accent1 11 2 2 3 2" xfId="15273"/>
    <cellStyle name="40% - Accent1 11 2 2 3 3" xfId="19224"/>
    <cellStyle name="40% - Accent1 11 2 2 4" xfId="15271"/>
    <cellStyle name="40% - Accent1 11 2 2 5" xfId="19222"/>
    <cellStyle name="40% - Accent1 11 2 3" xfId="4138"/>
    <cellStyle name="40% - Accent1 11 2 3 2" xfId="4139"/>
    <cellStyle name="40% - Accent1 11 2 3 2 2" xfId="15275"/>
    <cellStyle name="40% - Accent1 11 2 3 2 3" xfId="19226"/>
    <cellStyle name="40% - Accent1 11 2 3 3" xfId="4140"/>
    <cellStyle name="40% - Accent1 11 2 3 3 2" xfId="15276"/>
    <cellStyle name="40% - Accent1 11 2 3 3 3" xfId="19227"/>
    <cellStyle name="40% - Accent1 11 2 3 4" xfId="15274"/>
    <cellStyle name="40% - Accent1 11 2 3 5" xfId="19225"/>
    <cellStyle name="40% - Accent1 11 2 4" xfId="4141"/>
    <cellStyle name="40% - Accent1 11 2 4 2" xfId="4142"/>
    <cellStyle name="40% - Accent1 11 2 4 2 2" xfId="15278"/>
    <cellStyle name="40% - Accent1 11 2 4 2 3" xfId="19229"/>
    <cellStyle name="40% - Accent1 11 2 4 3" xfId="4143"/>
    <cellStyle name="40% - Accent1 11 2 4 3 2" xfId="15279"/>
    <cellStyle name="40% - Accent1 11 2 4 3 3" xfId="19230"/>
    <cellStyle name="40% - Accent1 11 2 4 4" xfId="15277"/>
    <cellStyle name="40% - Accent1 11 2 4 5" xfId="19228"/>
    <cellStyle name="40% - Accent1 11 2 5" xfId="4144"/>
    <cellStyle name="40% - Accent1 11 2 5 2" xfId="15280"/>
    <cellStyle name="40% - Accent1 11 2 5 3" xfId="19231"/>
    <cellStyle name="40% - Accent1 11 2 6" xfId="4145"/>
    <cellStyle name="40% - Accent1 11 2 6 2" xfId="15281"/>
    <cellStyle name="40% - Accent1 11 2 6 3" xfId="19232"/>
    <cellStyle name="40% - Accent1 11 2 7" xfId="15270"/>
    <cellStyle name="40% - Accent1 11 2 8" xfId="19221"/>
    <cellStyle name="40% - Accent1 11 2_Volatility" xfId="4146"/>
    <cellStyle name="40% - Accent1 11 3" xfId="4147"/>
    <cellStyle name="40% - Accent1 11 3 2" xfId="4148"/>
    <cellStyle name="40% - Accent1 11 3 2 2" xfId="4149"/>
    <cellStyle name="40% - Accent1 11 3 2 2 2" xfId="15284"/>
    <cellStyle name="40% - Accent1 11 3 2 2 3" xfId="19235"/>
    <cellStyle name="40% - Accent1 11 3 2 3" xfId="4150"/>
    <cellStyle name="40% - Accent1 11 3 2 3 2" xfId="15285"/>
    <cellStyle name="40% - Accent1 11 3 2 3 3" xfId="19236"/>
    <cellStyle name="40% - Accent1 11 3 2 4" xfId="15283"/>
    <cellStyle name="40% - Accent1 11 3 2 5" xfId="19234"/>
    <cellStyle name="40% - Accent1 11 3 3" xfId="4151"/>
    <cellStyle name="40% - Accent1 11 3 3 2" xfId="4152"/>
    <cellStyle name="40% - Accent1 11 3 3 2 2" xfId="15287"/>
    <cellStyle name="40% - Accent1 11 3 3 2 3" xfId="19238"/>
    <cellStyle name="40% - Accent1 11 3 3 3" xfId="4153"/>
    <cellStyle name="40% - Accent1 11 3 3 3 2" xfId="15288"/>
    <cellStyle name="40% - Accent1 11 3 3 3 3" xfId="19239"/>
    <cellStyle name="40% - Accent1 11 3 3 4" xfId="15286"/>
    <cellStyle name="40% - Accent1 11 3 3 5" xfId="19237"/>
    <cellStyle name="40% - Accent1 11 3 4" xfId="4154"/>
    <cellStyle name="40% - Accent1 11 3 4 2" xfId="15289"/>
    <cellStyle name="40% - Accent1 11 3 4 3" xfId="19240"/>
    <cellStyle name="40% - Accent1 11 3 5" xfId="4155"/>
    <cellStyle name="40% - Accent1 11 3 5 2" xfId="15290"/>
    <cellStyle name="40% - Accent1 11 3 5 3" xfId="19241"/>
    <cellStyle name="40% - Accent1 11 3 6" xfId="15282"/>
    <cellStyle name="40% - Accent1 11 3 7" xfId="19233"/>
    <cellStyle name="40% - Accent1 11 3_Volatility" xfId="4156"/>
    <cellStyle name="40% - Accent1 11 4" xfId="4157"/>
    <cellStyle name="40% - Accent1 11 4 2" xfId="4158"/>
    <cellStyle name="40% - Accent1 11 4 2 2" xfId="15292"/>
    <cellStyle name="40% - Accent1 11 4 2 3" xfId="19243"/>
    <cellStyle name="40% - Accent1 11 4 3" xfId="4159"/>
    <cellStyle name="40% - Accent1 11 4 3 2" xfId="15293"/>
    <cellStyle name="40% - Accent1 11 4 3 3" xfId="19244"/>
    <cellStyle name="40% - Accent1 11 4 4" xfId="15291"/>
    <cellStyle name="40% - Accent1 11 4 5" xfId="19242"/>
    <cellStyle name="40% - Accent1 11 5" xfId="4160"/>
    <cellStyle name="40% - Accent1 11 5 2" xfId="4161"/>
    <cellStyle name="40% - Accent1 11 5 2 2" xfId="15295"/>
    <cellStyle name="40% - Accent1 11 5 2 3" xfId="19246"/>
    <cellStyle name="40% - Accent1 11 5 3" xfId="4162"/>
    <cellStyle name="40% - Accent1 11 5 3 2" xfId="15296"/>
    <cellStyle name="40% - Accent1 11 5 3 3" xfId="19247"/>
    <cellStyle name="40% - Accent1 11 5 4" xfId="15294"/>
    <cellStyle name="40% - Accent1 11 5 5" xfId="19245"/>
    <cellStyle name="40% - Accent1 11 6" xfId="4163"/>
    <cellStyle name="40% - Accent1 11 6 2" xfId="4164"/>
    <cellStyle name="40% - Accent1 11 6 2 2" xfId="15298"/>
    <cellStyle name="40% - Accent1 11 6 2 3" xfId="19249"/>
    <cellStyle name="40% - Accent1 11 6 3" xfId="4165"/>
    <cellStyle name="40% - Accent1 11 6 3 2" xfId="15299"/>
    <cellStyle name="40% - Accent1 11 6 3 3" xfId="19250"/>
    <cellStyle name="40% - Accent1 11 6 4" xfId="15297"/>
    <cellStyle name="40% - Accent1 11 6 5" xfId="19248"/>
    <cellStyle name="40% - Accent1 11 7" xfId="4166"/>
    <cellStyle name="40% - Accent1 11 7 2" xfId="15300"/>
    <cellStyle name="40% - Accent1 11 7 3" xfId="19251"/>
    <cellStyle name="40% - Accent1 11 8" xfId="4167"/>
    <cellStyle name="40% - Accent1 11 8 2" xfId="15301"/>
    <cellStyle name="40% - Accent1 11 8 3" xfId="19252"/>
    <cellStyle name="40% - Accent1 11 9" xfId="15269"/>
    <cellStyle name="40% - Accent1 11_Volatility" xfId="4168"/>
    <cellStyle name="40% - Accent1 12" xfId="4169"/>
    <cellStyle name="40% - Accent1 12 10" xfId="19253"/>
    <cellStyle name="40% - Accent1 12 2" xfId="4170"/>
    <cellStyle name="40% - Accent1 12 2 2" xfId="4171"/>
    <cellStyle name="40% - Accent1 12 2 2 2" xfId="4172"/>
    <cellStyle name="40% - Accent1 12 2 2 2 2" xfId="15305"/>
    <cellStyle name="40% - Accent1 12 2 2 2 3" xfId="19256"/>
    <cellStyle name="40% - Accent1 12 2 2 3" xfId="4173"/>
    <cellStyle name="40% - Accent1 12 2 2 3 2" xfId="15306"/>
    <cellStyle name="40% - Accent1 12 2 2 3 3" xfId="19257"/>
    <cellStyle name="40% - Accent1 12 2 2 4" xfId="15304"/>
    <cellStyle name="40% - Accent1 12 2 2 5" xfId="19255"/>
    <cellStyle name="40% - Accent1 12 2 3" xfId="4174"/>
    <cellStyle name="40% - Accent1 12 2 3 2" xfId="4175"/>
    <cellStyle name="40% - Accent1 12 2 3 2 2" xfId="15308"/>
    <cellStyle name="40% - Accent1 12 2 3 2 3" xfId="19259"/>
    <cellStyle name="40% - Accent1 12 2 3 3" xfId="4176"/>
    <cellStyle name="40% - Accent1 12 2 3 3 2" xfId="15309"/>
    <cellStyle name="40% - Accent1 12 2 3 3 3" xfId="19260"/>
    <cellStyle name="40% - Accent1 12 2 3 4" xfId="15307"/>
    <cellStyle name="40% - Accent1 12 2 3 5" xfId="19258"/>
    <cellStyle name="40% - Accent1 12 2 4" xfId="4177"/>
    <cellStyle name="40% - Accent1 12 2 4 2" xfId="4178"/>
    <cellStyle name="40% - Accent1 12 2 4 2 2" xfId="15311"/>
    <cellStyle name="40% - Accent1 12 2 4 2 3" xfId="19262"/>
    <cellStyle name="40% - Accent1 12 2 4 3" xfId="4179"/>
    <cellStyle name="40% - Accent1 12 2 4 3 2" xfId="15312"/>
    <cellStyle name="40% - Accent1 12 2 4 3 3" xfId="19263"/>
    <cellStyle name="40% - Accent1 12 2 4 4" xfId="15310"/>
    <cellStyle name="40% - Accent1 12 2 4 5" xfId="19261"/>
    <cellStyle name="40% - Accent1 12 2 5" xfId="4180"/>
    <cellStyle name="40% - Accent1 12 2 5 2" xfId="15313"/>
    <cellStyle name="40% - Accent1 12 2 5 3" xfId="19264"/>
    <cellStyle name="40% - Accent1 12 2 6" xfId="4181"/>
    <cellStyle name="40% - Accent1 12 2 6 2" xfId="15314"/>
    <cellStyle name="40% - Accent1 12 2 6 3" xfId="19265"/>
    <cellStyle name="40% - Accent1 12 2 7" xfId="15303"/>
    <cellStyle name="40% - Accent1 12 2 8" xfId="19254"/>
    <cellStyle name="40% - Accent1 12 2_Volatility" xfId="4182"/>
    <cellStyle name="40% - Accent1 12 3" xfId="4183"/>
    <cellStyle name="40% - Accent1 12 3 2" xfId="4184"/>
    <cellStyle name="40% - Accent1 12 3 2 2" xfId="4185"/>
    <cellStyle name="40% - Accent1 12 3 2 2 2" xfId="15317"/>
    <cellStyle name="40% - Accent1 12 3 2 2 3" xfId="19268"/>
    <cellStyle name="40% - Accent1 12 3 2 3" xfId="4186"/>
    <cellStyle name="40% - Accent1 12 3 2 3 2" xfId="15318"/>
    <cellStyle name="40% - Accent1 12 3 2 3 3" xfId="19269"/>
    <cellStyle name="40% - Accent1 12 3 2 4" xfId="15316"/>
    <cellStyle name="40% - Accent1 12 3 2 5" xfId="19267"/>
    <cellStyle name="40% - Accent1 12 3 3" xfId="4187"/>
    <cellStyle name="40% - Accent1 12 3 3 2" xfId="4188"/>
    <cellStyle name="40% - Accent1 12 3 3 2 2" xfId="15320"/>
    <cellStyle name="40% - Accent1 12 3 3 2 3" xfId="19271"/>
    <cellStyle name="40% - Accent1 12 3 3 3" xfId="4189"/>
    <cellStyle name="40% - Accent1 12 3 3 3 2" xfId="15321"/>
    <cellStyle name="40% - Accent1 12 3 3 3 3" xfId="19272"/>
    <cellStyle name="40% - Accent1 12 3 3 4" xfId="15319"/>
    <cellStyle name="40% - Accent1 12 3 3 5" xfId="19270"/>
    <cellStyle name="40% - Accent1 12 3 4" xfId="4190"/>
    <cellStyle name="40% - Accent1 12 3 4 2" xfId="15322"/>
    <cellStyle name="40% - Accent1 12 3 4 3" xfId="19273"/>
    <cellStyle name="40% - Accent1 12 3 5" xfId="4191"/>
    <cellStyle name="40% - Accent1 12 3 5 2" xfId="15323"/>
    <cellStyle name="40% - Accent1 12 3 5 3" xfId="19274"/>
    <cellStyle name="40% - Accent1 12 3 6" xfId="15315"/>
    <cellStyle name="40% - Accent1 12 3 7" xfId="19266"/>
    <cellStyle name="40% - Accent1 12 3_Volatility" xfId="4192"/>
    <cellStyle name="40% - Accent1 12 4" xfId="4193"/>
    <cellStyle name="40% - Accent1 12 4 2" xfId="4194"/>
    <cellStyle name="40% - Accent1 12 4 2 2" xfId="15325"/>
    <cellStyle name="40% - Accent1 12 4 2 3" xfId="19276"/>
    <cellStyle name="40% - Accent1 12 4 3" xfId="4195"/>
    <cellStyle name="40% - Accent1 12 4 3 2" xfId="15326"/>
    <cellStyle name="40% - Accent1 12 4 3 3" xfId="19277"/>
    <cellStyle name="40% - Accent1 12 4 4" xfId="15324"/>
    <cellStyle name="40% - Accent1 12 4 5" xfId="19275"/>
    <cellStyle name="40% - Accent1 12 5" xfId="4196"/>
    <cellStyle name="40% - Accent1 12 5 2" xfId="4197"/>
    <cellStyle name="40% - Accent1 12 5 2 2" xfId="15328"/>
    <cellStyle name="40% - Accent1 12 5 2 3" xfId="19279"/>
    <cellStyle name="40% - Accent1 12 5 3" xfId="4198"/>
    <cellStyle name="40% - Accent1 12 5 3 2" xfId="15329"/>
    <cellStyle name="40% - Accent1 12 5 3 3" xfId="19280"/>
    <cellStyle name="40% - Accent1 12 5 4" xfId="15327"/>
    <cellStyle name="40% - Accent1 12 5 5" xfId="19278"/>
    <cellStyle name="40% - Accent1 12 6" xfId="4199"/>
    <cellStyle name="40% - Accent1 12 6 2" xfId="4200"/>
    <cellStyle name="40% - Accent1 12 6 2 2" xfId="15331"/>
    <cellStyle name="40% - Accent1 12 6 2 3" xfId="19282"/>
    <cellStyle name="40% - Accent1 12 6 3" xfId="4201"/>
    <cellStyle name="40% - Accent1 12 6 3 2" xfId="15332"/>
    <cellStyle name="40% - Accent1 12 6 3 3" xfId="19283"/>
    <cellStyle name="40% - Accent1 12 6 4" xfId="15330"/>
    <cellStyle name="40% - Accent1 12 6 5" xfId="19281"/>
    <cellStyle name="40% - Accent1 12 7" xfId="4202"/>
    <cellStyle name="40% - Accent1 12 7 2" xfId="15333"/>
    <cellStyle name="40% - Accent1 12 7 3" xfId="19284"/>
    <cellStyle name="40% - Accent1 12 8" xfId="4203"/>
    <cellStyle name="40% - Accent1 12 8 2" xfId="15334"/>
    <cellStyle name="40% - Accent1 12 8 3" xfId="19285"/>
    <cellStyle name="40% - Accent1 12 9" xfId="15302"/>
    <cellStyle name="40% - Accent1 12_Volatility" xfId="4204"/>
    <cellStyle name="40% - Accent1 13" xfId="4205"/>
    <cellStyle name="40% - Accent1 13 10" xfId="19286"/>
    <cellStyle name="40% - Accent1 13 2" xfId="4206"/>
    <cellStyle name="40% - Accent1 13 2 2" xfId="4207"/>
    <cellStyle name="40% - Accent1 13 2 2 2" xfId="4208"/>
    <cellStyle name="40% - Accent1 13 2 2 2 2" xfId="15338"/>
    <cellStyle name="40% - Accent1 13 2 2 2 3" xfId="19289"/>
    <cellStyle name="40% - Accent1 13 2 2 3" xfId="4209"/>
    <cellStyle name="40% - Accent1 13 2 2 3 2" xfId="15339"/>
    <cellStyle name="40% - Accent1 13 2 2 3 3" xfId="19290"/>
    <cellStyle name="40% - Accent1 13 2 2 4" xfId="15337"/>
    <cellStyle name="40% - Accent1 13 2 2 5" xfId="19288"/>
    <cellStyle name="40% - Accent1 13 2 3" xfId="4210"/>
    <cellStyle name="40% - Accent1 13 2 3 2" xfId="4211"/>
    <cellStyle name="40% - Accent1 13 2 3 2 2" xfId="15341"/>
    <cellStyle name="40% - Accent1 13 2 3 2 3" xfId="19292"/>
    <cellStyle name="40% - Accent1 13 2 3 3" xfId="4212"/>
    <cellStyle name="40% - Accent1 13 2 3 3 2" xfId="15342"/>
    <cellStyle name="40% - Accent1 13 2 3 3 3" xfId="19293"/>
    <cellStyle name="40% - Accent1 13 2 3 4" xfId="15340"/>
    <cellStyle name="40% - Accent1 13 2 3 5" xfId="19291"/>
    <cellStyle name="40% - Accent1 13 2 4" xfId="4213"/>
    <cellStyle name="40% - Accent1 13 2 4 2" xfId="4214"/>
    <cellStyle name="40% - Accent1 13 2 4 2 2" xfId="15344"/>
    <cellStyle name="40% - Accent1 13 2 4 2 3" xfId="19295"/>
    <cellStyle name="40% - Accent1 13 2 4 3" xfId="4215"/>
    <cellStyle name="40% - Accent1 13 2 4 3 2" xfId="15345"/>
    <cellStyle name="40% - Accent1 13 2 4 3 3" xfId="19296"/>
    <cellStyle name="40% - Accent1 13 2 4 4" xfId="15343"/>
    <cellStyle name="40% - Accent1 13 2 4 5" xfId="19294"/>
    <cellStyle name="40% - Accent1 13 2 5" xfId="4216"/>
    <cellStyle name="40% - Accent1 13 2 5 2" xfId="15346"/>
    <cellStyle name="40% - Accent1 13 2 5 3" xfId="19297"/>
    <cellStyle name="40% - Accent1 13 2 6" xfId="4217"/>
    <cellStyle name="40% - Accent1 13 2 6 2" xfId="15347"/>
    <cellStyle name="40% - Accent1 13 2 6 3" xfId="19298"/>
    <cellStyle name="40% - Accent1 13 2 7" xfId="15336"/>
    <cellStyle name="40% - Accent1 13 2 8" xfId="19287"/>
    <cellStyle name="40% - Accent1 13 2_Volatility" xfId="4218"/>
    <cellStyle name="40% - Accent1 13 3" xfId="4219"/>
    <cellStyle name="40% - Accent1 13 3 2" xfId="4220"/>
    <cellStyle name="40% - Accent1 13 3 2 2" xfId="4221"/>
    <cellStyle name="40% - Accent1 13 3 2 2 2" xfId="15350"/>
    <cellStyle name="40% - Accent1 13 3 2 2 3" xfId="19301"/>
    <cellStyle name="40% - Accent1 13 3 2 3" xfId="4222"/>
    <cellStyle name="40% - Accent1 13 3 2 3 2" xfId="15351"/>
    <cellStyle name="40% - Accent1 13 3 2 3 3" xfId="19302"/>
    <cellStyle name="40% - Accent1 13 3 2 4" xfId="15349"/>
    <cellStyle name="40% - Accent1 13 3 2 5" xfId="19300"/>
    <cellStyle name="40% - Accent1 13 3 3" xfId="4223"/>
    <cellStyle name="40% - Accent1 13 3 3 2" xfId="4224"/>
    <cellStyle name="40% - Accent1 13 3 3 2 2" xfId="15353"/>
    <cellStyle name="40% - Accent1 13 3 3 2 3" xfId="19304"/>
    <cellStyle name="40% - Accent1 13 3 3 3" xfId="4225"/>
    <cellStyle name="40% - Accent1 13 3 3 3 2" xfId="15354"/>
    <cellStyle name="40% - Accent1 13 3 3 3 3" xfId="19305"/>
    <cellStyle name="40% - Accent1 13 3 3 4" xfId="15352"/>
    <cellStyle name="40% - Accent1 13 3 3 5" xfId="19303"/>
    <cellStyle name="40% - Accent1 13 3 4" xfId="4226"/>
    <cellStyle name="40% - Accent1 13 3 4 2" xfId="15355"/>
    <cellStyle name="40% - Accent1 13 3 4 3" xfId="19306"/>
    <cellStyle name="40% - Accent1 13 3 5" xfId="4227"/>
    <cellStyle name="40% - Accent1 13 3 5 2" xfId="15356"/>
    <cellStyle name="40% - Accent1 13 3 5 3" xfId="19307"/>
    <cellStyle name="40% - Accent1 13 3 6" xfId="15348"/>
    <cellStyle name="40% - Accent1 13 3 7" xfId="19299"/>
    <cellStyle name="40% - Accent1 13 3_Volatility" xfId="4228"/>
    <cellStyle name="40% - Accent1 13 4" xfId="4229"/>
    <cellStyle name="40% - Accent1 13 4 2" xfId="4230"/>
    <cellStyle name="40% - Accent1 13 4 2 2" xfId="15358"/>
    <cellStyle name="40% - Accent1 13 4 2 3" xfId="19309"/>
    <cellStyle name="40% - Accent1 13 4 3" xfId="4231"/>
    <cellStyle name="40% - Accent1 13 4 3 2" xfId="15359"/>
    <cellStyle name="40% - Accent1 13 4 3 3" xfId="19310"/>
    <cellStyle name="40% - Accent1 13 4 4" xfId="15357"/>
    <cellStyle name="40% - Accent1 13 4 5" xfId="19308"/>
    <cellStyle name="40% - Accent1 13 5" xfId="4232"/>
    <cellStyle name="40% - Accent1 13 5 2" xfId="4233"/>
    <cellStyle name="40% - Accent1 13 5 2 2" xfId="15361"/>
    <cellStyle name="40% - Accent1 13 5 2 3" xfId="19312"/>
    <cellStyle name="40% - Accent1 13 5 3" xfId="4234"/>
    <cellStyle name="40% - Accent1 13 5 3 2" xfId="15362"/>
    <cellStyle name="40% - Accent1 13 5 3 3" xfId="19313"/>
    <cellStyle name="40% - Accent1 13 5 4" xfId="15360"/>
    <cellStyle name="40% - Accent1 13 5 5" xfId="19311"/>
    <cellStyle name="40% - Accent1 13 6" xfId="4235"/>
    <cellStyle name="40% - Accent1 13 6 2" xfId="4236"/>
    <cellStyle name="40% - Accent1 13 6 2 2" xfId="15364"/>
    <cellStyle name="40% - Accent1 13 6 2 3" xfId="19315"/>
    <cellStyle name="40% - Accent1 13 6 3" xfId="4237"/>
    <cellStyle name="40% - Accent1 13 6 3 2" xfId="15365"/>
    <cellStyle name="40% - Accent1 13 6 3 3" xfId="19316"/>
    <cellStyle name="40% - Accent1 13 6 4" xfId="15363"/>
    <cellStyle name="40% - Accent1 13 6 5" xfId="19314"/>
    <cellStyle name="40% - Accent1 13 7" xfId="4238"/>
    <cellStyle name="40% - Accent1 13 7 2" xfId="15366"/>
    <cellStyle name="40% - Accent1 13 7 3" xfId="19317"/>
    <cellStyle name="40% - Accent1 13 8" xfId="4239"/>
    <cellStyle name="40% - Accent1 13 8 2" xfId="15367"/>
    <cellStyle name="40% - Accent1 13 8 3" xfId="19318"/>
    <cellStyle name="40% - Accent1 13 9" xfId="15335"/>
    <cellStyle name="40% - Accent1 13_Volatility" xfId="4240"/>
    <cellStyle name="40% - Accent1 14" xfId="4241"/>
    <cellStyle name="40% - Accent1 14 10" xfId="19319"/>
    <cellStyle name="40% - Accent1 14 2" xfId="4242"/>
    <cellStyle name="40% - Accent1 14 2 2" xfId="4243"/>
    <cellStyle name="40% - Accent1 14 2 2 2" xfId="4244"/>
    <cellStyle name="40% - Accent1 14 2 2 2 2" xfId="15371"/>
    <cellStyle name="40% - Accent1 14 2 2 2 3" xfId="19322"/>
    <cellStyle name="40% - Accent1 14 2 2 3" xfId="4245"/>
    <cellStyle name="40% - Accent1 14 2 2 3 2" xfId="15372"/>
    <cellStyle name="40% - Accent1 14 2 2 3 3" xfId="19323"/>
    <cellStyle name="40% - Accent1 14 2 2 4" xfId="15370"/>
    <cellStyle name="40% - Accent1 14 2 2 5" xfId="19321"/>
    <cellStyle name="40% - Accent1 14 2 3" xfId="4246"/>
    <cellStyle name="40% - Accent1 14 2 3 2" xfId="4247"/>
    <cellStyle name="40% - Accent1 14 2 3 2 2" xfId="15374"/>
    <cellStyle name="40% - Accent1 14 2 3 2 3" xfId="19325"/>
    <cellStyle name="40% - Accent1 14 2 3 3" xfId="4248"/>
    <cellStyle name="40% - Accent1 14 2 3 3 2" xfId="15375"/>
    <cellStyle name="40% - Accent1 14 2 3 3 3" xfId="19326"/>
    <cellStyle name="40% - Accent1 14 2 3 4" xfId="15373"/>
    <cellStyle name="40% - Accent1 14 2 3 5" xfId="19324"/>
    <cellStyle name="40% - Accent1 14 2 4" xfId="4249"/>
    <cellStyle name="40% - Accent1 14 2 4 2" xfId="4250"/>
    <cellStyle name="40% - Accent1 14 2 4 2 2" xfId="15377"/>
    <cellStyle name="40% - Accent1 14 2 4 2 3" xfId="19328"/>
    <cellStyle name="40% - Accent1 14 2 4 3" xfId="4251"/>
    <cellStyle name="40% - Accent1 14 2 4 3 2" xfId="15378"/>
    <cellStyle name="40% - Accent1 14 2 4 3 3" xfId="19329"/>
    <cellStyle name="40% - Accent1 14 2 4 4" xfId="15376"/>
    <cellStyle name="40% - Accent1 14 2 4 5" xfId="19327"/>
    <cellStyle name="40% - Accent1 14 2 5" xfId="4252"/>
    <cellStyle name="40% - Accent1 14 2 5 2" xfId="15379"/>
    <cellStyle name="40% - Accent1 14 2 5 3" xfId="19330"/>
    <cellStyle name="40% - Accent1 14 2 6" xfId="4253"/>
    <cellStyle name="40% - Accent1 14 2 6 2" xfId="15380"/>
    <cellStyle name="40% - Accent1 14 2 6 3" xfId="19331"/>
    <cellStyle name="40% - Accent1 14 2 7" xfId="15369"/>
    <cellStyle name="40% - Accent1 14 2 8" xfId="19320"/>
    <cellStyle name="40% - Accent1 14 2_Volatility" xfId="4254"/>
    <cellStyle name="40% - Accent1 14 3" xfId="4255"/>
    <cellStyle name="40% - Accent1 14 3 2" xfId="4256"/>
    <cellStyle name="40% - Accent1 14 3 2 2" xfId="4257"/>
    <cellStyle name="40% - Accent1 14 3 2 2 2" xfId="15383"/>
    <cellStyle name="40% - Accent1 14 3 2 2 3" xfId="19334"/>
    <cellStyle name="40% - Accent1 14 3 2 3" xfId="4258"/>
    <cellStyle name="40% - Accent1 14 3 2 3 2" xfId="15384"/>
    <cellStyle name="40% - Accent1 14 3 2 3 3" xfId="19335"/>
    <cellStyle name="40% - Accent1 14 3 2 4" xfId="15382"/>
    <cellStyle name="40% - Accent1 14 3 2 5" xfId="19333"/>
    <cellStyle name="40% - Accent1 14 3 3" xfId="4259"/>
    <cellStyle name="40% - Accent1 14 3 3 2" xfId="4260"/>
    <cellStyle name="40% - Accent1 14 3 3 2 2" xfId="15386"/>
    <cellStyle name="40% - Accent1 14 3 3 2 3" xfId="19337"/>
    <cellStyle name="40% - Accent1 14 3 3 3" xfId="4261"/>
    <cellStyle name="40% - Accent1 14 3 3 3 2" xfId="15387"/>
    <cellStyle name="40% - Accent1 14 3 3 3 3" xfId="19338"/>
    <cellStyle name="40% - Accent1 14 3 3 4" xfId="15385"/>
    <cellStyle name="40% - Accent1 14 3 3 5" xfId="19336"/>
    <cellStyle name="40% - Accent1 14 3 4" xfId="4262"/>
    <cellStyle name="40% - Accent1 14 3 4 2" xfId="15388"/>
    <cellStyle name="40% - Accent1 14 3 4 3" xfId="19339"/>
    <cellStyle name="40% - Accent1 14 3 5" xfId="4263"/>
    <cellStyle name="40% - Accent1 14 3 5 2" xfId="15389"/>
    <cellStyle name="40% - Accent1 14 3 5 3" xfId="19340"/>
    <cellStyle name="40% - Accent1 14 3 6" xfId="15381"/>
    <cellStyle name="40% - Accent1 14 3 7" xfId="19332"/>
    <cellStyle name="40% - Accent1 14 3_Volatility" xfId="4264"/>
    <cellStyle name="40% - Accent1 14 4" xfId="4265"/>
    <cellStyle name="40% - Accent1 14 4 2" xfId="4266"/>
    <cellStyle name="40% - Accent1 14 4 2 2" xfId="15391"/>
    <cellStyle name="40% - Accent1 14 4 2 3" xfId="19342"/>
    <cellStyle name="40% - Accent1 14 4 3" xfId="4267"/>
    <cellStyle name="40% - Accent1 14 4 3 2" xfId="15392"/>
    <cellStyle name="40% - Accent1 14 4 3 3" xfId="19343"/>
    <cellStyle name="40% - Accent1 14 4 4" xfId="15390"/>
    <cellStyle name="40% - Accent1 14 4 5" xfId="19341"/>
    <cellStyle name="40% - Accent1 14 5" xfId="4268"/>
    <cellStyle name="40% - Accent1 14 5 2" xfId="4269"/>
    <cellStyle name="40% - Accent1 14 5 2 2" xfId="15394"/>
    <cellStyle name="40% - Accent1 14 5 2 3" xfId="19345"/>
    <cellStyle name="40% - Accent1 14 5 3" xfId="4270"/>
    <cellStyle name="40% - Accent1 14 5 3 2" xfId="15395"/>
    <cellStyle name="40% - Accent1 14 5 3 3" xfId="19346"/>
    <cellStyle name="40% - Accent1 14 5 4" xfId="15393"/>
    <cellStyle name="40% - Accent1 14 5 5" xfId="19344"/>
    <cellStyle name="40% - Accent1 14 6" xfId="4271"/>
    <cellStyle name="40% - Accent1 14 6 2" xfId="4272"/>
    <cellStyle name="40% - Accent1 14 6 2 2" xfId="15397"/>
    <cellStyle name="40% - Accent1 14 6 2 3" xfId="19348"/>
    <cellStyle name="40% - Accent1 14 6 3" xfId="4273"/>
    <cellStyle name="40% - Accent1 14 6 3 2" xfId="15398"/>
    <cellStyle name="40% - Accent1 14 6 3 3" xfId="19349"/>
    <cellStyle name="40% - Accent1 14 6 4" xfId="15396"/>
    <cellStyle name="40% - Accent1 14 6 5" xfId="19347"/>
    <cellStyle name="40% - Accent1 14 7" xfId="4274"/>
    <cellStyle name="40% - Accent1 14 7 2" xfId="15399"/>
    <cellStyle name="40% - Accent1 14 7 3" xfId="19350"/>
    <cellStyle name="40% - Accent1 14 8" xfId="4275"/>
    <cellStyle name="40% - Accent1 14 8 2" xfId="15400"/>
    <cellStyle name="40% - Accent1 14 8 3" xfId="19351"/>
    <cellStyle name="40% - Accent1 14 9" xfId="15368"/>
    <cellStyle name="40% - Accent1 14_Volatility" xfId="4276"/>
    <cellStyle name="40% - Accent1 15" xfId="4277"/>
    <cellStyle name="40% - Accent1 15 10" xfId="19352"/>
    <cellStyle name="40% - Accent1 15 2" xfId="4278"/>
    <cellStyle name="40% - Accent1 15 2 2" xfId="4279"/>
    <cellStyle name="40% - Accent1 15 2 2 2" xfId="4280"/>
    <cellStyle name="40% - Accent1 15 2 2 2 2" xfId="15404"/>
    <cellStyle name="40% - Accent1 15 2 2 2 3" xfId="19355"/>
    <cellStyle name="40% - Accent1 15 2 2 3" xfId="4281"/>
    <cellStyle name="40% - Accent1 15 2 2 3 2" xfId="15405"/>
    <cellStyle name="40% - Accent1 15 2 2 3 3" xfId="19356"/>
    <cellStyle name="40% - Accent1 15 2 2 4" xfId="15403"/>
    <cellStyle name="40% - Accent1 15 2 2 5" xfId="19354"/>
    <cellStyle name="40% - Accent1 15 2 3" xfId="4282"/>
    <cellStyle name="40% - Accent1 15 2 3 2" xfId="4283"/>
    <cellStyle name="40% - Accent1 15 2 3 2 2" xfId="15407"/>
    <cellStyle name="40% - Accent1 15 2 3 2 3" xfId="19358"/>
    <cellStyle name="40% - Accent1 15 2 3 3" xfId="4284"/>
    <cellStyle name="40% - Accent1 15 2 3 3 2" xfId="15408"/>
    <cellStyle name="40% - Accent1 15 2 3 3 3" xfId="19359"/>
    <cellStyle name="40% - Accent1 15 2 3 4" xfId="15406"/>
    <cellStyle name="40% - Accent1 15 2 3 5" xfId="19357"/>
    <cellStyle name="40% - Accent1 15 2 4" xfId="4285"/>
    <cellStyle name="40% - Accent1 15 2 4 2" xfId="4286"/>
    <cellStyle name="40% - Accent1 15 2 4 2 2" xfId="15410"/>
    <cellStyle name="40% - Accent1 15 2 4 2 3" xfId="19361"/>
    <cellStyle name="40% - Accent1 15 2 4 3" xfId="4287"/>
    <cellStyle name="40% - Accent1 15 2 4 3 2" xfId="15411"/>
    <cellStyle name="40% - Accent1 15 2 4 3 3" xfId="19362"/>
    <cellStyle name="40% - Accent1 15 2 4 4" xfId="15409"/>
    <cellStyle name="40% - Accent1 15 2 4 5" xfId="19360"/>
    <cellStyle name="40% - Accent1 15 2 5" xfId="4288"/>
    <cellStyle name="40% - Accent1 15 2 5 2" xfId="15412"/>
    <cellStyle name="40% - Accent1 15 2 5 3" xfId="19363"/>
    <cellStyle name="40% - Accent1 15 2 6" xfId="4289"/>
    <cellStyle name="40% - Accent1 15 2 6 2" xfId="15413"/>
    <cellStyle name="40% - Accent1 15 2 6 3" xfId="19364"/>
    <cellStyle name="40% - Accent1 15 2 7" xfId="15402"/>
    <cellStyle name="40% - Accent1 15 2 8" xfId="19353"/>
    <cellStyle name="40% - Accent1 15 2_Volatility" xfId="4290"/>
    <cellStyle name="40% - Accent1 15 3" xfId="4291"/>
    <cellStyle name="40% - Accent1 15 3 2" xfId="4292"/>
    <cellStyle name="40% - Accent1 15 3 2 2" xfId="4293"/>
    <cellStyle name="40% - Accent1 15 3 2 2 2" xfId="15416"/>
    <cellStyle name="40% - Accent1 15 3 2 2 3" xfId="19367"/>
    <cellStyle name="40% - Accent1 15 3 2 3" xfId="4294"/>
    <cellStyle name="40% - Accent1 15 3 2 3 2" xfId="15417"/>
    <cellStyle name="40% - Accent1 15 3 2 3 3" xfId="19368"/>
    <cellStyle name="40% - Accent1 15 3 2 4" xfId="15415"/>
    <cellStyle name="40% - Accent1 15 3 2 5" xfId="19366"/>
    <cellStyle name="40% - Accent1 15 3 3" xfId="4295"/>
    <cellStyle name="40% - Accent1 15 3 3 2" xfId="4296"/>
    <cellStyle name="40% - Accent1 15 3 3 2 2" xfId="15419"/>
    <cellStyle name="40% - Accent1 15 3 3 2 3" xfId="19370"/>
    <cellStyle name="40% - Accent1 15 3 3 3" xfId="4297"/>
    <cellStyle name="40% - Accent1 15 3 3 3 2" xfId="15420"/>
    <cellStyle name="40% - Accent1 15 3 3 3 3" xfId="19371"/>
    <cellStyle name="40% - Accent1 15 3 3 4" xfId="15418"/>
    <cellStyle name="40% - Accent1 15 3 3 5" xfId="19369"/>
    <cellStyle name="40% - Accent1 15 3 4" xfId="4298"/>
    <cellStyle name="40% - Accent1 15 3 4 2" xfId="15421"/>
    <cellStyle name="40% - Accent1 15 3 4 3" xfId="19372"/>
    <cellStyle name="40% - Accent1 15 3 5" xfId="4299"/>
    <cellStyle name="40% - Accent1 15 3 5 2" xfId="15422"/>
    <cellStyle name="40% - Accent1 15 3 5 3" xfId="19373"/>
    <cellStyle name="40% - Accent1 15 3 6" xfId="15414"/>
    <cellStyle name="40% - Accent1 15 3 7" xfId="19365"/>
    <cellStyle name="40% - Accent1 15 3_Volatility" xfId="4300"/>
    <cellStyle name="40% - Accent1 15 4" xfId="4301"/>
    <cellStyle name="40% - Accent1 15 4 2" xfId="4302"/>
    <cellStyle name="40% - Accent1 15 4 2 2" xfId="15424"/>
    <cellStyle name="40% - Accent1 15 4 2 3" xfId="19375"/>
    <cellStyle name="40% - Accent1 15 4 3" xfId="4303"/>
    <cellStyle name="40% - Accent1 15 4 3 2" xfId="15425"/>
    <cellStyle name="40% - Accent1 15 4 3 3" xfId="19376"/>
    <cellStyle name="40% - Accent1 15 4 4" xfId="15423"/>
    <cellStyle name="40% - Accent1 15 4 5" xfId="19374"/>
    <cellStyle name="40% - Accent1 15 5" xfId="4304"/>
    <cellStyle name="40% - Accent1 15 5 2" xfId="4305"/>
    <cellStyle name="40% - Accent1 15 5 2 2" xfId="15427"/>
    <cellStyle name="40% - Accent1 15 5 2 3" xfId="19378"/>
    <cellStyle name="40% - Accent1 15 5 3" xfId="4306"/>
    <cellStyle name="40% - Accent1 15 5 3 2" xfId="15428"/>
    <cellStyle name="40% - Accent1 15 5 3 3" xfId="19379"/>
    <cellStyle name="40% - Accent1 15 5 4" xfId="15426"/>
    <cellStyle name="40% - Accent1 15 5 5" xfId="19377"/>
    <cellStyle name="40% - Accent1 15 6" xfId="4307"/>
    <cellStyle name="40% - Accent1 15 6 2" xfId="4308"/>
    <cellStyle name="40% - Accent1 15 6 2 2" xfId="15430"/>
    <cellStyle name="40% - Accent1 15 6 2 3" xfId="19381"/>
    <cellStyle name="40% - Accent1 15 6 3" xfId="4309"/>
    <cellStyle name="40% - Accent1 15 6 3 2" xfId="15431"/>
    <cellStyle name="40% - Accent1 15 6 3 3" xfId="19382"/>
    <cellStyle name="40% - Accent1 15 6 4" xfId="15429"/>
    <cellStyle name="40% - Accent1 15 6 5" xfId="19380"/>
    <cellStyle name="40% - Accent1 15 7" xfId="4310"/>
    <cellStyle name="40% - Accent1 15 7 2" xfId="15432"/>
    <cellStyle name="40% - Accent1 15 7 3" xfId="19383"/>
    <cellStyle name="40% - Accent1 15 8" xfId="4311"/>
    <cellStyle name="40% - Accent1 15 8 2" xfId="15433"/>
    <cellStyle name="40% - Accent1 15 8 3" xfId="19384"/>
    <cellStyle name="40% - Accent1 15 9" xfId="15401"/>
    <cellStyle name="40% - Accent1 15_Volatility" xfId="4312"/>
    <cellStyle name="40% - Accent1 16" xfId="4313"/>
    <cellStyle name="40% - Accent1 16 2" xfId="15434"/>
    <cellStyle name="40% - Accent1 16 3" xfId="19385"/>
    <cellStyle name="40% - Accent1 17" xfId="4314"/>
    <cellStyle name="40% - Accent1 17 2" xfId="15435"/>
    <cellStyle name="40% - Accent1 17 3" xfId="19386"/>
    <cellStyle name="40% - Accent1 18" xfId="4315"/>
    <cellStyle name="40% - Accent1 18 2" xfId="15436"/>
    <cellStyle name="40% - Accent1 18 3" xfId="19387"/>
    <cellStyle name="40% - Accent1 19" xfId="4316"/>
    <cellStyle name="40% - Accent1 19 2" xfId="15437"/>
    <cellStyle name="40% - Accent1 19 3" xfId="19388"/>
    <cellStyle name="40% - Accent1 2" xfId="4317"/>
    <cellStyle name="40% - Accent1 2 10" xfId="19389"/>
    <cellStyle name="40% - Accent1 2 2" xfId="4318"/>
    <cellStyle name="40% - Accent1 2 2 2" xfId="4319"/>
    <cellStyle name="40% - Accent1 2 2 2 2" xfId="4320"/>
    <cellStyle name="40% - Accent1 2 2 2 2 2" xfId="15441"/>
    <cellStyle name="40% - Accent1 2 2 2 2 3" xfId="19392"/>
    <cellStyle name="40% - Accent1 2 2 2 3" xfId="4321"/>
    <cellStyle name="40% - Accent1 2 2 2 3 2" xfId="15442"/>
    <cellStyle name="40% - Accent1 2 2 2 3 3" xfId="19393"/>
    <cellStyle name="40% - Accent1 2 2 2 4" xfId="15440"/>
    <cellStyle name="40% - Accent1 2 2 2 5" xfId="19391"/>
    <cellStyle name="40% - Accent1 2 2 3" xfId="4322"/>
    <cellStyle name="40% - Accent1 2 2 3 2" xfId="4323"/>
    <cellStyle name="40% - Accent1 2 2 3 2 2" xfId="15444"/>
    <cellStyle name="40% - Accent1 2 2 3 2 3" xfId="19395"/>
    <cellStyle name="40% - Accent1 2 2 3 3" xfId="4324"/>
    <cellStyle name="40% - Accent1 2 2 3 3 2" xfId="15445"/>
    <cellStyle name="40% - Accent1 2 2 3 3 3" xfId="19396"/>
    <cellStyle name="40% - Accent1 2 2 3 4" xfId="15443"/>
    <cellStyle name="40% - Accent1 2 2 3 5" xfId="19394"/>
    <cellStyle name="40% - Accent1 2 2 4" xfId="4325"/>
    <cellStyle name="40% - Accent1 2 2 4 2" xfId="4326"/>
    <cellStyle name="40% - Accent1 2 2 4 2 2" xfId="15447"/>
    <cellStyle name="40% - Accent1 2 2 4 2 3" xfId="19398"/>
    <cellStyle name="40% - Accent1 2 2 4 3" xfId="4327"/>
    <cellStyle name="40% - Accent1 2 2 4 3 2" xfId="15448"/>
    <cellStyle name="40% - Accent1 2 2 4 3 3" xfId="19399"/>
    <cellStyle name="40% - Accent1 2 2 4 4" xfId="15446"/>
    <cellStyle name="40% - Accent1 2 2 4 5" xfId="19397"/>
    <cellStyle name="40% - Accent1 2 2 5" xfId="4328"/>
    <cellStyle name="40% - Accent1 2 2 5 2" xfId="15449"/>
    <cellStyle name="40% - Accent1 2 2 5 3" xfId="19400"/>
    <cellStyle name="40% - Accent1 2 2 6" xfId="4329"/>
    <cellStyle name="40% - Accent1 2 2 6 2" xfId="15450"/>
    <cellStyle name="40% - Accent1 2 2 6 3" xfId="19401"/>
    <cellStyle name="40% - Accent1 2 2 7" xfId="15439"/>
    <cellStyle name="40% - Accent1 2 2 8" xfId="19390"/>
    <cellStyle name="40% - Accent1 2 2_Volatility" xfId="4330"/>
    <cellStyle name="40% - Accent1 2 3" xfId="4331"/>
    <cellStyle name="40% - Accent1 2 3 2" xfId="4332"/>
    <cellStyle name="40% - Accent1 2 3 2 2" xfId="4333"/>
    <cellStyle name="40% - Accent1 2 3 2 2 2" xfId="15453"/>
    <cellStyle name="40% - Accent1 2 3 2 2 3" xfId="19404"/>
    <cellStyle name="40% - Accent1 2 3 2 3" xfId="4334"/>
    <cellStyle name="40% - Accent1 2 3 2 3 2" xfId="15454"/>
    <cellStyle name="40% - Accent1 2 3 2 3 3" xfId="19405"/>
    <cellStyle name="40% - Accent1 2 3 2 4" xfId="15452"/>
    <cellStyle name="40% - Accent1 2 3 2 5" xfId="19403"/>
    <cellStyle name="40% - Accent1 2 3 3" xfId="4335"/>
    <cellStyle name="40% - Accent1 2 3 3 2" xfId="4336"/>
    <cellStyle name="40% - Accent1 2 3 3 2 2" xfId="15456"/>
    <cellStyle name="40% - Accent1 2 3 3 2 3" xfId="19407"/>
    <cellStyle name="40% - Accent1 2 3 3 3" xfId="4337"/>
    <cellStyle name="40% - Accent1 2 3 3 3 2" xfId="15457"/>
    <cellStyle name="40% - Accent1 2 3 3 3 3" xfId="19408"/>
    <cellStyle name="40% - Accent1 2 3 3 4" xfId="15455"/>
    <cellStyle name="40% - Accent1 2 3 3 5" xfId="19406"/>
    <cellStyle name="40% - Accent1 2 3 4" xfId="4338"/>
    <cellStyle name="40% - Accent1 2 3 4 2" xfId="15458"/>
    <cellStyle name="40% - Accent1 2 3 4 3" xfId="19409"/>
    <cellStyle name="40% - Accent1 2 3 5" xfId="4339"/>
    <cellStyle name="40% - Accent1 2 3 5 2" xfId="15459"/>
    <cellStyle name="40% - Accent1 2 3 5 3" xfId="19410"/>
    <cellStyle name="40% - Accent1 2 3 6" xfId="15451"/>
    <cellStyle name="40% - Accent1 2 3 7" xfId="19402"/>
    <cellStyle name="40% - Accent1 2 3_Volatility" xfId="4340"/>
    <cellStyle name="40% - Accent1 2 4" xfId="4341"/>
    <cellStyle name="40% - Accent1 2 4 2" xfId="4342"/>
    <cellStyle name="40% - Accent1 2 4 2 2" xfId="15461"/>
    <cellStyle name="40% - Accent1 2 4 2 3" xfId="19412"/>
    <cellStyle name="40% - Accent1 2 4 3" xfId="4343"/>
    <cellStyle name="40% - Accent1 2 4 3 2" xfId="15462"/>
    <cellStyle name="40% - Accent1 2 4 3 3" xfId="19413"/>
    <cellStyle name="40% - Accent1 2 4 4" xfId="15460"/>
    <cellStyle name="40% - Accent1 2 4 5" xfId="19411"/>
    <cellStyle name="40% - Accent1 2 5" xfId="4344"/>
    <cellStyle name="40% - Accent1 2 5 2" xfId="4345"/>
    <cellStyle name="40% - Accent1 2 5 2 2" xfId="15464"/>
    <cellStyle name="40% - Accent1 2 5 2 3" xfId="19415"/>
    <cellStyle name="40% - Accent1 2 5 3" xfId="4346"/>
    <cellStyle name="40% - Accent1 2 5 3 2" xfId="15465"/>
    <cellStyle name="40% - Accent1 2 5 3 3" xfId="19416"/>
    <cellStyle name="40% - Accent1 2 5 4" xfId="15463"/>
    <cellStyle name="40% - Accent1 2 5 5" xfId="19414"/>
    <cellStyle name="40% - Accent1 2 6" xfId="4347"/>
    <cellStyle name="40% - Accent1 2 6 2" xfId="4348"/>
    <cellStyle name="40% - Accent1 2 6 2 2" xfId="15467"/>
    <cellStyle name="40% - Accent1 2 6 2 3" xfId="19418"/>
    <cellStyle name="40% - Accent1 2 6 3" xfId="4349"/>
    <cellStyle name="40% - Accent1 2 6 3 2" xfId="15468"/>
    <cellStyle name="40% - Accent1 2 6 3 3" xfId="19419"/>
    <cellStyle name="40% - Accent1 2 6 4" xfId="15466"/>
    <cellStyle name="40% - Accent1 2 6 5" xfId="19417"/>
    <cellStyle name="40% - Accent1 2 7" xfId="4350"/>
    <cellStyle name="40% - Accent1 2 7 2" xfId="15469"/>
    <cellStyle name="40% - Accent1 2 7 3" xfId="19420"/>
    <cellStyle name="40% - Accent1 2 8" xfId="4351"/>
    <cellStyle name="40% - Accent1 2 8 2" xfId="15470"/>
    <cellStyle name="40% - Accent1 2 8 3" xfId="19421"/>
    <cellStyle name="40% - Accent1 2 9" xfId="15438"/>
    <cellStyle name="40% - Accent1 2_Volatility" xfId="4352"/>
    <cellStyle name="40% - Accent1 3" xfId="4353"/>
    <cellStyle name="40% - Accent1 3 10" xfId="19422"/>
    <cellStyle name="40% - Accent1 3 2" xfId="4354"/>
    <cellStyle name="40% - Accent1 3 2 2" xfId="4355"/>
    <cellStyle name="40% - Accent1 3 2 2 2" xfId="4356"/>
    <cellStyle name="40% - Accent1 3 2 2 2 2" xfId="15474"/>
    <cellStyle name="40% - Accent1 3 2 2 2 3" xfId="19425"/>
    <cellStyle name="40% - Accent1 3 2 2 3" xfId="4357"/>
    <cellStyle name="40% - Accent1 3 2 2 3 2" xfId="15475"/>
    <cellStyle name="40% - Accent1 3 2 2 3 3" xfId="19426"/>
    <cellStyle name="40% - Accent1 3 2 2 4" xfId="15473"/>
    <cellStyle name="40% - Accent1 3 2 2 5" xfId="19424"/>
    <cellStyle name="40% - Accent1 3 2 3" xfId="4358"/>
    <cellStyle name="40% - Accent1 3 2 3 2" xfId="4359"/>
    <cellStyle name="40% - Accent1 3 2 3 2 2" xfId="15477"/>
    <cellStyle name="40% - Accent1 3 2 3 2 3" xfId="19428"/>
    <cellStyle name="40% - Accent1 3 2 3 3" xfId="4360"/>
    <cellStyle name="40% - Accent1 3 2 3 3 2" xfId="15478"/>
    <cellStyle name="40% - Accent1 3 2 3 3 3" xfId="19429"/>
    <cellStyle name="40% - Accent1 3 2 3 4" xfId="15476"/>
    <cellStyle name="40% - Accent1 3 2 3 5" xfId="19427"/>
    <cellStyle name="40% - Accent1 3 2 4" xfId="4361"/>
    <cellStyle name="40% - Accent1 3 2 4 2" xfId="4362"/>
    <cellStyle name="40% - Accent1 3 2 4 2 2" xfId="15480"/>
    <cellStyle name="40% - Accent1 3 2 4 2 3" xfId="19431"/>
    <cellStyle name="40% - Accent1 3 2 4 3" xfId="4363"/>
    <cellStyle name="40% - Accent1 3 2 4 3 2" xfId="15481"/>
    <cellStyle name="40% - Accent1 3 2 4 3 3" xfId="19432"/>
    <cellStyle name="40% - Accent1 3 2 4 4" xfId="15479"/>
    <cellStyle name="40% - Accent1 3 2 4 5" xfId="19430"/>
    <cellStyle name="40% - Accent1 3 2 5" xfId="4364"/>
    <cellStyle name="40% - Accent1 3 2 5 2" xfId="15482"/>
    <cellStyle name="40% - Accent1 3 2 5 3" xfId="19433"/>
    <cellStyle name="40% - Accent1 3 2 6" xfId="4365"/>
    <cellStyle name="40% - Accent1 3 2 6 2" xfId="15483"/>
    <cellStyle name="40% - Accent1 3 2 6 3" xfId="19434"/>
    <cellStyle name="40% - Accent1 3 2 7" xfId="15472"/>
    <cellStyle name="40% - Accent1 3 2 8" xfId="19423"/>
    <cellStyle name="40% - Accent1 3 2_Volatility" xfId="4366"/>
    <cellStyle name="40% - Accent1 3 3" xfId="4367"/>
    <cellStyle name="40% - Accent1 3 3 2" xfId="4368"/>
    <cellStyle name="40% - Accent1 3 3 2 2" xfId="4369"/>
    <cellStyle name="40% - Accent1 3 3 2 2 2" xfId="15486"/>
    <cellStyle name="40% - Accent1 3 3 2 2 3" xfId="19437"/>
    <cellStyle name="40% - Accent1 3 3 2 3" xfId="4370"/>
    <cellStyle name="40% - Accent1 3 3 2 3 2" xfId="15487"/>
    <cellStyle name="40% - Accent1 3 3 2 3 3" xfId="19438"/>
    <cellStyle name="40% - Accent1 3 3 2 4" xfId="15485"/>
    <cellStyle name="40% - Accent1 3 3 2 5" xfId="19436"/>
    <cellStyle name="40% - Accent1 3 3 3" xfId="4371"/>
    <cellStyle name="40% - Accent1 3 3 3 2" xfId="4372"/>
    <cellStyle name="40% - Accent1 3 3 3 2 2" xfId="15489"/>
    <cellStyle name="40% - Accent1 3 3 3 2 3" xfId="19440"/>
    <cellStyle name="40% - Accent1 3 3 3 3" xfId="4373"/>
    <cellStyle name="40% - Accent1 3 3 3 3 2" xfId="15490"/>
    <cellStyle name="40% - Accent1 3 3 3 3 3" xfId="19441"/>
    <cellStyle name="40% - Accent1 3 3 3 4" xfId="15488"/>
    <cellStyle name="40% - Accent1 3 3 3 5" xfId="19439"/>
    <cellStyle name="40% - Accent1 3 3 4" xfId="4374"/>
    <cellStyle name="40% - Accent1 3 3 4 2" xfId="15491"/>
    <cellStyle name="40% - Accent1 3 3 4 3" xfId="19442"/>
    <cellStyle name="40% - Accent1 3 3 5" xfId="4375"/>
    <cellStyle name="40% - Accent1 3 3 5 2" xfId="15492"/>
    <cellStyle name="40% - Accent1 3 3 5 3" xfId="19443"/>
    <cellStyle name="40% - Accent1 3 3 6" xfId="15484"/>
    <cellStyle name="40% - Accent1 3 3 7" xfId="19435"/>
    <cellStyle name="40% - Accent1 3 3_Volatility" xfId="4376"/>
    <cellStyle name="40% - Accent1 3 4" xfId="4377"/>
    <cellStyle name="40% - Accent1 3 4 2" xfId="4378"/>
    <cellStyle name="40% - Accent1 3 4 2 2" xfId="15494"/>
    <cellStyle name="40% - Accent1 3 4 2 3" xfId="19445"/>
    <cellStyle name="40% - Accent1 3 4 3" xfId="4379"/>
    <cellStyle name="40% - Accent1 3 4 3 2" xfId="15495"/>
    <cellStyle name="40% - Accent1 3 4 3 3" xfId="19446"/>
    <cellStyle name="40% - Accent1 3 4 4" xfId="15493"/>
    <cellStyle name="40% - Accent1 3 4 5" xfId="19444"/>
    <cellStyle name="40% - Accent1 3 5" xfId="4380"/>
    <cellStyle name="40% - Accent1 3 5 2" xfId="4381"/>
    <cellStyle name="40% - Accent1 3 5 2 2" xfId="15497"/>
    <cellStyle name="40% - Accent1 3 5 2 3" xfId="19448"/>
    <cellStyle name="40% - Accent1 3 5 3" xfId="4382"/>
    <cellStyle name="40% - Accent1 3 5 3 2" xfId="15498"/>
    <cellStyle name="40% - Accent1 3 5 3 3" xfId="19449"/>
    <cellStyle name="40% - Accent1 3 5 4" xfId="15496"/>
    <cellStyle name="40% - Accent1 3 5 5" xfId="19447"/>
    <cellStyle name="40% - Accent1 3 6" xfId="4383"/>
    <cellStyle name="40% - Accent1 3 6 2" xfId="4384"/>
    <cellStyle name="40% - Accent1 3 6 2 2" xfId="15500"/>
    <cellStyle name="40% - Accent1 3 6 2 3" xfId="19451"/>
    <cellStyle name="40% - Accent1 3 6 3" xfId="4385"/>
    <cellStyle name="40% - Accent1 3 6 3 2" xfId="15501"/>
    <cellStyle name="40% - Accent1 3 6 3 3" xfId="19452"/>
    <cellStyle name="40% - Accent1 3 6 4" xfId="15499"/>
    <cellStyle name="40% - Accent1 3 6 5" xfId="19450"/>
    <cellStyle name="40% - Accent1 3 7" xfId="4386"/>
    <cellStyle name="40% - Accent1 3 7 2" xfId="15502"/>
    <cellStyle name="40% - Accent1 3 7 3" xfId="19453"/>
    <cellStyle name="40% - Accent1 3 8" xfId="4387"/>
    <cellStyle name="40% - Accent1 3 8 2" xfId="15503"/>
    <cellStyle name="40% - Accent1 3 8 3" xfId="19454"/>
    <cellStyle name="40% - Accent1 3 9" xfId="15471"/>
    <cellStyle name="40% - Accent1 3_Volatility" xfId="4388"/>
    <cellStyle name="40% - Accent1 4" xfId="4389"/>
    <cellStyle name="40% - Accent1 4 10" xfId="19455"/>
    <cellStyle name="40% - Accent1 4 2" xfId="4390"/>
    <cellStyle name="40% - Accent1 4 2 2" xfId="4391"/>
    <cellStyle name="40% - Accent1 4 2 2 2" xfId="4392"/>
    <cellStyle name="40% - Accent1 4 2 2 2 2" xfId="15507"/>
    <cellStyle name="40% - Accent1 4 2 2 2 3" xfId="19458"/>
    <cellStyle name="40% - Accent1 4 2 2 3" xfId="4393"/>
    <cellStyle name="40% - Accent1 4 2 2 3 2" xfId="15508"/>
    <cellStyle name="40% - Accent1 4 2 2 3 3" xfId="19459"/>
    <cellStyle name="40% - Accent1 4 2 2 4" xfId="15506"/>
    <cellStyle name="40% - Accent1 4 2 2 5" xfId="19457"/>
    <cellStyle name="40% - Accent1 4 2 3" xfId="4394"/>
    <cellStyle name="40% - Accent1 4 2 3 2" xfId="4395"/>
    <cellStyle name="40% - Accent1 4 2 3 2 2" xfId="15510"/>
    <cellStyle name="40% - Accent1 4 2 3 2 3" xfId="19461"/>
    <cellStyle name="40% - Accent1 4 2 3 3" xfId="4396"/>
    <cellStyle name="40% - Accent1 4 2 3 3 2" xfId="15511"/>
    <cellStyle name="40% - Accent1 4 2 3 3 3" xfId="19462"/>
    <cellStyle name="40% - Accent1 4 2 3 4" xfId="15509"/>
    <cellStyle name="40% - Accent1 4 2 3 5" xfId="19460"/>
    <cellStyle name="40% - Accent1 4 2 4" xfId="4397"/>
    <cellStyle name="40% - Accent1 4 2 4 2" xfId="4398"/>
    <cellStyle name="40% - Accent1 4 2 4 2 2" xfId="15513"/>
    <cellStyle name="40% - Accent1 4 2 4 2 3" xfId="19464"/>
    <cellStyle name="40% - Accent1 4 2 4 3" xfId="4399"/>
    <cellStyle name="40% - Accent1 4 2 4 3 2" xfId="15514"/>
    <cellStyle name="40% - Accent1 4 2 4 3 3" xfId="19465"/>
    <cellStyle name="40% - Accent1 4 2 4 4" xfId="15512"/>
    <cellStyle name="40% - Accent1 4 2 4 5" xfId="19463"/>
    <cellStyle name="40% - Accent1 4 2 5" xfId="4400"/>
    <cellStyle name="40% - Accent1 4 2 5 2" xfId="15515"/>
    <cellStyle name="40% - Accent1 4 2 5 3" xfId="19466"/>
    <cellStyle name="40% - Accent1 4 2 6" xfId="4401"/>
    <cellStyle name="40% - Accent1 4 2 6 2" xfId="15516"/>
    <cellStyle name="40% - Accent1 4 2 6 3" xfId="19467"/>
    <cellStyle name="40% - Accent1 4 2 7" xfId="15505"/>
    <cellStyle name="40% - Accent1 4 2 8" xfId="19456"/>
    <cellStyle name="40% - Accent1 4 2_Volatility" xfId="4402"/>
    <cellStyle name="40% - Accent1 4 3" xfId="4403"/>
    <cellStyle name="40% - Accent1 4 3 2" xfId="4404"/>
    <cellStyle name="40% - Accent1 4 3 2 2" xfId="4405"/>
    <cellStyle name="40% - Accent1 4 3 2 2 2" xfId="15519"/>
    <cellStyle name="40% - Accent1 4 3 2 2 3" xfId="19470"/>
    <cellStyle name="40% - Accent1 4 3 2 3" xfId="4406"/>
    <cellStyle name="40% - Accent1 4 3 2 3 2" xfId="15520"/>
    <cellStyle name="40% - Accent1 4 3 2 3 3" xfId="19471"/>
    <cellStyle name="40% - Accent1 4 3 2 4" xfId="15518"/>
    <cellStyle name="40% - Accent1 4 3 2 5" xfId="19469"/>
    <cellStyle name="40% - Accent1 4 3 3" xfId="4407"/>
    <cellStyle name="40% - Accent1 4 3 3 2" xfId="4408"/>
    <cellStyle name="40% - Accent1 4 3 3 2 2" xfId="15522"/>
    <cellStyle name="40% - Accent1 4 3 3 2 3" xfId="19473"/>
    <cellStyle name="40% - Accent1 4 3 3 3" xfId="4409"/>
    <cellStyle name="40% - Accent1 4 3 3 3 2" xfId="15523"/>
    <cellStyle name="40% - Accent1 4 3 3 3 3" xfId="19474"/>
    <cellStyle name="40% - Accent1 4 3 3 4" xfId="15521"/>
    <cellStyle name="40% - Accent1 4 3 3 5" xfId="19472"/>
    <cellStyle name="40% - Accent1 4 3 4" xfId="4410"/>
    <cellStyle name="40% - Accent1 4 3 4 2" xfId="15524"/>
    <cellStyle name="40% - Accent1 4 3 4 3" xfId="19475"/>
    <cellStyle name="40% - Accent1 4 3 5" xfId="4411"/>
    <cellStyle name="40% - Accent1 4 3 5 2" xfId="15525"/>
    <cellStyle name="40% - Accent1 4 3 5 3" xfId="19476"/>
    <cellStyle name="40% - Accent1 4 3 6" xfId="15517"/>
    <cellStyle name="40% - Accent1 4 3 7" xfId="19468"/>
    <cellStyle name="40% - Accent1 4 3_Volatility" xfId="4412"/>
    <cellStyle name="40% - Accent1 4 4" xfId="4413"/>
    <cellStyle name="40% - Accent1 4 4 2" xfId="4414"/>
    <cellStyle name="40% - Accent1 4 4 2 2" xfId="15527"/>
    <cellStyle name="40% - Accent1 4 4 2 3" xfId="19478"/>
    <cellStyle name="40% - Accent1 4 4 3" xfId="4415"/>
    <cellStyle name="40% - Accent1 4 4 3 2" xfId="15528"/>
    <cellStyle name="40% - Accent1 4 4 3 3" xfId="19479"/>
    <cellStyle name="40% - Accent1 4 4 4" xfId="15526"/>
    <cellStyle name="40% - Accent1 4 4 5" xfId="19477"/>
    <cellStyle name="40% - Accent1 4 5" xfId="4416"/>
    <cellStyle name="40% - Accent1 4 5 2" xfId="4417"/>
    <cellStyle name="40% - Accent1 4 5 2 2" xfId="15530"/>
    <cellStyle name="40% - Accent1 4 5 2 3" xfId="19481"/>
    <cellStyle name="40% - Accent1 4 5 3" xfId="4418"/>
    <cellStyle name="40% - Accent1 4 5 3 2" xfId="15531"/>
    <cellStyle name="40% - Accent1 4 5 3 3" xfId="19482"/>
    <cellStyle name="40% - Accent1 4 5 4" xfId="15529"/>
    <cellStyle name="40% - Accent1 4 5 5" xfId="19480"/>
    <cellStyle name="40% - Accent1 4 6" xfId="4419"/>
    <cellStyle name="40% - Accent1 4 6 2" xfId="4420"/>
    <cellStyle name="40% - Accent1 4 6 2 2" xfId="15533"/>
    <cellStyle name="40% - Accent1 4 6 2 3" xfId="19484"/>
    <cellStyle name="40% - Accent1 4 6 3" xfId="4421"/>
    <cellStyle name="40% - Accent1 4 6 3 2" xfId="15534"/>
    <cellStyle name="40% - Accent1 4 6 3 3" xfId="19485"/>
    <cellStyle name="40% - Accent1 4 6 4" xfId="15532"/>
    <cellStyle name="40% - Accent1 4 6 5" xfId="19483"/>
    <cellStyle name="40% - Accent1 4 7" xfId="4422"/>
    <cellStyle name="40% - Accent1 4 7 2" xfId="15535"/>
    <cellStyle name="40% - Accent1 4 7 3" xfId="19486"/>
    <cellStyle name="40% - Accent1 4 8" xfId="4423"/>
    <cellStyle name="40% - Accent1 4 8 2" xfId="15536"/>
    <cellStyle name="40% - Accent1 4 8 3" xfId="19487"/>
    <cellStyle name="40% - Accent1 4 9" xfId="15504"/>
    <cellStyle name="40% - Accent1 4_Volatility" xfId="4424"/>
    <cellStyle name="40% - Accent1 5" xfId="4425"/>
    <cellStyle name="40% - Accent1 5 10" xfId="19488"/>
    <cellStyle name="40% - Accent1 5 2" xfId="4426"/>
    <cellStyle name="40% - Accent1 5 2 2" xfId="4427"/>
    <cellStyle name="40% - Accent1 5 2 2 2" xfId="4428"/>
    <cellStyle name="40% - Accent1 5 2 2 2 2" xfId="15540"/>
    <cellStyle name="40% - Accent1 5 2 2 2 3" xfId="19491"/>
    <cellStyle name="40% - Accent1 5 2 2 3" xfId="4429"/>
    <cellStyle name="40% - Accent1 5 2 2 3 2" xfId="15541"/>
    <cellStyle name="40% - Accent1 5 2 2 3 3" xfId="19492"/>
    <cellStyle name="40% - Accent1 5 2 2 4" xfId="15539"/>
    <cellStyle name="40% - Accent1 5 2 2 5" xfId="19490"/>
    <cellStyle name="40% - Accent1 5 2 3" xfId="4430"/>
    <cellStyle name="40% - Accent1 5 2 3 2" xfId="4431"/>
    <cellStyle name="40% - Accent1 5 2 3 2 2" xfId="15543"/>
    <cellStyle name="40% - Accent1 5 2 3 2 3" xfId="19494"/>
    <cellStyle name="40% - Accent1 5 2 3 3" xfId="4432"/>
    <cellStyle name="40% - Accent1 5 2 3 3 2" xfId="15544"/>
    <cellStyle name="40% - Accent1 5 2 3 3 3" xfId="19495"/>
    <cellStyle name="40% - Accent1 5 2 3 4" xfId="15542"/>
    <cellStyle name="40% - Accent1 5 2 3 5" xfId="19493"/>
    <cellStyle name="40% - Accent1 5 2 4" xfId="4433"/>
    <cellStyle name="40% - Accent1 5 2 4 2" xfId="4434"/>
    <cellStyle name="40% - Accent1 5 2 4 2 2" xfId="15546"/>
    <cellStyle name="40% - Accent1 5 2 4 2 3" xfId="19497"/>
    <cellStyle name="40% - Accent1 5 2 4 3" xfId="4435"/>
    <cellStyle name="40% - Accent1 5 2 4 3 2" xfId="15547"/>
    <cellStyle name="40% - Accent1 5 2 4 3 3" xfId="19498"/>
    <cellStyle name="40% - Accent1 5 2 4 4" xfId="15545"/>
    <cellStyle name="40% - Accent1 5 2 4 5" xfId="19496"/>
    <cellStyle name="40% - Accent1 5 2 5" xfId="4436"/>
    <cellStyle name="40% - Accent1 5 2 5 2" xfId="15548"/>
    <cellStyle name="40% - Accent1 5 2 5 3" xfId="19499"/>
    <cellStyle name="40% - Accent1 5 2 6" xfId="4437"/>
    <cellStyle name="40% - Accent1 5 2 6 2" xfId="15549"/>
    <cellStyle name="40% - Accent1 5 2 6 3" xfId="19500"/>
    <cellStyle name="40% - Accent1 5 2 7" xfId="15538"/>
    <cellStyle name="40% - Accent1 5 2 8" xfId="19489"/>
    <cellStyle name="40% - Accent1 5 2_Volatility" xfId="4438"/>
    <cellStyle name="40% - Accent1 5 3" xfId="4439"/>
    <cellStyle name="40% - Accent1 5 3 2" xfId="4440"/>
    <cellStyle name="40% - Accent1 5 3 2 2" xfId="4441"/>
    <cellStyle name="40% - Accent1 5 3 2 2 2" xfId="15552"/>
    <cellStyle name="40% - Accent1 5 3 2 2 3" xfId="19503"/>
    <cellStyle name="40% - Accent1 5 3 2 3" xfId="4442"/>
    <cellStyle name="40% - Accent1 5 3 2 3 2" xfId="15553"/>
    <cellStyle name="40% - Accent1 5 3 2 3 3" xfId="19504"/>
    <cellStyle name="40% - Accent1 5 3 2 4" xfId="15551"/>
    <cellStyle name="40% - Accent1 5 3 2 5" xfId="19502"/>
    <cellStyle name="40% - Accent1 5 3 3" xfId="4443"/>
    <cellStyle name="40% - Accent1 5 3 3 2" xfId="4444"/>
    <cellStyle name="40% - Accent1 5 3 3 2 2" xfId="15555"/>
    <cellStyle name="40% - Accent1 5 3 3 2 3" xfId="19506"/>
    <cellStyle name="40% - Accent1 5 3 3 3" xfId="4445"/>
    <cellStyle name="40% - Accent1 5 3 3 3 2" xfId="15556"/>
    <cellStyle name="40% - Accent1 5 3 3 3 3" xfId="19507"/>
    <cellStyle name="40% - Accent1 5 3 3 4" xfId="15554"/>
    <cellStyle name="40% - Accent1 5 3 3 5" xfId="19505"/>
    <cellStyle name="40% - Accent1 5 3 4" xfId="4446"/>
    <cellStyle name="40% - Accent1 5 3 4 2" xfId="15557"/>
    <cellStyle name="40% - Accent1 5 3 4 3" xfId="19508"/>
    <cellStyle name="40% - Accent1 5 3 5" xfId="4447"/>
    <cellStyle name="40% - Accent1 5 3 5 2" xfId="15558"/>
    <cellStyle name="40% - Accent1 5 3 5 3" xfId="19509"/>
    <cellStyle name="40% - Accent1 5 3 6" xfId="15550"/>
    <cellStyle name="40% - Accent1 5 3 7" xfId="19501"/>
    <cellStyle name="40% - Accent1 5 3_Volatility" xfId="4448"/>
    <cellStyle name="40% - Accent1 5 4" xfId="4449"/>
    <cellStyle name="40% - Accent1 5 4 2" xfId="4450"/>
    <cellStyle name="40% - Accent1 5 4 2 2" xfId="15560"/>
    <cellStyle name="40% - Accent1 5 4 2 3" xfId="19511"/>
    <cellStyle name="40% - Accent1 5 4 3" xfId="4451"/>
    <cellStyle name="40% - Accent1 5 4 3 2" xfId="15561"/>
    <cellStyle name="40% - Accent1 5 4 3 3" xfId="19512"/>
    <cellStyle name="40% - Accent1 5 4 4" xfId="15559"/>
    <cellStyle name="40% - Accent1 5 4 5" xfId="19510"/>
    <cellStyle name="40% - Accent1 5 5" xfId="4452"/>
    <cellStyle name="40% - Accent1 5 5 2" xfId="4453"/>
    <cellStyle name="40% - Accent1 5 5 2 2" xfId="15563"/>
    <cellStyle name="40% - Accent1 5 5 2 3" xfId="19514"/>
    <cellStyle name="40% - Accent1 5 5 3" xfId="4454"/>
    <cellStyle name="40% - Accent1 5 5 3 2" xfId="15564"/>
    <cellStyle name="40% - Accent1 5 5 3 3" xfId="19515"/>
    <cellStyle name="40% - Accent1 5 5 4" xfId="15562"/>
    <cellStyle name="40% - Accent1 5 5 5" xfId="19513"/>
    <cellStyle name="40% - Accent1 5 6" xfId="4455"/>
    <cellStyle name="40% - Accent1 5 6 2" xfId="4456"/>
    <cellStyle name="40% - Accent1 5 6 2 2" xfId="15566"/>
    <cellStyle name="40% - Accent1 5 6 2 3" xfId="19517"/>
    <cellStyle name="40% - Accent1 5 6 3" xfId="4457"/>
    <cellStyle name="40% - Accent1 5 6 3 2" xfId="15567"/>
    <cellStyle name="40% - Accent1 5 6 3 3" xfId="19518"/>
    <cellStyle name="40% - Accent1 5 6 4" xfId="15565"/>
    <cellStyle name="40% - Accent1 5 6 5" xfId="19516"/>
    <cellStyle name="40% - Accent1 5 7" xfId="4458"/>
    <cellStyle name="40% - Accent1 5 7 2" xfId="15568"/>
    <cellStyle name="40% - Accent1 5 7 3" xfId="19519"/>
    <cellStyle name="40% - Accent1 5 8" xfId="4459"/>
    <cellStyle name="40% - Accent1 5 8 2" xfId="15569"/>
    <cellStyle name="40% - Accent1 5 8 3" xfId="19520"/>
    <cellStyle name="40% - Accent1 5 9" xfId="15537"/>
    <cellStyle name="40% - Accent1 5_Volatility" xfId="4460"/>
    <cellStyle name="40% - Accent1 6" xfId="4461"/>
    <cellStyle name="40% - Accent1 6 10" xfId="19521"/>
    <cellStyle name="40% - Accent1 6 2" xfId="4462"/>
    <cellStyle name="40% - Accent1 6 2 2" xfId="4463"/>
    <cellStyle name="40% - Accent1 6 2 2 2" xfId="4464"/>
    <cellStyle name="40% - Accent1 6 2 2 2 2" xfId="15573"/>
    <cellStyle name="40% - Accent1 6 2 2 2 3" xfId="19524"/>
    <cellStyle name="40% - Accent1 6 2 2 3" xfId="4465"/>
    <cellStyle name="40% - Accent1 6 2 2 3 2" xfId="15574"/>
    <cellStyle name="40% - Accent1 6 2 2 3 3" xfId="19525"/>
    <cellStyle name="40% - Accent1 6 2 2 4" xfId="15572"/>
    <cellStyle name="40% - Accent1 6 2 2 5" xfId="19523"/>
    <cellStyle name="40% - Accent1 6 2 3" xfId="4466"/>
    <cellStyle name="40% - Accent1 6 2 3 2" xfId="4467"/>
    <cellStyle name="40% - Accent1 6 2 3 2 2" xfId="15576"/>
    <cellStyle name="40% - Accent1 6 2 3 2 3" xfId="19527"/>
    <cellStyle name="40% - Accent1 6 2 3 3" xfId="4468"/>
    <cellStyle name="40% - Accent1 6 2 3 3 2" xfId="15577"/>
    <cellStyle name="40% - Accent1 6 2 3 3 3" xfId="19528"/>
    <cellStyle name="40% - Accent1 6 2 3 4" xfId="15575"/>
    <cellStyle name="40% - Accent1 6 2 3 5" xfId="19526"/>
    <cellStyle name="40% - Accent1 6 2 4" xfId="4469"/>
    <cellStyle name="40% - Accent1 6 2 4 2" xfId="4470"/>
    <cellStyle name="40% - Accent1 6 2 4 2 2" xfId="15579"/>
    <cellStyle name="40% - Accent1 6 2 4 2 3" xfId="19530"/>
    <cellStyle name="40% - Accent1 6 2 4 3" xfId="4471"/>
    <cellStyle name="40% - Accent1 6 2 4 3 2" xfId="15580"/>
    <cellStyle name="40% - Accent1 6 2 4 3 3" xfId="19531"/>
    <cellStyle name="40% - Accent1 6 2 4 4" xfId="15578"/>
    <cellStyle name="40% - Accent1 6 2 4 5" xfId="19529"/>
    <cellStyle name="40% - Accent1 6 2 5" xfId="4472"/>
    <cellStyle name="40% - Accent1 6 2 5 2" xfId="15581"/>
    <cellStyle name="40% - Accent1 6 2 5 3" xfId="19532"/>
    <cellStyle name="40% - Accent1 6 2 6" xfId="4473"/>
    <cellStyle name="40% - Accent1 6 2 6 2" xfId="15582"/>
    <cellStyle name="40% - Accent1 6 2 6 3" xfId="19533"/>
    <cellStyle name="40% - Accent1 6 2 7" xfId="15571"/>
    <cellStyle name="40% - Accent1 6 2 8" xfId="19522"/>
    <cellStyle name="40% - Accent1 6 2_Volatility" xfId="4474"/>
    <cellStyle name="40% - Accent1 6 3" xfId="4475"/>
    <cellStyle name="40% - Accent1 6 3 2" xfId="4476"/>
    <cellStyle name="40% - Accent1 6 3 2 2" xfId="4477"/>
    <cellStyle name="40% - Accent1 6 3 2 2 2" xfId="15585"/>
    <cellStyle name="40% - Accent1 6 3 2 2 3" xfId="19536"/>
    <cellStyle name="40% - Accent1 6 3 2 3" xfId="4478"/>
    <cellStyle name="40% - Accent1 6 3 2 3 2" xfId="15586"/>
    <cellStyle name="40% - Accent1 6 3 2 3 3" xfId="19537"/>
    <cellStyle name="40% - Accent1 6 3 2 4" xfId="15584"/>
    <cellStyle name="40% - Accent1 6 3 2 5" xfId="19535"/>
    <cellStyle name="40% - Accent1 6 3 3" xfId="4479"/>
    <cellStyle name="40% - Accent1 6 3 3 2" xfId="4480"/>
    <cellStyle name="40% - Accent1 6 3 3 2 2" xfId="15588"/>
    <cellStyle name="40% - Accent1 6 3 3 2 3" xfId="19539"/>
    <cellStyle name="40% - Accent1 6 3 3 3" xfId="4481"/>
    <cellStyle name="40% - Accent1 6 3 3 3 2" xfId="15589"/>
    <cellStyle name="40% - Accent1 6 3 3 3 3" xfId="19540"/>
    <cellStyle name="40% - Accent1 6 3 3 4" xfId="15587"/>
    <cellStyle name="40% - Accent1 6 3 3 5" xfId="19538"/>
    <cellStyle name="40% - Accent1 6 3 4" xfId="4482"/>
    <cellStyle name="40% - Accent1 6 3 4 2" xfId="15590"/>
    <cellStyle name="40% - Accent1 6 3 4 3" xfId="19541"/>
    <cellStyle name="40% - Accent1 6 3 5" xfId="4483"/>
    <cellStyle name="40% - Accent1 6 3 5 2" xfId="15591"/>
    <cellStyle name="40% - Accent1 6 3 5 3" xfId="19542"/>
    <cellStyle name="40% - Accent1 6 3 6" xfId="15583"/>
    <cellStyle name="40% - Accent1 6 3 7" xfId="19534"/>
    <cellStyle name="40% - Accent1 6 3_Volatility" xfId="4484"/>
    <cellStyle name="40% - Accent1 6 4" xfId="4485"/>
    <cellStyle name="40% - Accent1 6 4 2" xfId="4486"/>
    <cellStyle name="40% - Accent1 6 4 2 2" xfId="15593"/>
    <cellStyle name="40% - Accent1 6 4 2 3" xfId="19544"/>
    <cellStyle name="40% - Accent1 6 4 3" xfId="4487"/>
    <cellStyle name="40% - Accent1 6 4 3 2" xfId="15594"/>
    <cellStyle name="40% - Accent1 6 4 3 3" xfId="19545"/>
    <cellStyle name="40% - Accent1 6 4 4" xfId="15592"/>
    <cellStyle name="40% - Accent1 6 4 5" xfId="19543"/>
    <cellStyle name="40% - Accent1 6 5" xfId="4488"/>
    <cellStyle name="40% - Accent1 6 5 2" xfId="4489"/>
    <cellStyle name="40% - Accent1 6 5 2 2" xfId="15596"/>
    <cellStyle name="40% - Accent1 6 5 2 3" xfId="19547"/>
    <cellStyle name="40% - Accent1 6 5 3" xfId="4490"/>
    <cellStyle name="40% - Accent1 6 5 3 2" xfId="15597"/>
    <cellStyle name="40% - Accent1 6 5 3 3" xfId="19548"/>
    <cellStyle name="40% - Accent1 6 5 4" xfId="15595"/>
    <cellStyle name="40% - Accent1 6 5 5" xfId="19546"/>
    <cellStyle name="40% - Accent1 6 6" xfId="4491"/>
    <cellStyle name="40% - Accent1 6 6 2" xfId="4492"/>
    <cellStyle name="40% - Accent1 6 6 2 2" xfId="15599"/>
    <cellStyle name="40% - Accent1 6 6 2 3" xfId="19550"/>
    <cellStyle name="40% - Accent1 6 6 3" xfId="4493"/>
    <cellStyle name="40% - Accent1 6 6 3 2" xfId="15600"/>
    <cellStyle name="40% - Accent1 6 6 3 3" xfId="19551"/>
    <cellStyle name="40% - Accent1 6 6 4" xfId="15598"/>
    <cellStyle name="40% - Accent1 6 6 5" xfId="19549"/>
    <cellStyle name="40% - Accent1 6 7" xfId="4494"/>
    <cellStyle name="40% - Accent1 6 7 2" xfId="15601"/>
    <cellStyle name="40% - Accent1 6 7 3" xfId="19552"/>
    <cellStyle name="40% - Accent1 6 8" xfId="4495"/>
    <cellStyle name="40% - Accent1 6 8 2" xfId="15602"/>
    <cellStyle name="40% - Accent1 6 8 3" xfId="19553"/>
    <cellStyle name="40% - Accent1 6 9" xfId="15570"/>
    <cellStyle name="40% - Accent1 6_Volatility" xfId="4496"/>
    <cellStyle name="40% - Accent1 7" xfId="4497"/>
    <cellStyle name="40% - Accent1 7 10" xfId="19554"/>
    <cellStyle name="40% - Accent1 7 2" xfId="4498"/>
    <cellStyle name="40% - Accent1 7 2 2" xfId="4499"/>
    <cellStyle name="40% - Accent1 7 2 2 2" xfId="4500"/>
    <cellStyle name="40% - Accent1 7 2 2 2 2" xfId="15606"/>
    <cellStyle name="40% - Accent1 7 2 2 2 3" xfId="19557"/>
    <cellStyle name="40% - Accent1 7 2 2 3" xfId="4501"/>
    <cellStyle name="40% - Accent1 7 2 2 3 2" xfId="15607"/>
    <cellStyle name="40% - Accent1 7 2 2 3 3" xfId="19558"/>
    <cellStyle name="40% - Accent1 7 2 2 4" xfId="15605"/>
    <cellStyle name="40% - Accent1 7 2 2 5" xfId="19556"/>
    <cellStyle name="40% - Accent1 7 2 3" xfId="4502"/>
    <cellStyle name="40% - Accent1 7 2 3 2" xfId="4503"/>
    <cellStyle name="40% - Accent1 7 2 3 2 2" xfId="15609"/>
    <cellStyle name="40% - Accent1 7 2 3 2 3" xfId="19560"/>
    <cellStyle name="40% - Accent1 7 2 3 3" xfId="4504"/>
    <cellStyle name="40% - Accent1 7 2 3 3 2" xfId="15610"/>
    <cellStyle name="40% - Accent1 7 2 3 3 3" xfId="19561"/>
    <cellStyle name="40% - Accent1 7 2 3 4" xfId="15608"/>
    <cellStyle name="40% - Accent1 7 2 3 5" xfId="19559"/>
    <cellStyle name="40% - Accent1 7 2 4" xfId="4505"/>
    <cellStyle name="40% - Accent1 7 2 4 2" xfId="4506"/>
    <cellStyle name="40% - Accent1 7 2 4 2 2" xfId="15612"/>
    <cellStyle name="40% - Accent1 7 2 4 2 3" xfId="19563"/>
    <cellStyle name="40% - Accent1 7 2 4 3" xfId="4507"/>
    <cellStyle name="40% - Accent1 7 2 4 3 2" xfId="15613"/>
    <cellStyle name="40% - Accent1 7 2 4 3 3" xfId="19564"/>
    <cellStyle name="40% - Accent1 7 2 4 4" xfId="15611"/>
    <cellStyle name="40% - Accent1 7 2 4 5" xfId="19562"/>
    <cellStyle name="40% - Accent1 7 2 5" xfId="4508"/>
    <cellStyle name="40% - Accent1 7 2 5 2" xfId="15614"/>
    <cellStyle name="40% - Accent1 7 2 5 3" xfId="19565"/>
    <cellStyle name="40% - Accent1 7 2 6" xfId="4509"/>
    <cellStyle name="40% - Accent1 7 2 6 2" xfId="15615"/>
    <cellStyle name="40% - Accent1 7 2 6 3" xfId="19566"/>
    <cellStyle name="40% - Accent1 7 2 7" xfId="15604"/>
    <cellStyle name="40% - Accent1 7 2 8" xfId="19555"/>
    <cellStyle name="40% - Accent1 7 2_Volatility" xfId="4510"/>
    <cellStyle name="40% - Accent1 7 3" xfId="4511"/>
    <cellStyle name="40% - Accent1 7 3 2" xfId="4512"/>
    <cellStyle name="40% - Accent1 7 3 2 2" xfId="4513"/>
    <cellStyle name="40% - Accent1 7 3 2 2 2" xfId="15618"/>
    <cellStyle name="40% - Accent1 7 3 2 2 3" xfId="19569"/>
    <cellStyle name="40% - Accent1 7 3 2 3" xfId="4514"/>
    <cellStyle name="40% - Accent1 7 3 2 3 2" xfId="15619"/>
    <cellStyle name="40% - Accent1 7 3 2 3 3" xfId="19570"/>
    <cellStyle name="40% - Accent1 7 3 2 4" xfId="15617"/>
    <cellStyle name="40% - Accent1 7 3 2 5" xfId="19568"/>
    <cellStyle name="40% - Accent1 7 3 3" xfId="4515"/>
    <cellStyle name="40% - Accent1 7 3 3 2" xfId="4516"/>
    <cellStyle name="40% - Accent1 7 3 3 2 2" xfId="15621"/>
    <cellStyle name="40% - Accent1 7 3 3 2 3" xfId="19572"/>
    <cellStyle name="40% - Accent1 7 3 3 3" xfId="4517"/>
    <cellStyle name="40% - Accent1 7 3 3 3 2" xfId="15622"/>
    <cellStyle name="40% - Accent1 7 3 3 3 3" xfId="19573"/>
    <cellStyle name="40% - Accent1 7 3 3 4" xfId="15620"/>
    <cellStyle name="40% - Accent1 7 3 3 5" xfId="19571"/>
    <cellStyle name="40% - Accent1 7 3 4" xfId="4518"/>
    <cellStyle name="40% - Accent1 7 3 4 2" xfId="15623"/>
    <cellStyle name="40% - Accent1 7 3 4 3" xfId="19574"/>
    <cellStyle name="40% - Accent1 7 3 5" xfId="4519"/>
    <cellStyle name="40% - Accent1 7 3 5 2" xfId="15624"/>
    <cellStyle name="40% - Accent1 7 3 5 3" xfId="19575"/>
    <cellStyle name="40% - Accent1 7 3 6" xfId="15616"/>
    <cellStyle name="40% - Accent1 7 3 7" xfId="19567"/>
    <cellStyle name="40% - Accent1 7 3_Volatility" xfId="4520"/>
    <cellStyle name="40% - Accent1 7 4" xfId="4521"/>
    <cellStyle name="40% - Accent1 7 4 2" xfId="4522"/>
    <cellStyle name="40% - Accent1 7 4 2 2" xfId="15626"/>
    <cellStyle name="40% - Accent1 7 4 2 3" xfId="19577"/>
    <cellStyle name="40% - Accent1 7 4 3" xfId="4523"/>
    <cellStyle name="40% - Accent1 7 4 3 2" xfId="15627"/>
    <cellStyle name="40% - Accent1 7 4 3 3" xfId="19578"/>
    <cellStyle name="40% - Accent1 7 4 4" xfId="15625"/>
    <cellStyle name="40% - Accent1 7 4 5" xfId="19576"/>
    <cellStyle name="40% - Accent1 7 5" xfId="4524"/>
    <cellStyle name="40% - Accent1 7 5 2" xfId="4525"/>
    <cellStyle name="40% - Accent1 7 5 2 2" xfId="15629"/>
    <cellStyle name="40% - Accent1 7 5 2 3" xfId="19580"/>
    <cellStyle name="40% - Accent1 7 5 3" xfId="4526"/>
    <cellStyle name="40% - Accent1 7 5 3 2" xfId="15630"/>
    <cellStyle name="40% - Accent1 7 5 3 3" xfId="19581"/>
    <cellStyle name="40% - Accent1 7 5 4" xfId="15628"/>
    <cellStyle name="40% - Accent1 7 5 5" xfId="19579"/>
    <cellStyle name="40% - Accent1 7 6" xfId="4527"/>
    <cellStyle name="40% - Accent1 7 6 2" xfId="4528"/>
    <cellStyle name="40% - Accent1 7 6 2 2" xfId="15632"/>
    <cellStyle name="40% - Accent1 7 6 2 3" xfId="19583"/>
    <cellStyle name="40% - Accent1 7 6 3" xfId="4529"/>
    <cellStyle name="40% - Accent1 7 6 3 2" xfId="15633"/>
    <cellStyle name="40% - Accent1 7 6 3 3" xfId="19584"/>
    <cellStyle name="40% - Accent1 7 6 4" xfId="15631"/>
    <cellStyle name="40% - Accent1 7 6 5" xfId="19582"/>
    <cellStyle name="40% - Accent1 7 7" xfId="4530"/>
    <cellStyle name="40% - Accent1 7 7 2" xfId="15634"/>
    <cellStyle name="40% - Accent1 7 7 3" xfId="19585"/>
    <cellStyle name="40% - Accent1 7 8" xfId="4531"/>
    <cellStyle name="40% - Accent1 7 8 2" xfId="15635"/>
    <cellStyle name="40% - Accent1 7 8 3" xfId="19586"/>
    <cellStyle name="40% - Accent1 7 9" xfId="15603"/>
    <cellStyle name="40% - Accent1 7_Volatility" xfId="4532"/>
    <cellStyle name="40% - Accent1 8" xfId="4533"/>
    <cellStyle name="40% - Accent1 8 10" xfId="19587"/>
    <cellStyle name="40% - Accent1 8 2" xfId="4534"/>
    <cellStyle name="40% - Accent1 8 2 2" xfId="4535"/>
    <cellStyle name="40% - Accent1 8 2 2 2" xfId="4536"/>
    <cellStyle name="40% - Accent1 8 2 2 2 2" xfId="15639"/>
    <cellStyle name="40% - Accent1 8 2 2 2 3" xfId="19590"/>
    <cellStyle name="40% - Accent1 8 2 2 3" xfId="4537"/>
    <cellStyle name="40% - Accent1 8 2 2 3 2" xfId="15640"/>
    <cellStyle name="40% - Accent1 8 2 2 3 3" xfId="19591"/>
    <cellStyle name="40% - Accent1 8 2 2 4" xfId="15638"/>
    <cellStyle name="40% - Accent1 8 2 2 5" xfId="19589"/>
    <cellStyle name="40% - Accent1 8 2 3" xfId="4538"/>
    <cellStyle name="40% - Accent1 8 2 3 2" xfId="4539"/>
    <cellStyle name="40% - Accent1 8 2 3 2 2" xfId="15642"/>
    <cellStyle name="40% - Accent1 8 2 3 2 3" xfId="19593"/>
    <cellStyle name="40% - Accent1 8 2 3 3" xfId="4540"/>
    <cellStyle name="40% - Accent1 8 2 3 3 2" xfId="15643"/>
    <cellStyle name="40% - Accent1 8 2 3 3 3" xfId="19594"/>
    <cellStyle name="40% - Accent1 8 2 3 4" xfId="15641"/>
    <cellStyle name="40% - Accent1 8 2 3 5" xfId="19592"/>
    <cellStyle name="40% - Accent1 8 2 4" xfId="4541"/>
    <cellStyle name="40% - Accent1 8 2 4 2" xfId="4542"/>
    <cellStyle name="40% - Accent1 8 2 4 2 2" xfId="15645"/>
    <cellStyle name="40% - Accent1 8 2 4 2 3" xfId="19596"/>
    <cellStyle name="40% - Accent1 8 2 4 3" xfId="4543"/>
    <cellStyle name="40% - Accent1 8 2 4 3 2" xfId="15646"/>
    <cellStyle name="40% - Accent1 8 2 4 3 3" xfId="19597"/>
    <cellStyle name="40% - Accent1 8 2 4 4" xfId="15644"/>
    <cellStyle name="40% - Accent1 8 2 4 5" xfId="19595"/>
    <cellStyle name="40% - Accent1 8 2 5" xfId="4544"/>
    <cellStyle name="40% - Accent1 8 2 5 2" xfId="15647"/>
    <cellStyle name="40% - Accent1 8 2 5 3" xfId="19598"/>
    <cellStyle name="40% - Accent1 8 2 6" xfId="4545"/>
    <cellStyle name="40% - Accent1 8 2 6 2" xfId="15648"/>
    <cellStyle name="40% - Accent1 8 2 6 3" xfId="19599"/>
    <cellStyle name="40% - Accent1 8 2 7" xfId="15637"/>
    <cellStyle name="40% - Accent1 8 2 8" xfId="19588"/>
    <cellStyle name="40% - Accent1 8 2_Volatility" xfId="4546"/>
    <cellStyle name="40% - Accent1 8 3" xfId="4547"/>
    <cellStyle name="40% - Accent1 8 3 2" xfId="4548"/>
    <cellStyle name="40% - Accent1 8 3 2 2" xfId="4549"/>
    <cellStyle name="40% - Accent1 8 3 2 2 2" xfId="15651"/>
    <cellStyle name="40% - Accent1 8 3 2 2 3" xfId="19602"/>
    <cellStyle name="40% - Accent1 8 3 2 3" xfId="4550"/>
    <cellStyle name="40% - Accent1 8 3 2 3 2" xfId="15652"/>
    <cellStyle name="40% - Accent1 8 3 2 3 3" xfId="19603"/>
    <cellStyle name="40% - Accent1 8 3 2 4" xfId="15650"/>
    <cellStyle name="40% - Accent1 8 3 2 5" xfId="19601"/>
    <cellStyle name="40% - Accent1 8 3 3" xfId="4551"/>
    <cellStyle name="40% - Accent1 8 3 3 2" xfId="4552"/>
    <cellStyle name="40% - Accent1 8 3 3 2 2" xfId="15654"/>
    <cellStyle name="40% - Accent1 8 3 3 2 3" xfId="19605"/>
    <cellStyle name="40% - Accent1 8 3 3 3" xfId="4553"/>
    <cellStyle name="40% - Accent1 8 3 3 3 2" xfId="15655"/>
    <cellStyle name="40% - Accent1 8 3 3 3 3" xfId="19606"/>
    <cellStyle name="40% - Accent1 8 3 3 4" xfId="15653"/>
    <cellStyle name="40% - Accent1 8 3 3 5" xfId="19604"/>
    <cellStyle name="40% - Accent1 8 3 4" xfId="4554"/>
    <cellStyle name="40% - Accent1 8 3 4 2" xfId="15656"/>
    <cellStyle name="40% - Accent1 8 3 4 3" xfId="19607"/>
    <cellStyle name="40% - Accent1 8 3 5" xfId="4555"/>
    <cellStyle name="40% - Accent1 8 3 5 2" xfId="15657"/>
    <cellStyle name="40% - Accent1 8 3 5 3" xfId="19608"/>
    <cellStyle name="40% - Accent1 8 3 6" xfId="15649"/>
    <cellStyle name="40% - Accent1 8 3 7" xfId="19600"/>
    <cellStyle name="40% - Accent1 8 3_Volatility" xfId="4556"/>
    <cellStyle name="40% - Accent1 8 4" xfId="4557"/>
    <cellStyle name="40% - Accent1 8 4 2" xfId="4558"/>
    <cellStyle name="40% - Accent1 8 4 2 2" xfId="15659"/>
    <cellStyle name="40% - Accent1 8 4 2 3" xfId="19610"/>
    <cellStyle name="40% - Accent1 8 4 3" xfId="4559"/>
    <cellStyle name="40% - Accent1 8 4 3 2" xfId="15660"/>
    <cellStyle name="40% - Accent1 8 4 3 3" xfId="19611"/>
    <cellStyle name="40% - Accent1 8 4 4" xfId="15658"/>
    <cellStyle name="40% - Accent1 8 4 5" xfId="19609"/>
    <cellStyle name="40% - Accent1 8 5" xfId="4560"/>
    <cellStyle name="40% - Accent1 8 5 2" xfId="4561"/>
    <cellStyle name="40% - Accent1 8 5 2 2" xfId="15662"/>
    <cellStyle name="40% - Accent1 8 5 2 3" xfId="19613"/>
    <cellStyle name="40% - Accent1 8 5 3" xfId="4562"/>
    <cellStyle name="40% - Accent1 8 5 3 2" xfId="15663"/>
    <cellStyle name="40% - Accent1 8 5 3 3" xfId="19614"/>
    <cellStyle name="40% - Accent1 8 5 4" xfId="15661"/>
    <cellStyle name="40% - Accent1 8 5 5" xfId="19612"/>
    <cellStyle name="40% - Accent1 8 6" xfId="4563"/>
    <cellStyle name="40% - Accent1 8 6 2" xfId="4564"/>
    <cellStyle name="40% - Accent1 8 6 2 2" xfId="15665"/>
    <cellStyle name="40% - Accent1 8 6 2 3" xfId="19616"/>
    <cellStyle name="40% - Accent1 8 6 3" xfId="4565"/>
    <cellStyle name="40% - Accent1 8 6 3 2" xfId="15666"/>
    <cellStyle name="40% - Accent1 8 6 3 3" xfId="19617"/>
    <cellStyle name="40% - Accent1 8 6 4" xfId="15664"/>
    <cellStyle name="40% - Accent1 8 6 5" xfId="19615"/>
    <cellStyle name="40% - Accent1 8 7" xfId="4566"/>
    <cellStyle name="40% - Accent1 8 7 2" xfId="15667"/>
    <cellStyle name="40% - Accent1 8 7 3" xfId="19618"/>
    <cellStyle name="40% - Accent1 8 8" xfId="4567"/>
    <cellStyle name="40% - Accent1 8 8 2" xfId="15668"/>
    <cellStyle name="40% - Accent1 8 8 3" xfId="19619"/>
    <cellStyle name="40% - Accent1 8 9" xfId="15636"/>
    <cellStyle name="40% - Accent1 8_Volatility" xfId="4568"/>
    <cellStyle name="40% - Accent1 9" xfId="4569"/>
    <cellStyle name="40% - Accent1 9 10" xfId="19620"/>
    <cellStyle name="40% - Accent1 9 2" xfId="4570"/>
    <cellStyle name="40% - Accent1 9 2 2" xfId="4571"/>
    <cellStyle name="40% - Accent1 9 2 2 2" xfId="4572"/>
    <cellStyle name="40% - Accent1 9 2 2 2 2" xfId="15672"/>
    <cellStyle name="40% - Accent1 9 2 2 2 3" xfId="19623"/>
    <cellStyle name="40% - Accent1 9 2 2 3" xfId="4573"/>
    <cellStyle name="40% - Accent1 9 2 2 3 2" xfId="15673"/>
    <cellStyle name="40% - Accent1 9 2 2 3 3" xfId="19624"/>
    <cellStyle name="40% - Accent1 9 2 2 4" xfId="15671"/>
    <cellStyle name="40% - Accent1 9 2 2 5" xfId="19622"/>
    <cellStyle name="40% - Accent1 9 2 3" xfId="4574"/>
    <cellStyle name="40% - Accent1 9 2 3 2" xfId="4575"/>
    <cellStyle name="40% - Accent1 9 2 3 2 2" xfId="15675"/>
    <cellStyle name="40% - Accent1 9 2 3 2 3" xfId="19626"/>
    <cellStyle name="40% - Accent1 9 2 3 3" xfId="4576"/>
    <cellStyle name="40% - Accent1 9 2 3 3 2" xfId="15676"/>
    <cellStyle name="40% - Accent1 9 2 3 3 3" xfId="19627"/>
    <cellStyle name="40% - Accent1 9 2 3 4" xfId="15674"/>
    <cellStyle name="40% - Accent1 9 2 3 5" xfId="19625"/>
    <cellStyle name="40% - Accent1 9 2 4" xfId="4577"/>
    <cellStyle name="40% - Accent1 9 2 4 2" xfId="4578"/>
    <cellStyle name="40% - Accent1 9 2 4 2 2" xfId="15678"/>
    <cellStyle name="40% - Accent1 9 2 4 2 3" xfId="19629"/>
    <cellStyle name="40% - Accent1 9 2 4 3" xfId="4579"/>
    <cellStyle name="40% - Accent1 9 2 4 3 2" xfId="15679"/>
    <cellStyle name="40% - Accent1 9 2 4 3 3" xfId="19630"/>
    <cellStyle name="40% - Accent1 9 2 4 4" xfId="15677"/>
    <cellStyle name="40% - Accent1 9 2 4 5" xfId="19628"/>
    <cellStyle name="40% - Accent1 9 2 5" xfId="4580"/>
    <cellStyle name="40% - Accent1 9 2 5 2" xfId="15680"/>
    <cellStyle name="40% - Accent1 9 2 5 3" xfId="19631"/>
    <cellStyle name="40% - Accent1 9 2 6" xfId="4581"/>
    <cellStyle name="40% - Accent1 9 2 6 2" xfId="15681"/>
    <cellStyle name="40% - Accent1 9 2 6 3" xfId="19632"/>
    <cellStyle name="40% - Accent1 9 2 7" xfId="15670"/>
    <cellStyle name="40% - Accent1 9 2 8" xfId="19621"/>
    <cellStyle name="40% - Accent1 9 2_Volatility" xfId="4582"/>
    <cellStyle name="40% - Accent1 9 3" xfId="4583"/>
    <cellStyle name="40% - Accent1 9 3 2" xfId="4584"/>
    <cellStyle name="40% - Accent1 9 3 2 2" xfId="4585"/>
    <cellStyle name="40% - Accent1 9 3 2 2 2" xfId="15684"/>
    <cellStyle name="40% - Accent1 9 3 2 2 3" xfId="19635"/>
    <cellStyle name="40% - Accent1 9 3 2 3" xfId="4586"/>
    <cellStyle name="40% - Accent1 9 3 2 3 2" xfId="15685"/>
    <cellStyle name="40% - Accent1 9 3 2 3 3" xfId="19636"/>
    <cellStyle name="40% - Accent1 9 3 2 4" xfId="15683"/>
    <cellStyle name="40% - Accent1 9 3 2 5" xfId="19634"/>
    <cellStyle name="40% - Accent1 9 3 3" xfId="4587"/>
    <cellStyle name="40% - Accent1 9 3 3 2" xfId="4588"/>
    <cellStyle name="40% - Accent1 9 3 3 2 2" xfId="15687"/>
    <cellStyle name="40% - Accent1 9 3 3 2 3" xfId="19638"/>
    <cellStyle name="40% - Accent1 9 3 3 3" xfId="4589"/>
    <cellStyle name="40% - Accent1 9 3 3 3 2" xfId="15688"/>
    <cellStyle name="40% - Accent1 9 3 3 3 3" xfId="19639"/>
    <cellStyle name="40% - Accent1 9 3 3 4" xfId="15686"/>
    <cellStyle name="40% - Accent1 9 3 3 5" xfId="19637"/>
    <cellStyle name="40% - Accent1 9 3 4" xfId="4590"/>
    <cellStyle name="40% - Accent1 9 3 4 2" xfId="15689"/>
    <cellStyle name="40% - Accent1 9 3 4 3" xfId="19640"/>
    <cellStyle name="40% - Accent1 9 3 5" xfId="4591"/>
    <cellStyle name="40% - Accent1 9 3 5 2" xfId="15690"/>
    <cellStyle name="40% - Accent1 9 3 5 3" xfId="19641"/>
    <cellStyle name="40% - Accent1 9 3 6" xfId="15682"/>
    <cellStyle name="40% - Accent1 9 3 7" xfId="19633"/>
    <cellStyle name="40% - Accent1 9 3_Volatility" xfId="4592"/>
    <cellStyle name="40% - Accent1 9 4" xfId="4593"/>
    <cellStyle name="40% - Accent1 9 4 2" xfId="4594"/>
    <cellStyle name="40% - Accent1 9 4 2 2" xfId="15692"/>
    <cellStyle name="40% - Accent1 9 4 2 3" xfId="19643"/>
    <cellStyle name="40% - Accent1 9 4 3" xfId="4595"/>
    <cellStyle name="40% - Accent1 9 4 3 2" xfId="15693"/>
    <cellStyle name="40% - Accent1 9 4 3 3" xfId="19644"/>
    <cellStyle name="40% - Accent1 9 4 4" xfId="15691"/>
    <cellStyle name="40% - Accent1 9 4 5" xfId="19642"/>
    <cellStyle name="40% - Accent1 9 5" xfId="4596"/>
    <cellStyle name="40% - Accent1 9 5 2" xfId="4597"/>
    <cellStyle name="40% - Accent1 9 5 2 2" xfId="15695"/>
    <cellStyle name="40% - Accent1 9 5 2 3" xfId="19646"/>
    <cellStyle name="40% - Accent1 9 5 3" xfId="4598"/>
    <cellStyle name="40% - Accent1 9 5 3 2" xfId="15696"/>
    <cellStyle name="40% - Accent1 9 5 3 3" xfId="19647"/>
    <cellStyle name="40% - Accent1 9 5 4" xfId="15694"/>
    <cellStyle name="40% - Accent1 9 5 5" xfId="19645"/>
    <cellStyle name="40% - Accent1 9 6" xfId="4599"/>
    <cellStyle name="40% - Accent1 9 6 2" xfId="4600"/>
    <cellStyle name="40% - Accent1 9 6 2 2" xfId="15698"/>
    <cellStyle name="40% - Accent1 9 6 2 3" xfId="19649"/>
    <cellStyle name="40% - Accent1 9 6 3" xfId="4601"/>
    <cellStyle name="40% - Accent1 9 6 3 2" xfId="15699"/>
    <cellStyle name="40% - Accent1 9 6 3 3" xfId="19650"/>
    <cellStyle name="40% - Accent1 9 6 4" xfId="15697"/>
    <cellStyle name="40% - Accent1 9 6 5" xfId="19648"/>
    <cellStyle name="40% - Accent1 9 7" xfId="4602"/>
    <cellStyle name="40% - Accent1 9 7 2" xfId="15700"/>
    <cellStyle name="40% - Accent1 9 7 3" xfId="19651"/>
    <cellStyle name="40% - Accent1 9 8" xfId="4603"/>
    <cellStyle name="40% - Accent1 9 8 2" xfId="15701"/>
    <cellStyle name="40% - Accent1 9 8 3" xfId="19652"/>
    <cellStyle name="40% - Accent1 9 9" xfId="15669"/>
    <cellStyle name="40% - Accent1 9_Volatility" xfId="4604"/>
    <cellStyle name="40% - Accent2 10" xfId="4605"/>
    <cellStyle name="40% - Accent2 10 10" xfId="19653"/>
    <cellStyle name="40% - Accent2 10 2" xfId="4606"/>
    <cellStyle name="40% - Accent2 10 2 2" xfId="4607"/>
    <cellStyle name="40% - Accent2 10 2 2 2" xfId="4608"/>
    <cellStyle name="40% - Accent2 10 2 2 2 2" xfId="15705"/>
    <cellStyle name="40% - Accent2 10 2 2 2 3" xfId="19656"/>
    <cellStyle name="40% - Accent2 10 2 2 3" xfId="4609"/>
    <cellStyle name="40% - Accent2 10 2 2 3 2" xfId="15706"/>
    <cellStyle name="40% - Accent2 10 2 2 3 3" xfId="19657"/>
    <cellStyle name="40% - Accent2 10 2 2 4" xfId="15704"/>
    <cellStyle name="40% - Accent2 10 2 2 5" xfId="19655"/>
    <cellStyle name="40% - Accent2 10 2 3" xfId="4610"/>
    <cellStyle name="40% - Accent2 10 2 3 2" xfId="4611"/>
    <cellStyle name="40% - Accent2 10 2 3 2 2" xfId="15708"/>
    <cellStyle name="40% - Accent2 10 2 3 2 3" xfId="19659"/>
    <cellStyle name="40% - Accent2 10 2 3 3" xfId="4612"/>
    <cellStyle name="40% - Accent2 10 2 3 3 2" xfId="15709"/>
    <cellStyle name="40% - Accent2 10 2 3 3 3" xfId="19660"/>
    <cellStyle name="40% - Accent2 10 2 3 4" xfId="15707"/>
    <cellStyle name="40% - Accent2 10 2 3 5" xfId="19658"/>
    <cellStyle name="40% - Accent2 10 2 4" xfId="4613"/>
    <cellStyle name="40% - Accent2 10 2 4 2" xfId="4614"/>
    <cellStyle name="40% - Accent2 10 2 4 2 2" xfId="15711"/>
    <cellStyle name="40% - Accent2 10 2 4 2 3" xfId="19662"/>
    <cellStyle name="40% - Accent2 10 2 4 3" xfId="4615"/>
    <cellStyle name="40% - Accent2 10 2 4 3 2" xfId="15712"/>
    <cellStyle name="40% - Accent2 10 2 4 3 3" xfId="19663"/>
    <cellStyle name="40% - Accent2 10 2 4 4" xfId="15710"/>
    <cellStyle name="40% - Accent2 10 2 4 5" xfId="19661"/>
    <cellStyle name="40% - Accent2 10 2 5" xfId="4616"/>
    <cellStyle name="40% - Accent2 10 2 5 2" xfId="15713"/>
    <cellStyle name="40% - Accent2 10 2 5 3" xfId="19664"/>
    <cellStyle name="40% - Accent2 10 2 6" xfId="4617"/>
    <cellStyle name="40% - Accent2 10 2 6 2" xfId="15714"/>
    <cellStyle name="40% - Accent2 10 2 6 3" xfId="19665"/>
    <cellStyle name="40% - Accent2 10 2 7" xfId="15703"/>
    <cellStyle name="40% - Accent2 10 2 8" xfId="19654"/>
    <cellStyle name="40% - Accent2 10 2_Volatility" xfId="4618"/>
    <cellStyle name="40% - Accent2 10 3" xfId="4619"/>
    <cellStyle name="40% - Accent2 10 3 2" xfId="4620"/>
    <cellStyle name="40% - Accent2 10 3 2 2" xfId="4621"/>
    <cellStyle name="40% - Accent2 10 3 2 2 2" xfId="15717"/>
    <cellStyle name="40% - Accent2 10 3 2 2 3" xfId="19668"/>
    <cellStyle name="40% - Accent2 10 3 2 3" xfId="4622"/>
    <cellStyle name="40% - Accent2 10 3 2 3 2" xfId="15718"/>
    <cellStyle name="40% - Accent2 10 3 2 3 3" xfId="19669"/>
    <cellStyle name="40% - Accent2 10 3 2 4" xfId="15716"/>
    <cellStyle name="40% - Accent2 10 3 2 5" xfId="19667"/>
    <cellStyle name="40% - Accent2 10 3 3" xfId="4623"/>
    <cellStyle name="40% - Accent2 10 3 3 2" xfId="4624"/>
    <cellStyle name="40% - Accent2 10 3 3 2 2" xfId="15720"/>
    <cellStyle name="40% - Accent2 10 3 3 2 3" xfId="19671"/>
    <cellStyle name="40% - Accent2 10 3 3 3" xfId="4625"/>
    <cellStyle name="40% - Accent2 10 3 3 3 2" xfId="15721"/>
    <cellStyle name="40% - Accent2 10 3 3 3 3" xfId="19672"/>
    <cellStyle name="40% - Accent2 10 3 3 4" xfId="15719"/>
    <cellStyle name="40% - Accent2 10 3 3 5" xfId="19670"/>
    <cellStyle name="40% - Accent2 10 3 4" xfId="4626"/>
    <cellStyle name="40% - Accent2 10 3 4 2" xfId="15722"/>
    <cellStyle name="40% - Accent2 10 3 4 3" xfId="19673"/>
    <cellStyle name="40% - Accent2 10 3 5" xfId="4627"/>
    <cellStyle name="40% - Accent2 10 3 5 2" xfId="15723"/>
    <cellStyle name="40% - Accent2 10 3 5 3" xfId="19674"/>
    <cellStyle name="40% - Accent2 10 3 6" xfId="15715"/>
    <cellStyle name="40% - Accent2 10 3 7" xfId="19666"/>
    <cellStyle name="40% - Accent2 10 3_Volatility" xfId="4628"/>
    <cellStyle name="40% - Accent2 10 4" xfId="4629"/>
    <cellStyle name="40% - Accent2 10 4 2" xfId="4630"/>
    <cellStyle name="40% - Accent2 10 4 2 2" xfId="15725"/>
    <cellStyle name="40% - Accent2 10 4 2 3" xfId="19676"/>
    <cellStyle name="40% - Accent2 10 4 3" xfId="4631"/>
    <cellStyle name="40% - Accent2 10 4 3 2" xfId="15726"/>
    <cellStyle name="40% - Accent2 10 4 3 3" xfId="19677"/>
    <cellStyle name="40% - Accent2 10 4 4" xfId="15724"/>
    <cellStyle name="40% - Accent2 10 4 5" xfId="19675"/>
    <cellStyle name="40% - Accent2 10 5" xfId="4632"/>
    <cellStyle name="40% - Accent2 10 5 2" xfId="4633"/>
    <cellStyle name="40% - Accent2 10 5 2 2" xfId="15728"/>
    <cellStyle name="40% - Accent2 10 5 2 3" xfId="19679"/>
    <cellStyle name="40% - Accent2 10 5 3" xfId="4634"/>
    <cellStyle name="40% - Accent2 10 5 3 2" xfId="15729"/>
    <cellStyle name="40% - Accent2 10 5 3 3" xfId="19680"/>
    <cellStyle name="40% - Accent2 10 5 4" xfId="15727"/>
    <cellStyle name="40% - Accent2 10 5 5" xfId="19678"/>
    <cellStyle name="40% - Accent2 10 6" xfId="4635"/>
    <cellStyle name="40% - Accent2 10 6 2" xfId="4636"/>
    <cellStyle name="40% - Accent2 10 6 2 2" xfId="15731"/>
    <cellStyle name="40% - Accent2 10 6 2 3" xfId="19682"/>
    <cellStyle name="40% - Accent2 10 6 3" xfId="4637"/>
    <cellStyle name="40% - Accent2 10 6 3 2" xfId="15732"/>
    <cellStyle name="40% - Accent2 10 6 3 3" xfId="19683"/>
    <cellStyle name="40% - Accent2 10 6 4" xfId="15730"/>
    <cellStyle name="40% - Accent2 10 6 5" xfId="19681"/>
    <cellStyle name="40% - Accent2 10 7" xfId="4638"/>
    <cellStyle name="40% - Accent2 10 7 2" xfId="15733"/>
    <cellStyle name="40% - Accent2 10 7 3" xfId="19684"/>
    <cellStyle name="40% - Accent2 10 8" xfId="4639"/>
    <cellStyle name="40% - Accent2 10 8 2" xfId="15734"/>
    <cellStyle name="40% - Accent2 10 8 3" xfId="19685"/>
    <cellStyle name="40% - Accent2 10 9" xfId="15702"/>
    <cellStyle name="40% - Accent2 10_Volatility" xfId="4640"/>
    <cellStyle name="40% - Accent2 11" xfId="4641"/>
    <cellStyle name="40% - Accent2 11 10" xfId="19686"/>
    <cellStyle name="40% - Accent2 11 2" xfId="4642"/>
    <cellStyle name="40% - Accent2 11 2 2" xfId="4643"/>
    <cellStyle name="40% - Accent2 11 2 2 2" xfId="4644"/>
    <cellStyle name="40% - Accent2 11 2 2 2 2" xfId="15738"/>
    <cellStyle name="40% - Accent2 11 2 2 2 3" xfId="19689"/>
    <cellStyle name="40% - Accent2 11 2 2 3" xfId="4645"/>
    <cellStyle name="40% - Accent2 11 2 2 3 2" xfId="15739"/>
    <cellStyle name="40% - Accent2 11 2 2 3 3" xfId="19690"/>
    <cellStyle name="40% - Accent2 11 2 2 4" xfId="15737"/>
    <cellStyle name="40% - Accent2 11 2 2 5" xfId="19688"/>
    <cellStyle name="40% - Accent2 11 2 3" xfId="4646"/>
    <cellStyle name="40% - Accent2 11 2 3 2" xfId="4647"/>
    <cellStyle name="40% - Accent2 11 2 3 2 2" xfId="15741"/>
    <cellStyle name="40% - Accent2 11 2 3 2 3" xfId="19692"/>
    <cellStyle name="40% - Accent2 11 2 3 3" xfId="4648"/>
    <cellStyle name="40% - Accent2 11 2 3 3 2" xfId="15742"/>
    <cellStyle name="40% - Accent2 11 2 3 3 3" xfId="19693"/>
    <cellStyle name="40% - Accent2 11 2 3 4" xfId="15740"/>
    <cellStyle name="40% - Accent2 11 2 3 5" xfId="19691"/>
    <cellStyle name="40% - Accent2 11 2 4" xfId="4649"/>
    <cellStyle name="40% - Accent2 11 2 4 2" xfId="4650"/>
    <cellStyle name="40% - Accent2 11 2 4 2 2" xfId="15744"/>
    <cellStyle name="40% - Accent2 11 2 4 2 3" xfId="19695"/>
    <cellStyle name="40% - Accent2 11 2 4 3" xfId="4651"/>
    <cellStyle name="40% - Accent2 11 2 4 3 2" xfId="15745"/>
    <cellStyle name="40% - Accent2 11 2 4 3 3" xfId="19696"/>
    <cellStyle name="40% - Accent2 11 2 4 4" xfId="15743"/>
    <cellStyle name="40% - Accent2 11 2 4 5" xfId="19694"/>
    <cellStyle name="40% - Accent2 11 2 5" xfId="4652"/>
    <cellStyle name="40% - Accent2 11 2 5 2" xfId="15746"/>
    <cellStyle name="40% - Accent2 11 2 5 3" xfId="19697"/>
    <cellStyle name="40% - Accent2 11 2 6" xfId="4653"/>
    <cellStyle name="40% - Accent2 11 2 6 2" xfId="15747"/>
    <cellStyle name="40% - Accent2 11 2 6 3" xfId="19698"/>
    <cellStyle name="40% - Accent2 11 2 7" xfId="15736"/>
    <cellStyle name="40% - Accent2 11 2 8" xfId="19687"/>
    <cellStyle name="40% - Accent2 11 2_Volatility" xfId="4654"/>
    <cellStyle name="40% - Accent2 11 3" xfId="4655"/>
    <cellStyle name="40% - Accent2 11 3 2" xfId="4656"/>
    <cellStyle name="40% - Accent2 11 3 2 2" xfId="4657"/>
    <cellStyle name="40% - Accent2 11 3 2 2 2" xfId="15750"/>
    <cellStyle name="40% - Accent2 11 3 2 2 3" xfId="19701"/>
    <cellStyle name="40% - Accent2 11 3 2 3" xfId="4658"/>
    <cellStyle name="40% - Accent2 11 3 2 3 2" xfId="15751"/>
    <cellStyle name="40% - Accent2 11 3 2 3 3" xfId="19702"/>
    <cellStyle name="40% - Accent2 11 3 2 4" xfId="15749"/>
    <cellStyle name="40% - Accent2 11 3 2 5" xfId="19700"/>
    <cellStyle name="40% - Accent2 11 3 3" xfId="4659"/>
    <cellStyle name="40% - Accent2 11 3 3 2" xfId="4660"/>
    <cellStyle name="40% - Accent2 11 3 3 2 2" xfId="15753"/>
    <cellStyle name="40% - Accent2 11 3 3 2 3" xfId="19704"/>
    <cellStyle name="40% - Accent2 11 3 3 3" xfId="4661"/>
    <cellStyle name="40% - Accent2 11 3 3 3 2" xfId="15754"/>
    <cellStyle name="40% - Accent2 11 3 3 3 3" xfId="19705"/>
    <cellStyle name="40% - Accent2 11 3 3 4" xfId="15752"/>
    <cellStyle name="40% - Accent2 11 3 3 5" xfId="19703"/>
    <cellStyle name="40% - Accent2 11 3 4" xfId="4662"/>
    <cellStyle name="40% - Accent2 11 3 4 2" xfId="15755"/>
    <cellStyle name="40% - Accent2 11 3 4 3" xfId="19706"/>
    <cellStyle name="40% - Accent2 11 3 5" xfId="4663"/>
    <cellStyle name="40% - Accent2 11 3 5 2" xfId="15756"/>
    <cellStyle name="40% - Accent2 11 3 5 3" xfId="19707"/>
    <cellStyle name="40% - Accent2 11 3 6" xfId="15748"/>
    <cellStyle name="40% - Accent2 11 3 7" xfId="19699"/>
    <cellStyle name="40% - Accent2 11 3_Volatility" xfId="4664"/>
    <cellStyle name="40% - Accent2 11 4" xfId="4665"/>
    <cellStyle name="40% - Accent2 11 4 2" xfId="4666"/>
    <cellStyle name="40% - Accent2 11 4 2 2" xfId="15758"/>
    <cellStyle name="40% - Accent2 11 4 2 3" xfId="19709"/>
    <cellStyle name="40% - Accent2 11 4 3" xfId="4667"/>
    <cellStyle name="40% - Accent2 11 4 3 2" xfId="15759"/>
    <cellStyle name="40% - Accent2 11 4 3 3" xfId="19710"/>
    <cellStyle name="40% - Accent2 11 4 4" xfId="15757"/>
    <cellStyle name="40% - Accent2 11 4 5" xfId="19708"/>
    <cellStyle name="40% - Accent2 11 5" xfId="4668"/>
    <cellStyle name="40% - Accent2 11 5 2" xfId="4669"/>
    <cellStyle name="40% - Accent2 11 5 2 2" xfId="15761"/>
    <cellStyle name="40% - Accent2 11 5 2 3" xfId="19712"/>
    <cellStyle name="40% - Accent2 11 5 3" xfId="4670"/>
    <cellStyle name="40% - Accent2 11 5 3 2" xfId="15762"/>
    <cellStyle name="40% - Accent2 11 5 3 3" xfId="19713"/>
    <cellStyle name="40% - Accent2 11 5 4" xfId="15760"/>
    <cellStyle name="40% - Accent2 11 5 5" xfId="19711"/>
    <cellStyle name="40% - Accent2 11 6" xfId="4671"/>
    <cellStyle name="40% - Accent2 11 6 2" xfId="4672"/>
    <cellStyle name="40% - Accent2 11 6 2 2" xfId="15764"/>
    <cellStyle name="40% - Accent2 11 6 2 3" xfId="19715"/>
    <cellStyle name="40% - Accent2 11 6 3" xfId="4673"/>
    <cellStyle name="40% - Accent2 11 6 3 2" xfId="15765"/>
    <cellStyle name="40% - Accent2 11 6 3 3" xfId="19716"/>
    <cellStyle name="40% - Accent2 11 6 4" xfId="15763"/>
    <cellStyle name="40% - Accent2 11 6 5" xfId="19714"/>
    <cellStyle name="40% - Accent2 11 7" xfId="4674"/>
    <cellStyle name="40% - Accent2 11 7 2" xfId="15766"/>
    <cellStyle name="40% - Accent2 11 7 3" xfId="19717"/>
    <cellStyle name="40% - Accent2 11 8" xfId="4675"/>
    <cellStyle name="40% - Accent2 11 8 2" xfId="15767"/>
    <cellStyle name="40% - Accent2 11 8 3" xfId="19718"/>
    <cellStyle name="40% - Accent2 11 9" xfId="15735"/>
    <cellStyle name="40% - Accent2 11_Volatility" xfId="4676"/>
    <cellStyle name="40% - Accent2 12" xfId="4677"/>
    <cellStyle name="40% - Accent2 12 10" xfId="19719"/>
    <cellStyle name="40% - Accent2 12 2" xfId="4678"/>
    <cellStyle name="40% - Accent2 12 2 2" xfId="4679"/>
    <cellStyle name="40% - Accent2 12 2 2 2" xfId="4680"/>
    <cellStyle name="40% - Accent2 12 2 2 2 2" xfId="15771"/>
    <cellStyle name="40% - Accent2 12 2 2 2 3" xfId="19722"/>
    <cellStyle name="40% - Accent2 12 2 2 3" xfId="4681"/>
    <cellStyle name="40% - Accent2 12 2 2 3 2" xfId="15772"/>
    <cellStyle name="40% - Accent2 12 2 2 3 3" xfId="19723"/>
    <cellStyle name="40% - Accent2 12 2 2 4" xfId="15770"/>
    <cellStyle name="40% - Accent2 12 2 2 5" xfId="19721"/>
    <cellStyle name="40% - Accent2 12 2 3" xfId="4682"/>
    <cellStyle name="40% - Accent2 12 2 3 2" xfId="4683"/>
    <cellStyle name="40% - Accent2 12 2 3 2 2" xfId="15774"/>
    <cellStyle name="40% - Accent2 12 2 3 2 3" xfId="19725"/>
    <cellStyle name="40% - Accent2 12 2 3 3" xfId="4684"/>
    <cellStyle name="40% - Accent2 12 2 3 3 2" xfId="15775"/>
    <cellStyle name="40% - Accent2 12 2 3 3 3" xfId="19726"/>
    <cellStyle name="40% - Accent2 12 2 3 4" xfId="15773"/>
    <cellStyle name="40% - Accent2 12 2 3 5" xfId="19724"/>
    <cellStyle name="40% - Accent2 12 2 4" xfId="4685"/>
    <cellStyle name="40% - Accent2 12 2 4 2" xfId="4686"/>
    <cellStyle name="40% - Accent2 12 2 4 2 2" xfId="15777"/>
    <cellStyle name="40% - Accent2 12 2 4 2 3" xfId="19728"/>
    <cellStyle name="40% - Accent2 12 2 4 3" xfId="4687"/>
    <cellStyle name="40% - Accent2 12 2 4 3 2" xfId="15778"/>
    <cellStyle name="40% - Accent2 12 2 4 3 3" xfId="19729"/>
    <cellStyle name="40% - Accent2 12 2 4 4" xfId="15776"/>
    <cellStyle name="40% - Accent2 12 2 4 5" xfId="19727"/>
    <cellStyle name="40% - Accent2 12 2 5" xfId="4688"/>
    <cellStyle name="40% - Accent2 12 2 5 2" xfId="15779"/>
    <cellStyle name="40% - Accent2 12 2 5 3" xfId="19730"/>
    <cellStyle name="40% - Accent2 12 2 6" xfId="4689"/>
    <cellStyle name="40% - Accent2 12 2 6 2" xfId="15780"/>
    <cellStyle name="40% - Accent2 12 2 6 3" xfId="19731"/>
    <cellStyle name="40% - Accent2 12 2 7" xfId="15769"/>
    <cellStyle name="40% - Accent2 12 2 8" xfId="19720"/>
    <cellStyle name="40% - Accent2 12 2_Volatility" xfId="4690"/>
    <cellStyle name="40% - Accent2 12 3" xfId="4691"/>
    <cellStyle name="40% - Accent2 12 3 2" xfId="4692"/>
    <cellStyle name="40% - Accent2 12 3 2 2" xfId="4693"/>
    <cellStyle name="40% - Accent2 12 3 2 2 2" xfId="15783"/>
    <cellStyle name="40% - Accent2 12 3 2 2 3" xfId="19734"/>
    <cellStyle name="40% - Accent2 12 3 2 3" xfId="4694"/>
    <cellStyle name="40% - Accent2 12 3 2 3 2" xfId="15784"/>
    <cellStyle name="40% - Accent2 12 3 2 3 3" xfId="19735"/>
    <cellStyle name="40% - Accent2 12 3 2 4" xfId="15782"/>
    <cellStyle name="40% - Accent2 12 3 2 5" xfId="19733"/>
    <cellStyle name="40% - Accent2 12 3 3" xfId="4695"/>
    <cellStyle name="40% - Accent2 12 3 3 2" xfId="4696"/>
    <cellStyle name="40% - Accent2 12 3 3 2 2" xfId="15786"/>
    <cellStyle name="40% - Accent2 12 3 3 2 3" xfId="19737"/>
    <cellStyle name="40% - Accent2 12 3 3 3" xfId="4697"/>
    <cellStyle name="40% - Accent2 12 3 3 3 2" xfId="15787"/>
    <cellStyle name="40% - Accent2 12 3 3 3 3" xfId="19738"/>
    <cellStyle name="40% - Accent2 12 3 3 4" xfId="15785"/>
    <cellStyle name="40% - Accent2 12 3 3 5" xfId="19736"/>
    <cellStyle name="40% - Accent2 12 3 4" xfId="4698"/>
    <cellStyle name="40% - Accent2 12 3 4 2" xfId="15788"/>
    <cellStyle name="40% - Accent2 12 3 4 3" xfId="19739"/>
    <cellStyle name="40% - Accent2 12 3 5" xfId="4699"/>
    <cellStyle name="40% - Accent2 12 3 5 2" xfId="15789"/>
    <cellStyle name="40% - Accent2 12 3 5 3" xfId="19740"/>
    <cellStyle name="40% - Accent2 12 3 6" xfId="15781"/>
    <cellStyle name="40% - Accent2 12 3 7" xfId="19732"/>
    <cellStyle name="40% - Accent2 12 3_Volatility" xfId="4700"/>
    <cellStyle name="40% - Accent2 12 4" xfId="4701"/>
    <cellStyle name="40% - Accent2 12 4 2" xfId="4702"/>
    <cellStyle name="40% - Accent2 12 4 2 2" xfId="15791"/>
    <cellStyle name="40% - Accent2 12 4 2 3" xfId="19742"/>
    <cellStyle name="40% - Accent2 12 4 3" xfId="4703"/>
    <cellStyle name="40% - Accent2 12 4 3 2" xfId="15792"/>
    <cellStyle name="40% - Accent2 12 4 3 3" xfId="19743"/>
    <cellStyle name="40% - Accent2 12 4 4" xfId="15790"/>
    <cellStyle name="40% - Accent2 12 4 5" xfId="19741"/>
    <cellStyle name="40% - Accent2 12 5" xfId="4704"/>
    <cellStyle name="40% - Accent2 12 5 2" xfId="4705"/>
    <cellStyle name="40% - Accent2 12 5 2 2" xfId="15794"/>
    <cellStyle name="40% - Accent2 12 5 2 3" xfId="19745"/>
    <cellStyle name="40% - Accent2 12 5 3" xfId="4706"/>
    <cellStyle name="40% - Accent2 12 5 3 2" xfId="15795"/>
    <cellStyle name="40% - Accent2 12 5 3 3" xfId="19746"/>
    <cellStyle name="40% - Accent2 12 5 4" xfId="15793"/>
    <cellStyle name="40% - Accent2 12 5 5" xfId="19744"/>
    <cellStyle name="40% - Accent2 12 6" xfId="4707"/>
    <cellStyle name="40% - Accent2 12 6 2" xfId="4708"/>
    <cellStyle name="40% - Accent2 12 6 2 2" xfId="15797"/>
    <cellStyle name="40% - Accent2 12 6 2 3" xfId="19748"/>
    <cellStyle name="40% - Accent2 12 6 3" xfId="4709"/>
    <cellStyle name="40% - Accent2 12 6 3 2" xfId="15798"/>
    <cellStyle name="40% - Accent2 12 6 3 3" xfId="19749"/>
    <cellStyle name="40% - Accent2 12 6 4" xfId="15796"/>
    <cellStyle name="40% - Accent2 12 6 5" xfId="19747"/>
    <cellStyle name="40% - Accent2 12 7" xfId="4710"/>
    <cellStyle name="40% - Accent2 12 7 2" xfId="15799"/>
    <cellStyle name="40% - Accent2 12 7 3" xfId="19750"/>
    <cellStyle name="40% - Accent2 12 8" xfId="4711"/>
    <cellStyle name="40% - Accent2 12 8 2" xfId="15800"/>
    <cellStyle name="40% - Accent2 12 8 3" xfId="19751"/>
    <cellStyle name="40% - Accent2 12 9" xfId="15768"/>
    <cellStyle name="40% - Accent2 12_Volatility" xfId="4712"/>
    <cellStyle name="40% - Accent2 13" xfId="4713"/>
    <cellStyle name="40% - Accent2 13 10" xfId="19752"/>
    <cellStyle name="40% - Accent2 13 2" xfId="4714"/>
    <cellStyle name="40% - Accent2 13 2 2" xfId="4715"/>
    <cellStyle name="40% - Accent2 13 2 2 2" xfId="4716"/>
    <cellStyle name="40% - Accent2 13 2 2 2 2" xfId="15804"/>
    <cellStyle name="40% - Accent2 13 2 2 2 3" xfId="19755"/>
    <cellStyle name="40% - Accent2 13 2 2 3" xfId="4717"/>
    <cellStyle name="40% - Accent2 13 2 2 3 2" xfId="15805"/>
    <cellStyle name="40% - Accent2 13 2 2 3 3" xfId="19756"/>
    <cellStyle name="40% - Accent2 13 2 2 4" xfId="15803"/>
    <cellStyle name="40% - Accent2 13 2 2 5" xfId="19754"/>
    <cellStyle name="40% - Accent2 13 2 3" xfId="4718"/>
    <cellStyle name="40% - Accent2 13 2 3 2" xfId="4719"/>
    <cellStyle name="40% - Accent2 13 2 3 2 2" xfId="15807"/>
    <cellStyle name="40% - Accent2 13 2 3 2 3" xfId="19758"/>
    <cellStyle name="40% - Accent2 13 2 3 3" xfId="4720"/>
    <cellStyle name="40% - Accent2 13 2 3 3 2" xfId="15808"/>
    <cellStyle name="40% - Accent2 13 2 3 3 3" xfId="19759"/>
    <cellStyle name="40% - Accent2 13 2 3 4" xfId="15806"/>
    <cellStyle name="40% - Accent2 13 2 3 5" xfId="19757"/>
    <cellStyle name="40% - Accent2 13 2 4" xfId="4721"/>
    <cellStyle name="40% - Accent2 13 2 4 2" xfId="4722"/>
    <cellStyle name="40% - Accent2 13 2 4 2 2" xfId="15810"/>
    <cellStyle name="40% - Accent2 13 2 4 2 3" xfId="19761"/>
    <cellStyle name="40% - Accent2 13 2 4 3" xfId="4723"/>
    <cellStyle name="40% - Accent2 13 2 4 3 2" xfId="15811"/>
    <cellStyle name="40% - Accent2 13 2 4 3 3" xfId="19762"/>
    <cellStyle name="40% - Accent2 13 2 4 4" xfId="15809"/>
    <cellStyle name="40% - Accent2 13 2 4 5" xfId="19760"/>
    <cellStyle name="40% - Accent2 13 2 5" xfId="4724"/>
    <cellStyle name="40% - Accent2 13 2 5 2" xfId="15812"/>
    <cellStyle name="40% - Accent2 13 2 5 3" xfId="19763"/>
    <cellStyle name="40% - Accent2 13 2 6" xfId="4725"/>
    <cellStyle name="40% - Accent2 13 2 6 2" xfId="15813"/>
    <cellStyle name="40% - Accent2 13 2 6 3" xfId="19764"/>
    <cellStyle name="40% - Accent2 13 2 7" xfId="15802"/>
    <cellStyle name="40% - Accent2 13 2 8" xfId="19753"/>
    <cellStyle name="40% - Accent2 13 2_Volatility" xfId="4726"/>
    <cellStyle name="40% - Accent2 13 3" xfId="4727"/>
    <cellStyle name="40% - Accent2 13 3 2" xfId="4728"/>
    <cellStyle name="40% - Accent2 13 3 2 2" xfId="4729"/>
    <cellStyle name="40% - Accent2 13 3 2 2 2" xfId="15816"/>
    <cellStyle name="40% - Accent2 13 3 2 2 3" xfId="19767"/>
    <cellStyle name="40% - Accent2 13 3 2 3" xfId="4730"/>
    <cellStyle name="40% - Accent2 13 3 2 3 2" xfId="15817"/>
    <cellStyle name="40% - Accent2 13 3 2 3 3" xfId="19768"/>
    <cellStyle name="40% - Accent2 13 3 2 4" xfId="15815"/>
    <cellStyle name="40% - Accent2 13 3 2 5" xfId="19766"/>
    <cellStyle name="40% - Accent2 13 3 3" xfId="4731"/>
    <cellStyle name="40% - Accent2 13 3 3 2" xfId="4732"/>
    <cellStyle name="40% - Accent2 13 3 3 2 2" xfId="15819"/>
    <cellStyle name="40% - Accent2 13 3 3 2 3" xfId="19770"/>
    <cellStyle name="40% - Accent2 13 3 3 3" xfId="4733"/>
    <cellStyle name="40% - Accent2 13 3 3 3 2" xfId="15820"/>
    <cellStyle name="40% - Accent2 13 3 3 3 3" xfId="19771"/>
    <cellStyle name="40% - Accent2 13 3 3 4" xfId="15818"/>
    <cellStyle name="40% - Accent2 13 3 3 5" xfId="19769"/>
    <cellStyle name="40% - Accent2 13 3 4" xfId="4734"/>
    <cellStyle name="40% - Accent2 13 3 4 2" xfId="15821"/>
    <cellStyle name="40% - Accent2 13 3 4 3" xfId="19772"/>
    <cellStyle name="40% - Accent2 13 3 5" xfId="4735"/>
    <cellStyle name="40% - Accent2 13 3 5 2" xfId="15822"/>
    <cellStyle name="40% - Accent2 13 3 5 3" xfId="19773"/>
    <cellStyle name="40% - Accent2 13 3 6" xfId="15814"/>
    <cellStyle name="40% - Accent2 13 3 7" xfId="19765"/>
    <cellStyle name="40% - Accent2 13 3_Volatility" xfId="4736"/>
    <cellStyle name="40% - Accent2 13 4" xfId="4737"/>
    <cellStyle name="40% - Accent2 13 4 2" xfId="4738"/>
    <cellStyle name="40% - Accent2 13 4 2 2" xfId="15824"/>
    <cellStyle name="40% - Accent2 13 4 2 3" xfId="19775"/>
    <cellStyle name="40% - Accent2 13 4 3" xfId="4739"/>
    <cellStyle name="40% - Accent2 13 4 3 2" xfId="15825"/>
    <cellStyle name="40% - Accent2 13 4 3 3" xfId="19776"/>
    <cellStyle name="40% - Accent2 13 4 4" xfId="15823"/>
    <cellStyle name="40% - Accent2 13 4 5" xfId="19774"/>
    <cellStyle name="40% - Accent2 13 5" xfId="4740"/>
    <cellStyle name="40% - Accent2 13 5 2" xfId="4741"/>
    <cellStyle name="40% - Accent2 13 5 2 2" xfId="15827"/>
    <cellStyle name="40% - Accent2 13 5 2 3" xfId="19778"/>
    <cellStyle name="40% - Accent2 13 5 3" xfId="4742"/>
    <cellStyle name="40% - Accent2 13 5 3 2" xfId="15828"/>
    <cellStyle name="40% - Accent2 13 5 3 3" xfId="19779"/>
    <cellStyle name="40% - Accent2 13 5 4" xfId="15826"/>
    <cellStyle name="40% - Accent2 13 5 5" xfId="19777"/>
    <cellStyle name="40% - Accent2 13 6" xfId="4743"/>
    <cellStyle name="40% - Accent2 13 6 2" xfId="4744"/>
    <cellStyle name="40% - Accent2 13 6 2 2" xfId="15830"/>
    <cellStyle name="40% - Accent2 13 6 2 3" xfId="19781"/>
    <cellStyle name="40% - Accent2 13 6 3" xfId="4745"/>
    <cellStyle name="40% - Accent2 13 6 3 2" xfId="15831"/>
    <cellStyle name="40% - Accent2 13 6 3 3" xfId="19782"/>
    <cellStyle name="40% - Accent2 13 6 4" xfId="15829"/>
    <cellStyle name="40% - Accent2 13 6 5" xfId="19780"/>
    <cellStyle name="40% - Accent2 13 7" xfId="4746"/>
    <cellStyle name="40% - Accent2 13 7 2" xfId="15832"/>
    <cellStyle name="40% - Accent2 13 7 3" xfId="19783"/>
    <cellStyle name="40% - Accent2 13 8" xfId="4747"/>
    <cellStyle name="40% - Accent2 13 8 2" xfId="15833"/>
    <cellStyle name="40% - Accent2 13 8 3" xfId="19784"/>
    <cellStyle name="40% - Accent2 13 9" xfId="15801"/>
    <cellStyle name="40% - Accent2 13_Volatility" xfId="4748"/>
    <cellStyle name="40% - Accent2 14" xfId="4749"/>
    <cellStyle name="40% - Accent2 14 10" xfId="19785"/>
    <cellStyle name="40% - Accent2 14 2" xfId="4750"/>
    <cellStyle name="40% - Accent2 14 2 2" xfId="4751"/>
    <cellStyle name="40% - Accent2 14 2 2 2" xfId="4752"/>
    <cellStyle name="40% - Accent2 14 2 2 2 2" xfId="15837"/>
    <cellStyle name="40% - Accent2 14 2 2 2 3" xfId="19788"/>
    <cellStyle name="40% - Accent2 14 2 2 3" xfId="4753"/>
    <cellStyle name="40% - Accent2 14 2 2 3 2" xfId="15838"/>
    <cellStyle name="40% - Accent2 14 2 2 3 3" xfId="19789"/>
    <cellStyle name="40% - Accent2 14 2 2 4" xfId="15836"/>
    <cellStyle name="40% - Accent2 14 2 2 5" xfId="19787"/>
    <cellStyle name="40% - Accent2 14 2 3" xfId="4754"/>
    <cellStyle name="40% - Accent2 14 2 3 2" xfId="4755"/>
    <cellStyle name="40% - Accent2 14 2 3 2 2" xfId="15840"/>
    <cellStyle name="40% - Accent2 14 2 3 2 3" xfId="19791"/>
    <cellStyle name="40% - Accent2 14 2 3 3" xfId="4756"/>
    <cellStyle name="40% - Accent2 14 2 3 3 2" xfId="15841"/>
    <cellStyle name="40% - Accent2 14 2 3 3 3" xfId="19792"/>
    <cellStyle name="40% - Accent2 14 2 3 4" xfId="15839"/>
    <cellStyle name="40% - Accent2 14 2 3 5" xfId="19790"/>
    <cellStyle name="40% - Accent2 14 2 4" xfId="4757"/>
    <cellStyle name="40% - Accent2 14 2 4 2" xfId="4758"/>
    <cellStyle name="40% - Accent2 14 2 4 2 2" xfId="15843"/>
    <cellStyle name="40% - Accent2 14 2 4 2 3" xfId="19794"/>
    <cellStyle name="40% - Accent2 14 2 4 3" xfId="4759"/>
    <cellStyle name="40% - Accent2 14 2 4 3 2" xfId="15844"/>
    <cellStyle name="40% - Accent2 14 2 4 3 3" xfId="19795"/>
    <cellStyle name="40% - Accent2 14 2 4 4" xfId="15842"/>
    <cellStyle name="40% - Accent2 14 2 4 5" xfId="19793"/>
    <cellStyle name="40% - Accent2 14 2 5" xfId="4760"/>
    <cellStyle name="40% - Accent2 14 2 5 2" xfId="15845"/>
    <cellStyle name="40% - Accent2 14 2 5 3" xfId="19796"/>
    <cellStyle name="40% - Accent2 14 2 6" xfId="4761"/>
    <cellStyle name="40% - Accent2 14 2 6 2" xfId="15846"/>
    <cellStyle name="40% - Accent2 14 2 6 3" xfId="19797"/>
    <cellStyle name="40% - Accent2 14 2 7" xfId="15835"/>
    <cellStyle name="40% - Accent2 14 2 8" xfId="19786"/>
    <cellStyle name="40% - Accent2 14 2_Volatility" xfId="4762"/>
    <cellStyle name="40% - Accent2 14 3" xfId="4763"/>
    <cellStyle name="40% - Accent2 14 3 2" xfId="4764"/>
    <cellStyle name="40% - Accent2 14 3 2 2" xfId="4765"/>
    <cellStyle name="40% - Accent2 14 3 2 2 2" xfId="15849"/>
    <cellStyle name="40% - Accent2 14 3 2 2 3" xfId="19800"/>
    <cellStyle name="40% - Accent2 14 3 2 3" xfId="4766"/>
    <cellStyle name="40% - Accent2 14 3 2 3 2" xfId="15850"/>
    <cellStyle name="40% - Accent2 14 3 2 3 3" xfId="19801"/>
    <cellStyle name="40% - Accent2 14 3 2 4" xfId="15848"/>
    <cellStyle name="40% - Accent2 14 3 2 5" xfId="19799"/>
    <cellStyle name="40% - Accent2 14 3 3" xfId="4767"/>
    <cellStyle name="40% - Accent2 14 3 3 2" xfId="4768"/>
    <cellStyle name="40% - Accent2 14 3 3 2 2" xfId="15852"/>
    <cellStyle name="40% - Accent2 14 3 3 2 3" xfId="19803"/>
    <cellStyle name="40% - Accent2 14 3 3 3" xfId="4769"/>
    <cellStyle name="40% - Accent2 14 3 3 3 2" xfId="15853"/>
    <cellStyle name="40% - Accent2 14 3 3 3 3" xfId="19804"/>
    <cellStyle name="40% - Accent2 14 3 3 4" xfId="15851"/>
    <cellStyle name="40% - Accent2 14 3 3 5" xfId="19802"/>
    <cellStyle name="40% - Accent2 14 3 4" xfId="4770"/>
    <cellStyle name="40% - Accent2 14 3 4 2" xfId="15854"/>
    <cellStyle name="40% - Accent2 14 3 4 3" xfId="19805"/>
    <cellStyle name="40% - Accent2 14 3 5" xfId="4771"/>
    <cellStyle name="40% - Accent2 14 3 5 2" xfId="15855"/>
    <cellStyle name="40% - Accent2 14 3 5 3" xfId="19806"/>
    <cellStyle name="40% - Accent2 14 3 6" xfId="15847"/>
    <cellStyle name="40% - Accent2 14 3 7" xfId="19798"/>
    <cellStyle name="40% - Accent2 14 3_Volatility" xfId="4772"/>
    <cellStyle name="40% - Accent2 14 4" xfId="4773"/>
    <cellStyle name="40% - Accent2 14 4 2" xfId="4774"/>
    <cellStyle name="40% - Accent2 14 4 2 2" xfId="15857"/>
    <cellStyle name="40% - Accent2 14 4 2 3" xfId="19808"/>
    <cellStyle name="40% - Accent2 14 4 3" xfId="4775"/>
    <cellStyle name="40% - Accent2 14 4 3 2" xfId="15858"/>
    <cellStyle name="40% - Accent2 14 4 3 3" xfId="19809"/>
    <cellStyle name="40% - Accent2 14 4 4" xfId="15856"/>
    <cellStyle name="40% - Accent2 14 4 5" xfId="19807"/>
    <cellStyle name="40% - Accent2 14 5" xfId="4776"/>
    <cellStyle name="40% - Accent2 14 5 2" xfId="4777"/>
    <cellStyle name="40% - Accent2 14 5 2 2" xfId="15860"/>
    <cellStyle name="40% - Accent2 14 5 2 3" xfId="19811"/>
    <cellStyle name="40% - Accent2 14 5 3" xfId="4778"/>
    <cellStyle name="40% - Accent2 14 5 3 2" xfId="15861"/>
    <cellStyle name="40% - Accent2 14 5 3 3" xfId="19812"/>
    <cellStyle name="40% - Accent2 14 5 4" xfId="15859"/>
    <cellStyle name="40% - Accent2 14 5 5" xfId="19810"/>
    <cellStyle name="40% - Accent2 14 6" xfId="4779"/>
    <cellStyle name="40% - Accent2 14 6 2" xfId="4780"/>
    <cellStyle name="40% - Accent2 14 6 2 2" xfId="15863"/>
    <cellStyle name="40% - Accent2 14 6 2 3" xfId="19814"/>
    <cellStyle name="40% - Accent2 14 6 3" xfId="4781"/>
    <cellStyle name="40% - Accent2 14 6 3 2" xfId="15864"/>
    <cellStyle name="40% - Accent2 14 6 3 3" xfId="19815"/>
    <cellStyle name="40% - Accent2 14 6 4" xfId="15862"/>
    <cellStyle name="40% - Accent2 14 6 5" xfId="19813"/>
    <cellStyle name="40% - Accent2 14 7" xfId="4782"/>
    <cellStyle name="40% - Accent2 14 7 2" xfId="15865"/>
    <cellStyle name="40% - Accent2 14 7 3" xfId="19816"/>
    <cellStyle name="40% - Accent2 14 8" xfId="4783"/>
    <cellStyle name="40% - Accent2 14 8 2" xfId="15866"/>
    <cellStyle name="40% - Accent2 14 8 3" xfId="19817"/>
    <cellStyle name="40% - Accent2 14 9" xfId="15834"/>
    <cellStyle name="40% - Accent2 14_Volatility" xfId="4784"/>
    <cellStyle name="40% - Accent2 15" xfId="4785"/>
    <cellStyle name="40% - Accent2 15 10" xfId="19818"/>
    <cellStyle name="40% - Accent2 15 2" xfId="4786"/>
    <cellStyle name="40% - Accent2 15 2 2" xfId="4787"/>
    <cellStyle name="40% - Accent2 15 2 2 2" xfId="4788"/>
    <cellStyle name="40% - Accent2 15 2 2 2 2" xfId="15870"/>
    <cellStyle name="40% - Accent2 15 2 2 2 3" xfId="19821"/>
    <cellStyle name="40% - Accent2 15 2 2 3" xfId="4789"/>
    <cellStyle name="40% - Accent2 15 2 2 3 2" xfId="15871"/>
    <cellStyle name="40% - Accent2 15 2 2 3 3" xfId="19822"/>
    <cellStyle name="40% - Accent2 15 2 2 4" xfId="15869"/>
    <cellStyle name="40% - Accent2 15 2 2 5" xfId="19820"/>
    <cellStyle name="40% - Accent2 15 2 3" xfId="4790"/>
    <cellStyle name="40% - Accent2 15 2 3 2" xfId="4791"/>
    <cellStyle name="40% - Accent2 15 2 3 2 2" xfId="15873"/>
    <cellStyle name="40% - Accent2 15 2 3 2 3" xfId="19824"/>
    <cellStyle name="40% - Accent2 15 2 3 3" xfId="4792"/>
    <cellStyle name="40% - Accent2 15 2 3 3 2" xfId="15874"/>
    <cellStyle name="40% - Accent2 15 2 3 3 3" xfId="19825"/>
    <cellStyle name="40% - Accent2 15 2 3 4" xfId="15872"/>
    <cellStyle name="40% - Accent2 15 2 3 5" xfId="19823"/>
    <cellStyle name="40% - Accent2 15 2 4" xfId="4793"/>
    <cellStyle name="40% - Accent2 15 2 4 2" xfId="4794"/>
    <cellStyle name="40% - Accent2 15 2 4 2 2" xfId="15876"/>
    <cellStyle name="40% - Accent2 15 2 4 2 3" xfId="19827"/>
    <cellStyle name="40% - Accent2 15 2 4 3" xfId="4795"/>
    <cellStyle name="40% - Accent2 15 2 4 3 2" xfId="15877"/>
    <cellStyle name="40% - Accent2 15 2 4 3 3" xfId="19828"/>
    <cellStyle name="40% - Accent2 15 2 4 4" xfId="15875"/>
    <cellStyle name="40% - Accent2 15 2 4 5" xfId="19826"/>
    <cellStyle name="40% - Accent2 15 2 5" xfId="4796"/>
    <cellStyle name="40% - Accent2 15 2 5 2" xfId="15878"/>
    <cellStyle name="40% - Accent2 15 2 5 3" xfId="19829"/>
    <cellStyle name="40% - Accent2 15 2 6" xfId="4797"/>
    <cellStyle name="40% - Accent2 15 2 6 2" xfId="15879"/>
    <cellStyle name="40% - Accent2 15 2 6 3" xfId="19830"/>
    <cellStyle name="40% - Accent2 15 2 7" xfId="15868"/>
    <cellStyle name="40% - Accent2 15 2 8" xfId="19819"/>
    <cellStyle name="40% - Accent2 15 2_Volatility" xfId="4798"/>
    <cellStyle name="40% - Accent2 15 3" xfId="4799"/>
    <cellStyle name="40% - Accent2 15 3 2" xfId="4800"/>
    <cellStyle name="40% - Accent2 15 3 2 2" xfId="4801"/>
    <cellStyle name="40% - Accent2 15 3 2 2 2" xfId="15882"/>
    <cellStyle name="40% - Accent2 15 3 2 2 3" xfId="19833"/>
    <cellStyle name="40% - Accent2 15 3 2 3" xfId="4802"/>
    <cellStyle name="40% - Accent2 15 3 2 3 2" xfId="15883"/>
    <cellStyle name="40% - Accent2 15 3 2 3 3" xfId="19834"/>
    <cellStyle name="40% - Accent2 15 3 2 4" xfId="15881"/>
    <cellStyle name="40% - Accent2 15 3 2 5" xfId="19832"/>
    <cellStyle name="40% - Accent2 15 3 3" xfId="4803"/>
    <cellStyle name="40% - Accent2 15 3 3 2" xfId="4804"/>
    <cellStyle name="40% - Accent2 15 3 3 2 2" xfId="15885"/>
    <cellStyle name="40% - Accent2 15 3 3 2 3" xfId="19836"/>
    <cellStyle name="40% - Accent2 15 3 3 3" xfId="4805"/>
    <cellStyle name="40% - Accent2 15 3 3 3 2" xfId="15886"/>
    <cellStyle name="40% - Accent2 15 3 3 3 3" xfId="19837"/>
    <cellStyle name="40% - Accent2 15 3 3 4" xfId="15884"/>
    <cellStyle name="40% - Accent2 15 3 3 5" xfId="19835"/>
    <cellStyle name="40% - Accent2 15 3 4" xfId="4806"/>
    <cellStyle name="40% - Accent2 15 3 4 2" xfId="15887"/>
    <cellStyle name="40% - Accent2 15 3 4 3" xfId="19838"/>
    <cellStyle name="40% - Accent2 15 3 5" xfId="4807"/>
    <cellStyle name="40% - Accent2 15 3 5 2" xfId="15888"/>
    <cellStyle name="40% - Accent2 15 3 5 3" xfId="19839"/>
    <cellStyle name="40% - Accent2 15 3 6" xfId="15880"/>
    <cellStyle name="40% - Accent2 15 3 7" xfId="19831"/>
    <cellStyle name="40% - Accent2 15 3_Volatility" xfId="4808"/>
    <cellStyle name="40% - Accent2 15 4" xfId="4809"/>
    <cellStyle name="40% - Accent2 15 4 2" xfId="4810"/>
    <cellStyle name="40% - Accent2 15 4 2 2" xfId="15890"/>
    <cellStyle name="40% - Accent2 15 4 2 3" xfId="19841"/>
    <cellStyle name="40% - Accent2 15 4 3" xfId="4811"/>
    <cellStyle name="40% - Accent2 15 4 3 2" xfId="15891"/>
    <cellStyle name="40% - Accent2 15 4 3 3" xfId="19842"/>
    <cellStyle name="40% - Accent2 15 4 4" xfId="15889"/>
    <cellStyle name="40% - Accent2 15 4 5" xfId="19840"/>
    <cellStyle name="40% - Accent2 15 5" xfId="4812"/>
    <cellStyle name="40% - Accent2 15 5 2" xfId="4813"/>
    <cellStyle name="40% - Accent2 15 5 2 2" xfId="15893"/>
    <cellStyle name="40% - Accent2 15 5 2 3" xfId="19844"/>
    <cellStyle name="40% - Accent2 15 5 3" xfId="4814"/>
    <cellStyle name="40% - Accent2 15 5 3 2" xfId="15894"/>
    <cellStyle name="40% - Accent2 15 5 3 3" xfId="19845"/>
    <cellStyle name="40% - Accent2 15 5 4" xfId="15892"/>
    <cellStyle name="40% - Accent2 15 5 5" xfId="19843"/>
    <cellStyle name="40% - Accent2 15 6" xfId="4815"/>
    <cellStyle name="40% - Accent2 15 6 2" xfId="4816"/>
    <cellStyle name="40% - Accent2 15 6 2 2" xfId="15896"/>
    <cellStyle name="40% - Accent2 15 6 2 3" xfId="19847"/>
    <cellStyle name="40% - Accent2 15 6 3" xfId="4817"/>
    <cellStyle name="40% - Accent2 15 6 3 2" xfId="15897"/>
    <cellStyle name="40% - Accent2 15 6 3 3" xfId="19848"/>
    <cellStyle name="40% - Accent2 15 6 4" xfId="15895"/>
    <cellStyle name="40% - Accent2 15 6 5" xfId="19846"/>
    <cellStyle name="40% - Accent2 15 7" xfId="4818"/>
    <cellStyle name="40% - Accent2 15 7 2" xfId="15898"/>
    <cellStyle name="40% - Accent2 15 7 3" xfId="19849"/>
    <cellStyle name="40% - Accent2 15 8" xfId="4819"/>
    <cellStyle name="40% - Accent2 15 8 2" xfId="15899"/>
    <cellStyle name="40% - Accent2 15 8 3" xfId="19850"/>
    <cellStyle name="40% - Accent2 15 9" xfId="15867"/>
    <cellStyle name="40% - Accent2 15_Volatility" xfId="4820"/>
    <cellStyle name="40% - Accent2 16" xfId="4821"/>
    <cellStyle name="40% - Accent2 16 2" xfId="15900"/>
    <cellStyle name="40% - Accent2 16 3" xfId="19851"/>
    <cellStyle name="40% - Accent2 17" xfId="4822"/>
    <cellStyle name="40% - Accent2 17 2" xfId="15901"/>
    <cellStyle name="40% - Accent2 17 3" xfId="19852"/>
    <cellStyle name="40% - Accent2 18" xfId="4823"/>
    <cellStyle name="40% - Accent2 18 2" xfId="15902"/>
    <cellStyle name="40% - Accent2 18 3" xfId="19853"/>
    <cellStyle name="40% - Accent2 19" xfId="4824"/>
    <cellStyle name="40% - Accent2 19 2" xfId="15903"/>
    <cellStyle name="40% - Accent2 19 3" xfId="19854"/>
    <cellStyle name="40% - Accent2 2" xfId="4825"/>
    <cellStyle name="40% - Accent2 2 10" xfId="19855"/>
    <cellStyle name="40% - Accent2 2 2" xfId="4826"/>
    <cellStyle name="40% - Accent2 2 2 2" xfId="4827"/>
    <cellStyle name="40% - Accent2 2 2 2 2" xfId="4828"/>
    <cellStyle name="40% - Accent2 2 2 2 2 2" xfId="15907"/>
    <cellStyle name="40% - Accent2 2 2 2 2 3" xfId="19858"/>
    <cellStyle name="40% - Accent2 2 2 2 3" xfId="4829"/>
    <cellStyle name="40% - Accent2 2 2 2 3 2" xfId="15908"/>
    <cellStyle name="40% - Accent2 2 2 2 3 3" xfId="19859"/>
    <cellStyle name="40% - Accent2 2 2 2 4" xfId="15906"/>
    <cellStyle name="40% - Accent2 2 2 2 5" xfId="19857"/>
    <cellStyle name="40% - Accent2 2 2 3" xfId="4830"/>
    <cellStyle name="40% - Accent2 2 2 3 2" xfId="4831"/>
    <cellStyle name="40% - Accent2 2 2 3 2 2" xfId="15910"/>
    <cellStyle name="40% - Accent2 2 2 3 2 3" xfId="19861"/>
    <cellStyle name="40% - Accent2 2 2 3 3" xfId="4832"/>
    <cellStyle name="40% - Accent2 2 2 3 3 2" xfId="15911"/>
    <cellStyle name="40% - Accent2 2 2 3 3 3" xfId="19862"/>
    <cellStyle name="40% - Accent2 2 2 3 4" xfId="15909"/>
    <cellStyle name="40% - Accent2 2 2 3 5" xfId="19860"/>
    <cellStyle name="40% - Accent2 2 2 4" xfId="4833"/>
    <cellStyle name="40% - Accent2 2 2 4 2" xfId="4834"/>
    <cellStyle name="40% - Accent2 2 2 4 2 2" xfId="15913"/>
    <cellStyle name="40% - Accent2 2 2 4 2 3" xfId="19864"/>
    <cellStyle name="40% - Accent2 2 2 4 3" xfId="4835"/>
    <cellStyle name="40% - Accent2 2 2 4 3 2" xfId="15914"/>
    <cellStyle name="40% - Accent2 2 2 4 3 3" xfId="19865"/>
    <cellStyle name="40% - Accent2 2 2 4 4" xfId="15912"/>
    <cellStyle name="40% - Accent2 2 2 4 5" xfId="19863"/>
    <cellStyle name="40% - Accent2 2 2 5" xfId="4836"/>
    <cellStyle name="40% - Accent2 2 2 5 2" xfId="15915"/>
    <cellStyle name="40% - Accent2 2 2 5 3" xfId="19866"/>
    <cellStyle name="40% - Accent2 2 2 6" xfId="4837"/>
    <cellStyle name="40% - Accent2 2 2 6 2" xfId="15916"/>
    <cellStyle name="40% - Accent2 2 2 6 3" xfId="19867"/>
    <cellStyle name="40% - Accent2 2 2 7" xfId="15905"/>
    <cellStyle name="40% - Accent2 2 2 8" xfId="19856"/>
    <cellStyle name="40% - Accent2 2 2_Volatility" xfId="4838"/>
    <cellStyle name="40% - Accent2 2 3" xfId="4839"/>
    <cellStyle name="40% - Accent2 2 3 2" xfId="4840"/>
    <cellStyle name="40% - Accent2 2 3 2 2" xfId="4841"/>
    <cellStyle name="40% - Accent2 2 3 2 2 2" xfId="15919"/>
    <cellStyle name="40% - Accent2 2 3 2 2 3" xfId="19870"/>
    <cellStyle name="40% - Accent2 2 3 2 3" xfId="4842"/>
    <cellStyle name="40% - Accent2 2 3 2 3 2" xfId="15920"/>
    <cellStyle name="40% - Accent2 2 3 2 3 3" xfId="19871"/>
    <cellStyle name="40% - Accent2 2 3 2 4" xfId="15918"/>
    <cellStyle name="40% - Accent2 2 3 2 5" xfId="19869"/>
    <cellStyle name="40% - Accent2 2 3 3" xfId="4843"/>
    <cellStyle name="40% - Accent2 2 3 3 2" xfId="4844"/>
    <cellStyle name="40% - Accent2 2 3 3 2 2" xfId="15922"/>
    <cellStyle name="40% - Accent2 2 3 3 2 3" xfId="19873"/>
    <cellStyle name="40% - Accent2 2 3 3 3" xfId="4845"/>
    <cellStyle name="40% - Accent2 2 3 3 3 2" xfId="15923"/>
    <cellStyle name="40% - Accent2 2 3 3 3 3" xfId="19874"/>
    <cellStyle name="40% - Accent2 2 3 3 4" xfId="15921"/>
    <cellStyle name="40% - Accent2 2 3 3 5" xfId="19872"/>
    <cellStyle name="40% - Accent2 2 3 4" xfId="4846"/>
    <cellStyle name="40% - Accent2 2 3 4 2" xfId="15924"/>
    <cellStyle name="40% - Accent2 2 3 4 3" xfId="19875"/>
    <cellStyle name="40% - Accent2 2 3 5" xfId="4847"/>
    <cellStyle name="40% - Accent2 2 3 5 2" xfId="15925"/>
    <cellStyle name="40% - Accent2 2 3 5 3" xfId="19876"/>
    <cellStyle name="40% - Accent2 2 3 6" xfId="15917"/>
    <cellStyle name="40% - Accent2 2 3 7" xfId="19868"/>
    <cellStyle name="40% - Accent2 2 3_Volatility" xfId="4848"/>
    <cellStyle name="40% - Accent2 2 4" xfId="4849"/>
    <cellStyle name="40% - Accent2 2 4 2" xfId="4850"/>
    <cellStyle name="40% - Accent2 2 4 2 2" xfId="15927"/>
    <cellStyle name="40% - Accent2 2 4 2 3" xfId="19878"/>
    <cellStyle name="40% - Accent2 2 4 3" xfId="4851"/>
    <cellStyle name="40% - Accent2 2 4 3 2" xfId="15928"/>
    <cellStyle name="40% - Accent2 2 4 3 3" xfId="19879"/>
    <cellStyle name="40% - Accent2 2 4 4" xfId="15926"/>
    <cellStyle name="40% - Accent2 2 4 5" xfId="19877"/>
    <cellStyle name="40% - Accent2 2 5" xfId="4852"/>
    <cellStyle name="40% - Accent2 2 5 2" xfId="4853"/>
    <cellStyle name="40% - Accent2 2 5 2 2" xfId="15930"/>
    <cellStyle name="40% - Accent2 2 5 2 3" xfId="19881"/>
    <cellStyle name="40% - Accent2 2 5 3" xfId="4854"/>
    <cellStyle name="40% - Accent2 2 5 3 2" xfId="15931"/>
    <cellStyle name="40% - Accent2 2 5 3 3" xfId="19882"/>
    <cellStyle name="40% - Accent2 2 5 4" xfId="15929"/>
    <cellStyle name="40% - Accent2 2 5 5" xfId="19880"/>
    <cellStyle name="40% - Accent2 2 6" xfId="4855"/>
    <cellStyle name="40% - Accent2 2 6 2" xfId="4856"/>
    <cellStyle name="40% - Accent2 2 6 3" xfId="4857"/>
    <cellStyle name="40% - Accent2 2 6 4" xfId="15932"/>
    <cellStyle name="40% - Accent2 2 6 5" xfId="19883"/>
    <cellStyle name="40% - Accent2 2 7" xfId="4858"/>
    <cellStyle name="40% - Accent2 2 8" xfId="4859"/>
    <cellStyle name="40% - Accent2 2 9" xfId="15904"/>
    <cellStyle name="40% - Accent2 2_Volatility" xfId="4860"/>
    <cellStyle name="40% - Accent2 3" xfId="4861"/>
    <cellStyle name="40% - Accent2 3 2" xfId="4862"/>
    <cellStyle name="40% - Accent2 3 2 2" xfId="4863"/>
    <cellStyle name="40% - Accent2 3 2 2 2" xfId="4864"/>
    <cellStyle name="40% - Accent2 3 2 2 3" xfId="4865"/>
    <cellStyle name="40% - Accent2 3 2 3" xfId="4866"/>
    <cellStyle name="40% - Accent2 3 2 3 2" xfId="4867"/>
    <cellStyle name="40% - Accent2 3 2 3 3" xfId="4868"/>
    <cellStyle name="40% - Accent2 3 2 4" xfId="4869"/>
    <cellStyle name="40% - Accent2 3 2 4 2" xfId="4870"/>
    <cellStyle name="40% - Accent2 3 2 4 3" xfId="4871"/>
    <cellStyle name="40% - Accent2 3 2 5" xfId="4872"/>
    <cellStyle name="40% - Accent2 3 2 6" xfId="4873"/>
    <cellStyle name="40% - Accent2 3 2_Volatility" xfId="4874"/>
    <cellStyle name="40% - Accent2 3 3" xfId="4875"/>
    <cellStyle name="40% - Accent2 3 3 2" xfId="4876"/>
    <cellStyle name="40% - Accent2 3 3 2 2" xfId="4877"/>
    <cellStyle name="40% - Accent2 3 3 2 3" xfId="4878"/>
    <cellStyle name="40% - Accent2 3 3 3" xfId="4879"/>
    <cellStyle name="40% - Accent2 3 3 3 2" xfId="4880"/>
    <cellStyle name="40% - Accent2 3 3 3 3" xfId="4881"/>
    <cellStyle name="40% - Accent2 3 3 4" xfId="4882"/>
    <cellStyle name="40% - Accent2 3 3 5" xfId="4883"/>
    <cellStyle name="40% - Accent2 3 3_Volatility" xfId="4884"/>
    <cellStyle name="40% - Accent2 3 4" xfId="4885"/>
    <cellStyle name="40% - Accent2 3 4 2" xfId="4886"/>
    <cellStyle name="40% - Accent2 3 4 3" xfId="4887"/>
    <cellStyle name="40% - Accent2 3 5" xfId="4888"/>
    <cellStyle name="40% - Accent2 3 5 2" xfId="4889"/>
    <cellStyle name="40% - Accent2 3 5 3" xfId="4890"/>
    <cellStyle name="40% - Accent2 3 6" xfId="4891"/>
    <cellStyle name="40% - Accent2 3 6 2" xfId="4892"/>
    <cellStyle name="40% - Accent2 3 6 3" xfId="4893"/>
    <cellStyle name="40% - Accent2 3 7" xfId="4894"/>
    <cellStyle name="40% - Accent2 3 8" xfId="4895"/>
    <cellStyle name="40% - Accent2 3_Volatility" xfId="4896"/>
    <cellStyle name="40% - Accent2 4" xfId="4897"/>
    <cellStyle name="40% - Accent2 4 2" xfId="4898"/>
    <cellStyle name="40% - Accent2 4 2 2" xfId="4899"/>
    <cellStyle name="40% - Accent2 4 2 2 2" xfId="4900"/>
    <cellStyle name="40% - Accent2 4 2 2 3" xfId="4901"/>
    <cellStyle name="40% - Accent2 4 2 3" xfId="4902"/>
    <cellStyle name="40% - Accent2 4 2 3 2" xfId="4903"/>
    <cellStyle name="40% - Accent2 4 2 3 3" xfId="4904"/>
    <cellStyle name="40% - Accent2 4 2 4" xfId="4905"/>
    <cellStyle name="40% - Accent2 4 2 4 2" xfId="4906"/>
    <cellStyle name="40% - Accent2 4 2 4 3" xfId="4907"/>
    <cellStyle name="40% - Accent2 4 2 5" xfId="4908"/>
    <cellStyle name="40% - Accent2 4 2 6" xfId="4909"/>
    <cellStyle name="40% - Accent2 4 2_Volatility" xfId="4910"/>
    <cellStyle name="40% - Accent2 4 3" xfId="4911"/>
    <cellStyle name="40% - Accent2 4 3 2" xfId="4912"/>
    <cellStyle name="40% - Accent2 4 3 2 2" xfId="4913"/>
    <cellStyle name="40% - Accent2 4 3 2 3" xfId="4914"/>
    <cellStyle name="40% - Accent2 4 3 3" xfId="4915"/>
    <cellStyle name="40% - Accent2 4 3 3 2" xfId="4916"/>
    <cellStyle name="40% - Accent2 4 3 3 3" xfId="4917"/>
    <cellStyle name="40% - Accent2 4 3 4" xfId="4918"/>
    <cellStyle name="40% - Accent2 4 3 5" xfId="4919"/>
    <cellStyle name="40% - Accent2 4 3_Volatility" xfId="4920"/>
    <cellStyle name="40% - Accent2 4 4" xfId="4921"/>
    <cellStyle name="40% - Accent2 4 4 2" xfId="4922"/>
    <cellStyle name="40% - Accent2 4 4 3" xfId="4923"/>
    <cellStyle name="40% - Accent2 4 5" xfId="4924"/>
    <cellStyle name="40% - Accent2 4 5 2" xfId="4925"/>
    <cellStyle name="40% - Accent2 4 5 3" xfId="4926"/>
    <cellStyle name="40% - Accent2 4 6" xfId="4927"/>
    <cellStyle name="40% - Accent2 4 6 2" xfId="4928"/>
    <cellStyle name="40% - Accent2 4 6 3" xfId="4929"/>
    <cellStyle name="40% - Accent2 4 7" xfId="4930"/>
    <cellStyle name="40% - Accent2 4 8" xfId="4931"/>
    <cellStyle name="40% - Accent2 4_Volatility" xfId="4932"/>
    <cellStyle name="40% - Accent2 5" xfId="4933"/>
    <cellStyle name="40% - Accent2 5 2" xfId="4934"/>
    <cellStyle name="40% - Accent2 5 2 2" xfId="4935"/>
    <cellStyle name="40% - Accent2 5 2 2 2" xfId="4936"/>
    <cellStyle name="40% - Accent2 5 2 2 3" xfId="4937"/>
    <cellStyle name="40% - Accent2 5 2 3" xfId="4938"/>
    <cellStyle name="40% - Accent2 5 2 3 2" xfId="4939"/>
    <cellStyle name="40% - Accent2 5 2 3 3" xfId="4940"/>
    <cellStyle name="40% - Accent2 5 2 4" xfId="4941"/>
    <cellStyle name="40% - Accent2 5 2 4 2" xfId="4942"/>
    <cellStyle name="40% - Accent2 5 2 4 3" xfId="4943"/>
    <cellStyle name="40% - Accent2 5 2 5" xfId="4944"/>
    <cellStyle name="40% - Accent2 5 2 6" xfId="4945"/>
    <cellStyle name="40% - Accent2 5 2_Volatility" xfId="4946"/>
    <cellStyle name="40% - Accent2 5 3" xfId="4947"/>
    <cellStyle name="40% - Accent2 5 3 2" xfId="4948"/>
    <cellStyle name="40% - Accent2 5 3 2 2" xfId="4949"/>
    <cellStyle name="40% - Accent2 5 3 2 3" xfId="4950"/>
    <cellStyle name="40% - Accent2 5 3 3" xfId="4951"/>
    <cellStyle name="40% - Accent2 5 3 3 2" xfId="4952"/>
    <cellStyle name="40% - Accent2 5 3 3 3" xfId="4953"/>
    <cellStyle name="40% - Accent2 5 3 4" xfId="4954"/>
    <cellStyle name="40% - Accent2 5 3 5" xfId="4955"/>
    <cellStyle name="40% - Accent2 5 3_Volatility" xfId="4956"/>
    <cellStyle name="40% - Accent2 5 4" xfId="4957"/>
    <cellStyle name="40% - Accent2 5 4 2" xfId="4958"/>
    <cellStyle name="40% - Accent2 5 4 3" xfId="4959"/>
    <cellStyle name="40% - Accent2 5 5" xfId="4960"/>
    <cellStyle name="40% - Accent2 5 5 2" xfId="4961"/>
    <cellStyle name="40% - Accent2 5 5 3" xfId="4962"/>
    <cellStyle name="40% - Accent2 5 6" xfId="4963"/>
    <cellStyle name="40% - Accent2 5 6 2" xfId="4964"/>
    <cellStyle name="40% - Accent2 5 6 3" xfId="4965"/>
    <cellStyle name="40% - Accent2 5 7" xfId="4966"/>
    <cellStyle name="40% - Accent2 5 8" xfId="4967"/>
    <cellStyle name="40% - Accent2 5_Volatility" xfId="4968"/>
    <cellStyle name="40% - Accent2 6" xfId="4969"/>
    <cellStyle name="40% - Accent2 6 2" xfId="4970"/>
    <cellStyle name="40% - Accent2 6 2 2" xfId="4971"/>
    <cellStyle name="40% - Accent2 6 2 2 2" xfId="4972"/>
    <cellStyle name="40% - Accent2 6 2 2 3" xfId="4973"/>
    <cellStyle name="40% - Accent2 6 2 3" xfId="4974"/>
    <cellStyle name="40% - Accent2 6 2 3 2" xfId="4975"/>
    <cellStyle name="40% - Accent2 6 2 3 3" xfId="4976"/>
    <cellStyle name="40% - Accent2 6 2 4" xfId="4977"/>
    <cellStyle name="40% - Accent2 6 2 4 2" xfId="4978"/>
    <cellStyle name="40% - Accent2 6 2 4 3" xfId="4979"/>
    <cellStyle name="40% - Accent2 6 2 5" xfId="4980"/>
    <cellStyle name="40% - Accent2 6 2 6" xfId="4981"/>
    <cellStyle name="40% - Accent2 6 2_Volatility" xfId="4982"/>
    <cellStyle name="40% - Accent2 6 3" xfId="4983"/>
    <cellStyle name="40% - Accent2 6 3 2" xfId="4984"/>
    <cellStyle name="40% - Accent2 6 3 2 2" xfId="4985"/>
    <cellStyle name="40% - Accent2 6 3 2 3" xfId="4986"/>
    <cellStyle name="40% - Accent2 6 3 3" xfId="4987"/>
    <cellStyle name="40% - Accent2 6 3 3 2" xfId="4988"/>
    <cellStyle name="40% - Accent2 6 3 3 3" xfId="4989"/>
    <cellStyle name="40% - Accent2 6 3 4" xfId="4990"/>
    <cellStyle name="40% - Accent2 6 3 5" xfId="4991"/>
    <cellStyle name="40% - Accent2 6 3_Volatility" xfId="4992"/>
    <cellStyle name="40% - Accent2 6 4" xfId="4993"/>
    <cellStyle name="40% - Accent2 6 4 2" xfId="4994"/>
    <cellStyle name="40% - Accent2 6 4 3" xfId="4995"/>
    <cellStyle name="40% - Accent2 6 5" xfId="4996"/>
    <cellStyle name="40% - Accent2 6 5 2" xfId="4997"/>
    <cellStyle name="40% - Accent2 6 5 3" xfId="4998"/>
    <cellStyle name="40% - Accent2 6 6" xfId="4999"/>
    <cellStyle name="40% - Accent2 6 6 2" xfId="5000"/>
    <cellStyle name="40% - Accent2 6 6 3" xfId="5001"/>
    <cellStyle name="40% - Accent2 6 7" xfId="5002"/>
    <cellStyle name="40% - Accent2 6 8" xfId="5003"/>
    <cellStyle name="40% - Accent2 6_Volatility" xfId="5004"/>
    <cellStyle name="40% - Accent2 7" xfId="5005"/>
    <cellStyle name="40% - Accent2 7 2" xfId="5006"/>
    <cellStyle name="40% - Accent2 7 2 2" xfId="5007"/>
    <cellStyle name="40% - Accent2 7 2 2 2" xfId="5008"/>
    <cellStyle name="40% - Accent2 7 2 2 3" xfId="5009"/>
    <cellStyle name="40% - Accent2 7 2 3" xfId="5010"/>
    <cellStyle name="40% - Accent2 7 2 3 2" xfId="5011"/>
    <cellStyle name="40% - Accent2 7 2 3 3" xfId="5012"/>
    <cellStyle name="40% - Accent2 7 2 4" xfId="5013"/>
    <cellStyle name="40% - Accent2 7 2 4 2" xfId="5014"/>
    <cellStyle name="40% - Accent2 7 2 4 3" xfId="5015"/>
    <cellStyle name="40% - Accent2 7 2 5" xfId="5016"/>
    <cellStyle name="40% - Accent2 7 2 6" xfId="5017"/>
    <cellStyle name="40% - Accent2 7 2_Volatility" xfId="5018"/>
    <cellStyle name="40% - Accent2 7 3" xfId="5019"/>
    <cellStyle name="40% - Accent2 7 3 2" xfId="5020"/>
    <cellStyle name="40% - Accent2 7 3 2 2" xfId="5021"/>
    <cellStyle name="40% - Accent2 7 3 2 3" xfId="5022"/>
    <cellStyle name="40% - Accent2 7 3 3" xfId="5023"/>
    <cellStyle name="40% - Accent2 7 3 3 2" xfId="5024"/>
    <cellStyle name="40% - Accent2 7 3 3 3" xfId="5025"/>
    <cellStyle name="40% - Accent2 7 3 4" xfId="5026"/>
    <cellStyle name="40% - Accent2 7 3 5" xfId="5027"/>
    <cellStyle name="40% - Accent2 7 3_Volatility" xfId="5028"/>
    <cellStyle name="40% - Accent2 7 4" xfId="5029"/>
    <cellStyle name="40% - Accent2 7 4 2" xfId="5030"/>
    <cellStyle name="40% - Accent2 7 4 3" xfId="5031"/>
    <cellStyle name="40% - Accent2 7 5" xfId="5032"/>
    <cellStyle name="40% - Accent2 7 5 2" xfId="5033"/>
    <cellStyle name="40% - Accent2 7 5 3" xfId="5034"/>
    <cellStyle name="40% - Accent2 7 6" xfId="5035"/>
    <cellStyle name="40% - Accent2 7 6 2" xfId="5036"/>
    <cellStyle name="40% - Accent2 7 6 3" xfId="5037"/>
    <cellStyle name="40% - Accent2 7 7" xfId="5038"/>
    <cellStyle name="40% - Accent2 7 8" xfId="5039"/>
    <cellStyle name="40% - Accent2 7_Volatility" xfId="5040"/>
    <cellStyle name="40% - Accent2 8" xfId="5041"/>
    <cellStyle name="40% - Accent2 8 2" xfId="5042"/>
    <cellStyle name="40% - Accent2 8 2 2" xfId="5043"/>
    <cellStyle name="40% - Accent2 8 2 2 2" xfId="5044"/>
    <cellStyle name="40% - Accent2 8 2 2 3" xfId="5045"/>
    <cellStyle name="40% - Accent2 8 2 3" xfId="5046"/>
    <cellStyle name="40% - Accent2 8 2 3 2" xfId="5047"/>
    <cellStyle name="40% - Accent2 8 2 3 3" xfId="5048"/>
    <cellStyle name="40% - Accent2 8 2 4" xfId="5049"/>
    <cellStyle name="40% - Accent2 8 2 4 2" xfId="5050"/>
    <cellStyle name="40% - Accent2 8 2 4 3" xfId="5051"/>
    <cellStyle name="40% - Accent2 8 2 5" xfId="5052"/>
    <cellStyle name="40% - Accent2 8 2 6" xfId="5053"/>
    <cellStyle name="40% - Accent2 8 2_Volatility" xfId="5054"/>
    <cellStyle name="40% - Accent2 8 3" xfId="5055"/>
    <cellStyle name="40% - Accent2 8 3 2" xfId="5056"/>
    <cellStyle name="40% - Accent2 8 3 2 2" xfId="5057"/>
    <cellStyle name="40% - Accent2 8 3 2 3" xfId="5058"/>
    <cellStyle name="40% - Accent2 8 3 3" xfId="5059"/>
    <cellStyle name="40% - Accent2 8 3 3 2" xfId="5060"/>
    <cellStyle name="40% - Accent2 8 3 3 3" xfId="5061"/>
    <cellStyle name="40% - Accent2 8 3 4" xfId="5062"/>
    <cellStyle name="40% - Accent2 8 3 5" xfId="5063"/>
    <cellStyle name="40% - Accent2 8 3_Volatility" xfId="5064"/>
    <cellStyle name="40% - Accent2 8 4" xfId="5065"/>
    <cellStyle name="40% - Accent2 8 4 2" xfId="5066"/>
    <cellStyle name="40% - Accent2 8 4 3" xfId="5067"/>
    <cellStyle name="40% - Accent2 8 5" xfId="5068"/>
    <cellStyle name="40% - Accent2 8 5 2" xfId="5069"/>
    <cellStyle name="40% - Accent2 8 5 3" xfId="5070"/>
    <cellStyle name="40% - Accent2 8 6" xfId="5071"/>
    <cellStyle name="40% - Accent2 8 6 2" xfId="5072"/>
    <cellStyle name="40% - Accent2 8 6 3" xfId="5073"/>
    <cellStyle name="40% - Accent2 8 7" xfId="5074"/>
    <cellStyle name="40% - Accent2 8 8" xfId="5075"/>
    <cellStyle name="40% - Accent2 8_Volatility" xfId="5076"/>
    <cellStyle name="40% - Accent2 9" xfId="5077"/>
    <cellStyle name="40% - Accent2 9 2" xfId="5078"/>
    <cellStyle name="40% - Accent2 9 2 2" xfId="5079"/>
    <cellStyle name="40% - Accent2 9 2 2 2" xfId="5080"/>
    <cellStyle name="40% - Accent2 9 2 2 3" xfId="5081"/>
    <cellStyle name="40% - Accent2 9 2 3" xfId="5082"/>
    <cellStyle name="40% - Accent2 9 2 3 2" xfId="5083"/>
    <cellStyle name="40% - Accent2 9 2 3 3" xfId="5084"/>
    <cellStyle name="40% - Accent2 9 2 4" xfId="5085"/>
    <cellStyle name="40% - Accent2 9 2 4 2" xfId="5086"/>
    <cellStyle name="40% - Accent2 9 2 4 3" xfId="5087"/>
    <cellStyle name="40% - Accent2 9 2 5" xfId="5088"/>
    <cellStyle name="40% - Accent2 9 2 6" xfId="5089"/>
    <cellStyle name="40% - Accent2 9 2_Volatility" xfId="5090"/>
    <cellStyle name="40% - Accent2 9 3" xfId="5091"/>
    <cellStyle name="40% - Accent2 9 3 2" xfId="5092"/>
    <cellStyle name="40% - Accent2 9 3 2 2" xfId="5093"/>
    <cellStyle name="40% - Accent2 9 3 2 3" xfId="5094"/>
    <cellStyle name="40% - Accent2 9 3 3" xfId="5095"/>
    <cellStyle name="40% - Accent2 9 3 3 2" xfId="5096"/>
    <cellStyle name="40% - Accent2 9 3 3 3" xfId="5097"/>
    <cellStyle name="40% - Accent2 9 3 4" xfId="5098"/>
    <cellStyle name="40% - Accent2 9 3 5" xfId="5099"/>
    <cellStyle name="40% - Accent2 9 3_Volatility" xfId="5100"/>
    <cellStyle name="40% - Accent2 9 4" xfId="5101"/>
    <cellStyle name="40% - Accent2 9 4 2" xfId="5102"/>
    <cellStyle name="40% - Accent2 9 4 3" xfId="5103"/>
    <cellStyle name="40% - Accent2 9 5" xfId="5104"/>
    <cellStyle name="40% - Accent2 9 5 2" xfId="5105"/>
    <cellStyle name="40% - Accent2 9 5 3" xfId="5106"/>
    <cellStyle name="40% - Accent2 9 6" xfId="5107"/>
    <cellStyle name="40% - Accent2 9 6 2" xfId="5108"/>
    <cellStyle name="40% - Accent2 9 6 3" xfId="5109"/>
    <cellStyle name="40% - Accent2 9 7" xfId="5110"/>
    <cellStyle name="40% - Accent2 9 8" xfId="5111"/>
    <cellStyle name="40% - Accent2 9_Volatility" xfId="5112"/>
    <cellStyle name="40% - Accent3 10" xfId="5113"/>
    <cellStyle name="40% - Accent3 10 2" xfId="5114"/>
    <cellStyle name="40% - Accent3 10 2 2" xfId="5115"/>
    <cellStyle name="40% - Accent3 10 2 2 2" xfId="5116"/>
    <cellStyle name="40% - Accent3 10 2 2 3" xfId="5117"/>
    <cellStyle name="40% - Accent3 10 2 3" xfId="5118"/>
    <cellStyle name="40% - Accent3 10 2 3 2" xfId="5119"/>
    <cellStyle name="40% - Accent3 10 2 3 3" xfId="5120"/>
    <cellStyle name="40% - Accent3 10 2 4" xfId="5121"/>
    <cellStyle name="40% - Accent3 10 2 4 2" xfId="5122"/>
    <cellStyle name="40% - Accent3 10 2 4 3" xfId="5123"/>
    <cellStyle name="40% - Accent3 10 2 5" xfId="5124"/>
    <cellStyle name="40% - Accent3 10 2 6" xfId="5125"/>
    <cellStyle name="40% - Accent3 10 2_Volatility" xfId="5126"/>
    <cellStyle name="40% - Accent3 10 3" xfId="5127"/>
    <cellStyle name="40% - Accent3 10 3 2" xfId="5128"/>
    <cellStyle name="40% - Accent3 10 3 2 2" xfId="5129"/>
    <cellStyle name="40% - Accent3 10 3 2 3" xfId="5130"/>
    <cellStyle name="40% - Accent3 10 3 3" xfId="5131"/>
    <cellStyle name="40% - Accent3 10 3 3 2" xfId="5132"/>
    <cellStyle name="40% - Accent3 10 3 3 3" xfId="5133"/>
    <cellStyle name="40% - Accent3 10 3 4" xfId="5134"/>
    <cellStyle name="40% - Accent3 10 3 5" xfId="5135"/>
    <cellStyle name="40% - Accent3 10 3_Volatility" xfId="5136"/>
    <cellStyle name="40% - Accent3 10 4" xfId="5137"/>
    <cellStyle name="40% - Accent3 10 4 2" xfId="5138"/>
    <cellStyle name="40% - Accent3 10 4 3" xfId="5139"/>
    <cellStyle name="40% - Accent3 10 5" xfId="5140"/>
    <cellStyle name="40% - Accent3 10 5 2" xfId="5141"/>
    <cellStyle name="40% - Accent3 10 5 3" xfId="5142"/>
    <cellStyle name="40% - Accent3 10 6" xfId="5143"/>
    <cellStyle name="40% - Accent3 10 6 2" xfId="5144"/>
    <cellStyle name="40% - Accent3 10 6 3" xfId="5145"/>
    <cellStyle name="40% - Accent3 10 7" xfId="5146"/>
    <cellStyle name="40% - Accent3 10 8" xfId="5147"/>
    <cellStyle name="40% - Accent3 10_Volatility" xfId="5148"/>
    <cellStyle name="40% - Accent3 11" xfId="5149"/>
    <cellStyle name="40% - Accent3 11 2" xfId="5150"/>
    <cellStyle name="40% - Accent3 11 2 2" xfId="5151"/>
    <cellStyle name="40% - Accent3 11 2 2 2" xfId="5152"/>
    <cellStyle name="40% - Accent3 11 2 2 3" xfId="5153"/>
    <cellStyle name="40% - Accent3 11 2 3" xfId="5154"/>
    <cellStyle name="40% - Accent3 11 2 3 2" xfId="5155"/>
    <cellStyle name="40% - Accent3 11 2 3 3" xfId="5156"/>
    <cellStyle name="40% - Accent3 11 2 4" xfId="5157"/>
    <cellStyle name="40% - Accent3 11 2 4 2" xfId="5158"/>
    <cellStyle name="40% - Accent3 11 2 4 3" xfId="5159"/>
    <cellStyle name="40% - Accent3 11 2 5" xfId="5160"/>
    <cellStyle name="40% - Accent3 11 2 6" xfId="5161"/>
    <cellStyle name="40% - Accent3 11 2_Volatility" xfId="5162"/>
    <cellStyle name="40% - Accent3 11 3" xfId="5163"/>
    <cellStyle name="40% - Accent3 11 3 2" xfId="5164"/>
    <cellStyle name="40% - Accent3 11 3 2 2" xfId="5165"/>
    <cellStyle name="40% - Accent3 11 3 2 3" xfId="5166"/>
    <cellStyle name="40% - Accent3 11 3 3" xfId="5167"/>
    <cellStyle name="40% - Accent3 11 3 3 2" xfId="5168"/>
    <cellStyle name="40% - Accent3 11 3 3 3" xfId="5169"/>
    <cellStyle name="40% - Accent3 11 3 4" xfId="5170"/>
    <cellStyle name="40% - Accent3 11 3 5" xfId="5171"/>
    <cellStyle name="40% - Accent3 11 3_Volatility" xfId="5172"/>
    <cellStyle name="40% - Accent3 11 4" xfId="5173"/>
    <cellStyle name="40% - Accent3 11 4 2" xfId="5174"/>
    <cellStyle name="40% - Accent3 11 4 3" xfId="5175"/>
    <cellStyle name="40% - Accent3 11 5" xfId="5176"/>
    <cellStyle name="40% - Accent3 11 5 2" xfId="5177"/>
    <cellStyle name="40% - Accent3 11 5 3" xfId="5178"/>
    <cellStyle name="40% - Accent3 11 6" xfId="5179"/>
    <cellStyle name="40% - Accent3 11 6 2" xfId="5180"/>
    <cellStyle name="40% - Accent3 11 6 3" xfId="5181"/>
    <cellStyle name="40% - Accent3 11 7" xfId="5182"/>
    <cellStyle name="40% - Accent3 11 8" xfId="5183"/>
    <cellStyle name="40% - Accent3 11_Volatility" xfId="5184"/>
    <cellStyle name="40% - Accent3 12" xfId="5185"/>
    <cellStyle name="40% - Accent3 12 2" xfId="5186"/>
    <cellStyle name="40% - Accent3 12 2 2" xfId="5187"/>
    <cellStyle name="40% - Accent3 12 2 2 2" xfId="5188"/>
    <cellStyle name="40% - Accent3 12 2 2 3" xfId="5189"/>
    <cellStyle name="40% - Accent3 12 2 3" xfId="5190"/>
    <cellStyle name="40% - Accent3 12 2 3 2" xfId="5191"/>
    <cellStyle name="40% - Accent3 12 2 3 3" xfId="5192"/>
    <cellStyle name="40% - Accent3 12 2 4" xfId="5193"/>
    <cellStyle name="40% - Accent3 12 2 4 2" xfId="5194"/>
    <cellStyle name="40% - Accent3 12 2 4 3" xfId="5195"/>
    <cellStyle name="40% - Accent3 12 2 5" xfId="5196"/>
    <cellStyle name="40% - Accent3 12 2 6" xfId="5197"/>
    <cellStyle name="40% - Accent3 12 2_Volatility" xfId="5198"/>
    <cellStyle name="40% - Accent3 12 3" xfId="5199"/>
    <cellStyle name="40% - Accent3 12 3 2" xfId="5200"/>
    <cellStyle name="40% - Accent3 12 3 2 2" xfId="5201"/>
    <cellStyle name="40% - Accent3 12 3 2 3" xfId="5202"/>
    <cellStyle name="40% - Accent3 12 3 3" xfId="5203"/>
    <cellStyle name="40% - Accent3 12 3 3 2" xfId="5204"/>
    <cellStyle name="40% - Accent3 12 3 3 3" xfId="5205"/>
    <cellStyle name="40% - Accent3 12 3 4" xfId="5206"/>
    <cellStyle name="40% - Accent3 12 3 5" xfId="5207"/>
    <cellStyle name="40% - Accent3 12 3_Volatility" xfId="5208"/>
    <cellStyle name="40% - Accent3 12 4" xfId="5209"/>
    <cellStyle name="40% - Accent3 12 4 2" xfId="5210"/>
    <cellStyle name="40% - Accent3 12 4 3" xfId="5211"/>
    <cellStyle name="40% - Accent3 12 5" xfId="5212"/>
    <cellStyle name="40% - Accent3 12 5 2" xfId="5213"/>
    <cellStyle name="40% - Accent3 12 5 3" xfId="5214"/>
    <cellStyle name="40% - Accent3 12 6" xfId="5215"/>
    <cellStyle name="40% - Accent3 12 6 2" xfId="5216"/>
    <cellStyle name="40% - Accent3 12 6 3" xfId="5217"/>
    <cellStyle name="40% - Accent3 12 7" xfId="5218"/>
    <cellStyle name="40% - Accent3 12 8" xfId="5219"/>
    <cellStyle name="40% - Accent3 12_Volatility" xfId="5220"/>
    <cellStyle name="40% - Accent3 13" xfId="5221"/>
    <cellStyle name="40% - Accent3 13 2" xfId="5222"/>
    <cellStyle name="40% - Accent3 13 2 2" xfId="5223"/>
    <cellStyle name="40% - Accent3 13 2 2 2" xfId="5224"/>
    <cellStyle name="40% - Accent3 13 2 2 3" xfId="5225"/>
    <cellStyle name="40% - Accent3 13 2 3" xfId="5226"/>
    <cellStyle name="40% - Accent3 13 2 3 2" xfId="5227"/>
    <cellStyle name="40% - Accent3 13 2 3 3" xfId="5228"/>
    <cellStyle name="40% - Accent3 13 2 4" xfId="5229"/>
    <cellStyle name="40% - Accent3 13 2 4 2" xfId="5230"/>
    <cellStyle name="40% - Accent3 13 2 4 3" xfId="5231"/>
    <cellStyle name="40% - Accent3 13 2 5" xfId="5232"/>
    <cellStyle name="40% - Accent3 13 2 6" xfId="5233"/>
    <cellStyle name="40% - Accent3 13 2_Volatility" xfId="5234"/>
    <cellStyle name="40% - Accent3 13 3" xfId="5235"/>
    <cellStyle name="40% - Accent3 13 3 2" xfId="5236"/>
    <cellStyle name="40% - Accent3 13 3 2 2" xfId="5237"/>
    <cellStyle name="40% - Accent3 13 3 2 3" xfId="5238"/>
    <cellStyle name="40% - Accent3 13 3 3" xfId="5239"/>
    <cellStyle name="40% - Accent3 13 3 3 2" xfId="5240"/>
    <cellStyle name="40% - Accent3 13 3 3 3" xfId="5241"/>
    <cellStyle name="40% - Accent3 13 3 4" xfId="5242"/>
    <cellStyle name="40% - Accent3 13 3 5" xfId="5243"/>
    <cellStyle name="40% - Accent3 13 3_Volatility" xfId="5244"/>
    <cellStyle name="40% - Accent3 13 4" xfId="5245"/>
    <cellStyle name="40% - Accent3 13 4 2" xfId="5246"/>
    <cellStyle name="40% - Accent3 13 4 3" xfId="5247"/>
    <cellStyle name="40% - Accent3 13 5" xfId="5248"/>
    <cellStyle name="40% - Accent3 13 5 2" xfId="5249"/>
    <cellStyle name="40% - Accent3 13 5 3" xfId="5250"/>
    <cellStyle name="40% - Accent3 13 6" xfId="5251"/>
    <cellStyle name="40% - Accent3 13 6 2" xfId="5252"/>
    <cellStyle name="40% - Accent3 13 6 3" xfId="5253"/>
    <cellStyle name="40% - Accent3 13 7" xfId="5254"/>
    <cellStyle name="40% - Accent3 13 8" xfId="5255"/>
    <cellStyle name="40% - Accent3 13_Volatility" xfId="5256"/>
    <cellStyle name="40% - Accent3 14" xfId="5257"/>
    <cellStyle name="40% - Accent3 14 2" xfId="5258"/>
    <cellStyle name="40% - Accent3 14 2 2" xfId="5259"/>
    <cellStyle name="40% - Accent3 14 2 2 2" xfId="5260"/>
    <cellStyle name="40% - Accent3 14 2 2 3" xfId="5261"/>
    <cellStyle name="40% - Accent3 14 2 3" xfId="5262"/>
    <cellStyle name="40% - Accent3 14 2 3 2" xfId="5263"/>
    <cellStyle name="40% - Accent3 14 2 3 3" xfId="5264"/>
    <cellStyle name="40% - Accent3 14 2 4" xfId="5265"/>
    <cellStyle name="40% - Accent3 14 2 4 2" xfId="5266"/>
    <cellStyle name="40% - Accent3 14 2 4 3" xfId="5267"/>
    <cellStyle name="40% - Accent3 14 2 5" xfId="5268"/>
    <cellStyle name="40% - Accent3 14 2 6" xfId="5269"/>
    <cellStyle name="40% - Accent3 14 2_Volatility" xfId="5270"/>
    <cellStyle name="40% - Accent3 14 3" xfId="5271"/>
    <cellStyle name="40% - Accent3 14 3 2" xfId="5272"/>
    <cellStyle name="40% - Accent3 14 3 2 2" xfId="5273"/>
    <cellStyle name="40% - Accent3 14 3 2 3" xfId="5274"/>
    <cellStyle name="40% - Accent3 14 3 3" xfId="5275"/>
    <cellStyle name="40% - Accent3 14 3 3 2" xfId="5276"/>
    <cellStyle name="40% - Accent3 14 3 3 3" xfId="5277"/>
    <cellStyle name="40% - Accent3 14 3 4" xfId="5278"/>
    <cellStyle name="40% - Accent3 14 3 5" xfId="5279"/>
    <cellStyle name="40% - Accent3 14 3_Volatility" xfId="5280"/>
    <cellStyle name="40% - Accent3 14 4" xfId="5281"/>
    <cellStyle name="40% - Accent3 14 4 2" xfId="5282"/>
    <cellStyle name="40% - Accent3 14 4 3" xfId="5283"/>
    <cellStyle name="40% - Accent3 14 5" xfId="5284"/>
    <cellStyle name="40% - Accent3 14 5 2" xfId="5285"/>
    <cellStyle name="40% - Accent3 14 5 3" xfId="5286"/>
    <cellStyle name="40% - Accent3 14 6" xfId="5287"/>
    <cellStyle name="40% - Accent3 14 6 2" xfId="5288"/>
    <cellStyle name="40% - Accent3 14 6 3" xfId="5289"/>
    <cellStyle name="40% - Accent3 14 7" xfId="5290"/>
    <cellStyle name="40% - Accent3 14 8" xfId="5291"/>
    <cellStyle name="40% - Accent3 14_Volatility" xfId="5292"/>
    <cellStyle name="40% - Accent3 15" xfId="5293"/>
    <cellStyle name="40% - Accent3 15 2" xfId="5294"/>
    <cellStyle name="40% - Accent3 15 2 2" xfId="5295"/>
    <cellStyle name="40% - Accent3 15 2 2 2" xfId="5296"/>
    <cellStyle name="40% - Accent3 15 2 2 3" xfId="5297"/>
    <cellStyle name="40% - Accent3 15 2 3" xfId="5298"/>
    <cellStyle name="40% - Accent3 15 2 3 2" xfId="5299"/>
    <cellStyle name="40% - Accent3 15 2 3 3" xfId="5300"/>
    <cellStyle name="40% - Accent3 15 2 4" xfId="5301"/>
    <cellStyle name="40% - Accent3 15 2 4 2" xfId="5302"/>
    <cellStyle name="40% - Accent3 15 2 4 3" xfId="5303"/>
    <cellStyle name="40% - Accent3 15 2 5" xfId="5304"/>
    <cellStyle name="40% - Accent3 15 2 6" xfId="5305"/>
    <cellStyle name="40% - Accent3 15 2_Volatility" xfId="5306"/>
    <cellStyle name="40% - Accent3 15 3" xfId="5307"/>
    <cellStyle name="40% - Accent3 15 3 2" xfId="5308"/>
    <cellStyle name="40% - Accent3 15 3 2 2" xfId="5309"/>
    <cellStyle name="40% - Accent3 15 3 2 3" xfId="5310"/>
    <cellStyle name="40% - Accent3 15 3 3" xfId="5311"/>
    <cellStyle name="40% - Accent3 15 3 3 2" xfId="5312"/>
    <cellStyle name="40% - Accent3 15 3 3 3" xfId="5313"/>
    <cellStyle name="40% - Accent3 15 3 4" xfId="5314"/>
    <cellStyle name="40% - Accent3 15 3 5" xfId="5315"/>
    <cellStyle name="40% - Accent3 15 3_Volatility" xfId="5316"/>
    <cellStyle name="40% - Accent3 15 4" xfId="5317"/>
    <cellStyle name="40% - Accent3 15 4 2" xfId="5318"/>
    <cellStyle name="40% - Accent3 15 4 3" xfId="5319"/>
    <cellStyle name="40% - Accent3 15 5" xfId="5320"/>
    <cellStyle name="40% - Accent3 15 5 2" xfId="5321"/>
    <cellStyle name="40% - Accent3 15 5 3" xfId="5322"/>
    <cellStyle name="40% - Accent3 15 6" xfId="5323"/>
    <cellStyle name="40% - Accent3 15 6 2" xfId="5324"/>
    <cellStyle name="40% - Accent3 15 6 3" xfId="5325"/>
    <cellStyle name="40% - Accent3 15 7" xfId="5326"/>
    <cellStyle name="40% - Accent3 15 8" xfId="5327"/>
    <cellStyle name="40% - Accent3 15_Volatility" xfId="5328"/>
    <cellStyle name="40% - Accent3 16" xfId="5329"/>
    <cellStyle name="40% - Accent3 16 2" xfId="15933"/>
    <cellStyle name="40% - Accent3 16 3" xfId="19884"/>
    <cellStyle name="40% - Accent3 17" xfId="5330"/>
    <cellStyle name="40% - Accent3 17 2" xfId="15934"/>
    <cellStyle name="40% - Accent3 17 3" xfId="19885"/>
    <cellStyle name="40% - Accent3 18" xfId="5331"/>
    <cellStyle name="40% - Accent3 18 2" xfId="15935"/>
    <cellStyle name="40% - Accent3 18 3" xfId="19886"/>
    <cellStyle name="40% - Accent3 19" xfId="5332"/>
    <cellStyle name="40% - Accent3 19 2" xfId="15936"/>
    <cellStyle name="40% - Accent3 19 3" xfId="19887"/>
    <cellStyle name="40% - Accent3 2" xfId="5333"/>
    <cellStyle name="40% - Accent3 2 2" xfId="5334"/>
    <cellStyle name="40% - Accent3 2 2 2" xfId="5335"/>
    <cellStyle name="40% - Accent3 2 2 2 2" xfId="5336"/>
    <cellStyle name="40% - Accent3 2 2 2 3" xfId="5337"/>
    <cellStyle name="40% - Accent3 2 2 3" xfId="5338"/>
    <cellStyle name="40% - Accent3 2 2 3 2" xfId="5339"/>
    <cellStyle name="40% - Accent3 2 2 3 3" xfId="5340"/>
    <cellStyle name="40% - Accent3 2 2 4" xfId="5341"/>
    <cellStyle name="40% - Accent3 2 2 4 2" xfId="5342"/>
    <cellStyle name="40% - Accent3 2 2 4 3" xfId="5343"/>
    <cellStyle name="40% - Accent3 2 2 5" xfId="5344"/>
    <cellStyle name="40% - Accent3 2 2 6" xfId="5345"/>
    <cellStyle name="40% - Accent3 2 2_Volatility" xfId="5346"/>
    <cellStyle name="40% - Accent3 2 3" xfId="5347"/>
    <cellStyle name="40% - Accent3 2 3 2" xfId="5348"/>
    <cellStyle name="40% - Accent3 2 3 2 2" xfId="5349"/>
    <cellStyle name="40% - Accent3 2 3 2 3" xfId="5350"/>
    <cellStyle name="40% - Accent3 2 3 3" xfId="5351"/>
    <cellStyle name="40% - Accent3 2 3 3 2" xfId="5352"/>
    <cellStyle name="40% - Accent3 2 3 3 3" xfId="5353"/>
    <cellStyle name="40% - Accent3 2 3 4" xfId="5354"/>
    <cellStyle name="40% - Accent3 2 3 5" xfId="5355"/>
    <cellStyle name="40% - Accent3 2 3_Volatility" xfId="5356"/>
    <cellStyle name="40% - Accent3 2 4" xfId="5357"/>
    <cellStyle name="40% - Accent3 2 4 2" xfId="5358"/>
    <cellStyle name="40% - Accent3 2 4 3" xfId="5359"/>
    <cellStyle name="40% - Accent3 2 5" xfId="5360"/>
    <cellStyle name="40% - Accent3 2 5 2" xfId="5361"/>
    <cellStyle name="40% - Accent3 2 5 3" xfId="5362"/>
    <cellStyle name="40% - Accent3 2 6" xfId="5363"/>
    <cellStyle name="40% - Accent3 2 6 2" xfId="5364"/>
    <cellStyle name="40% - Accent3 2 6 3" xfId="5365"/>
    <cellStyle name="40% - Accent3 2 7" xfId="5366"/>
    <cellStyle name="40% - Accent3 2 8" xfId="5367"/>
    <cellStyle name="40% - Accent3 2_Volatility" xfId="5368"/>
    <cellStyle name="40% - Accent3 3" xfId="5369"/>
    <cellStyle name="40% - Accent3 3 2" xfId="5370"/>
    <cellStyle name="40% - Accent3 3 2 2" xfId="5371"/>
    <cellStyle name="40% - Accent3 3 2 2 2" xfId="5372"/>
    <cellStyle name="40% - Accent3 3 2 2 3" xfId="5373"/>
    <cellStyle name="40% - Accent3 3 2 3" xfId="5374"/>
    <cellStyle name="40% - Accent3 3 2 3 2" xfId="5375"/>
    <cellStyle name="40% - Accent3 3 2 3 3" xfId="5376"/>
    <cellStyle name="40% - Accent3 3 2 4" xfId="5377"/>
    <cellStyle name="40% - Accent3 3 2 4 2" xfId="5378"/>
    <cellStyle name="40% - Accent3 3 2 4 3" xfId="5379"/>
    <cellStyle name="40% - Accent3 3 2 5" xfId="5380"/>
    <cellStyle name="40% - Accent3 3 2 6" xfId="5381"/>
    <cellStyle name="40% - Accent3 3 2_Volatility" xfId="5382"/>
    <cellStyle name="40% - Accent3 3 3" xfId="5383"/>
    <cellStyle name="40% - Accent3 3 3 2" xfId="5384"/>
    <cellStyle name="40% - Accent3 3 3 2 2" xfId="5385"/>
    <cellStyle name="40% - Accent3 3 3 2 3" xfId="5386"/>
    <cellStyle name="40% - Accent3 3 3 3" xfId="5387"/>
    <cellStyle name="40% - Accent3 3 3 3 2" xfId="5388"/>
    <cellStyle name="40% - Accent3 3 3 3 3" xfId="5389"/>
    <cellStyle name="40% - Accent3 3 3 4" xfId="5390"/>
    <cellStyle name="40% - Accent3 3 3 5" xfId="5391"/>
    <cellStyle name="40% - Accent3 3 3_Volatility" xfId="5392"/>
    <cellStyle name="40% - Accent3 3 4" xfId="5393"/>
    <cellStyle name="40% - Accent3 3 4 2" xfId="5394"/>
    <cellStyle name="40% - Accent3 3 4 3" xfId="5395"/>
    <cellStyle name="40% - Accent3 3 5" xfId="5396"/>
    <cellStyle name="40% - Accent3 3 5 2" xfId="5397"/>
    <cellStyle name="40% - Accent3 3 5 3" xfId="5398"/>
    <cellStyle name="40% - Accent3 3 6" xfId="5399"/>
    <cellStyle name="40% - Accent3 3 6 2" xfId="5400"/>
    <cellStyle name="40% - Accent3 3 6 3" xfId="5401"/>
    <cellStyle name="40% - Accent3 3 7" xfId="5402"/>
    <cellStyle name="40% - Accent3 3 8" xfId="5403"/>
    <cellStyle name="40% - Accent3 3_Volatility" xfId="5404"/>
    <cellStyle name="40% - Accent3 4" xfId="5405"/>
    <cellStyle name="40% - Accent3 4 2" xfId="5406"/>
    <cellStyle name="40% - Accent3 4 2 2" xfId="5407"/>
    <cellStyle name="40% - Accent3 4 2 2 2" xfId="5408"/>
    <cellStyle name="40% - Accent3 4 2 2 3" xfId="5409"/>
    <cellStyle name="40% - Accent3 4 2 3" xfId="5410"/>
    <cellStyle name="40% - Accent3 4 2 3 2" xfId="5411"/>
    <cellStyle name="40% - Accent3 4 2 3 3" xfId="5412"/>
    <cellStyle name="40% - Accent3 4 2 4" xfId="5413"/>
    <cellStyle name="40% - Accent3 4 2 4 2" xfId="5414"/>
    <cellStyle name="40% - Accent3 4 2 4 3" xfId="5415"/>
    <cellStyle name="40% - Accent3 4 2 5" xfId="5416"/>
    <cellStyle name="40% - Accent3 4 2 6" xfId="5417"/>
    <cellStyle name="40% - Accent3 4 2_Volatility" xfId="5418"/>
    <cellStyle name="40% - Accent3 4 3" xfId="5419"/>
    <cellStyle name="40% - Accent3 4 3 2" xfId="5420"/>
    <cellStyle name="40% - Accent3 4 3 2 2" xfId="5421"/>
    <cellStyle name="40% - Accent3 4 3 2 3" xfId="5422"/>
    <cellStyle name="40% - Accent3 4 3 3" xfId="5423"/>
    <cellStyle name="40% - Accent3 4 3 3 2" xfId="5424"/>
    <cellStyle name="40% - Accent3 4 3 3 3" xfId="5425"/>
    <cellStyle name="40% - Accent3 4 3 4" xfId="5426"/>
    <cellStyle name="40% - Accent3 4 3 5" xfId="5427"/>
    <cellStyle name="40% - Accent3 4 3_Volatility" xfId="5428"/>
    <cellStyle name="40% - Accent3 4 4" xfId="5429"/>
    <cellStyle name="40% - Accent3 4 4 2" xfId="5430"/>
    <cellStyle name="40% - Accent3 4 4 3" xfId="5431"/>
    <cellStyle name="40% - Accent3 4 5" xfId="5432"/>
    <cellStyle name="40% - Accent3 4 5 2" xfId="5433"/>
    <cellStyle name="40% - Accent3 4 5 3" xfId="5434"/>
    <cellStyle name="40% - Accent3 4 6" xfId="5435"/>
    <cellStyle name="40% - Accent3 4 6 2" xfId="5436"/>
    <cellStyle name="40% - Accent3 4 6 3" xfId="5437"/>
    <cellStyle name="40% - Accent3 4 7" xfId="5438"/>
    <cellStyle name="40% - Accent3 4 8" xfId="5439"/>
    <cellStyle name="40% - Accent3 4_Volatility" xfId="5440"/>
    <cellStyle name="40% - Accent3 5" xfId="5441"/>
    <cellStyle name="40% - Accent3 5 2" xfId="5442"/>
    <cellStyle name="40% - Accent3 5 2 2" xfId="5443"/>
    <cellStyle name="40% - Accent3 5 2 2 2" xfId="5444"/>
    <cellStyle name="40% - Accent3 5 2 2 3" xfId="5445"/>
    <cellStyle name="40% - Accent3 5 2 3" xfId="5446"/>
    <cellStyle name="40% - Accent3 5 2 3 2" xfId="5447"/>
    <cellStyle name="40% - Accent3 5 2 3 3" xfId="5448"/>
    <cellStyle name="40% - Accent3 5 2 4" xfId="5449"/>
    <cellStyle name="40% - Accent3 5 2 4 2" xfId="5450"/>
    <cellStyle name="40% - Accent3 5 2 4 3" xfId="5451"/>
    <cellStyle name="40% - Accent3 5 2 5" xfId="5452"/>
    <cellStyle name="40% - Accent3 5 2 6" xfId="5453"/>
    <cellStyle name="40% - Accent3 5 2_Volatility" xfId="5454"/>
    <cellStyle name="40% - Accent3 5 3" xfId="5455"/>
    <cellStyle name="40% - Accent3 5 3 2" xfId="5456"/>
    <cellStyle name="40% - Accent3 5 3 2 2" xfId="5457"/>
    <cellStyle name="40% - Accent3 5 3 2 3" xfId="5458"/>
    <cellStyle name="40% - Accent3 5 3 3" xfId="5459"/>
    <cellStyle name="40% - Accent3 5 3 3 2" xfId="5460"/>
    <cellStyle name="40% - Accent3 5 3 3 3" xfId="5461"/>
    <cellStyle name="40% - Accent3 5 3 4" xfId="5462"/>
    <cellStyle name="40% - Accent3 5 3 5" xfId="5463"/>
    <cellStyle name="40% - Accent3 5 3_Volatility" xfId="5464"/>
    <cellStyle name="40% - Accent3 5 4" xfId="5465"/>
    <cellStyle name="40% - Accent3 5 4 2" xfId="5466"/>
    <cellStyle name="40% - Accent3 5 4 3" xfId="5467"/>
    <cellStyle name="40% - Accent3 5 5" xfId="5468"/>
    <cellStyle name="40% - Accent3 5 5 2" xfId="5469"/>
    <cellStyle name="40% - Accent3 5 5 3" xfId="5470"/>
    <cellStyle name="40% - Accent3 5 6" xfId="5471"/>
    <cellStyle name="40% - Accent3 5 6 2" xfId="5472"/>
    <cellStyle name="40% - Accent3 5 6 3" xfId="5473"/>
    <cellStyle name="40% - Accent3 5 7" xfId="5474"/>
    <cellStyle name="40% - Accent3 5 8" xfId="5475"/>
    <cellStyle name="40% - Accent3 5_Volatility" xfId="5476"/>
    <cellStyle name="40% - Accent3 6" xfId="5477"/>
    <cellStyle name="40% - Accent3 6 2" xfId="5478"/>
    <cellStyle name="40% - Accent3 6 2 2" xfId="5479"/>
    <cellStyle name="40% - Accent3 6 2 2 2" xfId="5480"/>
    <cellStyle name="40% - Accent3 6 2 2 3" xfId="5481"/>
    <cellStyle name="40% - Accent3 6 2 3" xfId="5482"/>
    <cellStyle name="40% - Accent3 6 2 3 2" xfId="5483"/>
    <cellStyle name="40% - Accent3 6 2 3 3" xfId="5484"/>
    <cellStyle name="40% - Accent3 6 2 4" xfId="5485"/>
    <cellStyle name="40% - Accent3 6 2 4 2" xfId="5486"/>
    <cellStyle name="40% - Accent3 6 2 4 3" xfId="5487"/>
    <cellStyle name="40% - Accent3 6 2 5" xfId="5488"/>
    <cellStyle name="40% - Accent3 6 2 6" xfId="5489"/>
    <cellStyle name="40% - Accent3 6 2_Volatility" xfId="5490"/>
    <cellStyle name="40% - Accent3 6 3" xfId="5491"/>
    <cellStyle name="40% - Accent3 6 3 2" xfId="5492"/>
    <cellStyle name="40% - Accent3 6 3 2 2" xfId="5493"/>
    <cellStyle name="40% - Accent3 6 3 2 3" xfId="5494"/>
    <cellStyle name="40% - Accent3 6 3 3" xfId="5495"/>
    <cellStyle name="40% - Accent3 6 3 3 2" xfId="5496"/>
    <cellStyle name="40% - Accent3 6 3 3 3" xfId="5497"/>
    <cellStyle name="40% - Accent3 6 3 4" xfId="5498"/>
    <cellStyle name="40% - Accent3 6 3 5" xfId="5499"/>
    <cellStyle name="40% - Accent3 6 3_Volatility" xfId="5500"/>
    <cellStyle name="40% - Accent3 6 4" xfId="5501"/>
    <cellStyle name="40% - Accent3 6 4 2" xfId="5502"/>
    <cellStyle name="40% - Accent3 6 4 3" xfId="5503"/>
    <cellStyle name="40% - Accent3 6 5" xfId="5504"/>
    <cellStyle name="40% - Accent3 6 5 2" xfId="5505"/>
    <cellStyle name="40% - Accent3 6 5 3" xfId="5506"/>
    <cellStyle name="40% - Accent3 6 6" xfId="5507"/>
    <cellStyle name="40% - Accent3 6 6 2" xfId="5508"/>
    <cellStyle name="40% - Accent3 6 6 3" xfId="5509"/>
    <cellStyle name="40% - Accent3 6 7" xfId="5510"/>
    <cellStyle name="40% - Accent3 6 8" xfId="5511"/>
    <cellStyle name="40% - Accent3 6_Volatility" xfId="5512"/>
    <cellStyle name="40% - Accent3 7" xfId="5513"/>
    <cellStyle name="40% - Accent3 7 2" xfId="5514"/>
    <cellStyle name="40% - Accent3 7 2 2" xfId="5515"/>
    <cellStyle name="40% - Accent3 7 2 2 2" xfId="5516"/>
    <cellStyle name="40% - Accent3 7 2 2 3" xfId="5517"/>
    <cellStyle name="40% - Accent3 7 2 3" xfId="5518"/>
    <cellStyle name="40% - Accent3 7 2 3 2" xfId="5519"/>
    <cellStyle name="40% - Accent3 7 2 3 3" xfId="5520"/>
    <cellStyle name="40% - Accent3 7 2 4" xfId="5521"/>
    <cellStyle name="40% - Accent3 7 2 4 2" xfId="5522"/>
    <cellStyle name="40% - Accent3 7 2 4 3" xfId="5523"/>
    <cellStyle name="40% - Accent3 7 2 5" xfId="5524"/>
    <cellStyle name="40% - Accent3 7 2 6" xfId="5525"/>
    <cellStyle name="40% - Accent3 7 2_Volatility" xfId="5526"/>
    <cellStyle name="40% - Accent3 7 3" xfId="5527"/>
    <cellStyle name="40% - Accent3 7 3 2" xfId="5528"/>
    <cellStyle name="40% - Accent3 7 3 2 2" xfId="5529"/>
    <cellStyle name="40% - Accent3 7 3 2 3" xfId="5530"/>
    <cellStyle name="40% - Accent3 7 3 3" xfId="5531"/>
    <cellStyle name="40% - Accent3 7 3 3 2" xfId="5532"/>
    <cellStyle name="40% - Accent3 7 3 3 3" xfId="5533"/>
    <cellStyle name="40% - Accent3 7 3 4" xfId="5534"/>
    <cellStyle name="40% - Accent3 7 3 5" xfId="5535"/>
    <cellStyle name="40% - Accent3 7 3_Volatility" xfId="5536"/>
    <cellStyle name="40% - Accent3 7 4" xfId="5537"/>
    <cellStyle name="40% - Accent3 7 4 2" xfId="5538"/>
    <cellStyle name="40% - Accent3 7 4 3" xfId="5539"/>
    <cellStyle name="40% - Accent3 7 5" xfId="5540"/>
    <cellStyle name="40% - Accent3 7 5 2" xfId="5541"/>
    <cellStyle name="40% - Accent3 7 5 3" xfId="5542"/>
    <cellStyle name="40% - Accent3 7 6" xfId="5543"/>
    <cellStyle name="40% - Accent3 7 6 2" xfId="5544"/>
    <cellStyle name="40% - Accent3 7 6 3" xfId="5545"/>
    <cellStyle name="40% - Accent3 7 7" xfId="5546"/>
    <cellStyle name="40% - Accent3 7 8" xfId="5547"/>
    <cellStyle name="40% - Accent3 7_Volatility" xfId="5548"/>
    <cellStyle name="40% - Accent3 8" xfId="5549"/>
    <cellStyle name="40% - Accent3 8 2" xfId="5550"/>
    <cellStyle name="40% - Accent3 8 2 2" xfId="5551"/>
    <cellStyle name="40% - Accent3 8 2 2 2" xfId="5552"/>
    <cellStyle name="40% - Accent3 8 2 2 3" xfId="5553"/>
    <cellStyle name="40% - Accent3 8 2 3" xfId="5554"/>
    <cellStyle name="40% - Accent3 8 2 3 2" xfId="5555"/>
    <cellStyle name="40% - Accent3 8 2 3 3" xfId="5556"/>
    <cellStyle name="40% - Accent3 8 2 4" xfId="5557"/>
    <cellStyle name="40% - Accent3 8 2 4 2" xfId="5558"/>
    <cellStyle name="40% - Accent3 8 2 4 3" xfId="5559"/>
    <cellStyle name="40% - Accent3 8 2 5" xfId="5560"/>
    <cellStyle name="40% - Accent3 8 2 6" xfId="5561"/>
    <cellStyle name="40% - Accent3 8 2_Volatility" xfId="5562"/>
    <cellStyle name="40% - Accent3 8 3" xfId="5563"/>
    <cellStyle name="40% - Accent3 8 3 2" xfId="5564"/>
    <cellStyle name="40% - Accent3 8 3 2 2" xfId="5565"/>
    <cellStyle name="40% - Accent3 8 3 2 3" xfId="5566"/>
    <cellStyle name="40% - Accent3 8 3 3" xfId="5567"/>
    <cellStyle name="40% - Accent3 8 3 3 2" xfId="5568"/>
    <cellStyle name="40% - Accent3 8 3 3 3" xfId="5569"/>
    <cellStyle name="40% - Accent3 8 3 4" xfId="5570"/>
    <cellStyle name="40% - Accent3 8 3 5" xfId="5571"/>
    <cellStyle name="40% - Accent3 8 3_Volatility" xfId="5572"/>
    <cellStyle name="40% - Accent3 8 4" xfId="5573"/>
    <cellStyle name="40% - Accent3 8 4 2" xfId="5574"/>
    <cellStyle name="40% - Accent3 8 4 3" xfId="5575"/>
    <cellStyle name="40% - Accent3 8 5" xfId="5576"/>
    <cellStyle name="40% - Accent3 8 5 2" xfId="5577"/>
    <cellStyle name="40% - Accent3 8 5 3" xfId="5578"/>
    <cellStyle name="40% - Accent3 8 6" xfId="5579"/>
    <cellStyle name="40% - Accent3 8 6 2" xfId="5580"/>
    <cellStyle name="40% - Accent3 8 6 3" xfId="5581"/>
    <cellStyle name="40% - Accent3 8 7" xfId="5582"/>
    <cellStyle name="40% - Accent3 8 8" xfId="5583"/>
    <cellStyle name="40% - Accent3 8_Volatility" xfId="5584"/>
    <cellStyle name="40% - Accent3 9" xfId="5585"/>
    <cellStyle name="40% - Accent3 9 2" xfId="5586"/>
    <cellStyle name="40% - Accent3 9 2 2" xfId="5587"/>
    <cellStyle name="40% - Accent3 9 2 2 2" xfId="5588"/>
    <cellStyle name="40% - Accent3 9 2 2 3" xfId="5589"/>
    <cellStyle name="40% - Accent3 9 2 3" xfId="5590"/>
    <cellStyle name="40% - Accent3 9 2 3 2" xfId="5591"/>
    <cellStyle name="40% - Accent3 9 2 3 3" xfId="5592"/>
    <cellStyle name="40% - Accent3 9 2 4" xfId="5593"/>
    <cellStyle name="40% - Accent3 9 2 4 2" xfId="5594"/>
    <cellStyle name="40% - Accent3 9 2 4 3" xfId="5595"/>
    <cellStyle name="40% - Accent3 9 2 5" xfId="5596"/>
    <cellStyle name="40% - Accent3 9 2 6" xfId="5597"/>
    <cellStyle name="40% - Accent3 9 2_Volatility" xfId="5598"/>
    <cellStyle name="40% - Accent3 9 3" xfId="5599"/>
    <cellStyle name="40% - Accent3 9 3 2" xfId="5600"/>
    <cellStyle name="40% - Accent3 9 3 2 2" xfId="5601"/>
    <cellStyle name="40% - Accent3 9 3 2 3" xfId="5602"/>
    <cellStyle name="40% - Accent3 9 3 3" xfId="5603"/>
    <cellStyle name="40% - Accent3 9 3 3 2" xfId="5604"/>
    <cellStyle name="40% - Accent3 9 3 3 3" xfId="5605"/>
    <cellStyle name="40% - Accent3 9 3 4" xfId="5606"/>
    <cellStyle name="40% - Accent3 9 3 5" xfId="5607"/>
    <cellStyle name="40% - Accent3 9 3_Volatility" xfId="5608"/>
    <cellStyle name="40% - Accent3 9 4" xfId="5609"/>
    <cellStyle name="40% - Accent3 9 4 2" xfId="5610"/>
    <cellStyle name="40% - Accent3 9 4 3" xfId="5611"/>
    <cellStyle name="40% - Accent3 9 5" xfId="5612"/>
    <cellStyle name="40% - Accent3 9 5 2" xfId="5613"/>
    <cellStyle name="40% - Accent3 9 5 3" xfId="5614"/>
    <cellStyle name="40% - Accent3 9 6" xfId="5615"/>
    <cellStyle name="40% - Accent3 9 6 2" xfId="5616"/>
    <cellStyle name="40% - Accent3 9 6 3" xfId="5617"/>
    <cellStyle name="40% - Accent3 9 7" xfId="5618"/>
    <cellStyle name="40% - Accent3 9 8" xfId="5619"/>
    <cellStyle name="40% - Accent3 9_Volatility" xfId="5620"/>
    <cellStyle name="40% - Accent4 10" xfId="5621"/>
    <cellStyle name="40% - Accent4 10 2" xfId="5622"/>
    <cellStyle name="40% - Accent4 10 2 2" xfId="5623"/>
    <cellStyle name="40% - Accent4 10 2 2 2" xfId="5624"/>
    <cellStyle name="40% - Accent4 10 2 2 3" xfId="5625"/>
    <cellStyle name="40% - Accent4 10 2 3" xfId="5626"/>
    <cellStyle name="40% - Accent4 10 2 3 2" xfId="5627"/>
    <cellStyle name="40% - Accent4 10 2 3 3" xfId="5628"/>
    <cellStyle name="40% - Accent4 10 2 4" xfId="5629"/>
    <cellStyle name="40% - Accent4 10 2 4 2" xfId="5630"/>
    <cellStyle name="40% - Accent4 10 2 4 3" xfId="5631"/>
    <cellStyle name="40% - Accent4 10 2 5" xfId="5632"/>
    <cellStyle name="40% - Accent4 10 2 6" xfId="5633"/>
    <cellStyle name="40% - Accent4 10 2_Volatility" xfId="5634"/>
    <cellStyle name="40% - Accent4 10 3" xfId="5635"/>
    <cellStyle name="40% - Accent4 10 3 2" xfId="5636"/>
    <cellStyle name="40% - Accent4 10 3 2 2" xfId="5637"/>
    <cellStyle name="40% - Accent4 10 3 2 3" xfId="5638"/>
    <cellStyle name="40% - Accent4 10 3 3" xfId="5639"/>
    <cellStyle name="40% - Accent4 10 3 3 2" xfId="5640"/>
    <cellStyle name="40% - Accent4 10 3 3 3" xfId="5641"/>
    <cellStyle name="40% - Accent4 10 3 4" xfId="5642"/>
    <cellStyle name="40% - Accent4 10 3 5" xfId="5643"/>
    <cellStyle name="40% - Accent4 10 3_Volatility" xfId="5644"/>
    <cellStyle name="40% - Accent4 10 4" xfId="5645"/>
    <cellStyle name="40% - Accent4 10 4 2" xfId="5646"/>
    <cellStyle name="40% - Accent4 10 4 3" xfId="5647"/>
    <cellStyle name="40% - Accent4 10 5" xfId="5648"/>
    <cellStyle name="40% - Accent4 10 5 2" xfId="5649"/>
    <cellStyle name="40% - Accent4 10 5 3" xfId="5650"/>
    <cellStyle name="40% - Accent4 10 6" xfId="5651"/>
    <cellStyle name="40% - Accent4 10 6 2" xfId="5652"/>
    <cellStyle name="40% - Accent4 10 6 3" xfId="5653"/>
    <cellStyle name="40% - Accent4 10 7" xfId="5654"/>
    <cellStyle name="40% - Accent4 10 8" xfId="5655"/>
    <cellStyle name="40% - Accent4 10_Volatility" xfId="5656"/>
    <cellStyle name="40% - Accent4 11" xfId="5657"/>
    <cellStyle name="40% - Accent4 11 2" xfId="5658"/>
    <cellStyle name="40% - Accent4 11 2 2" xfId="5659"/>
    <cellStyle name="40% - Accent4 11 2 2 2" xfId="5660"/>
    <cellStyle name="40% - Accent4 11 2 2 3" xfId="5661"/>
    <cellStyle name="40% - Accent4 11 2 3" xfId="5662"/>
    <cellStyle name="40% - Accent4 11 2 3 2" xfId="5663"/>
    <cellStyle name="40% - Accent4 11 2 3 3" xfId="5664"/>
    <cellStyle name="40% - Accent4 11 2 4" xfId="5665"/>
    <cellStyle name="40% - Accent4 11 2 4 2" xfId="5666"/>
    <cellStyle name="40% - Accent4 11 2 4 3" xfId="5667"/>
    <cellStyle name="40% - Accent4 11 2 5" xfId="5668"/>
    <cellStyle name="40% - Accent4 11 2 6" xfId="5669"/>
    <cellStyle name="40% - Accent4 11 2_Volatility" xfId="5670"/>
    <cellStyle name="40% - Accent4 11 3" xfId="5671"/>
    <cellStyle name="40% - Accent4 11 3 2" xfId="5672"/>
    <cellStyle name="40% - Accent4 11 3 2 2" xfId="5673"/>
    <cellStyle name="40% - Accent4 11 3 2 3" xfId="5674"/>
    <cellStyle name="40% - Accent4 11 3 3" xfId="5675"/>
    <cellStyle name="40% - Accent4 11 3 3 2" xfId="5676"/>
    <cellStyle name="40% - Accent4 11 3 3 3" xfId="5677"/>
    <cellStyle name="40% - Accent4 11 3 4" xfId="5678"/>
    <cellStyle name="40% - Accent4 11 3 5" xfId="5679"/>
    <cellStyle name="40% - Accent4 11 3_Volatility" xfId="5680"/>
    <cellStyle name="40% - Accent4 11 4" xfId="5681"/>
    <cellStyle name="40% - Accent4 11 4 2" xfId="5682"/>
    <cellStyle name="40% - Accent4 11 4 3" xfId="5683"/>
    <cellStyle name="40% - Accent4 11 5" xfId="5684"/>
    <cellStyle name="40% - Accent4 11 5 2" xfId="5685"/>
    <cellStyle name="40% - Accent4 11 5 3" xfId="5686"/>
    <cellStyle name="40% - Accent4 11 6" xfId="5687"/>
    <cellStyle name="40% - Accent4 11 6 2" xfId="5688"/>
    <cellStyle name="40% - Accent4 11 6 3" xfId="5689"/>
    <cellStyle name="40% - Accent4 11 7" xfId="5690"/>
    <cellStyle name="40% - Accent4 11 8" xfId="5691"/>
    <cellStyle name="40% - Accent4 11_Volatility" xfId="5692"/>
    <cellStyle name="40% - Accent4 12" xfId="5693"/>
    <cellStyle name="40% - Accent4 12 2" xfId="5694"/>
    <cellStyle name="40% - Accent4 12 2 2" xfId="5695"/>
    <cellStyle name="40% - Accent4 12 2 2 2" xfId="5696"/>
    <cellStyle name="40% - Accent4 12 2 2 3" xfId="5697"/>
    <cellStyle name="40% - Accent4 12 2 3" xfId="5698"/>
    <cellStyle name="40% - Accent4 12 2 3 2" xfId="5699"/>
    <cellStyle name="40% - Accent4 12 2 3 3" xfId="5700"/>
    <cellStyle name="40% - Accent4 12 2 4" xfId="5701"/>
    <cellStyle name="40% - Accent4 12 2 4 2" xfId="5702"/>
    <cellStyle name="40% - Accent4 12 2 4 3" xfId="5703"/>
    <cellStyle name="40% - Accent4 12 2 5" xfId="5704"/>
    <cellStyle name="40% - Accent4 12 2 6" xfId="5705"/>
    <cellStyle name="40% - Accent4 12 2_Volatility" xfId="5706"/>
    <cellStyle name="40% - Accent4 12 3" xfId="5707"/>
    <cellStyle name="40% - Accent4 12 3 2" xfId="5708"/>
    <cellStyle name="40% - Accent4 12 3 2 2" xfId="5709"/>
    <cellStyle name="40% - Accent4 12 3 2 3" xfId="5710"/>
    <cellStyle name="40% - Accent4 12 3 3" xfId="5711"/>
    <cellStyle name="40% - Accent4 12 3 3 2" xfId="5712"/>
    <cellStyle name="40% - Accent4 12 3 3 3" xfId="5713"/>
    <cellStyle name="40% - Accent4 12 3 4" xfId="5714"/>
    <cellStyle name="40% - Accent4 12 3 5" xfId="5715"/>
    <cellStyle name="40% - Accent4 12 3_Volatility" xfId="5716"/>
    <cellStyle name="40% - Accent4 12 4" xfId="5717"/>
    <cellStyle name="40% - Accent4 12 4 2" xfId="5718"/>
    <cellStyle name="40% - Accent4 12 4 3" xfId="5719"/>
    <cellStyle name="40% - Accent4 12 5" xfId="5720"/>
    <cellStyle name="40% - Accent4 12 5 2" xfId="5721"/>
    <cellStyle name="40% - Accent4 12 5 3" xfId="5722"/>
    <cellStyle name="40% - Accent4 12 6" xfId="5723"/>
    <cellStyle name="40% - Accent4 12 6 2" xfId="5724"/>
    <cellStyle name="40% - Accent4 12 6 3" xfId="5725"/>
    <cellStyle name="40% - Accent4 12 7" xfId="5726"/>
    <cellStyle name="40% - Accent4 12 8" xfId="5727"/>
    <cellStyle name="40% - Accent4 12_Volatility" xfId="5728"/>
    <cellStyle name="40% - Accent4 13" xfId="5729"/>
    <cellStyle name="40% - Accent4 13 2" xfId="5730"/>
    <cellStyle name="40% - Accent4 13 2 2" xfId="5731"/>
    <cellStyle name="40% - Accent4 13 2 2 2" xfId="5732"/>
    <cellStyle name="40% - Accent4 13 2 2 3" xfId="5733"/>
    <cellStyle name="40% - Accent4 13 2 3" xfId="5734"/>
    <cellStyle name="40% - Accent4 13 2 3 2" xfId="5735"/>
    <cellStyle name="40% - Accent4 13 2 3 3" xfId="5736"/>
    <cellStyle name="40% - Accent4 13 2 4" xfId="5737"/>
    <cellStyle name="40% - Accent4 13 2 4 2" xfId="5738"/>
    <cellStyle name="40% - Accent4 13 2 4 3" xfId="5739"/>
    <cellStyle name="40% - Accent4 13 2 5" xfId="5740"/>
    <cellStyle name="40% - Accent4 13 2 6" xfId="5741"/>
    <cellStyle name="40% - Accent4 13 2_Volatility" xfId="5742"/>
    <cellStyle name="40% - Accent4 13 3" xfId="5743"/>
    <cellStyle name="40% - Accent4 13 3 2" xfId="5744"/>
    <cellStyle name="40% - Accent4 13 3 2 2" xfId="5745"/>
    <cellStyle name="40% - Accent4 13 3 2 3" xfId="5746"/>
    <cellStyle name="40% - Accent4 13 3 3" xfId="5747"/>
    <cellStyle name="40% - Accent4 13 3 3 2" xfId="5748"/>
    <cellStyle name="40% - Accent4 13 3 3 3" xfId="5749"/>
    <cellStyle name="40% - Accent4 13 3 4" xfId="5750"/>
    <cellStyle name="40% - Accent4 13 3 5" xfId="5751"/>
    <cellStyle name="40% - Accent4 13 3_Volatility" xfId="5752"/>
    <cellStyle name="40% - Accent4 13 4" xfId="5753"/>
    <cellStyle name="40% - Accent4 13 4 2" xfId="5754"/>
    <cellStyle name="40% - Accent4 13 4 3" xfId="5755"/>
    <cellStyle name="40% - Accent4 13 5" xfId="5756"/>
    <cellStyle name="40% - Accent4 13 5 2" xfId="5757"/>
    <cellStyle name="40% - Accent4 13 5 3" xfId="5758"/>
    <cellStyle name="40% - Accent4 13 6" xfId="5759"/>
    <cellStyle name="40% - Accent4 13 6 2" xfId="5760"/>
    <cellStyle name="40% - Accent4 13 6 3" xfId="5761"/>
    <cellStyle name="40% - Accent4 13 7" xfId="5762"/>
    <cellStyle name="40% - Accent4 13 8" xfId="5763"/>
    <cellStyle name="40% - Accent4 13_Volatility" xfId="5764"/>
    <cellStyle name="40% - Accent4 14" xfId="5765"/>
    <cellStyle name="40% - Accent4 14 2" xfId="5766"/>
    <cellStyle name="40% - Accent4 14 2 2" xfId="5767"/>
    <cellStyle name="40% - Accent4 14 2 2 2" xfId="5768"/>
    <cellStyle name="40% - Accent4 14 2 2 3" xfId="5769"/>
    <cellStyle name="40% - Accent4 14 2 3" xfId="5770"/>
    <cellStyle name="40% - Accent4 14 2 3 2" xfId="5771"/>
    <cellStyle name="40% - Accent4 14 2 3 3" xfId="5772"/>
    <cellStyle name="40% - Accent4 14 2 4" xfId="5773"/>
    <cellStyle name="40% - Accent4 14 2 4 2" xfId="5774"/>
    <cellStyle name="40% - Accent4 14 2 4 3" xfId="5775"/>
    <cellStyle name="40% - Accent4 14 2 5" xfId="5776"/>
    <cellStyle name="40% - Accent4 14 2 6" xfId="5777"/>
    <cellStyle name="40% - Accent4 14 2_Volatility" xfId="5778"/>
    <cellStyle name="40% - Accent4 14 3" xfId="5779"/>
    <cellStyle name="40% - Accent4 14 3 2" xfId="5780"/>
    <cellStyle name="40% - Accent4 14 3 2 2" xfId="5781"/>
    <cellStyle name="40% - Accent4 14 3 2 3" xfId="5782"/>
    <cellStyle name="40% - Accent4 14 3 3" xfId="5783"/>
    <cellStyle name="40% - Accent4 14 3 3 2" xfId="5784"/>
    <cellStyle name="40% - Accent4 14 3 3 3" xfId="5785"/>
    <cellStyle name="40% - Accent4 14 3 4" xfId="5786"/>
    <cellStyle name="40% - Accent4 14 3 5" xfId="5787"/>
    <cellStyle name="40% - Accent4 14 3_Volatility" xfId="5788"/>
    <cellStyle name="40% - Accent4 14 4" xfId="5789"/>
    <cellStyle name="40% - Accent4 14 4 2" xfId="5790"/>
    <cellStyle name="40% - Accent4 14 4 3" xfId="5791"/>
    <cellStyle name="40% - Accent4 14 5" xfId="5792"/>
    <cellStyle name="40% - Accent4 14 5 2" xfId="5793"/>
    <cellStyle name="40% - Accent4 14 5 3" xfId="5794"/>
    <cellStyle name="40% - Accent4 14 6" xfId="5795"/>
    <cellStyle name="40% - Accent4 14 6 2" xfId="5796"/>
    <cellStyle name="40% - Accent4 14 6 3" xfId="5797"/>
    <cellStyle name="40% - Accent4 14 7" xfId="5798"/>
    <cellStyle name="40% - Accent4 14 8" xfId="5799"/>
    <cellStyle name="40% - Accent4 14_Volatility" xfId="5800"/>
    <cellStyle name="40% - Accent4 15" xfId="5801"/>
    <cellStyle name="40% - Accent4 15 2" xfId="5802"/>
    <cellStyle name="40% - Accent4 15 2 2" xfId="5803"/>
    <cellStyle name="40% - Accent4 15 2 2 2" xfId="5804"/>
    <cellStyle name="40% - Accent4 15 2 2 3" xfId="5805"/>
    <cellStyle name="40% - Accent4 15 2 3" xfId="5806"/>
    <cellStyle name="40% - Accent4 15 2 3 2" xfId="5807"/>
    <cellStyle name="40% - Accent4 15 2 3 3" xfId="5808"/>
    <cellStyle name="40% - Accent4 15 2 4" xfId="5809"/>
    <cellStyle name="40% - Accent4 15 2 4 2" xfId="5810"/>
    <cellStyle name="40% - Accent4 15 2 4 3" xfId="5811"/>
    <cellStyle name="40% - Accent4 15 2 5" xfId="5812"/>
    <cellStyle name="40% - Accent4 15 2 6" xfId="5813"/>
    <cellStyle name="40% - Accent4 15 2_Volatility" xfId="5814"/>
    <cellStyle name="40% - Accent4 15 3" xfId="5815"/>
    <cellStyle name="40% - Accent4 15 3 2" xfId="5816"/>
    <cellStyle name="40% - Accent4 15 3 2 2" xfId="5817"/>
    <cellStyle name="40% - Accent4 15 3 2 3" xfId="5818"/>
    <cellStyle name="40% - Accent4 15 3 3" xfId="5819"/>
    <cellStyle name="40% - Accent4 15 3 3 2" xfId="5820"/>
    <cellStyle name="40% - Accent4 15 3 3 3" xfId="5821"/>
    <cellStyle name="40% - Accent4 15 3 4" xfId="5822"/>
    <cellStyle name="40% - Accent4 15 3 5" xfId="5823"/>
    <cellStyle name="40% - Accent4 15 3_Volatility" xfId="5824"/>
    <cellStyle name="40% - Accent4 15 4" xfId="5825"/>
    <cellStyle name="40% - Accent4 15 4 2" xfId="5826"/>
    <cellStyle name="40% - Accent4 15 4 3" xfId="5827"/>
    <cellStyle name="40% - Accent4 15 5" xfId="5828"/>
    <cellStyle name="40% - Accent4 15 5 2" xfId="5829"/>
    <cellStyle name="40% - Accent4 15 5 3" xfId="5830"/>
    <cellStyle name="40% - Accent4 15 6" xfId="5831"/>
    <cellStyle name="40% - Accent4 15 6 2" xfId="5832"/>
    <cellStyle name="40% - Accent4 15 6 3" xfId="5833"/>
    <cellStyle name="40% - Accent4 15 7" xfId="5834"/>
    <cellStyle name="40% - Accent4 15 8" xfId="5835"/>
    <cellStyle name="40% - Accent4 15_Volatility" xfId="5836"/>
    <cellStyle name="40% - Accent4 16" xfId="5837"/>
    <cellStyle name="40% - Accent4 16 2" xfId="15937"/>
    <cellStyle name="40% - Accent4 16 3" xfId="19888"/>
    <cellStyle name="40% - Accent4 17" xfId="5838"/>
    <cellStyle name="40% - Accent4 17 2" xfId="15938"/>
    <cellStyle name="40% - Accent4 17 3" xfId="19889"/>
    <cellStyle name="40% - Accent4 18" xfId="5839"/>
    <cellStyle name="40% - Accent4 18 2" xfId="15939"/>
    <cellStyle name="40% - Accent4 18 3" xfId="19890"/>
    <cellStyle name="40% - Accent4 19" xfId="5840"/>
    <cellStyle name="40% - Accent4 19 2" xfId="15940"/>
    <cellStyle name="40% - Accent4 19 3" xfId="19891"/>
    <cellStyle name="40% - Accent4 2" xfId="5841"/>
    <cellStyle name="40% - Accent4 2 2" xfId="5842"/>
    <cellStyle name="40% - Accent4 2 2 2" xfId="5843"/>
    <cellStyle name="40% - Accent4 2 2 2 2" xfId="5844"/>
    <cellStyle name="40% - Accent4 2 2 2 3" xfId="5845"/>
    <cellStyle name="40% - Accent4 2 2 3" xfId="5846"/>
    <cellStyle name="40% - Accent4 2 2 3 2" xfId="5847"/>
    <cellStyle name="40% - Accent4 2 2 3 3" xfId="5848"/>
    <cellStyle name="40% - Accent4 2 2 4" xfId="5849"/>
    <cellStyle name="40% - Accent4 2 2 4 2" xfId="5850"/>
    <cellStyle name="40% - Accent4 2 2 4 3" xfId="5851"/>
    <cellStyle name="40% - Accent4 2 2 5" xfId="5852"/>
    <cellStyle name="40% - Accent4 2 2 6" xfId="5853"/>
    <cellStyle name="40% - Accent4 2 2_Volatility" xfId="5854"/>
    <cellStyle name="40% - Accent4 2 3" xfId="5855"/>
    <cellStyle name="40% - Accent4 2 3 2" xfId="5856"/>
    <cellStyle name="40% - Accent4 2 3 2 2" xfId="5857"/>
    <cellStyle name="40% - Accent4 2 3 2 3" xfId="5858"/>
    <cellStyle name="40% - Accent4 2 3 3" xfId="5859"/>
    <cellStyle name="40% - Accent4 2 3 3 2" xfId="5860"/>
    <cellStyle name="40% - Accent4 2 3 3 3" xfId="5861"/>
    <cellStyle name="40% - Accent4 2 3 4" xfId="5862"/>
    <cellStyle name="40% - Accent4 2 3 5" xfId="5863"/>
    <cellStyle name="40% - Accent4 2 3_Volatility" xfId="5864"/>
    <cellStyle name="40% - Accent4 2 4" xfId="5865"/>
    <cellStyle name="40% - Accent4 2 4 2" xfId="5866"/>
    <cellStyle name="40% - Accent4 2 4 3" xfId="5867"/>
    <cellStyle name="40% - Accent4 2 5" xfId="5868"/>
    <cellStyle name="40% - Accent4 2 5 2" xfId="5869"/>
    <cellStyle name="40% - Accent4 2 5 3" xfId="5870"/>
    <cellStyle name="40% - Accent4 2 6" xfId="5871"/>
    <cellStyle name="40% - Accent4 2 6 2" xfId="5872"/>
    <cellStyle name="40% - Accent4 2 6 3" xfId="5873"/>
    <cellStyle name="40% - Accent4 2 7" xfId="5874"/>
    <cellStyle name="40% - Accent4 2 8" xfId="5875"/>
    <cellStyle name="40% - Accent4 2_Volatility" xfId="5876"/>
    <cellStyle name="40% - Accent4 3" xfId="5877"/>
    <cellStyle name="40% - Accent4 3 2" xfId="5878"/>
    <cellStyle name="40% - Accent4 3 2 2" xfId="5879"/>
    <cellStyle name="40% - Accent4 3 2 2 2" xfId="5880"/>
    <cellStyle name="40% - Accent4 3 2 2 3" xfId="5881"/>
    <cellStyle name="40% - Accent4 3 2 3" xfId="5882"/>
    <cellStyle name="40% - Accent4 3 2 3 2" xfId="5883"/>
    <cellStyle name="40% - Accent4 3 2 3 3" xfId="5884"/>
    <cellStyle name="40% - Accent4 3 2 4" xfId="5885"/>
    <cellStyle name="40% - Accent4 3 2 4 2" xfId="5886"/>
    <cellStyle name="40% - Accent4 3 2 4 3" xfId="5887"/>
    <cellStyle name="40% - Accent4 3 2 5" xfId="5888"/>
    <cellStyle name="40% - Accent4 3 2 6" xfId="5889"/>
    <cellStyle name="40% - Accent4 3 2_Volatility" xfId="5890"/>
    <cellStyle name="40% - Accent4 3 3" xfId="5891"/>
    <cellStyle name="40% - Accent4 3 3 2" xfId="5892"/>
    <cellStyle name="40% - Accent4 3 3 2 2" xfId="5893"/>
    <cellStyle name="40% - Accent4 3 3 2 3" xfId="5894"/>
    <cellStyle name="40% - Accent4 3 3 3" xfId="5895"/>
    <cellStyle name="40% - Accent4 3 3 3 2" xfId="5896"/>
    <cellStyle name="40% - Accent4 3 3 3 3" xfId="5897"/>
    <cellStyle name="40% - Accent4 3 3 4" xfId="5898"/>
    <cellStyle name="40% - Accent4 3 3 5" xfId="5899"/>
    <cellStyle name="40% - Accent4 3 3_Volatility" xfId="5900"/>
    <cellStyle name="40% - Accent4 3 4" xfId="5901"/>
    <cellStyle name="40% - Accent4 3 4 2" xfId="5902"/>
    <cellStyle name="40% - Accent4 3 4 3" xfId="5903"/>
    <cellStyle name="40% - Accent4 3 5" xfId="5904"/>
    <cellStyle name="40% - Accent4 3 5 2" xfId="5905"/>
    <cellStyle name="40% - Accent4 3 5 3" xfId="5906"/>
    <cellStyle name="40% - Accent4 3 6" xfId="5907"/>
    <cellStyle name="40% - Accent4 3 6 2" xfId="5908"/>
    <cellStyle name="40% - Accent4 3 6 3" xfId="5909"/>
    <cellStyle name="40% - Accent4 3 7" xfId="5910"/>
    <cellStyle name="40% - Accent4 3 8" xfId="5911"/>
    <cellStyle name="40% - Accent4 3_Volatility" xfId="5912"/>
    <cellStyle name="40% - Accent4 4" xfId="5913"/>
    <cellStyle name="40% - Accent4 4 2" xfId="5914"/>
    <cellStyle name="40% - Accent4 4 2 2" xfId="5915"/>
    <cellStyle name="40% - Accent4 4 2 2 2" xfId="5916"/>
    <cellStyle name="40% - Accent4 4 2 2 3" xfId="5917"/>
    <cellStyle name="40% - Accent4 4 2 3" xfId="5918"/>
    <cellStyle name="40% - Accent4 4 2 3 2" xfId="5919"/>
    <cellStyle name="40% - Accent4 4 2 3 3" xfId="5920"/>
    <cellStyle name="40% - Accent4 4 2 4" xfId="5921"/>
    <cellStyle name="40% - Accent4 4 2 4 2" xfId="5922"/>
    <cellStyle name="40% - Accent4 4 2 4 3" xfId="5923"/>
    <cellStyle name="40% - Accent4 4 2 5" xfId="5924"/>
    <cellStyle name="40% - Accent4 4 2 6" xfId="5925"/>
    <cellStyle name="40% - Accent4 4 2_Volatility" xfId="5926"/>
    <cellStyle name="40% - Accent4 4 3" xfId="5927"/>
    <cellStyle name="40% - Accent4 4 3 2" xfId="5928"/>
    <cellStyle name="40% - Accent4 4 3 2 2" xfId="5929"/>
    <cellStyle name="40% - Accent4 4 3 2 3" xfId="5930"/>
    <cellStyle name="40% - Accent4 4 3 3" xfId="5931"/>
    <cellStyle name="40% - Accent4 4 3 3 2" xfId="5932"/>
    <cellStyle name="40% - Accent4 4 3 3 3" xfId="5933"/>
    <cellStyle name="40% - Accent4 4 3 4" xfId="5934"/>
    <cellStyle name="40% - Accent4 4 3 5" xfId="5935"/>
    <cellStyle name="40% - Accent4 4 3_Volatility" xfId="5936"/>
    <cellStyle name="40% - Accent4 4 4" xfId="5937"/>
    <cellStyle name="40% - Accent4 4 4 2" xfId="5938"/>
    <cellStyle name="40% - Accent4 4 4 3" xfId="5939"/>
    <cellStyle name="40% - Accent4 4 5" xfId="5940"/>
    <cellStyle name="40% - Accent4 4 5 2" xfId="5941"/>
    <cellStyle name="40% - Accent4 4 5 3" xfId="5942"/>
    <cellStyle name="40% - Accent4 4 6" xfId="5943"/>
    <cellStyle name="40% - Accent4 4 6 2" xfId="5944"/>
    <cellStyle name="40% - Accent4 4 6 3" xfId="5945"/>
    <cellStyle name="40% - Accent4 4 7" xfId="5946"/>
    <cellStyle name="40% - Accent4 4 8" xfId="5947"/>
    <cellStyle name="40% - Accent4 4_Volatility" xfId="5948"/>
    <cellStyle name="40% - Accent4 5" xfId="5949"/>
    <cellStyle name="40% - Accent4 5 2" xfId="5950"/>
    <cellStyle name="40% - Accent4 5 2 2" xfId="5951"/>
    <cellStyle name="40% - Accent4 5 2 2 2" xfId="5952"/>
    <cellStyle name="40% - Accent4 5 2 2 3" xfId="5953"/>
    <cellStyle name="40% - Accent4 5 2 3" xfId="5954"/>
    <cellStyle name="40% - Accent4 5 2 3 2" xfId="5955"/>
    <cellStyle name="40% - Accent4 5 2 3 3" xfId="5956"/>
    <cellStyle name="40% - Accent4 5 2 4" xfId="5957"/>
    <cellStyle name="40% - Accent4 5 2 4 2" xfId="5958"/>
    <cellStyle name="40% - Accent4 5 2 4 3" xfId="5959"/>
    <cellStyle name="40% - Accent4 5 2 5" xfId="5960"/>
    <cellStyle name="40% - Accent4 5 2 6" xfId="5961"/>
    <cellStyle name="40% - Accent4 5 2_Volatility" xfId="5962"/>
    <cellStyle name="40% - Accent4 5 3" xfId="5963"/>
    <cellStyle name="40% - Accent4 5 3 2" xfId="5964"/>
    <cellStyle name="40% - Accent4 5 3 2 2" xfId="5965"/>
    <cellStyle name="40% - Accent4 5 3 2 3" xfId="5966"/>
    <cellStyle name="40% - Accent4 5 3 3" xfId="5967"/>
    <cellStyle name="40% - Accent4 5 3 3 2" xfId="5968"/>
    <cellStyle name="40% - Accent4 5 3 3 3" xfId="5969"/>
    <cellStyle name="40% - Accent4 5 3 4" xfId="5970"/>
    <cellStyle name="40% - Accent4 5 3 5" xfId="5971"/>
    <cellStyle name="40% - Accent4 5 3_Volatility" xfId="5972"/>
    <cellStyle name="40% - Accent4 5 4" xfId="5973"/>
    <cellStyle name="40% - Accent4 5 4 2" xfId="5974"/>
    <cellStyle name="40% - Accent4 5 4 3" xfId="5975"/>
    <cellStyle name="40% - Accent4 5 5" xfId="5976"/>
    <cellStyle name="40% - Accent4 5 5 2" xfId="5977"/>
    <cellStyle name="40% - Accent4 5 5 3" xfId="5978"/>
    <cellStyle name="40% - Accent4 5 6" xfId="5979"/>
    <cellStyle name="40% - Accent4 5 6 2" xfId="5980"/>
    <cellStyle name="40% - Accent4 5 6 3" xfId="5981"/>
    <cellStyle name="40% - Accent4 5 7" xfId="5982"/>
    <cellStyle name="40% - Accent4 5 8" xfId="5983"/>
    <cellStyle name="40% - Accent4 5_Volatility" xfId="5984"/>
    <cellStyle name="40% - Accent4 6" xfId="5985"/>
    <cellStyle name="40% - Accent4 6 2" xfId="5986"/>
    <cellStyle name="40% - Accent4 6 2 2" xfId="5987"/>
    <cellStyle name="40% - Accent4 6 2 2 2" xfId="5988"/>
    <cellStyle name="40% - Accent4 6 2 2 3" xfId="5989"/>
    <cellStyle name="40% - Accent4 6 2 3" xfId="5990"/>
    <cellStyle name="40% - Accent4 6 2 3 2" xfId="5991"/>
    <cellStyle name="40% - Accent4 6 2 3 3" xfId="5992"/>
    <cellStyle name="40% - Accent4 6 2 4" xfId="5993"/>
    <cellStyle name="40% - Accent4 6 2 4 2" xfId="5994"/>
    <cellStyle name="40% - Accent4 6 2 4 3" xfId="5995"/>
    <cellStyle name="40% - Accent4 6 2 5" xfId="5996"/>
    <cellStyle name="40% - Accent4 6 2 6" xfId="5997"/>
    <cellStyle name="40% - Accent4 6 2_Volatility" xfId="5998"/>
    <cellStyle name="40% - Accent4 6 3" xfId="5999"/>
    <cellStyle name="40% - Accent4 6 3 2" xfId="6000"/>
    <cellStyle name="40% - Accent4 6 3 2 2" xfId="6001"/>
    <cellStyle name="40% - Accent4 6 3 2 3" xfId="6002"/>
    <cellStyle name="40% - Accent4 6 3 3" xfId="6003"/>
    <cellStyle name="40% - Accent4 6 3 3 2" xfId="6004"/>
    <cellStyle name="40% - Accent4 6 3 3 3" xfId="6005"/>
    <cellStyle name="40% - Accent4 6 3 4" xfId="6006"/>
    <cellStyle name="40% - Accent4 6 3 5" xfId="6007"/>
    <cellStyle name="40% - Accent4 6 3_Volatility" xfId="6008"/>
    <cellStyle name="40% - Accent4 6 4" xfId="6009"/>
    <cellStyle name="40% - Accent4 6 4 2" xfId="6010"/>
    <cellStyle name="40% - Accent4 6 4 3" xfId="6011"/>
    <cellStyle name="40% - Accent4 6 5" xfId="6012"/>
    <cellStyle name="40% - Accent4 6 5 2" xfId="6013"/>
    <cellStyle name="40% - Accent4 6 5 3" xfId="6014"/>
    <cellStyle name="40% - Accent4 6 6" xfId="6015"/>
    <cellStyle name="40% - Accent4 6 6 2" xfId="6016"/>
    <cellStyle name="40% - Accent4 6 6 3" xfId="6017"/>
    <cellStyle name="40% - Accent4 6 7" xfId="6018"/>
    <cellStyle name="40% - Accent4 6 8" xfId="6019"/>
    <cellStyle name="40% - Accent4 6_Volatility" xfId="6020"/>
    <cellStyle name="40% - Accent4 7" xfId="6021"/>
    <cellStyle name="40% - Accent4 7 2" xfId="6022"/>
    <cellStyle name="40% - Accent4 7 2 2" xfId="6023"/>
    <cellStyle name="40% - Accent4 7 2 2 2" xfId="6024"/>
    <cellStyle name="40% - Accent4 7 2 2 3" xfId="6025"/>
    <cellStyle name="40% - Accent4 7 2 3" xfId="6026"/>
    <cellStyle name="40% - Accent4 7 2 3 2" xfId="6027"/>
    <cellStyle name="40% - Accent4 7 2 3 3" xfId="6028"/>
    <cellStyle name="40% - Accent4 7 2 4" xfId="6029"/>
    <cellStyle name="40% - Accent4 7 2 4 2" xfId="6030"/>
    <cellStyle name="40% - Accent4 7 2 4 3" xfId="6031"/>
    <cellStyle name="40% - Accent4 7 2 5" xfId="6032"/>
    <cellStyle name="40% - Accent4 7 2 6" xfId="6033"/>
    <cellStyle name="40% - Accent4 7 2_Volatility" xfId="6034"/>
    <cellStyle name="40% - Accent4 7 3" xfId="6035"/>
    <cellStyle name="40% - Accent4 7 3 2" xfId="6036"/>
    <cellStyle name="40% - Accent4 7 3 2 2" xfId="6037"/>
    <cellStyle name="40% - Accent4 7 3 2 3" xfId="6038"/>
    <cellStyle name="40% - Accent4 7 3 3" xfId="6039"/>
    <cellStyle name="40% - Accent4 7 3 3 2" xfId="6040"/>
    <cellStyle name="40% - Accent4 7 3 3 3" xfId="6041"/>
    <cellStyle name="40% - Accent4 7 3 4" xfId="6042"/>
    <cellStyle name="40% - Accent4 7 3 5" xfId="6043"/>
    <cellStyle name="40% - Accent4 7 3_Volatility" xfId="6044"/>
    <cellStyle name="40% - Accent4 7 4" xfId="6045"/>
    <cellStyle name="40% - Accent4 7 4 2" xfId="6046"/>
    <cellStyle name="40% - Accent4 7 4 3" xfId="6047"/>
    <cellStyle name="40% - Accent4 7 5" xfId="6048"/>
    <cellStyle name="40% - Accent4 7 5 2" xfId="6049"/>
    <cellStyle name="40% - Accent4 7 5 3" xfId="6050"/>
    <cellStyle name="40% - Accent4 7 6" xfId="6051"/>
    <cellStyle name="40% - Accent4 7 6 2" xfId="6052"/>
    <cellStyle name="40% - Accent4 7 6 3" xfId="6053"/>
    <cellStyle name="40% - Accent4 7 7" xfId="6054"/>
    <cellStyle name="40% - Accent4 7 8" xfId="6055"/>
    <cellStyle name="40% - Accent4 7_Volatility" xfId="6056"/>
    <cellStyle name="40% - Accent4 8" xfId="6057"/>
    <cellStyle name="40% - Accent4 8 2" xfId="6058"/>
    <cellStyle name="40% - Accent4 8 2 2" xfId="6059"/>
    <cellStyle name="40% - Accent4 8 2 2 2" xfId="6060"/>
    <cellStyle name="40% - Accent4 8 2 2 3" xfId="6061"/>
    <cellStyle name="40% - Accent4 8 2 3" xfId="6062"/>
    <cellStyle name="40% - Accent4 8 2 3 2" xfId="6063"/>
    <cellStyle name="40% - Accent4 8 2 3 3" xfId="6064"/>
    <cellStyle name="40% - Accent4 8 2 4" xfId="6065"/>
    <cellStyle name="40% - Accent4 8 2 4 2" xfId="6066"/>
    <cellStyle name="40% - Accent4 8 2 4 3" xfId="6067"/>
    <cellStyle name="40% - Accent4 8 2 5" xfId="6068"/>
    <cellStyle name="40% - Accent4 8 2 6" xfId="6069"/>
    <cellStyle name="40% - Accent4 8 2_Volatility" xfId="6070"/>
    <cellStyle name="40% - Accent4 8 3" xfId="6071"/>
    <cellStyle name="40% - Accent4 8 3 2" xfId="6072"/>
    <cellStyle name="40% - Accent4 8 3 2 2" xfId="6073"/>
    <cellStyle name="40% - Accent4 8 3 2 3" xfId="6074"/>
    <cellStyle name="40% - Accent4 8 3 3" xfId="6075"/>
    <cellStyle name="40% - Accent4 8 3 3 2" xfId="6076"/>
    <cellStyle name="40% - Accent4 8 3 3 3" xfId="6077"/>
    <cellStyle name="40% - Accent4 8 3 4" xfId="6078"/>
    <cellStyle name="40% - Accent4 8 3 5" xfId="6079"/>
    <cellStyle name="40% - Accent4 8 3_Volatility" xfId="6080"/>
    <cellStyle name="40% - Accent4 8 4" xfId="6081"/>
    <cellStyle name="40% - Accent4 8 4 2" xfId="6082"/>
    <cellStyle name="40% - Accent4 8 4 3" xfId="6083"/>
    <cellStyle name="40% - Accent4 8 5" xfId="6084"/>
    <cellStyle name="40% - Accent4 8 5 2" xfId="6085"/>
    <cellStyle name="40% - Accent4 8 5 3" xfId="6086"/>
    <cellStyle name="40% - Accent4 8 6" xfId="6087"/>
    <cellStyle name="40% - Accent4 8 6 2" xfId="6088"/>
    <cellStyle name="40% - Accent4 8 6 3" xfId="6089"/>
    <cellStyle name="40% - Accent4 8 7" xfId="6090"/>
    <cellStyle name="40% - Accent4 8 8" xfId="6091"/>
    <cellStyle name="40% - Accent4 8_Volatility" xfId="6092"/>
    <cellStyle name="40% - Accent4 9" xfId="6093"/>
    <cellStyle name="40% - Accent4 9 2" xfId="6094"/>
    <cellStyle name="40% - Accent4 9 2 2" xfId="6095"/>
    <cellStyle name="40% - Accent4 9 2 2 2" xfId="6096"/>
    <cellStyle name="40% - Accent4 9 2 2 3" xfId="6097"/>
    <cellStyle name="40% - Accent4 9 2 3" xfId="6098"/>
    <cellStyle name="40% - Accent4 9 2 3 2" xfId="6099"/>
    <cellStyle name="40% - Accent4 9 2 3 3" xfId="6100"/>
    <cellStyle name="40% - Accent4 9 2 4" xfId="6101"/>
    <cellStyle name="40% - Accent4 9 2 4 2" xfId="6102"/>
    <cellStyle name="40% - Accent4 9 2 4 3" xfId="6103"/>
    <cellStyle name="40% - Accent4 9 2 5" xfId="6104"/>
    <cellStyle name="40% - Accent4 9 2 6" xfId="6105"/>
    <cellStyle name="40% - Accent4 9 2_Volatility" xfId="6106"/>
    <cellStyle name="40% - Accent4 9 3" xfId="6107"/>
    <cellStyle name="40% - Accent4 9 3 2" xfId="6108"/>
    <cellStyle name="40% - Accent4 9 3 2 2" xfId="6109"/>
    <cellStyle name="40% - Accent4 9 3 2 3" xfId="6110"/>
    <cellStyle name="40% - Accent4 9 3 3" xfId="6111"/>
    <cellStyle name="40% - Accent4 9 3 3 2" xfId="6112"/>
    <cellStyle name="40% - Accent4 9 3 3 3" xfId="6113"/>
    <cellStyle name="40% - Accent4 9 3 4" xfId="6114"/>
    <cellStyle name="40% - Accent4 9 3 5" xfId="6115"/>
    <cellStyle name="40% - Accent4 9 3_Volatility" xfId="6116"/>
    <cellStyle name="40% - Accent4 9 4" xfId="6117"/>
    <cellStyle name="40% - Accent4 9 4 2" xfId="6118"/>
    <cellStyle name="40% - Accent4 9 4 3" xfId="6119"/>
    <cellStyle name="40% - Accent4 9 5" xfId="6120"/>
    <cellStyle name="40% - Accent4 9 5 2" xfId="6121"/>
    <cellStyle name="40% - Accent4 9 5 3" xfId="6122"/>
    <cellStyle name="40% - Accent4 9 6" xfId="6123"/>
    <cellStyle name="40% - Accent4 9 6 2" xfId="6124"/>
    <cellStyle name="40% - Accent4 9 6 3" xfId="6125"/>
    <cellStyle name="40% - Accent4 9 7" xfId="6126"/>
    <cellStyle name="40% - Accent4 9 8" xfId="6127"/>
    <cellStyle name="40% - Accent4 9_Volatility" xfId="6128"/>
    <cellStyle name="40% - Accent5 10" xfId="6129"/>
    <cellStyle name="40% - Accent5 10 2" xfId="6130"/>
    <cellStyle name="40% - Accent5 10 2 2" xfId="6131"/>
    <cellStyle name="40% - Accent5 10 2 2 2" xfId="6132"/>
    <cellStyle name="40% - Accent5 10 2 2 3" xfId="6133"/>
    <cellStyle name="40% - Accent5 10 2 3" xfId="6134"/>
    <cellStyle name="40% - Accent5 10 2 3 2" xfId="6135"/>
    <cellStyle name="40% - Accent5 10 2 3 3" xfId="6136"/>
    <cellStyle name="40% - Accent5 10 2 4" xfId="6137"/>
    <cellStyle name="40% - Accent5 10 2 4 2" xfId="6138"/>
    <cellStyle name="40% - Accent5 10 2 4 3" xfId="6139"/>
    <cellStyle name="40% - Accent5 10 2 5" xfId="6140"/>
    <cellStyle name="40% - Accent5 10 2 6" xfId="6141"/>
    <cellStyle name="40% - Accent5 10 2_Volatility" xfId="6142"/>
    <cellStyle name="40% - Accent5 10 3" xfId="6143"/>
    <cellStyle name="40% - Accent5 10 3 2" xfId="6144"/>
    <cellStyle name="40% - Accent5 10 3 2 2" xfId="6145"/>
    <cellStyle name="40% - Accent5 10 3 2 3" xfId="6146"/>
    <cellStyle name="40% - Accent5 10 3 3" xfId="6147"/>
    <cellStyle name="40% - Accent5 10 3 3 2" xfId="6148"/>
    <cellStyle name="40% - Accent5 10 3 3 3" xfId="6149"/>
    <cellStyle name="40% - Accent5 10 3 4" xfId="6150"/>
    <cellStyle name="40% - Accent5 10 3 5" xfId="6151"/>
    <cellStyle name="40% - Accent5 10 3_Volatility" xfId="6152"/>
    <cellStyle name="40% - Accent5 10 4" xfId="6153"/>
    <cellStyle name="40% - Accent5 10 4 2" xfId="6154"/>
    <cellStyle name="40% - Accent5 10 4 3" xfId="6155"/>
    <cellStyle name="40% - Accent5 10 5" xfId="6156"/>
    <cellStyle name="40% - Accent5 10 5 2" xfId="6157"/>
    <cellStyle name="40% - Accent5 10 5 3" xfId="6158"/>
    <cellStyle name="40% - Accent5 10 6" xfId="6159"/>
    <cellStyle name="40% - Accent5 10 6 2" xfId="6160"/>
    <cellStyle name="40% - Accent5 10 6 3" xfId="6161"/>
    <cellStyle name="40% - Accent5 10 7" xfId="6162"/>
    <cellStyle name="40% - Accent5 10 8" xfId="6163"/>
    <cellStyle name="40% - Accent5 10_Volatility" xfId="6164"/>
    <cellStyle name="40% - Accent5 11" xfId="6165"/>
    <cellStyle name="40% - Accent5 11 2" xfId="6166"/>
    <cellStyle name="40% - Accent5 11 2 2" xfId="6167"/>
    <cellStyle name="40% - Accent5 11 2 2 2" xfId="6168"/>
    <cellStyle name="40% - Accent5 11 2 2 3" xfId="6169"/>
    <cellStyle name="40% - Accent5 11 2 3" xfId="6170"/>
    <cellStyle name="40% - Accent5 11 2 3 2" xfId="6171"/>
    <cellStyle name="40% - Accent5 11 2 3 3" xfId="6172"/>
    <cellStyle name="40% - Accent5 11 2 4" xfId="6173"/>
    <cellStyle name="40% - Accent5 11 2 4 2" xfId="6174"/>
    <cellStyle name="40% - Accent5 11 2 4 3" xfId="6175"/>
    <cellStyle name="40% - Accent5 11 2 5" xfId="6176"/>
    <cellStyle name="40% - Accent5 11 2 6" xfId="6177"/>
    <cellStyle name="40% - Accent5 11 2_Volatility" xfId="6178"/>
    <cellStyle name="40% - Accent5 11 3" xfId="6179"/>
    <cellStyle name="40% - Accent5 11 3 2" xfId="6180"/>
    <cellStyle name="40% - Accent5 11 3 2 2" xfId="6181"/>
    <cellStyle name="40% - Accent5 11 3 2 3" xfId="6182"/>
    <cellStyle name="40% - Accent5 11 3 3" xfId="6183"/>
    <cellStyle name="40% - Accent5 11 3 3 2" xfId="6184"/>
    <cellStyle name="40% - Accent5 11 3 3 3" xfId="6185"/>
    <cellStyle name="40% - Accent5 11 3 4" xfId="6186"/>
    <cellStyle name="40% - Accent5 11 3 5" xfId="6187"/>
    <cellStyle name="40% - Accent5 11 3_Volatility" xfId="6188"/>
    <cellStyle name="40% - Accent5 11 4" xfId="6189"/>
    <cellStyle name="40% - Accent5 11 4 2" xfId="6190"/>
    <cellStyle name="40% - Accent5 11 4 3" xfId="6191"/>
    <cellStyle name="40% - Accent5 11 5" xfId="6192"/>
    <cellStyle name="40% - Accent5 11 5 2" xfId="6193"/>
    <cellStyle name="40% - Accent5 11 5 3" xfId="6194"/>
    <cellStyle name="40% - Accent5 11 6" xfId="6195"/>
    <cellStyle name="40% - Accent5 11 6 2" xfId="6196"/>
    <cellStyle name="40% - Accent5 11 6 3" xfId="6197"/>
    <cellStyle name="40% - Accent5 11 7" xfId="6198"/>
    <cellStyle name="40% - Accent5 11 8" xfId="6199"/>
    <cellStyle name="40% - Accent5 11_Volatility" xfId="6200"/>
    <cellStyle name="40% - Accent5 12" xfId="6201"/>
    <cellStyle name="40% - Accent5 12 2" xfId="6202"/>
    <cellStyle name="40% - Accent5 12 2 2" xfId="6203"/>
    <cellStyle name="40% - Accent5 12 2 2 2" xfId="6204"/>
    <cellStyle name="40% - Accent5 12 2 2 3" xfId="6205"/>
    <cellStyle name="40% - Accent5 12 2 3" xfId="6206"/>
    <cellStyle name="40% - Accent5 12 2 3 2" xfId="6207"/>
    <cellStyle name="40% - Accent5 12 2 3 3" xfId="6208"/>
    <cellStyle name="40% - Accent5 12 2 4" xfId="6209"/>
    <cellStyle name="40% - Accent5 12 2 4 2" xfId="6210"/>
    <cellStyle name="40% - Accent5 12 2 4 3" xfId="6211"/>
    <cellStyle name="40% - Accent5 12 2 5" xfId="6212"/>
    <cellStyle name="40% - Accent5 12 2 6" xfId="6213"/>
    <cellStyle name="40% - Accent5 12 2_Volatility" xfId="6214"/>
    <cellStyle name="40% - Accent5 12 3" xfId="6215"/>
    <cellStyle name="40% - Accent5 12 3 2" xfId="6216"/>
    <cellStyle name="40% - Accent5 12 3 2 2" xfId="6217"/>
    <cellStyle name="40% - Accent5 12 3 2 3" xfId="6218"/>
    <cellStyle name="40% - Accent5 12 3 3" xfId="6219"/>
    <cellStyle name="40% - Accent5 12 3 3 2" xfId="6220"/>
    <cellStyle name="40% - Accent5 12 3 3 3" xfId="6221"/>
    <cellStyle name="40% - Accent5 12 3 4" xfId="6222"/>
    <cellStyle name="40% - Accent5 12 3 5" xfId="6223"/>
    <cellStyle name="40% - Accent5 12 3_Volatility" xfId="6224"/>
    <cellStyle name="40% - Accent5 12 4" xfId="6225"/>
    <cellStyle name="40% - Accent5 12 4 2" xfId="6226"/>
    <cellStyle name="40% - Accent5 12 4 3" xfId="6227"/>
    <cellStyle name="40% - Accent5 12 5" xfId="6228"/>
    <cellStyle name="40% - Accent5 12 5 2" xfId="6229"/>
    <cellStyle name="40% - Accent5 12 5 3" xfId="6230"/>
    <cellStyle name="40% - Accent5 12 6" xfId="6231"/>
    <cellStyle name="40% - Accent5 12 6 2" xfId="6232"/>
    <cellStyle name="40% - Accent5 12 6 3" xfId="6233"/>
    <cellStyle name="40% - Accent5 12 7" xfId="6234"/>
    <cellStyle name="40% - Accent5 12 8" xfId="6235"/>
    <cellStyle name="40% - Accent5 12_Volatility" xfId="6236"/>
    <cellStyle name="40% - Accent5 13" xfId="6237"/>
    <cellStyle name="40% - Accent5 13 2" xfId="6238"/>
    <cellStyle name="40% - Accent5 13 2 2" xfId="6239"/>
    <cellStyle name="40% - Accent5 13 2 2 2" xfId="6240"/>
    <cellStyle name="40% - Accent5 13 2 2 3" xfId="6241"/>
    <cellStyle name="40% - Accent5 13 2 3" xfId="6242"/>
    <cellStyle name="40% - Accent5 13 2 3 2" xfId="6243"/>
    <cellStyle name="40% - Accent5 13 2 3 3" xfId="6244"/>
    <cellStyle name="40% - Accent5 13 2 4" xfId="6245"/>
    <cellStyle name="40% - Accent5 13 2 4 2" xfId="6246"/>
    <cellStyle name="40% - Accent5 13 2 4 3" xfId="6247"/>
    <cellStyle name="40% - Accent5 13 2 5" xfId="6248"/>
    <cellStyle name="40% - Accent5 13 2 6" xfId="6249"/>
    <cellStyle name="40% - Accent5 13 2_Volatility" xfId="6250"/>
    <cellStyle name="40% - Accent5 13 3" xfId="6251"/>
    <cellStyle name="40% - Accent5 13 3 2" xfId="6252"/>
    <cellStyle name="40% - Accent5 13 3 2 2" xfId="6253"/>
    <cellStyle name="40% - Accent5 13 3 2 3" xfId="6254"/>
    <cellStyle name="40% - Accent5 13 3 3" xfId="6255"/>
    <cellStyle name="40% - Accent5 13 3 3 2" xfId="6256"/>
    <cellStyle name="40% - Accent5 13 3 3 3" xfId="6257"/>
    <cellStyle name="40% - Accent5 13 3 4" xfId="6258"/>
    <cellStyle name="40% - Accent5 13 3 5" xfId="6259"/>
    <cellStyle name="40% - Accent5 13 3_Volatility" xfId="6260"/>
    <cellStyle name="40% - Accent5 13 4" xfId="6261"/>
    <cellStyle name="40% - Accent5 13 4 2" xfId="6262"/>
    <cellStyle name="40% - Accent5 13 4 3" xfId="6263"/>
    <cellStyle name="40% - Accent5 13 5" xfId="6264"/>
    <cellStyle name="40% - Accent5 13 5 2" xfId="6265"/>
    <cellStyle name="40% - Accent5 13 5 3" xfId="6266"/>
    <cellStyle name="40% - Accent5 13 6" xfId="6267"/>
    <cellStyle name="40% - Accent5 13 6 2" xfId="6268"/>
    <cellStyle name="40% - Accent5 13 6 3" xfId="6269"/>
    <cellStyle name="40% - Accent5 13 7" xfId="6270"/>
    <cellStyle name="40% - Accent5 13 8" xfId="6271"/>
    <cellStyle name="40% - Accent5 13_Volatility" xfId="6272"/>
    <cellStyle name="40% - Accent5 14" xfId="6273"/>
    <cellStyle name="40% - Accent5 14 2" xfId="6274"/>
    <cellStyle name="40% - Accent5 14 2 2" xfId="6275"/>
    <cellStyle name="40% - Accent5 14 2 2 2" xfId="6276"/>
    <cellStyle name="40% - Accent5 14 2 2 3" xfId="6277"/>
    <cellStyle name="40% - Accent5 14 2 3" xfId="6278"/>
    <cellStyle name="40% - Accent5 14 2 3 2" xfId="6279"/>
    <cellStyle name="40% - Accent5 14 2 3 3" xfId="6280"/>
    <cellStyle name="40% - Accent5 14 2 4" xfId="6281"/>
    <cellStyle name="40% - Accent5 14 2 4 2" xfId="6282"/>
    <cellStyle name="40% - Accent5 14 2 4 3" xfId="6283"/>
    <cellStyle name="40% - Accent5 14 2 5" xfId="6284"/>
    <cellStyle name="40% - Accent5 14 2 6" xfId="6285"/>
    <cellStyle name="40% - Accent5 14 2_Volatility" xfId="6286"/>
    <cellStyle name="40% - Accent5 14 3" xfId="6287"/>
    <cellStyle name="40% - Accent5 14 3 2" xfId="6288"/>
    <cellStyle name="40% - Accent5 14 3 2 2" xfId="6289"/>
    <cellStyle name="40% - Accent5 14 3 2 3" xfId="6290"/>
    <cellStyle name="40% - Accent5 14 3 3" xfId="6291"/>
    <cellStyle name="40% - Accent5 14 3 3 2" xfId="6292"/>
    <cellStyle name="40% - Accent5 14 3 3 3" xfId="6293"/>
    <cellStyle name="40% - Accent5 14 3 4" xfId="6294"/>
    <cellStyle name="40% - Accent5 14 3 5" xfId="6295"/>
    <cellStyle name="40% - Accent5 14 3_Volatility" xfId="6296"/>
    <cellStyle name="40% - Accent5 14 4" xfId="6297"/>
    <cellStyle name="40% - Accent5 14 4 2" xfId="6298"/>
    <cellStyle name="40% - Accent5 14 4 3" xfId="6299"/>
    <cellStyle name="40% - Accent5 14 5" xfId="6300"/>
    <cellStyle name="40% - Accent5 14 5 2" xfId="6301"/>
    <cellStyle name="40% - Accent5 14 5 3" xfId="6302"/>
    <cellStyle name="40% - Accent5 14 6" xfId="6303"/>
    <cellStyle name="40% - Accent5 14 6 2" xfId="6304"/>
    <cellStyle name="40% - Accent5 14 6 3" xfId="6305"/>
    <cellStyle name="40% - Accent5 14 7" xfId="6306"/>
    <cellStyle name="40% - Accent5 14 8" xfId="6307"/>
    <cellStyle name="40% - Accent5 14_Volatility" xfId="6308"/>
    <cellStyle name="40% - Accent5 15" xfId="6309"/>
    <cellStyle name="40% - Accent5 15 2" xfId="6310"/>
    <cellStyle name="40% - Accent5 15 2 2" xfId="6311"/>
    <cellStyle name="40% - Accent5 15 2 2 2" xfId="6312"/>
    <cellStyle name="40% - Accent5 15 2 2 3" xfId="6313"/>
    <cellStyle name="40% - Accent5 15 2 3" xfId="6314"/>
    <cellStyle name="40% - Accent5 15 2 3 2" xfId="6315"/>
    <cellStyle name="40% - Accent5 15 2 3 3" xfId="6316"/>
    <cellStyle name="40% - Accent5 15 2 4" xfId="6317"/>
    <cellStyle name="40% - Accent5 15 2 4 2" xfId="6318"/>
    <cellStyle name="40% - Accent5 15 2 4 3" xfId="6319"/>
    <cellStyle name="40% - Accent5 15 2 5" xfId="6320"/>
    <cellStyle name="40% - Accent5 15 2 6" xfId="6321"/>
    <cellStyle name="40% - Accent5 15 2_Volatility" xfId="6322"/>
    <cellStyle name="40% - Accent5 15 3" xfId="6323"/>
    <cellStyle name="40% - Accent5 15 3 2" xfId="6324"/>
    <cellStyle name="40% - Accent5 15 3 2 2" xfId="6325"/>
    <cellStyle name="40% - Accent5 15 3 2 3" xfId="6326"/>
    <cellStyle name="40% - Accent5 15 3 3" xfId="6327"/>
    <cellStyle name="40% - Accent5 15 3 3 2" xfId="6328"/>
    <cellStyle name="40% - Accent5 15 3 3 3" xfId="6329"/>
    <cellStyle name="40% - Accent5 15 3 4" xfId="6330"/>
    <cellStyle name="40% - Accent5 15 3 5" xfId="6331"/>
    <cellStyle name="40% - Accent5 15 3_Volatility" xfId="6332"/>
    <cellStyle name="40% - Accent5 15 4" xfId="6333"/>
    <cellStyle name="40% - Accent5 15 4 2" xfId="6334"/>
    <cellStyle name="40% - Accent5 15 4 3" xfId="6335"/>
    <cellStyle name="40% - Accent5 15 5" xfId="6336"/>
    <cellStyle name="40% - Accent5 15 5 2" xfId="6337"/>
    <cellStyle name="40% - Accent5 15 5 3" xfId="6338"/>
    <cellStyle name="40% - Accent5 15 6" xfId="6339"/>
    <cellStyle name="40% - Accent5 15 6 2" xfId="6340"/>
    <cellStyle name="40% - Accent5 15 6 3" xfId="6341"/>
    <cellStyle name="40% - Accent5 15 7" xfId="6342"/>
    <cellStyle name="40% - Accent5 15 8" xfId="6343"/>
    <cellStyle name="40% - Accent5 15_Volatility" xfId="6344"/>
    <cellStyle name="40% - Accent5 16" xfId="6345"/>
    <cellStyle name="40% - Accent5 16 2" xfId="15941"/>
    <cellStyle name="40% - Accent5 16 3" xfId="19892"/>
    <cellStyle name="40% - Accent5 17" xfId="6346"/>
    <cellStyle name="40% - Accent5 17 2" xfId="15942"/>
    <cellStyle name="40% - Accent5 17 3" xfId="19893"/>
    <cellStyle name="40% - Accent5 18" xfId="6347"/>
    <cellStyle name="40% - Accent5 18 2" xfId="15943"/>
    <cellStyle name="40% - Accent5 18 3" xfId="19894"/>
    <cellStyle name="40% - Accent5 19" xfId="6348"/>
    <cellStyle name="40% - Accent5 19 2" xfId="15944"/>
    <cellStyle name="40% - Accent5 19 3" xfId="19895"/>
    <cellStyle name="40% - Accent5 2" xfId="6349"/>
    <cellStyle name="40% - Accent5 2 2" xfId="6350"/>
    <cellStyle name="40% - Accent5 2 2 2" xfId="6351"/>
    <cellStyle name="40% - Accent5 2 2 2 2" xfId="6352"/>
    <cellStyle name="40% - Accent5 2 2 2 3" xfId="6353"/>
    <cellStyle name="40% - Accent5 2 2 3" xfId="6354"/>
    <cellStyle name="40% - Accent5 2 2 3 2" xfId="6355"/>
    <cellStyle name="40% - Accent5 2 2 3 3" xfId="6356"/>
    <cellStyle name="40% - Accent5 2 2 4" xfId="6357"/>
    <cellStyle name="40% - Accent5 2 2 4 2" xfId="6358"/>
    <cellStyle name="40% - Accent5 2 2 4 3" xfId="6359"/>
    <cellStyle name="40% - Accent5 2 2 5" xfId="6360"/>
    <cellStyle name="40% - Accent5 2 2 6" xfId="6361"/>
    <cellStyle name="40% - Accent5 2 2_Volatility" xfId="6362"/>
    <cellStyle name="40% - Accent5 2 3" xfId="6363"/>
    <cellStyle name="40% - Accent5 2 3 2" xfId="6364"/>
    <cellStyle name="40% - Accent5 2 3 2 2" xfId="6365"/>
    <cellStyle name="40% - Accent5 2 3 2 3" xfId="6366"/>
    <cellStyle name="40% - Accent5 2 3 3" xfId="6367"/>
    <cellStyle name="40% - Accent5 2 3 3 2" xfId="6368"/>
    <cellStyle name="40% - Accent5 2 3 3 3" xfId="6369"/>
    <cellStyle name="40% - Accent5 2 3 4" xfId="6370"/>
    <cellStyle name="40% - Accent5 2 3 5" xfId="6371"/>
    <cellStyle name="40% - Accent5 2 3_Volatility" xfId="6372"/>
    <cellStyle name="40% - Accent5 2 4" xfId="6373"/>
    <cellStyle name="40% - Accent5 2 4 2" xfId="6374"/>
    <cellStyle name="40% - Accent5 2 4 3" xfId="6375"/>
    <cellStyle name="40% - Accent5 2 5" xfId="6376"/>
    <cellStyle name="40% - Accent5 2 5 2" xfId="6377"/>
    <cellStyle name="40% - Accent5 2 5 3" xfId="6378"/>
    <cellStyle name="40% - Accent5 2 6" xfId="6379"/>
    <cellStyle name="40% - Accent5 2 6 2" xfId="6380"/>
    <cellStyle name="40% - Accent5 2 6 3" xfId="6381"/>
    <cellStyle name="40% - Accent5 2 7" xfId="6382"/>
    <cellStyle name="40% - Accent5 2 8" xfId="6383"/>
    <cellStyle name="40% - Accent5 2_Volatility" xfId="6384"/>
    <cellStyle name="40% - Accent5 3" xfId="6385"/>
    <cellStyle name="40% - Accent5 3 2" xfId="6386"/>
    <cellStyle name="40% - Accent5 3 2 2" xfId="6387"/>
    <cellStyle name="40% - Accent5 3 2 2 2" xfId="6388"/>
    <cellStyle name="40% - Accent5 3 2 2 3" xfId="6389"/>
    <cellStyle name="40% - Accent5 3 2 3" xfId="6390"/>
    <cellStyle name="40% - Accent5 3 2 3 2" xfId="6391"/>
    <cellStyle name="40% - Accent5 3 2 3 3" xfId="6392"/>
    <cellStyle name="40% - Accent5 3 2 4" xfId="6393"/>
    <cellStyle name="40% - Accent5 3 2 4 2" xfId="6394"/>
    <cellStyle name="40% - Accent5 3 2 4 3" xfId="6395"/>
    <cellStyle name="40% - Accent5 3 2 5" xfId="6396"/>
    <cellStyle name="40% - Accent5 3 2 6" xfId="6397"/>
    <cellStyle name="40% - Accent5 3 2_Volatility" xfId="6398"/>
    <cellStyle name="40% - Accent5 3 3" xfId="6399"/>
    <cellStyle name="40% - Accent5 3 3 2" xfId="6400"/>
    <cellStyle name="40% - Accent5 3 3 2 2" xfId="6401"/>
    <cellStyle name="40% - Accent5 3 3 2 3" xfId="6402"/>
    <cellStyle name="40% - Accent5 3 3 3" xfId="6403"/>
    <cellStyle name="40% - Accent5 3 3 3 2" xfId="6404"/>
    <cellStyle name="40% - Accent5 3 3 3 3" xfId="6405"/>
    <cellStyle name="40% - Accent5 3 3 4" xfId="6406"/>
    <cellStyle name="40% - Accent5 3 3 5" xfId="6407"/>
    <cellStyle name="40% - Accent5 3 3_Volatility" xfId="6408"/>
    <cellStyle name="40% - Accent5 3 4" xfId="6409"/>
    <cellStyle name="40% - Accent5 3 4 2" xfId="6410"/>
    <cellStyle name="40% - Accent5 3 4 3" xfId="6411"/>
    <cellStyle name="40% - Accent5 3 5" xfId="6412"/>
    <cellStyle name="40% - Accent5 3 5 2" xfId="6413"/>
    <cellStyle name="40% - Accent5 3 5 3" xfId="6414"/>
    <cellStyle name="40% - Accent5 3 6" xfId="6415"/>
    <cellStyle name="40% - Accent5 3 6 2" xfId="6416"/>
    <cellStyle name="40% - Accent5 3 6 3" xfId="6417"/>
    <cellStyle name="40% - Accent5 3 7" xfId="6418"/>
    <cellStyle name="40% - Accent5 3 8" xfId="6419"/>
    <cellStyle name="40% - Accent5 3_Volatility" xfId="6420"/>
    <cellStyle name="40% - Accent5 4" xfId="6421"/>
    <cellStyle name="40% - Accent5 4 2" xfId="6422"/>
    <cellStyle name="40% - Accent5 4 2 2" xfId="6423"/>
    <cellStyle name="40% - Accent5 4 2 2 2" xfId="6424"/>
    <cellStyle name="40% - Accent5 4 2 2 3" xfId="6425"/>
    <cellStyle name="40% - Accent5 4 2 3" xfId="6426"/>
    <cellStyle name="40% - Accent5 4 2 3 2" xfId="6427"/>
    <cellStyle name="40% - Accent5 4 2 3 3" xfId="6428"/>
    <cellStyle name="40% - Accent5 4 2 4" xfId="6429"/>
    <cellStyle name="40% - Accent5 4 2 4 2" xfId="6430"/>
    <cellStyle name="40% - Accent5 4 2 4 3" xfId="6431"/>
    <cellStyle name="40% - Accent5 4 2 5" xfId="6432"/>
    <cellStyle name="40% - Accent5 4 2 6" xfId="6433"/>
    <cellStyle name="40% - Accent5 4 2_Volatility" xfId="6434"/>
    <cellStyle name="40% - Accent5 4 3" xfId="6435"/>
    <cellStyle name="40% - Accent5 4 3 2" xfId="6436"/>
    <cellStyle name="40% - Accent5 4 3 2 2" xfId="6437"/>
    <cellStyle name="40% - Accent5 4 3 2 3" xfId="6438"/>
    <cellStyle name="40% - Accent5 4 3 3" xfId="6439"/>
    <cellStyle name="40% - Accent5 4 3 3 2" xfId="6440"/>
    <cellStyle name="40% - Accent5 4 3 3 3" xfId="6441"/>
    <cellStyle name="40% - Accent5 4 3 4" xfId="6442"/>
    <cellStyle name="40% - Accent5 4 3 5" xfId="6443"/>
    <cellStyle name="40% - Accent5 4 3_Volatility" xfId="6444"/>
    <cellStyle name="40% - Accent5 4 4" xfId="6445"/>
    <cellStyle name="40% - Accent5 4 4 2" xfId="6446"/>
    <cellStyle name="40% - Accent5 4 4 3" xfId="6447"/>
    <cellStyle name="40% - Accent5 4 5" xfId="6448"/>
    <cellStyle name="40% - Accent5 4 5 2" xfId="6449"/>
    <cellStyle name="40% - Accent5 4 5 3" xfId="6450"/>
    <cellStyle name="40% - Accent5 4 6" xfId="6451"/>
    <cellStyle name="40% - Accent5 4 6 2" xfId="6452"/>
    <cellStyle name="40% - Accent5 4 6 3" xfId="6453"/>
    <cellStyle name="40% - Accent5 4 7" xfId="6454"/>
    <cellStyle name="40% - Accent5 4 8" xfId="6455"/>
    <cellStyle name="40% - Accent5 4_Volatility" xfId="6456"/>
    <cellStyle name="40% - Accent5 5" xfId="6457"/>
    <cellStyle name="40% - Accent5 5 2" xfId="6458"/>
    <cellStyle name="40% - Accent5 5 2 2" xfId="6459"/>
    <cellStyle name="40% - Accent5 5 2 2 2" xfId="6460"/>
    <cellStyle name="40% - Accent5 5 2 2 3" xfId="6461"/>
    <cellStyle name="40% - Accent5 5 2 3" xfId="6462"/>
    <cellStyle name="40% - Accent5 5 2 3 2" xfId="6463"/>
    <cellStyle name="40% - Accent5 5 2 3 3" xfId="6464"/>
    <cellStyle name="40% - Accent5 5 2 4" xfId="6465"/>
    <cellStyle name="40% - Accent5 5 2 4 2" xfId="6466"/>
    <cellStyle name="40% - Accent5 5 2 4 3" xfId="6467"/>
    <cellStyle name="40% - Accent5 5 2 5" xfId="6468"/>
    <cellStyle name="40% - Accent5 5 2 6" xfId="6469"/>
    <cellStyle name="40% - Accent5 5 2_Volatility" xfId="6470"/>
    <cellStyle name="40% - Accent5 5 3" xfId="6471"/>
    <cellStyle name="40% - Accent5 5 3 2" xfId="6472"/>
    <cellStyle name="40% - Accent5 5 3 2 2" xfId="6473"/>
    <cellStyle name="40% - Accent5 5 3 2 3" xfId="6474"/>
    <cellStyle name="40% - Accent5 5 3 3" xfId="6475"/>
    <cellStyle name="40% - Accent5 5 3 3 2" xfId="6476"/>
    <cellStyle name="40% - Accent5 5 3 3 3" xfId="6477"/>
    <cellStyle name="40% - Accent5 5 3 4" xfId="6478"/>
    <cellStyle name="40% - Accent5 5 3 5" xfId="6479"/>
    <cellStyle name="40% - Accent5 5 3_Volatility" xfId="6480"/>
    <cellStyle name="40% - Accent5 5 4" xfId="6481"/>
    <cellStyle name="40% - Accent5 5 4 2" xfId="6482"/>
    <cellStyle name="40% - Accent5 5 4 3" xfId="6483"/>
    <cellStyle name="40% - Accent5 5 5" xfId="6484"/>
    <cellStyle name="40% - Accent5 5 5 2" xfId="6485"/>
    <cellStyle name="40% - Accent5 5 5 3" xfId="6486"/>
    <cellStyle name="40% - Accent5 5 6" xfId="6487"/>
    <cellStyle name="40% - Accent5 5 6 2" xfId="6488"/>
    <cellStyle name="40% - Accent5 5 6 3" xfId="6489"/>
    <cellStyle name="40% - Accent5 5 7" xfId="6490"/>
    <cellStyle name="40% - Accent5 5 8" xfId="6491"/>
    <cellStyle name="40% - Accent5 5_Volatility" xfId="6492"/>
    <cellStyle name="40% - Accent5 6" xfId="6493"/>
    <cellStyle name="40% - Accent5 6 2" xfId="6494"/>
    <cellStyle name="40% - Accent5 6 2 2" xfId="6495"/>
    <cellStyle name="40% - Accent5 6 2 2 2" xfId="6496"/>
    <cellStyle name="40% - Accent5 6 2 2 3" xfId="6497"/>
    <cellStyle name="40% - Accent5 6 2 3" xfId="6498"/>
    <cellStyle name="40% - Accent5 6 2 3 2" xfId="6499"/>
    <cellStyle name="40% - Accent5 6 2 3 3" xfId="6500"/>
    <cellStyle name="40% - Accent5 6 2 4" xfId="6501"/>
    <cellStyle name="40% - Accent5 6 2 4 2" xfId="6502"/>
    <cellStyle name="40% - Accent5 6 2 4 3" xfId="6503"/>
    <cellStyle name="40% - Accent5 6 2 5" xfId="6504"/>
    <cellStyle name="40% - Accent5 6 2 6" xfId="6505"/>
    <cellStyle name="40% - Accent5 6 2_Volatility" xfId="6506"/>
    <cellStyle name="40% - Accent5 6 3" xfId="6507"/>
    <cellStyle name="40% - Accent5 6 3 2" xfId="6508"/>
    <cellStyle name="40% - Accent5 6 3 2 2" xfId="6509"/>
    <cellStyle name="40% - Accent5 6 3 2 3" xfId="6510"/>
    <cellStyle name="40% - Accent5 6 3 3" xfId="6511"/>
    <cellStyle name="40% - Accent5 6 3 3 2" xfId="6512"/>
    <cellStyle name="40% - Accent5 6 3 3 3" xfId="6513"/>
    <cellStyle name="40% - Accent5 6 3 4" xfId="6514"/>
    <cellStyle name="40% - Accent5 6 3 5" xfId="6515"/>
    <cellStyle name="40% - Accent5 6 3_Volatility" xfId="6516"/>
    <cellStyle name="40% - Accent5 6 4" xfId="6517"/>
    <cellStyle name="40% - Accent5 6 4 2" xfId="6518"/>
    <cellStyle name="40% - Accent5 6 4 3" xfId="6519"/>
    <cellStyle name="40% - Accent5 6 5" xfId="6520"/>
    <cellStyle name="40% - Accent5 6 5 2" xfId="6521"/>
    <cellStyle name="40% - Accent5 6 5 3" xfId="6522"/>
    <cellStyle name="40% - Accent5 6 6" xfId="6523"/>
    <cellStyle name="40% - Accent5 6 6 2" xfId="6524"/>
    <cellStyle name="40% - Accent5 6 6 3" xfId="6525"/>
    <cellStyle name="40% - Accent5 6 7" xfId="6526"/>
    <cellStyle name="40% - Accent5 6 8" xfId="6527"/>
    <cellStyle name="40% - Accent5 6_Volatility" xfId="6528"/>
    <cellStyle name="40% - Accent5 7" xfId="6529"/>
    <cellStyle name="40% - Accent5 7 2" xfId="6530"/>
    <cellStyle name="40% - Accent5 7 2 2" xfId="6531"/>
    <cellStyle name="40% - Accent5 7 2 2 2" xfId="6532"/>
    <cellStyle name="40% - Accent5 7 2 2 3" xfId="6533"/>
    <cellStyle name="40% - Accent5 7 2 3" xfId="6534"/>
    <cellStyle name="40% - Accent5 7 2 3 2" xfId="6535"/>
    <cellStyle name="40% - Accent5 7 2 3 3" xfId="6536"/>
    <cellStyle name="40% - Accent5 7 2 4" xfId="6537"/>
    <cellStyle name="40% - Accent5 7 2 4 2" xfId="6538"/>
    <cellStyle name="40% - Accent5 7 2 4 3" xfId="6539"/>
    <cellStyle name="40% - Accent5 7 2 5" xfId="6540"/>
    <cellStyle name="40% - Accent5 7 2 6" xfId="6541"/>
    <cellStyle name="40% - Accent5 7 2_Volatility" xfId="6542"/>
    <cellStyle name="40% - Accent5 7 3" xfId="6543"/>
    <cellStyle name="40% - Accent5 7 3 2" xfId="6544"/>
    <cellStyle name="40% - Accent5 7 3 2 2" xfId="6545"/>
    <cellStyle name="40% - Accent5 7 3 2 3" xfId="6546"/>
    <cellStyle name="40% - Accent5 7 3 3" xfId="6547"/>
    <cellStyle name="40% - Accent5 7 3 3 2" xfId="6548"/>
    <cellStyle name="40% - Accent5 7 3 3 3" xfId="6549"/>
    <cellStyle name="40% - Accent5 7 3 4" xfId="6550"/>
    <cellStyle name="40% - Accent5 7 3 5" xfId="6551"/>
    <cellStyle name="40% - Accent5 7 3_Volatility" xfId="6552"/>
    <cellStyle name="40% - Accent5 7 4" xfId="6553"/>
    <cellStyle name="40% - Accent5 7 4 2" xfId="6554"/>
    <cellStyle name="40% - Accent5 7 4 3" xfId="6555"/>
    <cellStyle name="40% - Accent5 7 5" xfId="6556"/>
    <cellStyle name="40% - Accent5 7 5 2" xfId="6557"/>
    <cellStyle name="40% - Accent5 7 5 3" xfId="6558"/>
    <cellStyle name="40% - Accent5 7 6" xfId="6559"/>
    <cellStyle name="40% - Accent5 7 6 2" xfId="6560"/>
    <cellStyle name="40% - Accent5 7 6 3" xfId="6561"/>
    <cellStyle name="40% - Accent5 7 7" xfId="6562"/>
    <cellStyle name="40% - Accent5 7 8" xfId="6563"/>
    <cellStyle name="40% - Accent5 7_Volatility" xfId="6564"/>
    <cellStyle name="40% - Accent5 8" xfId="6565"/>
    <cellStyle name="40% - Accent5 8 2" xfId="6566"/>
    <cellStyle name="40% - Accent5 8 2 2" xfId="6567"/>
    <cellStyle name="40% - Accent5 8 2 2 2" xfId="6568"/>
    <cellStyle name="40% - Accent5 8 2 2 3" xfId="6569"/>
    <cellStyle name="40% - Accent5 8 2 3" xfId="6570"/>
    <cellStyle name="40% - Accent5 8 2 3 2" xfId="6571"/>
    <cellStyle name="40% - Accent5 8 2 3 3" xfId="6572"/>
    <cellStyle name="40% - Accent5 8 2 4" xfId="6573"/>
    <cellStyle name="40% - Accent5 8 2 4 2" xfId="6574"/>
    <cellStyle name="40% - Accent5 8 2 4 3" xfId="6575"/>
    <cellStyle name="40% - Accent5 8 2 5" xfId="6576"/>
    <cellStyle name="40% - Accent5 8 2 6" xfId="6577"/>
    <cellStyle name="40% - Accent5 8 2_Volatility" xfId="6578"/>
    <cellStyle name="40% - Accent5 8 3" xfId="6579"/>
    <cellStyle name="40% - Accent5 8 3 2" xfId="6580"/>
    <cellStyle name="40% - Accent5 8 3 2 2" xfId="6581"/>
    <cellStyle name="40% - Accent5 8 3 2 3" xfId="6582"/>
    <cellStyle name="40% - Accent5 8 3 3" xfId="6583"/>
    <cellStyle name="40% - Accent5 8 3 3 2" xfId="6584"/>
    <cellStyle name="40% - Accent5 8 3 3 3" xfId="6585"/>
    <cellStyle name="40% - Accent5 8 3 4" xfId="6586"/>
    <cellStyle name="40% - Accent5 8 3 5" xfId="6587"/>
    <cellStyle name="40% - Accent5 8 3_Volatility" xfId="6588"/>
    <cellStyle name="40% - Accent5 8 4" xfId="6589"/>
    <cellStyle name="40% - Accent5 8 4 2" xfId="6590"/>
    <cellStyle name="40% - Accent5 8 4 3" xfId="6591"/>
    <cellStyle name="40% - Accent5 8 5" xfId="6592"/>
    <cellStyle name="40% - Accent5 8 5 2" xfId="6593"/>
    <cellStyle name="40% - Accent5 8 5 3" xfId="6594"/>
    <cellStyle name="40% - Accent5 8 6" xfId="6595"/>
    <cellStyle name="40% - Accent5 8 6 2" xfId="6596"/>
    <cellStyle name="40% - Accent5 8 6 3" xfId="6597"/>
    <cellStyle name="40% - Accent5 8 7" xfId="6598"/>
    <cellStyle name="40% - Accent5 8 8" xfId="6599"/>
    <cellStyle name="40% - Accent5 8_Volatility" xfId="6600"/>
    <cellStyle name="40% - Accent5 9" xfId="6601"/>
    <cellStyle name="40% - Accent5 9 2" xfId="6602"/>
    <cellStyle name="40% - Accent5 9 2 2" xfId="6603"/>
    <cellStyle name="40% - Accent5 9 2 2 2" xfId="6604"/>
    <cellStyle name="40% - Accent5 9 2 2 3" xfId="6605"/>
    <cellStyle name="40% - Accent5 9 2 3" xfId="6606"/>
    <cellStyle name="40% - Accent5 9 2 3 2" xfId="6607"/>
    <cellStyle name="40% - Accent5 9 2 3 3" xfId="6608"/>
    <cellStyle name="40% - Accent5 9 2 4" xfId="6609"/>
    <cellStyle name="40% - Accent5 9 2 4 2" xfId="6610"/>
    <cellStyle name="40% - Accent5 9 2 4 3" xfId="6611"/>
    <cellStyle name="40% - Accent5 9 2 5" xfId="6612"/>
    <cellStyle name="40% - Accent5 9 2 6" xfId="6613"/>
    <cellStyle name="40% - Accent5 9 2_Volatility" xfId="6614"/>
    <cellStyle name="40% - Accent5 9 3" xfId="6615"/>
    <cellStyle name="40% - Accent5 9 3 2" xfId="6616"/>
    <cellStyle name="40% - Accent5 9 3 2 2" xfId="6617"/>
    <cellStyle name="40% - Accent5 9 3 2 3" xfId="6618"/>
    <cellStyle name="40% - Accent5 9 3 3" xfId="6619"/>
    <cellStyle name="40% - Accent5 9 3 3 2" xfId="6620"/>
    <cellStyle name="40% - Accent5 9 3 3 3" xfId="6621"/>
    <cellStyle name="40% - Accent5 9 3 4" xfId="6622"/>
    <cellStyle name="40% - Accent5 9 3 5" xfId="6623"/>
    <cellStyle name="40% - Accent5 9 3_Volatility" xfId="6624"/>
    <cellStyle name="40% - Accent5 9 4" xfId="6625"/>
    <cellStyle name="40% - Accent5 9 4 2" xfId="6626"/>
    <cellStyle name="40% - Accent5 9 4 3" xfId="6627"/>
    <cellStyle name="40% - Accent5 9 5" xfId="6628"/>
    <cellStyle name="40% - Accent5 9 5 2" xfId="6629"/>
    <cellStyle name="40% - Accent5 9 5 3" xfId="6630"/>
    <cellStyle name="40% - Accent5 9 6" xfId="6631"/>
    <cellStyle name="40% - Accent5 9 6 2" xfId="6632"/>
    <cellStyle name="40% - Accent5 9 6 3" xfId="6633"/>
    <cellStyle name="40% - Accent5 9 7" xfId="6634"/>
    <cellStyle name="40% - Accent5 9 8" xfId="6635"/>
    <cellStyle name="40% - Accent5 9_Volatility" xfId="6636"/>
    <cellStyle name="40% - Accent6 10" xfId="6637"/>
    <cellStyle name="40% - Accent6 10 2" xfId="6638"/>
    <cellStyle name="40% - Accent6 10 2 2" xfId="6639"/>
    <cellStyle name="40% - Accent6 10 2 2 2" xfId="6640"/>
    <cellStyle name="40% - Accent6 10 2 2 3" xfId="6641"/>
    <cellStyle name="40% - Accent6 10 2 3" xfId="6642"/>
    <cellStyle name="40% - Accent6 10 2 3 2" xfId="6643"/>
    <cellStyle name="40% - Accent6 10 2 3 3" xfId="6644"/>
    <cellStyle name="40% - Accent6 10 2 4" xfId="6645"/>
    <cellStyle name="40% - Accent6 10 2 4 2" xfId="6646"/>
    <cellStyle name="40% - Accent6 10 2 4 3" xfId="6647"/>
    <cellStyle name="40% - Accent6 10 2 5" xfId="6648"/>
    <cellStyle name="40% - Accent6 10 2 6" xfId="6649"/>
    <cellStyle name="40% - Accent6 10 2_Volatility" xfId="6650"/>
    <cellStyle name="40% - Accent6 10 3" xfId="6651"/>
    <cellStyle name="40% - Accent6 10 3 2" xfId="6652"/>
    <cellStyle name="40% - Accent6 10 3 2 2" xfId="6653"/>
    <cellStyle name="40% - Accent6 10 3 2 3" xfId="6654"/>
    <cellStyle name="40% - Accent6 10 3 3" xfId="6655"/>
    <cellStyle name="40% - Accent6 10 3 3 2" xfId="6656"/>
    <cellStyle name="40% - Accent6 10 3 3 3" xfId="6657"/>
    <cellStyle name="40% - Accent6 10 3 4" xfId="6658"/>
    <cellStyle name="40% - Accent6 10 3 5" xfId="6659"/>
    <cellStyle name="40% - Accent6 10 3_Volatility" xfId="6660"/>
    <cellStyle name="40% - Accent6 10 4" xfId="6661"/>
    <cellStyle name="40% - Accent6 10 4 2" xfId="6662"/>
    <cellStyle name="40% - Accent6 10 4 3" xfId="6663"/>
    <cellStyle name="40% - Accent6 10 5" xfId="6664"/>
    <cellStyle name="40% - Accent6 10 5 2" xfId="6665"/>
    <cellStyle name="40% - Accent6 10 5 3" xfId="6666"/>
    <cellStyle name="40% - Accent6 10 6" xfId="6667"/>
    <cellStyle name="40% - Accent6 10 6 2" xfId="6668"/>
    <cellStyle name="40% - Accent6 10 6 3" xfId="6669"/>
    <cellStyle name="40% - Accent6 10 7" xfId="6670"/>
    <cellStyle name="40% - Accent6 10 8" xfId="6671"/>
    <cellStyle name="40% - Accent6 10_Volatility" xfId="6672"/>
    <cellStyle name="40% - Accent6 11" xfId="6673"/>
    <cellStyle name="40% - Accent6 11 2" xfId="6674"/>
    <cellStyle name="40% - Accent6 11 2 2" xfId="6675"/>
    <cellStyle name="40% - Accent6 11 2 2 2" xfId="6676"/>
    <cellStyle name="40% - Accent6 11 2 2 3" xfId="6677"/>
    <cellStyle name="40% - Accent6 11 2 3" xfId="6678"/>
    <cellStyle name="40% - Accent6 11 2 3 2" xfId="6679"/>
    <cellStyle name="40% - Accent6 11 2 3 3" xfId="6680"/>
    <cellStyle name="40% - Accent6 11 2 4" xfId="6681"/>
    <cellStyle name="40% - Accent6 11 2 4 2" xfId="6682"/>
    <cellStyle name="40% - Accent6 11 2 4 3" xfId="6683"/>
    <cellStyle name="40% - Accent6 11 2 5" xfId="6684"/>
    <cellStyle name="40% - Accent6 11 2 6" xfId="6685"/>
    <cellStyle name="40% - Accent6 11 2_Volatility" xfId="6686"/>
    <cellStyle name="40% - Accent6 11 3" xfId="6687"/>
    <cellStyle name="40% - Accent6 11 3 2" xfId="6688"/>
    <cellStyle name="40% - Accent6 11 3 2 2" xfId="6689"/>
    <cellStyle name="40% - Accent6 11 3 2 3" xfId="6690"/>
    <cellStyle name="40% - Accent6 11 3 3" xfId="6691"/>
    <cellStyle name="40% - Accent6 11 3 3 2" xfId="6692"/>
    <cellStyle name="40% - Accent6 11 3 3 3" xfId="6693"/>
    <cellStyle name="40% - Accent6 11 3 4" xfId="6694"/>
    <cellStyle name="40% - Accent6 11 3 5" xfId="6695"/>
    <cellStyle name="40% - Accent6 11 3_Volatility" xfId="6696"/>
    <cellStyle name="40% - Accent6 11 4" xfId="6697"/>
    <cellStyle name="40% - Accent6 11 4 2" xfId="6698"/>
    <cellStyle name="40% - Accent6 11 4 3" xfId="6699"/>
    <cellStyle name="40% - Accent6 11 5" xfId="6700"/>
    <cellStyle name="40% - Accent6 11 5 2" xfId="6701"/>
    <cellStyle name="40% - Accent6 11 5 3" xfId="6702"/>
    <cellStyle name="40% - Accent6 11 6" xfId="6703"/>
    <cellStyle name="40% - Accent6 11 6 2" xfId="6704"/>
    <cellStyle name="40% - Accent6 11 6 3" xfId="6705"/>
    <cellStyle name="40% - Accent6 11 7" xfId="6706"/>
    <cellStyle name="40% - Accent6 11 8" xfId="6707"/>
    <cellStyle name="40% - Accent6 11_Volatility" xfId="6708"/>
    <cellStyle name="40% - Accent6 12" xfId="6709"/>
    <cellStyle name="40% - Accent6 12 2" xfId="6710"/>
    <cellStyle name="40% - Accent6 12 2 2" xfId="6711"/>
    <cellStyle name="40% - Accent6 12 2 2 2" xfId="6712"/>
    <cellStyle name="40% - Accent6 12 2 2 3" xfId="6713"/>
    <cellStyle name="40% - Accent6 12 2 3" xfId="6714"/>
    <cellStyle name="40% - Accent6 12 2 3 2" xfId="6715"/>
    <cellStyle name="40% - Accent6 12 2 3 3" xfId="6716"/>
    <cellStyle name="40% - Accent6 12 2 4" xfId="6717"/>
    <cellStyle name="40% - Accent6 12 2 4 2" xfId="6718"/>
    <cellStyle name="40% - Accent6 12 2 4 3" xfId="6719"/>
    <cellStyle name="40% - Accent6 12 2 5" xfId="6720"/>
    <cellStyle name="40% - Accent6 12 2 6" xfId="6721"/>
    <cellStyle name="40% - Accent6 12 2_Volatility" xfId="6722"/>
    <cellStyle name="40% - Accent6 12 3" xfId="6723"/>
    <cellStyle name="40% - Accent6 12 3 2" xfId="6724"/>
    <cellStyle name="40% - Accent6 12 3 2 2" xfId="6725"/>
    <cellStyle name="40% - Accent6 12 3 2 3" xfId="6726"/>
    <cellStyle name="40% - Accent6 12 3 3" xfId="6727"/>
    <cellStyle name="40% - Accent6 12 3 3 2" xfId="6728"/>
    <cellStyle name="40% - Accent6 12 3 3 3" xfId="6729"/>
    <cellStyle name="40% - Accent6 12 3 4" xfId="6730"/>
    <cellStyle name="40% - Accent6 12 3 5" xfId="6731"/>
    <cellStyle name="40% - Accent6 12 3_Volatility" xfId="6732"/>
    <cellStyle name="40% - Accent6 12 4" xfId="6733"/>
    <cellStyle name="40% - Accent6 12 4 2" xfId="6734"/>
    <cellStyle name="40% - Accent6 12 4 3" xfId="6735"/>
    <cellStyle name="40% - Accent6 12 5" xfId="6736"/>
    <cellStyle name="40% - Accent6 12 5 2" xfId="6737"/>
    <cellStyle name="40% - Accent6 12 5 3" xfId="6738"/>
    <cellStyle name="40% - Accent6 12 6" xfId="6739"/>
    <cellStyle name="40% - Accent6 12 6 2" xfId="6740"/>
    <cellStyle name="40% - Accent6 12 6 3" xfId="6741"/>
    <cellStyle name="40% - Accent6 12 7" xfId="6742"/>
    <cellStyle name="40% - Accent6 12 8" xfId="6743"/>
    <cellStyle name="40% - Accent6 12_Volatility" xfId="6744"/>
    <cellStyle name="40% - Accent6 13" xfId="6745"/>
    <cellStyle name="40% - Accent6 13 2" xfId="6746"/>
    <cellStyle name="40% - Accent6 13 2 2" xfId="6747"/>
    <cellStyle name="40% - Accent6 13 2 2 2" xfId="6748"/>
    <cellStyle name="40% - Accent6 13 2 2 3" xfId="6749"/>
    <cellStyle name="40% - Accent6 13 2 3" xfId="6750"/>
    <cellStyle name="40% - Accent6 13 2 3 2" xfId="6751"/>
    <cellStyle name="40% - Accent6 13 2 3 3" xfId="6752"/>
    <cellStyle name="40% - Accent6 13 2 4" xfId="6753"/>
    <cellStyle name="40% - Accent6 13 2 4 2" xfId="6754"/>
    <cellStyle name="40% - Accent6 13 2 4 3" xfId="6755"/>
    <cellStyle name="40% - Accent6 13 2 5" xfId="6756"/>
    <cellStyle name="40% - Accent6 13 2 6" xfId="6757"/>
    <cellStyle name="40% - Accent6 13 2_Volatility" xfId="6758"/>
    <cellStyle name="40% - Accent6 13 3" xfId="6759"/>
    <cellStyle name="40% - Accent6 13 3 2" xfId="6760"/>
    <cellStyle name="40% - Accent6 13 3 2 2" xfId="6761"/>
    <cellStyle name="40% - Accent6 13 3 2 3" xfId="6762"/>
    <cellStyle name="40% - Accent6 13 3 3" xfId="6763"/>
    <cellStyle name="40% - Accent6 13 3 3 2" xfId="6764"/>
    <cellStyle name="40% - Accent6 13 3 3 3" xfId="6765"/>
    <cellStyle name="40% - Accent6 13 3 4" xfId="6766"/>
    <cellStyle name="40% - Accent6 13 3 5" xfId="6767"/>
    <cellStyle name="40% - Accent6 13 3_Volatility" xfId="6768"/>
    <cellStyle name="40% - Accent6 13 4" xfId="6769"/>
    <cellStyle name="40% - Accent6 13 4 2" xfId="6770"/>
    <cellStyle name="40% - Accent6 13 4 3" xfId="6771"/>
    <cellStyle name="40% - Accent6 13 5" xfId="6772"/>
    <cellStyle name="40% - Accent6 13 5 2" xfId="6773"/>
    <cellStyle name="40% - Accent6 13 5 3" xfId="6774"/>
    <cellStyle name="40% - Accent6 13 6" xfId="6775"/>
    <cellStyle name="40% - Accent6 13 6 2" xfId="6776"/>
    <cellStyle name="40% - Accent6 13 6 3" xfId="6777"/>
    <cellStyle name="40% - Accent6 13 7" xfId="6778"/>
    <cellStyle name="40% - Accent6 13 8" xfId="6779"/>
    <cellStyle name="40% - Accent6 13_Volatility" xfId="6780"/>
    <cellStyle name="40% - Accent6 14" xfId="6781"/>
    <cellStyle name="40% - Accent6 14 2" xfId="6782"/>
    <cellStyle name="40% - Accent6 14 2 2" xfId="6783"/>
    <cellStyle name="40% - Accent6 14 2 2 2" xfId="6784"/>
    <cellStyle name="40% - Accent6 14 2 2 3" xfId="6785"/>
    <cellStyle name="40% - Accent6 14 2 3" xfId="6786"/>
    <cellStyle name="40% - Accent6 14 2 3 2" xfId="6787"/>
    <cellStyle name="40% - Accent6 14 2 3 3" xfId="6788"/>
    <cellStyle name="40% - Accent6 14 2 4" xfId="6789"/>
    <cellStyle name="40% - Accent6 14 2 4 2" xfId="6790"/>
    <cellStyle name="40% - Accent6 14 2 4 3" xfId="6791"/>
    <cellStyle name="40% - Accent6 14 2 5" xfId="6792"/>
    <cellStyle name="40% - Accent6 14 2 6" xfId="6793"/>
    <cellStyle name="40% - Accent6 14 2_Volatility" xfId="6794"/>
    <cellStyle name="40% - Accent6 14 3" xfId="6795"/>
    <cellStyle name="40% - Accent6 14 3 2" xfId="6796"/>
    <cellStyle name="40% - Accent6 14 3 2 2" xfId="6797"/>
    <cellStyle name="40% - Accent6 14 3 2 3" xfId="6798"/>
    <cellStyle name="40% - Accent6 14 3 3" xfId="6799"/>
    <cellStyle name="40% - Accent6 14 3 3 2" xfId="6800"/>
    <cellStyle name="40% - Accent6 14 3 3 3" xfId="6801"/>
    <cellStyle name="40% - Accent6 14 3 4" xfId="6802"/>
    <cellStyle name="40% - Accent6 14 3 5" xfId="6803"/>
    <cellStyle name="40% - Accent6 14 3_Volatility" xfId="6804"/>
    <cellStyle name="40% - Accent6 14 4" xfId="6805"/>
    <cellStyle name="40% - Accent6 14 4 2" xfId="6806"/>
    <cellStyle name="40% - Accent6 14 4 3" xfId="6807"/>
    <cellStyle name="40% - Accent6 14 5" xfId="6808"/>
    <cellStyle name="40% - Accent6 14 5 2" xfId="6809"/>
    <cellStyle name="40% - Accent6 14 5 3" xfId="6810"/>
    <cellStyle name="40% - Accent6 14 6" xfId="6811"/>
    <cellStyle name="40% - Accent6 14 6 2" xfId="6812"/>
    <cellStyle name="40% - Accent6 14 6 3" xfId="6813"/>
    <cellStyle name="40% - Accent6 14 7" xfId="6814"/>
    <cellStyle name="40% - Accent6 14 8" xfId="6815"/>
    <cellStyle name="40% - Accent6 14_Volatility" xfId="6816"/>
    <cellStyle name="40% - Accent6 15" xfId="6817"/>
    <cellStyle name="40% - Accent6 15 2" xfId="6818"/>
    <cellStyle name="40% - Accent6 15 2 2" xfId="6819"/>
    <cellStyle name="40% - Accent6 15 2 2 2" xfId="6820"/>
    <cellStyle name="40% - Accent6 15 2 2 3" xfId="6821"/>
    <cellStyle name="40% - Accent6 15 2 3" xfId="6822"/>
    <cellStyle name="40% - Accent6 15 2 3 2" xfId="6823"/>
    <cellStyle name="40% - Accent6 15 2 3 3" xfId="6824"/>
    <cellStyle name="40% - Accent6 15 2 4" xfId="6825"/>
    <cellStyle name="40% - Accent6 15 2 4 2" xfId="6826"/>
    <cellStyle name="40% - Accent6 15 2 4 3" xfId="6827"/>
    <cellStyle name="40% - Accent6 15 2 5" xfId="6828"/>
    <cellStyle name="40% - Accent6 15 2 6" xfId="6829"/>
    <cellStyle name="40% - Accent6 15 2_Volatility" xfId="6830"/>
    <cellStyle name="40% - Accent6 15 3" xfId="6831"/>
    <cellStyle name="40% - Accent6 15 3 2" xfId="6832"/>
    <cellStyle name="40% - Accent6 15 3 2 2" xfId="6833"/>
    <cellStyle name="40% - Accent6 15 3 2 3" xfId="6834"/>
    <cellStyle name="40% - Accent6 15 3 3" xfId="6835"/>
    <cellStyle name="40% - Accent6 15 3 3 2" xfId="6836"/>
    <cellStyle name="40% - Accent6 15 3 3 3" xfId="6837"/>
    <cellStyle name="40% - Accent6 15 3 4" xfId="6838"/>
    <cellStyle name="40% - Accent6 15 3 5" xfId="6839"/>
    <cellStyle name="40% - Accent6 15 3_Volatility" xfId="6840"/>
    <cellStyle name="40% - Accent6 15 4" xfId="6841"/>
    <cellStyle name="40% - Accent6 15 4 2" xfId="6842"/>
    <cellStyle name="40% - Accent6 15 4 3" xfId="6843"/>
    <cellStyle name="40% - Accent6 15 5" xfId="6844"/>
    <cellStyle name="40% - Accent6 15 5 2" xfId="6845"/>
    <cellStyle name="40% - Accent6 15 5 3" xfId="6846"/>
    <cellStyle name="40% - Accent6 15 6" xfId="6847"/>
    <cellStyle name="40% - Accent6 15 6 2" xfId="6848"/>
    <cellStyle name="40% - Accent6 15 6 3" xfId="6849"/>
    <cellStyle name="40% - Accent6 15 7" xfId="6850"/>
    <cellStyle name="40% - Accent6 15 8" xfId="6851"/>
    <cellStyle name="40% - Accent6 15_Volatility" xfId="6852"/>
    <cellStyle name="40% - Accent6 16" xfId="6853"/>
    <cellStyle name="40% - Accent6 16 2" xfId="15945"/>
    <cellStyle name="40% - Accent6 16 3" xfId="19896"/>
    <cellStyle name="40% - Accent6 17" xfId="6854"/>
    <cellStyle name="40% - Accent6 17 2" xfId="15946"/>
    <cellStyle name="40% - Accent6 17 3" xfId="19897"/>
    <cellStyle name="40% - Accent6 18" xfId="6855"/>
    <cellStyle name="40% - Accent6 18 2" xfId="15947"/>
    <cellStyle name="40% - Accent6 18 3" xfId="19898"/>
    <cellStyle name="40% - Accent6 19" xfId="6856"/>
    <cellStyle name="40% - Accent6 19 2" xfId="15948"/>
    <cellStyle name="40% - Accent6 19 3" xfId="19899"/>
    <cellStyle name="40% - Accent6 2" xfId="6857"/>
    <cellStyle name="40% - Accent6 2 2" xfId="6858"/>
    <cellStyle name="40% - Accent6 2 2 2" xfId="6859"/>
    <cellStyle name="40% - Accent6 2 2 2 2" xfId="6860"/>
    <cellStyle name="40% - Accent6 2 2 2 3" xfId="6861"/>
    <cellStyle name="40% - Accent6 2 2 3" xfId="6862"/>
    <cellStyle name="40% - Accent6 2 2 3 2" xfId="6863"/>
    <cellStyle name="40% - Accent6 2 2 3 3" xfId="6864"/>
    <cellStyle name="40% - Accent6 2 2 4" xfId="6865"/>
    <cellStyle name="40% - Accent6 2 2 4 2" xfId="6866"/>
    <cellStyle name="40% - Accent6 2 2 4 3" xfId="6867"/>
    <cellStyle name="40% - Accent6 2 2 5" xfId="6868"/>
    <cellStyle name="40% - Accent6 2 2 6" xfId="6869"/>
    <cellStyle name="40% - Accent6 2 2_Volatility" xfId="6870"/>
    <cellStyle name="40% - Accent6 2 3" xfId="6871"/>
    <cellStyle name="40% - Accent6 2 3 2" xfId="6872"/>
    <cellStyle name="40% - Accent6 2 3 2 2" xfId="6873"/>
    <cellStyle name="40% - Accent6 2 3 2 3" xfId="6874"/>
    <cellStyle name="40% - Accent6 2 3 3" xfId="6875"/>
    <cellStyle name="40% - Accent6 2 3 3 2" xfId="6876"/>
    <cellStyle name="40% - Accent6 2 3 3 3" xfId="6877"/>
    <cellStyle name="40% - Accent6 2 3 4" xfId="6878"/>
    <cellStyle name="40% - Accent6 2 3 5" xfId="6879"/>
    <cellStyle name="40% - Accent6 2 3_Volatility" xfId="6880"/>
    <cellStyle name="40% - Accent6 2 4" xfId="6881"/>
    <cellStyle name="40% - Accent6 2 4 2" xfId="6882"/>
    <cellStyle name="40% - Accent6 2 4 3" xfId="6883"/>
    <cellStyle name="40% - Accent6 2 5" xfId="6884"/>
    <cellStyle name="40% - Accent6 2 5 2" xfId="6885"/>
    <cellStyle name="40% - Accent6 2 5 3" xfId="6886"/>
    <cellStyle name="40% - Accent6 2 6" xfId="6887"/>
    <cellStyle name="40% - Accent6 2 6 2" xfId="6888"/>
    <cellStyle name="40% - Accent6 2 6 3" xfId="6889"/>
    <cellStyle name="40% - Accent6 2 7" xfId="6890"/>
    <cellStyle name="40% - Accent6 2 8" xfId="6891"/>
    <cellStyle name="40% - Accent6 2_Volatility" xfId="6892"/>
    <cellStyle name="40% - Accent6 3" xfId="6893"/>
    <cellStyle name="40% - Accent6 3 2" xfId="6894"/>
    <cellStyle name="40% - Accent6 3 2 2" xfId="6895"/>
    <cellStyle name="40% - Accent6 3 2 2 2" xfId="6896"/>
    <cellStyle name="40% - Accent6 3 2 2 3" xfId="6897"/>
    <cellStyle name="40% - Accent6 3 2 3" xfId="6898"/>
    <cellStyle name="40% - Accent6 3 2 3 2" xfId="6899"/>
    <cellStyle name="40% - Accent6 3 2 3 3" xfId="6900"/>
    <cellStyle name="40% - Accent6 3 2 4" xfId="6901"/>
    <cellStyle name="40% - Accent6 3 2 4 2" xfId="6902"/>
    <cellStyle name="40% - Accent6 3 2 4 3" xfId="6903"/>
    <cellStyle name="40% - Accent6 3 2 5" xfId="6904"/>
    <cellStyle name="40% - Accent6 3 2 6" xfId="6905"/>
    <cellStyle name="40% - Accent6 3 2_Volatility" xfId="6906"/>
    <cellStyle name="40% - Accent6 3 3" xfId="6907"/>
    <cellStyle name="40% - Accent6 3 3 2" xfId="6908"/>
    <cellStyle name="40% - Accent6 3 3 2 2" xfId="6909"/>
    <cellStyle name="40% - Accent6 3 3 2 3" xfId="6910"/>
    <cellStyle name="40% - Accent6 3 3 3" xfId="6911"/>
    <cellStyle name="40% - Accent6 3 3 3 2" xfId="6912"/>
    <cellStyle name="40% - Accent6 3 3 3 3" xfId="6913"/>
    <cellStyle name="40% - Accent6 3 3 4" xfId="6914"/>
    <cellStyle name="40% - Accent6 3 3 5" xfId="6915"/>
    <cellStyle name="40% - Accent6 3 3_Volatility" xfId="6916"/>
    <cellStyle name="40% - Accent6 3 4" xfId="6917"/>
    <cellStyle name="40% - Accent6 3 4 2" xfId="6918"/>
    <cellStyle name="40% - Accent6 3 4 3" xfId="6919"/>
    <cellStyle name="40% - Accent6 3 5" xfId="6920"/>
    <cellStyle name="40% - Accent6 3 5 2" xfId="6921"/>
    <cellStyle name="40% - Accent6 3 5 3" xfId="6922"/>
    <cellStyle name="40% - Accent6 3 6" xfId="6923"/>
    <cellStyle name="40% - Accent6 3 6 2" xfId="6924"/>
    <cellStyle name="40% - Accent6 3 6 3" xfId="6925"/>
    <cellStyle name="40% - Accent6 3 7" xfId="6926"/>
    <cellStyle name="40% - Accent6 3 8" xfId="6927"/>
    <cellStyle name="40% - Accent6 3_Volatility" xfId="6928"/>
    <cellStyle name="40% - Accent6 4" xfId="6929"/>
    <cellStyle name="40% - Accent6 4 2" xfId="6930"/>
    <cellStyle name="40% - Accent6 4 2 2" xfId="6931"/>
    <cellStyle name="40% - Accent6 4 2 2 2" xfId="6932"/>
    <cellStyle name="40% - Accent6 4 2 2 3" xfId="6933"/>
    <cellStyle name="40% - Accent6 4 2 3" xfId="6934"/>
    <cellStyle name="40% - Accent6 4 2 3 2" xfId="6935"/>
    <cellStyle name="40% - Accent6 4 2 3 3" xfId="6936"/>
    <cellStyle name="40% - Accent6 4 2 4" xfId="6937"/>
    <cellStyle name="40% - Accent6 4 2 4 2" xfId="6938"/>
    <cellStyle name="40% - Accent6 4 2 4 3" xfId="6939"/>
    <cellStyle name="40% - Accent6 4 2 5" xfId="6940"/>
    <cellStyle name="40% - Accent6 4 2 6" xfId="6941"/>
    <cellStyle name="40% - Accent6 4 2_Volatility" xfId="6942"/>
    <cellStyle name="40% - Accent6 4 3" xfId="6943"/>
    <cellStyle name="40% - Accent6 4 3 2" xfId="6944"/>
    <cellStyle name="40% - Accent6 4 3 2 2" xfId="6945"/>
    <cellStyle name="40% - Accent6 4 3 2 3" xfId="6946"/>
    <cellStyle name="40% - Accent6 4 3 3" xfId="6947"/>
    <cellStyle name="40% - Accent6 4 3 3 2" xfId="6948"/>
    <cellStyle name="40% - Accent6 4 3 3 3" xfId="6949"/>
    <cellStyle name="40% - Accent6 4 3 4" xfId="6950"/>
    <cellStyle name="40% - Accent6 4 3 5" xfId="6951"/>
    <cellStyle name="40% - Accent6 4 3_Volatility" xfId="6952"/>
    <cellStyle name="40% - Accent6 4 4" xfId="6953"/>
    <cellStyle name="40% - Accent6 4 4 2" xfId="6954"/>
    <cellStyle name="40% - Accent6 4 4 3" xfId="6955"/>
    <cellStyle name="40% - Accent6 4 5" xfId="6956"/>
    <cellStyle name="40% - Accent6 4 5 2" xfId="6957"/>
    <cellStyle name="40% - Accent6 4 5 3" xfId="6958"/>
    <cellStyle name="40% - Accent6 4 6" xfId="6959"/>
    <cellStyle name="40% - Accent6 4 6 2" xfId="6960"/>
    <cellStyle name="40% - Accent6 4 6 3" xfId="6961"/>
    <cellStyle name="40% - Accent6 4 7" xfId="6962"/>
    <cellStyle name="40% - Accent6 4 8" xfId="6963"/>
    <cellStyle name="40% - Accent6 4_Volatility" xfId="6964"/>
    <cellStyle name="40% - Accent6 5" xfId="6965"/>
    <cellStyle name="40% - Accent6 5 2" xfId="6966"/>
    <cellStyle name="40% - Accent6 5 2 2" xfId="6967"/>
    <cellStyle name="40% - Accent6 5 2 2 2" xfId="6968"/>
    <cellStyle name="40% - Accent6 5 2 2 3" xfId="6969"/>
    <cellStyle name="40% - Accent6 5 2 3" xfId="6970"/>
    <cellStyle name="40% - Accent6 5 2 3 2" xfId="6971"/>
    <cellStyle name="40% - Accent6 5 2 3 3" xfId="6972"/>
    <cellStyle name="40% - Accent6 5 2 4" xfId="6973"/>
    <cellStyle name="40% - Accent6 5 2 4 2" xfId="6974"/>
    <cellStyle name="40% - Accent6 5 2 4 3" xfId="6975"/>
    <cellStyle name="40% - Accent6 5 2 5" xfId="6976"/>
    <cellStyle name="40% - Accent6 5 2 6" xfId="6977"/>
    <cellStyle name="40% - Accent6 5 2_Volatility" xfId="6978"/>
    <cellStyle name="40% - Accent6 5 3" xfId="6979"/>
    <cellStyle name="40% - Accent6 5 3 2" xfId="6980"/>
    <cellStyle name="40% - Accent6 5 3 2 2" xfId="6981"/>
    <cellStyle name="40% - Accent6 5 3 2 3" xfId="6982"/>
    <cellStyle name="40% - Accent6 5 3 3" xfId="6983"/>
    <cellStyle name="40% - Accent6 5 3 3 2" xfId="6984"/>
    <cellStyle name="40% - Accent6 5 3 3 3" xfId="6985"/>
    <cellStyle name="40% - Accent6 5 3 4" xfId="6986"/>
    <cellStyle name="40% - Accent6 5 3 5" xfId="6987"/>
    <cellStyle name="40% - Accent6 5 3_Volatility" xfId="6988"/>
    <cellStyle name="40% - Accent6 5 4" xfId="6989"/>
    <cellStyle name="40% - Accent6 5 4 2" xfId="6990"/>
    <cellStyle name="40% - Accent6 5 4 3" xfId="6991"/>
    <cellStyle name="40% - Accent6 5 5" xfId="6992"/>
    <cellStyle name="40% - Accent6 5 5 2" xfId="6993"/>
    <cellStyle name="40% - Accent6 5 5 3" xfId="6994"/>
    <cellStyle name="40% - Accent6 5 6" xfId="6995"/>
    <cellStyle name="40% - Accent6 5 6 2" xfId="6996"/>
    <cellStyle name="40% - Accent6 5 6 3" xfId="6997"/>
    <cellStyle name="40% - Accent6 5 7" xfId="6998"/>
    <cellStyle name="40% - Accent6 5 8" xfId="6999"/>
    <cellStyle name="40% - Accent6 5_Volatility" xfId="7000"/>
    <cellStyle name="40% - Accent6 6" xfId="7001"/>
    <cellStyle name="40% - Accent6 6 2" xfId="7002"/>
    <cellStyle name="40% - Accent6 6 2 2" xfId="7003"/>
    <cellStyle name="40% - Accent6 6 2 2 2" xfId="7004"/>
    <cellStyle name="40% - Accent6 6 2 2 3" xfId="7005"/>
    <cellStyle name="40% - Accent6 6 2 3" xfId="7006"/>
    <cellStyle name="40% - Accent6 6 2 3 2" xfId="7007"/>
    <cellStyle name="40% - Accent6 6 2 3 3" xfId="7008"/>
    <cellStyle name="40% - Accent6 6 2 4" xfId="7009"/>
    <cellStyle name="40% - Accent6 6 2 4 2" xfId="7010"/>
    <cellStyle name="40% - Accent6 6 2 4 3" xfId="7011"/>
    <cellStyle name="40% - Accent6 6 2 5" xfId="7012"/>
    <cellStyle name="40% - Accent6 6 2 6" xfId="7013"/>
    <cellStyle name="40% - Accent6 6 2_Volatility" xfId="7014"/>
    <cellStyle name="40% - Accent6 6 3" xfId="7015"/>
    <cellStyle name="40% - Accent6 6 3 2" xfId="7016"/>
    <cellStyle name="40% - Accent6 6 3 2 2" xfId="7017"/>
    <cellStyle name="40% - Accent6 6 3 2 3" xfId="7018"/>
    <cellStyle name="40% - Accent6 6 3 3" xfId="7019"/>
    <cellStyle name="40% - Accent6 6 3 3 2" xfId="7020"/>
    <cellStyle name="40% - Accent6 6 3 3 3" xfId="7021"/>
    <cellStyle name="40% - Accent6 6 3 4" xfId="7022"/>
    <cellStyle name="40% - Accent6 6 3 5" xfId="7023"/>
    <cellStyle name="40% - Accent6 6 3_Volatility" xfId="7024"/>
    <cellStyle name="40% - Accent6 6 4" xfId="7025"/>
    <cellStyle name="40% - Accent6 6 4 2" xfId="7026"/>
    <cellStyle name="40% - Accent6 6 4 3" xfId="7027"/>
    <cellStyle name="40% - Accent6 6 5" xfId="7028"/>
    <cellStyle name="40% - Accent6 6 5 2" xfId="7029"/>
    <cellStyle name="40% - Accent6 6 5 3" xfId="7030"/>
    <cellStyle name="40% - Accent6 6 6" xfId="7031"/>
    <cellStyle name="40% - Accent6 6 6 2" xfId="7032"/>
    <cellStyle name="40% - Accent6 6 6 3" xfId="7033"/>
    <cellStyle name="40% - Accent6 6 7" xfId="7034"/>
    <cellStyle name="40% - Accent6 6 8" xfId="7035"/>
    <cellStyle name="40% - Accent6 6_Volatility" xfId="7036"/>
    <cellStyle name="40% - Accent6 7" xfId="7037"/>
    <cellStyle name="40% - Accent6 7 2" xfId="7038"/>
    <cellStyle name="40% - Accent6 7 2 2" xfId="7039"/>
    <cellStyle name="40% - Accent6 7 2 2 2" xfId="7040"/>
    <cellStyle name="40% - Accent6 7 2 2 3" xfId="7041"/>
    <cellStyle name="40% - Accent6 7 2 3" xfId="7042"/>
    <cellStyle name="40% - Accent6 7 2 3 2" xfId="7043"/>
    <cellStyle name="40% - Accent6 7 2 3 3" xfId="7044"/>
    <cellStyle name="40% - Accent6 7 2 4" xfId="7045"/>
    <cellStyle name="40% - Accent6 7 2 4 2" xfId="7046"/>
    <cellStyle name="40% - Accent6 7 2 4 3" xfId="7047"/>
    <cellStyle name="40% - Accent6 7 2 5" xfId="7048"/>
    <cellStyle name="40% - Accent6 7 2 6" xfId="7049"/>
    <cellStyle name="40% - Accent6 7 2_Volatility" xfId="7050"/>
    <cellStyle name="40% - Accent6 7 3" xfId="7051"/>
    <cellStyle name="40% - Accent6 7 3 2" xfId="7052"/>
    <cellStyle name="40% - Accent6 7 3 2 2" xfId="7053"/>
    <cellStyle name="40% - Accent6 7 3 2 3" xfId="7054"/>
    <cellStyle name="40% - Accent6 7 3 3" xfId="7055"/>
    <cellStyle name="40% - Accent6 7 3 3 2" xfId="7056"/>
    <cellStyle name="40% - Accent6 7 3 3 3" xfId="7057"/>
    <cellStyle name="40% - Accent6 7 3 4" xfId="7058"/>
    <cellStyle name="40% - Accent6 7 3 5" xfId="7059"/>
    <cellStyle name="40% - Accent6 7 3_Volatility" xfId="7060"/>
    <cellStyle name="40% - Accent6 7 4" xfId="7061"/>
    <cellStyle name="40% - Accent6 7 4 2" xfId="7062"/>
    <cellStyle name="40% - Accent6 7 4 3" xfId="7063"/>
    <cellStyle name="40% - Accent6 7 5" xfId="7064"/>
    <cellStyle name="40% - Accent6 7 5 2" xfId="7065"/>
    <cellStyle name="40% - Accent6 7 5 3" xfId="7066"/>
    <cellStyle name="40% - Accent6 7 6" xfId="7067"/>
    <cellStyle name="40% - Accent6 7 6 2" xfId="7068"/>
    <cellStyle name="40% - Accent6 7 6 3" xfId="7069"/>
    <cellStyle name="40% - Accent6 7 7" xfId="7070"/>
    <cellStyle name="40% - Accent6 7 8" xfId="7071"/>
    <cellStyle name="40% - Accent6 7_Volatility" xfId="7072"/>
    <cellStyle name="40% - Accent6 8" xfId="7073"/>
    <cellStyle name="40% - Accent6 8 2" xfId="7074"/>
    <cellStyle name="40% - Accent6 8 2 2" xfId="7075"/>
    <cellStyle name="40% - Accent6 8 2 2 2" xfId="7076"/>
    <cellStyle name="40% - Accent6 8 2 2 3" xfId="7077"/>
    <cellStyle name="40% - Accent6 8 2 3" xfId="7078"/>
    <cellStyle name="40% - Accent6 8 2 3 2" xfId="7079"/>
    <cellStyle name="40% - Accent6 8 2 3 3" xfId="7080"/>
    <cellStyle name="40% - Accent6 8 2 4" xfId="7081"/>
    <cellStyle name="40% - Accent6 8 2 4 2" xfId="7082"/>
    <cellStyle name="40% - Accent6 8 2 4 3" xfId="7083"/>
    <cellStyle name="40% - Accent6 8 2 5" xfId="7084"/>
    <cellStyle name="40% - Accent6 8 2 6" xfId="7085"/>
    <cellStyle name="40% - Accent6 8 2_Volatility" xfId="7086"/>
    <cellStyle name="40% - Accent6 8 3" xfId="7087"/>
    <cellStyle name="40% - Accent6 8 3 2" xfId="7088"/>
    <cellStyle name="40% - Accent6 8 3 2 2" xfId="7089"/>
    <cellStyle name="40% - Accent6 8 3 2 3" xfId="7090"/>
    <cellStyle name="40% - Accent6 8 3 3" xfId="7091"/>
    <cellStyle name="40% - Accent6 8 3 3 2" xfId="7092"/>
    <cellStyle name="40% - Accent6 8 3 3 3" xfId="7093"/>
    <cellStyle name="40% - Accent6 8 3 4" xfId="7094"/>
    <cellStyle name="40% - Accent6 8 3 5" xfId="7095"/>
    <cellStyle name="40% - Accent6 8 3_Volatility" xfId="7096"/>
    <cellStyle name="40% - Accent6 8 4" xfId="7097"/>
    <cellStyle name="40% - Accent6 8 4 2" xfId="7098"/>
    <cellStyle name="40% - Accent6 8 4 3" xfId="7099"/>
    <cellStyle name="40% - Accent6 8 5" xfId="7100"/>
    <cellStyle name="40% - Accent6 8 5 2" xfId="7101"/>
    <cellStyle name="40% - Accent6 8 5 3" xfId="7102"/>
    <cellStyle name="40% - Accent6 8 6" xfId="7103"/>
    <cellStyle name="40% - Accent6 8 6 2" xfId="7104"/>
    <cellStyle name="40% - Accent6 8 6 3" xfId="7105"/>
    <cellStyle name="40% - Accent6 8 7" xfId="7106"/>
    <cellStyle name="40% - Accent6 8 8" xfId="7107"/>
    <cellStyle name="40% - Accent6 8_Volatility" xfId="7108"/>
    <cellStyle name="40% - Accent6 9" xfId="7109"/>
    <cellStyle name="40% - Accent6 9 2" xfId="7110"/>
    <cellStyle name="40% - Accent6 9 2 2" xfId="7111"/>
    <cellStyle name="40% - Accent6 9 2 2 2" xfId="7112"/>
    <cellStyle name="40% - Accent6 9 2 2 3" xfId="7113"/>
    <cellStyle name="40% - Accent6 9 2 3" xfId="7114"/>
    <cellStyle name="40% - Accent6 9 2 3 2" xfId="7115"/>
    <cellStyle name="40% - Accent6 9 2 3 3" xfId="7116"/>
    <cellStyle name="40% - Accent6 9 2 4" xfId="7117"/>
    <cellStyle name="40% - Accent6 9 2 4 2" xfId="7118"/>
    <cellStyle name="40% - Accent6 9 2 4 3" xfId="7119"/>
    <cellStyle name="40% - Accent6 9 2 5" xfId="7120"/>
    <cellStyle name="40% - Accent6 9 2 6" xfId="7121"/>
    <cellStyle name="40% - Accent6 9 2_Volatility" xfId="7122"/>
    <cellStyle name="40% - Accent6 9 3" xfId="7123"/>
    <cellStyle name="40% - Accent6 9 3 2" xfId="7124"/>
    <cellStyle name="40% - Accent6 9 3 2 2" xfId="7125"/>
    <cellStyle name="40% - Accent6 9 3 2 3" xfId="7126"/>
    <cellStyle name="40% - Accent6 9 3 3" xfId="7127"/>
    <cellStyle name="40% - Accent6 9 3 3 2" xfId="7128"/>
    <cellStyle name="40% - Accent6 9 3 3 3" xfId="7129"/>
    <cellStyle name="40% - Accent6 9 3 4" xfId="7130"/>
    <cellStyle name="40% - Accent6 9 3 5" xfId="7131"/>
    <cellStyle name="40% - Accent6 9 3_Volatility" xfId="7132"/>
    <cellStyle name="40% - Accent6 9 4" xfId="7133"/>
    <cellStyle name="40% - Accent6 9 4 2" xfId="7134"/>
    <cellStyle name="40% - Accent6 9 4 3" xfId="7135"/>
    <cellStyle name="40% - Accent6 9 5" xfId="7136"/>
    <cellStyle name="40% - Accent6 9 5 2" xfId="7137"/>
    <cellStyle name="40% - Accent6 9 5 3" xfId="7138"/>
    <cellStyle name="40% - Accent6 9 6" xfId="7139"/>
    <cellStyle name="40% - Accent6 9 6 2" xfId="7140"/>
    <cellStyle name="40% - Accent6 9 6 3" xfId="7141"/>
    <cellStyle name="40% - Accent6 9 7" xfId="7142"/>
    <cellStyle name="40% - Accent6 9 8" xfId="7143"/>
    <cellStyle name="40% - Accent6 9_Volatility" xfId="7144"/>
    <cellStyle name="40% - Ênfase1" xfId="7145"/>
    <cellStyle name="40% - Ênfase2" xfId="7146"/>
    <cellStyle name="40% - Ênfase3" xfId="7147"/>
    <cellStyle name="40% - Ênfase4" xfId="7148"/>
    <cellStyle name="40% - Ênfase5" xfId="7149"/>
    <cellStyle name="40% - Ênfase6" xfId="7150"/>
    <cellStyle name="40% - Énfasis1" xfId="7151"/>
    <cellStyle name="40% - Énfasis2" xfId="7152"/>
    <cellStyle name="40% - Énfasis3" xfId="7153"/>
    <cellStyle name="40% - Énfasis4" xfId="7154"/>
    <cellStyle name="40% - Énfasis5" xfId="7155"/>
    <cellStyle name="40% - Énfasis6" xfId="7156"/>
    <cellStyle name="40% - 강조색1" xfId="7157"/>
    <cellStyle name="40% - 강조색1 2" xfId="7158"/>
    <cellStyle name="40% - 강조색2" xfId="7159"/>
    <cellStyle name="40% - 강조색2 2" xfId="7160"/>
    <cellStyle name="40% - 강조색3" xfId="7161"/>
    <cellStyle name="40% - 강조색3 2" xfId="7162"/>
    <cellStyle name="40% - 강조색4" xfId="7163"/>
    <cellStyle name="40% - 강조색4 2" xfId="7164"/>
    <cellStyle name="40% - 강조색5" xfId="7165"/>
    <cellStyle name="40% - 강조색5 2" xfId="7166"/>
    <cellStyle name="40% - 강조색6" xfId="7167"/>
    <cellStyle name="40% - 강조색6 2" xfId="7168"/>
    <cellStyle name="60% - Accent1 10" xfId="7169"/>
    <cellStyle name="60% - Accent1 11" xfId="7170"/>
    <cellStyle name="60% - Accent1 12" xfId="7171"/>
    <cellStyle name="60% - Accent1 13" xfId="7172"/>
    <cellStyle name="60% - Accent1 14" xfId="7173"/>
    <cellStyle name="60% - Accent1 15" xfId="7174"/>
    <cellStyle name="60% - Accent1 16" xfId="7175"/>
    <cellStyle name="60% - Accent1 17" xfId="7176"/>
    <cellStyle name="60% - Accent1 18" xfId="7177"/>
    <cellStyle name="60% - Accent1 19" xfId="7178"/>
    <cellStyle name="60% - Accent1 2" xfId="7179"/>
    <cellStyle name="60% - Accent1 2 2" xfId="7180"/>
    <cellStyle name="60% - Accent1 2 2 2" xfId="7181"/>
    <cellStyle name="60% - Accent1 2 3" xfId="7182"/>
    <cellStyle name="60% - Accent1 2 3 2" xfId="7183"/>
    <cellStyle name="60% - Accent1 2 4" xfId="7184"/>
    <cellStyle name="60% - Accent1 2 4 2" xfId="7185"/>
    <cellStyle name="60% - Accent1 2 4 3" xfId="7186"/>
    <cellStyle name="60% - Accent1 2 5" xfId="7187"/>
    <cellStyle name="60% - Accent1 2 6" xfId="7188"/>
    <cellStyle name="60% - Accent1 2 7" xfId="7189"/>
    <cellStyle name="60% - Accent1 2 8" xfId="7190"/>
    <cellStyle name="60% - Accent1 3" xfId="7191"/>
    <cellStyle name="60% - Accent1 3 2" xfId="7192"/>
    <cellStyle name="60% - Accent1 3 2 2" xfId="7193"/>
    <cellStyle name="60% - Accent1 3 2 3" xfId="7194"/>
    <cellStyle name="60% - Accent1 3 3" xfId="7195"/>
    <cellStyle name="60% - Accent1 3 4" xfId="7196"/>
    <cellStyle name="60% - Accent1 3 5" xfId="7197"/>
    <cellStyle name="60% - Accent1 4" xfId="7198"/>
    <cellStyle name="60% - Accent1 4 2" xfId="7199"/>
    <cellStyle name="60% - Accent1 4 2 2" xfId="7200"/>
    <cellStyle name="60% - Accent1 4 2 3" xfId="7201"/>
    <cellStyle name="60% - Accent1 4 3" xfId="7202"/>
    <cellStyle name="60% - Accent1 4 4" xfId="7203"/>
    <cellStyle name="60% - Accent1 4 5" xfId="7204"/>
    <cellStyle name="60% - Accent1 5" xfId="7205"/>
    <cellStyle name="60% - Accent1 5 2" xfId="7206"/>
    <cellStyle name="60% - Accent1 5 2 2" xfId="7207"/>
    <cellStyle name="60% - Accent1 5 2 3" xfId="7208"/>
    <cellStyle name="60% - Accent1 5 3" xfId="7209"/>
    <cellStyle name="60% - Accent1 5 4" xfId="7210"/>
    <cellStyle name="60% - Accent1 5 5" xfId="7211"/>
    <cellStyle name="60% - Accent1 6" xfId="7212"/>
    <cellStyle name="60% - Accent1 6 2" xfId="7213"/>
    <cellStyle name="60% - Accent1 6 3" xfId="7214"/>
    <cellStyle name="60% - Accent1 7" xfId="7215"/>
    <cellStyle name="60% - Accent1 8" xfId="7216"/>
    <cellStyle name="60% - Accent1 9" xfId="7217"/>
    <cellStyle name="60% - Accent2 10" xfId="7218"/>
    <cellStyle name="60% - Accent2 11" xfId="7219"/>
    <cellStyle name="60% - Accent2 12" xfId="7220"/>
    <cellStyle name="60% - Accent2 13" xfId="7221"/>
    <cellStyle name="60% - Accent2 14" xfId="7222"/>
    <cellStyle name="60% - Accent2 15" xfId="7223"/>
    <cellStyle name="60% - Accent2 16" xfId="7224"/>
    <cellStyle name="60% - Accent2 17" xfId="7225"/>
    <cellStyle name="60% - Accent2 18" xfId="7226"/>
    <cellStyle name="60% - Accent2 19" xfId="7227"/>
    <cellStyle name="60% - Accent2 2" xfId="7228"/>
    <cellStyle name="60% - Accent2 2 2" xfId="7229"/>
    <cellStyle name="60% - Accent2 2 2 2" xfId="7230"/>
    <cellStyle name="60% - Accent2 2 3" xfId="7231"/>
    <cellStyle name="60% - Accent2 2 3 2" xfId="7232"/>
    <cellStyle name="60% - Accent2 2 4" xfId="7233"/>
    <cellStyle name="60% - Accent2 2 4 2" xfId="7234"/>
    <cellStyle name="60% - Accent2 2 4 3" xfId="7235"/>
    <cellStyle name="60% - Accent2 2 5" xfId="7236"/>
    <cellStyle name="60% - Accent2 2 6" xfId="7237"/>
    <cellStyle name="60% - Accent2 2 7" xfId="7238"/>
    <cellStyle name="60% - Accent2 2 8" xfId="7239"/>
    <cellStyle name="60% - Accent2 3" xfId="7240"/>
    <cellStyle name="60% - Accent2 3 2" xfId="7241"/>
    <cellStyle name="60% - Accent2 3 2 2" xfId="7242"/>
    <cellStyle name="60% - Accent2 3 2 3" xfId="7243"/>
    <cellStyle name="60% - Accent2 3 3" xfId="7244"/>
    <cellStyle name="60% - Accent2 3 4" xfId="7245"/>
    <cellStyle name="60% - Accent2 3 5" xfId="7246"/>
    <cellStyle name="60% - Accent2 4" xfId="7247"/>
    <cellStyle name="60% - Accent2 4 2" xfId="7248"/>
    <cellStyle name="60% - Accent2 4 2 2" xfId="7249"/>
    <cellStyle name="60% - Accent2 4 2 3" xfId="7250"/>
    <cellStyle name="60% - Accent2 4 3" xfId="7251"/>
    <cellStyle name="60% - Accent2 4 4" xfId="7252"/>
    <cellStyle name="60% - Accent2 4 5" xfId="7253"/>
    <cellStyle name="60% - Accent2 5" xfId="7254"/>
    <cellStyle name="60% - Accent2 5 2" xfId="7255"/>
    <cellStyle name="60% - Accent2 5 2 2" xfId="7256"/>
    <cellStyle name="60% - Accent2 5 2 3" xfId="7257"/>
    <cellStyle name="60% - Accent2 5 3" xfId="7258"/>
    <cellStyle name="60% - Accent2 5 4" xfId="7259"/>
    <cellStyle name="60% - Accent2 5 5" xfId="7260"/>
    <cellStyle name="60% - Accent2 6" xfId="7261"/>
    <cellStyle name="60% - Accent2 6 2" xfId="7262"/>
    <cellStyle name="60% - Accent2 6 3" xfId="7263"/>
    <cellStyle name="60% - Accent2 7" xfId="7264"/>
    <cellStyle name="60% - Accent2 8" xfId="7265"/>
    <cellStyle name="60% - Accent2 9" xfId="7266"/>
    <cellStyle name="60% - Accent3 10" xfId="7267"/>
    <cellStyle name="60% - Accent3 11" xfId="7268"/>
    <cellStyle name="60% - Accent3 12" xfId="7269"/>
    <cellStyle name="60% - Accent3 13" xfId="7270"/>
    <cellStyle name="60% - Accent3 14" xfId="7271"/>
    <cellStyle name="60% - Accent3 15" xfId="7272"/>
    <cellStyle name="60% - Accent3 16" xfId="7273"/>
    <cellStyle name="60% - Accent3 17" xfId="7274"/>
    <cellStyle name="60% - Accent3 18" xfId="7275"/>
    <cellStyle name="60% - Accent3 19" xfId="7276"/>
    <cellStyle name="60% - Accent3 2" xfId="7277"/>
    <cellStyle name="60% - Accent3 2 2" xfId="7278"/>
    <cellStyle name="60% - Accent3 2 2 2" xfId="7279"/>
    <cellStyle name="60% - Accent3 2 3" xfId="7280"/>
    <cellStyle name="60% - Accent3 2 3 2" xfId="7281"/>
    <cellStyle name="60% - Accent3 2 4" xfId="7282"/>
    <cellStyle name="60% - Accent3 2 4 2" xfId="7283"/>
    <cellStyle name="60% - Accent3 2 4 3" xfId="7284"/>
    <cellStyle name="60% - Accent3 2 5" xfId="7285"/>
    <cellStyle name="60% - Accent3 2 6" xfId="7286"/>
    <cellStyle name="60% - Accent3 2 7" xfId="7287"/>
    <cellStyle name="60% - Accent3 2 8" xfId="7288"/>
    <cellStyle name="60% - Accent3 3" xfId="7289"/>
    <cellStyle name="60% - Accent3 3 2" xfId="7290"/>
    <cellStyle name="60% - Accent3 3 2 2" xfId="7291"/>
    <cellStyle name="60% - Accent3 3 2 3" xfId="7292"/>
    <cellStyle name="60% - Accent3 3 3" xfId="7293"/>
    <cellStyle name="60% - Accent3 3 4" xfId="7294"/>
    <cellStyle name="60% - Accent3 3 5" xfId="7295"/>
    <cellStyle name="60% - Accent3 4" xfId="7296"/>
    <cellStyle name="60% - Accent3 4 2" xfId="7297"/>
    <cellStyle name="60% - Accent3 4 2 2" xfId="7298"/>
    <cellStyle name="60% - Accent3 4 2 3" xfId="7299"/>
    <cellStyle name="60% - Accent3 4 3" xfId="7300"/>
    <cellStyle name="60% - Accent3 4 4" xfId="7301"/>
    <cellStyle name="60% - Accent3 4 5" xfId="7302"/>
    <cellStyle name="60% - Accent3 5" xfId="7303"/>
    <cellStyle name="60% - Accent3 5 2" xfId="7304"/>
    <cellStyle name="60% - Accent3 5 2 2" xfId="7305"/>
    <cellStyle name="60% - Accent3 5 2 3" xfId="7306"/>
    <cellStyle name="60% - Accent3 5 3" xfId="7307"/>
    <cellStyle name="60% - Accent3 5 4" xfId="7308"/>
    <cellStyle name="60% - Accent3 5 5" xfId="7309"/>
    <cellStyle name="60% - Accent3 6" xfId="7310"/>
    <cellStyle name="60% - Accent3 6 2" xfId="7311"/>
    <cellStyle name="60% - Accent3 6 3" xfId="7312"/>
    <cellStyle name="60% - Accent3 7" xfId="7313"/>
    <cellStyle name="60% - Accent3 8" xfId="7314"/>
    <cellStyle name="60% - Accent3 9" xfId="7315"/>
    <cellStyle name="60% - Accent4 10" xfId="7316"/>
    <cellStyle name="60% - Accent4 11" xfId="7317"/>
    <cellStyle name="60% - Accent4 12" xfId="7318"/>
    <cellStyle name="60% - Accent4 13" xfId="7319"/>
    <cellStyle name="60% - Accent4 14" xfId="7320"/>
    <cellStyle name="60% - Accent4 15" xfId="7321"/>
    <cellStyle name="60% - Accent4 16" xfId="7322"/>
    <cellStyle name="60% - Accent4 17" xfId="7323"/>
    <cellStyle name="60% - Accent4 18" xfId="7324"/>
    <cellStyle name="60% - Accent4 19" xfId="7325"/>
    <cellStyle name="60% - Accent4 2" xfId="7326"/>
    <cellStyle name="60% - Accent4 2 2" xfId="7327"/>
    <cellStyle name="60% - Accent4 2 2 2" xfId="7328"/>
    <cellStyle name="60% - Accent4 2 3" xfId="7329"/>
    <cellStyle name="60% - Accent4 2 3 2" xfId="7330"/>
    <cellStyle name="60% - Accent4 2 4" xfId="7331"/>
    <cellStyle name="60% - Accent4 2 4 2" xfId="7332"/>
    <cellStyle name="60% - Accent4 2 4 3" xfId="7333"/>
    <cellStyle name="60% - Accent4 2 5" xfId="7334"/>
    <cellStyle name="60% - Accent4 2 6" xfId="7335"/>
    <cellStyle name="60% - Accent4 2 7" xfId="7336"/>
    <cellStyle name="60% - Accent4 2 8" xfId="7337"/>
    <cellStyle name="60% - Accent4 3" xfId="7338"/>
    <cellStyle name="60% - Accent4 3 2" xfId="7339"/>
    <cellStyle name="60% - Accent4 3 2 2" xfId="7340"/>
    <cellStyle name="60% - Accent4 3 2 3" xfId="7341"/>
    <cellStyle name="60% - Accent4 3 3" xfId="7342"/>
    <cellStyle name="60% - Accent4 3 4" xfId="7343"/>
    <cellStyle name="60% - Accent4 3 5" xfId="7344"/>
    <cellStyle name="60% - Accent4 4" xfId="7345"/>
    <cellStyle name="60% - Accent4 4 2" xfId="7346"/>
    <cellStyle name="60% - Accent4 4 2 2" xfId="7347"/>
    <cellStyle name="60% - Accent4 4 2 3" xfId="7348"/>
    <cellStyle name="60% - Accent4 4 3" xfId="7349"/>
    <cellStyle name="60% - Accent4 4 4" xfId="7350"/>
    <cellStyle name="60% - Accent4 4 5" xfId="7351"/>
    <cellStyle name="60% - Accent4 5" xfId="7352"/>
    <cellStyle name="60% - Accent4 5 2" xfId="7353"/>
    <cellStyle name="60% - Accent4 5 2 2" xfId="7354"/>
    <cellStyle name="60% - Accent4 5 2 3" xfId="7355"/>
    <cellStyle name="60% - Accent4 5 3" xfId="7356"/>
    <cellStyle name="60% - Accent4 5 4" xfId="7357"/>
    <cellStyle name="60% - Accent4 5 5" xfId="7358"/>
    <cellStyle name="60% - Accent4 6" xfId="7359"/>
    <cellStyle name="60% - Accent4 6 2" xfId="7360"/>
    <cellStyle name="60% - Accent4 6 3" xfId="7361"/>
    <cellStyle name="60% - Accent4 7" xfId="7362"/>
    <cellStyle name="60% - Accent4 8" xfId="7363"/>
    <cellStyle name="60% - Accent4 9" xfId="7364"/>
    <cellStyle name="60% - Accent5 10" xfId="7365"/>
    <cellStyle name="60% - Accent5 11" xfId="7366"/>
    <cellStyle name="60% - Accent5 12" xfId="7367"/>
    <cellStyle name="60% - Accent5 13" xfId="7368"/>
    <cellStyle name="60% - Accent5 14" xfId="7369"/>
    <cellStyle name="60% - Accent5 15" xfId="7370"/>
    <cellStyle name="60% - Accent5 16" xfId="7371"/>
    <cellStyle name="60% - Accent5 17" xfId="7372"/>
    <cellStyle name="60% - Accent5 18" xfId="7373"/>
    <cellStyle name="60% - Accent5 19" xfId="7374"/>
    <cellStyle name="60% - Accent5 2" xfId="7375"/>
    <cellStyle name="60% - Accent5 2 2" xfId="7376"/>
    <cellStyle name="60% - Accent5 2 2 2" xfId="7377"/>
    <cellStyle name="60% - Accent5 2 3" xfId="7378"/>
    <cellStyle name="60% - Accent5 2 3 2" xfId="7379"/>
    <cellStyle name="60% - Accent5 2 4" xfId="7380"/>
    <cellStyle name="60% - Accent5 2 4 2" xfId="7381"/>
    <cellStyle name="60% - Accent5 2 4 3" xfId="7382"/>
    <cellStyle name="60% - Accent5 2 5" xfId="7383"/>
    <cellStyle name="60% - Accent5 2 6" xfId="7384"/>
    <cellStyle name="60% - Accent5 2 7" xfId="7385"/>
    <cellStyle name="60% - Accent5 2 8" xfId="7386"/>
    <cellStyle name="60% - Accent5 3" xfId="7387"/>
    <cellStyle name="60% - Accent5 3 2" xfId="7388"/>
    <cellStyle name="60% - Accent5 3 2 2" xfId="7389"/>
    <cellStyle name="60% - Accent5 3 2 3" xfId="7390"/>
    <cellStyle name="60% - Accent5 3 3" xfId="7391"/>
    <cellStyle name="60% - Accent5 3 4" xfId="7392"/>
    <cellStyle name="60% - Accent5 3 5" xfId="7393"/>
    <cellStyle name="60% - Accent5 4" xfId="7394"/>
    <cellStyle name="60% - Accent5 4 2" xfId="7395"/>
    <cellStyle name="60% - Accent5 4 2 2" xfId="7396"/>
    <cellStyle name="60% - Accent5 4 2 3" xfId="7397"/>
    <cellStyle name="60% - Accent5 4 3" xfId="7398"/>
    <cellStyle name="60% - Accent5 4 4" xfId="7399"/>
    <cellStyle name="60% - Accent5 4 5" xfId="7400"/>
    <cellStyle name="60% - Accent5 5" xfId="7401"/>
    <cellStyle name="60% - Accent5 5 2" xfId="7402"/>
    <cellStyle name="60% - Accent5 5 2 2" xfId="7403"/>
    <cellStyle name="60% - Accent5 5 2 3" xfId="7404"/>
    <cellStyle name="60% - Accent5 5 3" xfId="7405"/>
    <cellStyle name="60% - Accent5 5 4" xfId="7406"/>
    <cellStyle name="60% - Accent5 5 5" xfId="7407"/>
    <cellStyle name="60% - Accent5 6" xfId="7408"/>
    <cellStyle name="60% - Accent5 6 2" xfId="7409"/>
    <cellStyle name="60% - Accent5 6 3" xfId="7410"/>
    <cellStyle name="60% - Accent5 7" xfId="7411"/>
    <cellStyle name="60% - Accent5 8" xfId="7412"/>
    <cellStyle name="60% - Accent5 9" xfId="7413"/>
    <cellStyle name="60% - Accent6 10" xfId="7414"/>
    <cellStyle name="60% - Accent6 11" xfId="7415"/>
    <cellStyle name="60% - Accent6 12" xfId="7416"/>
    <cellStyle name="60% - Accent6 13" xfId="7417"/>
    <cellStyle name="60% - Accent6 14" xfId="7418"/>
    <cellStyle name="60% - Accent6 15" xfId="7419"/>
    <cellStyle name="60% - Accent6 16" xfId="7420"/>
    <cellStyle name="60% - Accent6 17" xfId="7421"/>
    <cellStyle name="60% - Accent6 18" xfId="7422"/>
    <cellStyle name="60% - Accent6 19" xfId="7423"/>
    <cellStyle name="60% - Accent6 2" xfId="7424"/>
    <cellStyle name="60% - Accent6 2 10" xfId="7425"/>
    <cellStyle name="60% - Accent6 2 10 2" xfId="7426"/>
    <cellStyle name="60% - Accent6 2 11" xfId="7427"/>
    <cellStyle name="60% - Accent6 2 11 2" xfId="7428"/>
    <cellStyle name="60% - Accent6 2 12" xfId="7429"/>
    <cellStyle name="60% - Accent6 2 12 10" xfId="7430"/>
    <cellStyle name="60% - Accent6 2 12 10 2" xfId="7431"/>
    <cellStyle name="60% - Accent6 2 12 11" xfId="7432"/>
    <cellStyle name="60% - Accent6 2 12 2" xfId="7433"/>
    <cellStyle name="60% - Accent6 2 12 2 2" xfId="7434"/>
    <cellStyle name="60% - Accent6 2 12 3" xfId="7435"/>
    <cellStyle name="60% - Accent6 2 12 3 2" xfId="7436"/>
    <cellStyle name="60% - Accent6 2 12 4" xfId="7437"/>
    <cellStyle name="60% - Accent6 2 12 4 2" xfId="7438"/>
    <cellStyle name="60% - Accent6 2 12 5" xfId="7439"/>
    <cellStyle name="60% - Accent6 2 12 5 2" xfId="7440"/>
    <cellStyle name="60% - Accent6 2 12 6" xfId="7441"/>
    <cellStyle name="60% - Accent6 2 12 6 2" xfId="7442"/>
    <cellStyle name="60% - Accent6 2 12 7" xfId="7443"/>
    <cellStyle name="60% - Accent6 2 12 7 2" xfId="7444"/>
    <cellStyle name="60% - Accent6 2 12 8" xfId="7445"/>
    <cellStyle name="60% - Accent6 2 12 8 2" xfId="7446"/>
    <cellStyle name="60% - Accent6 2 12 9" xfId="7447"/>
    <cellStyle name="60% - Accent6 2 12 9 2" xfId="7448"/>
    <cellStyle name="60% - Accent6 2 13" xfId="7449"/>
    <cellStyle name="60% - Accent6 2 13 2" xfId="7450"/>
    <cellStyle name="60% - Accent6 2 14" xfId="7451"/>
    <cellStyle name="60% - Accent6 2 14 2" xfId="7452"/>
    <cellStyle name="60% - Accent6 2 15" xfId="7453"/>
    <cellStyle name="60% - Accent6 2 15 2" xfId="7454"/>
    <cellStyle name="60% - Accent6 2 16" xfId="7455"/>
    <cellStyle name="60% - Accent6 2 16 2" xfId="7456"/>
    <cellStyle name="60% - Accent6 2 17" xfId="7457"/>
    <cellStyle name="60% - Accent6 2 17 2" xfId="7458"/>
    <cellStyle name="60% - Accent6 2 18" xfId="7459"/>
    <cellStyle name="60% - Accent6 2 18 2" xfId="7460"/>
    <cellStyle name="60% - Accent6 2 19" xfId="7461"/>
    <cellStyle name="60% - Accent6 2 19 2" xfId="7462"/>
    <cellStyle name="60% - Accent6 2 2" xfId="7463"/>
    <cellStyle name="60% - Accent6 2 2 10" xfId="7464"/>
    <cellStyle name="60% - Accent6 2 2 10 2" xfId="7465"/>
    <cellStyle name="60% - Accent6 2 2 11" xfId="7466"/>
    <cellStyle name="60% - Accent6 2 2 11 2" xfId="7467"/>
    <cellStyle name="60% - Accent6 2 2 12" xfId="7468"/>
    <cellStyle name="60% - Accent6 2 2 12 10" xfId="7469"/>
    <cellStyle name="60% - Accent6 2 2 12 10 2" xfId="7470"/>
    <cellStyle name="60% - Accent6 2 2 12 11" xfId="7471"/>
    <cellStyle name="60% - Accent6 2 2 12 2" xfId="7472"/>
    <cellStyle name="60% - Accent6 2 2 12 2 2" xfId="7473"/>
    <cellStyle name="60% - Accent6 2 2 12 3" xfId="7474"/>
    <cellStyle name="60% - Accent6 2 2 12 3 2" xfId="7475"/>
    <cellStyle name="60% - Accent6 2 2 12 4" xfId="7476"/>
    <cellStyle name="60% - Accent6 2 2 12 4 2" xfId="7477"/>
    <cellStyle name="60% - Accent6 2 2 12 5" xfId="7478"/>
    <cellStyle name="60% - Accent6 2 2 12 5 2" xfId="7479"/>
    <cellStyle name="60% - Accent6 2 2 12 6" xfId="7480"/>
    <cellStyle name="60% - Accent6 2 2 12 6 2" xfId="7481"/>
    <cellStyle name="60% - Accent6 2 2 12 7" xfId="7482"/>
    <cellStyle name="60% - Accent6 2 2 12 7 2" xfId="7483"/>
    <cellStyle name="60% - Accent6 2 2 12 8" xfId="7484"/>
    <cellStyle name="60% - Accent6 2 2 12 8 2" xfId="7485"/>
    <cellStyle name="60% - Accent6 2 2 12 9" xfId="7486"/>
    <cellStyle name="60% - Accent6 2 2 12 9 2" xfId="7487"/>
    <cellStyle name="60% - Accent6 2 2 13" xfId="7488"/>
    <cellStyle name="60% - Accent6 2 2 13 2" xfId="7489"/>
    <cellStyle name="60% - Accent6 2 2 14" xfId="7490"/>
    <cellStyle name="60% - Accent6 2 2 14 2" xfId="7491"/>
    <cellStyle name="60% - Accent6 2 2 15" xfId="7492"/>
    <cellStyle name="60% - Accent6 2 2 15 2" xfId="7493"/>
    <cellStyle name="60% - Accent6 2 2 16" xfId="7494"/>
    <cellStyle name="60% - Accent6 2 2 16 2" xfId="7495"/>
    <cellStyle name="60% - Accent6 2 2 17" xfId="7496"/>
    <cellStyle name="60% - Accent6 2 2 17 2" xfId="7497"/>
    <cellStyle name="60% - Accent6 2 2 18" xfId="7498"/>
    <cellStyle name="60% - Accent6 2 2 18 2" xfId="7499"/>
    <cellStyle name="60% - Accent6 2 2 19" xfId="7500"/>
    <cellStyle name="60% - Accent6 2 2 19 2" xfId="7501"/>
    <cellStyle name="60% - Accent6 2 2 2" xfId="7502"/>
    <cellStyle name="60% - Accent6 2 2 2 10" xfId="7503"/>
    <cellStyle name="60% - Accent6 2 2 2 10 2" xfId="7504"/>
    <cellStyle name="60% - Accent6 2 2 2 11" xfId="7505"/>
    <cellStyle name="60% - Accent6 2 2 2 11 2" xfId="7506"/>
    <cellStyle name="60% - Accent6 2 2 2 12" xfId="7507"/>
    <cellStyle name="60% - Accent6 2 2 2 13" xfId="7508"/>
    <cellStyle name="60% - Accent6 2 2 2 2" xfId="7509"/>
    <cellStyle name="60% - Accent6 2 2 2 2 10" xfId="7510"/>
    <cellStyle name="60% - Accent6 2 2 2 2 10 2" xfId="7511"/>
    <cellStyle name="60% - Accent6 2 2 2 2 11" xfId="7512"/>
    <cellStyle name="60% - Accent6 2 2 2 2 12" xfId="7513"/>
    <cellStyle name="60% - Accent6 2 2 2 2 2" xfId="7514"/>
    <cellStyle name="60% - Accent6 2 2 2 2 2 2" xfId="7515"/>
    <cellStyle name="60% - Accent6 2 2 2 2 2 3" xfId="7516"/>
    <cellStyle name="60% - Accent6 2 2 2 2 2 4" xfId="7517"/>
    <cellStyle name="60% - Accent6 2 2 2 2 3" xfId="7518"/>
    <cellStyle name="60% - Accent6 2 2 2 2 3 2" xfId="7519"/>
    <cellStyle name="60% - Accent6 2 2 2 2 4" xfId="7520"/>
    <cellStyle name="60% - Accent6 2 2 2 2 4 2" xfId="7521"/>
    <cellStyle name="60% - Accent6 2 2 2 2 5" xfId="7522"/>
    <cellStyle name="60% - Accent6 2 2 2 2 5 2" xfId="7523"/>
    <cellStyle name="60% - Accent6 2 2 2 2 6" xfId="7524"/>
    <cellStyle name="60% - Accent6 2 2 2 2 6 2" xfId="7525"/>
    <cellStyle name="60% - Accent6 2 2 2 2 7" xfId="7526"/>
    <cellStyle name="60% - Accent6 2 2 2 2 7 2" xfId="7527"/>
    <cellStyle name="60% - Accent6 2 2 2 2 8" xfId="7528"/>
    <cellStyle name="60% - Accent6 2 2 2 2 8 2" xfId="7529"/>
    <cellStyle name="60% - Accent6 2 2 2 2 9" xfId="7530"/>
    <cellStyle name="60% - Accent6 2 2 2 2 9 2" xfId="7531"/>
    <cellStyle name="60% - Accent6 2 2 2 3" xfId="7532"/>
    <cellStyle name="60% - Accent6 2 2 2 3 2" xfId="7533"/>
    <cellStyle name="60% - Accent6 2 2 2 4" xfId="7534"/>
    <cellStyle name="60% - Accent6 2 2 2 4 2" xfId="7535"/>
    <cellStyle name="60% - Accent6 2 2 2 5" xfId="7536"/>
    <cellStyle name="60% - Accent6 2 2 2 5 2" xfId="7537"/>
    <cellStyle name="60% - Accent6 2 2 2 6" xfId="7538"/>
    <cellStyle name="60% - Accent6 2 2 2 6 2" xfId="7539"/>
    <cellStyle name="60% - Accent6 2 2 2 7" xfId="7540"/>
    <cellStyle name="60% - Accent6 2 2 2 7 2" xfId="7541"/>
    <cellStyle name="60% - Accent6 2 2 2 8" xfId="7542"/>
    <cellStyle name="60% - Accent6 2 2 2 8 2" xfId="7543"/>
    <cellStyle name="60% - Accent6 2 2 2 9" xfId="7544"/>
    <cellStyle name="60% - Accent6 2 2 2 9 2" xfId="7545"/>
    <cellStyle name="60% - Accent6 2 2 20" xfId="7546"/>
    <cellStyle name="60% - Accent6 2 2 20 2" xfId="7547"/>
    <cellStyle name="60% - Accent6 2 2 21" xfId="7548"/>
    <cellStyle name="60% - Accent6 2 2 22" xfId="7549"/>
    <cellStyle name="60% - Accent6 2 2 3" xfId="7550"/>
    <cellStyle name="60% - Accent6 2 2 3 2" xfId="7551"/>
    <cellStyle name="60% - Accent6 2 2 4" xfId="7552"/>
    <cellStyle name="60% - Accent6 2 2 4 2" xfId="7553"/>
    <cellStyle name="60% - Accent6 2 2 5" xfId="7554"/>
    <cellStyle name="60% - Accent6 2 2 5 2" xfId="7555"/>
    <cellStyle name="60% - Accent6 2 2 6" xfId="7556"/>
    <cellStyle name="60% - Accent6 2 2 6 2" xfId="7557"/>
    <cellStyle name="60% - Accent6 2 2 7" xfId="7558"/>
    <cellStyle name="60% - Accent6 2 2 7 2" xfId="7559"/>
    <cellStyle name="60% - Accent6 2 2 8" xfId="7560"/>
    <cellStyle name="60% - Accent6 2 2 8 2" xfId="7561"/>
    <cellStyle name="60% - Accent6 2 2 9" xfId="7562"/>
    <cellStyle name="60% - Accent6 2 2 9 2" xfId="7563"/>
    <cellStyle name="60% - Accent6 2 20" xfId="7564"/>
    <cellStyle name="60% - Accent6 2 20 2" xfId="7565"/>
    <cellStyle name="60% - Accent6 2 21" xfId="7566"/>
    <cellStyle name="60% - Accent6 2 21 2" xfId="7567"/>
    <cellStyle name="60% - Accent6 2 21 3" xfId="7568"/>
    <cellStyle name="60% - Accent6 2 22" xfId="7569"/>
    <cellStyle name="60% - Accent6 2 23" xfId="7570"/>
    <cellStyle name="60% - Accent6 2 24" xfId="7571"/>
    <cellStyle name="60% - Accent6 2 25" xfId="7572"/>
    <cellStyle name="60% - Accent6 2 3" xfId="7573"/>
    <cellStyle name="60% - Accent6 2 3 2" xfId="7574"/>
    <cellStyle name="60% - Accent6 2 4" xfId="7575"/>
    <cellStyle name="60% - Accent6 2 4 2" xfId="7576"/>
    <cellStyle name="60% - Accent6 2 5" xfId="7577"/>
    <cellStyle name="60% - Accent6 2 5 2" xfId="7578"/>
    <cellStyle name="60% - Accent6 2 6" xfId="7579"/>
    <cellStyle name="60% - Accent6 2 6 2" xfId="7580"/>
    <cellStyle name="60% - Accent6 2 7" xfId="7581"/>
    <cellStyle name="60% - Accent6 2 7 2" xfId="7582"/>
    <cellStyle name="60% - Accent6 2 8" xfId="7583"/>
    <cellStyle name="60% - Accent6 2 8 2" xfId="7584"/>
    <cellStyle name="60% - Accent6 2 9" xfId="7585"/>
    <cellStyle name="60% - Accent6 2 9 2" xfId="7586"/>
    <cellStyle name="60% - Accent6 3" xfId="7587"/>
    <cellStyle name="60% - Accent6 3 2" xfId="7588"/>
    <cellStyle name="60% - Accent6 3 2 2" xfId="7589"/>
    <cellStyle name="60% - Accent6 3 2 3" xfId="7590"/>
    <cellStyle name="60% - Accent6 3 3" xfId="7591"/>
    <cellStyle name="60% - Accent6 3 4" xfId="7592"/>
    <cellStyle name="60% - Accent6 3 5" xfId="7593"/>
    <cellStyle name="60% - Accent6 4" xfId="7594"/>
    <cellStyle name="60% - Accent6 4 2" xfId="7595"/>
    <cellStyle name="60% - Accent6 4 2 2" xfId="7596"/>
    <cellStyle name="60% - Accent6 4 2 3" xfId="7597"/>
    <cellStyle name="60% - Accent6 4 3" xfId="7598"/>
    <cellStyle name="60% - Accent6 4 4" xfId="7599"/>
    <cellStyle name="60% - Accent6 4 5" xfId="7600"/>
    <cellStyle name="60% - Accent6 5" xfId="7601"/>
    <cellStyle name="60% - Accent6 5 2" xfId="7602"/>
    <cellStyle name="60% - Accent6 5 2 2" xfId="7603"/>
    <cellStyle name="60% - Accent6 5 2 3" xfId="7604"/>
    <cellStyle name="60% - Accent6 5 3" xfId="7605"/>
    <cellStyle name="60% - Accent6 5 4" xfId="7606"/>
    <cellStyle name="60% - Accent6 5 5" xfId="7607"/>
    <cellStyle name="60% - Accent6 6" xfId="7608"/>
    <cellStyle name="60% - Accent6 6 2" xfId="7609"/>
    <cellStyle name="60% - Accent6 6 3" xfId="7610"/>
    <cellStyle name="60% - Accent6 7" xfId="7611"/>
    <cellStyle name="60% - Accent6 8" xfId="7612"/>
    <cellStyle name="60% - Accent6 9" xfId="7613"/>
    <cellStyle name="60% - Ênfase1" xfId="7614"/>
    <cellStyle name="60% - Ênfase2" xfId="7615"/>
    <cellStyle name="60% - Ênfase3" xfId="7616"/>
    <cellStyle name="60% - Ênfase4" xfId="7617"/>
    <cellStyle name="60% - Ênfase5" xfId="7618"/>
    <cellStyle name="60% - Ênfase6" xfId="7619"/>
    <cellStyle name="60% - Énfasis1" xfId="7620"/>
    <cellStyle name="60% - Énfasis2" xfId="7621"/>
    <cellStyle name="60% - Énfasis3" xfId="7622"/>
    <cellStyle name="60% - Énfasis4" xfId="7623"/>
    <cellStyle name="60% - Énfasis5" xfId="7624"/>
    <cellStyle name="60% - Énfasis6" xfId="7625"/>
    <cellStyle name="60% - 강조색1" xfId="7626"/>
    <cellStyle name="60% - 강조색1 2" xfId="7627"/>
    <cellStyle name="60% - 강조색2" xfId="7628"/>
    <cellStyle name="60% - 강조색2 2" xfId="7629"/>
    <cellStyle name="60% - 강조색3" xfId="7630"/>
    <cellStyle name="60% - 강조색3 2" xfId="7631"/>
    <cellStyle name="60% - 강조색4" xfId="7632"/>
    <cellStyle name="60% - 강조색4 2" xfId="7633"/>
    <cellStyle name="60% - 강조색5" xfId="7634"/>
    <cellStyle name="60% - 강조색5 2" xfId="7635"/>
    <cellStyle name="60% - 강조색6" xfId="7636"/>
    <cellStyle name="60% - 강조색6 2" xfId="7637"/>
    <cellStyle name="752131" xfId="7638"/>
    <cellStyle name="A3 297 x 420 mm" xfId="7639"/>
    <cellStyle name="aa" xfId="16347"/>
    <cellStyle name="aaaa" xfId="16348"/>
    <cellStyle name="Accent1 10" xfId="7640"/>
    <cellStyle name="Accent1 11" xfId="7641"/>
    <cellStyle name="Accent1 12" xfId="7642"/>
    <cellStyle name="Accent1 13" xfId="7643"/>
    <cellStyle name="Accent1 14" xfId="7644"/>
    <cellStyle name="Accent1 15" xfId="7645"/>
    <cellStyle name="Accent1 16" xfId="7646"/>
    <cellStyle name="Accent1 17" xfId="7647"/>
    <cellStyle name="Accent1 18" xfId="7648"/>
    <cellStyle name="Accent1 19" xfId="7649"/>
    <cellStyle name="Accent1 2" xfId="7650"/>
    <cellStyle name="Accent1 2 10" xfId="7651"/>
    <cellStyle name="Accent1 2 10 2" xfId="7652"/>
    <cellStyle name="Accent1 2 11" xfId="7653"/>
    <cellStyle name="Accent1 2 11 2" xfId="7654"/>
    <cellStyle name="Accent1 2 12" xfId="7655"/>
    <cellStyle name="Accent1 2 12 10" xfId="7656"/>
    <cellStyle name="Accent1 2 12 10 2" xfId="7657"/>
    <cellStyle name="Accent1 2 12 11" xfId="7658"/>
    <cellStyle name="Accent1 2 12 2" xfId="7659"/>
    <cellStyle name="Accent1 2 12 2 2" xfId="7660"/>
    <cellStyle name="Accent1 2 12 3" xfId="7661"/>
    <cellStyle name="Accent1 2 12 3 2" xfId="7662"/>
    <cellStyle name="Accent1 2 12 4" xfId="7663"/>
    <cellStyle name="Accent1 2 12 4 2" xfId="7664"/>
    <cellStyle name="Accent1 2 12 5" xfId="7665"/>
    <cellStyle name="Accent1 2 12 5 2" xfId="7666"/>
    <cellStyle name="Accent1 2 12 6" xfId="7667"/>
    <cellStyle name="Accent1 2 12 6 2" xfId="7668"/>
    <cellStyle name="Accent1 2 12 7" xfId="7669"/>
    <cellStyle name="Accent1 2 12 7 2" xfId="7670"/>
    <cellStyle name="Accent1 2 12 8" xfId="7671"/>
    <cellStyle name="Accent1 2 12 8 2" xfId="7672"/>
    <cellStyle name="Accent1 2 12 9" xfId="7673"/>
    <cellStyle name="Accent1 2 12 9 2" xfId="7674"/>
    <cellStyle name="Accent1 2 13" xfId="7675"/>
    <cellStyle name="Accent1 2 13 2" xfId="7676"/>
    <cellStyle name="Accent1 2 14" xfId="7677"/>
    <cellStyle name="Accent1 2 14 2" xfId="7678"/>
    <cellStyle name="Accent1 2 15" xfId="7679"/>
    <cellStyle name="Accent1 2 15 2" xfId="7680"/>
    <cellStyle name="Accent1 2 16" xfId="7681"/>
    <cellStyle name="Accent1 2 16 2" xfId="7682"/>
    <cellStyle name="Accent1 2 17" xfId="7683"/>
    <cellStyle name="Accent1 2 17 2" xfId="7684"/>
    <cellStyle name="Accent1 2 18" xfId="7685"/>
    <cellStyle name="Accent1 2 18 2" xfId="7686"/>
    <cellStyle name="Accent1 2 19" xfId="7687"/>
    <cellStyle name="Accent1 2 19 2" xfId="7688"/>
    <cellStyle name="Accent1 2 2" xfId="7689"/>
    <cellStyle name="Accent1 2 2 10" xfId="7690"/>
    <cellStyle name="Accent1 2 2 10 2" xfId="7691"/>
    <cellStyle name="Accent1 2 2 11" xfId="7692"/>
    <cellStyle name="Accent1 2 2 11 2" xfId="7693"/>
    <cellStyle name="Accent1 2 2 12" xfId="7694"/>
    <cellStyle name="Accent1 2 2 12 10" xfId="7695"/>
    <cellStyle name="Accent1 2 2 12 10 2" xfId="7696"/>
    <cellStyle name="Accent1 2 2 12 11" xfId="7697"/>
    <cellStyle name="Accent1 2 2 12 2" xfId="7698"/>
    <cellStyle name="Accent1 2 2 12 2 2" xfId="7699"/>
    <cellStyle name="Accent1 2 2 12 3" xfId="7700"/>
    <cellStyle name="Accent1 2 2 12 3 2" xfId="7701"/>
    <cellStyle name="Accent1 2 2 12 4" xfId="7702"/>
    <cellStyle name="Accent1 2 2 12 4 2" xfId="7703"/>
    <cellStyle name="Accent1 2 2 12 5" xfId="7704"/>
    <cellStyle name="Accent1 2 2 12 5 2" xfId="7705"/>
    <cellStyle name="Accent1 2 2 12 6" xfId="7706"/>
    <cellStyle name="Accent1 2 2 12 6 2" xfId="7707"/>
    <cellStyle name="Accent1 2 2 12 7" xfId="7708"/>
    <cellStyle name="Accent1 2 2 12 7 2" xfId="7709"/>
    <cellStyle name="Accent1 2 2 12 8" xfId="7710"/>
    <cellStyle name="Accent1 2 2 12 8 2" xfId="7711"/>
    <cellStyle name="Accent1 2 2 12 9" xfId="7712"/>
    <cellStyle name="Accent1 2 2 12 9 2" xfId="7713"/>
    <cellStyle name="Accent1 2 2 13" xfId="7714"/>
    <cellStyle name="Accent1 2 2 13 2" xfId="7715"/>
    <cellStyle name="Accent1 2 2 14" xfId="7716"/>
    <cellStyle name="Accent1 2 2 14 2" xfId="7717"/>
    <cellStyle name="Accent1 2 2 15" xfId="7718"/>
    <cellStyle name="Accent1 2 2 15 2" xfId="7719"/>
    <cellStyle name="Accent1 2 2 16" xfId="7720"/>
    <cellStyle name="Accent1 2 2 16 2" xfId="7721"/>
    <cellStyle name="Accent1 2 2 17" xfId="7722"/>
    <cellStyle name="Accent1 2 2 17 2" xfId="7723"/>
    <cellStyle name="Accent1 2 2 18" xfId="7724"/>
    <cellStyle name="Accent1 2 2 18 2" xfId="7725"/>
    <cellStyle name="Accent1 2 2 19" xfId="7726"/>
    <cellStyle name="Accent1 2 2 19 2" xfId="7727"/>
    <cellStyle name="Accent1 2 2 2" xfId="7728"/>
    <cellStyle name="Accent1 2 2 2 10" xfId="7729"/>
    <cellStyle name="Accent1 2 2 2 10 2" xfId="7730"/>
    <cellStyle name="Accent1 2 2 2 11" xfId="7731"/>
    <cellStyle name="Accent1 2 2 2 11 2" xfId="7732"/>
    <cellStyle name="Accent1 2 2 2 12" xfId="7733"/>
    <cellStyle name="Accent1 2 2 2 13" xfId="7734"/>
    <cellStyle name="Accent1 2 2 2 2" xfId="7735"/>
    <cellStyle name="Accent1 2 2 2 2 10" xfId="7736"/>
    <cellStyle name="Accent1 2 2 2 2 10 2" xfId="7737"/>
    <cellStyle name="Accent1 2 2 2 2 11" xfId="7738"/>
    <cellStyle name="Accent1 2 2 2 2 12" xfId="7739"/>
    <cellStyle name="Accent1 2 2 2 2 2" xfId="7740"/>
    <cellStyle name="Accent1 2 2 2 2 2 2" xfId="7741"/>
    <cellStyle name="Accent1 2 2 2 2 2 3" xfId="7742"/>
    <cellStyle name="Accent1 2 2 2 2 2 4" xfId="7743"/>
    <cellStyle name="Accent1 2 2 2 2 3" xfId="7744"/>
    <cellStyle name="Accent1 2 2 2 2 3 2" xfId="7745"/>
    <cellStyle name="Accent1 2 2 2 2 4" xfId="7746"/>
    <cellStyle name="Accent1 2 2 2 2 4 2" xfId="7747"/>
    <cellStyle name="Accent1 2 2 2 2 5" xfId="7748"/>
    <cellStyle name="Accent1 2 2 2 2 5 2" xfId="7749"/>
    <cellStyle name="Accent1 2 2 2 2 6" xfId="7750"/>
    <cellStyle name="Accent1 2 2 2 2 6 2" xfId="7751"/>
    <cellStyle name="Accent1 2 2 2 2 7" xfId="7752"/>
    <cellStyle name="Accent1 2 2 2 2 7 2" xfId="7753"/>
    <cellStyle name="Accent1 2 2 2 2 8" xfId="7754"/>
    <cellStyle name="Accent1 2 2 2 2 8 2" xfId="7755"/>
    <cellStyle name="Accent1 2 2 2 2 9" xfId="7756"/>
    <cellStyle name="Accent1 2 2 2 2 9 2" xfId="7757"/>
    <cellStyle name="Accent1 2 2 2 3" xfId="7758"/>
    <cellStyle name="Accent1 2 2 2 3 2" xfId="7759"/>
    <cellStyle name="Accent1 2 2 2 4" xfId="7760"/>
    <cellStyle name="Accent1 2 2 2 4 2" xfId="7761"/>
    <cellStyle name="Accent1 2 2 2 5" xfId="7762"/>
    <cellStyle name="Accent1 2 2 2 5 2" xfId="7763"/>
    <cellStyle name="Accent1 2 2 2 6" xfId="7764"/>
    <cellStyle name="Accent1 2 2 2 6 2" xfId="7765"/>
    <cellStyle name="Accent1 2 2 2 7" xfId="7766"/>
    <cellStyle name="Accent1 2 2 2 7 2" xfId="7767"/>
    <cellStyle name="Accent1 2 2 2 8" xfId="7768"/>
    <cellStyle name="Accent1 2 2 2 8 2" xfId="7769"/>
    <cellStyle name="Accent1 2 2 2 9" xfId="7770"/>
    <cellStyle name="Accent1 2 2 2 9 2" xfId="7771"/>
    <cellStyle name="Accent1 2 2 20" xfId="7772"/>
    <cellStyle name="Accent1 2 2 20 2" xfId="7773"/>
    <cellStyle name="Accent1 2 2 21" xfId="7774"/>
    <cellStyle name="Accent1 2 2 22" xfId="7775"/>
    <cellStyle name="Accent1 2 2 3" xfId="7776"/>
    <cellStyle name="Accent1 2 2 3 2" xfId="7777"/>
    <cellStyle name="Accent1 2 2 4" xfId="7778"/>
    <cellStyle name="Accent1 2 2 4 2" xfId="7779"/>
    <cellStyle name="Accent1 2 2 5" xfId="7780"/>
    <cellStyle name="Accent1 2 2 5 2" xfId="7781"/>
    <cellStyle name="Accent1 2 2 6" xfId="7782"/>
    <cellStyle name="Accent1 2 2 6 2" xfId="7783"/>
    <cellStyle name="Accent1 2 2 7" xfId="7784"/>
    <cellStyle name="Accent1 2 2 7 2" xfId="7785"/>
    <cellStyle name="Accent1 2 2 8" xfId="7786"/>
    <cellStyle name="Accent1 2 2 8 2" xfId="7787"/>
    <cellStyle name="Accent1 2 2 9" xfId="7788"/>
    <cellStyle name="Accent1 2 2 9 2" xfId="7789"/>
    <cellStyle name="Accent1 2 20" xfId="7790"/>
    <cellStyle name="Accent1 2 20 2" xfId="7791"/>
    <cellStyle name="Accent1 2 21" xfId="7792"/>
    <cellStyle name="Accent1 2 21 2" xfId="7793"/>
    <cellStyle name="Accent1 2 21 3" xfId="7794"/>
    <cellStyle name="Accent1 2 22" xfId="7795"/>
    <cellStyle name="Accent1 2 23" xfId="7796"/>
    <cellStyle name="Accent1 2 24" xfId="7797"/>
    <cellStyle name="Accent1 2 25" xfId="7798"/>
    <cellStyle name="Accent1 2 3" xfId="7799"/>
    <cellStyle name="Accent1 2 3 2" xfId="7800"/>
    <cellStyle name="Accent1 2 4" xfId="7801"/>
    <cellStyle name="Accent1 2 4 2" xfId="7802"/>
    <cellStyle name="Accent1 2 5" xfId="7803"/>
    <cellStyle name="Accent1 2 5 2" xfId="7804"/>
    <cellStyle name="Accent1 2 6" xfId="7805"/>
    <cellStyle name="Accent1 2 6 2" xfId="7806"/>
    <cellStyle name="Accent1 2 7" xfId="7807"/>
    <cellStyle name="Accent1 2 7 2" xfId="7808"/>
    <cellStyle name="Accent1 2 8" xfId="7809"/>
    <cellStyle name="Accent1 2 8 2" xfId="7810"/>
    <cellStyle name="Accent1 2 9" xfId="7811"/>
    <cellStyle name="Accent1 2 9 2" xfId="7812"/>
    <cellStyle name="Accent1 3" xfId="7813"/>
    <cellStyle name="Accent1 3 2" xfId="7814"/>
    <cellStyle name="Accent1 3 2 2" xfId="7815"/>
    <cellStyle name="Accent1 3 2 3" xfId="7816"/>
    <cellStyle name="Accent1 3 3" xfId="7817"/>
    <cellStyle name="Accent1 3 4" xfId="7818"/>
    <cellStyle name="Accent1 3 5" xfId="7819"/>
    <cellStyle name="Accent1 4" xfId="7820"/>
    <cellStyle name="Accent1 4 2" xfId="7821"/>
    <cellStyle name="Accent1 4 2 2" xfId="7822"/>
    <cellStyle name="Accent1 4 2 3" xfId="7823"/>
    <cellStyle name="Accent1 4 3" xfId="7824"/>
    <cellStyle name="Accent1 4 4" xfId="7825"/>
    <cellStyle name="Accent1 4 5" xfId="7826"/>
    <cellStyle name="Accent1 5" xfId="7827"/>
    <cellStyle name="Accent1 5 2" xfId="7828"/>
    <cellStyle name="Accent1 5 2 2" xfId="7829"/>
    <cellStyle name="Accent1 5 2 3" xfId="7830"/>
    <cellStyle name="Accent1 5 3" xfId="7831"/>
    <cellStyle name="Accent1 5 4" xfId="7832"/>
    <cellStyle name="Accent1 5 5" xfId="7833"/>
    <cellStyle name="Accent1 6" xfId="7834"/>
    <cellStyle name="Accent1 6 2" xfId="7835"/>
    <cellStyle name="Accent1 6 3" xfId="7836"/>
    <cellStyle name="Accent1 7" xfId="7837"/>
    <cellStyle name="Accent1 8" xfId="7838"/>
    <cellStyle name="Accent1 9" xfId="7839"/>
    <cellStyle name="Accent2 10" xfId="7840"/>
    <cellStyle name="Accent2 11" xfId="7841"/>
    <cellStyle name="Accent2 12" xfId="7842"/>
    <cellStyle name="Accent2 13" xfId="7843"/>
    <cellStyle name="Accent2 14" xfId="7844"/>
    <cellStyle name="Accent2 15" xfId="7845"/>
    <cellStyle name="Accent2 16" xfId="7846"/>
    <cellStyle name="Accent2 17" xfId="7847"/>
    <cellStyle name="Accent2 18" xfId="7848"/>
    <cellStyle name="Accent2 19" xfId="7849"/>
    <cellStyle name="Accent2 2" xfId="7850"/>
    <cellStyle name="Accent2 2 2" xfId="7851"/>
    <cellStyle name="Accent2 2 2 2" xfId="7852"/>
    <cellStyle name="Accent2 2 3" xfId="7853"/>
    <cellStyle name="Accent2 2 3 2" xfId="7854"/>
    <cellStyle name="Accent2 2 4" xfId="7855"/>
    <cellStyle name="Accent2 2 4 2" xfId="7856"/>
    <cellStyle name="Accent2 2 4 3" xfId="7857"/>
    <cellStyle name="Accent2 2 5" xfId="7858"/>
    <cellStyle name="Accent2 2 6" xfId="7859"/>
    <cellStyle name="Accent2 2 7" xfId="7860"/>
    <cellStyle name="Accent2 2 8" xfId="7861"/>
    <cellStyle name="Accent2 3" xfId="7862"/>
    <cellStyle name="Accent2 3 2" xfId="7863"/>
    <cellStyle name="Accent2 3 2 2" xfId="7864"/>
    <cellStyle name="Accent2 3 2 3" xfId="7865"/>
    <cellStyle name="Accent2 3 3" xfId="7866"/>
    <cellStyle name="Accent2 3 4" xfId="7867"/>
    <cellStyle name="Accent2 3 5" xfId="7868"/>
    <cellStyle name="Accent2 4" xfId="7869"/>
    <cellStyle name="Accent2 4 2" xfId="7870"/>
    <cellStyle name="Accent2 4 2 2" xfId="7871"/>
    <cellStyle name="Accent2 4 2 3" xfId="7872"/>
    <cellStyle name="Accent2 4 3" xfId="7873"/>
    <cellStyle name="Accent2 4 4" xfId="7874"/>
    <cellStyle name="Accent2 4 5" xfId="7875"/>
    <cellStyle name="Accent2 5" xfId="7876"/>
    <cellStyle name="Accent2 5 2" xfId="7877"/>
    <cellStyle name="Accent2 5 2 2" xfId="7878"/>
    <cellStyle name="Accent2 5 2 3" xfId="7879"/>
    <cellStyle name="Accent2 5 3" xfId="7880"/>
    <cellStyle name="Accent2 5 4" xfId="7881"/>
    <cellStyle name="Accent2 5 5" xfId="7882"/>
    <cellStyle name="Accent2 6" xfId="7883"/>
    <cellStyle name="Accent2 6 2" xfId="7884"/>
    <cellStyle name="Accent2 6 3" xfId="7885"/>
    <cellStyle name="Accent2 7" xfId="7886"/>
    <cellStyle name="Accent2 8" xfId="7887"/>
    <cellStyle name="Accent2 9" xfId="7888"/>
    <cellStyle name="Accent3 10" xfId="7889"/>
    <cellStyle name="Accent3 11" xfId="7890"/>
    <cellStyle name="Accent3 12" xfId="7891"/>
    <cellStyle name="Accent3 13" xfId="7892"/>
    <cellStyle name="Accent3 14" xfId="7893"/>
    <cellStyle name="Accent3 15" xfId="7894"/>
    <cellStyle name="Accent3 16" xfId="7895"/>
    <cellStyle name="Accent3 17" xfId="7896"/>
    <cellStyle name="Accent3 18" xfId="7897"/>
    <cellStyle name="Accent3 19" xfId="7898"/>
    <cellStyle name="Accent3 2" xfId="7899"/>
    <cellStyle name="Accent3 2 2" xfId="7900"/>
    <cellStyle name="Accent3 2 2 2" xfId="7901"/>
    <cellStyle name="Accent3 2 3" xfId="7902"/>
    <cellStyle name="Accent3 2 3 2" xfId="7903"/>
    <cellStyle name="Accent3 2 4" xfId="7904"/>
    <cellStyle name="Accent3 2 4 2" xfId="7905"/>
    <cellStyle name="Accent3 2 4 3" xfId="7906"/>
    <cellStyle name="Accent3 2 5" xfId="7907"/>
    <cellStyle name="Accent3 2 6" xfId="7908"/>
    <cellStyle name="Accent3 2 7" xfId="7909"/>
    <cellStyle name="Accent3 2 8" xfId="7910"/>
    <cellStyle name="Accent3 3" xfId="7911"/>
    <cellStyle name="Accent3 3 2" xfId="7912"/>
    <cellStyle name="Accent3 3 2 2" xfId="7913"/>
    <cellStyle name="Accent3 3 2 3" xfId="7914"/>
    <cellStyle name="Accent3 3 3" xfId="7915"/>
    <cellStyle name="Accent3 3 4" xfId="7916"/>
    <cellStyle name="Accent3 3 5" xfId="7917"/>
    <cellStyle name="Accent3 4" xfId="7918"/>
    <cellStyle name="Accent3 4 2" xfId="7919"/>
    <cellStyle name="Accent3 4 2 2" xfId="7920"/>
    <cellStyle name="Accent3 4 2 3" xfId="7921"/>
    <cellStyle name="Accent3 4 3" xfId="7922"/>
    <cellStyle name="Accent3 4 4" xfId="7923"/>
    <cellStyle name="Accent3 4 5" xfId="7924"/>
    <cellStyle name="Accent3 5" xfId="7925"/>
    <cellStyle name="Accent3 5 2" xfId="7926"/>
    <cellStyle name="Accent3 5 2 2" xfId="7927"/>
    <cellStyle name="Accent3 5 2 3" xfId="7928"/>
    <cellStyle name="Accent3 5 3" xfId="7929"/>
    <cellStyle name="Accent3 5 4" xfId="7930"/>
    <cellStyle name="Accent3 5 5" xfId="7931"/>
    <cellStyle name="Accent3 6" xfId="7932"/>
    <cellStyle name="Accent3 6 2" xfId="7933"/>
    <cellStyle name="Accent3 6 3" xfId="7934"/>
    <cellStyle name="Accent3 7" xfId="7935"/>
    <cellStyle name="Accent3 8" xfId="7936"/>
    <cellStyle name="Accent3 9" xfId="7937"/>
    <cellStyle name="Accent4 10" xfId="7938"/>
    <cellStyle name="Accent4 11" xfId="7939"/>
    <cellStyle name="Accent4 12" xfId="7940"/>
    <cellStyle name="Accent4 13" xfId="7941"/>
    <cellStyle name="Accent4 14" xfId="7942"/>
    <cellStyle name="Accent4 15" xfId="7943"/>
    <cellStyle name="Accent4 16" xfId="7944"/>
    <cellStyle name="Accent4 17" xfId="7945"/>
    <cellStyle name="Accent4 18" xfId="7946"/>
    <cellStyle name="Accent4 19" xfId="7947"/>
    <cellStyle name="Accent4 2" xfId="7948"/>
    <cellStyle name="Accent4 2 2" xfId="7949"/>
    <cellStyle name="Accent4 2 2 2" xfId="7950"/>
    <cellStyle name="Accent4 2 3" xfId="7951"/>
    <cellStyle name="Accent4 2 3 2" xfId="7952"/>
    <cellStyle name="Accent4 2 4" xfId="7953"/>
    <cellStyle name="Accent4 2 4 2" xfId="7954"/>
    <cellStyle name="Accent4 2 4 3" xfId="7955"/>
    <cellStyle name="Accent4 2 5" xfId="7956"/>
    <cellStyle name="Accent4 2 6" xfId="7957"/>
    <cellStyle name="Accent4 2 7" xfId="7958"/>
    <cellStyle name="Accent4 2 8" xfId="7959"/>
    <cellStyle name="Accent4 3" xfId="7960"/>
    <cellStyle name="Accent4 3 2" xfId="7961"/>
    <cellStyle name="Accent4 3 2 2" xfId="7962"/>
    <cellStyle name="Accent4 3 2 3" xfId="7963"/>
    <cellStyle name="Accent4 3 3" xfId="7964"/>
    <cellStyle name="Accent4 3 4" xfId="7965"/>
    <cellStyle name="Accent4 3 5" xfId="7966"/>
    <cellStyle name="Accent4 4" xfId="7967"/>
    <cellStyle name="Accent4 4 2" xfId="7968"/>
    <cellStyle name="Accent4 4 2 2" xfId="7969"/>
    <cellStyle name="Accent4 4 2 3" xfId="7970"/>
    <cellStyle name="Accent4 4 3" xfId="7971"/>
    <cellStyle name="Accent4 4 4" xfId="7972"/>
    <cellStyle name="Accent4 4 5" xfId="7973"/>
    <cellStyle name="Accent4 5" xfId="7974"/>
    <cellStyle name="Accent4 5 2" xfId="7975"/>
    <cellStyle name="Accent4 5 2 2" xfId="7976"/>
    <cellStyle name="Accent4 5 2 3" xfId="7977"/>
    <cellStyle name="Accent4 5 3" xfId="7978"/>
    <cellStyle name="Accent4 5 4" xfId="7979"/>
    <cellStyle name="Accent4 5 5" xfId="7980"/>
    <cellStyle name="Accent4 6" xfId="7981"/>
    <cellStyle name="Accent4 6 2" xfId="7982"/>
    <cellStyle name="Accent4 6 3" xfId="7983"/>
    <cellStyle name="Accent4 7" xfId="7984"/>
    <cellStyle name="Accent4 8" xfId="7985"/>
    <cellStyle name="Accent4 9" xfId="7986"/>
    <cellStyle name="Accent5 10" xfId="7987"/>
    <cellStyle name="Accent5 11" xfId="7988"/>
    <cellStyle name="Accent5 12" xfId="7989"/>
    <cellStyle name="Accent5 13" xfId="7990"/>
    <cellStyle name="Accent5 14" xfId="7991"/>
    <cellStyle name="Accent5 15" xfId="7992"/>
    <cellStyle name="Accent5 16" xfId="7993"/>
    <cellStyle name="Accent5 17" xfId="7994"/>
    <cellStyle name="Accent5 18" xfId="7995"/>
    <cellStyle name="Accent5 19" xfId="7996"/>
    <cellStyle name="Accent5 2" xfId="7997"/>
    <cellStyle name="Accent5 2 2" xfId="7998"/>
    <cellStyle name="Accent5 2 2 2" xfId="7999"/>
    <cellStyle name="Accent5 2 3" xfId="8000"/>
    <cellStyle name="Accent5 2 3 2" xfId="8001"/>
    <cellStyle name="Accent5 2 4" xfId="8002"/>
    <cellStyle name="Accent5 2 4 2" xfId="8003"/>
    <cellStyle name="Accent5 2 4 3" xfId="8004"/>
    <cellStyle name="Accent5 2 5" xfId="8005"/>
    <cellStyle name="Accent5 2 6" xfId="8006"/>
    <cellStyle name="Accent5 2 7" xfId="8007"/>
    <cellStyle name="Accent5 2 8" xfId="8008"/>
    <cellStyle name="Accent5 3" xfId="8009"/>
    <cellStyle name="Accent5 3 2" xfId="8010"/>
    <cellStyle name="Accent5 3 2 2" xfId="8011"/>
    <cellStyle name="Accent5 3 2 3" xfId="8012"/>
    <cellStyle name="Accent5 3 3" xfId="8013"/>
    <cellStyle name="Accent5 3 4" xfId="8014"/>
    <cellStyle name="Accent5 3 5" xfId="8015"/>
    <cellStyle name="Accent5 4" xfId="8016"/>
    <cellStyle name="Accent5 4 2" xfId="8017"/>
    <cellStyle name="Accent5 4 2 2" xfId="8018"/>
    <cellStyle name="Accent5 4 2 3" xfId="8019"/>
    <cellStyle name="Accent5 4 3" xfId="8020"/>
    <cellStyle name="Accent5 4 4" xfId="8021"/>
    <cellStyle name="Accent5 4 5" xfId="8022"/>
    <cellStyle name="Accent5 5" xfId="8023"/>
    <cellStyle name="Accent5 5 2" xfId="8024"/>
    <cellStyle name="Accent5 5 2 2" xfId="8025"/>
    <cellStyle name="Accent5 5 2 3" xfId="8026"/>
    <cellStyle name="Accent5 5 3" xfId="8027"/>
    <cellStyle name="Accent5 5 4" xfId="8028"/>
    <cellStyle name="Accent5 5 5" xfId="8029"/>
    <cellStyle name="Accent5 6" xfId="8030"/>
    <cellStyle name="Accent5 6 2" xfId="8031"/>
    <cellStyle name="Accent5 6 3" xfId="8032"/>
    <cellStyle name="Accent5 7" xfId="8033"/>
    <cellStyle name="Accent5 8" xfId="8034"/>
    <cellStyle name="Accent5 9" xfId="8035"/>
    <cellStyle name="Accent6 10" xfId="8036"/>
    <cellStyle name="Accent6 11" xfId="8037"/>
    <cellStyle name="Accent6 12" xfId="8038"/>
    <cellStyle name="Accent6 13" xfId="8039"/>
    <cellStyle name="Accent6 14" xfId="8040"/>
    <cellStyle name="Accent6 15" xfId="8041"/>
    <cellStyle name="Accent6 16" xfId="8042"/>
    <cellStyle name="Accent6 17" xfId="8043"/>
    <cellStyle name="Accent6 18" xfId="8044"/>
    <cellStyle name="Accent6 19" xfId="8045"/>
    <cellStyle name="Accent6 2" xfId="8046"/>
    <cellStyle name="Accent6 2 2" xfId="8047"/>
    <cellStyle name="Accent6 2 2 2" xfId="8048"/>
    <cellStyle name="Accent6 2 3" xfId="8049"/>
    <cellStyle name="Accent6 2 3 2" xfId="8050"/>
    <cellStyle name="Accent6 2 4" xfId="8051"/>
    <cellStyle name="Accent6 2 4 2" xfId="8052"/>
    <cellStyle name="Accent6 2 4 3" xfId="8053"/>
    <cellStyle name="Accent6 2 5" xfId="8054"/>
    <cellStyle name="Accent6 2 6" xfId="8055"/>
    <cellStyle name="Accent6 2 7" xfId="8056"/>
    <cellStyle name="Accent6 2 8" xfId="8057"/>
    <cellStyle name="Accent6 3" xfId="8058"/>
    <cellStyle name="Accent6 3 2" xfId="8059"/>
    <cellStyle name="Accent6 3 2 2" xfId="8060"/>
    <cellStyle name="Accent6 3 2 3" xfId="8061"/>
    <cellStyle name="Accent6 3 3" xfId="8062"/>
    <cellStyle name="Accent6 3 4" xfId="8063"/>
    <cellStyle name="Accent6 3 5" xfId="8064"/>
    <cellStyle name="Accent6 4" xfId="8065"/>
    <cellStyle name="Accent6 4 2" xfId="8066"/>
    <cellStyle name="Accent6 4 2 2" xfId="8067"/>
    <cellStyle name="Accent6 4 2 3" xfId="8068"/>
    <cellStyle name="Accent6 4 3" xfId="8069"/>
    <cellStyle name="Accent6 4 4" xfId="8070"/>
    <cellStyle name="Accent6 4 5" xfId="8071"/>
    <cellStyle name="Accent6 5" xfId="8072"/>
    <cellStyle name="Accent6 5 2" xfId="8073"/>
    <cellStyle name="Accent6 5 2 2" xfId="8074"/>
    <cellStyle name="Accent6 5 2 3" xfId="8075"/>
    <cellStyle name="Accent6 5 3" xfId="8076"/>
    <cellStyle name="Accent6 5 4" xfId="8077"/>
    <cellStyle name="Accent6 5 5" xfId="8078"/>
    <cellStyle name="Accent6 6" xfId="8079"/>
    <cellStyle name="Accent6 6 2" xfId="8080"/>
    <cellStyle name="Accent6 6 3" xfId="8081"/>
    <cellStyle name="Accent6 7" xfId="8082"/>
    <cellStyle name="Accent6 8" xfId="8083"/>
    <cellStyle name="Accent6 9" xfId="8084"/>
    <cellStyle name="accounting" xfId="8085"/>
    <cellStyle name="accounting 2" xfId="8086"/>
    <cellStyle name="accounting 2 2" xfId="8087"/>
    <cellStyle name="accounting 2 3" xfId="20245"/>
    <cellStyle name="accounting 3" xfId="8088"/>
    <cellStyle name="accounting 3 2" xfId="20246"/>
    <cellStyle name="accounting 4" xfId="8089"/>
    <cellStyle name="accounting 4 2" xfId="20247"/>
    <cellStyle name="accounting 5" xfId="8090"/>
    <cellStyle name="accounting 5 2" xfId="20248"/>
    <cellStyle name="accounting 6" xfId="20249"/>
    <cellStyle name="Accounting w/$" xfId="8091"/>
    <cellStyle name="Accounting w/$ Total" xfId="8092"/>
    <cellStyle name="Accounting w/o $" xfId="8093"/>
    <cellStyle name="acct" xfId="16349"/>
    <cellStyle name="acct bold" xfId="16350"/>
    <cellStyle name="acct no" xfId="16351"/>
    <cellStyle name="acct_EPL LBO 5.16.05 - Mgmt IPO v6" xfId="16352"/>
    <cellStyle name="Acctg" xfId="16353"/>
    <cellStyle name="Açıklama Metni" xfId="16354"/>
    <cellStyle name="Across" xfId="16355"/>
    <cellStyle name="active" xfId="8094"/>
    <cellStyle name="active 2" xfId="8095"/>
    <cellStyle name="active 2 2" xfId="8096"/>
    <cellStyle name="active 3" xfId="8097"/>
    <cellStyle name="active 4" xfId="8098"/>
    <cellStyle name="active 5" xfId="8099"/>
    <cellStyle name="Actual" xfId="16356"/>
    <cellStyle name="Actual Date" xfId="8100"/>
    <cellStyle name="Actuals" xfId="8101"/>
    <cellStyle name="Actuals 10" xfId="8102"/>
    <cellStyle name="Actuals 10 2" xfId="8103"/>
    <cellStyle name="Actuals 11" xfId="8104"/>
    <cellStyle name="Actuals 11 2" xfId="8105"/>
    <cellStyle name="Actuals 12" xfId="8106"/>
    <cellStyle name="Actuals 12 2" xfId="8107"/>
    <cellStyle name="Actuals 13" xfId="8108"/>
    <cellStyle name="Actuals 13 2" xfId="8109"/>
    <cellStyle name="Actuals 14" xfId="8110"/>
    <cellStyle name="Actuals 14 2" xfId="8111"/>
    <cellStyle name="Actuals 15" xfId="8112"/>
    <cellStyle name="Actuals 15 2" xfId="8113"/>
    <cellStyle name="Actuals 16" xfId="8114"/>
    <cellStyle name="Actuals 16 2" xfId="8115"/>
    <cellStyle name="Actuals 17" xfId="8116"/>
    <cellStyle name="Actuals 17 2" xfId="8117"/>
    <cellStyle name="Actuals 18" xfId="8118"/>
    <cellStyle name="Actuals 18 2" xfId="8119"/>
    <cellStyle name="Actuals 19" xfId="8120"/>
    <cellStyle name="Actuals 19 2" xfId="8121"/>
    <cellStyle name="Actuals 2" xfId="8122"/>
    <cellStyle name="Actuals 2 2" xfId="8123"/>
    <cellStyle name="Actuals 2 2 2" xfId="8124"/>
    <cellStyle name="Actuals 2 2 3" xfId="8125"/>
    <cellStyle name="Actuals 2 3" xfId="8126"/>
    <cellStyle name="Actuals 2 4" xfId="8127"/>
    <cellStyle name="Actuals 2 5" xfId="8128"/>
    <cellStyle name="Actuals 20" xfId="8129"/>
    <cellStyle name="Actuals 20 2" xfId="8130"/>
    <cellStyle name="Actuals 21" xfId="8131"/>
    <cellStyle name="Actuals 21 2" xfId="8132"/>
    <cellStyle name="Actuals 22" xfId="8133"/>
    <cellStyle name="Actuals 22 2" xfId="8134"/>
    <cellStyle name="Actuals 23" xfId="8135"/>
    <cellStyle name="Actuals 23 2" xfId="8136"/>
    <cellStyle name="Actuals 24" xfId="8137"/>
    <cellStyle name="Actuals 24 2" xfId="8138"/>
    <cellStyle name="Actuals 25" xfId="8139"/>
    <cellStyle name="Actuals 25 2" xfId="8140"/>
    <cellStyle name="Actuals 26" xfId="8141"/>
    <cellStyle name="Actuals 26 2" xfId="8142"/>
    <cellStyle name="Actuals 27" xfId="8143"/>
    <cellStyle name="Actuals 27 2" xfId="8144"/>
    <cellStyle name="Actuals 28" xfId="8145"/>
    <cellStyle name="Actuals 28 2" xfId="8146"/>
    <cellStyle name="Actuals 29" xfId="8147"/>
    <cellStyle name="Actuals 29 2" xfId="8148"/>
    <cellStyle name="Actuals 3" xfId="8149"/>
    <cellStyle name="Actuals 3 2" xfId="8150"/>
    <cellStyle name="Actuals 30" xfId="8151"/>
    <cellStyle name="Actuals 30 2" xfId="8152"/>
    <cellStyle name="Actuals 30 3" xfId="8153"/>
    <cellStyle name="Actuals 31" xfId="8154"/>
    <cellStyle name="Actuals 32" xfId="8155"/>
    <cellStyle name="Actuals 33" xfId="8156"/>
    <cellStyle name="Actuals 4" xfId="8157"/>
    <cellStyle name="Actuals 4 2" xfId="8158"/>
    <cellStyle name="Actuals 5" xfId="8159"/>
    <cellStyle name="Actuals 5 2" xfId="8160"/>
    <cellStyle name="Actuals 6" xfId="8161"/>
    <cellStyle name="Actuals 6 2" xfId="8162"/>
    <cellStyle name="Actuals 7" xfId="8163"/>
    <cellStyle name="Actuals 7 2" xfId="8164"/>
    <cellStyle name="Actuals 8" xfId="8165"/>
    <cellStyle name="Actuals 8 2" xfId="8166"/>
    <cellStyle name="Actuals 9" xfId="8167"/>
    <cellStyle name="Actuals 9 2" xfId="8168"/>
    <cellStyle name="adj_share" xfId="8169"/>
    <cellStyle name="Adjustable" xfId="8170"/>
    <cellStyle name="Adjusted" xfId="8171"/>
    <cellStyle name="Adjusted 2" xfId="8172"/>
    <cellStyle name="Adjusted 2 2" xfId="8173"/>
    <cellStyle name="Adjusted 2 3" xfId="20250"/>
    <cellStyle name="Adjusted 3" xfId="8174"/>
    <cellStyle name="Adjusted 3 2" xfId="20251"/>
    <cellStyle name="Adjusted 4" xfId="8175"/>
    <cellStyle name="Adjusted 4 2" xfId="20252"/>
    <cellStyle name="Adjusted 5" xfId="8176"/>
    <cellStyle name="Adjusted 5 2" xfId="20253"/>
    <cellStyle name="Adjusted 6" xfId="20254"/>
    <cellStyle name="AFE" xfId="8177"/>
    <cellStyle name="AFE 2" xfId="8178"/>
    <cellStyle name="AFE 2 2" xfId="8179"/>
    <cellStyle name="AFE 3" xfId="8180"/>
    <cellStyle name="AFE 4" xfId="8181"/>
    <cellStyle name="Afjusted" xfId="8182"/>
    <cellStyle name="Afjusted 2" xfId="8183"/>
    <cellStyle name="Afjusted 2 2" xfId="8184"/>
    <cellStyle name="Afjusted 3" xfId="8185"/>
    <cellStyle name="Afjusted 4" xfId="8186"/>
    <cellStyle name="Afjusted 5" xfId="8187"/>
    <cellStyle name="ai_תנאי הצמדה " xfId="8188"/>
    <cellStyle name="AIRCO" xfId="8189"/>
    <cellStyle name="AIRCO 2" xfId="8190"/>
    <cellStyle name="AIRCO 2 2" xfId="15950"/>
    <cellStyle name="AIRCO 2 3" xfId="19901"/>
    <cellStyle name="AIRCO 3" xfId="15949"/>
    <cellStyle name="AIRCO 4" xfId="19900"/>
    <cellStyle name="amount" xfId="8191"/>
    <cellStyle name="amount 2" xfId="8192"/>
    <cellStyle name="amount 2 2" xfId="8193"/>
    <cellStyle name="amount 2 2 2" xfId="8194"/>
    <cellStyle name="amount 2 2 2 2" xfId="15952"/>
    <cellStyle name="amount 2 2 2 3" xfId="19903"/>
    <cellStyle name="amount 2 2 3" xfId="15951"/>
    <cellStyle name="amount 2 2 4" xfId="19902"/>
    <cellStyle name="amount 2 3" xfId="8195"/>
    <cellStyle name="amount 2 3 2" xfId="8196"/>
    <cellStyle name="amount 2 3 2 2" xfId="15954"/>
    <cellStyle name="amount 2 3 2 3" xfId="19905"/>
    <cellStyle name="amount 2 3 3" xfId="15953"/>
    <cellStyle name="amount 2 3 4" xfId="19904"/>
    <cellStyle name="amount 2 4" xfId="8197"/>
    <cellStyle name="amount 2 4 2" xfId="8198"/>
    <cellStyle name="amount 2 4 2 2" xfId="15956"/>
    <cellStyle name="amount 2 4 2 3" xfId="19907"/>
    <cellStyle name="amount 2 4 3" xfId="15955"/>
    <cellStyle name="amount 2 4 4" xfId="19906"/>
    <cellStyle name="amount 2 5" xfId="8199"/>
    <cellStyle name="amount 2 5 2" xfId="8200"/>
    <cellStyle name="amount 2 5 2 2" xfId="15958"/>
    <cellStyle name="amount 2 5 2 3" xfId="19909"/>
    <cellStyle name="amount 2 5 3" xfId="15957"/>
    <cellStyle name="amount 2 5 4" xfId="19908"/>
    <cellStyle name="amount 3" xfId="8201"/>
    <cellStyle name="amount 3 2" xfId="8202"/>
    <cellStyle name="amount 3 2 2" xfId="8203"/>
    <cellStyle name="amount 3 2 2 2" xfId="15961"/>
    <cellStyle name="amount 3 2 2 3" xfId="19912"/>
    <cellStyle name="amount 3 2 3" xfId="15960"/>
    <cellStyle name="amount 3 2 4" xfId="19911"/>
    <cellStyle name="amount 3 3" xfId="8204"/>
    <cellStyle name="amount 3 3 2" xfId="8205"/>
    <cellStyle name="amount 3 3 2 2" xfId="15963"/>
    <cellStyle name="amount 3 3 2 3" xfId="19914"/>
    <cellStyle name="amount 3 3 3" xfId="15962"/>
    <cellStyle name="amount 3 3 4" xfId="19913"/>
    <cellStyle name="amount 3 4" xfId="8206"/>
    <cellStyle name="amount 3 4 2" xfId="8207"/>
    <cellStyle name="amount 3 4 2 2" xfId="15965"/>
    <cellStyle name="amount 3 4 2 3" xfId="19916"/>
    <cellStyle name="amount 3 4 3" xfId="15964"/>
    <cellStyle name="amount 3 4 4" xfId="19915"/>
    <cellStyle name="amount 3 5" xfId="8208"/>
    <cellStyle name="amount 3 5 2" xfId="8209"/>
    <cellStyle name="amount 3 5 2 2" xfId="15967"/>
    <cellStyle name="amount 3 5 2 3" xfId="19918"/>
    <cellStyle name="amount 3 5 3" xfId="15966"/>
    <cellStyle name="amount 3 5 4" xfId="19917"/>
    <cellStyle name="amount 3 6" xfId="15959"/>
    <cellStyle name="amount 3 7" xfId="19910"/>
    <cellStyle name="amount 4" xfId="8210"/>
    <cellStyle name="amount 4 2" xfId="8211"/>
    <cellStyle name="amount 4 2 2" xfId="15969"/>
    <cellStyle name="amount 4 2 3" xfId="19920"/>
    <cellStyle name="amount 4 3" xfId="15968"/>
    <cellStyle name="amount 4 4" xfId="19919"/>
    <cellStyle name="amount 5" xfId="8212"/>
    <cellStyle name="amount 5 2" xfId="8213"/>
    <cellStyle name="amount 5 2 2" xfId="15971"/>
    <cellStyle name="amount 5 2 3" xfId="19922"/>
    <cellStyle name="amount 5 3" xfId="15970"/>
    <cellStyle name="amount 5 4" xfId="19921"/>
    <cellStyle name="amount 6" xfId="8214"/>
    <cellStyle name="amount 6 2" xfId="8215"/>
    <cellStyle name="amount 6 2 2" xfId="15973"/>
    <cellStyle name="amount 6 2 3" xfId="19924"/>
    <cellStyle name="amount 6 3" xfId="15972"/>
    <cellStyle name="amount 6 4" xfId="19923"/>
    <cellStyle name="amount 7" xfId="8216"/>
    <cellStyle name="amount 7 2" xfId="8217"/>
    <cellStyle name="amount 7 2 2" xfId="15975"/>
    <cellStyle name="amount 7 2 3" xfId="19926"/>
    <cellStyle name="amount 7 3" xfId="15974"/>
    <cellStyle name="amount 7 4" xfId="19925"/>
    <cellStyle name="Ana Başlık" xfId="16357"/>
    <cellStyle name="Andre's Title" xfId="16358"/>
    <cellStyle name="Ann'l_Incr" xfId="8218"/>
    <cellStyle name="args.style" xfId="8219"/>
    <cellStyle name="args.style 10" xfId="8220"/>
    <cellStyle name="args.style 10 2" xfId="8221"/>
    <cellStyle name="args.style 11" xfId="8222"/>
    <cellStyle name="args.style 11 2" xfId="8223"/>
    <cellStyle name="args.style 12" xfId="8224"/>
    <cellStyle name="args.style 12 2" xfId="8225"/>
    <cellStyle name="args.style 13" xfId="8226"/>
    <cellStyle name="args.style 13 2" xfId="8227"/>
    <cellStyle name="args.style 14" xfId="8228"/>
    <cellStyle name="args.style 15" xfId="8229"/>
    <cellStyle name="args.style 16" xfId="8230"/>
    <cellStyle name="args.style 17" xfId="8231"/>
    <cellStyle name="args.style 18" xfId="8232"/>
    <cellStyle name="args.style 2" xfId="8233"/>
    <cellStyle name="args.style 2 10" xfId="8234"/>
    <cellStyle name="args.style 2 2" xfId="8235"/>
    <cellStyle name="args.style 2 2 2" xfId="8236"/>
    <cellStyle name="args.style 2 2 2 2" xfId="8237"/>
    <cellStyle name="args.style 2 2 2 2 2" xfId="8238"/>
    <cellStyle name="args.style 2 2 2 2 3" xfId="8239"/>
    <cellStyle name="args.style 2 2 2 2 4" xfId="8240"/>
    <cellStyle name="args.style 2 2 2 2 5" xfId="8241"/>
    <cellStyle name="args.style 2 2 2 2 6" xfId="8242"/>
    <cellStyle name="args.style 2 2 2 2 7" xfId="8243"/>
    <cellStyle name="args.style 2 2 2 2 8" xfId="8244"/>
    <cellStyle name="args.style 2 2 2 3" xfId="8245"/>
    <cellStyle name="args.style 2 2 2 4" xfId="8246"/>
    <cellStyle name="args.style 2 2 2 5" xfId="8247"/>
    <cellStyle name="args.style 2 2 2 6" xfId="8248"/>
    <cellStyle name="args.style 2 2 2 7" xfId="8249"/>
    <cellStyle name="args.style 2 2 2 8" xfId="8250"/>
    <cellStyle name="args.style 2 2 3" xfId="8251"/>
    <cellStyle name="args.style 2 2 4" xfId="8252"/>
    <cellStyle name="args.style 2 2 5" xfId="8253"/>
    <cellStyle name="args.style 2 2 6" xfId="8254"/>
    <cellStyle name="args.style 2 2 7" xfId="8255"/>
    <cellStyle name="args.style 2 2 8" xfId="8256"/>
    <cellStyle name="args.style 2 3" xfId="8257"/>
    <cellStyle name="args.style 2 3 2" xfId="8258"/>
    <cellStyle name="args.style 2 3 3" xfId="8259"/>
    <cellStyle name="args.style 2 3 4" xfId="8260"/>
    <cellStyle name="args.style 2 3 5" xfId="8261"/>
    <cellStyle name="args.style 2 3 6" xfId="8262"/>
    <cellStyle name="args.style 2 3 7" xfId="8263"/>
    <cellStyle name="args.style 2 3 8" xfId="8264"/>
    <cellStyle name="args.style 2 4" xfId="8265"/>
    <cellStyle name="args.style 2 5" xfId="8266"/>
    <cellStyle name="args.style 2 6" xfId="8267"/>
    <cellStyle name="args.style 2 7" xfId="8268"/>
    <cellStyle name="args.style 2 8" xfId="8269"/>
    <cellStyle name="args.style 2 9" xfId="8270"/>
    <cellStyle name="args.style 3" xfId="8271"/>
    <cellStyle name="args.style 3 10" xfId="8272"/>
    <cellStyle name="args.style 3 2" xfId="8273"/>
    <cellStyle name="args.style 3 2 2" xfId="8274"/>
    <cellStyle name="args.style 3 2 2 2" xfId="8275"/>
    <cellStyle name="args.style 3 2 2 2 2" xfId="8276"/>
    <cellStyle name="args.style 3 2 2 2 3" xfId="8277"/>
    <cellStyle name="args.style 3 2 2 2 4" xfId="8278"/>
    <cellStyle name="args.style 3 2 2 2 5" xfId="8279"/>
    <cellStyle name="args.style 3 2 2 2 6" xfId="8280"/>
    <cellStyle name="args.style 3 2 2 2 7" xfId="8281"/>
    <cellStyle name="args.style 3 2 2 2 8" xfId="8282"/>
    <cellStyle name="args.style 3 2 2 3" xfId="8283"/>
    <cellStyle name="args.style 3 2 2 4" xfId="8284"/>
    <cellStyle name="args.style 3 2 2 5" xfId="8285"/>
    <cellStyle name="args.style 3 2 2 6" xfId="8286"/>
    <cellStyle name="args.style 3 2 2 7" xfId="8287"/>
    <cellStyle name="args.style 3 2 2 8" xfId="8288"/>
    <cellStyle name="args.style 3 2 3" xfId="8289"/>
    <cellStyle name="args.style 3 2 4" xfId="8290"/>
    <cellStyle name="args.style 3 2 5" xfId="8291"/>
    <cellStyle name="args.style 3 2 6" xfId="8292"/>
    <cellStyle name="args.style 3 2 7" xfId="8293"/>
    <cellStyle name="args.style 3 2 8" xfId="8294"/>
    <cellStyle name="args.style 3 3" xfId="8295"/>
    <cellStyle name="args.style 3 3 2" xfId="8296"/>
    <cellStyle name="args.style 3 3 3" xfId="8297"/>
    <cellStyle name="args.style 3 3 4" xfId="8298"/>
    <cellStyle name="args.style 3 3 5" xfId="8299"/>
    <cellStyle name="args.style 3 3 6" xfId="8300"/>
    <cellStyle name="args.style 3 3 7" xfId="8301"/>
    <cellStyle name="args.style 3 3 8" xfId="8302"/>
    <cellStyle name="args.style 3 4" xfId="8303"/>
    <cellStyle name="args.style 3 5" xfId="8304"/>
    <cellStyle name="args.style 3 6" xfId="8305"/>
    <cellStyle name="args.style 3 7" xfId="8306"/>
    <cellStyle name="args.style 3 8" xfId="8307"/>
    <cellStyle name="args.style 3 9" xfId="8308"/>
    <cellStyle name="args.style 4" xfId="8309"/>
    <cellStyle name="args.style 4 2" xfId="8310"/>
    <cellStyle name="args.style 4 2 2" xfId="8311"/>
    <cellStyle name="args.style 4 2 2 2" xfId="8312"/>
    <cellStyle name="args.style 4 3" xfId="8313"/>
    <cellStyle name="args.style 4 4" xfId="8314"/>
    <cellStyle name="args.style 5" xfId="8315"/>
    <cellStyle name="args.style 5 2" xfId="8316"/>
    <cellStyle name="args.style 5 2 2" xfId="8317"/>
    <cellStyle name="args.style 5 2 3" xfId="8318"/>
    <cellStyle name="args.style 5 3" xfId="8319"/>
    <cellStyle name="args.style 5 4" xfId="8320"/>
    <cellStyle name="args.style 5 5" xfId="8321"/>
    <cellStyle name="args.style 6" xfId="8322"/>
    <cellStyle name="args.style 6 2" xfId="8323"/>
    <cellStyle name="args.style 6 3" xfId="8324"/>
    <cellStyle name="args.style 6 4" xfId="8325"/>
    <cellStyle name="args.style 7" xfId="8326"/>
    <cellStyle name="args.style 7 2" xfId="8327"/>
    <cellStyle name="args.style 8" xfId="8328"/>
    <cellStyle name="args.style 8 2" xfId="8329"/>
    <cellStyle name="args.style 9" xfId="8330"/>
    <cellStyle name="args.style 9 2" xfId="8331"/>
    <cellStyle name="Arial 10" xfId="8332"/>
    <cellStyle name="Arial 10 10" xfId="8333"/>
    <cellStyle name="Arial 10 10 2" xfId="8334"/>
    <cellStyle name="Arial 10 10 3" xfId="8335"/>
    <cellStyle name="Arial 10 11" xfId="8336"/>
    <cellStyle name="Arial 10 11 2" xfId="8337"/>
    <cellStyle name="Arial 10 11 2 2" xfId="8338"/>
    <cellStyle name="Arial 10 11 2 3" xfId="8339"/>
    <cellStyle name="Arial 10 11 3" xfId="8340"/>
    <cellStyle name="Arial 10 12" xfId="8341"/>
    <cellStyle name="Arial 10 13" xfId="8342"/>
    <cellStyle name="Arial 10 14" xfId="8343"/>
    <cellStyle name="Arial 10 15" xfId="8344"/>
    <cellStyle name="Arial 10 16" xfId="8345"/>
    <cellStyle name="Arial 10 17" xfId="8346"/>
    <cellStyle name="Arial 10 2" xfId="8347"/>
    <cellStyle name="Arial 10 2 10" xfId="8348"/>
    <cellStyle name="Arial 10 2 11" xfId="8349"/>
    <cellStyle name="Arial 10 2 12" xfId="8350"/>
    <cellStyle name="Arial 10 2 2" xfId="8351"/>
    <cellStyle name="Arial 10 2 2 2" xfId="8352"/>
    <cellStyle name="Arial 10 2 2 2 2" xfId="8353"/>
    <cellStyle name="Arial 10 2 2 2 2 2" xfId="8354"/>
    <cellStyle name="Arial 10 2 2 2 2 2 2" xfId="8355"/>
    <cellStyle name="Arial 10 2 2 2 2 2 3" xfId="8356"/>
    <cellStyle name="Arial 10 2 2 2 2 2 4" xfId="8357"/>
    <cellStyle name="Arial 10 2 2 2 2 2 5" xfId="8358"/>
    <cellStyle name="Arial 10 2 2 2 2 2 6" xfId="8359"/>
    <cellStyle name="Arial 10 2 2 2 2 2 7" xfId="8360"/>
    <cellStyle name="Arial 10 2 2 2 2 2 8" xfId="8361"/>
    <cellStyle name="Arial 10 2 2 2 2 3" xfId="8362"/>
    <cellStyle name="Arial 10 2 2 2 2 4" xfId="8363"/>
    <cellStyle name="Arial 10 2 2 2 2 5" xfId="8364"/>
    <cellStyle name="Arial 10 2 2 2 2 6" xfId="8365"/>
    <cellStyle name="Arial 10 2 2 2 2 7" xfId="8366"/>
    <cellStyle name="Arial 10 2 2 2 2 8" xfId="8367"/>
    <cellStyle name="Arial 10 2 2 2 2 9" xfId="8368"/>
    <cellStyle name="Arial 10 2 2 2 3" xfId="8369"/>
    <cellStyle name="Arial 10 2 2 2 4" xfId="8370"/>
    <cellStyle name="Arial 10 2 2 2 5" xfId="8371"/>
    <cellStyle name="Arial 10 2 2 2 6" xfId="8372"/>
    <cellStyle name="Arial 10 2 2 2 7" xfId="8373"/>
    <cellStyle name="Arial 10 2 2 2 8" xfId="8374"/>
    <cellStyle name="Arial 10 2 2 2 9" xfId="8375"/>
    <cellStyle name="Arial 10 2 2 3" xfId="8376"/>
    <cellStyle name="Arial 10 2 2 4" xfId="8377"/>
    <cellStyle name="Arial 10 2 2 5" xfId="8378"/>
    <cellStyle name="Arial 10 2 2 6" xfId="8379"/>
    <cellStyle name="Arial 10 2 2 7" xfId="8380"/>
    <cellStyle name="Arial 10 2 2 8" xfId="8381"/>
    <cellStyle name="Arial 10 2 2 9" xfId="8382"/>
    <cellStyle name="Arial 10 2 3" xfId="8383"/>
    <cellStyle name="Arial 10 2 4" xfId="8384"/>
    <cellStyle name="Arial 10 2 5" xfId="8385"/>
    <cellStyle name="Arial 10 2 6" xfId="8386"/>
    <cellStyle name="Arial 10 2 7" xfId="8387"/>
    <cellStyle name="Arial 10 2 8" xfId="8388"/>
    <cellStyle name="Arial 10 2 9" xfId="8389"/>
    <cellStyle name="Arial 10 3" xfId="8390"/>
    <cellStyle name="Arial 10 3 2" xfId="8391"/>
    <cellStyle name="Arial 10 3 3" xfId="8392"/>
    <cellStyle name="Arial 10 3 4" xfId="8393"/>
    <cellStyle name="Arial 10 3 5" xfId="8394"/>
    <cellStyle name="Arial 10 3 6" xfId="8395"/>
    <cellStyle name="Arial 10 3 7" xfId="8396"/>
    <cellStyle name="Arial 10 3 8" xfId="8397"/>
    <cellStyle name="Arial 10 3 9" xfId="8398"/>
    <cellStyle name="Arial 10 4" xfId="8399"/>
    <cellStyle name="Arial 10 4 2" xfId="8400"/>
    <cellStyle name="Arial 10 4 3" xfId="8401"/>
    <cellStyle name="Arial 10 4 4" xfId="8402"/>
    <cellStyle name="Arial 10 4 5" xfId="8403"/>
    <cellStyle name="Arial 10 4 6" xfId="8404"/>
    <cellStyle name="Arial 10 4 7" xfId="8405"/>
    <cellStyle name="Arial 10 4 8" xfId="8406"/>
    <cellStyle name="Arial 10 4 9" xfId="8407"/>
    <cellStyle name="Arial 10 5" xfId="8408"/>
    <cellStyle name="Arial 10 5 2" xfId="8409"/>
    <cellStyle name="Arial 10 5 3" xfId="8410"/>
    <cellStyle name="Arial 10 5 4" xfId="8411"/>
    <cellStyle name="Arial 10 5 5" xfId="8412"/>
    <cellStyle name="Arial 10 5 6" xfId="8413"/>
    <cellStyle name="Arial 10 5 7" xfId="8414"/>
    <cellStyle name="Arial 10 5 8" xfId="8415"/>
    <cellStyle name="Arial 10 5 9" xfId="8416"/>
    <cellStyle name="Arial 10 6" xfId="8417"/>
    <cellStyle name="Arial 10 6 2" xfId="8418"/>
    <cellStyle name="Arial 10 6 3" xfId="8419"/>
    <cellStyle name="Arial 10 6 4" xfId="8420"/>
    <cellStyle name="Arial 10 6 5" xfId="8421"/>
    <cellStyle name="Arial 10 6 6" xfId="8422"/>
    <cellStyle name="Arial 10 6 7" xfId="8423"/>
    <cellStyle name="Arial 10 6 8" xfId="8424"/>
    <cellStyle name="Arial 10 6 9" xfId="8425"/>
    <cellStyle name="Arial 10 7" xfId="8426"/>
    <cellStyle name="Arial 10 7 2" xfId="8427"/>
    <cellStyle name="Arial 10 7 3" xfId="8428"/>
    <cellStyle name="Arial 10 7 4" xfId="8429"/>
    <cellStyle name="Arial 10 7 5" xfId="8430"/>
    <cellStyle name="Arial 10 7 6" xfId="8431"/>
    <cellStyle name="Arial 10 7 7" xfId="8432"/>
    <cellStyle name="Arial 10 7 8" xfId="8433"/>
    <cellStyle name="Arial 10 7 9" xfId="8434"/>
    <cellStyle name="Arial 10 8" xfId="8435"/>
    <cellStyle name="Arial 10 8 2" xfId="8436"/>
    <cellStyle name="Arial 10 8 3" xfId="8437"/>
    <cellStyle name="Arial 10 8 4" xfId="8438"/>
    <cellStyle name="Arial 10 8 5" xfId="8439"/>
    <cellStyle name="Arial 10 8 6" xfId="8440"/>
    <cellStyle name="Arial 10 8 7" xfId="8441"/>
    <cellStyle name="Arial 10 8 8" xfId="8442"/>
    <cellStyle name="Arial 10 8 9" xfId="8443"/>
    <cellStyle name="Arial 10 9" xfId="8444"/>
    <cellStyle name="Arial 10 9 2" xfId="8445"/>
    <cellStyle name="Arial 10 9 3" xfId="8446"/>
    <cellStyle name="Arial 10 9 4" xfId="8447"/>
    <cellStyle name="Arial 10 9 5" xfId="8448"/>
    <cellStyle name="Arial 10 9 6" xfId="8449"/>
    <cellStyle name="Arial 10 9 7" xfId="8450"/>
    <cellStyle name="Arial 10 9 8" xfId="8451"/>
    <cellStyle name="Arial 10 9 9" xfId="8452"/>
    <cellStyle name="Arial 12" xfId="8453"/>
    <cellStyle name="Arial 12 2" xfId="8454"/>
    <cellStyle name="Arial 12 2 2" xfId="8455"/>
    <cellStyle name="Arial 12 2 2 2" xfId="8456"/>
    <cellStyle name="Arial 12 3" xfId="8457"/>
    <cellStyle name="Arial 12 4" xfId="8458"/>
    <cellStyle name="Arial 12 5" xfId="8459"/>
    <cellStyle name="ARIAL 14" xfId="8460"/>
    <cellStyle name="ARIAL 14 2" xfId="8461"/>
    <cellStyle name="Arial6Bold" xfId="8462"/>
    <cellStyle name="Arial6Bold 2" xfId="8463"/>
    <cellStyle name="Arial6Bold 2 2" xfId="8464"/>
    <cellStyle name="Arial6Bold 2 2 2" xfId="8465"/>
    <cellStyle name="Arial6Bold 2 2 2 2" xfId="19930"/>
    <cellStyle name="Arial6Bold 2 2 3" xfId="19929"/>
    <cellStyle name="Arial6Bold 2 3" xfId="8466"/>
    <cellStyle name="Arial6Bold 2 3 2" xfId="8467"/>
    <cellStyle name="Arial6Bold 2 3 2 2" xfId="19932"/>
    <cellStyle name="Arial6Bold 2 3 3" xfId="19931"/>
    <cellStyle name="Arial6Bold 2 4" xfId="8468"/>
    <cellStyle name="Arial6Bold 2 4 2" xfId="19933"/>
    <cellStyle name="Arial6Bold 2 5" xfId="19928"/>
    <cellStyle name="Arial6Bold 3" xfId="8469"/>
    <cellStyle name="Arial6Bold 3 2" xfId="8470"/>
    <cellStyle name="Arial6Bold 3 2 2" xfId="19935"/>
    <cellStyle name="Arial6Bold 3 3" xfId="19934"/>
    <cellStyle name="Arial6Bold 4" xfId="8471"/>
    <cellStyle name="Arial6Bold 4 2" xfId="8472"/>
    <cellStyle name="Arial6Bold 4 2 2" xfId="19937"/>
    <cellStyle name="Arial6Bold 4 3" xfId="19936"/>
    <cellStyle name="Arial6Bold 5" xfId="8473"/>
    <cellStyle name="Arial6Bold 5 2" xfId="19938"/>
    <cellStyle name="Arial6Bold 6" xfId="19927"/>
    <cellStyle name="Arial8Bold" xfId="8474"/>
    <cellStyle name="Arial8Bold 2" xfId="8475"/>
    <cellStyle name="Arial8Bold 2 2" xfId="8476"/>
    <cellStyle name="Arial8Bold 2 2 2" xfId="8477"/>
    <cellStyle name="Arial8Bold 2 2 2 2" xfId="19942"/>
    <cellStyle name="Arial8Bold 2 2 3" xfId="19941"/>
    <cellStyle name="Arial8Bold 2 3" xfId="8478"/>
    <cellStyle name="Arial8Bold 2 3 2" xfId="8479"/>
    <cellStyle name="Arial8Bold 2 3 2 2" xfId="19944"/>
    <cellStyle name="Arial8Bold 2 3 3" xfId="19943"/>
    <cellStyle name="Arial8Bold 2 4" xfId="8480"/>
    <cellStyle name="Arial8Bold 2 4 2" xfId="19945"/>
    <cellStyle name="Arial8Bold 2 5" xfId="19940"/>
    <cellStyle name="Arial8Bold 3" xfId="8481"/>
    <cellStyle name="Arial8Bold 3 2" xfId="8482"/>
    <cellStyle name="Arial8Bold 3 2 2" xfId="19947"/>
    <cellStyle name="Arial8Bold 3 3" xfId="19946"/>
    <cellStyle name="Arial8Bold 4" xfId="8483"/>
    <cellStyle name="Arial8Bold 4 2" xfId="8484"/>
    <cellStyle name="Arial8Bold 4 2 2" xfId="19949"/>
    <cellStyle name="Arial8Bold 4 3" xfId="19948"/>
    <cellStyle name="Arial8Bold 5" xfId="8485"/>
    <cellStyle name="Arial8Bold 5 2" xfId="19950"/>
    <cellStyle name="Arial8Bold 6" xfId="19939"/>
    <cellStyle name="Arial8Italic" xfId="8486"/>
    <cellStyle name="Arial8Italic 2" xfId="8487"/>
    <cellStyle name="Arial8Italic 2 2" xfId="8488"/>
    <cellStyle name="Arial8Italic 2 2 2" xfId="8489"/>
    <cellStyle name="Arial8Italic 2 2 2 2" xfId="19954"/>
    <cellStyle name="Arial8Italic 2 2 3" xfId="19953"/>
    <cellStyle name="Arial8Italic 2 3" xfId="8490"/>
    <cellStyle name="Arial8Italic 2 3 2" xfId="8491"/>
    <cellStyle name="Arial8Italic 2 3 2 2" xfId="19956"/>
    <cellStyle name="Arial8Italic 2 3 3" xfId="19955"/>
    <cellStyle name="Arial8Italic 2 4" xfId="8492"/>
    <cellStyle name="Arial8Italic 2 4 2" xfId="19957"/>
    <cellStyle name="Arial8Italic 2 5" xfId="19952"/>
    <cellStyle name="Arial8Italic 3" xfId="8493"/>
    <cellStyle name="Arial8Italic 3 2" xfId="8494"/>
    <cellStyle name="Arial8Italic 3 2 2" xfId="19959"/>
    <cellStyle name="Arial8Italic 3 3" xfId="19958"/>
    <cellStyle name="Arial8Italic 4" xfId="8495"/>
    <cellStyle name="Arial8Italic 4 2" xfId="8496"/>
    <cellStyle name="Arial8Italic 4 2 2" xfId="19961"/>
    <cellStyle name="Arial8Italic 4 3" xfId="19960"/>
    <cellStyle name="Arial8Italic 5" xfId="8497"/>
    <cellStyle name="Arial8Italic 5 2" xfId="19962"/>
    <cellStyle name="Arial8Italic 6" xfId="19951"/>
    <cellStyle name="ArialNormal" xfId="8498"/>
    <cellStyle name="ArialNormal 2" xfId="8499"/>
    <cellStyle name="ArialNormal 2 2" xfId="8500"/>
    <cellStyle name="ArialNormal 2 2 2" xfId="8501"/>
    <cellStyle name="ArialNormal 2 2 2 2" xfId="19964"/>
    <cellStyle name="ArialNormal 2 2 3" xfId="19963"/>
    <cellStyle name="ArialNormal 2 3" xfId="8502"/>
    <cellStyle name="ArialNormal 2 3 2" xfId="8503"/>
    <cellStyle name="ArialNormal 2 3 2 2" xfId="19966"/>
    <cellStyle name="ArialNormal 2 3 3" xfId="19965"/>
    <cellStyle name="ArialNormal 3" xfId="8504"/>
    <cellStyle name="ArialNormal 3 2" xfId="8505"/>
    <cellStyle name="ArialNormal 3 2 2" xfId="19968"/>
    <cellStyle name="ArialNormal 3 3" xfId="19967"/>
    <cellStyle name="ArialNormal 4" xfId="8506"/>
    <cellStyle name="ArialNormal 4 2" xfId="8507"/>
    <cellStyle name="ArialNormal 4 2 2" xfId="19970"/>
    <cellStyle name="ArialNormal 4 3" xfId="19969"/>
    <cellStyle name="Ariel 7 pt. plain" xfId="16359"/>
    <cellStyle name="Array" xfId="8508"/>
    <cellStyle name="Array Enter" xfId="8509"/>
    <cellStyle name="Assumption" xfId="16360"/>
    <cellStyle name="ÄÞ¸¶ [0]_±âÅ¸" xfId="16361"/>
    <cellStyle name="ÄÞ¸¶_±âÅ¸" xfId="16362"/>
    <cellStyle name="AuditErrRangeFormula" xfId="16363"/>
    <cellStyle name="AuditErrRangeText" xfId="16364"/>
    <cellStyle name="AutoFormat" xfId="16365"/>
    <cellStyle name="avihai" xfId="8510"/>
    <cellStyle name="avihai 2" xfId="8511"/>
    <cellStyle name="b" xfId="8512"/>
    <cellStyle name="b - Line" xfId="8513"/>
    <cellStyle name="b - Line - Dotted" xfId="8514"/>
    <cellStyle name="b 2" xfId="8515"/>
    <cellStyle name="b_Master Utilities Comps 060210 with IBES links" xfId="8516"/>
    <cellStyle name="Bad 10" xfId="8517"/>
    <cellStyle name="Bad 11" xfId="8518"/>
    <cellStyle name="Bad 12" xfId="8519"/>
    <cellStyle name="Bad 13" xfId="8520"/>
    <cellStyle name="Bad 14" xfId="8521"/>
    <cellStyle name="Bad 15" xfId="8522"/>
    <cellStyle name="Bad 16" xfId="8523"/>
    <cellStyle name="Bad 17" xfId="8524"/>
    <cellStyle name="Bad 18" xfId="8525"/>
    <cellStyle name="Bad 19" xfId="8526"/>
    <cellStyle name="Bad 2" xfId="8527"/>
    <cellStyle name="Bad 2 2" xfId="8528"/>
    <cellStyle name="Bad 2 2 2" xfId="8529"/>
    <cellStyle name="Bad 2 3" xfId="8530"/>
    <cellStyle name="Bad 2 3 2" xfId="8531"/>
    <cellStyle name="Bad 2 4" xfId="8532"/>
    <cellStyle name="Bad 2 4 2" xfId="8533"/>
    <cellStyle name="Bad 2 4 3" xfId="8534"/>
    <cellStyle name="Bad 2 5" xfId="8535"/>
    <cellStyle name="Bad 2 6" xfId="8536"/>
    <cellStyle name="Bad 2 7" xfId="8537"/>
    <cellStyle name="Bad 2 8" xfId="8538"/>
    <cellStyle name="Bad 3" xfId="8539"/>
    <cellStyle name="Bad 3 2" xfId="8540"/>
    <cellStyle name="Bad 3 2 2" xfId="8541"/>
    <cellStyle name="Bad 3 2 3" xfId="8542"/>
    <cellStyle name="Bad 3 3" xfId="8543"/>
    <cellStyle name="Bad 3 4" xfId="8544"/>
    <cellStyle name="Bad 3 5" xfId="8545"/>
    <cellStyle name="Bad 4" xfId="8546"/>
    <cellStyle name="Bad 4 2" xfId="8547"/>
    <cellStyle name="Bad 4 2 2" xfId="8548"/>
    <cellStyle name="Bad 4 2 3" xfId="8549"/>
    <cellStyle name="Bad 4 3" xfId="8550"/>
    <cellStyle name="Bad 4 4" xfId="8551"/>
    <cellStyle name="Bad 4 5" xfId="8552"/>
    <cellStyle name="Bad 5" xfId="8553"/>
    <cellStyle name="Bad 5 2" xfId="8554"/>
    <cellStyle name="Bad 5 2 2" xfId="8555"/>
    <cellStyle name="Bad 5 2 3" xfId="8556"/>
    <cellStyle name="Bad 5 3" xfId="8557"/>
    <cellStyle name="Bad 5 4" xfId="8558"/>
    <cellStyle name="Bad 5 5" xfId="8559"/>
    <cellStyle name="Bad 6" xfId="8560"/>
    <cellStyle name="Bad 6 2" xfId="8561"/>
    <cellStyle name="Bad 6 3" xfId="8562"/>
    <cellStyle name="Bad 7" xfId="8563"/>
    <cellStyle name="Bad 8" xfId="8564"/>
    <cellStyle name="Bad 9" xfId="8565"/>
    <cellStyle name="Bağlı Hücre" xfId="16366"/>
    <cellStyle name="BalanceSheet" xfId="16367"/>
    <cellStyle name="bar" xfId="16368"/>
    <cellStyle name="Bar Title" xfId="16369"/>
    <cellStyle name="Bar1" xfId="8566"/>
    <cellStyle name="BAS Comma [0]" xfId="16370"/>
    <cellStyle name="BAS Date mm/dd/yy" xfId="16371"/>
    <cellStyle name="-Bas de tableau" xfId="8567"/>
    <cellStyle name="BAS Percent Actual [1]" xfId="16372"/>
    <cellStyle name="Başlık 1" xfId="16373"/>
    <cellStyle name="Başlık 2" xfId="16374"/>
    <cellStyle name="Başlık 3" xfId="16375"/>
    <cellStyle name="Başlık 4" xfId="16376"/>
    <cellStyle name="bch" xfId="16377"/>
    <cellStyle name="bci" xfId="16378"/>
    <cellStyle name="Below 0" xfId="16379"/>
    <cellStyle name="Below 0.0" xfId="16380"/>
    <cellStyle name="Best" xfId="8568"/>
    <cellStyle name="Besuchter Hyperlink" xfId="16381"/>
    <cellStyle name="Black" xfId="8569"/>
    <cellStyle name="Black 2" xfId="8570"/>
    <cellStyle name="Black 2 2" xfId="8571"/>
    <cellStyle name="Black 3" xfId="8572"/>
    <cellStyle name="Black 4" xfId="8573"/>
    <cellStyle name="Black 5" xfId="8574"/>
    <cellStyle name="Black Days" xfId="8575"/>
    <cellStyle name="Black Days 2" xfId="8576"/>
    <cellStyle name="Black Decimal" xfId="8577"/>
    <cellStyle name="Black Decimal 2" xfId="8578"/>
    <cellStyle name="Black Decimal 2 2" xfId="8579"/>
    <cellStyle name="Black Decimal 3" xfId="8580"/>
    <cellStyle name="Black Decimal 4" xfId="8581"/>
    <cellStyle name="Black Decimal 5" xfId="8582"/>
    <cellStyle name="Black Dollar" xfId="8583"/>
    <cellStyle name="Black Dollar 2" xfId="8584"/>
    <cellStyle name="Black Dollar 2 2" xfId="8585"/>
    <cellStyle name="Black Dollar 2 3" xfId="15977"/>
    <cellStyle name="Black Dollar 2 4" xfId="19972"/>
    <cellStyle name="Black Dollar 3" xfId="8586"/>
    <cellStyle name="Black Dollar 3 2" xfId="15978"/>
    <cellStyle name="Black Dollar 3 3" xfId="19973"/>
    <cellStyle name="Black Dollar 4" xfId="8587"/>
    <cellStyle name="Black Dollar 4 2" xfId="15979"/>
    <cellStyle name="Black Dollar 4 3" xfId="19974"/>
    <cellStyle name="Black Dollar 5" xfId="8588"/>
    <cellStyle name="Black Dollar 5 2" xfId="15980"/>
    <cellStyle name="Black Dollar 5 3" xfId="19975"/>
    <cellStyle name="Black Dollar 6" xfId="15976"/>
    <cellStyle name="Black Dollar 7" xfId="19971"/>
    <cellStyle name="Black EPS" xfId="8589"/>
    <cellStyle name="Black EPS 2" xfId="8590"/>
    <cellStyle name="Black Percent" xfId="8591"/>
    <cellStyle name="Black Percent 2" xfId="8592"/>
    <cellStyle name="Black Percent2" xfId="8593"/>
    <cellStyle name="Black Percent2 2" xfId="8594"/>
    <cellStyle name="Black Times" xfId="8595"/>
    <cellStyle name="Black Times 2" xfId="8596"/>
    <cellStyle name="Black Times 2 2" xfId="8597"/>
    <cellStyle name="Black Times 3" xfId="8598"/>
    <cellStyle name="Black Times 4" xfId="8599"/>
    <cellStyle name="Black Times 5" xfId="8600"/>
    <cellStyle name="Black Times Two Deci" xfId="8601"/>
    <cellStyle name="Black Times Two Deci 2" xfId="8602"/>
    <cellStyle name="Black Times Two Deci2" xfId="8603"/>
    <cellStyle name="Black Times Two Deci2 2" xfId="8604"/>
    <cellStyle name="Black Times_Anaphore 12 31 2008 Draft Analysis 02 19 2009" xfId="8605"/>
    <cellStyle name="Black Times2" xfId="8606"/>
    <cellStyle name="Black Times2 2" xfId="8607"/>
    <cellStyle name="Black Times2 2 2" xfId="8608"/>
    <cellStyle name="Black Times2 3" xfId="8609"/>
    <cellStyle name="Black Times2 4" xfId="8610"/>
    <cellStyle name="Black Times2 5" xfId="8611"/>
    <cellStyle name="Black_Anaphore 12 31 2008 Draft Analysis 02 19 2009" xfId="8612"/>
    <cellStyle name="BlackStrike" xfId="8613"/>
    <cellStyle name="BlackText" xfId="8614"/>
    <cellStyle name="blank" xfId="8615"/>
    <cellStyle name="Blank[$]" xfId="8616"/>
    <cellStyle name="Blank[,]" xfId="8617"/>
    <cellStyle name="Blank[1$]" xfId="8618"/>
    <cellStyle name="Blank[1%]" xfId="8619"/>
    <cellStyle name="Blank[1]" xfId="8620"/>
    <cellStyle name="Blank[2$]" xfId="8621"/>
    <cellStyle name="Blank[2%]" xfId="8622"/>
    <cellStyle name="Blank[2]" xfId="8623"/>
    <cellStyle name="Blank[3$]" xfId="8624"/>
    <cellStyle name="Blank[3]" xfId="8625"/>
    <cellStyle name="blue" xfId="8626"/>
    <cellStyle name="Blue 2" xfId="8627"/>
    <cellStyle name="Blue Decimal" xfId="8628"/>
    <cellStyle name="Blue Decimal 2" xfId="8629"/>
    <cellStyle name="Blue Dollar" xfId="8630"/>
    <cellStyle name="Blue Dollar 2" xfId="8631"/>
    <cellStyle name="Blue EPS" xfId="8632"/>
    <cellStyle name="Blue EPS 2" xfId="8633"/>
    <cellStyle name="Blue Header" xfId="8634"/>
    <cellStyle name="Blue Header 2" xfId="8635"/>
    <cellStyle name="Blue Header 2 2" xfId="20255"/>
    <cellStyle name="Blue Header 3" xfId="8636"/>
    <cellStyle name="Blue Header 3 2" xfId="20256"/>
    <cellStyle name="Blue Header 4" xfId="20257"/>
    <cellStyle name="blue shading" xfId="8637"/>
    <cellStyle name="blue shading 2" xfId="8638"/>
    <cellStyle name="Blue Text" xfId="8639"/>
    <cellStyle name="Blue Text 2" xfId="8640"/>
    <cellStyle name="Blue Title" xfId="8641"/>
    <cellStyle name="Blue Title 2" xfId="8642"/>
    <cellStyle name="Blue Title 2 2" xfId="8643"/>
    <cellStyle name="Blue Title 3" xfId="8644"/>
    <cellStyle name="Blue Title 4" xfId="8645"/>
    <cellStyle name="Blue Title 5" xfId="8646"/>
    <cellStyle name="Blue Zero Deci" xfId="8647"/>
    <cellStyle name="Blue Zero Deci 2" xfId="8648"/>
    <cellStyle name="Blue_Boston Power VD 01 31 2008 Model 02 26 2008" xfId="8649"/>
    <cellStyle name="Body" xfId="8650"/>
    <cellStyle name="Body 2" xfId="8651"/>
    <cellStyle name="Body text" xfId="8652"/>
    <cellStyle name="Body text 2" xfId="8653"/>
    <cellStyle name="Body_$Numeric" xfId="8654"/>
    <cellStyle name="bold" xfId="8655"/>
    <cellStyle name="bold 2" xfId="8656"/>
    <cellStyle name="Bold Italic + Line Top" xfId="8657"/>
    <cellStyle name="Bold Italic + Line Top 2" xfId="8658"/>
    <cellStyle name="Bold Label" xfId="8659"/>
    <cellStyle name="Bold Text" xfId="8660"/>
    <cellStyle name="Bold Text %" xfId="8661"/>
    <cellStyle name="Bold Text + Line Top" xfId="8662"/>
    <cellStyle name="Bold Text + Line Top 2" xfId="8663"/>
    <cellStyle name="Bold Text 2" xfId="8664"/>
    <cellStyle name="Bold/Border" xfId="8665"/>
    <cellStyle name="Bold/Border 2" xfId="8666"/>
    <cellStyle name="Bold/Border 3" xfId="8667"/>
    <cellStyle name="Bold/Border 3 2" xfId="20258"/>
    <cellStyle name="bold_Boston Power VD 01 31 2008 Model 02 26 2008" xfId="8668"/>
    <cellStyle name="Bol-Data" xfId="8669"/>
    <cellStyle name="BoldCen" xfId="8670"/>
    <cellStyle name="BoldCenUnd" xfId="8671"/>
    <cellStyle name="BoldCenUnd 2" xfId="8672"/>
    <cellStyle name="BoldText" xfId="8673"/>
    <cellStyle name="bolet" xfId="8674"/>
    <cellStyle name="Boletim" xfId="8675"/>
    <cellStyle name="Bom" xfId="8676"/>
    <cellStyle name="Border" xfId="8677"/>
    <cellStyle name="Border 10" xfId="8678"/>
    <cellStyle name="Border 10 2" xfId="8679"/>
    <cellStyle name="Border 10 2 2" xfId="15982"/>
    <cellStyle name="Border 10 2 3" xfId="19977"/>
    <cellStyle name="Border 10 3" xfId="8680"/>
    <cellStyle name="Border 10 3 2" xfId="15983"/>
    <cellStyle name="Border 10 3 3" xfId="19978"/>
    <cellStyle name="Border 10 4" xfId="15981"/>
    <cellStyle name="Border 10 5" xfId="19976"/>
    <cellStyle name="Border 11" xfId="8681"/>
    <cellStyle name="Border 11 2" xfId="8682"/>
    <cellStyle name="Border 11 2 2" xfId="15985"/>
    <cellStyle name="Border 11 2 3" xfId="19980"/>
    <cellStyle name="Border 11 3" xfId="8683"/>
    <cellStyle name="Border 11 3 2" xfId="15986"/>
    <cellStyle name="Border 11 3 3" xfId="19981"/>
    <cellStyle name="Border 11 4" xfId="15984"/>
    <cellStyle name="Border 11 5" xfId="19979"/>
    <cellStyle name="Border 12" xfId="8684"/>
    <cellStyle name="Border 12 2" xfId="8685"/>
    <cellStyle name="Border 12 2 2" xfId="15988"/>
    <cellStyle name="Border 12 2 3" xfId="19983"/>
    <cellStyle name="Border 12 3" xfId="8686"/>
    <cellStyle name="Border 12 3 2" xfId="15989"/>
    <cellStyle name="Border 12 3 3" xfId="19984"/>
    <cellStyle name="Border 12 4" xfId="15987"/>
    <cellStyle name="Border 12 5" xfId="19982"/>
    <cellStyle name="Border 13" xfId="8687"/>
    <cellStyle name="Border 13 2" xfId="15990"/>
    <cellStyle name="Border 13 3" xfId="19985"/>
    <cellStyle name="Border 14" xfId="8688"/>
    <cellStyle name="Border 14 2" xfId="15991"/>
    <cellStyle name="Border 14 3" xfId="19986"/>
    <cellStyle name="Border 2" xfId="8689"/>
    <cellStyle name="Border 2 10" xfId="8690"/>
    <cellStyle name="Border 2 10 2" xfId="15993"/>
    <cellStyle name="Border 2 10 3" xfId="19988"/>
    <cellStyle name="Border 2 11" xfId="8691"/>
    <cellStyle name="Border 2 11 2" xfId="15994"/>
    <cellStyle name="Border 2 11 3" xfId="19989"/>
    <cellStyle name="Border 2 12" xfId="15992"/>
    <cellStyle name="Border 2 13" xfId="19987"/>
    <cellStyle name="Border 2 2" xfId="8692"/>
    <cellStyle name="Border 2 2 2" xfId="8693"/>
    <cellStyle name="Border 2 2 2 2" xfId="15996"/>
    <cellStyle name="Border 2 2 2 3" xfId="19991"/>
    <cellStyle name="Border 2 2 3" xfId="8694"/>
    <cellStyle name="Border 2 2 3 2" xfId="15997"/>
    <cellStyle name="Border 2 2 3 3" xfId="19992"/>
    <cellStyle name="Border 2 2 4" xfId="15995"/>
    <cellStyle name="Border 2 2 5" xfId="19990"/>
    <cellStyle name="Border 2 3" xfId="8695"/>
    <cellStyle name="Border 2 3 2" xfId="8696"/>
    <cellStyle name="Border 2 3 2 2" xfId="15999"/>
    <cellStyle name="Border 2 3 2 3" xfId="19994"/>
    <cellStyle name="Border 2 3 3" xfId="8697"/>
    <cellStyle name="Border 2 3 3 2" xfId="16000"/>
    <cellStyle name="Border 2 3 3 3" xfId="19995"/>
    <cellStyle name="Border 2 3 4" xfId="15998"/>
    <cellStyle name="Border 2 3 5" xfId="19993"/>
    <cellStyle name="Border 2 4" xfId="8698"/>
    <cellStyle name="Border 2 4 2" xfId="8699"/>
    <cellStyle name="Border 2 4 2 2" xfId="16002"/>
    <cellStyle name="Border 2 4 2 3" xfId="19997"/>
    <cellStyle name="Border 2 4 3" xfId="8700"/>
    <cellStyle name="Border 2 4 3 2" xfId="16003"/>
    <cellStyle name="Border 2 4 3 3" xfId="19998"/>
    <cellStyle name="Border 2 4 4" xfId="16001"/>
    <cellStyle name="Border 2 4 5" xfId="19996"/>
    <cellStyle name="Border 2 5" xfId="8701"/>
    <cellStyle name="Border 2 5 2" xfId="8702"/>
    <cellStyle name="Border 2 5 2 2" xfId="16005"/>
    <cellStyle name="Border 2 5 2 3" xfId="20000"/>
    <cellStyle name="Border 2 5 3" xfId="8703"/>
    <cellStyle name="Border 2 5 3 2" xfId="16006"/>
    <cellStyle name="Border 2 5 3 3" xfId="20001"/>
    <cellStyle name="Border 2 5 4" xfId="16004"/>
    <cellStyle name="Border 2 5 5" xfId="19999"/>
    <cellStyle name="Border 2 6" xfId="8704"/>
    <cellStyle name="Border 2 6 2" xfId="8705"/>
    <cellStyle name="Border 2 6 2 2" xfId="16008"/>
    <cellStyle name="Border 2 6 2 3" xfId="20003"/>
    <cellStyle name="Border 2 6 3" xfId="8706"/>
    <cellStyle name="Border 2 6 3 2" xfId="16009"/>
    <cellStyle name="Border 2 6 3 3" xfId="20004"/>
    <cellStyle name="Border 2 6 4" xfId="16007"/>
    <cellStyle name="Border 2 6 5" xfId="20002"/>
    <cellStyle name="Border 2 7" xfId="8707"/>
    <cellStyle name="Border 2 7 2" xfId="8708"/>
    <cellStyle name="Border 2 7 2 2" xfId="16011"/>
    <cellStyle name="Border 2 7 2 3" xfId="20006"/>
    <cellStyle name="Border 2 7 3" xfId="8709"/>
    <cellStyle name="Border 2 7 3 2" xfId="16012"/>
    <cellStyle name="Border 2 7 3 3" xfId="20007"/>
    <cellStyle name="Border 2 7 4" xfId="16010"/>
    <cellStyle name="Border 2 7 5" xfId="20005"/>
    <cellStyle name="Border 2 8" xfId="8710"/>
    <cellStyle name="Border 2 8 2" xfId="8711"/>
    <cellStyle name="Border 2 8 2 2" xfId="16014"/>
    <cellStyle name="Border 2 8 2 3" xfId="20009"/>
    <cellStyle name="Border 2 8 3" xfId="8712"/>
    <cellStyle name="Border 2 8 3 2" xfId="16015"/>
    <cellStyle name="Border 2 8 3 3" xfId="20010"/>
    <cellStyle name="Border 2 8 4" xfId="16013"/>
    <cellStyle name="Border 2 8 5" xfId="20008"/>
    <cellStyle name="Border 2 9" xfId="8713"/>
    <cellStyle name="Border 2 9 2" xfId="8714"/>
    <cellStyle name="Border 2 9 2 2" xfId="16017"/>
    <cellStyle name="Border 2 9 2 3" xfId="20012"/>
    <cellStyle name="Border 2 9 3" xfId="8715"/>
    <cellStyle name="Border 2 9 3 2" xfId="16018"/>
    <cellStyle name="Border 2 9 3 3" xfId="20013"/>
    <cellStyle name="Border 2 9 4" xfId="16016"/>
    <cellStyle name="Border 2 9 5" xfId="20011"/>
    <cellStyle name="Border 3" xfId="8716"/>
    <cellStyle name="Border 3 10" xfId="8717"/>
    <cellStyle name="Border 3 10 2" xfId="16020"/>
    <cellStyle name="Border 3 10 3" xfId="20015"/>
    <cellStyle name="Border 3 11" xfId="8718"/>
    <cellStyle name="Border 3 11 2" xfId="16021"/>
    <cellStyle name="Border 3 11 3" xfId="20016"/>
    <cellStyle name="Border 3 12" xfId="16019"/>
    <cellStyle name="Border 3 13" xfId="20014"/>
    <cellStyle name="Border 3 2" xfId="8719"/>
    <cellStyle name="Border 3 2 2" xfId="8720"/>
    <cellStyle name="Border 3 2 2 2" xfId="16023"/>
    <cellStyle name="Border 3 2 2 3" xfId="20018"/>
    <cellStyle name="Border 3 2 3" xfId="8721"/>
    <cellStyle name="Border 3 2 3 2" xfId="16024"/>
    <cellStyle name="Border 3 2 3 3" xfId="20019"/>
    <cellStyle name="Border 3 2 4" xfId="16022"/>
    <cellStyle name="Border 3 2 5" xfId="20017"/>
    <cellStyle name="Border 3 3" xfId="8722"/>
    <cellStyle name="Border 3 3 2" xfId="8723"/>
    <cellStyle name="Border 3 3 2 2" xfId="16026"/>
    <cellStyle name="Border 3 3 2 3" xfId="20021"/>
    <cellStyle name="Border 3 3 3" xfId="8724"/>
    <cellStyle name="Border 3 3 3 2" xfId="16027"/>
    <cellStyle name="Border 3 3 3 3" xfId="20022"/>
    <cellStyle name="Border 3 3 4" xfId="16025"/>
    <cellStyle name="Border 3 3 5" xfId="20020"/>
    <cellStyle name="Border 3 4" xfId="8725"/>
    <cellStyle name="Border 3 4 2" xfId="8726"/>
    <cellStyle name="Border 3 4 2 2" xfId="16029"/>
    <cellStyle name="Border 3 4 2 3" xfId="20024"/>
    <cellStyle name="Border 3 4 3" xfId="8727"/>
    <cellStyle name="Border 3 4 3 2" xfId="16030"/>
    <cellStyle name="Border 3 4 3 3" xfId="20025"/>
    <cellStyle name="Border 3 4 4" xfId="16028"/>
    <cellStyle name="Border 3 4 5" xfId="20023"/>
    <cellStyle name="Border 3 5" xfId="8728"/>
    <cellStyle name="Border 3 5 2" xfId="8729"/>
    <cellStyle name="Border 3 5 2 2" xfId="16032"/>
    <cellStyle name="Border 3 5 2 3" xfId="20027"/>
    <cellStyle name="Border 3 5 3" xfId="8730"/>
    <cellStyle name="Border 3 5 3 2" xfId="16033"/>
    <cellStyle name="Border 3 5 3 3" xfId="20028"/>
    <cellStyle name="Border 3 5 4" xfId="16031"/>
    <cellStyle name="Border 3 5 5" xfId="20026"/>
    <cellStyle name="Border 3 6" xfId="8731"/>
    <cellStyle name="Border 3 6 2" xfId="8732"/>
    <cellStyle name="Border 3 6 2 2" xfId="16035"/>
    <cellStyle name="Border 3 6 2 3" xfId="20030"/>
    <cellStyle name="Border 3 6 3" xfId="8733"/>
    <cellStyle name="Border 3 6 3 2" xfId="16036"/>
    <cellStyle name="Border 3 6 3 3" xfId="20031"/>
    <cellStyle name="Border 3 6 4" xfId="16034"/>
    <cellStyle name="Border 3 6 5" xfId="20029"/>
    <cellStyle name="Border 3 7" xfId="8734"/>
    <cellStyle name="Border 3 7 2" xfId="8735"/>
    <cellStyle name="Border 3 7 2 2" xfId="16038"/>
    <cellStyle name="Border 3 7 2 3" xfId="20033"/>
    <cellStyle name="Border 3 7 3" xfId="8736"/>
    <cellStyle name="Border 3 7 3 2" xfId="16039"/>
    <cellStyle name="Border 3 7 3 3" xfId="20034"/>
    <cellStyle name="Border 3 7 4" xfId="16037"/>
    <cellStyle name="Border 3 7 5" xfId="20032"/>
    <cellStyle name="Border 3 8" xfId="8737"/>
    <cellStyle name="Border 3 8 2" xfId="8738"/>
    <cellStyle name="Border 3 8 2 2" xfId="16041"/>
    <cellStyle name="Border 3 8 2 3" xfId="20036"/>
    <cellStyle name="Border 3 8 3" xfId="8739"/>
    <cellStyle name="Border 3 8 3 2" xfId="16042"/>
    <cellStyle name="Border 3 8 3 3" xfId="20037"/>
    <cellStyle name="Border 3 8 4" xfId="16040"/>
    <cellStyle name="Border 3 8 5" xfId="20035"/>
    <cellStyle name="Border 3 9" xfId="8740"/>
    <cellStyle name="Border 3 9 2" xfId="8741"/>
    <cellStyle name="Border 3 9 2 2" xfId="16044"/>
    <cellStyle name="Border 3 9 2 3" xfId="20039"/>
    <cellStyle name="Border 3 9 3" xfId="8742"/>
    <cellStyle name="Border 3 9 3 2" xfId="16045"/>
    <cellStyle name="Border 3 9 3 3" xfId="20040"/>
    <cellStyle name="Border 3 9 4" xfId="16043"/>
    <cellStyle name="Border 3 9 5" xfId="20038"/>
    <cellStyle name="Border 4" xfId="8743"/>
    <cellStyle name="Border 4 2" xfId="8744"/>
    <cellStyle name="Border 4 2 2" xfId="8745"/>
    <cellStyle name="Border 4 2 2 2" xfId="16048"/>
    <cellStyle name="Border 4 2 2 3" xfId="20043"/>
    <cellStyle name="Border 4 2 3" xfId="8746"/>
    <cellStyle name="Border 4 2 3 2" xfId="16049"/>
    <cellStyle name="Border 4 2 3 3" xfId="20044"/>
    <cellStyle name="Border 4 2 4" xfId="16047"/>
    <cellStyle name="Border 4 2 5" xfId="20042"/>
    <cellStyle name="Border 4 3" xfId="8747"/>
    <cellStyle name="Border 4 3 2" xfId="8748"/>
    <cellStyle name="Border 4 3 2 2" xfId="16051"/>
    <cellStyle name="Border 4 3 2 3" xfId="20046"/>
    <cellStyle name="Border 4 3 3" xfId="8749"/>
    <cellStyle name="Border 4 3 3 2" xfId="16052"/>
    <cellStyle name="Border 4 3 3 3" xfId="20047"/>
    <cellStyle name="Border 4 3 4" xfId="16050"/>
    <cellStyle name="Border 4 3 5" xfId="20045"/>
    <cellStyle name="Border 4 4" xfId="8750"/>
    <cellStyle name="Border 4 4 2" xfId="16053"/>
    <cellStyle name="Border 4 4 3" xfId="20048"/>
    <cellStyle name="Border 4 5" xfId="8751"/>
    <cellStyle name="Border 4 5 2" xfId="16054"/>
    <cellStyle name="Border 4 5 3" xfId="20049"/>
    <cellStyle name="Border 4 6" xfId="16046"/>
    <cellStyle name="Border 4 7" xfId="20041"/>
    <cellStyle name="Border 5" xfId="8752"/>
    <cellStyle name="Border 5 2" xfId="8753"/>
    <cellStyle name="Border 5 2 2" xfId="16056"/>
    <cellStyle name="Border 5 2 3" xfId="20051"/>
    <cellStyle name="Border 5 3" xfId="8754"/>
    <cellStyle name="Border 5 3 2" xfId="16057"/>
    <cellStyle name="Border 5 3 3" xfId="20052"/>
    <cellStyle name="Border 5 4" xfId="16055"/>
    <cellStyle name="Border 5 5" xfId="20050"/>
    <cellStyle name="Border 6" xfId="8755"/>
    <cellStyle name="Border 6 2" xfId="8756"/>
    <cellStyle name="Border 6 2 2" xfId="16059"/>
    <cellStyle name="Border 6 2 3" xfId="20054"/>
    <cellStyle name="Border 6 3" xfId="8757"/>
    <cellStyle name="Border 6 3 2" xfId="16060"/>
    <cellStyle name="Border 6 3 3" xfId="20055"/>
    <cellStyle name="Border 6 4" xfId="16058"/>
    <cellStyle name="Border 6 5" xfId="20053"/>
    <cellStyle name="Border 7" xfId="8758"/>
    <cellStyle name="Border 7 2" xfId="8759"/>
    <cellStyle name="Border 7 2 2" xfId="16062"/>
    <cellStyle name="Border 7 2 3" xfId="20057"/>
    <cellStyle name="Border 7 3" xfId="8760"/>
    <cellStyle name="Border 7 3 2" xfId="16063"/>
    <cellStyle name="Border 7 3 3" xfId="20058"/>
    <cellStyle name="Border 7 4" xfId="16061"/>
    <cellStyle name="Border 7 5" xfId="20056"/>
    <cellStyle name="Border 8" xfId="8761"/>
    <cellStyle name="Border 8 2" xfId="8762"/>
    <cellStyle name="Border 8 2 2" xfId="16065"/>
    <cellStyle name="Border 8 2 3" xfId="20060"/>
    <cellStyle name="Border 8 3" xfId="8763"/>
    <cellStyle name="Border 8 3 2" xfId="16066"/>
    <cellStyle name="Border 8 3 3" xfId="20061"/>
    <cellStyle name="Border 8 4" xfId="16064"/>
    <cellStyle name="Border 8 5" xfId="20059"/>
    <cellStyle name="Border 9" xfId="8764"/>
    <cellStyle name="Border 9 2" xfId="8765"/>
    <cellStyle name="Border 9 2 2" xfId="16068"/>
    <cellStyle name="Border 9 2 3" xfId="20063"/>
    <cellStyle name="Border 9 3" xfId="8766"/>
    <cellStyle name="Border 9 3 2" xfId="16069"/>
    <cellStyle name="Border 9 3 3" xfId="20064"/>
    <cellStyle name="Border 9 4" xfId="16067"/>
    <cellStyle name="Border 9 5" xfId="20062"/>
    <cellStyle name="Border Heavy" xfId="8767"/>
    <cellStyle name="Border Heavy 2" xfId="8768"/>
    <cellStyle name="Border Heavy 2 2" xfId="8769"/>
    <cellStyle name="Border Heavy 3" xfId="8770"/>
    <cellStyle name="Border Heavy 4" xfId="8771"/>
    <cellStyle name="Border Thin" xfId="8772"/>
    <cellStyle name="Border Thin 2" xfId="8773"/>
    <cellStyle name="Border Thin 2 2" xfId="8774"/>
    <cellStyle name="Border Thin 3" xfId="8775"/>
    <cellStyle name="Border, Bottom" xfId="8776"/>
    <cellStyle name="Border, Bottom 2" xfId="8777"/>
    <cellStyle name="Border, Left" xfId="8778"/>
    <cellStyle name="Border, Right" xfId="8779"/>
    <cellStyle name="Border, Top" xfId="8780"/>
    <cellStyle name="Border, Top 2" xfId="8781"/>
    <cellStyle name="Border_Anaphore 12 31 2008 Draft Analysis 02 19 2009" xfId="8782"/>
    <cellStyle name="Bottom bold border" xfId="8783"/>
    <cellStyle name="Bottom bold border 2" xfId="8784"/>
    <cellStyle name="Bottom bold border 2 2" xfId="8785"/>
    <cellStyle name="Bottom bold border 3" xfId="8786"/>
    <cellStyle name="Bottom bold border 4" xfId="8787"/>
    <cellStyle name="Bottom bold border 5" xfId="8788"/>
    <cellStyle name="Bottom Edge" xfId="8789"/>
    <cellStyle name="Bottom Edge 2" xfId="8790"/>
    <cellStyle name="Bottom single border" xfId="8791"/>
    <cellStyle name="Bottom single border 2" xfId="8792"/>
    <cellStyle name="Bottom single border 2 2" xfId="8793"/>
    <cellStyle name="Bottom single border 2 3" xfId="20259"/>
    <cellStyle name="Bottom single border 3" xfId="8794"/>
    <cellStyle name="Bottom single border 3 2" xfId="20260"/>
    <cellStyle name="Bottom single border 4" xfId="8795"/>
    <cellStyle name="Bottom single border 4 2" xfId="20261"/>
    <cellStyle name="Bottom single border 5" xfId="8796"/>
    <cellStyle name="Bottom single border 5 2" xfId="20262"/>
    <cellStyle name="British Pound" xfId="8797"/>
    <cellStyle name="British Pound 10" xfId="8798"/>
    <cellStyle name="British Pound 10 2" xfId="8799"/>
    <cellStyle name="British Pound 10 3" xfId="8800"/>
    <cellStyle name="British Pound 10 4" xfId="8801"/>
    <cellStyle name="British Pound 10 5" xfId="8802"/>
    <cellStyle name="British Pound 10 6" xfId="8803"/>
    <cellStyle name="British Pound 10 7" xfId="8804"/>
    <cellStyle name="British Pound 10 8" xfId="8805"/>
    <cellStyle name="British Pound 10 9" xfId="8806"/>
    <cellStyle name="British Pound 11" xfId="8807"/>
    <cellStyle name="British Pound 11 2" xfId="8808"/>
    <cellStyle name="British Pound 11 2 2" xfId="8809"/>
    <cellStyle name="British Pound 11 2 2 2" xfId="8810"/>
    <cellStyle name="British Pound 11 2 2 3" xfId="8811"/>
    <cellStyle name="British Pound 11 2 2 4" xfId="8812"/>
    <cellStyle name="British Pound 11 2 2 5" xfId="8813"/>
    <cellStyle name="British Pound 11 2 2 6" xfId="8814"/>
    <cellStyle name="British Pound 11 2 2 7" xfId="8815"/>
    <cellStyle name="British Pound 11 2 2 8" xfId="8816"/>
    <cellStyle name="British Pound 11 2 3" xfId="8817"/>
    <cellStyle name="British Pound 11 2 4" xfId="8818"/>
    <cellStyle name="British Pound 11 2 5" xfId="8819"/>
    <cellStyle name="British Pound 11 2 6" xfId="8820"/>
    <cellStyle name="British Pound 11 2 7" xfId="8821"/>
    <cellStyle name="British Pound 11 2 8" xfId="8822"/>
    <cellStyle name="British Pound 11 2 9" xfId="8823"/>
    <cellStyle name="British Pound 11 3" xfId="8824"/>
    <cellStyle name="British Pound 11 3 2" xfId="8825"/>
    <cellStyle name="British Pound 11 3 3" xfId="8826"/>
    <cellStyle name="British Pound 11 3 4" xfId="8827"/>
    <cellStyle name="British Pound 11 3 5" xfId="8828"/>
    <cellStyle name="British Pound 11 3 6" xfId="8829"/>
    <cellStyle name="British Pound 11 3 7" xfId="8830"/>
    <cellStyle name="British Pound 11 3 8" xfId="8831"/>
    <cellStyle name="British Pound 11 4" xfId="8832"/>
    <cellStyle name="British Pound 11 5" xfId="8833"/>
    <cellStyle name="British Pound 11 6" xfId="8834"/>
    <cellStyle name="British Pound 11 7" xfId="8835"/>
    <cellStyle name="British Pound 11 8" xfId="8836"/>
    <cellStyle name="British Pound 11 9" xfId="8837"/>
    <cellStyle name="British Pound 12" xfId="8838"/>
    <cellStyle name="British Pound 12 10" xfId="8839"/>
    <cellStyle name="British Pound 12 11" xfId="8840"/>
    <cellStyle name="British Pound 12 12" xfId="8841"/>
    <cellStyle name="British Pound 12 13" xfId="8842"/>
    <cellStyle name="British Pound 12 14" xfId="8843"/>
    <cellStyle name="British Pound 12 15" xfId="8844"/>
    <cellStyle name="British Pound 12 16" xfId="8845"/>
    <cellStyle name="British Pound 12 2" xfId="8846"/>
    <cellStyle name="British Pound 12 3" xfId="8847"/>
    <cellStyle name="British Pound 12 4" xfId="8848"/>
    <cellStyle name="British Pound 12 5" xfId="8849"/>
    <cellStyle name="British Pound 12 6" xfId="8850"/>
    <cellStyle name="British Pound 12 7" xfId="8851"/>
    <cellStyle name="British Pound 12 8" xfId="8852"/>
    <cellStyle name="British Pound 12 9" xfId="8853"/>
    <cellStyle name="British Pound 13" xfId="8854"/>
    <cellStyle name="British Pound 13 2" xfId="8855"/>
    <cellStyle name="British Pound 13 3" xfId="8856"/>
    <cellStyle name="British Pound 13 4" xfId="8857"/>
    <cellStyle name="British Pound 13 5" xfId="8858"/>
    <cellStyle name="British Pound 13 6" xfId="8859"/>
    <cellStyle name="British Pound 13 7" xfId="8860"/>
    <cellStyle name="British Pound 13 8" xfId="8861"/>
    <cellStyle name="British Pound 13 9" xfId="8862"/>
    <cellStyle name="British Pound 14" xfId="8863"/>
    <cellStyle name="British Pound 14 2" xfId="8864"/>
    <cellStyle name="British Pound 14 3" xfId="8865"/>
    <cellStyle name="British Pound 14 4" xfId="8866"/>
    <cellStyle name="British Pound 14 5" xfId="8867"/>
    <cellStyle name="British Pound 14 6" xfId="8868"/>
    <cellStyle name="British Pound 14 7" xfId="8869"/>
    <cellStyle name="British Pound 14 8" xfId="8870"/>
    <cellStyle name="British Pound 14 9" xfId="8871"/>
    <cellStyle name="British Pound 15" xfId="8872"/>
    <cellStyle name="British Pound 15 2" xfId="8873"/>
    <cellStyle name="British Pound 15 3" xfId="8874"/>
    <cellStyle name="British Pound 15 4" xfId="8875"/>
    <cellStyle name="British Pound 15 5" xfId="8876"/>
    <cellStyle name="British Pound 15 6" xfId="8877"/>
    <cellStyle name="British Pound 15 7" xfId="8878"/>
    <cellStyle name="British Pound 15 8" xfId="8879"/>
    <cellStyle name="British Pound 15 9" xfId="8880"/>
    <cellStyle name="British Pound 16" xfId="8881"/>
    <cellStyle name="British Pound 16 2" xfId="8882"/>
    <cellStyle name="British Pound 16 3" xfId="8883"/>
    <cellStyle name="British Pound 16 4" xfId="8884"/>
    <cellStyle name="British Pound 16 5" xfId="8885"/>
    <cellStyle name="British Pound 16 6" xfId="8886"/>
    <cellStyle name="British Pound 16 7" xfId="8887"/>
    <cellStyle name="British Pound 16 8" xfId="8888"/>
    <cellStyle name="British Pound 16 9" xfId="8889"/>
    <cellStyle name="British Pound 17" xfId="8890"/>
    <cellStyle name="British Pound 17 2" xfId="8891"/>
    <cellStyle name="British Pound 17 3" xfId="8892"/>
    <cellStyle name="British Pound 17 4" xfId="8893"/>
    <cellStyle name="British Pound 17 5" xfId="8894"/>
    <cellStyle name="British Pound 17 6" xfId="8895"/>
    <cellStyle name="British Pound 17 7" xfId="8896"/>
    <cellStyle name="British Pound 17 8" xfId="8897"/>
    <cellStyle name="British Pound 17 9" xfId="8898"/>
    <cellStyle name="British Pound 18" xfId="8899"/>
    <cellStyle name="British Pound 18 2" xfId="8900"/>
    <cellStyle name="British Pound 18 3" xfId="8901"/>
    <cellStyle name="British Pound 18 4" xfId="8902"/>
    <cellStyle name="British Pound 18 5" xfId="8903"/>
    <cellStyle name="British Pound 18 6" xfId="8904"/>
    <cellStyle name="British Pound 18 7" xfId="8905"/>
    <cellStyle name="British Pound 18 8" xfId="8906"/>
    <cellStyle name="British Pound 18 9" xfId="8907"/>
    <cellStyle name="British Pound 19" xfId="8908"/>
    <cellStyle name="British Pound 19 2" xfId="8909"/>
    <cellStyle name="British Pound 19 3" xfId="8910"/>
    <cellStyle name="British Pound 19 4" xfId="8911"/>
    <cellStyle name="British Pound 19 5" xfId="8912"/>
    <cellStyle name="British Pound 19 6" xfId="8913"/>
    <cellStyle name="British Pound 19 7" xfId="8914"/>
    <cellStyle name="British Pound 19 8" xfId="8915"/>
    <cellStyle name="British Pound 19 9" xfId="8916"/>
    <cellStyle name="British Pound 2" xfId="8917"/>
    <cellStyle name="British Pound 2 10" xfId="8918"/>
    <cellStyle name="British Pound 2 11" xfId="8919"/>
    <cellStyle name="British Pound 2 11 2" xfId="8920"/>
    <cellStyle name="British Pound 2 11 3" xfId="8921"/>
    <cellStyle name="British Pound 2 11 4" xfId="8922"/>
    <cellStyle name="British Pound 2 11 5" xfId="8923"/>
    <cellStyle name="British Pound 2 11 6" xfId="8924"/>
    <cellStyle name="British Pound 2 11 7" xfId="8925"/>
    <cellStyle name="British Pound 2 11 8" xfId="8926"/>
    <cellStyle name="British Pound 2 12" xfId="8927"/>
    <cellStyle name="British Pound 2 12 2" xfId="8928"/>
    <cellStyle name="British Pound 2 12 3" xfId="8929"/>
    <cellStyle name="British Pound 2 12 4" xfId="8930"/>
    <cellStyle name="British Pound 2 12 5" xfId="8931"/>
    <cellStyle name="British Pound 2 12 6" xfId="8932"/>
    <cellStyle name="British Pound 2 12 7" xfId="8933"/>
    <cellStyle name="British Pound 2 12 8" xfId="8934"/>
    <cellStyle name="British Pound 2 13" xfId="8935"/>
    <cellStyle name="British Pound 2 14" xfId="8936"/>
    <cellStyle name="British Pound 2 15" xfId="8937"/>
    <cellStyle name="British Pound 2 16" xfId="8938"/>
    <cellStyle name="British Pound 2 17" xfId="8939"/>
    <cellStyle name="British Pound 2 18" xfId="8940"/>
    <cellStyle name="British Pound 2 2" xfId="8941"/>
    <cellStyle name="British Pound 2 2 10" xfId="8942"/>
    <cellStyle name="British Pound 2 2 11" xfId="8943"/>
    <cellStyle name="British Pound 2 2 12" xfId="8944"/>
    <cellStyle name="British Pound 2 2 13" xfId="8945"/>
    <cellStyle name="British Pound 2 2 14" xfId="8946"/>
    <cellStyle name="British Pound 2 2 15" xfId="8947"/>
    <cellStyle name="British Pound 2 2 16" xfId="8948"/>
    <cellStyle name="British Pound 2 2 17" xfId="8949"/>
    <cellStyle name="British Pound 2 2 18" xfId="8950"/>
    <cellStyle name="British Pound 2 2 2" xfId="8951"/>
    <cellStyle name="British Pound 2 2 2 10" xfId="8952"/>
    <cellStyle name="British Pound 2 2 2 11" xfId="8953"/>
    <cellStyle name="British Pound 2 2 2 12" xfId="8954"/>
    <cellStyle name="British Pound 2 2 2 13" xfId="8955"/>
    <cellStyle name="British Pound 2 2 2 14" xfId="8956"/>
    <cellStyle name="British Pound 2 2 2 15" xfId="8957"/>
    <cellStyle name="British Pound 2 2 2 16" xfId="8958"/>
    <cellStyle name="British Pound 2 2 2 2" xfId="8959"/>
    <cellStyle name="British Pound 2 2 2 2 10" xfId="8960"/>
    <cellStyle name="British Pound 2 2 2 2 11" xfId="8961"/>
    <cellStyle name="British Pound 2 2 2 2 12" xfId="8962"/>
    <cellStyle name="British Pound 2 2 2 2 13" xfId="8963"/>
    <cellStyle name="British Pound 2 2 2 2 14" xfId="8964"/>
    <cellStyle name="British Pound 2 2 2 2 15" xfId="8965"/>
    <cellStyle name="British Pound 2 2 2 2 2" xfId="8966"/>
    <cellStyle name="British Pound 2 2 2 2 2 2" xfId="8967"/>
    <cellStyle name="British Pound 2 2 2 2 2 2 2" xfId="8968"/>
    <cellStyle name="British Pound 2 2 2 2 2 2 2 2" xfId="8969"/>
    <cellStyle name="British Pound 2 2 2 2 2 2 2 3" xfId="8970"/>
    <cellStyle name="British Pound 2 2 2 2 2 2 2 4" xfId="8971"/>
    <cellStyle name="British Pound 2 2 2 2 2 2 2 5" xfId="8972"/>
    <cellStyle name="British Pound 2 2 2 2 2 2 2 6" xfId="8973"/>
    <cellStyle name="British Pound 2 2 2 2 2 2 2 7" xfId="8974"/>
    <cellStyle name="British Pound 2 2 2 2 2 2 2 8" xfId="8975"/>
    <cellStyle name="British Pound 2 2 2 2 2 2 3" xfId="8976"/>
    <cellStyle name="British Pound 2 2 2 2 2 2 4" xfId="8977"/>
    <cellStyle name="British Pound 2 2 2 2 2 2 5" xfId="8978"/>
    <cellStyle name="British Pound 2 2 2 2 2 2 6" xfId="8979"/>
    <cellStyle name="British Pound 2 2 2 2 2 2 7" xfId="8980"/>
    <cellStyle name="British Pound 2 2 2 2 2 2 8" xfId="8981"/>
    <cellStyle name="British Pound 2 2 2 2 2 2 9" xfId="8982"/>
    <cellStyle name="British Pound 2 2 2 2 2 3" xfId="8983"/>
    <cellStyle name="British Pound 2 2 2 2 2 4" xfId="8984"/>
    <cellStyle name="British Pound 2 2 2 2 2 5" xfId="8985"/>
    <cellStyle name="British Pound 2 2 2 2 2 6" xfId="8986"/>
    <cellStyle name="British Pound 2 2 2 2 2 7" xfId="8987"/>
    <cellStyle name="British Pound 2 2 2 2 2 8" xfId="8988"/>
    <cellStyle name="British Pound 2 2 2 2 2 9" xfId="8989"/>
    <cellStyle name="British Pound 2 2 2 2 3" xfId="8990"/>
    <cellStyle name="British Pound 2 2 2 2 3 2" xfId="8991"/>
    <cellStyle name="British Pound 2 2 2 2 3 3" xfId="8992"/>
    <cellStyle name="British Pound 2 2 2 2 3 4" xfId="8993"/>
    <cellStyle name="British Pound 2 2 2 2 3 5" xfId="8994"/>
    <cellStyle name="British Pound 2 2 2 2 3 6" xfId="8995"/>
    <cellStyle name="British Pound 2 2 2 2 3 7" xfId="8996"/>
    <cellStyle name="British Pound 2 2 2 2 3 8" xfId="8997"/>
    <cellStyle name="British Pound 2 2 2 2 4" xfId="8998"/>
    <cellStyle name="British Pound 2 2 2 2 5" xfId="8999"/>
    <cellStyle name="British Pound 2 2 2 2 6" xfId="9000"/>
    <cellStyle name="British Pound 2 2 2 2 7" xfId="9001"/>
    <cellStyle name="British Pound 2 2 2 2 8" xfId="9002"/>
    <cellStyle name="British Pound 2 2 2 2 9" xfId="9003"/>
    <cellStyle name="British Pound 2 2 2 3" xfId="9004"/>
    <cellStyle name="British Pound 2 2 2 3 2" xfId="9005"/>
    <cellStyle name="British Pound 2 2 2 3 3" xfId="9006"/>
    <cellStyle name="British Pound 2 2 2 3 4" xfId="9007"/>
    <cellStyle name="British Pound 2 2 2 3 5" xfId="9008"/>
    <cellStyle name="British Pound 2 2 2 3 6" xfId="9009"/>
    <cellStyle name="British Pound 2 2 2 3 7" xfId="9010"/>
    <cellStyle name="British Pound 2 2 2 3 8" xfId="9011"/>
    <cellStyle name="British Pound 2 2 2 4" xfId="9012"/>
    <cellStyle name="British Pound 2 2 2 4 2" xfId="9013"/>
    <cellStyle name="British Pound 2 2 2 4 3" xfId="9014"/>
    <cellStyle name="British Pound 2 2 2 4 4" xfId="9015"/>
    <cellStyle name="British Pound 2 2 2 4 5" xfId="9016"/>
    <cellStyle name="British Pound 2 2 2 4 6" xfId="9017"/>
    <cellStyle name="British Pound 2 2 2 4 7" xfId="9018"/>
    <cellStyle name="British Pound 2 2 2 4 8" xfId="9019"/>
    <cellStyle name="British Pound 2 2 2 5" xfId="9020"/>
    <cellStyle name="British Pound 2 2 2 5 2" xfId="9021"/>
    <cellStyle name="British Pound 2 2 2 5 3" xfId="9022"/>
    <cellStyle name="British Pound 2 2 2 5 4" xfId="9023"/>
    <cellStyle name="British Pound 2 2 2 5 5" xfId="9024"/>
    <cellStyle name="British Pound 2 2 2 5 6" xfId="9025"/>
    <cellStyle name="British Pound 2 2 2 5 7" xfId="9026"/>
    <cellStyle name="British Pound 2 2 2 5 8" xfId="9027"/>
    <cellStyle name="British Pound 2 2 2 6" xfId="9028"/>
    <cellStyle name="British Pound 2 2 2 6 2" xfId="9029"/>
    <cellStyle name="British Pound 2 2 2 6 3" xfId="9030"/>
    <cellStyle name="British Pound 2 2 2 6 4" xfId="9031"/>
    <cellStyle name="British Pound 2 2 2 6 5" xfId="9032"/>
    <cellStyle name="British Pound 2 2 2 6 6" xfId="9033"/>
    <cellStyle name="British Pound 2 2 2 6 7" xfId="9034"/>
    <cellStyle name="British Pound 2 2 2 6 8" xfId="9035"/>
    <cellStyle name="British Pound 2 2 2 7" xfId="9036"/>
    <cellStyle name="British Pound 2 2 2 8" xfId="9037"/>
    <cellStyle name="British Pound 2 2 2 9" xfId="9038"/>
    <cellStyle name="British Pound 2 2 3" xfId="9039"/>
    <cellStyle name="British Pound 2 2 3 10" xfId="9040"/>
    <cellStyle name="British Pound 2 2 3 11" xfId="9041"/>
    <cellStyle name="British Pound 2 2 3 12" xfId="9042"/>
    <cellStyle name="British Pound 2 2 3 13" xfId="9043"/>
    <cellStyle name="British Pound 2 2 3 14" xfId="9044"/>
    <cellStyle name="British Pound 2 2 3 15" xfId="9045"/>
    <cellStyle name="British Pound 2 2 3 16" xfId="9046"/>
    <cellStyle name="British Pound 2 2 3 2" xfId="9047"/>
    <cellStyle name="British Pound 2 2 3 2 2" xfId="9048"/>
    <cellStyle name="British Pound 2 2 3 2 3" xfId="9049"/>
    <cellStyle name="British Pound 2 2 3 2 4" xfId="9050"/>
    <cellStyle name="British Pound 2 2 3 2 5" xfId="9051"/>
    <cellStyle name="British Pound 2 2 3 2 6" xfId="9052"/>
    <cellStyle name="British Pound 2 2 3 2 7" xfId="9053"/>
    <cellStyle name="British Pound 2 2 3 2 8" xfId="9054"/>
    <cellStyle name="British Pound 2 2 3 3" xfId="9055"/>
    <cellStyle name="British Pound 2 2 3 3 2" xfId="9056"/>
    <cellStyle name="British Pound 2 2 3 3 3" xfId="9057"/>
    <cellStyle name="British Pound 2 2 3 3 4" xfId="9058"/>
    <cellStyle name="British Pound 2 2 3 3 5" xfId="9059"/>
    <cellStyle name="British Pound 2 2 3 3 6" xfId="9060"/>
    <cellStyle name="British Pound 2 2 3 3 7" xfId="9061"/>
    <cellStyle name="British Pound 2 2 3 3 8" xfId="9062"/>
    <cellStyle name="British Pound 2 2 3 4" xfId="9063"/>
    <cellStyle name="British Pound 2 2 3 5" xfId="9064"/>
    <cellStyle name="British Pound 2 2 3 6" xfId="9065"/>
    <cellStyle name="British Pound 2 2 3 7" xfId="9066"/>
    <cellStyle name="British Pound 2 2 3 8" xfId="9067"/>
    <cellStyle name="British Pound 2 2 3 9" xfId="9068"/>
    <cellStyle name="British Pound 2 2 4" xfId="9069"/>
    <cellStyle name="British Pound 2 2 4 2" xfId="9070"/>
    <cellStyle name="British Pound 2 2 4 2 2" xfId="9071"/>
    <cellStyle name="British Pound 2 2 4 2 2 2" xfId="9072"/>
    <cellStyle name="British Pound 2 2 4 2 2 3" xfId="9073"/>
    <cellStyle name="British Pound 2 2 4 2 2 4" xfId="9074"/>
    <cellStyle name="British Pound 2 2 4 2 2 5" xfId="9075"/>
    <cellStyle name="British Pound 2 2 4 2 2 6" xfId="9076"/>
    <cellStyle name="British Pound 2 2 4 2 2 7" xfId="9077"/>
    <cellStyle name="British Pound 2 2 4 2 2 8" xfId="9078"/>
    <cellStyle name="British Pound 2 2 4 2 3" xfId="9079"/>
    <cellStyle name="British Pound 2 2 4 2 4" xfId="9080"/>
    <cellStyle name="British Pound 2 2 4 2 5" xfId="9081"/>
    <cellStyle name="British Pound 2 2 4 2 6" xfId="9082"/>
    <cellStyle name="British Pound 2 2 4 2 7" xfId="9083"/>
    <cellStyle name="British Pound 2 2 4 2 8" xfId="9084"/>
    <cellStyle name="British Pound 2 2 4 2 9" xfId="9085"/>
    <cellStyle name="British Pound 2 2 4 3" xfId="9086"/>
    <cellStyle name="British Pound 2 2 4 4" xfId="9087"/>
    <cellStyle name="British Pound 2 2 4 5" xfId="9088"/>
    <cellStyle name="British Pound 2 2 4 6" xfId="9089"/>
    <cellStyle name="British Pound 2 2 4 7" xfId="9090"/>
    <cellStyle name="British Pound 2 2 4 8" xfId="9091"/>
    <cellStyle name="British Pound 2 2 4 9" xfId="9092"/>
    <cellStyle name="British Pound 2 2 5" xfId="9093"/>
    <cellStyle name="British Pound 2 2 6" xfId="9094"/>
    <cellStyle name="British Pound 2 2 7" xfId="9095"/>
    <cellStyle name="British Pound 2 2 7 2" xfId="9096"/>
    <cellStyle name="British Pound 2 2 7 3" xfId="9097"/>
    <cellStyle name="British Pound 2 2 7 4" xfId="9098"/>
    <cellStyle name="British Pound 2 2 7 5" xfId="9099"/>
    <cellStyle name="British Pound 2 2 7 6" xfId="9100"/>
    <cellStyle name="British Pound 2 2 7 7" xfId="9101"/>
    <cellStyle name="British Pound 2 2 7 8" xfId="9102"/>
    <cellStyle name="British Pound 2 2 8" xfId="9103"/>
    <cellStyle name="British Pound 2 2 9" xfId="9104"/>
    <cellStyle name="British Pound 2 3" xfId="9105"/>
    <cellStyle name="British Pound 2 3 10" xfId="9106"/>
    <cellStyle name="British Pound 2 3 11" xfId="9107"/>
    <cellStyle name="British Pound 2 3 12" xfId="9108"/>
    <cellStyle name="British Pound 2 3 13" xfId="9109"/>
    <cellStyle name="British Pound 2 3 14" xfId="9110"/>
    <cellStyle name="British Pound 2 3 15" xfId="9111"/>
    <cellStyle name="British Pound 2 3 16" xfId="9112"/>
    <cellStyle name="British Pound 2 3 2" xfId="9113"/>
    <cellStyle name="British Pound 2 3 2 2" xfId="9114"/>
    <cellStyle name="British Pound 2 3 2 3" xfId="9115"/>
    <cellStyle name="British Pound 2 3 2 4" xfId="9116"/>
    <cellStyle name="British Pound 2 3 2 5" xfId="9117"/>
    <cellStyle name="British Pound 2 3 2 6" xfId="9118"/>
    <cellStyle name="British Pound 2 3 2 7" xfId="9119"/>
    <cellStyle name="British Pound 2 3 2 8" xfId="9120"/>
    <cellStyle name="British Pound 2 3 3" xfId="9121"/>
    <cellStyle name="British Pound 2 3 3 2" xfId="9122"/>
    <cellStyle name="British Pound 2 3 3 3" xfId="9123"/>
    <cellStyle name="British Pound 2 3 3 4" xfId="9124"/>
    <cellStyle name="British Pound 2 3 3 5" xfId="9125"/>
    <cellStyle name="British Pound 2 3 3 6" xfId="9126"/>
    <cellStyle name="British Pound 2 3 3 7" xfId="9127"/>
    <cellStyle name="British Pound 2 3 3 8" xfId="9128"/>
    <cellStyle name="British Pound 2 3 4" xfId="9129"/>
    <cellStyle name="British Pound 2 3 5" xfId="9130"/>
    <cellStyle name="British Pound 2 3 6" xfId="9131"/>
    <cellStyle name="British Pound 2 3 7" xfId="9132"/>
    <cellStyle name="British Pound 2 3 8" xfId="9133"/>
    <cellStyle name="British Pound 2 3 9" xfId="9134"/>
    <cellStyle name="British Pound 2 4" xfId="9135"/>
    <cellStyle name="British Pound 2 4 2" xfId="9136"/>
    <cellStyle name="British Pound 2 4 3" xfId="9137"/>
    <cellStyle name="British Pound 2 4 4" xfId="9138"/>
    <cellStyle name="British Pound 2 4 5" xfId="9139"/>
    <cellStyle name="British Pound 2 4 6" xfId="9140"/>
    <cellStyle name="British Pound 2 4 7" xfId="9141"/>
    <cellStyle name="British Pound 2 4 8" xfId="9142"/>
    <cellStyle name="British Pound 2 4 9" xfId="9143"/>
    <cellStyle name="British Pound 2 5" xfId="9144"/>
    <cellStyle name="British Pound 2 5 2" xfId="9145"/>
    <cellStyle name="British Pound 2 5 3" xfId="9146"/>
    <cellStyle name="British Pound 2 5 4" xfId="9147"/>
    <cellStyle name="British Pound 2 5 5" xfId="9148"/>
    <cellStyle name="British Pound 2 5 6" xfId="9149"/>
    <cellStyle name="British Pound 2 5 7" xfId="9150"/>
    <cellStyle name="British Pound 2 5 8" xfId="9151"/>
    <cellStyle name="British Pound 2 5 9" xfId="9152"/>
    <cellStyle name="British Pound 2 6" xfId="9153"/>
    <cellStyle name="British Pound 2 6 2" xfId="9154"/>
    <cellStyle name="British Pound 2 6 3" xfId="9155"/>
    <cellStyle name="British Pound 2 6 4" xfId="9156"/>
    <cellStyle name="British Pound 2 6 5" xfId="9157"/>
    <cellStyle name="British Pound 2 6 6" xfId="9158"/>
    <cellStyle name="British Pound 2 6 7" xfId="9159"/>
    <cellStyle name="British Pound 2 6 8" xfId="9160"/>
    <cellStyle name="British Pound 2 6 9" xfId="9161"/>
    <cellStyle name="British Pound 2 7" xfId="9162"/>
    <cellStyle name="British Pound 2 7 2" xfId="9163"/>
    <cellStyle name="British Pound 2 7 3" xfId="9164"/>
    <cellStyle name="British Pound 2 7 4" xfId="9165"/>
    <cellStyle name="British Pound 2 7 5" xfId="9166"/>
    <cellStyle name="British Pound 2 7 6" xfId="9167"/>
    <cellStyle name="British Pound 2 7 7" xfId="9168"/>
    <cellStyle name="British Pound 2 7 8" xfId="9169"/>
    <cellStyle name="British Pound 2 7 9" xfId="9170"/>
    <cellStyle name="British Pound 2 8" xfId="9171"/>
    <cellStyle name="British Pound 2 8 2" xfId="9172"/>
    <cellStyle name="British Pound 2 8 3" xfId="9173"/>
    <cellStyle name="British Pound 2 8 4" xfId="9174"/>
    <cellStyle name="British Pound 2 8 5" xfId="9175"/>
    <cellStyle name="British Pound 2 8 6" xfId="9176"/>
    <cellStyle name="British Pound 2 8 7" xfId="9177"/>
    <cellStyle name="British Pound 2 8 8" xfId="9178"/>
    <cellStyle name="British Pound 2 8 9" xfId="9179"/>
    <cellStyle name="British Pound 2 9" xfId="9180"/>
    <cellStyle name="British Pound 2 9 2" xfId="9181"/>
    <cellStyle name="British Pound 2 9 2 2" xfId="9182"/>
    <cellStyle name="British Pound 2 9 2 2 2" xfId="9183"/>
    <cellStyle name="British Pound 2 9 2 2 3" xfId="9184"/>
    <cellStyle name="British Pound 2 9 2 2 4" xfId="9185"/>
    <cellStyle name="British Pound 2 9 2 2 5" xfId="9186"/>
    <cellStyle name="British Pound 2 9 2 2 6" xfId="9187"/>
    <cellStyle name="British Pound 2 9 2 2 7" xfId="9188"/>
    <cellStyle name="British Pound 2 9 2 2 8" xfId="9189"/>
    <cellStyle name="British Pound 2 9 2 3" xfId="9190"/>
    <cellStyle name="British Pound 2 9 2 4" xfId="9191"/>
    <cellStyle name="British Pound 2 9 2 5" xfId="9192"/>
    <cellStyle name="British Pound 2 9 2 6" xfId="9193"/>
    <cellStyle name="British Pound 2 9 2 7" xfId="9194"/>
    <cellStyle name="British Pound 2 9 2 8" xfId="9195"/>
    <cellStyle name="British Pound 2 9 2 9" xfId="9196"/>
    <cellStyle name="British Pound 2 9 3" xfId="9197"/>
    <cellStyle name="British Pound 2 9 4" xfId="9198"/>
    <cellStyle name="British Pound 2 9 5" xfId="9199"/>
    <cellStyle name="British Pound 2 9 6" xfId="9200"/>
    <cellStyle name="British Pound 2 9 7" xfId="9201"/>
    <cellStyle name="British Pound 2 9 8" xfId="9202"/>
    <cellStyle name="British Pound 2 9 9" xfId="9203"/>
    <cellStyle name="British Pound 20" xfId="9204"/>
    <cellStyle name="British Pound 20 2" xfId="9205"/>
    <cellStyle name="British Pound 20 3" xfId="9206"/>
    <cellStyle name="British Pound 20 4" xfId="9207"/>
    <cellStyle name="British Pound 20 5" xfId="9208"/>
    <cellStyle name="British Pound 20 6" xfId="9209"/>
    <cellStyle name="British Pound 20 7" xfId="9210"/>
    <cellStyle name="British Pound 20 8" xfId="9211"/>
    <cellStyle name="British Pound 20 9" xfId="9212"/>
    <cellStyle name="British Pound 21" xfId="9213"/>
    <cellStyle name="British Pound 21 2" xfId="9214"/>
    <cellStyle name="British Pound 21 3" xfId="9215"/>
    <cellStyle name="British Pound 21 4" xfId="9216"/>
    <cellStyle name="British Pound 21 5" xfId="9217"/>
    <cellStyle name="British Pound 21 6" xfId="9218"/>
    <cellStyle name="British Pound 21 7" xfId="9219"/>
    <cellStyle name="British Pound 21 8" xfId="9220"/>
    <cellStyle name="British Pound 21 9" xfId="9221"/>
    <cellStyle name="British Pound 22" xfId="9222"/>
    <cellStyle name="British Pound 22 2" xfId="9223"/>
    <cellStyle name="British Pound 22 3" xfId="9224"/>
    <cellStyle name="British Pound 22 4" xfId="9225"/>
    <cellStyle name="British Pound 22 5" xfId="9226"/>
    <cellStyle name="British Pound 22 6" xfId="9227"/>
    <cellStyle name="British Pound 22 7" xfId="9228"/>
    <cellStyle name="British Pound 22 8" xfId="9229"/>
    <cellStyle name="British Pound 22 9" xfId="9230"/>
    <cellStyle name="British Pound 23" xfId="9231"/>
    <cellStyle name="British Pound 24" xfId="9232"/>
    <cellStyle name="British Pound 25" xfId="9233"/>
    <cellStyle name="British Pound 26" xfId="9234"/>
    <cellStyle name="British Pound 27" xfId="9235"/>
    <cellStyle name="British Pound 28" xfId="9236"/>
    <cellStyle name="British Pound 29" xfId="9237"/>
    <cellStyle name="British Pound 3" xfId="9238"/>
    <cellStyle name="British Pound 3 2" xfId="9239"/>
    <cellStyle name="British Pound 3 2 2" xfId="9240"/>
    <cellStyle name="British Pound 3 2 2 2" xfId="9241"/>
    <cellStyle name="British Pound 3 2 2 2 2" xfId="9242"/>
    <cellStyle name="British Pound 3 2 2 2 2 2" xfId="9243"/>
    <cellStyle name="British Pound 3 2 2 2 2 3" xfId="9244"/>
    <cellStyle name="British Pound 3 2 2 2 2 4" xfId="9245"/>
    <cellStyle name="British Pound 3 2 2 2 2 5" xfId="9246"/>
    <cellStyle name="British Pound 3 2 2 2 2 6" xfId="9247"/>
    <cellStyle name="British Pound 3 2 2 2 2 7" xfId="9248"/>
    <cellStyle name="British Pound 3 2 2 2 2 8" xfId="9249"/>
    <cellStyle name="British Pound 3 2 2 2 3" xfId="9250"/>
    <cellStyle name="British Pound 3 2 2 2 4" xfId="9251"/>
    <cellStyle name="British Pound 3 2 2 2 5" xfId="9252"/>
    <cellStyle name="British Pound 3 2 2 2 6" xfId="9253"/>
    <cellStyle name="British Pound 3 2 2 2 7" xfId="9254"/>
    <cellStyle name="British Pound 3 2 2 2 8" xfId="9255"/>
    <cellStyle name="British Pound 3 2 2 2 9" xfId="9256"/>
    <cellStyle name="British Pound 3 2 2 3" xfId="9257"/>
    <cellStyle name="British Pound 3 2 2 4" xfId="9258"/>
    <cellStyle name="British Pound 3 2 2 5" xfId="9259"/>
    <cellStyle name="British Pound 3 2 2 6" xfId="9260"/>
    <cellStyle name="British Pound 3 2 2 7" xfId="9261"/>
    <cellStyle name="British Pound 3 2 2 8" xfId="9262"/>
    <cellStyle name="British Pound 3 2 2 9" xfId="9263"/>
    <cellStyle name="British Pound 3 2 3" xfId="9264"/>
    <cellStyle name="British Pound 3 2 4" xfId="9265"/>
    <cellStyle name="British Pound 3 2 5" xfId="9266"/>
    <cellStyle name="British Pound 3 2 6" xfId="9267"/>
    <cellStyle name="British Pound 3 2 7" xfId="9268"/>
    <cellStyle name="British Pound 3 2 8" xfId="9269"/>
    <cellStyle name="British Pound 3 2 9" xfId="9270"/>
    <cellStyle name="British Pound 3 3" xfId="9271"/>
    <cellStyle name="British Pound 3 4" xfId="9272"/>
    <cellStyle name="British Pound 3 5" xfId="9273"/>
    <cellStyle name="British Pound 3 6" xfId="9274"/>
    <cellStyle name="British Pound 3 6 2" xfId="9275"/>
    <cellStyle name="British Pound 3 6 3" xfId="9276"/>
    <cellStyle name="British Pound 3 6 4" xfId="9277"/>
    <cellStyle name="British Pound 3 6 5" xfId="9278"/>
    <cellStyle name="British Pound 3 6 6" xfId="9279"/>
    <cellStyle name="British Pound 3 6 7" xfId="9280"/>
    <cellStyle name="British Pound 3 6 8" xfId="9281"/>
    <cellStyle name="British Pound 3 7" xfId="9282"/>
    <cellStyle name="British Pound 3 8" xfId="9283"/>
    <cellStyle name="British Pound 3 9" xfId="9284"/>
    <cellStyle name="British Pound 30" xfId="9285"/>
    <cellStyle name="British Pound 31" xfId="9286"/>
    <cellStyle name="British Pound 32" xfId="9287"/>
    <cellStyle name="British Pound 33" xfId="9288"/>
    <cellStyle name="British Pound 34" xfId="9289"/>
    <cellStyle name="British Pound 35" xfId="9290"/>
    <cellStyle name="British Pound 36" xfId="9291"/>
    <cellStyle name="British Pound 37" xfId="9292"/>
    <cellStyle name="British Pound 4" xfId="9293"/>
    <cellStyle name="British Pound 4 2" xfId="9294"/>
    <cellStyle name="British Pound 4 3" xfId="9295"/>
    <cellStyle name="British Pound 4 4" xfId="9296"/>
    <cellStyle name="British Pound 4 5" xfId="9297"/>
    <cellStyle name="British Pound 4 6" xfId="9298"/>
    <cellStyle name="British Pound 4 7" xfId="9299"/>
    <cellStyle name="British Pound 4 8" xfId="9300"/>
    <cellStyle name="British Pound 4 9" xfId="9301"/>
    <cellStyle name="British Pound 5" xfId="9302"/>
    <cellStyle name="British Pound 5 2" xfId="9303"/>
    <cellStyle name="British Pound 5 3" xfId="9304"/>
    <cellStyle name="British Pound 5 4" xfId="9305"/>
    <cellStyle name="British Pound 5 5" xfId="9306"/>
    <cellStyle name="British Pound 5 6" xfId="9307"/>
    <cellStyle name="British Pound 5 7" xfId="9308"/>
    <cellStyle name="British Pound 5 8" xfId="9309"/>
    <cellStyle name="British Pound 5 9" xfId="9310"/>
    <cellStyle name="British Pound 6" xfId="9311"/>
    <cellStyle name="British Pound 6 2" xfId="9312"/>
    <cellStyle name="British Pound 6 3" xfId="9313"/>
    <cellStyle name="British Pound 6 4" xfId="9314"/>
    <cellStyle name="British Pound 6 5" xfId="9315"/>
    <cellStyle name="British Pound 6 6" xfId="9316"/>
    <cellStyle name="British Pound 6 7" xfId="9317"/>
    <cellStyle name="British Pound 6 8" xfId="9318"/>
    <cellStyle name="British Pound 6 9" xfId="9319"/>
    <cellStyle name="British Pound 7" xfId="9320"/>
    <cellStyle name="British Pound 7 2" xfId="9321"/>
    <cellStyle name="British Pound 7 3" xfId="9322"/>
    <cellStyle name="British Pound 7 4" xfId="9323"/>
    <cellStyle name="British Pound 7 5" xfId="9324"/>
    <cellStyle name="British Pound 7 6" xfId="9325"/>
    <cellStyle name="British Pound 7 7" xfId="9326"/>
    <cellStyle name="British Pound 7 8" xfId="9327"/>
    <cellStyle name="British Pound 7 9" xfId="9328"/>
    <cellStyle name="British Pound 8" xfId="9329"/>
    <cellStyle name="British Pound 8 10" xfId="9330"/>
    <cellStyle name="British Pound 8 11" xfId="9331"/>
    <cellStyle name="British Pound 8 12" xfId="9332"/>
    <cellStyle name="British Pound 8 13" xfId="9333"/>
    <cellStyle name="British Pound 8 14" xfId="9334"/>
    <cellStyle name="British Pound 8 15" xfId="9335"/>
    <cellStyle name="British Pound 8 16" xfId="9336"/>
    <cellStyle name="British Pound 8 2" xfId="9337"/>
    <cellStyle name="British Pound 8 2 2" xfId="9338"/>
    <cellStyle name="British Pound 8 2 3" xfId="9339"/>
    <cellStyle name="British Pound 8 2 4" xfId="9340"/>
    <cellStyle name="British Pound 8 2 5" xfId="9341"/>
    <cellStyle name="British Pound 8 2 6" xfId="9342"/>
    <cellStyle name="British Pound 8 2 7" xfId="9343"/>
    <cellStyle name="British Pound 8 2 8" xfId="9344"/>
    <cellStyle name="British Pound 8 3" xfId="9345"/>
    <cellStyle name="British Pound 8 3 2" xfId="9346"/>
    <cellStyle name="British Pound 8 3 3" xfId="9347"/>
    <cellStyle name="British Pound 8 3 4" xfId="9348"/>
    <cellStyle name="British Pound 8 3 5" xfId="9349"/>
    <cellStyle name="British Pound 8 3 6" xfId="9350"/>
    <cellStyle name="British Pound 8 3 7" xfId="9351"/>
    <cellStyle name="British Pound 8 3 8" xfId="9352"/>
    <cellStyle name="British Pound 8 4" xfId="9353"/>
    <cellStyle name="British Pound 8 5" xfId="9354"/>
    <cellStyle name="British Pound 8 6" xfId="9355"/>
    <cellStyle name="British Pound 8 7" xfId="9356"/>
    <cellStyle name="British Pound 8 8" xfId="9357"/>
    <cellStyle name="British Pound 8 9" xfId="9358"/>
    <cellStyle name="British Pound 9" xfId="9359"/>
    <cellStyle name="British Pound 9 2" xfId="9360"/>
    <cellStyle name="British Pound 9 3" xfId="9361"/>
    <cellStyle name="British Pound 9 4" xfId="9362"/>
    <cellStyle name="British Pound 9 5" xfId="9363"/>
    <cellStyle name="British Pound 9 6" xfId="9364"/>
    <cellStyle name="British Pound 9 7" xfId="9365"/>
    <cellStyle name="British Pound 9 8" xfId="9366"/>
    <cellStyle name="British Pound 9 9" xfId="9367"/>
    <cellStyle name="BrödText" xfId="9368"/>
    <cellStyle name="BrödText 2" xfId="9369"/>
    <cellStyle name="BrödText 2 2" xfId="9370"/>
    <cellStyle name="BrödText 3" xfId="9371"/>
    <cellStyle name="BrödText 4" xfId="9372"/>
    <cellStyle name="BrödText 5" xfId="9373"/>
    <cellStyle name="Buena" xfId="9374"/>
    <cellStyle name="Bullet" xfId="9375"/>
    <cellStyle name="Bullet 2" xfId="9376"/>
    <cellStyle name="CABEÇALHO" xfId="9377"/>
    <cellStyle name="Cadre" xfId="9378"/>
    <cellStyle name="Cadre 2" xfId="9379"/>
    <cellStyle name="Calc" xfId="9380"/>
    <cellStyle name="Calc # [0]" xfId="9381"/>
    <cellStyle name="Calc # [1]" xfId="9382"/>
    <cellStyle name="Calc # [2]" xfId="9383"/>
    <cellStyle name="Calc % [0]" xfId="9384"/>
    <cellStyle name="Calc % [1]" xfId="9385"/>
    <cellStyle name="Calc % [2]" xfId="9386"/>
    <cellStyle name="Calc 2" xfId="9387"/>
    <cellStyle name="Calc Currency (0)" xfId="9388"/>
    <cellStyle name="Calc Currency (0) 10" xfId="9389"/>
    <cellStyle name="Calc Currency (0) 10 10" xfId="9390"/>
    <cellStyle name="Calc Currency (0) 10 11" xfId="9391"/>
    <cellStyle name="Calc Currency (0) 10 2" xfId="9392"/>
    <cellStyle name="Calc Currency (0) 10 2 2" xfId="9393"/>
    <cellStyle name="Calc Currency (0) 10 2 3" xfId="9394"/>
    <cellStyle name="Calc Currency (0) 10 2 4" xfId="9395"/>
    <cellStyle name="Calc Currency (0) 10 2 5" xfId="9396"/>
    <cellStyle name="Calc Currency (0) 10 2 6" xfId="9397"/>
    <cellStyle name="Calc Currency (0) 10 2 7" xfId="9398"/>
    <cellStyle name="Calc Currency (0) 10 2 8" xfId="9399"/>
    <cellStyle name="Calc Currency (0) 10 2 9" xfId="9400"/>
    <cellStyle name="Calc Currency (0) 10 3" xfId="9401"/>
    <cellStyle name="Calc Currency (0) 10 3 2" xfId="9402"/>
    <cellStyle name="Calc Currency (0) 10 3 3" xfId="9403"/>
    <cellStyle name="Calc Currency (0) 10 3 4" xfId="9404"/>
    <cellStyle name="Calc Currency (0) 10 3 5" xfId="9405"/>
    <cellStyle name="Calc Currency (0) 10 3 6" xfId="9406"/>
    <cellStyle name="Calc Currency (0) 10 3 7" xfId="9407"/>
    <cellStyle name="Calc Currency (0) 10 3 8" xfId="9408"/>
    <cellStyle name="Calc Currency (0) 10 3 9" xfId="9409"/>
    <cellStyle name="Calc Currency (0) 10 4" xfId="9410"/>
    <cellStyle name="Calc Currency (0) 10 5" xfId="9411"/>
    <cellStyle name="Calc Currency (0) 10 6" xfId="9412"/>
    <cellStyle name="Calc Currency (0) 10 7" xfId="9413"/>
    <cellStyle name="Calc Currency (0) 10 8" xfId="9414"/>
    <cellStyle name="Calc Currency (0) 10 9" xfId="9415"/>
    <cellStyle name="Calc Currency (0) 11" xfId="9416"/>
    <cellStyle name="Calc Currency (0) 11 2" xfId="9417"/>
    <cellStyle name="Calc Currency (0) 11 3" xfId="9418"/>
    <cellStyle name="Calc Currency (0) 11 4" xfId="9419"/>
    <cellStyle name="Calc Currency (0) 11 5" xfId="9420"/>
    <cellStyle name="Calc Currency (0) 11 6" xfId="9421"/>
    <cellStyle name="Calc Currency (0) 11 7" xfId="9422"/>
    <cellStyle name="Calc Currency (0) 11 8" xfId="9423"/>
    <cellStyle name="Calc Currency (0) 11 9" xfId="9424"/>
    <cellStyle name="Calc Currency (0) 12" xfId="9425"/>
    <cellStyle name="Calc Currency (0) 12 2" xfId="9426"/>
    <cellStyle name="Calc Currency (0) 12 3" xfId="9427"/>
    <cellStyle name="Calc Currency (0) 12 4" xfId="9428"/>
    <cellStyle name="Calc Currency (0) 12 5" xfId="9429"/>
    <cellStyle name="Calc Currency (0) 12 6" xfId="9430"/>
    <cellStyle name="Calc Currency (0) 12 7" xfId="9431"/>
    <cellStyle name="Calc Currency (0) 12 8" xfId="9432"/>
    <cellStyle name="Calc Currency (0) 12 9" xfId="9433"/>
    <cellStyle name="Calc Currency (0) 13" xfId="9434"/>
    <cellStyle name="Calc Currency (0) 13 10" xfId="9435"/>
    <cellStyle name="Calc Currency (0) 13 11" xfId="9436"/>
    <cellStyle name="Calc Currency (0) 13 12" xfId="9437"/>
    <cellStyle name="Calc Currency (0) 13 13" xfId="9438"/>
    <cellStyle name="Calc Currency (0) 13 14" xfId="9439"/>
    <cellStyle name="Calc Currency (0) 13 15" xfId="9440"/>
    <cellStyle name="Calc Currency (0) 13 16" xfId="9441"/>
    <cellStyle name="Calc Currency (0) 13 2" xfId="9442"/>
    <cellStyle name="Calc Currency (0) 13 3" xfId="9443"/>
    <cellStyle name="Calc Currency (0) 13 4" xfId="9444"/>
    <cellStyle name="Calc Currency (0) 13 5" xfId="9445"/>
    <cellStyle name="Calc Currency (0) 13 6" xfId="9446"/>
    <cellStyle name="Calc Currency (0) 13 7" xfId="9447"/>
    <cellStyle name="Calc Currency (0) 13 8" xfId="9448"/>
    <cellStyle name="Calc Currency (0) 13 9" xfId="9449"/>
    <cellStyle name="Calc Currency (0) 14" xfId="9450"/>
    <cellStyle name="Calc Currency (0) 14 10" xfId="9451"/>
    <cellStyle name="Calc Currency (0) 14 11" xfId="9452"/>
    <cellStyle name="Calc Currency (0) 14 12" xfId="9453"/>
    <cellStyle name="Calc Currency (0) 14 13" xfId="9454"/>
    <cellStyle name="Calc Currency (0) 14 14" xfId="9455"/>
    <cellStyle name="Calc Currency (0) 14 15" xfId="9456"/>
    <cellStyle name="Calc Currency (0) 14 16" xfId="9457"/>
    <cellStyle name="Calc Currency (0) 14 2" xfId="9458"/>
    <cellStyle name="Calc Currency (0) 14 3" xfId="9459"/>
    <cellStyle name="Calc Currency (0) 14 4" xfId="9460"/>
    <cellStyle name="Calc Currency (0) 14 5" xfId="9461"/>
    <cellStyle name="Calc Currency (0) 14 6" xfId="9462"/>
    <cellStyle name="Calc Currency (0) 14 7" xfId="9463"/>
    <cellStyle name="Calc Currency (0) 14 8" xfId="9464"/>
    <cellStyle name="Calc Currency (0) 14 9" xfId="9465"/>
    <cellStyle name="Calc Currency (0) 15" xfId="9466"/>
    <cellStyle name="Calc Currency (0) 15 10" xfId="9467"/>
    <cellStyle name="Calc Currency (0) 15 11" xfId="9468"/>
    <cellStyle name="Calc Currency (0) 15 12" xfId="9469"/>
    <cellStyle name="Calc Currency (0) 15 13" xfId="9470"/>
    <cellStyle name="Calc Currency (0) 15 14" xfId="9471"/>
    <cellStyle name="Calc Currency (0) 15 15" xfId="9472"/>
    <cellStyle name="Calc Currency (0) 15 16" xfId="9473"/>
    <cellStyle name="Calc Currency (0) 15 2" xfId="9474"/>
    <cellStyle name="Calc Currency (0) 15 3" xfId="9475"/>
    <cellStyle name="Calc Currency (0) 15 4" xfId="9476"/>
    <cellStyle name="Calc Currency (0) 15 5" xfId="9477"/>
    <cellStyle name="Calc Currency (0) 15 6" xfId="9478"/>
    <cellStyle name="Calc Currency (0) 15 7" xfId="9479"/>
    <cellStyle name="Calc Currency (0) 15 8" xfId="9480"/>
    <cellStyle name="Calc Currency (0) 15 9" xfId="9481"/>
    <cellStyle name="Calc Currency (0) 16" xfId="9482"/>
    <cellStyle name="Calc Currency (0) 16 2" xfId="9483"/>
    <cellStyle name="Calc Currency (0) 16 3" xfId="9484"/>
    <cellStyle name="Calc Currency (0) 16 4" xfId="9485"/>
    <cellStyle name="Calc Currency (0) 16 5" xfId="9486"/>
    <cellStyle name="Calc Currency (0) 16 6" xfId="9487"/>
    <cellStyle name="Calc Currency (0) 16 7" xfId="9488"/>
    <cellStyle name="Calc Currency (0) 16 8" xfId="9489"/>
    <cellStyle name="Calc Currency (0) 16 9" xfId="9490"/>
    <cellStyle name="Calc Currency (0) 17" xfId="9491"/>
    <cellStyle name="Calc Currency (0) 17 2" xfId="9492"/>
    <cellStyle name="Calc Currency (0) 17 3" xfId="9493"/>
    <cellStyle name="Calc Currency (0) 17 4" xfId="9494"/>
    <cellStyle name="Calc Currency (0) 17 5" xfId="9495"/>
    <cellStyle name="Calc Currency (0) 17 6" xfId="9496"/>
    <cellStyle name="Calc Currency (0) 17 7" xfId="9497"/>
    <cellStyle name="Calc Currency (0) 17 8" xfId="9498"/>
    <cellStyle name="Calc Currency (0) 17 9" xfId="9499"/>
    <cellStyle name="Calc Currency (0) 18" xfId="9500"/>
    <cellStyle name="Calc Currency (0) 18 2" xfId="9501"/>
    <cellStyle name="Calc Currency (0) 18 3" xfId="9502"/>
    <cellStyle name="Calc Currency (0) 18 4" xfId="9503"/>
    <cellStyle name="Calc Currency (0) 18 5" xfId="9504"/>
    <cellStyle name="Calc Currency (0) 18 6" xfId="9505"/>
    <cellStyle name="Calc Currency (0) 18 7" xfId="9506"/>
    <cellStyle name="Calc Currency (0) 18 8" xfId="9507"/>
    <cellStyle name="Calc Currency (0) 18 9" xfId="9508"/>
    <cellStyle name="Calc Currency (0) 19" xfId="9509"/>
    <cellStyle name="Calc Currency (0) 19 2" xfId="9510"/>
    <cellStyle name="Calc Currency (0) 19 3" xfId="9511"/>
    <cellStyle name="Calc Currency (0) 19 4" xfId="9512"/>
    <cellStyle name="Calc Currency (0) 19 5" xfId="9513"/>
    <cellStyle name="Calc Currency (0) 19 6" xfId="9514"/>
    <cellStyle name="Calc Currency (0) 19 7" xfId="9515"/>
    <cellStyle name="Calc Currency (0) 19 8" xfId="9516"/>
    <cellStyle name="Calc Currency (0) 19 9" xfId="9517"/>
    <cellStyle name="Calc Currency (0) 2" xfId="9518"/>
    <cellStyle name="Calc Currency (0) 2 10" xfId="9519"/>
    <cellStyle name="Calc Currency (0) 2 10 2" xfId="9520"/>
    <cellStyle name="Calc Currency (0) 2 10 3" xfId="9521"/>
    <cellStyle name="Calc Currency (0) 2 11" xfId="9522"/>
    <cellStyle name="Calc Currency (0) 2 11 2" xfId="9523"/>
    <cellStyle name="Calc Currency (0) 2 11 2 2" xfId="9524"/>
    <cellStyle name="Calc Currency (0) 2 11 2 3" xfId="9525"/>
    <cellStyle name="Calc Currency (0) 2 11 3" xfId="9526"/>
    <cellStyle name="Calc Currency (0) 2 12" xfId="9527"/>
    <cellStyle name="Calc Currency (0) 2 13" xfId="9528"/>
    <cellStyle name="Calc Currency (0) 2 14" xfId="9529"/>
    <cellStyle name="Calc Currency (0) 2 2" xfId="9530"/>
    <cellStyle name="Calc Currency (0) 2 2 10" xfId="9531"/>
    <cellStyle name="Calc Currency (0) 2 2 11" xfId="9532"/>
    <cellStyle name="Calc Currency (0) 2 2 12" xfId="9533"/>
    <cellStyle name="Calc Currency (0) 2 2 13" xfId="9534"/>
    <cellStyle name="Calc Currency (0) 2 2 14" xfId="9535"/>
    <cellStyle name="Calc Currency (0) 2 2 15" xfId="9536"/>
    <cellStyle name="Calc Currency (0) 2 2 16" xfId="9537"/>
    <cellStyle name="Calc Currency (0) 2 2 17" xfId="9538"/>
    <cellStyle name="Calc Currency (0) 2 2 18" xfId="9539"/>
    <cellStyle name="Calc Currency (0) 2 2 2" xfId="9540"/>
    <cellStyle name="Calc Currency (0) 2 2 2 2" xfId="9541"/>
    <cellStyle name="Calc Currency (0) 2 2 2 2 2" xfId="9542"/>
    <cellStyle name="Calc Currency (0) 2 2 2 2 3" xfId="9543"/>
    <cellStyle name="Calc Currency (0) 2 2 2 2 4" xfId="9544"/>
    <cellStyle name="Calc Currency (0) 2 2 2 2 5" xfId="9545"/>
    <cellStyle name="Calc Currency (0) 2 2 2 2 6" xfId="9546"/>
    <cellStyle name="Calc Currency (0) 2 2 2 2 7" xfId="9547"/>
    <cellStyle name="Calc Currency (0) 2 2 2 2 8" xfId="9548"/>
    <cellStyle name="Calc Currency (0) 2 2 2 3" xfId="9549"/>
    <cellStyle name="Calc Currency (0) 2 2 2 4" xfId="9550"/>
    <cellStyle name="Calc Currency (0) 2 2 2 5" xfId="9551"/>
    <cellStyle name="Calc Currency (0) 2 2 2 6" xfId="9552"/>
    <cellStyle name="Calc Currency (0) 2 2 2 7" xfId="9553"/>
    <cellStyle name="Calc Currency (0) 2 2 2 8" xfId="9554"/>
    <cellStyle name="Calc Currency (0) 2 2 2 9" xfId="9555"/>
    <cellStyle name="Calc Currency (0) 2 2 3" xfId="9556"/>
    <cellStyle name="Calc Currency (0) 2 2 3 2" xfId="9557"/>
    <cellStyle name="Calc Currency (0) 2 2 3 3" xfId="9558"/>
    <cellStyle name="Calc Currency (0) 2 2 3 4" xfId="9559"/>
    <cellStyle name="Calc Currency (0) 2 2 3 5" xfId="9560"/>
    <cellStyle name="Calc Currency (0) 2 2 3 6" xfId="9561"/>
    <cellStyle name="Calc Currency (0) 2 2 3 7" xfId="9562"/>
    <cellStyle name="Calc Currency (0) 2 2 3 8" xfId="9563"/>
    <cellStyle name="Calc Currency (0) 2 2 3 9" xfId="9564"/>
    <cellStyle name="Calc Currency (0) 2 2 4" xfId="9565"/>
    <cellStyle name="Calc Currency (0) 2 2 5" xfId="9566"/>
    <cellStyle name="Calc Currency (0) 2 2 6" xfId="9567"/>
    <cellStyle name="Calc Currency (0) 2 2 7" xfId="9568"/>
    <cellStyle name="Calc Currency (0) 2 2 8" xfId="9569"/>
    <cellStyle name="Calc Currency (0) 2 2 9" xfId="9570"/>
    <cellStyle name="Calc Currency (0) 2 3" xfId="9571"/>
    <cellStyle name="Calc Currency (0) 2 3 10" xfId="9572"/>
    <cellStyle name="Calc Currency (0) 2 3 11" xfId="9573"/>
    <cellStyle name="Calc Currency (0) 2 3 12" xfId="9574"/>
    <cellStyle name="Calc Currency (0) 2 3 13" xfId="9575"/>
    <cellStyle name="Calc Currency (0) 2 3 14" xfId="9576"/>
    <cellStyle name="Calc Currency (0) 2 3 15" xfId="9577"/>
    <cellStyle name="Calc Currency (0) 2 3 16" xfId="9578"/>
    <cellStyle name="Calc Currency (0) 2 3 2" xfId="9579"/>
    <cellStyle name="Calc Currency (0) 2 3 2 2" xfId="9580"/>
    <cellStyle name="Calc Currency (0) 2 3 2 2 2" xfId="9581"/>
    <cellStyle name="Calc Currency (0) 2 3 2 2 2 2" xfId="9582"/>
    <cellStyle name="Calc Currency (0) 2 3 2 2 2 2 2" xfId="9583"/>
    <cellStyle name="Calc Currency (0) 2 3 2 2 2 2 3" xfId="9584"/>
    <cellStyle name="Calc Currency (0) 2 3 2 2 2 2 4" xfId="9585"/>
    <cellStyle name="Calc Currency (0) 2 3 2 2 2 2 5" xfId="9586"/>
    <cellStyle name="Calc Currency (0) 2 3 2 2 2 2 6" xfId="9587"/>
    <cellStyle name="Calc Currency (0) 2 3 2 2 2 2 7" xfId="9588"/>
    <cellStyle name="Calc Currency (0) 2 3 2 2 2 2 8" xfId="9589"/>
    <cellStyle name="Calc Currency (0) 2 3 2 2 2 3" xfId="9590"/>
    <cellStyle name="Calc Currency (0) 2 3 2 2 2 4" xfId="9591"/>
    <cellStyle name="Calc Currency (0) 2 3 2 2 2 5" xfId="9592"/>
    <cellStyle name="Calc Currency (0) 2 3 2 2 2 6" xfId="9593"/>
    <cellStyle name="Calc Currency (0) 2 3 2 2 2 7" xfId="9594"/>
    <cellStyle name="Calc Currency (0) 2 3 2 2 2 8" xfId="9595"/>
    <cellStyle name="Calc Currency (0) 2 3 2 2 2 9" xfId="9596"/>
    <cellStyle name="Calc Currency (0) 2 3 2 2 3" xfId="9597"/>
    <cellStyle name="Calc Currency (0) 2 3 2 2 4" xfId="9598"/>
    <cellStyle name="Calc Currency (0) 2 3 2 2 5" xfId="9599"/>
    <cellStyle name="Calc Currency (0) 2 3 2 2 6" xfId="9600"/>
    <cellStyle name="Calc Currency (0) 2 3 2 2 7" xfId="9601"/>
    <cellStyle name="Calc Currency (0) 2 3 2 2 8" xfId="9602"/>
    <cellStyle name="Calc Currency (0) 2 3 2 2 9" xfId="9603"/>
    <cellStyle name="Calc Currency (0) 2 3 2 3" xfId="9604"/>
    <cellStyle name="Calc Currency (0) 2 3 2 4" xfId="9605"/>
    <cellStyle name="Calc Currency (0) 2 3 2 5" xfId="9606"/>
    <cellStyle name="Calc Currency (0) 2 3 2 6" xfId="9607"/>
    <cellStyle name="Calc Currency (0) 2 3 2 7" xfId="9608"/>
    <cellStyle name="Calc Currency (0) 2 3 2 8" xfId="9609"/>
    <cellStyle name="Calc Currency (0) 2 3 2 9" xfId="9610"/>
    <cellStyle name="Calc Currency (0) 2 3 3" xfId="9611"/>
    <cellStyle name="Calc Currency (0) 2 3 3 2" xfId="9612"/>
    <cellStyle name="Calc Currency (0) 2 3 3 3" xfId="9613"/>
    <cellStyle name="Calc Currency (0) 2 3 3 4" xfId="9614"/>
    <cellStyle name="Calc Currency (0) 2 3 3 5" xfId="9615"/>
    <cellStyle name="Calc Currency (0) 2 3 3 6" xfId="9616"/>
    <cellStyle name="Calc Currency (0) 2 3 3 7" xfId="9617"/>
    <cellStyle name="Calc Currency (0) 2 3 3 8" xfId="9618"/>
    <cellStyle name="Calc Currency (0) 2 3 4" xfId="9619"/>
    <cellStyle name="Calc Currency (0) 2 3 4 2" xfId="9620"/>
    <cellStyle name="Calc Currency (0) 2 3 4 3" xfId="9621"/>
    <cellStyle name="Calc Currency (0) 2 3 4 4" xfId="9622"/>
    <cellStyle name="Calc Currency (0) 2 3 4 5" xfId="9623"/>
    <cellStyle name="Calc Currency (0) 2 3 4 6" xfId="9624"/>
    <cellStyle name="Calc Currency (0) 2 3 4 7" xfId="9625"/>
    <cellStyle name="Calc Currency (0) 2 3 4 8" xfId="9626"/>
    <cellStyle name="Calc Currency (0) 2 3 5" xfId="9627"/>
    <cellStyle name="Calc Currency (0) 2 3 5 2" xfId="9628"/>
    <cellStyle name="Calc Currency (0) 2 3 5 3" xfId="9629"/>
    <cellStyle name="Calc Currency (0) 2 3 5 4" xfId="9630"/>
    <cellStyle name="Calc Currency (0) 2 3 5 5" xfId="9631"/>
    <cellStyle name="Calc Currency (0) 2 3 5 6" xfId="9632"/>
    <cellStyle name="Calc Currency (0) 2 3 5 7" xfId="9633"/>
    <cellStyle name="Calc Currency (0) 2 3 5 8" xfId="9634"/>
    <cellStyle name="Calc Currency (0) 2 3 6" xfId="9635"/>
    <cellStyle name="Calc Currency (0) 2 3 6 2" xfId="9636"/>
    <cellStyle name="Calc Currency (0) 2 3 6 3" xfId="9637"/>
    <cellStyle name="Calc Currency (0) 2 3 6 4" xfId="9638"/>
    <cellStyle name="Calc Currency (0) 2 3 6 5" xfId="9639"/>
    <cellStyle name="Calc Currency (0) 2 3 6 6" xfId="9640"/>
    <cellStyle name="Calc Currency (0) 2 3 6 7" xfId="9641"/>
    <cellStyle name="Calc Currency (0) 2 3 6 8" xfId="9642"/>
    <cellStyle name="Calc Currency (0) 2 3 7" xfId="9643"/>
    <cellStyle name="Calc Currency (0) 2 3 8" xfId="9644"/>
    <cellStyle name="Calc Currency (0) 2 3 9" xfId="9645"/>
    <cellStyle name="Calc Currency (0) 2 4" xfId="9646"/>
    <cellStyle name="Calc Currency (0) 2 4 2" xfId="9647"/>
    <cellStyle name="Calc Currency (0) 2 4 3" xfId="9648"/>
    <cellStyle name="Calc Currency (0) 2 5" xfId="9649"/>
    <cellStyle name="Calc Currency (0) 2 5 2" xfId="9650"/>
    <cellStyle name="Calc Currency (0) 2 5 3" xfId="9651"/>
    <cellStyle name="Calc Currency (0) 2 6" xfId="9652"/>
    <cellStyle name="Calc Currency (0) 2 6 2" xfId="9653"/>
    <cellStyle name="Calc Currency (0) 2 6 3" xfId="9654"/>
    <cellStyle name="Calc Currency (0) 2 7" xfId="9655"/>
    <cellStyle name="Calc Currency (0) 2 7 2" xfId="9656"/>
    <cellStyle name="Calc Currency (0) 2 7 3" xfId="9657"/>
    <cellStyle name="Calc Currency (0) 2 8" xfId="9658"/>
    <cellStyle name="Calc Currency (0) 2 8 2" xfId="9659"/>
    <cellStyle name="Calc Currency (0) 2 8 3" xfId="9660"/>
    <cellStyle name="Calc Currency (0) 2 9" xfId="9661"/>
    <cellStyle name="Calc Currency (0) 2 9 2" xfId="9662"/>
    <cellStyle name="Calc Currency (0) 2 9 3" xfId="9663"/>
    <cellStyle name="Calc Currency (0) 2_You Plus DCF Workpapers" xfId="9664"/>
    <cellStyle name="Calc Currency (0) 20" xfId="9665"/>
    <cellStyle name="Calc Currency (0) 20 2" xfId="9666"/>
    <cellStyle name="Calc Currency (0) 20 3" xfId="9667"/>
    <cellStyle name="Calc Currency (0) 20 4" xfId="9668"/>
    <cellStyle name="Calc Currency (0) 20 5" xfId="9669"/>
    <cellStyle name="Calc Currency (0) 20 6" xfId="9670"/>
    <cellStyle name="Calc Currency (0) 20 7" xfId="9671"/>
    <cellStyle name="Calc Currency (0) 20 8" xfId="9672"/>
    <cellStyle name="Calc Currency (0) 20 9" xfId="9673"/>
    <cellStyle name="Calc Currency (0) 21" xfId="9674"/>
    <cellStyle name="Calc Currency (0) 21 2" xfId="9675"/>
    <cellStyle name="Calc Currency (0) 21 3" xfId="9676"/>
    <cellStyle name="Calc Currency (0) 21 4" xfId="9677"/>
    <cellStyle name="Calc Currency (0) 21 5" xfId="9678"/>
    <cellStyle name="Calc Currency (0) 21 6" xfId="9679"/>
    <cellStyle name="Calc Currency (0) 21 7" xfId="9680"/>
    <cellStyle name="Calc Currency (0) 21 8" xfId="9681"/>
    <cellStyle name="Calc Currency (0) 21 9" xfId="9682"/>
    <cellStyle name="Calc Currency (0) 22" xfId="9683"/>
    <cellStyle name="Calc Currency (0) 22 2" xfId="9684"/>
    <cellStyle name="Calc Currency (0) 22 3" xfId="9685"/>
    <cellStyle name="Calc Currency (0) 22 4" xfId="9686"/>
    <cellStyle name="Calc Currency (0) 22 5" xfId="9687"/>
    <cellStyle name="Calc Currency (0) 22 6" xfId="9688"/>
    <cellStyle name="Calc Currency (0) 22 7" xfId="9689"/>
    <cellStyle name="Calc Currency (0) 22 8" xfId="9690"/>
    <cellStyle name="Calc Currency (0) 22 9" xfId="9691"/>
    <cellStyle name="Calc Currency (0) 23" xfId="9692"/>
    <cellStyle name="Calc Currency (0) 24" xfId="9693"/>
    <cellStyle name="Calc Currency (0) 25" xfId="9694"/>
    <cellStyle name="Calc Currency (0) 26" xfId="9695"/>
    <cellStyle name="Calc Currency (0) 27" xfId="9696"/>
    <cellStyle name="Calc Currency (0) 28" xfId="9697"/>
    <cellStyle name="Calc Currency (0) 29" xfId="9698"/>
    <cellStyle name="Calc Currency (0) 3" xfId="9699"/>
    <cellStyle name="Calc Currency (0) 3 10" xfId="9700"/>
    <cellStyle name="Calc Currency (0) 3 11" xfId="9701"/>
    <cellStyle name="Calc Currency (0) 3 2" xfId="9702"/>
    <cellStyle name="Calc Currency (0) 3 2 10" xfId="9703"/>
    <cellStyle name="Calc Currency (0) 3 2 11" xfId="9704"/>
    <cellStyle name="Calc Currency (0) 3 2 12" xfId="9705"/>
    <cellStyle name="Calc Currency (0) 3 2 13" xfId="9706"/>
    <cellStyle name="Calc Currency (0) 3 2 14" xfId="9707"/>
    <cellStyle name="Calc Currency (0) 3 2 15" xfId="9708"/>
    <cellStyle name="Calc Currency (0) 3 2 16" xfId="9709"/>
    <cellStyle name="Calc Currency (0) 3 2 2" xfId="9710"/>
    <cellStyle name="Calc Currency (0) 3 2 2 2" xfId="9711"/>
    <cellStyle name="Calc Currency (0) 3 2 2 3" xfId="9712"/>
    <cellStyle name="Calc Currency (0) 3 2 3" xfId="9713"/>
    <cellStyle name="Calc Currency (0) 3 2 3 2" xfId="9714"/>
    <cellStyle name="Calc Currency (0) 3 2 3 3" xfId="9715"/>
    <cellStyle name="Calc Currency (0) 3 2 3 4" xfId="9716"/>
    <cellStyle name="Calc Currency (0) 3 2 3 5" xfId="9717"/>
    <cellStyle name="Calc Currency (0) 3 2 3 6" xfId="9718"/>
    <cellStyle name="Calc Currency (0) 3 2 3 7" xfId="9719"/>
    <cellStyle name="Calc Currency (0) 3 2 3 8" xfId="9720"/>
    <cellStyle name="Calc Currency (0) 3 2 4" xfId="9721"/>
    <cellStyle name="Calc Currency (0) 3 2 5" xfId="9722"/>
    <cellStyle name="Calc Currency (0) 3 2 6" xfId="9723"/>
    <cellStyle name="Calc Currency (0) 3 2 7" xfId="9724"/>
    <cellStyle name="Calc Currency (0) 3 2 8" xfId="9725"/>
    <cellStyle name="Calc Currency (0) 3 2 9" xfId="9726"/>
    <cellStyle name="Calc Currency (0) 3 3" xfId="9727"/>
    <cellStyle name="Calc Currency (0) 3 3 2" xfId="9728"/>
    <cellStyle name="Calc Currency (0) 3 3 2 2" xfId="9729"/>
    <cellStyle name="Calc Currency (0) 3 3 2 2 2" xfId="9730"/>
    <cellStyle name="Calc Currency (0) 3 3 2 2 2 2" xfId="9731"/>
    <cellStyle name="Calc Currency (0) 3 3 2 2 2 3" xfId="9732"/>
    <cellStyle name="Calc Currency (0) 3 3 2 2 2 4" xfId="9733"/>
    <cellStyle name="Calc Currency (0) 3 3 2 2 2 5" xfId="9734"/>
    <cellStyle name="Calc Currency (0) 3 3 2 2 2 6" xfId="9735"/>
    <cellStyle name="Calc Currency (0) 3 3 2 2 2 7" xfId="9736"/>
    <cellStyle name="Calc Currency (0) 3 3 2 2 2 8" xfId="9737"/>
    <cellStyle name="Calc Currency (0) 3 3 2 2 3" xfId="9738"/>
    <cellStyle name="Calc Currency (0) 3 3 2 2 4" xfId="9739"/>
    <cellStyle name="Calc Currency (0) 3 3 2 2 5" xfId="9740"/>
    <cellStyle name="Calc Currency (0) 3 3 2 2 6" xfId="9741"/>
    <cellStyle name="Calc Currency (0) 3 3 2 2 7" xfId="9742"/>
    <cellStyle name="Calc Currency (0) 3 3 2 2 8" xfId="9743"/>
    <cellStyle name="Calc Currency (0) 3 3 2 2 9" xfId="9744"/>
    <cellStyle name="Calc Currency (0) 3 3 2 3" xfId="9745"/>
    <cellStyle name="Calc Currency (0) 3 3 2 4" xfId="9746"/>
    <cellStyle name="Calc Currency (0) 3 3 2 5" xfId="9747"/>
    <cellStyle name="Calc Currency (0) 3 3 2 6" xfId="9748"/>
    <cellStyle name="Calc Currency (0) 3 3 2 7" xfId="9749"/>
    <cellStyle name="Calc Currency (0) 3 3 2 8" xfId="9750"/>
    <cellStyle name="Calc Currency (0) 3 3 2 9" xfId="9751"/>
    <cellStyle name="Calc Currency (0) 3 3 3" xfId="9752"/>
    <cellStyle name="Calc Currency (0) 3 3 3 2" xfId="9753"/>
    <cellStyle name="Calc Currency (0) 3 3 3 3" xfId="9754"/>
    <cellStyle name="Calc Currency (0) 3 3 3 4" xfId="9755"/>
    <cellStyle name="Calc Currency (0) 3 3 3 5" xfId="9756"/>
    <cellStyle name="Calc Currency (0) 3 3 3 6" xfId="9757"/>
    <cellStyle name="Calc Currency (0) 3 3 3 7" xfId="9758"/>
    <cellStyle name="Calc Currency (0) 3 3 3 8" xfId="9759"/>
    <cellStyle name="Calc Currency (0) 3 3 4" xfId="9760"/>
    <cellStyle name="Calc Currency (0) 3 3 5" xfId="9761"/>
    <cellStyle name="Calc Currency (0) 3 3 6" xfId="9762"/>
    <cellStyle name="Calc Currency (0) 3 3 7" xfId="9763"/>
    <cellStyle name="Calc Currency (0) 3 3 8" xfId="9764"/>
    <cellStyle name="Calc Currency (0) 3 3 9" xfId="9765"/>
    <cellStyle name="Calc Currency (0) 3 4" xfId="9766"/>
    <cellStyle name="Calc Currency (0) 3 4 2" xfId="9767"/>
    <cellStyle name="Calc Currency (0) 3 4 3" xfId="9768"/>
    <cellStyle name="Calc Currency (0) 3 4 4" xfId="9769"/>
    <cellStyle name="Calc Currency (0) 3 4 5" xfId="9770"/>
    <cellStyle name="Calc Currency (0) 3 4 6" xfId="9771"/>
    <cellStyle name="Calc Currency (0) 3 4 7" xfId="9772"/>
    <cellStyle name="Calc Currency (0) 3 4 8" xfId="9773"/>
    <cellStyle name="Calc Currency (0) 3 5" xfId="9774"/>
    <cellStyle name="Calc Currency (0) 3 6" xfId="9775"/>
    <cellStyle name="Calc Currency (0) 3 7" xfId="9776"/>
    <cellStyle name="Calc Currency (0) 3 8" xfId="9777"/>
    <cellStyle name="Calc Currency (0) 3 9" xfId="9778"/>
    <cellStyle name="Calc Currency (0) 30" xfId="9779"/>
    <cellStyle name="Calc Currency (0) 31" xfId="9780"/>
    <cellStyle name="Calc Currency (0) 32" xfId="9781"/>
    <cellStyle name="Calc Currency (0) 33" xfId="9782"/>
    <cellStyle name="Calc Currency (0) 34" xfId="9783"/>
    <cellStyle name="Calc Currency (0) 35" xfId="9784"/>
    <cellStyle name="Calc Currency (0) 36" xfId="9785"/>
    <cellStyle name="Calc Currency (0) 4" xfId="9786"/>
    <cellStyle name="Calc Currency (0) 4 10" xfId="9787"/>
    <cellStyle name="Calc Currency (0) 4 11" xfId="9788"/>
    <cellStyle name="Calc Currency (0) 4 2" xfId="9789"/>
    <cellStyle name="Calc Currency (0) 4 2 2" xfId="9790"/>
    <cellStyle name="Calc Currency (0) 4 2 3" xfId="9791"/>
    <cellStyle name="Calc Currency (0) 4 2 4" xfId="9792"/>
    <cellStyle name="Calc Currency (0) 4 2 5" xfId="9793"/>
    <cellStyle name="Calc Currency (0) 4 2 6" xfId="9794"/>
    <cellStyle name="Calc Currency (0) 4 2 7" xfId="9795"/>
    <cellStyle name="Calc Currency (0) 4 2 8" xfId="9796"/>
    <cellStyle name="Calc Currency (0) 4 2 9" xfId="9797"/>
    <cellStyle name="Calc Currency (0) 4 3" xfId="9798"/>
    <cellStyle name="Calc Currency (0) 4 3 2" xfId="9799"/>
    <cellStyle name="Calc Currency (0) 4 3 3" xfId="9800"/>
    <cellStyle name="Calc Currency (0) 4 3 4" xfId="9801"/>
    <cellStyle name="Calc Currency (0) 4 3 5" xfId="9802"/>
    <cellStyle name="Calc Currency (0) 4 3 6" xfId="9803"/>
    <cellStyle name="Calc Currency (0) 4 3 7" xfId="9804"/>
    <cellStyle name="Calc Currency (0) 4 3 8" xfId="9805"/>
    <cellStyle name="Calc Currency (0) 4 3 9" xfId="9806"/>
    <cellStyle name="Calc Currency (0) 4 4" xfId="9807"/>
    <cellStyle name="Calc Currency (0) 4 5" xfId="9808"/>
    <cellStyle name="Calc Currency (0) 4 6" xfId="9809"/>
    <cellStyle name="Calc Currency (0) 4 7" xfId="9810"/>
    <cellStyle name="Calc Currency (0) 4 8" xfId="9811"/>
    <cellStyle name="Calc Currency (0) 4 9" xfId="9812"/>
    <cellStyle name="Calc Currency (0) 5" xfId="9813"/>
    <cellStyle name="Calc Currency (0) 5 10" xfId="9814"/>
    <cellStyle name="Calc Currency (0) 5 11" xfId="9815"/>
    <cellStyle name="Calc Currency (0) 5 2" xfId="9816"/>
    <cellStyle name="Calc Currency (0) 5 2 10" xfId="9817"/>
    <cellStyle name="Calc Currency (0) 5 2 11" xfId="9818"/>
    <cellStyle name="Calc Currency (0) 5 2 12" xfId="9819"/>
    <cellStyle name="Calc Currency (0) 5 2 13" xfId="9820"/>
    <cellStyle name="Calc Currency (0) 5 2 14" xfId="9821"/>
    <cellStyle name="Calc Currency (0) 5 2 15" xfId="9822"/>
    <cellStyle name="Calc Currency (0) 5 2 16" xfId="9823"/>
    <cellStyle name="Calc Currency (0) 5 2 2" xfId="9824"/>
    <cellStyle name="Calc Currency (0) 5 2 2 2" xfId="9825"/>
    <cellStyle name="Calc Currency (0) 5 2 2 2 2" xfId="9826"/>
    <cellStyle name="Calc Currency (0) 5 2 2 2 3" xfId="9827"/>
    <cellStyle name="Calc Currency (0) 5 2 2 3" xfId="9828"/>
    <cellStyle name="Calc Currency (0) 5 2 3" xfId="9829"/>
    <cellStyle name="Calc Currency (0) 5 2 4" xfId="9830"/>
    <cellStyle name="Calc Currency (0) 5 2 5" xfId="9831"/>
    <cellStyle name="Calc Currency (0) 5 2 6" xfId="9832"/>
    <cellStyle name="Calc Currency (0) 5 2 7" xfId="9833"/>
    <cellStyle name="Calc Currency (0) 5 2 8" xfId="9834"/>
    <cellStyle name="Calc Currency (0) 5 2 9" xfId="9835"/>
    <cellStyle name="Calc Currency (0) 5 3" xfId="9836"/>
    <cellStyle name="Calc Currency (0) 5 3 2" xfId="9837"/>
    <cellStyle name="Calc Currency (0) 5 3 3" xfId="9838"/>
    <cellStyle name="Calc Currency (0) 5 3 4" xfId="9839"/>
    <cellStyle name="Calc Currency (0) 5 3 5" xfId="9840"/>
    <cellStyle name="Calc Currency (0) 5 3 6" xfId="9841"/>
    <cellStyle name="Calc Currency (0) 5 3 7" xfId="9842"/>
    <cellStyle name="Calc Currency (0) 5 3 8" xfId="9843"/>
    <cellStyle name="Calc Currency (0) 5 3 9" xfId="9844"/>
    <cellStyle name="Calc Currency (0) 5 4" xfId="9845"/>
    <cellStyle name="Calc Currency (0) 5 5" xfId="9846"/>
    <cellStyle name="Calc Currency (0) 5 6" xfId="9847"/>
    <cellStyle name="Calc Currency (0) 5 6 2" xfId="9848"/>
    <cellStyle name="Calc Currency (0) 5 6 3" xfId="9849"/>
    <cellStyle name="Calc Currency (0) 5 6 4" xfId="9850"/>
    <cellStyle name="Calc Currency (0) 5 6 5" xfId="9851"/>
    <cellStyle name="Calc Currency (0) 5 6 6" xfId="9852"/>
    <cellStyle name="Calc Currency (0) 5 6 7" xfId="9853"/>
    <cellStyle name="Calc Currency (0) 5 6 8" xfId="9854"/>
    <cellStyle name="Calc Currency (0) 5 7" xfId="9855"/>
    <cellStyle name="Calc Currency (0) 5 8" xfId="9856"/>
    <cellStyle name="Calc Currency (0) 5 9" xfId="9857"/>
    <cellStyle name="Calc Currency (0) 6" xfId="9858"/>
    <cellStyle name="Calc Currency (0) 6 10" xfId="9859"/>
    <cellStyle name="Calc Currency (0) 6 11" xfId="9860"/>
    <cellStyle name="Calc Currency (0) 6 2" xfId="9861"/>
    <cellStyle name="Calc Currency (0) 6 2 2" xfId="9862"/>
    <cellStyle name="Calc Currency (0) 6 2 3" xfId="9863"/>
    <cellStyle name="Calc Currency (0) 6 2 4" xfId="9864"/>
    <cellStyle name="Calc Currency (0) 6 2 5" xfId="9865"/>
    <cellStyle name="Calc Currency (0) 6 2 6" xfId="9866"/>
    <cellStyle name="Calc Currency (0) 6 2 7" xfId="9867"/>
    <cellStyle name="Calc Currency (0) 6 2 8" xfId="9868"/>
    <cellStyle name="Calc Currency (0) 6 2 9" xfId="9869"/>
    <cellStyle name="Calc Currency (0) 6 3" xfId="9870"/>
    <cellStyle name="Calc Currency (0) 6 3 2" xfId="9871"/>
    <cellStyle name="Calc Currency (0) 6 3 3" xfId="9872"/>
    <cellStyle name="Calc Currency (0) 6 3 4" xfId="9873"/>
    <cellStyle name="Calc Currency (0) 6 3 5" xfId="9874"/>
    <cellStyle name="Calc Currency (0) 6 3 6" xfId="9875"/>
    <cellStyle name="Calc Currency (0) 6 3 7" xfId="9876"/>
    <cellStyle name="Calc Currency (0) 6 3 8" xfId="9877"/>
    <cellStyle name="Calc Currency (0) 6 3 9" xfId="9878"/>
    <cellStyle name="Calc Currency (0) 6 4" xfId="9879"/>
    <cellStyle name="Calc Currency (0) 6 5" xfId="9880"/>
    <cellStyle name="Calc Currency (0) 6 6" xfId="9881"/>
    <cellStyle name="Calc Currency (0) 6 7" xfId="9882"/>
    <cellStyle name="Calc Currency (0) 6 8" xfId="9883"/>
    <cellStyle name="Calc Currency (0) 6 9" xfId="9884"/>
    <cellStyle name="Calc Currency (0) 7" xfId="9885"/>
    <cellStyle name="Calc Currency (0) 7 10" xfId="9886"/>
    <cellStyle name="Calc Currency (0) 7 11" xfId="9887"/>
    <cellStyle name="Calc Currency (0) 7 2" xfId="9888"/>
    <cellStyle name="Calc Currency (0) 7 2 2" xfId="9889"/>
    <cellStyle name="Calc Currency (0) 7 2 3" xfId="9890"/>
    <cellStyle name="Calc Currency (0) 7 2 4" xfId="9891"/>
    <cellStyle name="Calc Currency (0) 7 2 5" xfId="9892"/>
    <cellStyle name="Calc Currency (0) 7 2 6" xfId="9893"/>
    <cellStyle name="Calc Currency (0) 7 2 7" xfId="9894"/>
    <cellStyle name="Calc Currency (0) 7 2 8" xfId="9895"/>
    <cellStyle name="Calc Currency (0) 7 2 9" xfId="9896"/>
    <cellStyle name="Calc Currency (0) 7 3" xfId="9897"/>
    <cellStyle name="Calc Currency (0) 7 3 2" xfId="9898"/>
    <cellStyle name="Calc Currency (0) 7 3 3" xfId="9899"/>
    <cellStyle name="Calc Currency (0) 7 3 4" xfId="9900"/>
    <cellStyle name="Calc Currency (0) 7 3 5" xfId="9901"/>
    <cellStyle name="Calc Currency (0) 7 3 6" xfId="9902"/>
    <cellStyle name="Calc Currency (0) 7 3 7" xfId="9903"/>
    <cellStyle name="Calc Currency (0) 7 3 8" xfId="9904"/>
    <cellStyle name="Calc Currency (0) 7 3 9" xfId="9905"/>
    <cellStyle name="Calc Currency (0) 7 4" xfId="9906"/>
    <cellStyle name="Calc Currency (0) 7 5" xfId="9907"/>
    <cellStyle name="Calc Currency (0) 7 6" xfId="9908"/>
    <cellStyle name="Calc Currency (0) 7 7" xfId="9909"/>
    <cellStyle name="Calc Currency (0) 7 8" xfId="9910"/>
    <cellStyle name="Calc Currency (0) 7 9" xfId="9911"/>
    <cellStyle name="Calc Currency (0) 8" xfId="9912"/>
    <cellStyle name="Calc Currency (0) 8 10" xfId="9913"/>
    <cellStyle name="Calc Currency (0) 8 11" xfId="9914"/>
    <cellStyle name="Calc Currency (0) 8 2" xfId="9915"/>
    <cellStyle name="Calc Currency (0) 8 2 2" xfId="9916"/>
    <cellStyle name="Calc Currency (0) 8 2 3" xfId="9917"/>
    <cellStyle name="Calc Currency (0) 8 2 4" xfId="9918"/>
    <cellStyle name="Calc Currency (0) 8 2 5" xfId="9919"/>
    <cellStyle name="Calc Currency (0) 8 2 6" xfId="9920"/>
    <cellStyle name="Calc Currency (0) 8 2 7" xfId="9921"/>
    <cellStyle name="Calc Currency (0) 8 2 8" xfId="9922"/>
    <cellStyle name="Calc Currency (0) 8 2 9" xfId="9923"/>
    <cellStyle name="Calc Currency (0) 8 3" xfId="9924"/>
    <cellStyle name="Calc Currency (0) 8 3 2" xfId="9925"/>
    <cellStyle name="Calc Currency (0) 8 3 3" xfId="9926"/>
    <cellStyle name="Calc Currency (0) 8 3 4" xfId="9927"/>
    <cellStyle name="Calc Currency (0) 8 3 5" xfId="9928"/>
    <cellStyle name="Calc Currency (0) 8 3 6" xfId="9929"/>
    <cellStyle name="Calc Currency (0) 8 3 7" xfId="9930"/>
    <cellStyle name="Calc Currency (0) 8 3 8" xfId="9931"/>
    <cellStyle name="Calc Currency (0) 8 3 9" xfId="9932"/>
    <cellStyle name="Calc Currency (0) 8 4" xfId="9933"/>
    <cellStyle name="Calc Currency (0) 8 5" xfId="9934"/>
    <cellStyle name="Calc Currency (0) 8 6" xfId="9935"/>
    <cellStyle name="Calc Currency (0) 8 7" xfId="9936"/>
    <cellStyle name="Calc Currency (0) 8 8" xfId="9937"/>
    <cellStyle name="Calc Currency (0) 8 9" xfId="9938"/>
    <cellStyle name="Calc Currency (0) 9" xfId="9939"/>
    <cellStyle name="Calc Currency (0) 9 10" xfId="9940"/>
    <cellStyle name="Calc Currency (0) 9 11" xfId="9941"/>
    <cellStyle name="Calc Currency (0) 9 2" xfId="9942"/>
    <cellStyle name="Calc Currency (0) 9 2 10" xfId="9943"/>
    <cellStyle name="Calc Currency (0) 9 2 11" xfId="9944"/>
    <cellStyle name="Calc Currency (0) 9 2 12" xfId="9945"/>
    <cellStyle name="Calc Currency (0) 9 2 13" xfId="9946"/>
    <cellStyle name="Calc Currency (0) 9 2 14" xfId="9947"/>
    <cellStyle name="Calc Currency (0) 9 2 15" xfId="9948"/>
    <cellStyle name="Calc Currency (0) 9 2 16" xfId="9949"/>
    <cellStyle name="Calc Currency (0) 9 2 2" xfId="9950"/>
    <cellStyle name="Calc Currency (0) 9 2 3" xfId="9951"/>
    <cellStyle name="Calc Currency (0) 9 2 4" xfId="9952"/>
    <cellStyle name="Calc Currency (0) 9 2 5" xfId="9953"/>
    <cellStyle name="Calc Currency (0) 9 2 6" xfId="9954"/>
    <cellStyle name="Calc Currency (0) 9 2 7" xfId="9955"/>
    <cellStyle name="Calc Currency (0) 9 2 8" xfId="9956"/>
    <cellStyle name="Calc Currency (0) 9 2 9" xfId="9957"/>
    <cellStyle name="Calc Currency (0) 9 3" xfId="9958"/>
    <cellStyle name="Calc Currency (0) 9 3 2" xfId="9959"/>
    <cellStyle name="Calc Currency (0) 9 3 3" xfId="9960"/>
    <cellStyle name="Calc Currency (0) 9 3 4" xfId="9961"/>
    <cellStyle name="Calc Currency (0) 9 3 5" xfId="9962"/>
    <cellStyle name="Calc Currency (0) 9 3 6" xfId="9963"/>
    <cellStyle name="Calc Currency (0) 9 3 7" xfId="9964"/>
    <cellStyle name="Calc Currency (0) 9 3 8" xfId="9965"/>
    <cellStyle name="Calc Currency (0) 9 3 9" xfId="9966"/>
    <cellStyle name="Calc Currency (0) 9 4" xfId="9967"/>
    <cellStyle name="Calc Currency (0) 9 4 2" xfId="9968"/>
    <cellStyle name="Calc Currency (0) 9 4 3" xfId="9969"/>
    <cellStyle name="Calc Currency (0) 9 4 4" xfId="9970"/>
    <cellStyle name="Calc Currency (0) 9 4 5" xfId="9971"/>
    <cellStyle name="Calc Currency (0) 9 4 6" xfId="9972"/>
    <cellStyle name="Calc Currency (0) 9 4 7" xfId="9973"/>
    <cellStyle name="Calc Currency (0) 9 4 8" xfId="9974"/>
    <cellStyle name="Calc Currency (0) 9 5" xfId="9975"/>
    <cellStyle name="Calc Currency (0) 9 6" xfId="9976"/>
    <cellStyle name="Calc Currency (0) 9 7" xfId="9977"/>
    <cellStyle name="Calc Currency (0) 9 8" xfId="9978"/>
    <cellStyle name="Calc Currency (0) 9 9" xfId="9979"/>
    <cellStyle name="Calc Currency (2)" xfId="9980"/>
    <cellStyle name="Calc Currency (2) 10" xfId="9981"/>
    <cellStyle name="Calc Currency (2) 11" xfId="9982"/>
    <cellStyle name="Calc Currency (2) 11 2" xfId="9983"/>
    <cellStyle name="Calc Currency (2) 11 2 2" xfId="9984"/>
    <cellStyle name="Calc Currency (2) 11 2 3" xfId="9985"/>
    <cellStyle name="Calc Currency (2) 11 2 4" xfId="9986"/>
    <cellStyle name="Calc Currency (2) 11 2 5" xfId="9987"/>
    <cellStyle name="Calc Currency (2) 11 2 6" xfId="9988"/>
    <cellStyle name="Calc Currency (2) 11 2 7" xfId="9989"/>
    <cellStyle name="Calc Currency (2) 11 2 8" xfId="9990"/>
    <cellStyle name="Calc Currency (2) 11 3" xfId="9991"/>
    <cellStyle name="Calc Currency (2) 11 4" xfId="9992"/>
    <cellStyle name="Calc Currency (2) 11 5" xfId="9993"/>
    <cellStyle name="Calc Currency (2) 11 6" xfId="9994"/>
    <cellStyle name="Calc Currency (2) 11 7" xfId="9995"/>
    <cellStyle name="Calc Currency (2) 11 8" xfId="9996"/>
    <cellStyle name="Calc Currency (2) 12" xfId="9997"/>
    <cellStyle name="Calc Currency (2) 12 2" xfId="9998"/>
    <cellStyle name="Calc Currency (2) 12 3" xfId="9999"/>
    <cellStyle name="Calc Currency (2) 12 4" xfId="10000"/>
    <cellStyle name="Calc Currency (2) 12 5" xfId="10001"/>
    <cellStyle name="Calc Currency (2) 12 6" xfId="10002"/>
    <cellStyle name="Calc Currency (2) 12 7" xfId="10003"/>
    <cellStyle name="Calc Currency (2) 12 8" xfId="10004"/>
    <cellStyle name="Calc Currency (2) 13" xfId="10005"/>
    <cellStyle name="Calc Currency (2) 14" xfId="10006"/>
    <cellStyle name="Calc Currency (2) 15" xfId="10007"/>
    <cellStyle name="Calc Currency (2) 16" xfId="10008"/>
    <cellStyle name="Calc Currency (2) 17" xfId="10009"/>
    <cellStyle name="Calc Currency (2) 18" xfId="10010"/>
    <cellStyle name="Calc Currency (2) 19" xfId="10011"/>
    <cellStyle name="Calc Currency (2) 2" xfId="10012"/>
    <cellStyle name="Calc Currency (2) 2 10" xfId="10013"/>
    <cellStyle name="Calc Currency (2) 2 10 2" xfId="10014"/>
    <cellStyle name="Calc Currency (2) 2 10 3" xfId="10015"/>
    <cellStyle name="Calc Currency (2) 2 10 4" xfId="10016"/>
    <cellStyle name="Calc Currency (2) 2 10 5" xfId="10017"/>
    <cellStyle name="Calc Currency (2) 2 10 6" xfId="10018"/>
    <cellStyle name="Calc Currency (2) 2 10 7" xfId="10019"/>
    <cellStyle name="Calc Currency (2) 2 10 8" xfId="10020"/>
    <cellStyle name="Calc Currency (2) 2 10 9" xfId="10021"/>
    <cellStyle name="Calc Currency (2) 2 11" xfId="10022"/>
    <cellStyle name="Calc Currency (2) 2 11 2" xfId="10023"/>
    <cellStyle name="Calc Currency (2) 2 11 2 2" xfId="10024"/>
    <cellStyle name="Calc Currency (2) 2 11 2 3" xfId="10025"/>
    <cellStyle name="Calc Currency (2) 2 11 2 4" xfId="10026"/>
    <cellStyle name="Calc Currency (2) 2 11 2 5" xfId="10027"/>
    <cellStyle name="Calc Currency (2) 2 11 2 6" xfId="10028"/>
    <cellStyle name="Calc Currency (2) 2 11 2 7" xfId="10029"/>
    <cellStyle name="Calc Currency (2) 2 11 2 8" xfId="10030"/>
    <cellStyle name="Calc Currency (2) 2 11 3" xfId="10031"/>
    <cellStyle name="Calc Currency (2) 2 11 4" xfId="10032"/>
    <cellStyle name="Calc Currency (2) 2 11 5" xfId="10033"/>
    <cellStyle name="Calc Currency (2) 2 11 6" xfId="10034"/>
    <cellStyle name="Calc Currency (2) 2 11 7" xfId="10035"/>
    <cellStyle name="Calc Currency (2) 2 11 8" xfId="10036"/>
    <cellStyle name="Calc Currency (2) 2 11 9" xfId="10037"/>
    <cellStyle name="Calc Currency (2) 2 12" xfId="10038"/>
    <cellStyle name="Calc Currency (2) 2 13" xfId="10039"/>
    <cellStyle name="Calc Currency (2) 2 14" xfId="10040"/>
    <cellStyle name="Calc Currency (2) 2 15" xfId="10041"/>
    <cellStyle name="Calc Currency (2) 2 16" xfId="10042"/>
    <cellStyle name="Calc Currency (2) 2 17" xfId="10043"/>
    <cellStyle name="Calc Currency (2) 2 18" xfId="10044"/>
    <cellStyle name="Calc Currency (2) 2 19" xfId="10045"/>
    <cellStyle name="Calc Currency (2) 2 2" xfId="10046"/>
    <cellStyle name="Calc Currency (2) 2 2 10" xfId="10047"/>
    <cellStyle name="Calc Currency (2) 2 2 11" xfId="10048"/>
    <cellStyle name="Calc Currency (2) 2 2 12" xfId="10049"/>
    <cellStyle name="Calc Currency (2) 2 2 13" xfId="10050"/>
    <cellStyle name="Calc Currency (2) 2 2 14" xfId="10051"/>
    <cellStyle name="Calc Currency (2) 2 2 15" xfId="10052"/>
    <cellStyle name="Calc Currency (2) 2 2 16" xfId="10053"/>
    <cellStyle name="Calc Currency (2) 2 2 17" xfId="10054"/>
    <cellStyle name="Calc Currency (2) 2 2 2" xfId="10055"/>
    <cellStyle name="Calc Currency (2) 2 2 2 10" xfId="10056"/>
    <cellStyle name="Calc Currency (2) 2 2 2 11" xfId="10057"/>
    <cellStyle name="Calc Currency (2) 2 2 2 12" xfId="10058"/>
    <cellStyle name="Calc Currency (2) 2 2 2 13" xfId="10059"/>
    <cellStyle name="Calc Currency (2) 2 2 2 14" xfId="10060"/>
    <cellStyle name="Calc Currency (2) 2 2 2 15" xfId="10061"/>
    <cellStyle name="Calc Currency (2) 2 2 2 2" xfId="10062"/>
    <cellStyle name="Calc Currency (2) 2 2 2 2 2" xfId="10063"/>
    <cellStyle name="Calc Currency (2) 2 2 2 2 3" xfId="10064"/>
    <cellStyle name="Calc Currency (2) 2 2 2 2 4" xfId="10065"/>
    <cellStyle name="Calc Currency (2) 2 2 2 2 5" xfId="10066"/>
    <cellStyle name="Calc Currency (2) 2 2 2 2 6" xfId="10067"/>
    <cellStyle name="Calc Currency (2) 2 2 2 2 7" xfId="10068"/>
    <cellStyle name="Calc Currency (2) 2 2 2 2 8" xfId="10069"/>
    <cellStyle name="Calc Currency (2) 2 2 2 3" xfId="10070"/>
    <cellStyle name="Calc Currency (2) 2 2 2 4" xfId="10071"/>
    <cellStyle name="Calc Currency (2) 2 2 2 5" xfId="10072"/>
    <cellStyle name="Calc Currency (2) 2 2 2 6" xfId="10073"/>
    <cellStyle name="Calc Currency (2) 2 2 2 7" xfId="10074"/>
    <cellStyle name="Calc Currency (2) 2 2 2 8" xfId="10075"/>
    <cellStyle name="Calc Currency (2) 2 2 2 9" xfId="10076"/>
    <cellStyle name="Calc Currency (2) 2 2 3" xfId="10077"/>
    <cellStyle name="Calc Currency (2) 2 2 3 2" xfId="10078"/>
    <cellStyle name="Calc Currency (2) 2 2 3 3" xfId="10079"/>
    <cellStyle name="Calc Currency (2) 2 2 3 4" xfId="10080"/>
    <cellStyle name="Calc Currency (2) 2 2 3 5" xfId="10081"/>
    <cellStyle name="Calc Currency (2) 2 2 3 6" xfId="10082"/>
    <cellStyle name="Calc Currency (2) 2 2 3 7" xfId="10083"/>
    <cellStyle name="Calc Currency (2) 2 2 3 8" xfId="10084"/>
    <cellStyle name="Calc Currency (2) 2 2 4" xfId="10085"/>
    <cellStyle name="Calc Currency (2) 2 2 5" xfId="10086"/>
    <cellStyle name="Calc Currency (2) 2 2 6" xfId="10087"/>
    <cellStyle name="Calc Currency (2) 2 2 7" xfId="10088"/>
    <cellStyle name="Calc Currency (2) 2 2 8" xfId="10089"/>
    <cellStyle name="Calc Currency (2) 2 2 9" xfId="10090"/>
    <cellStyle name="Calc Currency (2) 2 3" xfId="10091"/>
    <cellStyle name="Calc Currency (2) 2 3 2" xfId="10092"/>
    <cellStyle name="Calc Currency (2) 2 3 3" xfId="10093"/>
    <cellStyle name="Calc Currency (2) 2 3 4" xfId="10094"/>
    <cellStyle name="Calc Currency (2) 2 3 5" xfId="10095"/>
    <cellStyle name="Calc Currency (2) 2 3 6" xfId="10096"/>
    <cellStyle name="Calc Currency (2) 2 3 7" xfId="10097"/>
    <cellStyle name="Calc Currency (2) 2 3 8" xfId="10098"/>
    <cellStyle name="Calc Currency (2) 2 4" xfId="10099"/>
    <cellStyle name="Calc Currency (2) 2 4 2" xfId="10100"/>
    <cellStyle name="Calc Currency (2) 2 4 3" xfId="10101"/>
    <cellStyle name="Calc Currency (2) 2 4 4" xfId="10102"/>
    <cellStyle name="Calc Currency (2) 2 4 5" xfId="10103"/>
    <cellStyle name="Calc Currency (2) 2 4 6" xfId="10104"/>
    <cellStyle name="Calc Currency (2) 2 4 7" xfId="10105"/>
    <cellStyle name="Calc Currency (2) 2 4 8" xfId="10106"/>
    <cellStyle name="Calc Currency (2) 2 5" xfId="10107"/>
    <cellStyle name="Calc Currency (2) 2 5 2" xfId="10108"/>
    <cellStyle name="Calc Currency (2) 2 5 3" xfId="10109"/>
    <cellStyle name="Calc Currency (2) 2 5 4" xfId="10110"/>
    <cellStyle name="Calc Currency (2) 2 5 5" xfId="10111"/>
    <cellStyle name="Calc Currency (2) 2 5 6" xfId="10112"/>
    <cellStyle name="Calc Currency (2) 2 5 7" xfId="10113"/>
    <cellStyle name="Calc Currency (2) 2 5 8" xfId="10114"/>
    <cellStyle name="Calc Currency (2) 2 6" xfId="10115"/>
    <cellStyle name="Calc Currency (2) 2 6 2" xfId="10116"/>
    <cellStyle name="Calc Currency (2) 2 6 3" xfId="10117"/>
    <cellStyle name="Calc Currency (2) 2 6 4" xfId="10118"/>
    <cellStyle name="Calc Currency (2) 2 6 5" xfId="10119"/>
    <cellStyle name="Calc Currency (2) 2 6 6" xfId="10120"/>
    <cellStyle name="Calc Currency (2) 2 6 7" xfId="10121"/>
    <cellStyle name="Calc Currency (2) 2 6 8" xfId="10122"/>
    <cellStyle name="Calc Currency (2) 2 7" xfId="10123"/>
    <cellStyle name="Calc Currency (2) 2 7 2" xfId="10124"/>
    <cellStyle name="Calc Currency (2) 2 7 3" xfId="10125"/>
    <cellStyle name="Calc Currency (2) 2 7 4" xfId="10126"/>
    <cellStyle name="Calc Currency (2) 2 7 5" xfId="10127"/>
    <cellStyle name="Calc Currency (2) 2 7 6" xfId="10128"/>
    <cellStyle name="Calc Currency (2) 2 7 7" xfId="10129"/>
    <cellStyle name="Calc Currency (2) 2 7 8" xfId="10130"/>
    <cellStyle name="Calc Currency (2) 2 8" xfId="10131"/>
    <cellStyle name="Calc Currency (2) 2 8 2" xfId="10132"/>
    <cellStyle name="Calc Currency (2) 2 8 3" xfId="10133"/>
    <cellStyle name="Calc Currency (2) 2 8 4" xfId="10134"/>
    <cellStyle name="Calc Currency (2) 2 8 5" xfId="10135"/>
    <cellStyle name="Calc Currency (2) 2 8 6" xfId="10136"/>
    <cellStyle name="Calc Currency (2) 2 8 7" xfId="10137"/>
    <cellStyle name="Calc Currency (2) 2 8 8" xfId="10138"/>
    <cellStyle name="Calc Currency (2) 2 9" xfId="10139"/>
    <cellStyle name="Calc Currency (2) 2 9 2" xfId="10140"/>
    <cellStyle name="Calc Currency (2) 2 9 3" xfId="10141"/>
    <cellStyle name="Calc Currency (2) 2 9 4" xfId="10142"/>
    <cellStyle name="Calc Currency (2) 2 9 5" xfId="10143"/>
    <cellStyle name="Calc Currency (2) 2 9 6" xfId="10144"/>
    <cellStyle name="Calc Currency (2) 2 9 7" xfId="10145"/>
    <cellStyle name="Calc Currency (2) 2 9 8" xfId="10146"/>
    <cellStyle name="Calc Currency (2) 2 9 9" xfId="10147"/>
    <cellStyle name="Calc Currency (2) 20" xfId="10148"/>
    <cellStyle name="Calc Currency (2) 21" xfId="10149"/>
    <cellStyle name="Calc Currency (2) 22" xfId="10150"/>
    <cellStyle name="Calc Currency (2) 23" xfId="10151"/>
    <cellStyle name="Calc Currency (2) 24" xfId="10152"/>
    <cellStyle name="Calc Currency (2) 25" xfId="10153"/>
    <cellStyle name="Calc Currency (2) 26" xfId="10154"/>
    <cellStyle name="Calc Currency (2) 27" xfId="10155"/>
    <cellStyle name="Calc Currency (2) 28" xfId="10156"/>
    <cellStyle name="Calc Currency (2) 29" xfId="10157"/>
    <cellStyle name="Calc Currency (2) 3" xfId="10158"/>
    <cellStyle name="Calc Currency (2) 30" xfId="10159"/>
    <cellStyle name="Calc Currency (2) 31" xfId="10160"/>
    <cellStyle name="Calc Currency (2) 32" xfId="10161"/>
    <cellStyle name="Calc Currency (2) 33" xfId="10162"/>
    <cellStyle name="Calc Currency (2) 34" xfId="10163"/>
    <cellStyle name="Calc Currency (2) 35" xfId="10164"/>
    <cellStyle name="Calc Currency (2) 36" xfId="10165"/>
    <cellStyle name="Calc Currency (2) 4" xfId="10166"/>
    <cellStyle name="Calc Currency (2) 5" xfId="10167"/>
    <cellStyle name="Calc Currency (2) 6" xfId="10168"/>
    <cellStyle name="Calc Currency (2) 7" xfId="10169"/>
    <cellStyle name="Calc Currency (2) 8" xfId="10170"/>
    <cellStyle name="Calc Currency (2) 8 2" xfId="10171"/>
    <cellStyle name="Calc Currency (2) 8 3" xfId="10172"/>
    <cellStyle name="Calc Currency (2) 8 4" xfId="10173"/>
    <cellStyle name="Calc Currency (2) 8 5" xfId="10174"/>
    <cellStyle name="Calc Currency (2) 8 6" xfId="10175"/>
    <cellStyle name="Calc Currency (2) 8 7" xfId="10176"/>
    <cellStyle name="Calc Currency (2) 8 8" xfId="10177"/>
    <cellStyle name="Calc Currency (2) 9" xfId="10178"/>
    <cellStyle name="Calc Percent (0)" xfId="10179"/>
    <cellStyle name="Calc Percent (0) 10" xfId="10180"/>
    <cellStyle name="Calc Percent (0) 11" xfId="10181"/>
    <cellStyle name="Calc Percent (0) 11 2" xfId="10182"/>
    <cellStyle name="Calc Percent (0) 11 2 2" xfId="10183"/>
    <cellStyle name="Calc Percent (0) 11 2 3" xfId="10184"/>
    <cellStyle name="Calc Percent (0) 11 2 4" xfId="10185"/>
    <cellStyle name="Calc Percent (0) 11 2 5" xfId="10186"/>
    <cellStyle name="Calc Percent (0) 11 2 6" xfId="10187"/>
    <cellStyle name="Calc Percent (0) 11 2 7" xfId="10188"/>
    <cellStyle name="Calc Percent (0) 11 2 8" xfId="10189"/>
    <cellStyle name="Calc Percent (0) 11 3" xfId="10190"/>
    <cellStyle name="Calc Percent (0) 11 4" xfId="10191"/>
    <cellStyle name="Calc Percent (0) 11 5" xfId="10192"/>
    <cellStyle name="Calc Percent (0) 11 6" xfId="10193"/>
    <cellStyle name="Calc Percent (0) 11 7" xfId="10194"/>
    <cellStyle name="Calc Percent (0) 11 8" xfId="10195"/>
    <cellStyle name="Calc Percent (0) 12" xfId="10196"/>
    <cellStyle name="Calc Percent (0) 12 2" xfId="10197"/>
    <cellStyle name="Calc Percent (0) 12 3" xfId="10198"/>
    <cellStyle name="Calc Percent (0) 12 4" xfId="10199"/>
    <cellStyle name="Calc Percent (0) 12 5" xfId="10200"/>
    <cellStyle name="Calc Percent (0) 12 6" xfId="10201"/>
    <cellStyle name="Calc Percent (0) 12 7" xfId="10202"/>
    <cellStyle name="Calc Percent (0) 12 8" xfId="10203"/>
    <cellStyle name="Calc Percent (0) 13" xfId="10204"/>
    <cellStyle name="Calc Percent (0) 14" xfId="10205"/>
    <cellStyle name="Calc Percent (0) 15" xfId="10206"/>
    <cellStyle name="Calc Percent (0) 16" xfId="10207"/>
    <cellStyle name="Calc Percent (0) 17" xfId="10208"/>
    <cellStyle name="Calc Percent (0) 18" xfId="10209"/>
    <cellStyle name="Calc Percent (0) 19" xfId="10210"/>
    <cellStyle name="Calc Percent (0) 2" xfId="10211"/>
    <cellStyle name="Calc Percent (0) 2 10" xfId="10212"/>
    <cellStyle name="Calc Percent (0) 2 10 2" xfId="10213"/>
    <cellStyle name="Calc Percent (0) 2 10 3" xfId="10214"/>
    <cellStyle name="Calc Percent (0) 2 10 4" xfId="10215"/>
    <cellStyle name="Calc Percent (0) 2 10 5" xfId="10216"/>
    <cellStyle name="Calc Percent (0) 2 10 6" xfId="10217"/>
    <cellStyle name="Calc Percent (0) 2 10 7" xfId="10218"/>
    <cellStyle name="Calc Percent (0) 2 10 8" xfId="10219"/>
    <cellStyle name="Calc Percent (0) 2 10 9" xfId="10220"/>
    <cellStyle name="Calc Percent (0) 2 11" xfId="10221"/>
    <cellStyle name="Calc Percent (0) 2 11 2" xfId="10222"/>
    <cellStyle name="Calc Percent (0) 2 11 2 2" xfId="10223"/>
    <cellStyle name="Calc Percent (0) 2 11 2 3" xfId="10224"/>
    <cellStyle name="Calc Percent (0) 2 11 2 4" xfId="10225"/>
    <cellStyle name="Calc Percent (0) 2 11 2 5" xfId="10226"/>
    <cellStyle name="Calc Percent (0) 2 11 2 6" xfId="10227"/>
    <cellStyle name="Calc Percent (0) 2 11 2 7" xfId="10228"/>
    <cellStyle name="Calc Percent (0) 2 11 2 8" xfId="10229"/>
    <cellStyle name="Calc Percent (0) 2 11 3" xfId="10230"/>
    <cellStyle name="Calc Percent (0) 2 11 4" xfId="10231"/>
    <cellStyle name="Calc Percent (0) 2 11 5" xfId="10232"/>
    <cellStyle name="Calc Percent (0) 2 11 6" xfId="10233"/>
    <cellStyle name="Calc Percent (0) 2 11 7" xfId="10234"/>
    <cellStyle name="Calc Percent (0) 2 11 8" xfId="10235"/>
    <cellStyle name="Calc Percent (0) 2 11 9" xfId="10236"/>
    <cellStyle name="Calc Percent (0) 2 12" xfId="10237"/>
    <cellStyle name="Calc Percent (0) 2 13" xfId="10238"/>
    <cellStyle name="Calc Percent (0) 2 14" xfId="10239"/>
    <cellStyle name="Calc Percent (0) 2 15" xfId="10240"/>
    <cellStyle name="Calc Percent (0) 2 16" xfId="10241"/>
    <cellStyle name="Calc Percent (0) 2 17" xfId="10242"/>
    <cellStyle name="Calc Percent (0) 2 18" xfId="10243"/>
    <cellStyle name="Calc Percent (0) 2 19" xfId="10244"/>
    <cellStyle name="Calc Percent (0) 2 2" xfId="10245"/>
    <cellStyle name="Calc Percent (0) 2 2 10" xfId="10246"/>
    <cellStyle name="Calc Percent (0) 2 2 11" xfId="10247"/>
    <cellStyle name="Calc Percent (0) 2 2 12" xfId="10248"/>
    <cellStyle name="Calc Percent (0) 2 2 13" xfId="10249"/>
    <cellStyle name="Calc Percent (0) 2 2 14" xfId="10250"/>
    <cellStyle name="Calc Percent (0) 2 2 15" xfId="10251"/>
    <cellStyle name="Calc Percent (0) 2 2 16" xfId="10252"/>
    <cellStyle name="Calc Percent (0) 2 2 17" xfId="10253"/>
    <cellStyle name="Calc Percent (0) 2 2 2" xfId="10254"/>
    <cellStyle name="Calc Percent (0) 2 2 2 10" xfId="10255"/>
    <cellStyle name="Calc Percent (0) 2 2 2 11" xfId="10256"/>
    <cellStyle name="Calc Percent (0) 2 2 2 12" xfId="10257"/>
    <cellStyle name="Calc Percent (0) 2 2 2 13" xfId="10258"/>
    <cellStyle name="Calc Percent (0) 2 2 2 14" xfId="10259"/>
    <cellStyle name="Calc Percent (0) 2 2 2 15" xfId="10260"/>
    <cellStyle name="Calc Percent (0) 2 2 2 2" xfId="10261"/>
    <cellStyle name="Calc Percent (0) 2 2 2 2 2" xfId="10262"/>
    <cellStyle name="Calc Percent (0) 2 2 2 2 3" xfId="10263"/>
    <cellStyle name="Calc Percent (0) 2 2 2 2 4" xfId="10264"/>
    <cellStyle name="Calc Percent (0) 2 2 2 2 5" xfId="10265"/>
    <cellStyle name="Calc Percent (0) 2 2 2 2 6" xfId="10266"/>
    <cellStyle name="Calc Percent (0) 2 2 2 2 7" xfId="10267"/>
    <cellStyle name="Calc Percent (0) 2 2 2 2 8" xfId="10268"/>
    <cellStyle name="Calc Percent (0) 2 2 2 3" xfId="10269"/>
    <cellStyle name="Calc Percent (0) 2 2 2 4" xfId="10270"/>
    <cellStyle name="Calc Percent (0) 2 2 2 5" xfId="10271"/>
    <cellStyle name="Calc Percent (0) 2 2 2 6" xfId="10272"/>
    <cellStyle name="Calc Percent (0) 2 2 2 7" xfId="10273"/>
    <cellStyle name="Calc Percent (0) 2 2 2 8" xfId="10274"/>
    <cellStyle name="Calc Percent (0) 2 2 2 9" xfId="10275"/>
    <cellStyle name="Calc Percent (0) 2 2 3" xfId="10276"/>
    <cellStyle name="Calc Percent (0) 2 2 3 2" xfId="10277"/>
    <cellStyle name="Calc Percent (0) 2 2 3 3" xfId="10278"/>
    <cellStyle name="Calc Percent (0) 2 2 3 4" xfId="10279"/>
    <cellStyle name="Calc Percent (0) 2 2 3 5" xfId="10280"/>
    <cellStyle name="Calc Percent (0) 2 2 3 6" xfId="10281"/>
    <cellStyle name="Calc Percent (0) 2 2 3 7" xfId="10282"/>
    <cellStyle name="Calc Percent (0) 2 2 3 8" xfId="10283"/>
    <cellStyle name="Calc Percent (0) 2 2 4" xfId="10284"/>
    <cellStyle name="Calc Percent (0) 2 2 5" xfId="10285"/>
    <cellStyle name="Calc Percent (0) 2 2 6" xfId="10286"/>
    <cellStyle name="Calc Percent (0) 2 2 7" xfId="10287"/>
    <cellStyle name="Calc Percent (0) 2 2 8" xfId="10288"/>
    <cellStyle name="Calc Percent (0) 2 2 9" xfId="10289"/>
    <cellStyle name="Calc Percent (0) 2 3" xfId="10290"/>
    <cellStyle name="Calc Percent (0) 2 3 2" xfId="10291"/>
    <cellStyle name="Calc Percent (0) 2 3 3" xfId="10292"/>
    <cellStyle name="Calc Percent (0) 2 3 4" xfId="10293"/>
    <cellStyle name="Calc Percent (0) 2 3 5" xfId="10294"/>
    <cellStyle name="Calc Percent (0) 2 3 6" xfId="10295"/>
    <cellStyle name="Calc Percent (0) 2 3 7" xfId="10296"/>
    <cellStyle name="Calc Percent (0) 2 3 8" xfId="10297"/>
    <cellStyle name="Calc Percent (0) 2 4" xfId="10298"/>
    <cellStyle name="Calc Percent (0) 2 4 2" xfId="10299"/>
    <cellStyle name="Calc Percent (0) 2 4 3" xfId="10300"/>
    <cellStyle name="Calc Percent (0) 2 4 4" xfId="10301"/>
    <cellStyle name="Calc Percent (0) 2 4 5" xfId="10302"/>
    <cellStyle name="Calc Percent (0) 2 4 6" xfId="10303"/>
    <cellStyle name="Calc Percent (0) 2 4 7" xfId="10304"/>
    <cellStyle name="Calc Percent (0) 2 4 8" xfId="10305"/>
    <cellStyle name="Calc Percent (0) 2 5" xfId="10306"/>
    <cellStyle name="Calc Percent (0) 2 5 2" xfId="10307"/>
    <cellStyle name="Calc Percent (0) 2 5 3" xfId="10308"/>
    <cellStyle name="Calc Percent (0) 2 5 4" xfId="10309"/>
    <cellStyle name="Calc Percent (0) 2 5 5" xfId="10310"/>
    <cellStyle name="Calc Percent (0) 2 5 6" xfId="10311"/>
    <cellStyle name="Calc Percent (0) 2 5 7" xfId="10312"/>
    <cellStyle name="Calc Percent (0) 2 5 8" xfId="10313"/>
    <cellStyle name="Calc Percent (0) 2 6" xfId="10314"/>
    <cellStyle name="Calc Percent (0) 2 6 2" xfId="10315"/>
    <cellStyle name="Calc Percent (0) 2 6 3" xfId="10316"/>
    <cellStyle name="Calc Percent (0) 2 6 4" xfId="10317"/>
    <cellStyle name="Calc Percent (0) 2 6 5" xfId="10318"/>
    <cellStyle name="Calc Percent (0) 2 6 6" xfId="10319"/>
    <cellStyle name="Calc Percent (0) 2 6 7" xfId="10320"/>
    <cellStyle name="Calc Percent (0) 2 6 8" xfId="10321"/>
    <cellStyle name="Calc Percent (0) 2 7" xfId="10322"/>
    <cellStyle name="Calc Percent (0) 2 7 2" xfId="10323"/>
    <cellStyle name="Calc Percent (0) 2 7 3" xfId="10324"/>
    <cellStyle name="Calc Percent (0) 2 7 4" xfId="10325"/>
    <cellStyle name="Calc Percent (0) 2 7 5" xfId="10326"/>
    <cellStyle name="Calc Percent (0) 2 7 6" xfId="10327"/>
    <cellStyle name="Calc Percent (0) 2 7 7" xfId="10328"/>
    <cellStyle name="Calc Percent (0) 2 7 8" xfId="10329"/>
    <cellStyle name="Calc Percent (0) 2 8" xfId="10330"/>
    <cellStyle name="Calc Percent (0) 2 8 2" xfId="10331"/>
    <cellStyle name="Calc Percent (0) 2 8 3" xfId="10332"/>
    <cellStyle name="Calc Percent (0) 2 8 4" xfId="10333"/>
    <cellStyle name="Calc Percent (0) 2 8 5" xfId="10334"/>
    <cellStyle name="Calc Percent (0) 2 8 6" xfId="10335"/>
    <cellStyle name="Calc Percent (0) 2 8 7" xfId="10336"/>
    <cellStyle name="Calc Percent (0) 2 8 8" xfId="10337"/>
    <cellStyle name="Calc Percent (0) 2 9" xfId="10338"/>
    <cellStyle name="Calc Percent (0) 2 9 2" xfId="10339"/>
    <cellStyle name="Calc Percent (0) 2 9 3" xfId="10340"/>
    <cellStyle name="Calc Percent (0) 2 9 4" xfId="10341"/>
    <cellStyle name="Calc Percent (0) 2 9 5" xfId="10342"/>
    <cellStyle name="Calc Percent (0) 2 9 6" xfId="10343"/>
    <cellStyle name="Calc Percent (0) 2 9 7" xfId="10344"/>
    <cellStyle name="Calc Percent (0) 2 9 8" xfId="10345"/>
    <cellStyle name="Calc Percent (0) 2 9 9" xfId="10346"/>
    <cellStyle name="Calc Percent (0) 20" xfId="10347"/>
    <cellStyle name="Calc Percent (0) 21" xfId="10348"/>
    <cellStyle name="Calc Percent (0) 22" xfId="10349"/>
    <cellStyle name="Calc Percent (0) 23" xfId="10350"/>
    <cellStyle name="Calc Percent (0) 24" xfId="10351"/>
    <cellStyle name="Calc Percent (0) 25" xfId="10352"/>
    <cellStyle name="Calc Percent (0) 26" xfId="10353"/>
    <cellStyle name="Calc Percent (0) 27" xfId="10354"/>
    <cellStyle name="Calc Percent (0) 28" xfId="10355"/>
    <cellStyle name="Calc Percent (0) 29" xfId="10356"/>
    <cellStyle name="Calc Percent (0) 3" xfId="10357"/>
    <cellStyle name="Calc Percent (0) 30" xfId="10358"/>
    <cellStyle name="Calc Percent (0) 31" xfId="10359"/>
    <cellStyle name="Calc Percent (0) 32" xfId="10360"/>
    <cellStyle name="Calc Percent (0) 33" xfId="10361"/>
    <cellStyle name="Calc Percent (0) 34" xfId="10362"/>
    <cellStyle name="Calc Percent (0) 35" xfId="10363"/>
    <cellStyle name="Calc Percent (0) 36" xfId="10364"/>
    <cellStyle name="Calc Percent (0) 4" xfId="10365"/>
    <cellStyle name="Calc Percent (0) 5" xfId="10366"/>
    <cellStyle name="Calc Percent (0) 6" xfId="10367"/>
    <cellStyle name="Calc Percent (0) 7" xfId="10368"/>
    <cellStyle name="Calc Percent (0) 8" xfId="10369"/>
    <cellStyle name="Calc Percent (0) 8 2" xfId="10370"/>
    <cellStyle name="Calc Percent (0) 8 3" xfId="10371"/>
    <cellStyle name="Calc Percent (0) 8 4" xfId="10372"/>
    <cellStyle name="Calc Percent (0) 8 5" xfId="10373"/>
    <cellStyle name="Calc Percent (0) 8 6" xfId="10374"/>
    <cellStyle name="Calc Percent (0) 8 7" xfId="10375"/>
    <cellStyle name="Calc Percent (0) 8 8" xfId="10376"/>
    <cellStyle name="Calc Percent (0) 9" xfId="10377"/>
    <cellStyle name="Calc Percent (1)" xfId="10378"/>
    <cellStyle name="Calc Percent (1) 10" xfId="10379"/>
    <cellStyle name="Calc Percent (1) 10 10" xfId="10380"/>
    <cellStyle name="Calc Percent (1) 10 11" xfId="10381"/>
    <cellStyle name="Calc Percent (1) 10 2" xfId="10382"/>
    <cellStyle name="Calc Percent (1) 10 2 2" xfId="10383"/>
    <cellStyle name="Calc Percent (1) 10 2 3" xfId="10384"/>
    <cellStyle name="Calc Percent (1) 10 2 4" xfId="10385"/>
    <cellStyle name="Calc Percent (1) 10 2 5" xfId="10386"/>
    <cellStyle name="Calc Percent (1) 10 2 6" xfId="10387"/>
    <cellStyle name="Calc Percent (1) 10 2 7" xfId="10388"/>
    <cellStyle name="Calc Percent (1) 10 2 8" xfId="10389"/>
    <cellStyle name="Calc Percent (1) 10 2 9" xfId="10390"/>
    <cellStyle name="Calc Percent (1) 10 3" xfId="10391"/>
    <cellStyle name="Calc Percent (1) 10 3 2" xfId="10392"/>
    <cellStyle name="Calc Percent (1) 10 3 3" xfId="10393"/>
    <cellStyle name="Calc Percent (1) 10 3 4" xfId="10394"/>
    <cellStyle name="Calc Percent (1) 10 3 5" xfId="10395"/>
    <cellStyle name="Calc Percent (1) 10 3 6" xfId="10396"/>
    <cellStyle name="Calc Percent (1) 10 3 7" xfId="10397"/>
    <cellStyle name="Calc Percent (1) 10 3 8" xfId="10398"/>
    <cellStyle name="Calc Percent (1) 10 3 9" xfId="10399"/>
    <cellStyle name="Calc Percent (1) 10 4" xfId="10400"/>
    <cellStyle name="Calc Percent (1) 10 5" xfId="10401"/>
    <cellStyle name="Calc Percent (1) 10 6" xfId="10402"/>
    <cellStyle name="Calc Percent (1) 10 7" xfId="10403"/>
    <cellStyle name="Calc Percent (1) 10 8" xfId="10404"/>
    <cellStyle name="Calc Percent (1) 10 9" xfId="10405"/>
    <cellStyle name="Calc Percent (1) 11" xfId="10406"/>
    <cellStyle name="Calc Percent (1) 11 2" xfId="10407"/>
    <cellStyle name="Calc Percent (1) 11 3" xfId="10408"/>
    <cellStyle name="Calc Percent (1) 11 4" xfId="10409"/>
    <cellStyle name="Calc Percent (1) 11 5" xfId="10410"/>
    <cellStyle name="Calc Percent (1) 11 6" xfId="10411"/>
    <cellStyle name="Calc Percent (1) 11 7" xfId="10412"/>
    <cellStyle name="Calc Percent (1) 11 8" xfId="10413"/>
    <cellStyle name="Calc Percent (1) 11 9" xfId="10414"/>
    <cellStyle name="Calc Percent (1) 12" xfId="10415"/>
    <cellStyle name="Calc Percent (1) 12 2" xfId="10416"/>
    <cellStyle name="Calc Percent (1) 12 3" xfId="10417"/>
    <cellStyle name="Calc Percent (1) 12 4" xfId="10418"/>
    <cellStyle name="Calc Percent (1) 12 5" xfId="10419"/>
    <cellStyle name="Calc Percent (1) 12 6" xfId="10420"/>
    <cellStyle name="Calc Percent (1) 12 7" xfId="10421"/>
    <cellStyle name="Calc Percent (1) 12 8" xfId="10422"/>
    <cellStyle name="Calc Percent (1) 12 9" xfId="10423"/>
    <cellStyle name="Calc Percent (1) 13" xfId="10424"/>
    <cellStyle name="Calc Percent (1) 13 10" xfId="10425"/>
    <cellStyle name="Calc Percent (1) 13 11" xfId="10426"/>
    <cellStyle name="Calc Percent (1) 13 12" xfId="10427"/>
    <cellStyle name="Calc Percent (1) 13 13" xfId="10428"/>
    <cellStyle name="Calc Percent (1) 13 14" xfId="10429"/>
    <cellStyle name="Calc Percent (1) 13 15" xfId="10430"/>
    <cellStyle name="Calc Percent (1) 13 16" xfId="10431"/>
    <cellStyle name="Calc Percent (1) 13 2" xfId="10432"/>
    <cellStyle name="Calc Percent (1) 13 3" xfId="10433"/>
    <cellStyle name="Calc Percent (1) 13 4" xfId="10434"/>
    <cellStyle name="Calc Percent (1) 13 5" xfId="10435"/>
    <cellStyle name="Calc Percent (1) 13 6" xfId="10436"/>
    <cellStyle name="Calc Percent (1) 13 7" xfId="10437"/>
    <cellStyle name="Calc Percent (1) 13 8" xfId="10438"/>
    <cellStyle name="Calc Percent (1) 13 9" xfId="10439"/>
    <cellStyle name="Calc Percent (1) 14" xfId="10440"/>
    <cellStyle name="Calc Percent (1) 14 10" xfId="10441"/>
    <cellStyle name="Calc Percent (1) 14 11" xfId="10442"/>
    <cellStyle name="Calc Percent (1) 14 12" xfId="10443"/>
    <cellStyle name="Calc Percent (1) 14 13" xfId="10444"/>
    <cellStyle name="Calc Percent (1) 14 14" xfId="10445"/>
    <cellStyle name="Calc Percent (1) 14 15" xfId="10446"/>
    <cellStyle name="Calc Percent (1) 14 16" xfId="10447"/>
    <cellStyle name="Calc Percent (1) 14 2" xfId="10448"/>
    <cellStyle name="Calc Percent (1) 14 3" xfId="10449"/>
    <cellStyle name="Calc Percent (1) 14 4" xfId="10450"/>
    <cellStyle name="Calc Percent (1) 14 5" xfId="10451"/>
    <cellStyle name="Calc Percent (1) 14 6" xfId="10452"/>
    <cellStyle name="Calc Percent (1) 14 7" xfId="10453"/>
    <cellStyle name="Calc Percent (1) 14 8" xfId="10454"/>
    <cellStyle name="Calc Percent (1) 14 9" xfId="10455"/>
    <cellStyle name="Calc Percent (1) 15" xfId="10456"/>
    <cellStyle name="Calc Percent (1) 15 10" xfId="10457"/>
    <cellStyle name="Calc Percent (1) 15 11" xfId="10458"/>
    <cellStyle name="Calc Percent (1) 15 12" xfId="10459"/>
    <cellStyle name="Calc Percent (1) 15 13" xfId="10460"/>
    <cellStyle name="Calc Percent (1) 15 14" xfId="10461"/>
    <cellStyle name="Calc Percent (1) 15 15" xfId="10462"/>
    <cellStyle name="Calc Percent (1) 15 16" xfId="10463"/>
    <cellStyle name="Calc Percent (1) 15 2" xfId="10464"/>
    <cellStyle name="Calc Percent (1) 15 3" xfId="10465"/>
    <cellStyle name="Calc Percent (1) 15 4" xfId="10466"/>
    <cellStyle name="Calc Percent (1) 15 5" xfId="10467"/>
    <cellStyle name="Calc Percent (1) 15 6" xfId="10468"/>
    <cellStyle name="Calc Percent (1) 15 7" xfId="10469"/>
    <cellStyle name="Calc Percent (1) 15 8" xfId="10470"/>
    <cellStyle name="Calc Percent (1) 15 9" xfId="10471"/>
    <cellStyle name="Calc Percent (1) 16" xfId="10472"/>
    <cellStyle name="Calc Percent (1) 16 2" xfId="10473"/>
    <cellStyle name="Calc Percent (1) 16 3" xfId="10474"/>
    <cellStyle name="Calc Percent (1) 16 4" xfId="10475"/>
    <cellStyle name="Calc Percent (1) 16 5" xfId="10476"/>
    <cellStyle name="Calc Percent (1) 16 6" xfId="10477"/>
    <cellStyle name="Calc Percent (1) 16 7" xfId="10478"/>
    <cellStyle name="Calc Percent (1) 16 8" xfId="10479"/>
    <cellStyle name="Calc Percent (1) 16 9" xfId="10480"/>
    <cellStyle name="Calc Percent (1) 17" xfId="10481"/>
    <cellStyle name="Calc Percent (1) 17 2" xfId="10482"/>
    <cellStyle name="Calc Percent (1) 17 3" xfId="10483"/>
    <cellStyle name="Calc Percent (1) 17 4" xfId="10484"/>
    <cellStyle name="Calc Percent (1) 17 5" xfId="10485"/>
    <cellStyle name="Calc Percent (1) 17 6" xfId="10486"/>
    <cellStyle name="Calc Percent (1) 17 7" xfId="10487"/>
    <cellStyle name="Calc Percent (1) 17 8" xfId="10488"/>
    <cellStyle name="Calc Percent (1) 17 9" xfId="10489"/>
    <cellStyle name="Calc Percent (1) 18" xfId="10490"/>
    <cellStyle name="Calc Percent (1) 18 2" xfId="10491"/>
    <cellStyle name="Calc Percent (1) 18 3" xfId="10492"/>
    <cellStyle name="Calc Percent (1) 18 4" xfId="10493"/>
    <cellStyle name="Calc Percent (1) 18 5" xfId="10494"/>
    <cellStyle name="Calc Percent (1) 18 6" xfId="10495"/>
    <cellStyle name="Calc Percent (1) 18 7" xfId="10496"/>
    <cellStyle name="Calc Percent (1) 18 8" xfId="10497"/>
    <cellStyle name="Calc Percent (1) 18 9" xfId="10498"/>
    <cellStyle name="Calc Percent (1) 19" xfId="10499"/>
    <cellStyle name="Calc Percent (1) 19 2" xfId="10500"/>
    <cellStyle name="Calc Percent (1) 19 3" xfId="10501"/>
    <cellStyle name="Calc Percent (1) 19 4" xfId="10502"/>
    <cellStyle name="Calc Percent (1) 19 5" xfId="10503"/>
    <cellStyle name="Calc Percent (1) 19 6" xfId="10504"/>
    <cellStyle name="Calc Percent (1) 19 7" xfId="10505"/>
    <cellStyle name="Calc Percent (1) 19 8" xfId="10506"/>
    <cellStyle name="Calc Percent (1) 19 9" xfId="10507"/>
    <cellStyle name="Calc Percent (1) 2" xfId="10508"/>
    <cellStyle name="Calc Percent (1) 2 10" xfId="10509"/>
    <cellStyle name="Calc Percent (1) 2 10 2" xfId="10510"/>
    <cellStyle name="Calc Percent (1) 2 10 3" xfId="10511"/>
    <cellStyle name="Calc Percent (1) 2 11" xfId="10512"/>
    <cellStyle name="Calc Percent (1) 2 11 2" xfId="10513"/>
    <cellStyle name="Calc Percent (1) 2 11 2 2" xfId="10514"/>
    <cellStyle name="Calc Percent (1) 2 11 2 3" xfId="10515"/>
    <cellStyle name="Calc Percent (1) 2 11 3" xfId="10516"/>
    <cellStyle name="Calc Percent (1) 2 12" xfId="10517"/>
    <cellStyle name="Calc Percent (1) 2 13" xfId="10518"/>
    <cellStyle name="Calc Percent (1) 2 14" xfId="10519"/>
    <cellStyle name="Calc Percent (1) 2 2" xfId="10520"/>
    <cellStyle name="Calc Percent (1) 2 2 10" xfId="10521"/>
    <cellStyle name="Calc Percent (1) 2 2 11" xfId="10522"/>
    <cellStyle name="Calc Percent (1) 2 2 12" xfId="10523"/>
    <cellStyle name="Calc Percent (1) 2 2 13" xfId="10524"/>
    <cellStyle name="Calc Percent (1) 2 2 14" xfId="10525"/>
    <cellStyle name="Calc Percent (1) 2 2 15" xfId="10526"/>
    <cellStyle name="Calc Percent (1) 2 2 16" xfId="10527"/>
    <cellStyle name="Calc Percent (1) 2 2 17" xfId="10528"/>
    <cellStyle name="Calc Percent (1) 2 2 18" xfId="10529"/>
    <cellStyle name="Calc Percent (1) 2 2 2" xfId="10530"/>
    <cellStyle name="Calc Percent (1) 2 2 2 2" xfId="10531"/>
    <cellStyle name="Calc Percent (1) 2 2 2 2 2" xfId="10532"/>
    <cellStyle name="Calc Percent (1) 2 2 2 2 3" xfId="10533"/>
    <cellStyle name="Calc Percent (1) 2 2 2 2 4" xfId="10534"/>
    <cellStyle name="Calc Percent (1) 2 2 2 2 5" xfId="10535"/>
    <cellStyle name="Calc Percent (1) 2 2 2 2 6" xfId="10536"/>
    <cellStyle name="Calc Percent (1) 2 2 2 2 7" xfId="10537"/>
    <cellStyle name="Calc Percent (1) 2 2 2 2 8" xfId="10538"/>
    <cellStyle name="Calc Percent (1) 2 2 2 3" xfId="10539"/>
    <cellStyle name="Calc Percent (1) 2 2 2 4" xfId="10540"/>
    <cellStyle name="Calc Percent (1) 2 2 2 5" xfId="10541"/>
    <cellStyle name="Calc Percent (1) 2 2 2 6" xfId="10542"/>
    <cellStyle name="Calc Percent (1) 2 2 2 7" xfId="10543"/>
    <cellStyle name="Calc Percent (1) 2 2 2 8" xfId="10544"/>
    <cellStyle name="Calc Percent (1) 2 2 2 9" xfId="10545"/>
    <cellStyle name="Calc Percent (1) 2 2 3" xfId="10546"/>
    <cellStyle name="Calc Percent (1) 2 2 3 2" xfId="10547"/>
    <cellStyle name="Calc Percent (1) 2 2 3 3" xfId="10548"/>
    <cellStyle name="Calc Percent (1) 2 2 3 4" xfId="10549"/>
    <cellStyle name="Calc Percent (1) 2 2 3 5" xfId="10550"/>
    <cellStyle name="Calc Percent (1) 2 2 3 6" xfId="10551"/>
    <cellStyle name="Calc Percent (1) 2 2 3 7" xfId="10552"/>
    <cellStyle name="Calc Percent (1) 2 2 3 8" xfId="10553"/>
    <cellStyle name="Calc Percent (1) 2 2 3 9" xfId="10554"/>
    <cellStyle name="Calc Percent (1) 2 2 4" xfId="10555"/>
    <cellStyle name="Calc Percent (1) 2 2 5" xfId="10556"/>
    <cellStyle name="Calc Percent (1) 2 2 6" xfId="10557"/>
    <cellStyle name="Calc Percent (1) 2 2 7" xfId="10558"/>
    <cellStyle name="Calc Percent (1) 2 2 8" xfId="10559"/>
    <cellStyle name="Calc Percent (1) 2 2 9" xfId="10560"/>
    <cellStyle name="Calc Percent (1) 2 3" xfId="10561"/>
    <cellStyle name="Calc Percent (1) 2 3 10" xfId="10562"/>
    <cellStyle name="Calc Percent (1) 2 3 11" xfId="10563"/>
    <cellStyle name="Calc Percent (1) 2 3 12" xfId="10564"/>
    <cellStyle name="Calc Percent (1) 2 3 13" xfId="10565"/>
    <cellStyle name="Calc Percent (1) 2 3 14" xfId="10566"/>
    <cellStyle name="Calc Percent (1) 2 3 15" xfId="10567"/>
    <cellStyle name="Calc Percent (1) 2 3 16" xfId="10568"/>
    <cellStyle name="Calc Percent (1) 2 3 2" xfId="10569"/>
    <cellStyle name="Calc Percent (1) 2 3 2 2" xfId="10570"/>
    <cellStyle name="Calc Percent (1) 2 3 2 2 2" xfId="10571"/>
    <cellStyle name="Calc Percent (1) 2 3 2 2 2 2" xfId="10572"/>
    <cellStyle name="Calc Percent (1) 2 3 2 2 2 2 2" xfId="10573"/>
    <cellStyle name="Calc Percent (1) 2 3 2 2 2 2 3" xfId="10574"/>
    <cellStyle name="Calc Percent (1) 2 3 2 2 2 2 4" xfId="10575"/>
    <cellStyle name="Calc Percent (1) 2 3 2 2 2 2 5" xfId="10576"/>
    <cellStyle name="Calc Percent (1) 2 3 2 2 2 2 6" xfId="10577"/>
    <cellStyle name="Calc Percent (1) 2 3 2 2 2 2 7" xfId="10578"/>
    <cellStyle name="Calc Percent (1) 2 3 2 2 2 2 8" xfId="10579"/>
    <cellStyle name="Calc Percent (1) 2 3 2 2 2 3" xfId="10580"/>
    <cellStyle name="Calc Percent (1) 2 3 2 2 2 4" xfId="10581"/>
    <cellStyle name="Calc Percent (1) 2 3 2 2 2 5" xfId="10582"/>
    <cellStyle name="Calc Percent (1) 2 3 2 2 2 6" xfId="10583"/>
    <cellStyle name="Calc Percent (1) 2 3 2 2 2 7" xfId="10584"/>
    <cellStyle name="Calc Percent (1) 2 3 2 2 2 8" xfId="10585"/>
    <cellStyle name="Calc Percent (1) 2 3 2 2 2 9" xfId="10586"/>
    <cellStyle name="Calc Percent (1) 2 3 2 2 3" xfId="10587"/>
    <cellStyle name="Calc Percent (1) 2 3 2 2 4" xfId="10588"/>
    <cellStyle name="Calc Percent (1) 2 3 2 2 5" xfId="10589"/>
    <cellStyle name="Calc Percent (1) 2 3 2 2 6" xfId="10590"/>
    <cellStyle name="Calc Percent (1) 2 3 2 2 7" xfId="10591"/>
    <cellStyle name="Calc Percent (1) 2 3 2 2 8" xfId="10592"/>
    <cellStyle name="Calc Percent (1) 2 3 2 2 9" xfId="10593"/>
    <cellStyle name="Calc Percent (1) 2 3 2 3" xfId="10594"/>
    <cellStyle name="Calc Percent (1) 2 3 2 4" xfId="10595"/>
    <cellStyle name="Calc Percent (1) 2 3 2 5" xfId="10596"/>
    <cellStyle name="Calc Percent (1) 2 3 2 6" xfId="10597"/>
    <cellStyle name="Calc Percent (1) 2 3 2 7" xfId="10598"/>
    <cellStyle name="Calc Percent (1) 2 3 2 8" xfId="10599"/>
    <cellStyle name="Calc Percent (1) 2 3 2 9" xfId="10600"/>
    <cellStyle name="Calc Percent (1) 2 3 3" xfId="10601"/>
    <cellStyle name="Calc Percent (1) 2 3 3 2" xfId="10602"/>
    <cellStyle name="Calc Percent (1) 2 3 3 3" xfId="10603"/>
    <cellStyle name="Calc Percent (1) 2 3 3 4" xfId="10604"/>
    <cellStyle name="Calc Percent (1) 2 3 3 5" xfId="10605"/>
    <cellStyle name="Calc Percent (1) 2 3 3 6" xfId="10606"/>
    <cellStyle name="Calc Percent (1) 2 3 3 7" xfId="10607"/>
    <cellStyle name="Calc Percent (1) 2 3 3 8" xfId="10608"/>
    <cellStyle name="Calc Percent (1) 2 3 4" xfId="10609"/>
    <cellStyle name="Calc Percent (1) 2 3 4 2" xfId="10610"/>
    <cellStyle name="Calc Percent (1) 2 3 4 3" xfId="10611"/>
    <cellStyle name="Calc Percent (1) 2 3 4 4" xfId="10612"/>
    <cellStyle name="Calc Percent (1) 2 3 4 5" xfId="10613"/>
    <cellStyle name="Calc Percent (1) 2 3 4 6" xfId="10614"/>
    <cellStyle name="Calc Percent (1) 2 3 4 7" xfId="10615"/>
    <cellStyle name="Calc Percent (1) 2 3 4 8" xfId="10616"/>
    <cellStyle name="Calc Percent (1) 2 3 5" xfId="10617"/>
    <cellStyle name="Calc Percent (1) 2 3 5 2" xfId="10618"/>
    <cellStyle name="Calc Percent (1) 2 3 5 3" xfId="10619"/>
    <cellStyle name="Calc Percent (1) 2 3 5 4" xfId="10620"/>
    <cellStyle name="Calc Percent (1) 2 3 5 5" xfId="10621"/>
    <cellStyle name="Calc Percent (1) 2 3 5 6" xfId="10622"/>
    <cellStyle name="Calc Percent (1) 2 3 5 7" xfId="10623"/>
    <cellStyle name="Calc Percent (1) 2 3 5 8" xfId="10624"/>
    <cellStyle name="Calc Percent (1) 2 3 6" xfId="10625"/>
    <cellStyle name="Calc Percent (1) 2 3 6 2" xfId="10626"/>
    <cellStyle name="Calc Percent (1) 2 3 6 3" xfId="10627"/>
    <cellStyle name="Calc Percent (1) 2 3 6 4" xfId="10628"/>
    <cellStyle name="Calc Percent (1) 2 3 6 5" xfId="10629"/>
    <cellStyle name="Calc Percent (1) 2 3 6 6" xfId="10630"/>
    <cellStyle name="Calc Percent (1) 2 3 6 7" xfId="10631"/>
    <cellStyle name="Calc Percent (1) 2 3 6 8" xfId="10632"/>
    <cellStyle name="Calc Percent (1) 2 3 7" xfId="10633"/>
    <cellStyle name="Calc Percent (1) 2 3 8" xfId="10634"/>
    <cellStyle name="Calc Percent (1) 2 3 9" xfId="10635"/>
    <cellStyle name="Calc Percent (1) 2 4" xfId="10636"/>
    <cellStyle name="Calc Percent (1) 2 4 2" xfId="10637"/>
    <cellStyle name="Calc Percent (1) 2 4 3" xfId="10638"/>
    <cellStyle name="Calc Percent (1) 2 5" xfId="10639"/>
    <cellStyle name="Calc Percent (1) 2 5 2" xfId="10640"/>
    <cellStyle name="Calc Percent (1) 2 5 3" xfId="10641"/>
    <cellStyle name="Calc Percent (1) 2 6" xfId="10642"/>
    <cellStyle name="Calc Percent (1) 2 6 2" xfId="10643"/>
    <cellStyle name="Calc Percent (1) 2 6 3" xfId="10644"/>
    <cellStyle name="Calc Percent (1) 2 7" xfId="10645"/>
    <cellStyle name="Calc Percent (1) 2 7 2" xfId="10646"/>
    <cellStyle name="Calc Percent (1) 2 7 3" xfId="10647"/>
    <cellStyle name="Calc Percent (1) 2 8" xfId="10648"/>
    <cellStyle name="Calc Percent (1) 2 8 2" xfId="10649"/>
    <cellStyle name="Calc Percent (1) 2 8 3" xfId="10650"/>
    <cellStyle name="Calc Percent (1) 2 9" xfId="10651"/>
    <cellStyle name="Calc Percent (1) 2 9 2" xfId="10652"/>
    <cellStyle name="Calc Percent (1) 2 9 3" xfId="10653"/>
    <cellStyle name="Calc Percent (1) 2_You Plus DCF Workpapers" xfId="10654"/>
    <cellStyle name="Calc Percent (1) 20" xfId="10655"/>
    <cellStyle name="Calc Percent (1) 20 2" xfId="10656"/>
    <cellStyle name="Calc Percent (1) 20 3" xfId="10657"/>
    <cellStyle name="Calc Percent (1) 20 4" xfId="10658"/>
    <cellStyle name="Calc Percent (1) 20 5" xfId="10659"/>
    <cellStyle name="Calc Percent (1) 20 6" xfId="10660"/>
    <cellStyle name="Calc Percent (1) 20 7" xfId="10661"/>
    <cellStyle name="Calc Percent (1) 20 8" xfId="10662"/>
    <cellStyle name="Calc Percent (1) 20 9" xfId="10663"/>
    <cellStyle name="Calc Percent (1) 21" xfId="10664"/>
    <cellStyle name="Calc Percent (1) 21 2" xfId="10665"/>
    <cellStyle name="Calc Percent (1) 21 3" xfId="10666"/>
    <cellStyle name="Calc Percent (1) 21 4" xfId="10667"/>
    <cellStyle name="Calc Percent (1) 21 5" xfId="10668"/>
    <cellStyle name="Calc Percent (1) 21 6" xfId="10669"/>
    <cellStyle name="Calc Percent (1) 21 7" xfId="10670"/>
    <cellStyle name="Calc Percent (1) 21 8" xfId="10671"/>
    <cellStyle name="Calc Percent (1) 21 9" xfId="10672"/>
    <cellStyle name="Calc Percent (1) 22" xfId="10673"/>
    <cellStyle name="Calc Percent (1) 22 2" xfId="10674"/>
    <cellStyle name="Calc Percent (1) 22 3" xfId="10675"/>
    <cellStyle name="Calc Percent (1) 22 4" xfId="10676"/>
    <cellStyle name="Calc Percent (1) 22 5" xfId="10677"/>
    <cellStyle name="Calc Percent (1) 22 6" xfId="10678"/>
    <cellStyle name="Calc Percent (1) 22 7" xfId="10679"/>
    <cellStyle name="Calc Percent (1) 22 8" xfId="10680"/>
    <cellStyle name="Calc Percent (1) 22 9" xfId="10681"/>
    <cellStyle name="Calc Percent (1) 23" xfId="10682"/>
    <cellStyle name="Calc Percent (1) 24" xfId="10683"/>
    <cellStyle name="Calc Percent (1) 25" xfId="10684"/>
    <cellStyle name="Calc Percent (1) 26" xfId="10685"/>
    <cellStyle name="Calc Percent (1) 27" xfId="10686"/>
    <cellStyle name="Calc Percent (1) 28" xfId="10687"/>
    <cellStyle name="Calc Percent (1) 29" xfId="10688"/>
    <cellStyle name="Calc Percent (1) 3" xfId="10689"/>
    <cellStyle name="Calc Percent (1) 3 10" xfId="10690"/>
    <cellStyle name="Calc Percent (1) 3 11" xfId="10691"/>
    <cellStyle name="Calc Percent (1) 3 2" xfId="10692"/>
    <cellStyle name="Calc Percent (1) 3 2 10" xfId="10693"/>
    <cellStyle name="Calc Percent (1) 3 2 11" xfId="10694"/>
    <cellStyle name="Calc Percent (1) 3 2 12" xfId="10695"/>
    <cellStyle name="Calc Percent (1) 3 2 13" xfId="10696"/>
    <cellStyle name="Calc Percent (1) 3 2 14" xfId="10697"/>
    <cellStyle name="Calc Percent (1) 3 2 15" xfId="10698"/>
    <cellStyle name="Calc Percent (1) 3 2 16" xfId="10699"/>
    <cellStyle name="Calc Percent (1) 3 2 2" xfId="10700"/>
    <cellStyle name="Calc Percent (1) 3 2 2 2" xfId="10701"/>
    <cellStyle name="Calc Percent (1) 3 2 2 3" xfId="10702"/>
    <cellStyle name="Calc Percent (1) 3 2 3" xfId="10703"/>
    <cellStyle name="Calc Percent (1) 3 2 3 2" xfId="10704"/>
    <cellStyle name="Calc Percent (1) 3 2 3 3" xfId="10705"/>
    <cellStyle name="Calc Percent (1) 3 2 3 4" xfId="10706"/>
    <cellStyle name="Calc Percent (1) 3 2 3 5" xfId="10707"/>
    <cellStyle name="Calc Percent (1) 3 2 3 6" xfId="10708"/>
    <cellStyle name="Calc Percent (1) 3 2 3 7" xfId="10709"/>
    <cellStyle name="Calc Percent (1) 3 2 3 8" xfId="10710"/>
    <cellStyle name="Calc Percent (1) 3 2 4" xfId="10711"/>
    <cellStyle name="Calc Percent (1) 3 2 5" xfId="10712"/>
    <cellStyle name="Calc Percent (1) 3 2 6" xfId="10713"/>
    <cellStyle name="Calc Percent (1) 3 2 7" xfId="10714"/>
    <cellStyle name="Calc Percent (1) 3 2 8" xfId="10715"/>
    <cellStyle name="Calc Percent (1) 3 2 9" xfId="10716"/>
    <cellStyle name="Calc Percent (1) 3 3" xfId="10717"/>
    <cellStyle name="Calc Percent (1) 3 3 2" xfId="10718"/>
    <cellStyle name="Calc Percent (1) 3 3 2 2" xfId="10719"/>
    <cellStyle name="Calc Percent (1) 3 3 2 2 2" xfId="10720"/>
    <cellStyle name="Calc Percent (1) 3 3 2 2 2 2" xfId="10721"/>
    <cellStyle name="Calc Percent (1) 3 3 2 2 2 3" xfId="10722"/>
    <cellStyle name="Calc Percent (1) 3 3 2 2 2 4" xfId="10723"/>
    <cellStyle name="Calc Percent (1) 3 3 2 2 2 5" xfId="10724"/>
    <cellStyle name="Calc Percent (1) 3 3 2 2 2 6" xfId="10725"/>
    <cellStyle name="Calc Percent (1) 3 3 2 2 2 7" xfId="10726"/>
    <cellStyle name="Calc Percent (1) 3 3 2 2 2 8" xfId="10727"/>
    <cellStyle name="Calc Percent (1) 3 3 2 2 3" xfId="10728"/>
    <cellStyle name="Calc Percent (1) 3 3 2 2 4" xfId="10729"/>
    <cellStyle name="Calc Percent (1) 3 3 2 2 5" xfId="10730"/>
    <cellStyle name="Calc Percent (1) 3 3 2 2 6" xfId="10731"/>
    <cellStyle name="Calc Percent (1) 3 3 2 2 7" xfId="10732"/>
    <cellStyle name="Calc Percent (1) 3 3 2 2 8" xfId="10733"/>
    <cellStyle name="Calc Percent (1) 3 3 2 2 9" xfId="10734"/>
    <cellStyle name="Calc Percent (1) 3 3 2 3" xfId="10735"/>
    <cellStyle name="Calc Percent (1) 3 3 2 4" xfId="10736"/>
    <cellStyle name="Calc Percent (1) 3 3 2 5" xfId="10737"/>
    <cellStyle name="Calc Percent (1) 3 3 2 6" xfId="10738"/>
    <cellStyle name="Calc Percent (1) 3 3 2 7" xfId="10739"/>
    <cellStyle name="Calc Percent (1) 3 3 2 8" xfId="10740"/>
    <cellStyle name="Calc Percent (1) 3 3 2 9" xfId="10741"/>
    <cellStyle name="Calc Percent (1) 3 3 3" xfId="10742"/>
    <cellStyle name="Calc Percent (1) 3 3 3 2" xfId="10743"/>
    <cellStyle name="Calc Percent (1) 3 3 3 3" xfId="10744"/>
    <cellStyle name="Calc Percent (1) 3 3 3 4" xfId="10745"/>
    <cellStyle name="Calc Percent (1) 3 3 3 5" xfId="10746"/>
    <cellStyle name="Calc Percent (1) 3 3 3 6" xfId="10747"/>
    <cellStyle name="Calc Percent (1) 3 3 3 7" xfId="10748"/>
    <cellStyle name="Calc Percent (1) 3 3 3 8" xfId="10749"/>
    <cellStyle name="Calc Percent (1) 3 3 4" xfId="10750"/>
    <cellStyle name="Calc Percent (1) 3 3 5" xfId="10751"/>
    <cellStyle name="Calc Percent (1) 3 3 6" xfId="10752"/>
    <cellStyle name="Calc Percent (1) 3 3 7" xfId="10753"/>
    <cellStyle name="Calc Percent (1) 3 3 8" xfId="10754"/>
    <cellStyle name="Calc Percent (1) 3 3 9" xfId="10755"/>
    <cellStyle name="Calc Percent (1) 3 4" xfId="10756"/>
    <cellStyle name="Calc Percent (1) 3 4 2" xfId="10757"/>
    <cellStyle name="Calc Percent (1) 3 4 3" xfId="10758"/>
    <cellStyle name="Calc Percent (1) 3 4 4" xfId="10759"/>
    <cellStyle name="Calc Percent (1) 3 4 5" xfId="10760"/>
    <cellStyle name="Calc Percent (1) 3 4 6" xfId="10761"/>
    <cellStyle name="Calc Percent (1) 3 4 7" xfId="10762"/>
    <cellStyle name="Calc Percent (1) 3 4 8" xfId="10763"/>
    <cellStyle name="Calc Percent (1) 3 5" xfId="10764"/>
    <cellStyle name="Calc Percent (1) 3 6" xfId="10765"/>
    <cellStyle name="Calc Percent (1) 3 7" xfId="10766"/>
    <cellStyle name="Calc Percent (1) 3 8" xfId="10767"/>
    <cellStyle name="Calc Percent (1) 3 9" xfId="10768"/>
    <cellStyle name="Calc Percent (1) 30" xfId="10769"/>
    <cellStyle name="Calc Percent (1) 31" xfId="10770"/>
    <cellStyle name="Calc Percent (1) 32" xfId="10771"/>
    <cellStyle name="Calc Percent (1) 33" xfId="10772"/>
    <cellStyle name="Calc Percent (1) 34" xfId="10773"/>
    <cellStyle name="Calc Percent (1) 35" xfId="10774"/>
    <cellStyle name="Calc Percent (1) 36" xfId="10775"/>
    <cellStyle name="Calc Percent (1) 4" xfId="10776"/>
    <cellStyle name="Calc Percent (1) 4 10" xfId="10777"/>
    <cellStyle name="Calc Percent (1) 4 11" xfId="10778"/>
    <cellStyle name="Calc Percent (1) 4 2" xfId="10779"/>
    <cellStyle name="Calc Percent (1) 4 2 2" xfId="10780"/>
    <cellStyle name="Calc Percent (1) 4 2 3" xfId="10781"/>
    <cellStyle name="Calc Percent (1) 4 2 4" xfId="10782"/>
    <cellStyle name="Calc Percent (1) 4 2 5" xfId="10783"/>
    <cellStyle name="Calc Percent (1) 4 2 6" xfId="10784"/>
    <cellStyle name="Calc Percent (1) 4 2 7" xfId="10785"/>
    <cellStyle name="Calc Percent (1) 4 2 8" xfId="10786"/>
    <cellStyle name="Calc Percent (1) 4 2 9" xfId="10787"/>
    <cellStyle name="Calc Percent (1) 4 3" xfId="10788"/>
    <cellStyle name="Calc Percent (1) 4 3 2" xfId="10789"/>
    <cellStyle name="Calc Percent (1) 4 3 3" xfId="10790"/>
    <cellStyle name="Calc Percent (1) 4 3 4" xfId="10791"/>
    <cellStyle name="Calc Percent (1) 4 3 5" xfId="10792"/>
    <cellStyle name="Calc Percent (1) 4 3 6" xfId="10793"/>
    <cellStyle name="Calc Percent (1) 4 3 7" xfId="10794"/>
    <cellStyle name="Calc Percent (1) 4 3 8" xfId="10795"/>
    <cellStyle name="Calc Percent (1) 4 3 9" xfId="10796"/>
    <cellStyle name="Calc Percent (1) 4 4" xfId="10797"/>
    <cellStyle name="Calc Percent (1) 4 5" xfId="10798"/>
    <cellStyle name="Calc Percent (1) 4 6" xfId="10799"/>
    <cellStyle name="Calc Percent (1) 4 7" xfId="10800"/>
    <cellStyle name="Calc Percent (1) 4 8" xfId="10801"/>
    <cellStyle name="Calc Percent (1) 4 9" xfId="10802"/>
    <cellStyle name="Calc Percent (1) 5" xfId="10803"/>
    <cellStyle name="Calc Percent (1) 5 10" xfId="10804"/>
    <cellStyle name="Calc Percent (1) 5 11" xfId="10805"/>
    <cellStyle name="Calc Percent (1) 5 2" xfId="10806"/>
    <cellStyle name="Calc Percent (1) 5 2 10" xfId="10807"/>
    <cellStyle name="Calc Percent (1) 5 2 11" xfId="10808"/>
    <cellStyle name="Calc Percent (1) 5 2 12" xfId="10809"/>
    <cellStyle name="Calc Percent (1) 5 2 13" xfId="10810"/>
    <cellStyle name="Calc Percent (1) 5 2 14" xfId="10811"/>
    <cellStyle name="Calc Percent (1) 5 2 15" xfId="10812"/>
    <cellStyle name="Calc Percent (1) 5 2 16" xfId="10813"/>
    <cellStyle name="Calc Percent (1) 5 2 2" xfId="10814"/>
    <cellStyle name="Calc Percent (1) 5 2 2 2" xfId="10815"/>
    <cellStyle name="Calc Percent (1) 5 2 2 2 2" xfId="10816"/>
    <cellStyle name="Calc Percent (1) 5 2 2 2 3" xfId="10817"/>
    <cellStyle name="Calc Percent (1) 5 2 2 3" xfId="10818"/>
    <cellStyle name="Calc Percent (1) 5 2 3" xfId="10819"/>
    <cellStyle name="Calc Percent (1) 5 2 4" xfId="10820"/>
    <cellStyle name="Calc Percent (1) 5 2 5" xfId="10821"/>
    <cellStyle name="Calc Percent (1) 5 2 6" xfId="10822"/>
    <cellStyle name="Calc Percent (1) 5 2 7" xfId="10823"/>
    <cellStyle name="Calc Percent (1) 5 2 8" xfId="10824"/>
    <cellStyle name="Calc Percent (1) 5 2 9" xfId="10825"/>
    <cellStyle name="Calc Percent (1) 5 3" xfId="10826"/>
    <cellStyle name="Calc Percent (1) 5 3 2" xfId="10827"/>
    <cellStyle name="Calc Percent (1) 5 3 3" xfId="10828"/>
    <cellStyle name="Calc Percent (1) 5 3 4" xfId="10829"/>
    <cellStyle name="Calc Percent (1) 5 3 5" xfId="10830"/>
    <cellStyle name="Calc Percent (1) 5 3 6" xfId="10831"/>
    <cellStyle name="Calc Percent (1) 5 3 7" xfId="10832"/>
    <cellStyle name="Calc Percent (1) 5 3 8" xfId="10833"/>
    <cellStyle name="Calc Percent (1) 5 3 9" xfId="10834"/>
    <cellStyle name="Calc Percent (1) 5 4" xfId="10835"/>
    <cellStyle name="Calc Percent (1) 5 5" xfId="10836"/>
    <cellStyle name="Calc Percent (1) 5 6" xfId="10837"/>
    <cellStyle name="Calc Percent (1) 5 6 2" xfId="10838"/>
    <cellStyle name="Calc Percent (1) 5 6 3" xfId="10839"/>
    <cellStyle name="Calc Percent (1) 5 6 4" xfId="10840"/>
    <cellStyle name="Calc Percent (1) 5 6 5" xfId="10841"/>
    <cellStyle name="Calc Percent (1) 5 6 6" xfId="10842"/>
    <cellStyle name="Calc Percent (1) 5 6 7" xfId="10843"/>
    <cellStyle name="Calc Percent (1) 5 6 8" xfId="10844"/>
    <cellStyle name="Calc Percent (1) 5 7" xfId="10845"/>
    <cellStyle name="Calc Percent (1) 5 8" xfId="10846"/>
    <cellStyle name="Calc Percent (1) 5 9" xfId="10847"/>
    <cellStyle name="Calc Percent (1) 6" xfId="10848"/>
    <cellStyle name="Calc Percent (1) 6 10" xfId="10849"/>
    <cellStyle name="Calc Percent (1) 6 11" xfId="10850"/>
    <cellStyle name="Calc Percent (1) 6 2" xfId="10851"/>
    <cellStyle name="Calc Percent (1) 6 2 2" xfId="10852"/>
    <cellStyle name="Calc Percent (1) 6 2 3" xfId="10853"/>
    <cellStyle name="Calc Percent (1) 6 2 4" xfId="10854"/>
    <cellStyle name="Calc Percent (1) 6 2 5" xfId="10855"/>
    <cellStyle name="Calc Percent (1) 6 2 6" xfId="10856"/>
    <cellStyle name="Calc Percent (1) 6 2 7" xfId="10857"/>
    <cellStyle name="Calc Percent (1) 6 2 8" xfId="10858"/>
    <cellStyle name="Calc Percent (1) 6 2 9" xfId="10859"/>
    <cellStyle name="Calc Percent (1) 6 3" xfId="10860"/>
    <cellStyle name="Calc Percent (1) 6 3 2" xfId="10861"/>
    <cellStyle name="Calc Percent (1) 6 3 3" xfId="10862"/>
    <cellStyle name="Calc Percent (1) 6 3 4" xfId="10863"/>
    <cellStyle name="Calc Percent (1) 6 3 5" xfId="10864"/>
    <cellStyle name="Calc Percent (1) 6 3 6" xfId="10865"/>
    <cellStyle name="Calc Percent (1) 6 3 7" xfId="10866"/>
    <cellStyle name="Calc Percent (1) 6 3 8" xfId="10867"/>
    <cellStyle name="Calc Percent (1) 6 3 9" xfId="10868"/>
    <cellStyle name="Calc Percent (1) 6 4" xfId="10869"/>
    <cellStyle name="Calc Percent (1) 6 5" xfId="10870"/>
    <cellStyle name="Calc Percent (1) 6 6" xfId="10871"/>
    <cellStyle name="Calc Percent (1) 6 7" xfId="10872"/>
    <cellStyle name="Calc Percent (1) 6 8" xfId="10873"/>
    <cellStyle name="Calc Percent (1) 6 9" xfId="10874"/>
    <cellStyle name="Calc Percent (1) 7" xfId="10875"/>
    <cellStyle name="Calc Percent (1) 7 10" xfId="10876"/>
    <cellStyle name="Calc Percent (1) 7 11" xfId="10877"/>
    <cellStyle name="Calc Percent (1) 7 2" xfId="10878"/>
    <cellStyle name="Calc Percent (1) 7 2 2" xfId="10879"/>
    <cellStyle name="Calc Percent (1) 7 2 3" xfId="10880"/>
    <cellStyle name="Calc Percent (1) 7 2 4" xfId="10881"/>
    <cellStyle name="Calc Percent (1) 7 2 5" xfId="10882"/>
    <cellStyle name="Calc Percent (1) 7 2 6" xfId="10883"/>
    <cellStyle name="Calc Percent (1) 7 2 7" xfId="10884"/>
    <cellStyle name="Calc Percent (1) 7 2 8" xfId="10885"/>
    <cellStyle name="Calc Percent (1) 7 2 9" xfId="10886"/>
    <cellStyle name="Calc Percent (1) 7 3" xfId="10887"/>
    <cellStyle name="Calc Percent (1) 7 3 2" xfId="10888"/>
    <cellStyle name="Calc Percent (1) 7 3 3" xfId="10889"/>
    <cellStyle name="Calc Percent (1) 7 3 4" xfId="10890"/>
    <cellStyle name="Calc Percent (1) 7 3 5" xfId="10891"/>
    <cellStyle name="Calc Percent (1) 7 3 6" xfId="10892"/>
    <cellStyle name="Calc Percent (1) 7 3 7" xfId="10893"/>
    <cellStyle name="Calc Percent (1) 7 3 8" xfId="10894"/>
    <cellStyle name="Calc Percent (1) 7 3 9" xfId="10895"/>
    <cellStyle name="Calc Percent (1) 7 4" xfId="10896"/>
    <cellStyle name="Calc Percent (1) 7 5" xfId="10897"/>
    <cellStyle name="Calc Percent (1) 7 6" xfId="10898"/>
    <cellStyle name="Calc Percent (1) 7 7" xfId="10899"/>
    <cellStyle name="Calc Percent (1) 7 8" xfId="10900"/>
    <cellStyle name="Calc Percent (1) 7 9" xfId="10901"/>
    <cellStyle name="Calc Percent (1) 8" xfId="10902"/>
    <cellStyle name="Calc Percent (1) 8 10" xfId="10903"/>
    <cellStyle name="Calc Percent (1) 8 11" xfId="10904"/>
    <cellStyle name="Calc Percent (1) 8 2" xfId="10905"/>
    <cellStyle name="Calc Percent (1) 8 2 2" xfId="10906"/>
    <cellStyle name="Calc Percent (1) 8 2 3" xfId="10907"/>
    <cellStyle name="Calc Percent (1) 8 2 4" xfId="10908"/>
    <cellStyle name="Calc Percent (1) 8 2 5" xfId="10909"/>
    <cellStyle name="Calc Percent (1) 8 2 6" xfId="10910"/>
    <cellStyle name="Calc Percent (1) 8 2 7" xfId="10911"/>
    <cellStyle name="Calc Percent (1) 8 2 8" xfId="10912"/>
    <cellStyle name="Calc Percent (1) 8 2 9" xfId="10913"/>
    <cellStyle name="Calc Percent (1) 8 3" xfId="10914"/>
    <cellStyle name="Calc Percent (1) 8 3 2" xfId="10915"/>
    <cellStyle name="Calc Percent (1) 8 3 3" xfId="10916"/>
    <cellStyle name="Calc Percent (1) 8 3 4" xfId="10917"/>
    <cellStyle name="Calc Percent (1) 8 3 5" xfId="10918"/>
    <cellStyle name="Calc Percent (1) 8 3 6" xfId="10919"/>
    <cellStyle name="Calc Percent (1) 8 3 7" xfId="10920"/>
    <cellStyle name="Calc Percent (1) 8 3 8" xfId="10921"/>
    <cellStyle name="Calc Percent (1) 8 3 9" xfId="10922"/>
    <cellStyle name="Calc Percent (1) 8 4" xfId="10923"/>
    <cellStyle name="Calc Percent (1) 8 5" xfId="10924"/>
    <cellStyle name="Calc Percent (1) 8 6" xfId="10925"/>
    <cellStyle name="Calc Percent (1) 8 7" xfId="10926"/>
    <cellStyle name="Calc Percent (1) 8 8" xfId="10927"/>
    <cellStyle name="Calc Percent (1) 8 9" xfId="10928"/>
    <cellStyle name="Calc Percent (1) 9" xfId="10929"/>
    <cellStyle name="Calc Percent (1) 9 10" xfId="10930"/>
    <cellStyle name="Calc Percent (1) 9 11" xfId="10931"/>
    <cellStyle name="Calc Percent (1) 9 2" xfId="10932"/>
    <cellStyle name="Calc Percent (1) 9 2 10" xfId="10933"/>
    <cellStyle name="Calc Percent (1) 9 2 11" xfId="10934"/>
    <cellStyle name="Calc Percent (1) 9 2 12" xfId="10935"/>
    <cellStyle name="Calc Percent (1) 9 2 13" xfId="10936"/>
    <cellStyle name="Calc Percent (1) 9 2 14" xfId="10937"/>
    <cellStyle name="Calc Percent (1) 9 2 15" xfId="10938"/>
    <cellStyle name="Calc Percent (1) 9 2 16" xfId="10939"/>
    <cellStyle name="Calc Percent (1) 9 2 2" xfId="10940"/>
    <cellStyle name="Calc Percent (1) 9 2 3" xfId="10941"/>
    <cellStyle name="Calc Percent (1) 9 2 4" xfId="10942"/>
    <cellStyle name="Calc Percent (1) 9 2 5" xfId="10943"/>
    <cellStyle name="Calc Percent (1) 9 2 6" xfId="10944"/>
    <cellStyle name="Calc Percent (1) 9 2 7" xfId="10945"/>
    <cellStyle name="Calc Percent (1) 9 2 8" xfId="10946"/>
    <cellStyle name="Calc Percent (1) 9 2 9" xfId="10947"/>
    <cellStyle name="Calc Percent (1) 9 3" xfId="10948"/>
    <cellStyle name="Calc Percent (1) 9 3 2" xfId="10949"/>
    <cellStyle name="Calc Percent (1) 9 3 3" xfId="10950"/>
    <cellStyle name="Calc Percent (1) 9 3 4" xfId="10951"/>
    <cellStyle name="Calc Percent (1) 9 3 5" xfId="10952"/>
    <cellStyle name="Calc Percent (1) 9 3 6" xfId="10953"/>
    <cellStyle name="Calc Percent (1) 9 3 7" xfId="10954"/>
    <cellStyle name="Calc Percent (1) 9 3 8" xfId="10955"/>
    <cellStyle name="Calc Percent (1) 9 3 9" xfId="10956"/>
    <cellStyle name="Calc Percent (1) 9 4" xfId="10957"/>
    <cellStyle name="Calc Percent (1) 9 4 2" xfId="10958"/>
    <cellStyle name="Calc Percent (1) 9 4 3" xfId="10959"/>
    <cellStyle name="Calc Percent (1) 9 4 4" xfId="10960"/>
    <cellStyle name="Calc Percent (1) 9 4 5" xfId="10961"/>
    <cellStyle name="Calc Percent (1) 9 4 6" xfId="10962"/>
    <cellStyle name="Calc Percent (1) 9 4 7" xfId="10963"/>
    <cellStyle name="Calc Percent (1) 9 4 8" xfId="10964"/>
    <cellStyle name="Calc Percent (1) 9 5" xfId="10965"/>
    <cellStyle name="Calc Percent (1) 9 6" xfId="10966"/>
    <cellStyle name="Calc Percent (1) 9 7" xfId="10967"/>
    <cellStyle name="Calc Percent (1) 9 8" xfId="10968"/>
    <cellStyle name="Calc Percent (1) 9 9" xfId="10969"/>
    <cellStyle name="Calc Percent (2)" xfId="10970"/>
    <cellStyle name="Calc Units (0)" xfId="10971"/>
    <cellStyle name="Calc Units (1)" xfId="10972"/>
    <cellStyle name="Calc Units (2)" xfId="10973"/>
    <cellStyle name="Calc x [1]" xfId="10974"/>
    <cellStyle name="Calc$" xfId="10975"/>
    <cellStyle name="Calc$ 2" xfId="10976"/>
    <cellStyle name="Calc%" xfId="10977"/>
    <cellStyle name="Calc% 2" xfId="10978"/>
    <cellStyle name="Calculation 10" xfId="10979"/>
    <cellStyle name="Calculation 11" xfId="10980"/>
    <cellStyle name="Calculation 12" xfId="10981"/>
    <cellStyle name="Calculation 13" xfId="10982"/>
    <cellStyle name="Calculation 14" xfId="10983"/>
    <cellStyle name="Calculation 2" xfId="10984"/>
    <cellStyle name="Calculation 2 2" xfId="10985"/>
    <cellStyle name="Calculation 2 2 2" xfId="10986"/>
    <cellStyle name="Calculation 2 2 2 2" xfId="20066"/>
    <cellStyle name="Calculation 2 2 3" xfId="20065"/>
    <cellStyle name="Calculation 3" xfId="10987"/>
    <cellStyle name="Calculation 3 2" xfId="10988"/>
    <cellStyle name="Calculation 3 2 2" xfId="10989"/>
    <cellStyle name="Calculation 3 2 2 2" xfId="20068"/>
    <cellStyle name="Calculation 3 2 3" xfId="20067"/>
    <cellStyle name="Calculation 4" xfId="10990"/>
    <cellStyle name="Calculation 5" xfId="10991"/>
    <cellStyle name="Calculation 6" xfId="10992"/>
    <cellStyle name="Calculation 7" xfId="10993"/>
    <cellStyle name="Calculation 8" xfId="10994"/>
    <cellStyle name="Calculation 9" xfId="10995"/>
    <cellStyle name="Cálculo" xfId="10996"/>
    <cellStyle name="Cancel" xfId="10997"/>
    <cellStyle name="Caption" xfId="10998"/>
    <cellStyle name="Case" xfId="10999"/>
    <cellStyle name="Case %" xfId="11000"/>
    <cellStyle name="Case 2" xfId="11001"/>
    <cellStyle name="Cash Flow Statement" xfId="11002"/>
    <cellStyle name="Cash Flow Statement 2" xfId="11003"/>
    <cellStyle name="Cash Flow Statement 2 2" xfId="11004"/>
    <cellStyle name="Cash Flow Statement 3" xfId="11005"/>
    <cellStyle name="Cash Flow Statement 4" xfId="11006"/>
    <cellStyle name="Cash Flow Statement 5" xfId="11007"/>
    <cellStyle name="category" xfId="11008"/>
    <cellStyle name="Category Name" xfId="11009"/>
    <cellStyle name="Category Name 2" xfId="11010"/>
    <cellStyle name="Category Name 2 2" xfId="11011"/>
    <cellStyle name="Category Name 2 2 2" xfId="11012"/>
    <cellStyle name="Category Name 2 2 2 2" xfId="11013"/>
    <cellStyle name="Category Name 2 2 2 2 2" xfId="16074"/>
    <cellStyle name="Category Name 2 2 2 2 3" xfId="20073"/>
    <cellStyle name="Category Name 2 2 2 3" xfId="16073"/>
    <cellStyle name="Category Name 2 2 2 4" xfId="20072"/>
    <cellStyle name="Category Name 2 2 3" xfId="11014"/>
    <cellStyle name="Category Name 2 2 3 2" xfId="16075"/>
    <cellStyle name="Category Name 2 2 3 3" xfId="20074"/>
    <cellStyle name="Category Name 2 2 4" xfId="16072"/>
    <cellStyle name="Category Name 2 2 5" xfId="20071"/>
    <cellStyle name="Category Name 2 3" xfId="11015"/>
    <cellStyle name="Category Name 2 3 2" xfId="11016"/>
    <cellStyle name="Category Name 2 3 2 2" xfId="11017"/>
    <cellStyle name="Category Name 2 3 2 2 2" xfId="16078"/>
    <cellStyle name="Category Name 2 3 2 2 3" xfId="20077"/>
    <cellStyle name="Category Name 2 3 2 3" xfId="16077"/>
    <cellStyle name="Category Name 2 3 2 4" xfId="20076"/>
    <cellStyle name="Category Name 2 3 3" xfId="11018"/>
    <cellStyle name="Category Name 2 3 3 2" xfId="16079"/>
    <cellStyle name="Category Name 2 3 3 3" xfId="20078"/>
    <cellStyle name="Category Name 2 3 4" xfId="16076"/>
    <cellStyle name="Category Name 2 3 5" xfId="20075"/>
    <cellStyle name="Category Name 2 4" xfId="11019"/>
    <cellStyle name="Category Name 2 4 2" xfId="11020"/>
    <cellStyle name="Category Name 2 4 2 2" xfId="11021"/>
    <cellStyle name="Category Name 2 4 2 2 2" xfId="16082"/>
    <cellStyle name="Category Name 2 4 2 2 3" xfId="20081"/>
    <cellStyle name="Category Name 2 4 2 3" xfId="16081"/>
    <cellStyle name="Category Name 2 4 2 4" xfId="20080"/>
    <cellStyle name="Category Name 2 4 3" xfId="11022"/>
    <cellStyle name="Category Name 2 4 3 2" xfId="16083"/>
    <cellStyle name="Category Name 2 4 3 3" xfId="20082"/>
    <cellStyle name="Category Name 2 4 4" xfId="16080"/>
    <cellStyle name="Category Name 2 4 5" xfId="20079"/>
    <cellStyle name="Category Name 2 5" xfId="11023"/>
    <cellStyle name="Category Name 2 5 2" xfId="16084"/>
    <cellStyle name="Category Name 2 5 3" xfId="20083"/>
    <cellStyle name="Category Name 2 6" xfId="16071"/>
    <cellStyle name="Category Name 2 7" xfId="20070"/>
    <cellStyle name="Category Name 3" xfId="11024"/>
    <cellStyle name="Category Name 3 2" xfId="11025"/>
    <cellStyle name="Category Name 3 2 2" xfId="11026"/>
    <cellStyle name="Category Name 3 2 2 2" xfId="16087"/>
    <cellStyle name="Category Name 3 2 2 3" xfId="20086"/>
    <cellStyle name="Category Name 3 2 3" xfId="16086"/>
    <cellStyle name="Category Name 3 2 4" xfId="20085"/>
    <cellStyle name="Category Name 3 3" xfId="11027"/>
    <cellStyle name="Category Name 3 3 2" xfId="11028"/>
    <cellStyle name="Category Name 3 3 2 2" xfId="16089"/>
    <cellStyle name="Category Name 3 3 2 3" xfId="20088"/>
    <cellStyle name="Category Name 3 3 3" xfId="16088"/>
    <cellStyle name="Category Name 3 3 4" xfId="20087"/>
    <cellStyle name="Category Name 3 4" xfId="11029"/>
    <cellStyle name="Category Name 3 4 2" xfId="16090"/>
    <cellStyle name="Category Name 3 4 3" xfId="20089"/>
    <cellStyle name="Category Name 3 5" xfId="16085"/>
    <cellStyle name="Category Name 3 6" xfId="20084"/>
    <cellStyle name="Category Name 4" xfId="11030"/>
    <cellStyle name="Category Name 4 2" xfId="11031"/>
    <cellStyle name="Category Name 4 2 2" xfId="11032"/>
    <cellStyle name="Category Name 4 2 2 2" xfId="16093"/>
    <cellStyle name="Category Name 4 2 2 3" xfId="20092"/>
    <cellStyle name="Category Name 4 2 3" xfId="16092"/>
    <cellStyle name="Category Name 4 2 4" xfId="20091"/>
    <cellStyle name="Category Name 4 3" xfId="11033"/>
    <cellStyle name="Category Name 4 3 2" xfId="16094"/>
    <cellStyle name="Category Name 4 3 3" xfId="20093"/>
    <cellStyle name="Category Name 4 4" xfId="16091"/>
    <cellStyle name="Category Name 4 5" xfId="20090"/>
    <cellStyle name="Category Name 5" xfId="11034"/>
    <cellStyle name="Category Name 5 2" xfId="11035"/>
    <cellStyle name="Category Name 5 2 2" xfId="11036"/>
    <cellStyle name="Category Name 5 2 2 2" xfId="16097"/>
    <cellStyle name="Category Name 5 2 2 3" xfId="20096"/>
    <cellStyle name="Category Name 5 2 3" xfId="16096"/>
    <cellStyle name="Category Name 5 2 4" xfId="20095"/>
    <cellStyle name="Category Name 5 3" xfId="11037"/>
    <cellStyle name="Category Name 5 3 2" xfId="16098"/>
    <cellStyle name="Category Name 5 3 3" xfId="20097"/>
    <cellStyle name="Category Name 5 4" xfId="16095"/>
    <cellStyle name="Category Name 5 5" xfId="20094"/>
    <cellStyle name="Category Name 6" xfId="11038"/>
    <cellStyle name="Category Name 6 2" xfId="16099"/>
    <cellStyle name="Category Name 6 3" xfId="20098"/>
    <cellStyle name="Category Name 7" xfId="16070"/>
    <cellStyle name="Category Name 8" xfId="20069"/>
    <cellStyle name="Celda de comprobación" xfId="11039"/>
    <cellStyle name="Celda vinculada" xfId="11040"/>
    <cellStyle name="Célula de Verificação" xfId="11041"/>
    <cellStyle name="Célula Vinculada" xfId="11042"/>
    <cellStyle name="Center" xfId="11043"/>
    <cellStyle name="Center 2" xfId="11044"/>
    <cellStyle name="Center 2 2" xfId="20263"/>
    <cellStyle name="Center 3" xfId="11045"/>
    <cellStyle name="Center 3 2" xfId="20264"/>
    <cellStyle name="Center 4" xfId="20265"/>
    <cellStyle name="CenterBold" xfId="11046"/>
    <cellStyle name="Centered Heading" xfId="11047"/>
    <cellStyle name="Centered Heading 2" xfId="11048"/>
    <cellStyle name="CenterItalic" xfId="11049"/>
    <cellStyle name="Cents" xfId="11050"/>
    <cellStyle name="Cents 2" xfId="11051"/>
    <cellStyle name="Changeable" xfId="11052"/>
    <cellStyle name="ChartingText" xfId="11053"/>
    <cellStyle name="ChartingText 2" xfId="11054"/>
    <cellStyle name="ChartingText 3" xfId="11055"/>
    <cellStyle name="ChartingText 4" xfId="11056"/>
    <cellStyle name="Check Cell 10" xfId="11057"/>
    <cellStyle name="Check Cell 11" xfId="11058"/>
    <cellStyle name="Check Cell 12" xfId="11059"/>
    <cellStyle name="Check Cell 13" xfId="11060"/>
    <cellStyle name="Check Cell 2" xfId="11061"/>
    <cellStyle name="Check Cell 3" xfId="11062"/>
    <cellStyle name="Check Cell 4" xfId="11063"/>
    <cellStyle name="Check Cell 5" xfId="11064"/>
    <cellStyle name="Check Cell 6" xfId="11065"/>
    <cellStyle name="Check Cell 7" xfId="11066"/>
    <cellStyle name="Check Cell 8" xfId="11067"/>
    <cellStyle name="Check Cell 9" xfId="11068"/>
    <cellStyle name="CHPTop" xfId="11069"/>
    <cellStyle name="Co. Names" xfId="11070"/>
    <cellStyle name="Code" xfId="11071"/>
    <cellStyle name="Code 2" xfId="11072"/>
    <cellStyle name="Colhead_left" xfId="11073"/>
    <cellStyle name="ColHeading" xfId="11074"/>
    <cellStyle name="colheadleft" xfId="11075"/>
    <cellStyle name="colheadright" xfId="11076"/>
    <cellStyle name="Color" xfId="11077"/>
    <cellStyle name="Color 2" xfId="11078"/>
    <cellStyle name="Column Header" xfId="11079"/>
    <cellStyle name="Column Header 2" xfId="11080"/>
    <cellStyle name="Column Headings" xfId="11081"/>
    <cellStyle name="Column_Title" xfId="11082"/>
    <cellStyle name="column1" xfId="11083"/>
    <cellStyle name="column1 2" xfId="11084"/>
    <cellStyle name="column1BigNoWrap" xfId="11085"/>
    <cellStyle name="column1BigNoWrap 2" xfId="11086"/>
    <cellStyle name="column1Date" xfId="11087"/>
    <cellStyle name="column1Date 2" xfId="11088"/>
    <cellStyle name="column1Date 2 2" xfId="11089"/>
    <cellStyle name="column1Date 3" xfId="11090"/>
    <cellStyle name="column1Date 4" xfId="11091"/>
    <cellStyle name="column1Date 5" xfId="11092"/>
    <cellStyle name="column2Date" xfId="11093"/>
    <cellStyle name="column2Date 2" xfId="11094"/>
    <cellStyle name="column2Date 3" xfId="11095"/>
    <cellStyle name="column2Date 3 2" xfId="20266"/>
    <cellStyle name="column3Date" xfId="11096"/>
    <cellStyle name="column3Date 2" xfId="11097"/>
    <cellStyle name="column3Date 3" xfId="11098"/>
    <cellStyle name="column3Date 3 2" xfId="20267"/>
    <cellStyle name="ColumnHeaderNormal" xfId="11099"/>
    <cellStyle name="ColumnHeaderNormal 2" xfId="11100"/>
    <cellStyle name="ColumnHeaderNormal 3" xfId="11101"/>
    <cellStyle name="ColumnHeaderNormal 4" xfId="11102"/>
    <cellStyle name="Comma" xfId="12427" builtinId="3"/>
    <cellStyle name="Comma  - Style1" xfId="11103"/>
    <cellStyle name="Comma  - Style2" xfId="11104"/>
    <cellStyle name="Comma  - Style3" xfId="11105"/>
    <cellStyle name="Comma  - Style4" xfId="11106"/>
    <cellStyle name="Comma  - Style5" xfId="11107"/>
    <cellStyle name="Comma  - Style6" xfId="11108"/>
    <cellStyle name="Comma  - Style7" xfId="11109"/>
    <cellStyle name="Comma  - Style8" xfId="11110"/>
    <cellStyle name="Comma %" xfId="11111"/>
    <cellStyle name="Comma (1)" xfId="11112"/>
    <cellStyle name="Comma (1) 2" xfId="11113"/>
    <cellStyle name="Comma (1) 2 2" xfId="11114"/>
    <cellStyle name="Comma (1) 3" xfId="11115"/>
    <cellStyle name="Comma (1) 4" xfId="11116"/>
    <cellStyle name="Comma (1) 5" xfId="11117"/>
    <cellStyle name="Comma ," xfId="11118"/>
    <cellStyle name="Comma [0] 2" xfId="11119"/>
    <cellStyle name="Comma [0] 2 2" xfId="11120"/>
    <cellStyle name="Comma [0] 3" xfId="11121"/>
    <cellStyle name="Comma [0] 3 2" xfId="11122"/>
    <cellStyle name="Comma [0] 4" xfId="11123"/>
    <cellStyle name="Comma [0] 5" xfId="11124"/>
    <cellStyle name="Comma [00]" xfId="11125"/>
    <cellStyle name="Comma [1]" xfId="11126"/>
    <cellStyle name="Comma [1] 2" xfId="11127"/>
    <cellStyle name="Comma [2]" xfId="11128"/>
    <cellStyle name="Comma [2] 2" xfId="11129"/>
    <cellStyle name="Comma [3]" xfId="11130"/>
    <cellStyle name="Comma [3] 2" xfId="11131"/>
    <cellStyle name="Comma [4]" xfId="11132"/>
    <cellStyle name="Comma 0" xfId="11133"/>
    <cellStyle name="Comma 0*" xfId="11134"/>
    <cellStyle name="Comma 0* 2" xfId="11135"/>
    <cellStyle name="Comma 0.0" xfId="11136"/>
    <cellStyle name="Comma 0.0 2" xfId="11137"/>
    <cellStyle name="Comma 0.0%" xfId="11138"/>
    <cellStyle name="Comma 0.0% 2" xfId="11139"/>
    <cellStyle name="Comma 0.00" xfId="11140"/>
    <cellStyle name="Comma 0.00 2" xfId="11141"/>
    <cellStyle name="Comma 0.00%" xfId="11142"/>
    <cellStyle name="Comma 0.00% 2" xfId="11143"/>
    <cellStyle name="Comma 0.00_Aprio - Public Comps1" xfId="11144"/>
    <cellStyle name="Comma 0.000" xfId="11145"/>
    <cellStyle name="Comma 0.000 2" xfId="11146"/>
    <cellStyle name="Comma 0.000%" xfId="11147"/>
    <cellStyle name="Comma 0.000% 2" xfId="11148"/>
    <cellStyle name="Comma 0.000_Aprio - Public Comps1" xfId="11149"/>
    <cellStyle name="Comma 0_comps" xfId="11150"/>
    <cellStyle name="Comma 10" xfId="11151"/>
    <cellStyle name="Comma 10 2" xfId="20393"/>
    <cellStyle name="Comma 11" xfId="11152"/>
    <cellStyle name="Comma 12" xfId="11153"/>
    <cellStyle name="Comma 13" xfId="1"/>
    <cellStyle name="Comma 13 2" xfId="12428"/>
    <cellStyle name="Comma 13 3" xfId="16384"/>
    <cellStyle name="Comma 14" xfId="11154"/>
    <cellStyle name="Comma 15" xfId="16217"/>
    <cellStyle name="Comma 15 2" xfId="20392"/>
    <cellStyle name="Comma 16" xfId="20268"/>
    <cellStyle name="Comma 16 2" xfId="20423"/>
    <cellStyle name="Comma 16 2 3 2" xfId="20387"/>
    <cellStyle name="Comma 16 2 3 2 2" xfId="20396"/>
    <cellStyle name="Comma 16 2 3 2 2 2" xfId="20403"/>
    <cellStyle name="Comma 16 2 3 2 2 2 2" xfId="20421"/>
    <cellStyle name="Comma 16 2 3 2 2 3" xfId="20417"/>
    <cellStyle name="Comma 16 2 3 2 3" xfId="20415"/>
    <cellStyle name="Comma 16 3" xfId="20398"/>
    <cellStyle name="Comma 17" xfId="20406"/>
    <cellStyle name="Comma 17 2 2" xfId="20430"/>
    <cellStyle name="Comma 17 2 2 2" xfId="20437"/>
    <cellStyle name="Comma 17 3" xfId="20441"/>
    <cellStyle name="Comma 18" xfId="20447"/>
    <cellStyle name="Comma 19" xfId="20449"/>
    <cellStyle name="Comma 2" xfId="11155"/>
    <cellStyle name="Comma 2 2" xfId="11156"/>
    <cellStyle name="Comma 2 2 2" xfId="11157"/>
    <cellStyle name="Comma 2 3" xfId="11158"/>
    <cellStyle name="Comma 2 3 2" xfId="11159"/>
    <cellStyle name="Comma 2 3 3" xfId="11160"/>
    <cellStyle name="Comma 2 3 3 2" xfId="16100"/>
    <cellStyle name="Comma 2 3 3 3" xfId="20099"/>
    <cellStyle name="Comma 2 4" xfId="11161"/>
    <cellStyle name="Comma 2 4 2" xfId="11162"/>
    <cellStyle name="Comma 2 5" xfId="11163"/>
    <cellStyle name="Comma 2 5 2" xfId="11164"/>
    <cellStyle name="Comma 2 6" xfId="11165"/>
    <cellStyle name="Comma 2*" xfId="11166"/>
    <cellStyle name="Comma 2* 2" xfId="11167"/>
    <cellStyle name="Comma 2_2008 SVB Financial Information v.2" xfId="11168"/>
    <cellStyle name="Comma 21" xfId="20433"/>
    <cellStyle name="Comma 21 2" xfId="20439"/>
    <cellStyle name="Comma 21 2 2" xfId="20452"/>
    <cellStyle name="Comma 24 2" xfId="20269"/>
    <cellStyle name="Comma 24 2 2" xfId="20270"/>
    <cellStyle name="Comma 3" xfId="11169"/>
    <cellStyle name="Comma 3 2" xfId="11170"/>
    <cellStyle name="Comma 3 2 2" xfId="11171"/>
    <cellStyle name="Comma 3 2 3" xfId="20271"/>
    <cellStyle name="Comma 3 3" xfId="11172"/>
    <cellStyle name="Comma 3 3 2" xfId="11173"/>
    <cellStyle name="Comma 3 4" xfId="11174"/>
    <cellStyle name="Comma 3 5" xfId="11175"/>
    <cellStyle name="Comma 3 6" xfId="16101"/>
    <cellStyle name="Comma 3 7" xfId="20100"/>
    <cellStyle name="Comma 3 8" xfId="20432"/>
    <cellStyle name="Comma 3*" xfId="11176"/>
    <cellStyle name="Comma 39" xfId="12426"/>
    <cellStyle name="Comma 4" xfId="11177"/>
    <cellStyle name="Comma 4 2" xfId="11178"/>
    <cellStyle name="Comma 4 5" xfId="12425"/>
    <cellStyle name="Comma 5" xfId="11179"/>
    <cellStyle name="Comma 5 2" xfId="11180"/>
    <cellStyle name="Comma 5 3" xfId="20412"/>
    <cellStyle name="Comma 6" xfId="11181"/>
    <cellStyle name="Comma 6 2" xfId="11182"/>
    <cellStyle name="Comma 6 2 2" xfId="16102"/>
    <cellStyle name="Comma 6 2 3" xfId="20101"/>
    <cellStyle name="Comma 6 3" xfId="11183"/>
    <cellStyle name="Comma 7" xfId="11184"/>
    <cellStyle name="Comma 7 2" xfId="11185"/>
    <cellStyle name="Comma 7 2 2" xfId="16103"/>
    <cellStyle name="Comma 7 2 3" xfId="20102"/>
    <cellStyle name="Comma 7 3" xfId="11186"/>
    <cellStyle name="Comma 7 3 2" xfId="16104"/>
    <cellStyle name="Comma 7 3 3" xfId="20103"/>
    <cellStyle name="Comma 8" xfId="11187"/>
    <cellStyle name="Comma 9" xfId="11188"/>
    <cellStyle name="Comma Input" xfId="11189"/>
    <cellStyle name="Comma Input 2" xfId="11190"/>
    <cellStyle name="Comma Input 2 2" xfId="11191"/>
    <cellStyle name="Comma Input 3" xfId="11192"/>
    <cellStyle name="Comma Input 4" xfId="11193"/>
    <cellStyle name="Comma Input 5" xfId="11194"/>
    <cellStyle name="comma zerodec" xfId="11195"/>
    <cellStyle name="Comma*" xfId="11196"/>
    <cellStyle name="Comma0" xfId="11197"/>
    <cellStyle name="Comma0 - Modelo1" xfId="11198"/>
    <cellStyle name="Comma0 - Modelo1 2" xfId="11199"/>
    <cellStyle name="Comma0 - Style1" xfId="11200"/>
    <cellStyle name="Comma0 - Style1 2" xfId="11201"/>
    <cellStyle name="Comma0 - Style2" xfId="11202"/>
    <cellStyle name="Comma0 - Style3" xfId="11203"/>
    <cellStyle name="Comma0 - Style4" xfId="11204"/>
    <cellStyle name="Comma0 2" xfId="11205"/>
    <cellStyle name="Comma0_~8944579" xfId="11206"/>
    <cellStyle name="Comma1" xfId="11207"/>
    <cellStyle name="Comma1 - Modelo2" xfId="11208"/>
    <cellStyle name="Comma1 - Modelo2 2" xfId="11209"/>
    <cellStyle name="Comma1 - Style2" xfId="11210"/>
    <cellStyle name="Comma1 - Style2 2" xfId="11211"/>
    <cellStyle name="Comma1 2" xfId="11212"/>
    <cellStyle name="Comma2" xfId="11213"/>
    <cellStyle name="Comma2 2" xfId="11214"/>
    <cellStyle name="Comments" xfId="11215"/>
    <cellStyle name="Company" xfId="11216"/>
    <cellStyle name="Company 2" xfId="11217"/>
    <cellStyle name="Company Name" xfId="11218"/>
    <cellStyle name="Company Name 2" xfId="11219"/>
    <cellStyle name="Company_Boston Power VD 01 31 2008 Model 02 26 2008" xfId="11220"/>
    <cellStyle name="CompanyName" xfId="11221"/>
    <cellStyle name="CompanyName 2" xfId="11222"/>
    <cellStyle name="Compressed" xfId="11223"/>
    <cellStyle name="Copied" xfId="11224"/>
    <cellStyle name="Copied 2" xfId="11225"/>
    <cellStyle name="COST1" xfId="11226"/>
    <cellStyle name="Coverage" xfId="11227"/>
    <cellStyle name="CR Comma" xfId="11228"/>
    <cellStyle name="CR Comma 2" xfId="11229"/>
    <cellStyle name="CR Currency" xfId="11230"/>
    <cellStyle name="CR Currency 2" xfId="11231"/>
    <cellStyle name="Curr $ [0]" xfId="11232"/>
    <cellStyle name="Curr $ [0] 2" xfId="11233"/>
    <cellStyle name="Curr $ [0] 3" xfId="11234"/>
    <cellStyle name="Curr $ [2]" xfId="11235"/>
    <cellStyle name="Curr $ [2] 2" xfId="11236"/>
    <cellStyle name="Curr $ [2] 3" xfId="11237"/>
    <cellStyle name="Curr $k [0]" xfId="11238"/>
    <cellStyle name="Curr $k [0] 2" xfId="11239"/>
    <cellStyle name="Curr $k [0] 3" xfId="11240"/>
    <cellStyle name="Curr £ [0]" xfId="11241"/>
    <cellStyle name="Curr £ [0] 2" xfId="11242"/>
    <cellStyle name="Curr £ [0] 3" xfId="11243"/>
    <cellStyle name="Curr £ [2]" xfId="11244"/>
    <cellStyle name="Curr £ [2] 2" xfId="11245"/>
    <cellStyle name="Curr £ [2] 3" xfId="11246"/>
    <cellStyle name="CurRatio" xfId="11247"/>
    <cellStyle name="Curren - Style2" xfId="11248"/>
    <cellStyle name="Curren - Style2 2" xfId="11249"/>
    <cellStyle name="Curren - Style4" xfId="11250"/>
    <cellStyle name="Currency" xfId="20305" builtinId="4"/>
    <cellStyle name="Currency %" xfId="11251"/>
    <cellStyle name="Currency % 2" xfId="11252"/>
    <cellStyle name="Currency ($)" xfId="11253"/>
    <cellStyle name="Currency (£)" xfId="11254"/>
    <cellStyle name="Currency (0.00)" xfId="11255"/>
    <cellStyle name="Currency (0.00) 2" xfId="11256"/>
    <cellStyle name="Currency (0.00) 2 2" xfId="11257"/>
    <cellStyle name="Currency (0.00) 2 2 2" xfId="11258"/>
    <cellStyle name="Currency (0.00) 2 2 2 2" xfId="11259"/>
    <cellStyle name="Currency (0.00) 2 2 2 2 2" xfId="16109"/>
    <cellStyle name="Currency (0.00) 2 2 2 2 3" xfId="20108"/>
    <cellStyle name="Currency (0.00) 2 2 2 3" xfId="16108"/>
    <cellStyle name="Currency (0.00) 2 2 2 4" xfId="20107"/>
    <cellStyle name="Currency (0.00) 2 2 3" xfId="11260"/>
    <cellStyle name="Currency (0.00) 2 2 3 2" xfId="16110"/>
    <cellStyle name="Currency (0.00) 2 2 3 3" xfId="20109"/>
    <cellStyle name="Currency (0.00) 2 2 4" xfId="16107"/>
    <cellStyle name="Currency (0.00) 2 2 5" xfId="20106"/>
    <cellStyle name="Currency (0.00) 2 3" xfId="11261"/>
    <cellStyle name="Currency (0.00) 2 3 2" xfId="11262"/>
    <cellStyle name="Currency (0.00) 2 3 2 2" xfId="11263"/>
    <cellStyle name="Currency (0.00) 2 3 2 2 2" xfId="16113"/>
    <cellStyle name="Currency (0.00) 2 3 2 2 3" xfId="20112"/>
    <cellStyle name="Currency (0.00) 2 3 2 3" xfId="16112"/>
    <cellStyle name="Currency (0.00) 2 3 2 4" xfId="20111"/>
    <cellStyle name="Currency (0.00) 2 3 3" xfId="11264"/>
    <cellStyle name="Currency (0.00) 2 3 3 2" xfId="16114"/>
    <cellStyle name="Currency (0.00) 2 3 3 3" xfId="20113"/>
    <cellStyle name="Currency (0.00) 2 3 4" xfId="16111"/>
    <cellStyle name="Currency (0.00) 2 3 5" xfId="20110"/>
    <cellStyle name="Currency (0.00) 2 4" xfId="11265"/>
    <cellStyle name="Currency (0.00) 2 4 2" xfId="11266"/>
    <cellStyle name="Currency (0.00) 2 4 2 2" xfId="11267"/>
    <cellStyle name="Currency (0.00) 2 4 2 2 2" xfId="16117"/>
    <cellStyle name="Currency (0.00) 2 4 2 2 3" xfId="20116"/>
    <cellStyle name="Currency (0.00) 2 4 2 3" xfId="16116"/>
    <cellStyle name="Currency (0.00) 2 4 2 4" xfId="20115"/>
    <cellStyle name="Currency (0.00) 2 4 3" xfId="11268"/>
    <cellStyle name="Currency (0.00) 2 4 3 2" xfId="16118"/>
    <cellStyle name="Currency (0.00) 2 4 3 3" xfId="20117"/>
    <cellStyle name="Currency (0.00) 2 4 4" xfId="16115"/>
    <cellStyle name="Currency (0.00) 2 4 5" xfId="20114"/>
    <cellStyle name="Currency (0.00) 2 5" xfId="11269"/>
    <cellStyle name="Currency (0.00) 2 5 2" xfId="16119"/>
    <cellStyle name="Currency (0.00) 2 5 3" xfId="20118"/>
    <cellStyle name="Currency (0.00) 2 6" xfId="16106"/>
    <cellStyle name="Currency (0.00) 2 7" xfId="20105"/>
    <cellStyle name="Currency (0.00) 3" xfId="11270"/>
    <cellStyle name="Currency (0.00) 3 2" xfId="11271"/>
    <cellStyle name="Currency (0.00) 3 2 2" xfId="11272"/>
    <cellStyle name="Currency (0.00) 3 2 2 2" xfId="16122"/>
    <cellStyle name="Currency (0.00) 3 2 2 3" xfId="20121"/>
    <cellStyle name="Currency (0.00) 3 2 3" xfId="16121"/>
    <cellStyle name="Currency (0.00) 3 2 4" xfId="20120"/>
    <cellStyle name="Currency (0.00) 3 3" xfId="11273"/>
    <cellStyle name="Currency (0.00) 3 3 2" xfId="11274"/>
    <cellStyle name="Currency (0.00) 3 3 2 2" xfId="16124"/>
    <cellStyle name="Currency (0.00) 3 3 2 3" xfId="20123"/>
    <cellStyle name="Currency (0.00) 3 3 3" xfId="16123"/>
    <cellStyle name="Currency (0.00) 3 3 4" xfId="20122"/>
    <cellStyle name="Currency (0.00) 3 4" xfId="11275"/>
    <cellStyle name="Currency (0.00) 3 4 2" xfId="16125"/>
    <cellStyle name="Currency (0.00) 3 4 3" xfId="20124"/>
    <cellStyle name="Currency (0.00) 3 5" xfId="16120"/>
    <cellStyle name="Currency (0.00) 3 6" xfId="20119"/>
    <cellStyle name="Currency (0.00) 4" xfId="11276"/>
    <cellStyle name="Currency (0.00) 4 2" xfId="11277"/>
    <cellStyle name="Currency (0.00) 4 2 2" xfId="11278"/>
    <cellStyle name="Currency (0.00) 4 2 2 2" xfId="16128"/>
    <cellStyle name="Currency (0.00) 4 2 2 3" xfId="20127"/>
    <cellStyle name="Currency (0.00) 4 2 3" xfId="16127"/>
    <cellStyle name="Currency (0.00) 4 2 4" xfId="20126"/>
    <cellStyle name="Currency (0.00) 4 3" xfId="11279"/>
    <cellStyle name="Currency (0.00) 4 3 2" xfId="16129"/>
    <cellStyle name="Currency (0.00) 4 3 3" xfId="20128"/>
    <cellStyle name="Currency (0.00) 4 4" xfId="16126"/>
    <cellStyle name="Currency (0.00) 4 5" xfId="20125"/>
    <cellStyle name="Currency (0.00) 5" xfId="11280"/>
    <cellStyle name="Currency (0.00) 5 2" xfId="11281"/>
    <cellStyle name="Currency (0.00) 5 2 2" xfId="11282"/>
    <cellStyle name="Currency (0.00) 5 2 2 2" xfId="16132"/>
    <cellStyle name="Currency (0.00) 5 2 2 3" xfId="20131"/>
    <cellStyle name="Currency (0.00) 5 2 3" xfId="16131"/>
    <cellStyle name="Currency (0.00) 5 2 4" xfId="20130"/>
    <cellStyle name="Currency (0.00) 5 3" xfId="11283"/>
    <cellStyle name="Currency (0.00) 5 3 2" xfId="16133"/>
    <cellStyle name="Currency (0.00) 5 3 3" xfId="20132"/>
    <cellStyle name="Currency (0.00) 5 4" xfId="16130"/>
    <cellStyle name="Currency (0.00) 5 5" xfId="20129"/>
    <cellStyle name="Currency (0.00) 6" xfId="11284"/>
    <cellStyle name="Currency (0.00) 6 2" xfId="16134"/>
    <cellStyle name="Currency (0.00) 6 3" xfId="20133"/>
    <cellStyle name="Currency (0.00) 7" xfId="16105"/>
    <cellStyle name="Currency (0.00) 8" xfId="20104"/>
    <cellStyle name="Currency [0] 2" xfId="11285"/>
    <cellStyle name="Currency [0] 2 2" xfId="11286"/>
    <cellStyle name="Currency [00]" xfId="11287"/>
    <cellStyle name="Currency [1]" xfId="11288"/>
    <cellStyle name="Currency [1] 2" xfId="11289"/>
    <cellStyle name="Currency [1] 2 2" xfId="11290"/>
    <cellStyle name="Currency [1] 3" xfId="11291"/>
    <cellStyle name="Currency [1] 4" xfId="11292"/>
    <cellStyle name="Currency [1] 5" xfId="11293"/>
    <cellStyle name="Currency [2]" xfId="11294"/>
    <cellStyle name="Currency [3]" xfId="11295"/>
    <cellStyle name="Currency [3] 2" xfId="11296"/>
    <cellStyle name="Currency [4]" xfId="11297"/>
    <cellStyle name="Currency 0" xfId="11298"/>
    <cellStyle name="Currency 0 2" xfId="11299"/>
    <cellStyle name="Currency 0.0" xfId="11300"/>
    <cellStyle name="Currency 0.0%" xfId="11301"/>
    <cellStyle name="Currency 0.0% 2" xfId="11302"/>
    <cellStyle name="Currency 0.00" xfId="11303"/>
    <cellStyle name="Currency 0.00%" xfId="11304"/>
    <cellStyle name="Currency 0.00% 2" xfId="11305"/>
    <cellStyle name="Currency 0.000" xfId="11306"/>
    <cellStyle name="Currency 0.000%" xfId="11307"/>
    <cellStyle name="Currency 0.000% 2" xfId="11308"/>
    <cellStyle name="Currency 14" xfId="20311"/>
    <cellStyle name="Currency 2" xfId="3"/>
    <cellStyle name="Currency 2 2" xfId="11309"/>
    <cellStyle name="Currency 2 2 2" xfId="11310"/>
    <cellStyle name="Currency 2 2 2 2" xfId="11311"/>
    <cellStyle name="Currency 2 2 2 2 2" xfId="16135"/>
    <cellStyle name="Currency 2 2 2 2 3" xfId="20134"/>
    <cellStyle name="Currency 2 2 3" xfId="11312"/>
    <cellStyle name="Currency 2 2 3 2" xfId="16136"/>
    <cellStyle name="Currency 2 2 3 3" xfId="20135"/>
    <cellStyle name="Currency 2 3" xfId="11313"/>
    <cellStyle name="Currency 2 3 2" xfId="11314"/>
    <cellStyle name="Currency 2 4" xfId="11315"/>
    <cellStyle name="Currency 2 4 2" xfId="11316"/>
    <cellStyle name="Currency 2 5" xfId="11317"/>
    <cellStyle name="Currency 2 5 2" xfId="11318"/>
    <cellStyle name="Currency 2 6" xfId="11319"/>
    <cellStyle name="Currency 2 7" xfId="12430"/>
    <cellStyle name="Currency 2 8" xfId="16386"/>
    <cellStyle name="Currency 2 9" xfId="20438"/>
    <cellStyle name="Currency 2*" xfId="11320"/>
    <cellStyle name="Currency 2_ Budgeted Income Statement for Y2008 (071508)" xfId="11321"/>
    <cellStyle name="Currency 3" xfId="11322"/>
    <cellStyle name="Currency 3 2" xfId="11323"/>
    <cellStyle name="Currency 3*" xfId="11324"/>
    <cellStyle name="Currency 3_ Budgeted Income Statement for Y2009 (071508)" xfId="11325"/>
    <cellStyle name="Currency 39" xfId="20394"/>
    <cellStyle name="Currency 4" xfId="11326"/>
    <cellStyle name="Currency 4 2" xfId="11327"/>
    <cellStyle name="Currency 4 2 2" xfId="11328"/>
    <cellStyle name="Currency 4 2 2 2" xfId="16137"/>
    <cellStyle name="Currency 4 2 2 3" xfId="20136"/>
    <cellStyle name="Currency 4 3" xfId="11329"/>
    <cellStyle name="Currency 4 3 2" xfId="16138"/>
    <cellStyle name="Currency 4 3 3" xfId="20137"/>
    <cellStyle name="Currency 5" xfId="11330"/>
    <cellStyle name="Currency 5 4" xfId="12423"/>
    <cellStyle name="Currency 6" xfId="11331"/>
    <cellStyle name="Currency 6 2" xfId="16139"/>
    <cellStyle name="Currency 6 3" xfId="20138"/>
    <cellStyle name="Currency 7" xfId="16218"/>
    <cellStyle name="Currency 7 2" xfId="20399"/>
    <cellStyle name="Currency 7 2 2" xfId="20272"/>
    <cellStyle name="Currency 8" xfId="20405"/>
    <cellStyle name="Currency 9 3" xfId="20273"/>
    <cellStyle name="Currency 9 3 2" xfId="20274"/>
    <cellStyle name="Currency Input" xfId="11332"/>
    <cellStyle name="Currency Input 2" xfId="11333"/>
    <cellStyle name="Currency*" xfId="11334"/>
    <cellStyle name="Currency0" xfId="11335"/>
    <cellStyle name="Currency0 2" xfId="11336"/>
    <cellStyle name="Currency1" xfId="11337"/>
    <cellStyle name="Currency2" xfId="11338"/>
    <cellStyle name="Currsmall" xfId="11339"/>
    <cellStyle name="custom" xfId="11340"/>
    <cellStyle name="d" xfId="11341"/>
    <cellStyle name="d/m/yr" xfId="11342"/>
    <cellStyle name="DARK" xfId="11343"/>
    <cellStyle name="darren" xfId="11344"/>
    <cellStyle name="Dash" xfId="11345"/>
    <cellStyle name="Data entry" xfId="11346"/>
    <cellStyle name="Data Link" xfId="11347"/>
    <cellStyle name="DataBases" xfId="11348"/>
    <cellStyle name="DATASTYLE" xfId="11349"/>
    <cellStyle name="DataToHide" xfId="11350"/>
    <cellStyle name="Date" xfId="11351"/>
    <cellStyle name="Date - Style1" xfId="11352"/>
    <cellStyle name="Date - Style3" xfId="11353"/>
    <cellStyle name="Date [d-mmm-yy]" xfId="11354"/>
    <cellStyle name="Date [d-mmm-yy] 2" xfId="20312"/>
    <cellStyle name="Date [mm-d-yy]" xfId="11355"/>
    <cellStyle name="Date [mm-d-yy] 2" xfId="20313"/>
    <cellStyle name="Date [mm-d-yyyy]" xfId="11356"/>
    <cellStyle name="Date [mm-d-yyyy] 2" xfId="11357"/>
    <cellStyle name="Date [mmm-d-yyyy]" xfId="11358"/>
    <cellStyle name="Date [mmm-yy]" xfId="11359"/>
    <cellStyle name="Date [mmm-yy] 2" xfId="20314"/>
    <cellStyle name="Date 2" xfId="11360"/>
    <cellStyle name="Date Aligned" xfId="11361"/>
    <cellStyle name="Date Aligned*" xfId="11362"/>
    <cellStyle name="Date Aligned_comps" xfId="11363"/>
    <cellStyle name="Date Short" xfId="11364"/>
    <cellStyle name="Date Short 2" xfId="20315"/>
    <cellStyle name="Date Year" xfId="11365"/>
    <cellStyle name="Date_ACC_DIL Template" xfId="11366"/>
    <cellStyle name="Date1" xfId="11367"/>
    <cellStyle name="DateL" xfId="11368"/>
    <cellStyle name="DateLong" xfId="11369"/>
    <cellStyle name="DateLong 2" xfId="11370"/>
    <cellStyle name="DateLong 3" xfId="11371"/>
    <cellStyle name="DATES" xfId="11372"/>
    <cellStyle name="DATES 2" xfId="20316"/>
    <cellStyle name="DateShort" xfId="11373"/>
    <cellStyle name="DateShort 2" xfId="11374"/>
    <cellStyle name="DateShort 3" xfId="11375"/>
    <cellStyle name="DateYear" xfId="11376"/>
    <cellStyle name="DateYearEstimate" xfId="11377"/>
    <cellStyle name="DateYearEstimate 2" xfId="11378"/>
    <cellStyle name="DateYearEstimate 2 2" xfId="11379"/>
    <cellStyle name="DateYearEstimate 2 2 2" xfId="16142"/>
    <cellStyle name="DateYearEstimate 2 2 3" xfId="20141"/>
    <cellStyle name="DateYearEstimate 2 3" xfId="16141"/>
    <cellStyle name="DateYearEstimate 2 4" xfId="20140"/>
    <cellStyle name="DateYearEstimate 3" xfId="11380"/>
    <cellStyle name="DateYearEstimate 3 2" xfId="11381"/>
    <cellStyle name="DateYearEstimate 3 2 2" xfId="16144"/>
    <cellStyle name="DateYearEstimate 3 2 3" xfId="20143"/>
    <cellStyle name="DateYearEstimate 3 3" xfId="16143"/>
    <cellStyle name="DateYearEstimate 3 4" xfId="20142"/>
    <cellStyle name="DateYearEstimate 4" xfId="11382"/>
    <cellStyle name="DateYearEstimate 4 2" xfId="16145"/>
    <cellStyle name="DateYearEstimate 4 3" xfId="20144"/>
    <cellStyle name="DateYearEstimate 5" xfId="16140"/>
    <cellStyle name="DateYearEstimate 6" xfId="20139"/>
    <cellStyle name="DateYearWholeEstimate" xfId="11383"/>
    <cellStyle name="DateYearWholeEstimate 2" xfId="11384"/>
    <cellStyle name="DateYearWholeEstimate 2 2" xfId="11385"/>
    <cellStyle name="DateYearWholeEstimate 2 2 2" xfId="16148"/>
    <cellStyle name="DateYearWholeEstimate 2 2 3" xfId="20147"/>
    <cellStyle name="DateYearWholeEstimate 2 3" xfId="16147"/>
    <cellStyle name="DateYearWholeEstimate 2 4" xfId="20146"/>
    <cellStyle name="DateYearWholeEstimate 3" xfId="11386"/>
    <cellStyle name="DateYearWholeEstimate 3 2" xfId="11387"/>
    <cellStyle name="DateYearWholeEstimate 3 2 2" xfId="16150"/>
    <cellStyle name="DateYearWholeEstimate 3 2 3" xfId="20149"/>
    <cellStyle name="DateYearWholeEstimate 3 3" xfId="16149"/>
    <cellStyle name="DateYearWholeEstimate 3 4" xfId="20148"/>
    <cellStyle name="DateYearWholeEstimate 4" xfId="11388"/>
    <cellStyle name="DateYearWholeEstimate 4 2" xfId="16151"/>
    <cellStyle name="DateYearWholeEstimate 4 3" xfId="20150"/>
    <cellStyle name="DateYearWholeEstimate 5" xfId="16146"/>
    <cellStyle name="DateYearWholeEstimate 6" xfId="20145"/>
    <cellStyle name="Daydate" xfId="11389"/>
    <cellStyle name="Day-Mon-Yr" xfId="11390"/>
    <cellStyle name="Decimal" xfId="11391"/>
    <cellStyle name="Decimal Number" xfId="11392"/>
    <cellStyle name="default" xfId="11393"/>
    <cellStyle name="Default SS" xfId="11394"/>
    <cellStyle name="Default TB" xfId="11395"/>
    <cellStyle name="Default_affinityfin12-11-06" xfId="11396"/>
    <cellStyle name="DELTA" xfId="11397"/>
    <cellStyle name="Dezimal [0]_!!!GO" xfId="11398"/>
    <cellStyle name="Dezimal_!!!GO" xfId="11399"/>
    <cellStyle name="Dollar" xfId="11400"/>
    <cellStyle name="Dollar (zero dec)" xfId="11401"/>
    <cellStyle name="Dollar 2" xfId="20317"/>
    <cellStyle name="Dollar1" xfId="11402"/>
    <cellStyle name="Dollar1Blue" xfId="11403"/>
    <cellStyle name="Dollar2" xfId="11404"/>
    <cellStyle name="DOLLARLIN" xfId="11405"/>
    <cellStyle name="dollars" xfId="11406"/>
    <cellStyle name="Dollars []" xfId="11407"/>
    <cellStyle name="dollars 2" xfId="20318"/>
    <cellStyle name="dollars 3" xfId="20319"/>
    <cellStyle name="dollars_Book2" xfId="11408"/>
    <cellStyle name="DOLLARSIN" xfId="11409"/>
    <cellStyle name="DollarWhole" xfId="11410"/>
    <cellStyle name="DollarWhole 2" xfId="20320"/>
    <cellStyle name="Dotted Line" xfId="11411"/>
    <cellStyle name="Double Accounting" xfId="11412"/>
    <cellStyle name="Double Underline" xfId="11413"/>
    <cellStyle name="Download" xfId="11414"/>
    <cellStyle name="Download 2" xfId="20321"/>
    <cellStyle name="Enter Currency (0)" xfId="11415"/>
    <cellStyle name="Enter Currency (2)" xfId="11416"/>
    <cellStyle name="Enter Units (0)" xfId="11417"/>
    <cellStyle name="Enter Units (1)" xfId="11418"/>
    <cellStyle name="Enter Units (2)" xfId="11419"/>
    <cellStyle name="ENTER_DATA" xfId="11420"/>
    <cellStyle name="Entered" xfId="11421"/>
    <cellStyle name="Entities" xfId="11422"/>
    <cellStyle name="Euro" xfId="11423"/>
    <cellStyle name="Euro 10" xfId="11424"/>
    <cellStyle name="Euro 11" xfId="11425"/>
    <cellStyle name="Euro 2" xfId="11426"/>
    <cellStyle name="Euro 3" xfId="11427"/>
    <cellStyle name="Euro 4" xfId="11428"/>
    <cellStyle name="Euro 5" xfId="11429"/>
    <cellStyle name="Euro 6" xfId="11430"/>
    <cellStyle name="Euro 7" xfId="11431"/>
    <cellStyle name="Euro 8" xfId="11432"/>
    <cellStyle name="Euro 8 2" xfId="11433"/>
    <cellStyle name="Euro 9" xfId="11434"/>
    <cellStyle name="Euro 9 2" xfId="11435"/>
    <cellStyle name="Excel Built-in Comma" xfId="11436"/>
    <cellStyle name="Excel Built-in Normal" xfId="11437"/>
    <cellStyle name="Explanatory Text 10" xfId="11438"/>
    <cellStyle name="Explanatory Text 11" xfId="11439"/>
    <cellStyle name="Explanatory Text 12" xfId="11440"/>
    <cellStyle name="Explanatory Text 13" xfId="11441"/>
    <cellStyle name="Explanatory Text 2" xfId="11442"/>
    <cellStyle name="Explanatory Text 3" xfId="11443"/>
    <cellStyle name="Explanatory Text 4" xfId="11444"/>
    <cellStyle name="Explanatory Text 5" xfId="11445"/>
    <cellStyle name="Explanatory Text 6" xfId="11446"/>
    <cellStyle name="Explanatory Text 7" xfId="11447"/>
    <cellStyle name="Explanatory Text 8" xfId="11448"/>
    <cellStyle name="Explanatory Text 9" xfId="11449"/>
    <cellStyle name="F2" xfId="11450"/>
    <cellStyle name="F3" xfId="11451"/>
    <cellStyle name="F4" xfId="11452"/>
    <cellStyle name="F5" xfId="11453"/>
    <cellStyle name="F6" xfId="11454"/>
    <cellStyle name="F7" xfId="11455"/>
    <cellStyle name="F8" xfId="11456"/>
    <cellStyle name="factsheet" xfId="11457"/>
    <cellStyle name="Final_Data" xfId="11458"/>
    <cellStyle name="First_nums" xfId="11459"/>
    <cellStyle name="Fixed" xfId="11460"/>
    <cellStyle name="Fixed [0]" xfId="11461"/>
    <cellStyle name="Fixed_Burdick DCF Model -10" xfId="11462"/>
    <cellStyle name="Fixed0" xfId="11463"/>
    <cellStyle name="Fixed2 - Style2" xfId="11464"/>
    <cellStyle name="Fixlong" xfId="11465"/>
    <cellStyle name="Följd hyperlänk_Analysis of building cost to 300904.xls" xfId="11466"/>
    <cellStyle name="Följde hyperlänken_2001 EPS SUMMARY" xfId="11467"/>
    <cellStyle name="Footer" xfId="11468"/>
    <cellStyle name="Footnote" xfId="11469"/>
    <cellStyle name="Footnote 2" xfId="20322"/>
    <cellStyle name="ForecastInput" xfId="11470"/>
    <cellStyle name="Format Number Column" xfId="11471"/>
    <cellStyle name="Formula" xfId="11472"/>
    <cellStyle name="FRxAmtStyle" xfId="11473"/>
    <cellStyle name="FRxAmtStyle 2" xfId="11474"/>
    <cellStyle name="FRxCurrStyle" xfId="11475"/>
    <cellStyle name="FRxPcntStyle" xfId="11476"/>
    <cellStyle name="Global" xfId="11477"/>
    <cellStyle name="Global 2" xfId="11478"/>
    <cellStyle name="Global 2 2" xfId="11479"/>
    <cellStyle name="Global 2 2 2" xfId="16154"/>
    <cellStyle name="Global 2 2 3" xfId="20153"/>
    <cellStyle name="Global 2 3" xfId="16153"/>
    <cellStyle name="Global 2 4" xfId="20152"/>
    <cellStyle name="Global 3" xfId="11480"/>
    <cellStyle name="Global 3 2" xfId="11481"/>
    <cellStyle name="Global 3 2 2" xfId="16156"/>
    <cellStyle name="Global 3 2 3" xfId="20155"/>
    <cellStyle name="Global 3 3" xfId="16155"/>
    <cellStyle name="Global 3 4" xfId="20154"/>
    <cellStyle name="Global 4" xfId="11482"/>
    <cellStyle name="Global 4 2" xfId="16157"/>
    <cellStyle name="Global 4 3" xfId="20156"/>
    <cellStyle name="Global 5" xfId="16152"/>
    <cellStyle name="Global 6" xfId="20151"/>
    <cellStyle name="Good 10" xfId="11483"/>
    <cellStyle name="Good 11" xfId="11484"/>
    <cellStyle name="Good 12" xfId="11485"/>
    <cellStyle name="Good 13" xfId="11486"/>
    <cellStyle name="Good 2" xfId="11487"/>
    <cellStyle name="Good 3" xfId="11488"/>
    <cellStyle name="Good 4" xfId="11489"/>
    <cellStyle name="Good 5" xfId="11490"/>
    <cellStyle name="Good 6" xfId="11491"/>
    <cellStyle name="Good 7" xfId="11492"/>
    <cellStyle name="Good 8" xfId="11493"/>
    <cellStyle name="Good 9" xfId="11494"/>
    <cellStyle name="grayText2" xfId="11495"/>
    <cellStyle name="grayText2Big" xfId="11496"/>
    <cellStyle name="grayText2Big 2" xfId="20323"/>
    <cellStyle name="Grey" xfId="11497"/>
    <cellStyle name="Grey 2" xfId="11498"/>
    <cellStyle name="Grey 3" xfId="11499"/>
    <cellStyle name="Grey 4" xfId="11500"/>
    <cellStyle name="Growth" xfId="11501"/>
    <cellStyle name="Growth 2" xfId="20324"/>
    <cellStyle name="GrowthRate" xfId="11502"/>
    <cellStyle name="GrowthRate 2" xfId="20325"/>
    <cellStyle name="H 2" xfId="11503"/>
    <cellStyle name="hard no" xfId="11504"/>
    <cellStyle name="Hard Percent" xfId="11505"/>
    <cellStyle name="hardno" xfId="11506"/>
    <cellStyle name="Head" xfId="11507"/>
    <cellStyle name="header" xfId="11508"/>
    <cellStyle name="header 2" xfId="20326"/>
    <cellStyle name="Header Total" xfId="11509"/>
    <cellStyle name="Header_affinityfin12-11-06" xfId="11510"/>
    <cellStyle name="Header1" xfId="11511"/>
    <cellStyle name="Header1 2" xfId="20327"/>
    <cellStyle name="Header2" xfId="11512"/>
    <cellStyle name="Header2 2" xfId="11513"/>
    <cellStyle name="Header2 2 2" xfId="11514"/>
    <cellStyle name="Header2 2 2 2" xfId="16159"/>
    <cellStyle name="Header2 2 2 3" xfId="20158"/>
    <cellStyle name="Header2 2 3" xfId="16158"/>
    <cellStyle name="Header2 2 4" xfId="20157"/>
    <cellStyle name="Header2 3" xfId="11515"/>
    <cellStyle name="Header2 3 2" xfId="11516"/>
    <cellStyle name="Header2 3 2 2" xfId="16161"/>
    <cellStyle name="Header2 3 2 3" xfId="20160"/>
    <cellStyle name="Header2 3 3" xfId="16160"/>
    <cellStyle name="Header2 3 4" xfId="20159"/>
    <cellStyle name="Header3" xfId="11517"/>
    <cellStyle name="Header4" xfId="11518"/>
    <cellStyle name="Heading" xfId="11519"/>
    <cellStyle name="Heading 1 10" xfId="11520"/>
    <cellStyle name="Heading 1 11" xfId="11521"/>
    <cellStyle name="Heading 1 12" xfId="11522"/>
    <cellStyle name="Heading 1 13" xfId="11523"/>
    <cellStyle name="Heading 1 2" xfId="11524"/>
    <cellStyle name="Heading 1 3" xfId="11525"/>
    <cellStyle name="Heading 1 4" xfId="11526"/>
    <cellStyle name="Heading 1 5" xfId="11527"/>
    <cellStyle name="Heading 1 6" xfId="11528"/>
    <cellStyle name="Heading 1 7" xfId="11529"/>
    <cellStyle name="Heading 1 8" xfId="11530"/>
    <cellStyle name="Heading 1 9" xfId="11531"/>
    <cellStyle name="Heading 2 10" xfId="11532"/>
    <cellStyle name="Heading 2 11" xfId="11533"/>
    <cellStyle name="Heading 2 12" xfId="11534"/>
    <cellStyle name="Heading 2 13" xfId="11535"/>
    <cellStyle name="Heading 2 2" xfId="11536"/>
    <cellStyle name="Heading 2 3" xfId="11537"/>
    <cellStyle name="Heading 2 4" xfId="11538"/>
    <cellStyle name="Heading 2 5" xfId="11539"/>
    <cellStyle name="Heading 2 6" xfId="11540"/>
    <cellStyle name="Heading 2 7" xfId="11541"/>
    <cellStyle name="Heading 2 8" xfId="11542"/>
    <cellStyle name="Heading 2 9" xfId="11543"/>
    <cellStyle name="Heading 3 10" xfId="11544"/>
    <cellStyle name="Heading 3 11" xfId="11545"/>
    <cellStyle name="Heading 3 12" xfId="11546"/>
    <cellStyle name="Heading 3 13" xfId="11547"/>
    <cellStyle name="Heading 3 2" xfId="11548"/>
    <cellStyle name="Heading 3 3" xfId="11549"/>
    <cellStyle name="Heading 3 4" xfId="11550"/>
    <cellStyle name="Heading 3 5" xfId="11551"/>
    <cellStyle name="Heading 3 6" xfId="11552"/>
    <cellStyle name="Heading 3 7" xfId="11553"/>
    <cellStyle name="Heading 3 8" xfId="11554"/>
    <cellStyle name="Heading 3 9" xfId="11555"/>
    <cellStyle name="Heading 4 10" xfId="11556"/>
    <cellStyle name="Heading 4 11" xfId="11557"/>
    <cellStyle name="Heading 4 12" xfId="11558"/>
    <cellStyle name="Heading 4 13" xfId="11559"/>
    <cellStyle name="Heading 4 2" xfId="11560"/>
    <cellStyle name="Heading 4 3" xfId="11561"/>
    <cellStyle name="Heading 4 4" xfId="11562"/>
    <cellStyle name="Heading 4 5" xfId="11563"/>
    <cellStyle name="Heading 4 6" xfId="11564"/>
    <cellStyle name="Heading 4 7" xfId="11565"/>
    <cellStyle name="Heading 4 8" xfId="11566"/>
    <cellStyle name="Heading 4 9" xfId="11567"/>
    <cellStyle name="Heading 5" xfId="11568"/>
    <cellStyle name="Heading No Underline" xfId="11569"/>
    <cellStyle name="Heading With Underline" xfId="11570"/>
    <cellStyle name="Heading With Underline 2" xfId="11571"/>
    <cellStyle name="Heading With Underline 2 2" xfId="20275"/>
    <cellStyle name="Heading With Underline 3" xfId="11572"/>
    <cellStyle name="Heading With Underline 3 2" xfId="20276"/>
    <cellStyle name="Heading With Underline 4" xfId="20277"/>
    <cellStyle name="Heading1" xfId="11573"/>
    <cellStyle name="Heading2" xfId="11574"/>
    <cellStyle name="Heading3" xfId="11575"/>
    <cellStyle name="HEADINGS" xfId="11576"/>
    <cellStyle name="Headings2" xfId="11577"/>
    <cellStyle name="Headings2 2" xfId="11578"/>
    <cellStyle name="Headings2 2 2" xfId="11579"/>
    <cellStyle name="Headings2 2 2 2" xfId="20163"/>
    <cellStyle name="Headings2 2 3" xfId="20162"/>
    <cellStyle name="Headings2 3" xfId="11580"/>
    <cellStyle name="Headings2 3 2" xfId="11581"/>
    <cellStyle name="Headings2 3 2 2" xfId="20165"/>
    <cellStyle name="Headings2 3 3" xfId="20164"/>
    <cellStyle name="Headings2 4" xfId="11582"/>
    <cellStyle name="Headings2 4 2" xfId="20166"/>
    <cellStyle name="Headings2 5" xfId="20161"/>
    <cellStyle name="Headings2b" xfId="11583"/>
    <cellStyle name="Headings2b 2" xfId="11584"/>
    <cellStyle name="Headings2b 2 2" xfId="11585"/>
    <cellStyle name="Headings2b 2 2 2" xfId="20169"/>
    <cellStyle name="Headings2b 2 3" xfId="20168"/>
    <cellStyle name="Headings2b 3" xfId="11586"/>
    <cellStyle name="Headings2b 3 2" xfId="11587"/>
    <cellStyle name="Headings2b 3 2 2" xfId="20171"/>
    <cellStyle name="Headings2b 3 3" xfId="20170"/>
    <cellStyle name="Headings2b 4" xfId="11588"/>
    <cellStyle name="Headings2b 4 2" xfId="20172"/>
    <cellStyle name="Headings2b 5" xfId="20167"/>
    <cellStyle name="HEADINGSTOP" xfId="11589"/>
    <cellStyle name="Hidden" xfId="11590"/>
    <cellStyle name="HIDDEN 2" xfId="20328"/>
    <cellStyle name="HIGHLIGHT" xfId="11591"/>
    <cellStyle name="Hyperlänk_2000 DVD COSTS.xls" xfId="11592"/>
    <cellStyle name="Hyperlink" xfId="20385" builtinId="8"/>
    <cellStyle name="Hyperlink 2" xfId="11593"/>
    <cellStyle name="Hyperlink 3" xfId="11594"/>
    <cellStyle name="IDEO" xfId="11595"/>
    <cellStyle name="iemens" xfId="11596"/>
    <cellStyle name="IncomeStatement" xfId="11597"/>
    <cellStyle name="IncomeStatement 2" xfId="20329"/>
    <cellStyle name="Input [yellow]" xfId="11598"/>
    <cellStyle name="Input [yellow] 2" xfId="11599"/>
    <cellStyle name="Input [yellow] 3" xfId="11600"/>
    <cellStyle name="Input [yellow] 4" xfId="11601"/>
    <cellStyle name="Input 10" xfId="11602"/>
    <cellStyle name="Input 11" xfId="11603"/>
    <cellStyle name="Input 12" xfId="11604"/>
    <cellStyle name="Input 13" xfId="11605"/>
    <cellStyle name="Input 14" xfId="11606"/>
    <cellStyle name="Input 15" xfId="11607"/>
    <cellStyle name="Input 16" xfId="11608"/>
    <cellStyle name="Input 2" xfId="11609"/>
    <cellStyle name="Input 3" xfId="11610"/>
    <cellStyle name="Input 4" xfId="11611"/>
    <cellStyle name="Input 5" xfId="11612"/>
    <cellStyle name="Input 6" xfId="11613"/>
    <cellStyle name="Input 7" xfId="11614"/>
    <cellStyle name="Input 8" xfId="11615"/>
    <cellStyle name="Input 9" xfId="11616"/>
    <cellStyle name="input cell" xfId="11617"/>
    <cellStyle name="Input Cells" xfId="11618"/>
    <cellStyle name="Input Currency" xfId="11619"/>
    <cellStyle name="Input Currency 2" xfId="20330"/>
    <cellStyle name="Input Date" xfId="11620"/>
    <cellStyle name="Input Date 2" xfId="20331"/>
    <cellStyle name="Input Fixed [0]" xfId="11621"/>
    <cellStyle name="Input Fixed [0] 2" xfId="20332"/>
    <cellStyle name="Input Normal" xfId="11622"/>
    <cellStyle name="Input Normal 2" xfId="20333"/>
    <cellStyle name="Input Percent" xfId="11623"/>
    <cellStyle name="Input Percent [2]" xfId="11624"/>
    <cellStyle name="Input Percent [2] 2" xfId="20334"/>
    <cellStyle name="Input Percent 2" xfId="20335"/>
    <cellStyle name="Input Percent 3" xfId="20336"/>
    <cellStyle name="Input Titles" xfId="11625"/>
    <cellStyle name="Input$" xfId="11626"/>
    <cellStyle name="Input$ 2" xfId="11627"/>
    <cellStyle name="Input$ 3" xfId="11628"/>
    <cellStyle name="Input%" xfId="11629"/>
    <cellStyle name="Input% 2" xfId="11630"/>
    <cellStyle name="Input% 3" xfId="11631"/>
    <cellStyle name="Input1" xfId="11632"/>
    <cellStyle name="Input2" xfId="11633"/>
    <cellStyle name="InputBlueFont" xfId="11634"/>
    <cellStyle name="InputCell" xfId="11635"/>
    <cellStyle name="InputCell 2" xfId="11636"/>
    <cellStyle name="InputCell 2 2" xfId="11637"/>
    <cellStyle name="InputCell 2 2 2" xfId="20175"/>
    <cellStyle name="InputCell 2 3" xfId="20174"/>
    <cellStyle name="InputCell 3" xfId="11638"/>
    <cellStyle name="InputCell 3 2" xfId="11639"/>
    <cellStyle name="InputCell 3 2 2" xfId="20177"/>
    <cellStyle name="InputCell 3 3" xfId="20176"/>
    <cellStyle name="InputCell 4" xfId="11640"/>
    <cellStyle name="InputCell 4 2" xfId="20178"/>
    <cellStyle name="InputCell 5" xfId="20173"/>
    <cellStyle name="InputPop" xfId="11641"/>
    <cellStyle name="InputPop 2" xfId="20337"/>
    <cellStyle name="Inputs" xfId="11642"/>
    <cellStyle name="Input-Text Only" xfId="11643"/>
    <cellStyle name="Integer" xfId="11644"/>
    <cellStyle name="Invisible" xfId="11645"/>
    <cellStyle name="Invisible 2" xfId="11646"/>
    <cellStyle name="Invisible 3" xfId="11647"/>
    <cellStyle name="Item" xfId="11648"/>
    <cellStyle name="ItemTypeClass" xfId="11649"/>
    <cellStyle name="ItemTypeClass 2" xfId="11650"/>
    <cellStyle name="ItemTypeClass 2 2" xfId="11651"/>
    <cellStyle name="ItemTypeClass 2 2 2" xfId="20181"/>
    <cellStyle name="ItemTypeClass 2 3" xfId="20180"/>
    <cellStyle name="ItemTypeClass 3" xfId="11652"/>
    <cellStyle name="ItemTypeClass 3 2" xfId="11653"/>
    <cellStyle name="ItemTypeClass 3 2 2" xfId="20183"/>
    <cellStyle name="ItemTypeClass 3 3" xfId="20182"/>
    <cellStyle name="ItemTypeClass 4" xfId="11654"/>
    <cellStyle name="ItemTypeClass 4 2" xfId="20184"/>
    <cellStyle name="ItemTypeClass 5" xfId="20179"/>
    <cellStyle name="Ivan" xfId="11655"/>
    <cellStyle name="îÿî_x0002_" xfId="11656"/>
    <cellStyle name="îÿî_x0002__x0010_" xfId="11657"/>
    <cellStyle name="îÿî_x0002__CardioSolutions 05 31 2007 Final Model 09 27 2007" xfId="11658"/>
    <cellStyle name="Jason" xfId="11659"/>
    <cellStyle name="JustOneDec" xfId="11660"/>
    <cellStyle name="JustOneDec 2" xfId="20338"/>
    <cellStyle name="Komma [0]_laroux" xfId="11661"/>
    <cellStyle name="Komma_laroux" xfId="11662"/>
    <cellStyle name="Kommatecken [0]_2000 DVD COSTS.xls" xfId="11663"/>
    <cellStyle name="KPMG Heading 1" xfId="11664"/>
    <cellStyle name="KPMG Heading 2" xfId="11665"/>
    <cellStyle name="KPMG Heading 3" xfId="11666"/>
    <cellStyle name="KPMG Heading 4" xfId="11667"/>
    <cellStyle name="KPMG Normal" xfId="11668"/>
    <cellStyle name="KPMG Normal Text" xfId="11669"/>
    <cellStyle name="KPMG Normal_2006 Model (3-2-06) v1 3" xfId="11670"/>
    <cellStyle name="LABEL_NUMBER" xfId="11671"/>
    <cellStyle name="Lable8Left" xfId="11672"/>
    <cellStyle name="Large Page Heading" xfId="11673"/>
    <cellStyle name="Last_nums" xfId="11674"/>
    <cellStyle name="left" xfId="11675"/>
    <cellStyle name="left 2" xfId="20339"/>
    <cellStyle name="Left Heading 1" xfId="11676"/>
    <cellStyle name="Left Heading 2" xfId="11677"/>
    <cellStyle name="leftStyle" xfId="11678"/>
    <cellStyle name="leftStyle2" xfId="11679"/>
    <cellStyle name="Lien hypertexte_NEGS" xfId="11680"/>
    <cellStyle name="LineBottom" xfId="11681"/>
    <cellStyle name="LineBottom 2" xfId="11682"/>
    <cellStyle name="LineBottom 2 2" xfId="20278"/>
    <cellStyle name="LineBottom 3" xfId="11683"/>
    <cellStyle name="LineBottom 3 2" xfId="20279"/>
    <cellStyle name="LineBottom 4" xfId="20280"/>
    <cellStyle name="LineItem" xfId="11684"/>
    <cellStyle name="LineItems" xfId="11685"/>
    <cellStyle name="LineItems 2" xfId="20340"/>
    <cellStyle name="LineTop" xfId="11686"/>
    <cellStyle name="LineTop 2" xfId="11687"/>
    <cellStyle name="LineTop 2 2" xfId="11688"/>
    <cellStyle name="LineTop 2 2 2" xfId="16164"/>
    <cellStyle name="LineTop 2 2 3" xfId="20187"/>
    <cellStyle name="LineTop 2 3" xfId="16163"/>
    <cellStyle name="LineTop 2 4" xfId="20186"/>
    <cellStyle name="LineTop 3" xfId="11689"/>
    <cellStyle name="LineTop 3 2" xfId="11690"/>
    <cellStyle name="LineTop 3 2 2" xfId="16166"/>
    <cellStyle name="LineTop 3 2 3" xfId="20189"/>
    <cellStyle name="LineTop 3 3" xfId="16165"/>
    <cellStyle name="LineTop 3 4" xfId="20188"/>
    <cellStyle name="LineTop 4" xfId="11691"/>
    <cellStyle name="LineTop 4 2" xfId="16167"/>
    <cellStyle name="LineTop 4 3" xfId="20190"/>
    <cellStyle name="LineTop 5" xfId="16162"/>
    <cellStyle name="LineTop 6" xfId="20185"/>
    <cellStyle name="Link Currency (0)" xfId="11692"/>
    <cellStyle name="Link Currency (2)" xfId="11693"/>
    <cellStyle name="Link Units (0)" xfId="11694"/>
    <cellStyle name="Link Units (1)" xfId="11695"/>
    <cellStyle name="Link Units (2)" xfId="11696"/>
    <cellStyle name="Linked Cell 10" xfId="11697"/>
    <cellStyle name="Linked Cell 11" xfId="11698"/>
    <cellStyle name="Linked Cell 12" xfId="11699"/>
    <cellStyle name="Linked Cell 13" xfId="11700"/>
    <cellStyle name="Linked Cell 2" xfId="11701"/>
    <cellStyle name="Linked Cell 3" xfId="11702"/>
    <cellStyle name="Linked Cell 4" xfId="11703"/>
    <cellStyle name="Linked Cell 5" xfId="11704"/>
    <cellStyle name="Linked Cell 6" xfId="11705"/>
    <cellStyle name="Linked Cell 7" xfId="11706"/>
    <cellStyle name="Linked Cell 8" xfId="11707"/>
    <cellStyle name="Linked Cell 9" xfId="11708"/>
    <cellStyle name="Linked Cells" xfId="11709"/>
    <cellStyle name="locked" xfId="11710"/>
    <cellStyle name="LookUpText" xfId="11711"/>
    <cellStyle name="lou" xfId="11712"/>
    <cellStyle name="m&amp;a" xfId="11713"/>
    <cellStyle name="ManualInput" xfId="11714"/>
    <cellStyle name="ManualInput 2" xfId="20341"/>
    <cellStyle name="Map Labels" xfId="11715"/>
    <cellStyle name="Map Legend" xfId="11716"/>
    <cellStyle name="Map Title" xfId="11717"/>
    <cellStyle name="Margins" xfId="11718"/>
    <cellStyle name="Margins 2" xfId="20342"/>
    <cellStyle name="Migliaia (0)_ACTUAL 31-12-95" xfId="11719"/>
    <cellStyle name="Migliaia_ACTUAL 30-06-95.XLS" xfId="11720"/>
    <cellStyle name="mil" xfId="11721"/>
    <cellStyle name="Miles" xfId="11722"/>
    <cellStyle name="Millares [0]_laroux" xfId="11723"/>
    <cellStyle name="Millares_laroux" xfId="11724"/>
    <cellStyle name="Milliers [0]_!!!GO" xfId="11725"/>
    <cellStyle name="Milliers 2" xfId="11726"/>
    <cellStyle name="Milliers_!!!GO" xfId="11727"/>
    <cellStyle name="Mills" xfId="11728"/>
    <cellStyle name="Mills 2" xfId="11729"/>
    <cellStyle name="Mills 2 2" xfId="20281"/>
    <cellStyle name="Mills 3" xfId="11730"/>
    <cellStyle name="Mills 3 2" xfId="20282"/>
    <cellStyle name="Mills 4" xfId="20283"/>
    <cellStyle name="mm/d/yy" xfId="11731"/>
    <cellStyle name="mm/dd/yy" xfId="11732"/>
    <cellStyle name="MMM-YY" xfId="11733"/>
    <cellStyle name="MMs1Place" xfId="11734"/>
    <cellStyle name="MMs2Places" xfId="11735"/>
    <cellStyle name="mo" xfId="11736"/>
    <cellStyle name="mo end" xfId="11737"/>
    <cellStyle name="mo_~8080122" xfId="11738"/>
    <cellStyle name="Model" xfId="11739"/>
    <cellStyle name="Moneda [0]_laroux" xfId="11740"/>
    <cellStyle name="Moneda_laroux" xfId="11741"/>
    <cellStyle name="Monétaire [0]_!!!GO" xfId="11742"/>
    <cellStyle name="Monétaire 2" xfId="11743"/>
    <cellStyle name="Monétaire 2 10" xfId="11744"/>
    <cellStyle name="Monétaire 2 2" xfId="11745"/>
    <cellStyle name="Monétaire 2 2 2" xfId="11746"/>
    <cellStyle name="Monétaire 2 2 2 2" xfId="11747"/>
    <cellStyle name="Monétaire 2 2 2 3" xfId="11748"/>
    <cellStyle name="Monétaire 2 2 2 4" xfId="11749"/>
    <cellStyle name="Monétaire 2 2 2 5" xfId="11750"/>
    <cellStyle name="Monétaire 2 2 3" xfId="11751"/>
    <cellStyle name="Monétaire 2 2 4" xfId="11752"/>
    <cellStyle name="Monétaire 2 2 5" xfId="11753"/>
    <cellStyle name="Monétaire 2 3" xfId="11754"/>
    <cellStyle name="Monétaire 2 4" xfId="11755"/>
    <cellStyle name="Monétaire 2 5" xfId="11756"/>
    <cellStyle name="Monétaire 2 6" xfId="11757"/>
    <cellStyle name="Monétaire 2 7" xfId="11758"/>
    <cellStyle name="Monétaire 2 8" xfId="11759"/>
    <cellStyle name="Monétaire 2 9" xfId="11760"/>
    <cellStyle name="Monétaire_!!!GO" xfId="11761"/>
    <cellStyle name="MonthYear" xfId="11762"/>
    <cellStyle name="Mon-Yr" xfId="11763"/>
    <cellStyle name="Mult No x" xfId="11764"/>
    <cellStyle name="Mult No x 2" xfId="11765"/>
    <cellStyle name="Mult No x 2 2" xfId="20284"/>
    <cellStyle name="Mult No x 3" xfId="11766"/>
    <cellStyle name="Mult No x 3 2" xfId="20285"/>
    <cellStyle name="Mult No x 4" xfId="20286"/>
    <cellStyle name="Mult With x" xfId="11767"/>
    <cellStyle name="Mult With x 2" xfId="11768"/>
    <cellStyle name="Mult With x 2 2" xfId="20287"/>
    <cellStyle name="Mult With x 3" xfId="11769"/>
    <cellStyle name="Mult With x 3 2" xfId="20288"/>
    <cellStyle name="Mult With x 4" xfId="20289"/>
    <cellStyle name="Multiple" xfId="11770"/>
    <cellStyle name="Multiple (no x)" xfId="11771"/>
    <cellStyle name="Multiple (x)" xfId="11772"/>
    <cellStyle name="Multiple []" xfId="11773"/>
    <cellStyle name="Multiple [0]" xfId="11774"/>
    <cellStyle name="Multiple [0] []" xfId="11775"/>
    <cellStyle name="Multiple [1]" xfId="11776"/>
    <cellStyle name="Multiple [1] []" xfId="11777"/>
    <cellStyle name="Multiple[,]" xfId="11778"/>
    <cellStyle name="Multiple[1]" xfId="11779"/>
    <cellStyle name="Multiple[2]" xfId="11780"/>
    <cellStyle name="Multiple_Abacus1" xfId="11781"/>
    <cellStyle name="MultipleBelow" xfId="11782"/>
    <cellStyle name="NA is zero" xfId="11783"/>
    <cellStyle name="NA is zero 2" xfId="20343"/>
    <cellStyle name="Neutral 10" xfId="11784"/>
    <cellStyle name="Neutral 11" xfId="11785"/>
    <cellStyle name="Neutral 12" xfId="11786"/>
    <cellStyle name="Neutral 13" xfId="11787"/>
    <cellStyle name="Neutral 2" xfId="11788"/>
    <cellStyle name="Neutral 3" xfId="11789"/>
    <cellStyle name="Neutral 4" xfId="11790"/>
    <cellStyle name="Neutral 5" xfId="11791"/>
    <cellStyle name="Neutral 6" xfId="11792"/>
    <cellStyle name="Neutral 7" xfId="11793"/>
    <cellStyle name="Neutral 8" xfId="11794"/>
    <cellStyle name="Neutral 9" xfId="11795"/>
    <cellStyle name="new" xfId="11796"/>
    <cellStyle name="NewColumnHeaderNormal" xfId="11797"/>
    <cellStyle name="NewPeso" xfId="11798"/>
    <cellStyle name="NewPeso 2" xfId="20344"/>
    <cellStyle name="NewSectionHeaderNormal" xfId="11799"/>
    <cellStyle name="NewSectionHeaderNormal 2" xfId="20345"/>
    <cellStyle name="NewTitleNormal" xfId="11800"/>
    <cellStyle name="No Border" xfId="11801"/>
    <cellStyle name="No Border 2" xfId="20346"/>
    <cellStyle name="no dec" xfId="11802"/>
    <cellStyle name="nobuild" xfId="11803"/>
    <cellStyle name="nonmultiple" xfId="11804"/>
    <cellStyle name="NonPrint_Heading" xfId="11805"/>
    <cellStyle name="Norm੎੎" xfId="11806"/>
    <cellStyle name="Norm੎੎ 2" xfId="20347"/>
    <cellStyle name="Normal" xfId="0" builtinId="0"/>
    <cellStyle name="Normal - Style1" xfId="11807"/>
    <cellStyle name="Normal - Style2" xfId="11808"/>
    <cellStyle name="Normal - Style2 2" xfId="11809"/>
    <cellStyle name="Normal - Style3" xfId="11810"/>
    <cellStyle name="Normal - Style4" xfId="11811"/>
    <cellStyle name="Normal - Style5" xfId="11812"/>
    <cellStyle name="Normal - Style6" xfId="11813"/>
    <cellStyle name="Normal - Style7" xfId="11814"/>
    <cellStyle name="Normal - Style8" xfId="11815"/>
    <cellStyle name="Normal - Style8 2" xfId="11816"/>
    <cellStyle name="Normal [0]" xfId="11817"/>
    <cellStyle name="Normal [0] 2" xfId="20348"/>
    <cellStyle name="Normal [1]" xfId="11818"/>
    <cellStyle name="Normal [2]" xfId="11819"/>
    <cellStyle name="Normal [2] 2" xfId="20349"/>
    <cellStyle name="Normal [3]" xfId="11820"/>
    <cellStyle name="Normal [3] 2" xfId="20350"/>
    <cellStyle name="Normal 10" xfId="11821"/>
    <cellStyle name="Normal 10 11 2" xfId="11822"/>
    <cellStyle name="Normal 10 11 2 2" xfId="16168"/>
    <cellStyle name="Normal 10 11 2 2 2" xfId="20310"/>
    <cellStyle name="Normal 10 11 2 2 3" xfId="20381"/>
    <cellStyle name="Normal 10 11 2 3" xfId="20191"/>
    <cellStyle name="Normal 10 2" xfId="11823"/>
    <cellStyle name="Normal 10 2 2" xfId="20351"/>
    <cellStyle name="Normal 10 3" xfId="11824"/>
    <cellStyle name="Normal 10 4" xfId="11825"/>
    <cellStyle name="Normal 11" xfId="11826"/>
    <cellStyle name="Normal 11 2" xfId="11827"/>
    <cellStyle name="Normal 11 3" xfId="20307"/>
    <cellStyle name="Normal 11 4" xfId="20380"/>
    <cellStyle name="Normal 12" xfId="11828"/>
    <cellStyle name="Normal 12 2" xfId="11829"/>
    <cellStyle name="Normal 12 2 2" xfId="16169"/>
    <cellStyle name="Normal 12 2 3" xfId="20192"/>
    <cellStyle name="Normal 13" xfId="11830"/>
    <cellStyle name="Normal 13 2" xfId="11831"/>
    <cellStyle name="Normal 14" xfId="11832"/>
    <cellStyle name="Normal 14 2" xfId="11833"/>
    <cellStyle name="Normal 14 2 2" xfId="16170"/>
    <cellStyle name="Normal 14 2 3" xfId="20193"/>
    <cellStyle name="Normal 15" xfId="11834"/>
    <cellStyle name="Normal 15 2" xfId="11835"/>
    <cellStyle name="Normal 15 2 2" xfId="16171"/>
    <cellStyle name="Normal 15 2 3" xfId="20194"/>
    <cellStyle name="Normal 16" xfId="11836"/>
    <cellStyle name="Normal 16 2" xfId="11837"/>
    <cellStyle name="Normal 16 2 2" xfId="16172"/>
    <cellStyle name="Normal 16 2 3" xfId="20195"/>
    <cellStyle name="Normal 17" xfId="11838"/>
    <cellStyle name="Normal 17 2" xfId="11839"/>
    <cellStyle name="Normal 17 2 2" xfId="16173"/>
    <cellStyle name="Normal 17 2 3" xfId="20196"/>
    <cellStyle name="Normal 17 3" xfId="11840"/>
    <cellStyle name="Normal 18" xfId="11841"/>
    <cellStyle name="Normal 18 2" xfId="11842"/>
    <cellStyle name="Normal 18 2 2" xfId="16174"/>
    <cellStyle name="Normal 18 2 3" xfId="20197"/>
    <cellStyle name="Normal 19" xfId="11843"/>
    <cellStyle name="Normal 19 2" xfId="11844"/>
    <cellStyle name="Normal 19 2 2" xfId="16175"/>
    <cellStyle name="Normal 19 2 3" xfId="20198"/>
    <cellStyle name="Normal 2" xfId="11845"/>
    <cellStyle name="Normal 2 10" xfId="11846"/>
    <cellStyle name="Normal 2 11" xfId="11847"/>
    <cellStyle name="Normal 2 12" xfId="11848"/>
    <cellStyle name="Normal 2 13" xfId="11849"/>
    <cellStyle name="Normal 2 14" xfId="11850"/>
    <cellStyle name="Normal 2 15" xfId="11851"/>
    <cellStyle name="Normal 2 16" xfId="16176"/>
    <cellStyle name="Normal 2 17" xfId="20199"/>
    <cellStyle name="Normal 2 18" xfId="20382"/>
    <cellStyle name="Normal 2 18 2" xfId="20444"/>
    <cellStyle name="Normal 2 2" xfId="11852"/>
    <cellStyle name="Normal 2 2 2" xfId="11853"/>
    <cellStyle name="Normal 2 2 3" xfId="11854"/>
    <cellStyle name="Normal 2 2 4" xfId="11855"/>
    <cellStyle name="Normal 2 2 5" xfId="20290"/>
    <cellStyle name="Normal 2 3" xfId="11856"/>
    <cellStyle name="Normal 2 3 2" xfId="11857"/>
    <cellStyle name="Normal 2 4" xfId="11858"/>
    <cellStyle name="Normal 2 5" xfId="11859"/>
    <cellStyle name="Normal 2 6" xfId="11860"/>
    <cellStyle name="Normal 2 7" xfId="11861"/>
    <cellStyle name="Normal 2 8" xfId="11862"/>
    <cellStyle name="Normal 2 9" xfId="11863"/>
    <cellStyle name="Normal 20" xfId="11864"/>
    <cellStyle name="Normal 20 2" xfId="11865"/>
    <cellStyle name="Normal 20 2 2" xfId="16177"/>
    <cellStyle name="Normal 20 2 3" xfId="20200"/>
    <cellStyle name="Normal 21" xfId="11866"/>
    <cellStyle name="Normal 21 2" xfId="20291"/>
    <cellStyle name="Normal 21 2 2" xfId="20424"/>
    <cellStyle name="Normal 21 2 2 2" xfId="20388"/>
    <cellStyle name="Normal 21 2 2 2 2" xfId="20397"/>
    <cellStyle name="Normal 21 2 2 2 2 2" xfId="20402"/>
    <cellStyle name="Normal 21 2 2 2 2 2 2" xfId="20420"/>
    <cellStyle name="Normal 21 2 2 2 2 3" xfId="20418"/>
    <cellStyle name="Normal 22" xfId="11867"/>
    <cellStyle name="Normal 23" xfId="11868"/>
    <cellStyle name="Normal 24" xfId="11869"/>
    <cellStyle name="Normal 25" xfId="11870"/>
    <cellStyle name="Normal 26" xfId="11871"/>
    <cellStyle name="Normal 27" xfId="11872"/>
    <cellStyle name="Normal 28" xfId="11873"/>
    <cellStyle name="Normal 28 2" xfId="16178"/>
    <cellStyle name="Normal 28 3" xfId="20201"/>
    <cellStyle name="Normal 29" xfId="11874"/>
    <cellStyle name="Normal 3" xfId="11875"/>
    <cellStyle name="Normal 3 10" xfId="11876"/>
    <cellStyle name="Normal 3 2" xfId="11877"/>
    <cellStyle name="Normal 3 2 2" xfId="11878"/>
    <cellStyle name="Normal 3 2 3" xfId="11879"/>
    <cellStyle name="Normal 3 2 4" xfId="11880"/>
    <cellStyle name="Normal 3 2 5" xfId="11881"/>
    <cellStyle name="Normal 3 3" xfId="11882"/>
    <cellStyle name="Normal 3 3 2" xfId="11883"/>
    <cellStyle name="Normal 3 3 3" xfId="11884"/>
    <cellStyle name="Normal 3 3 4" xfId="20292"/>
    <cellStyle name="Normal 3 4" xfId="11885"/>
    <cellStyle name="Normal 3 4 2" xfId="11886"/>
    <cellStyle name="Normal 3 5" xfId="11887"/>
    <cellStyle name="Normal 3 6" xfId="11888"/>
    <cellStyle name="Normal 3 7" xfId="11889"/>
    <cellStyle name="Normal 3 8" xfId="20413"/>
    <cellStyle name="Normal 3 8 2" xfId="20453"/>
    <cellStyle name="Normal 30" xfId="11890"/>
    <cellStyle name="Normal 30 2" xfId="11891"/>
    <cellStyle name="Normal 31" xfId="11892"/>
    <cellStyle name="Normal 32" xfId="11893"/>
    <cellStyle name="Normal 33" xfId="11894"/>
    <cellStyle name="Normal 33 2" xfId="11895"/>
    <cellStyle name="Normal 33 3" xfId="16179"/>
    <cellStyle name="Normal 33 4" xfId="20202"/>
    <cellStyle name="Normal 34" xfId="11896"/>
    <cellStyle name="Normal 35" xfId="11897"/>
    <cellStyle name="Normal 36" xfId="16216"/>
    <cellStyle name="Normal 36 2" xfId="20293"/>
    <cellStyle name="Normal 37" xfId="16219"/>
    <cellStyle name="Normal 38" xfId="16382"/>
    <cellStyle name="Normal 39" xfId="16383"/>
    <cellStyle name="Normal 39 2" xfId="20422"/>
    <cellStyle name="Normal 39 2 2" xfId="20386"/>
    <cellStyle name="Normal 39 2 2 2" xfId="20395"/>
    <cellStyle name="Normal 39 2 2 2 2" xfId="20401"/>
    <cellStyle name="Normal 39 2 2 2 2 2" xfId="20419"/>
    <cellStyle name="Normal 39 2 2 2 3" xfId="20416"/>
    <cellStyle name="Normal 39 2 2 3" xfId="20414"/>
    <cellStyle name="Normal 4" xfId="11898"/>
    <cellStyle name="Normal 4 2" xfId="11899"/>
    <cellStyle name="Normal 4 2 2" xfId="11900"/>
    <cellStyle name="Normal 4 2 3" xfId="20294"/>
    <cellStyle name="Normal 4 3" xfId="11901"/>
    <cellStyle name="Normal 4 3 2" xfId="11902"/>
    <cellStyle name="Normal 4 3 3" xfId="20295"/>
    <cellStyle name="Normal 4 4" xfId="11903"/>
    <cellStyle name="Normal 4 5" xfId="11904"/>
    <cellStyle name="Normal 4 6" xfId="11905"/>
    <cellStyle name="Normal 40" xfId="20306"/>
    <cellStyle name="Normal 41" xfId="20391"/>
    <cellStyle name="Normal 41 2 2" xfId="20429"/>
    <cellStyle name="Normal 41 2 2 2" xfId="20434"/>
    <cellStyle name="Normal 41 2 2 2 2" xfId="20436"/>
    <cellStyle name="Normal 41 3" xfId="20440"/>
    <cellStyle name="Normal 42" xfId="20404"/>
    <cellStyle name="Normal 42 2" xfId="20390"/>
    <cellStyle name="Normal 42 2 2" xfId="20408"/>
    <cellStyle name="Normal 42 2 3" xfId="20445"/>
    <cellStyle name="Normal 43" xfId="20410"/>
    <cellStyle name="Normal 43 2" xfId="20389"/>
    <cellStyle name="Normal 43 2 2" xfId="20409"/>
    <cellStyle name="Normal 43 3" xfId="20435"/>
    <cellStyle name="Normal 44" xfId="20425"/>
    <cellStyle name="Normal 45" xfId="20426"/>
    <cellStyle name="Normal 45 2" xfId="20428"/>
    <cellStyle name="Normal 45 2 2" xfId="20442"/>
    <cellStyle name="Normal 46" xfId="20427"/>
    <cellStyle name="Normal 47" xfId="20448"/>
    <cellStyle name="Normal 48" xfId="20454"/>
    <cellStyle name="Normal 5" xfId="11906"/>
    <cellStyle name="Normal 5 2" xfId="11907"/>
    <cellStyle name="Normal 5 2 2" xfId="11908"/>
    <cellStyle name="Normal 5 3" xfId="11909"/>
    <cellStyle name="Normal 5 4" xfId="11910"/>
    <cellStyle name="Normal 54" xfId="20446"/>
    <cellStyle name="Normal 6" xfId="11911"/>
    <cellStyle name="Normal 6 2" xfId="11912"/>
    <cellStyle name="Normal 6 2 2" xfId="11913"/>
    <cellStyle name="Normal 6 3" xfId="11914"/>
    <cellStyle name="Normal 60" xfId="12421"/>
    <cellStyle name="Normal 66" xfId="11915"/>
    <cellStyle name="Normal 7" xfId="11916"/>
    <cellStyle name="Normal 7 2" xfId="11917"/>
    <cellStyle name="Normal 7 3" xfId="11918"/>
    <cellStyle name="Normal 7 4" xfId="20411"/>
    <cellStyle name="Normal 8" xfId="11919"/>
    <cellStyle name="Normal 8 2" xfId="11920"/>
    <cellStyle name="Normal 8 2 2" xfId="16180"/>
    <cellStyle name="Normal 8 2 3" xfId="20203"/>
    <cellStyle name="Normal 88" xfId="20400"/>
    <cellStyle name="Normal 9" xfId="11921"/>
    <cellStyle name="Normal 9 2" xfId="11922"/>
    <cellStyle name="Normal 9 2 2" xfId="16181"/>
    <cellStyle name="Normal 9 2 3" xfId="20204"/>
    <cellStyle name="Normal Bold" xfId="11923"/>
    <cellStyle name="Normal Bold 2" xfId="20352"/>
    <cellStyle name="Normal Currency" xfId="11924"/>
    <cellStyle name="Normal Dollar" xfId="11925"/>
    <cellStyle name="Normal- Enter (1)" xfId="11926"/>
    <cellStyle name="Normal Number" xfId="11927"/>
    <cellStyle name="Normal Pct" xfId="11928"/>
    <cellStyle name="Normal Pct 2" xfId="20353"/>
    <cellStyle name="Normal/DBL" xfId="11929"/>
    <cellStyle name="Normal_Input Sheet" xfId="20308"/>
    <cellStyle name="Normal_MO_Supernus revenue model update_Feb09_vFinal_v4" xfId="20431"/>
    <cellStyle name="Normal_NEW-WACC" xfId="20379"/>
    <cellStyle name="Normal1" xfId="11930"/>
    <cellStyle name="Normal1 2" xfId="20354"/>
    <cellStyle name="Normal1Places" xfId="11931"/>
    <cellStyle name="Normal1Places 2" xfId="20355"/>
    <cellStyle name="Normal2" xfId="11932"/>
    <cellStyle name="Normal2Places" xfId="11933"/>
    <cellStyle name="Normal2Places 2" xfId="20356"/>
    <cellStyle name="Normal3Places" xfId="11934"/>
    <cellStyle name="Normal8" xfId="11935"/>
    <cellStyle name="NormalBlue" xfId="11936"/>
    <cellStyle name="NormalBold" xfId="11937"/>
    <cellStyle name="NormalBold 2" xfId="20357"/>
    <cellStyle name="Normale_ACTUAL 30-06-95.XLS" xfId="11938"/>
    <cellStyle name="Normal-Entry" xfId="11939"/>
    <cellStyle name="NormalEPS" xfId="11940"/>
    <cellStyle name="NormalGB" xfId="11941"/>
    <cellStyle name="NormalGB 2" xfId="20358"/>
    <cellStyle name="NormalHelv" xfId="11942"/>
    <cellStyle name="Normal-Input(1)" xfId="11943"/>
    <cellStyle name="NormalJEM" xfId="11944"/>
    <cellStyle name="normální_M Schedules 2008 v02 - pracovní" xfId="11945"/>
    <cellStyle name="NormalPop" xfId="11946"/>
    <cellStyle name="NormalPop 2" xfId="20359"/>
    <cellStyle name="Note 10" xfId="11947"/>
    <cellStyle name="Note 10 2" xfId="11948"/>
    <cellStyle name="Note 10 2 2" xfId="16182"/>
    <cellStyle name="Note 10 2 3" xfId="20205"/>
    <cellStyle name="Note 11" xfId="11949"/>
    <cellStyle name="Note 11 2" xfId="11950"/>
    <cellStyle name="Note 11 2 2" xfId="16183"/>
    <cellStyle name="Note 11 2 3" xfId="20206"/>
    <cellStyle name="Note 12" xfId="11951"/>
    <cellStyle name="Note 12 2" xfId="11952"/>
    <cellStyle name="Note 12 2 2" xfId="16184"/>
    <cellStyle name="Note 12 2 3" xfId="20207"/>
    <cellStyle name="Note 13" xfId="11953"/>
    <cellStyle name="Note 13 2" xfId="11954"/>
    <cellStyle name="Note 13 2 2" xfId="16185"/>
    <cellStyle name="Note 13 2 3" xfId="20208"/>
    <cellStyle name="Note 14" xfId="11955"/>
    <cellStyle name="Note 15" xfId="11956"/>
    <cellStyle name="Note 2" xfId="11957"/>
    <cellStyle name="Note 2 2" xfId="11958"/>
    <cellStyle name="Note 2 2 2" xfId="16186"/>
    <cellStyle name="Note 2 2 3" xfId="20209"/>
    <cellStyle name="Note 3" xfId="11959"/>
    <cellStyle name="Note 3 2" xfId="11960"/>
    <cellStyle name="Note 3 2 2" xfId="16187"/>
    <cellStyle name="Note 3 2 3" xfId="20210"/>
    <cellStyle name="Note 4" xfId="11961"/>
    <cellStyle name="Note 4 2" xfId="11962"/>
    <cellStyle name="Note 4 2 2" xfId="16188"/>
    <cellStyle name="Note 4 2 3" xfId="20211"/>
    <cellStyle name="Note 5" xfId="11963"/>
    <cellStyle name="Note 5 2" xfId="11964"/>
    <cellStyle name="Note 5 2 2" xfId="16189"/>
    <cellStyle name="Note 5 2 3" xfId="20212"/>
    <cellStyle name="Note 6" xfId="11965"/>
    <cellStyle name="Note 6 2" xfId="11966"/>
    <cellStyle name="Note 6 2 2" xfId="16190"/>
    <cellStyle name="Note 6 2 3" xfId="20213"/>
    <cellStyle name="Note 7" xfId="11967"/>
    <cellStyle name="Note 7 2" xfId="11968"/>
    <cellStyle name="Note 7 2 2" xfId="16191"/>
    <cellStyle name="Note 7 2 3" xfId="20214"/>
    <cellStyle name="Note 8" xfId="11969"/>
    <cellStyle name="Note 8 2" xfId="11970"/>
    <cellStyle name="Note 8 2 2" xfId="16192"/>
    <cellStyle name="Note 8 2 3" xfId="20215"/>
    <cellStyle name="Note 9" xfId="11971"/>
    <cellStyle name="Note 9 2" xfId="11972"/>
    <cellStyle name="Note 9 2 2" xfId="16193"/>
    <cellStyle name="Note 9 2 3" xfId="20216"/>
    <cellStyle name="NPPESalesPct" xfId="11973"/>
    <cellStyle name="NPPESalesPct 2" xfId="20360"/>
    <cellStyle name="Num1" xfId="11974"/>
    <cellStyle name="Num1Blue" xfId="11975"/>
    <cellStyle name="num1Style" xfId="11976"/>
    <cellStyle name="num1Styleb" xfId="11977"/>
    <cellStyle name="Num2" xfId="11978"/>
    <cellStyle name="num4Style" xfId="11979"/>
    <cellStyle name="num4Styleb" xfId="11980"/>
    <cellStyle name="Number" xfId="11981"/>
    <cellStyle name="Number 2" xfId="20361"/>
    <cellStyle name="numbers" xfId="11982"/>
    <cellStyle name="numbers 2" xfId="20362"/>
    <cellStyle name="numPStyle" xfId="11983"/>
    <cellStyle name="numPStyleb" xfId="11984"/>
    <cellStyle name="numXStyle" xfId="11985"/>
    <cellStyle name="numXStyleb" xfId="11986"/>
    <cellStyle name="Œ…‹æ_Ø‚è [0.00]_Affiliate Fcst Inputs" xfId="11987"/>
    <cellStyle name="Œ…‹æØ‚è [0.00]_!!!GO" xfId="11988"/>
    <cellStyle name="Œ…‹æØ‚è_!!!GO" xfId="11989"/>
    <cellStyle name="OScommands" xfId="11990"/>
    <cellStyle name="OSW_ColumnLabels" xfId="11991"/>
    <cellStyle name="Output 10" xfId="11992"/>
    <cellStyle name="Output 11" xfId="11993"/>
    <cellStyle name="Output 12" xfId="11994"/>
    <cellStyle name="Output 13" xfId="11995"/>
    <cellStyle name="Output 2" xfId="11996"/>
    <cellStyle name="Output 3" xfId="11997"/>
    <cellStyle name="Output 4" xfId="11998"/>
    <cellStyle name="Output 5" xfId="11999"/>
    <cellStyle name="Output 6" xfId="12000"/>
    <cellStyle name="Output 7" xfId="12001"/>
    <cellStyle name="Output 8" xfId="12002"/>
    <cellStyle name="Output 9" xfId="12003"/>
    <cellStyle name="Output Amounts" xfId="12004"/>
    <cellStyle name="Output Column Headings" xfId="12005"/>
    <cellStyle name="Output Line Items" xfId="12006"/>
    <cellStyle name="Output Report Heading" xfId="12007"/>
    <cellStyle name="Output Report Title" xfId="12008"/>
    <cellStyle name="Outputs" xfId="12009"/>
    <cellStyle name="Outputs 2" xfId="12010"/>
    <cellStyle name="Outputs 2 2" xfId="20296"/>
    <cellStyle name="Outputs 3" xfId="12011"/>
    <cellStyle name="Outputs 3 2" xfId="20297"/>
    <cellStyle name="Outputs 4" xfId="20298"/>
    <cellStyle name="OVER" xfId="12012"/>
    <cellStyle name="p" xfId="12013"/>
    <cellStyle name="P&amp;L Numbers" xfId="12014"/>
    <cellStyle name="p_DCF" xfId="12015"/>
    <cellStyle name="Page Heading" xfId="12016"/>
    <cellStyle name="Page Heading Large" xfId="12017"/>
    <cellStyle name="Page Heading Small" xfId="12018"/>
    <cellStyle name="Page Number" xfId="12019"/>
    <cellStyle name="paint" xfId="12020"/>
    <cellStyle name="Palatino" xfId="12021"/>
    <cellStyle name="pc1" xfId="12022"/>
    <cellStyle name="pc1 2" xfId="20363"/>
    <cellStyle name="pct_sub" xfId="12023"/>
    <cellStyle name="per.style" xfId="12024"/>
    <cellStyle name="per.style 2" xfId="20364"/>
    <cellStyle name="Percen" xfId="12025"/>
    <cellStyle name="Percen - Style1" xfId="12026"/>
    <cellStyle name="Percen - Style5" xfId="12027"/>
    <cellStyle name="Percent" xfId="12422" builtinId="5"/>
    <cellStyle name="Percent %" xfId="12028"/>
    <cellStyle name="Percent % Long Underline" xfId="12029"/>
    <cellStyle name="Percent (0)" xfId="12030"/>
    <cellStyle name="Percent (1)" xfId="12031"/>
    <cellStyle name="Percent (2)" xfId="12032"/>
    <cellStyle name="Percent [0]" xfId="12033"/>
    <cellStyle name="Percent [00]" xfId="12034"/>
    <cellStyle name="Percent [1]" xfId="12035"/>
    <cellStyle name="Percent [1] 2" xfId="20365"/>
    <cellStyle name="Percent [1][]" xfId="12036"/>
    <cellStyle name="Percent [1]_Aprio - Public Comps1" xfId="12037"/>
    <cellStyle name="Percent [2]" xfId="12038"/>
    <cellStyle name="Percent [2] 2" xfId="12039"/>
    <cellStyle name="Percent [2] 3" xfId="12040"/>
    <cellStyle name="Percent 0.0%" xfId="12041"/>
    <cellStyle name="Percent 0.0% Long Underline" xfId="12042"/>
    <cellStyle name="Percent 0.00%" xfId="12043"/>
    <cellStyle name="Percent 0.00% Long Underline" xfId="12044"/>
    <cellStyle name="Percent 0.000%" xfId="12045"/>
    <cellStyle name="Percent 0.000% Long Underline" xfId="12046"/>
    <cellStyle name="Percent 0.000%_Aprio - Public Comps1" xfId="12047"/>
    <cellStyle name="Percent 1" xfId="12048"/>
    <cellStyle name="Percent 10" xfId="2"/>
    <cellStyle name="Percent 10 2" xfId="12429"/>
    <cellStyle name="Percent 10 3" xfId="16385"/>
    <cellStyle name="Percent 11" xfId="12049"/>
    <cellStyle name="Percent 12" xfId="12050"/>
    <cellStyle name="Percent 13" xfId="12051"/>
    <cellStyle name="Percent 13 2" xfId="16194"/>
    <cellStyle name="Percent 13 3" xfId="20217"/>
    <cellStyle name="Percent 14" xfId="12052"/>
    <cellStyle name="Percent 15" xfId="12053"/>
    <cellStyle name="Percent 16" xfId="20366"/>
    <cellStyle name="Percent 17" xfId="20407"/>
    <cellStyle name="Percent 18" xfId="20384"/>
    <cellStyle name="Percent 19" xfId="20450"/>
    <cellStyle name="Percent 2" xfId="12054"/>
    <cellStyle name="Percent 2 2" xfId="12055"/>
    <cellStyle name="Percent 2 2 2" xfId="12056"/>
    <cellStyle name="Percent 2 3" xfId="12057"/>
    <cellStyle name="Percent 2 3 2" xfId="12058"/>
    <cellStyle name="Percent 2 4" xfId="12059"/>
    <cellStyle name="Percent 2 4 2" xfId="12060"/>
    <cellStyle name="Percent 2 5" xfId="12061"/>
    <cellStyle name="Percent 2 6" xfId="12062"/>
    <cellStyle name="Percent 2 7" xfId="16195"/>
    <cellStyle name="Percent 2 8" xfId="20218"/>
    <cellStyle name="Percent 2 9" xfId="20383"/>
    <cellStyle name="Percent 20" xfId="20451"/>
    <cellStyle name="Percent 21 2" xfId="20443"/>
    <cellStyle name="Percent 3" xfId="12063"/>
    <cellStyle name="Percent 3 2" xfId="12064"/>
    <cellStyle name="Percent 3 2 2" xfId="12065"/>
    <cellStyle name="Percent 3 2 3" xfId="20299"/>
    <cellStyle name="Percent 3 3" xfId="12066"/>
    <cellStyle name="Percent 3 4" xfId="12067"/>
    <cellStyle name="Percent 3 5" xfId="12068"/>
    <cellStyle name="Percent 4" xfId="12069"/>
    <cellStyle name="Percent 4 2" xfId="12070"/>
    <cellStyle name="Percent 5" xfId="12071"/>
    <cellStyle name="Percent 6" xfId="12072"/>
    <cellStyle name="Percent 7" xfId="12073"/>
    <cellStyle name="Percent 7 3" xfId="12424"/>
    <cellStyle name="Percent 8" xfId="12074"/>
    <cellStyle name="Percent 8 2" xfId="20309"/>
    <cellStyle name="Percent 8 3" xfId="12075"/>
    <cellStyle name="Percent 9" xfId="12076"/>
    <cellStyle name="Percent Decimal" xfId="12077"/>
    <cellStyle name="Percent Hard" xfId="12078"/>
    <cellStyle name="Percent Hard 2" xfId="20367"/>
    <cellStyle name="Percent Input" xfId="12079"/>
    <cellStyle name="Percent Input 2" xfId="20368"/>
    <cellStyle name="Percent*" xfId="12080"/>
    <cellStyle name="Percent1" xfId="12081"/>
    <cellStyle name="Percent1Blue" xfId="12082"/>
    <cellStyle name="Percent2" xfId="12083"/>
    <cellStyle name="Percent2 [0]" xfId="12084"/>
    <cellStyle name="Percent2 [1]" xfId="12085"/>
    <cellStyle name="Percent2Blue" xfId="12086"/>
    <cellStyle name="Percentage" xfId="12087"/>
    <cellStyle name="PercentChange" xfId="12088"/>
    <cellStyle name="PercentDash0" xfId="12089"/>
    <cellStyle name="PercentF [0]" xfId="12090"/>
    <cellStyle name="PercentF [1]" xfId="12091"/>
    <cellStyle name="PercentSales" xfId="12092"/>
    <cellStyle name="PercentSales 2" xfId="20369"/>
    <cellStyle name="PercentText0" xfId="12093"/>
    <cellStyle name="Periods" xfId="12094"/>
    <cellStyle name="Perlong" xfId="12095"/>
    <cellStyle name="Plain" xfId="12096"/>
    <cellStyle name="Plan" xfId="12097"/>
    <cellStyle name="pound" xfId="12098"/>
    <cellStyle name="pound 2" xfId="20370"/>
    <cellStyle name="Pourcentage 2" xfId="12099"/>
    <cellStyle name="Pourcentage 3" xfId="12100"/>
    <cellStyle name="PrePop Currency (0)" xfId="12101"/>
    <cellStyle name="PrePop Currency (2)" xfId="12102"/>
    <cellStyle name="PrePop Units (0)" xfId="12103"/>
    <cellStyle name="PrePop Units (1)" xfId="12104"/>
    <cellStyle name="PrePop Units (2)" xfId="12105"/>
    <cellStyle name="Price" xfId="12106"/>
    <cellStyle name="pricing" xfId="12107"/>
    <cellStyle name="Private" xfId="12108"/>
    <cellStyle name="Private1" xfId="12109"/>
    <cellStyle name="Product Title" xfId="12110"/>
    <cellStyle name="PROJECT" xfId="12111"/>
    <cellStyle name="PROJECT R" xfId="12112"/>
    <cellStyle name="PROJECT_Boston Power VD 01 31 2008 Model 02 26 2008" xfId="12113"/>
    <cellStyle name="Protected" xfId="12114"/>
    <cellStyle name="Protection" xfId="12115"/>
    <cellStyle name="PSChar" xfId="12116"/>
    <cellStyle name="PSDate" xfId="12117"/>
    <cellStyle name="PSDec" xfId="12118"/>
    <cellStyle name="PSHeading" xfId="12119"/>
    <cellStyle name="PSHeading 2" xfId="20371"/>
    <cellStyle name="PSInt" xfId="12120"/>
    <cellStyle name="PSSpacer" xfId="12121"/>
    <cellStyle name="question" xfId="12122"/>
    <cellStyle name="Ratio (1)" xfId="12123"/>
    <cellStyle name="Ratio (2)" xfId="12124"/>
    <cellStyle name="Ratio_U (1)" xfId="12125"/>
    <cellStyle name="RatioX" xfId="12126"/>
    <cellStyle name="Read" xfId="12127"/>
    <cellStyle name="Read$" xfId="12128"/>
    <cellStyle name="Read%" xfId="12129"/>
    <cellStyle name="ReadInData" xfId="12130"/>
    <cellStyle name="Réalisé" xfId="12131"/>
    <cellStyle name="Red font" xfId="12132"/>
    <cellStyle name="Red Text" xfId="12133"/>
    <cellStyle name="regstoresfromspecstores" xfId="12134"/>
    <cellStyle name="Regular" xfId="12135"/>
    <cellStyle name="ReportNums" xfId="12136"/>
    <cellStyle name="ReportNums 2" xfId="12137"/>
    <cellStyle name="ReportNums 2 2" xfId="12138"/>
    <cellStyle name="ReportNums 2 2 2" xfId="16197"/>
    <cellStyle name="ReportNums 2 2 3" xfId="20220"/>
    <cellStyle name="ReportNums 2 3" xfId="16196"/>
    <cellStyle name="ReportNums 2 4" xfId="20219"/>
    <cellStyle name="ReportNums 3" xfId="12139"/>
    <cellStyle name="ReportNums 3 2" xfId="12140"/>
    <cellStyle name="ReportNums 3 2 2" xfId="16199"/>
    <cellStyle name="ReportNums 3 2 3" xfId="20222"/>
    <cellStyle name="ReportNums 3 3" xfId="16198"/>
    <cellStyle name="ReportNums 3 4" xfId="20221"/>
    <cellStyle name="Results % 3 dp" xfId="12141"/>
    <cellStyle name="Results 3 dp" xfId="12142"/>
    <cellStyle name="RevList" xfId="12143"/>
    <cellStyle name="Right Heading 1" xfId="12144"/>
    <cellStyle name="Right Heading 2" xfId="12145"/>
    <cellStyle name="Row Headings" xfId="12146"/>
    <cellStyle name="Row Lvl 1" xfId="12147"/>
    <cellStyle name="Row Lvl 2" xfId="12148"/>
    <cellStyle name="s]_x000d__x000a_load=nwpopup.exe_x000d__x000a_run=_x000d__x000a_Beep=yes_x000d__x000a_NullPort=None_x000d__x000a_BorderWidth=3_x000d__x000a_CursorBlinkRate=530_x000d__x000a_DoubleClickSpeed=452_x000d__x000a_Programs" xfId="12149"/>
    <cellStyle name="Salomon Logo" xfId="12150"/>
    <cellStyle name="SAPBEXaggData" xfId="12151"/>
    <cellStyle name="SAPBEXaggDataEmph" xfId="12152"/>
    <cellStyle name="SAPBEXaggItem" xfId="12153"/>
    <cellStyle name="SAPBEXchaText" xfId="12154"/>
    <cellStyle name="SAPBEXexcBad7" xfId="12155"/>
    <cellStyle name="SAPBEXexcBad8" xfId="12156"/>
    <cellStyle name="SAPBEXexcBad9" xfId="12157"/>
    <cellStyle name="SAPBEXexcCritical4" xfId="12158"/>
    <cellStyle name="SAPBEXexcCritical5" xfId="12159"/>
    <cellStyle name="SAPBEXexcCritical6" xfId="12160"/>
    <cellStyle name="SAPBEXexcGood1" xfId="12161"/>
    <cellStyle name="SAPBEXexcGood2" xfId="12162"/>
    <cellStyle name="SAPBEXexcGood3" xfId="12163"/>
    <cellStyle name="SAPBEXfilterDrill" xfId="12164"/>
    <cellStyle name="SAPBEXfilterItem" xfId="12165"/>
    <cellStyle name="SAPBEXfilterText" xfId="12166"/>
    <cellStyle name="SAPBEXformats" xfId="12167"/>
    <cellStyle name="SAPBEXheaderItem" xfId="12168"/>
    <cellStyle name="SAPBEXheaderText" xfId="12169"/>
    <cellStyle name="SAPBEXresData" xfId="12170"/>
    <cellStyle name="SAPBEXresDataEmph" xfId="12171"/>
    <cellStyle name="SAPBEXresItem" xfId="12172"/>
    <cellStyle name="SAPBEXstdData" xfId="12173"/>
    <cellStyle name="SAPBEXstdDataEmph" xfId="12174"/>
    <cellStyle name="SAPBEXstdItem" xfId="12175"/>
    <cellStyle name="SAPBEXtitle" xfId="12176"/>
    <cellStyle name="SAPBEXundefined" xfId="12177"/>
    <cellStyle name="SAPKey" xfId="12178"/>
    <cellStyle name="SAPKey 2" xfId="12179"/>
    <cellStyle name="SAPKey 3" xfId="12180"/>
    <cellStyle name="SAPLocked" xfId="12181"/>
    <cellStyle name="SAPLocked 2" xfId="12182"/>
    <cellStyle name="SAPLocked 3" xfId="12183"/>
    <cellStyle name="SAPOutput" xfId="12184"/>
    <cellStyle name="SAPOutput 2" xfId="12185"/>
    <cellStyle name="SAPOutput 3" xfId="12186"/>
    <cellStyle name="SAPSpace" xfId="12187"/>
    <cellStyle name="SAPSpace 2" xfId="12188"/>
    <cellStyle name="SAPSpace 3" xfId="12189"/>
    <cellStyle name="SAPText" xfId="12190"/>
    <cellStyle name="SAPText 2" xfId="12191"/>
    <cellStyle name="SAPText 3" xfId="12192"/>
    <cellStyle name="SAPUnLocked" xfId="12193"/>
    <cellStyle name="SAPUnLocked 2" xfId="12194"/>
    <cellStyle name="SAPUnLocked 3" xfId="12195"/>
    <cellStyle name="sbt2" xfId="12196"/>
    <cellStyle name="sbt2 2" xfId="12197"/>
    <cellStyle name="sbt2 2 2" xfId="12198"/>
    <cellStyle name="sbt2 2 2 2" xfId="20225"/>
    <cellStyle name="sbt2 2 3" xfId="20224"/>
    <cellStyle name="sbt2 3" xfId="12199"/>
    <cellStyle name="sbt2 3 2" xfId="12200"/>
    <cellStyle name="sbt2 3 2 2" xfId="20227"/>
    <cellStyle name="sbt2 3 3" xfId="20226"/>
    <cellStyle name="sbt2 4" xfId="12201"/>
    <cellStyle name="sbt2 4 2" xfId="20228"/>
    <cellStyle name="sbt2 5" xfId="20223"/>
    <cellStyle name="SectionHeaderNormal" xfId="12202"/>
    <cellStyle name="SectionHeading" xfId="12203"/>
    <cellStyle name="SectionHeading 2" xfId="12204"/>
    <cellStyle name="SectionHeading 2 2" xfId="12205"/>
    <cellStyle name="SectionHeading 2 2 2" xfId="16202"/>
    <cellStyle name="SectionHeading 2 2 3" xfId="20231"/>
    <cellStyle name="SectionHeading 2 3" xfId="16201"/>
    <cellStyle name="SectionHeading 2 4" xfId="20230"/>
    <cellStyle name="SectionHeading 3" xfId="12206"/>
    <cellStyle name="SectionHeading 3 2" xfId="12207"/>
    <cellStyle name="SectionHeading 3 2 2" xfId="16204"/>
    <cellStyle name="SectionHeading 3 2 3" xfId="20233"/>
    <cellStyle name="SectionHeading 3 3" xfId="16203"/>
    <cellStyle name="SectionHeading 3 4" xfId="20232"/>
    <cellStyle name="SectionHeading 4" xfId="12208"/>
    <cellStyle name="SectionHeading 4 2" xfId="16205"/>
    <cellStyle name="SectionHeading 4 3" xfId="20234"/>
    <cellStyle name="SectionHeading 5" xfId="16200"/>
    <cellStyle name="SectionHeading 6" xfId="20229"/>
    <cellStyle name="SGD 2" xfId="12209"/>
    <cellStyle name="SGD 2 2" xfId="20372"/>
    <cellStyle name="Shaded" xfId="12210"/>
    <cellStyle name="SHADEDSTORES" xfId="12211"/>
    <cellStyle name="SHADEDSTORES 2" xfId="12212"/>
    <cellStyle name="SHADEDSTORES 2 2" xfId="12213"/>
    <cellStyle name="SHADEDSTORES 2 2 2" xfId="16207"/>
    <cellStyle name="SHADEDSTORES 2 2 3" xfId="20236"/>
    <cellStyle name="SHADEDSTORES 2 3" xfId="16206"/>
    <cellStyle name="SHADEDSTORES 2 4" xfId="20235"/>
    <cellStyle name="SHADEDSTORES 3" xfId="12214"/>
    <cellStyle name="SHADEDSTORES 3 2" xfId="12215"/>
    <cellStyle name="SHADEDSTORES 3 2 2" xfId="16209"/>
    <cellStyle name="SHADEDSTORES 3 2 3" xfId="20238"/>
    <cellStyle name="SHADEDSTORES 3 3" xfId="16208"/>
    <cellStyle name="SHADEDSTORES 3 4" xfId="20237"/>
    <cellStyle name="Shading" xfId="12216"/>
    <cellStyle name="Shares" xfId="12217"/>
    <cellStyle name="Shares 2" xfId="20373"/>
    <cellStyle name="sharesout" xfId="12218"/>
    <cellStyle name="sharesout 2" xfId="12219"/>
    <cellStyle name="sharesout 2 2" xfId="12220"/>
    <cellStyle name="sharesout 2 2 2" xfId="16212"/>
    <cellStyle name="sharesout 2 2 3" xfId="20241"/>
    <cellStyle name="sharesout 2 3" xfId="16211"/>
    <cellStyle name="sharesout 2 4" xfId="20240"/>
    <cellStyle name="sharesout 3" xfId="12221"/>
    <cellStyle name="sharesout 3 2" xfId="12222"/>
    <cellStyle name="sharesout 3 2 2" xfId="16214"/>
    <cellStyle name="sharesout 3 2 3" xfId="20243"/>
    <cellStyle name="sharesout 3 3" xfId="16213"/>
    <cellStyle name="sharesout 3 4" xfId="20242"/>
    <cellStyle name="sharesout 4" xfId="12223"/>
    <cellStyle name="sharesout 4 2" xfId="16215"/>
    <cellStyle name="sharesout 4 3" xfId="20244"/>
    <cellStyle name="sharesout 5" xfId="16210"/>
    <cellStyle name="sharesout 6" xfId="20239"/>
    <cellStyle name="Sheetmult" xfId="12224"/>
    <cellStyle name="ShOut" xfId="12225"/>
    <cellStyle name="Shtmultx" xfId="12226"/>
    <cellStyle name="Single Accounting" xfId="12227"/>
    <cellStyle name="Single Border" xfId="12228"/>
    <cellStyle name="Single Border 2" xfId="12229"/>
    <cellStyle name="Single Border 2 2" xfId="20300"/>
    <cellStyle name="Single Border 3" xfId="12230"/>
    <cellStyle name="Single Border 3 2" xfId="20301"/>
    <cellStyle name="Single Border 4" xfId="20302"/>
    <cellStyle name="Size10Pt" xfId="12231"/>
    <cellStyle name="Size10Pt 2" xfId="20374"/>
    <cellStyle name="Size12Pt" xfId="12232"/>
    <cellStyle name="Size12Pt 2" xfId="20375"/>
    <cellStyle name="Small Page Heading" xfId="12233"/>
    <cellStyle name="specstores" xfId="12234"/>
    <cellStyle name="Standaard_laroux" xfId="12235"/>
    <cellStyle name="STANDARD" xfId="12236"/>
    <cellStyle name="Std Currency" xfId="12237"/>
    <cellStyle name="Std Input" xfId="12238"/>
    <cellStyle name="Std Number" xfId="12239"/>
    <cellStyle name="Std Percent" xfId="12240"/>
    <cellStyle name="Std Text" xfId="12241"/>
    <cellStyle name="Strange" xfId="12242"/>
    <cellStyle name="Strange 2" xfId="20376"/>
    <cellStyle name="Strikethru" xfId="12243"/>
    <cellStyle name="STYL1 - Style1" xfId="12244"/>
    <cellStyle name="STYL1 - Style1 2" xfId="12245"/>
    <cellStyle name="Style 1" xfId="12246"/>
    <cellStyle name="Style 2" xfId="12247"/>
    <cellStyle name="Style 21" xfId="12248"/>
    <cellStyle name="Style 22" xfId="12249"/>
    <cellStyle name="Style 23" xfId="12250"/>
    <cellStyle name="Style 24" xfId="12251"/>
    <cellStyle name="Style 25" xfId="12252"/>
    <cellStyle name="Style 26" xfId="12253"/>
    <cellStyle name="Style 27" xfId="12254"/>
    <cellStyle name="Style 28" xfId="12255"/>
    <cellStyle name="Style 29" xfId="12256"/>
    <cellStyle name="Style 3" xfId="12257"/>
    <cellStyle name="Style 30" xfId="12258"/>
    <cellStyle name="Style 31" xfId="12259"/>
    <cellStyle name="Style 32" xfId="12260"/>
    <cellStyle name="Style 33" xfId="12261"/>
    <cellStyle name="Style 33 2" xfId="20377"/>
    <cellStyle name="Style 34" xfId="12262"/>
    <cellStyle name="Style 34 2" xfId="20378"/>
    <cellStyle name="Style 35" xfId="12263"/>
    <cellStyle name="Style 36" xfId="12264"/>
    <cellStyle name="Style 37" xfId="12265"/>
    <cellStyle name="Style 38" xfId="12266"/>
    <cellStyle name="Style 39" xfId="12267"/>
    <cellStyle name="Style 4" xfId="12268"/>
    <cellStyle name="Style 40" xfId="12269"/>
    <cellStyle name="Style 41" xfId="12270"/>
    <cellStyle name="Style 42" xfId="12271"/>
    <cellStyle name="Style 43" xfId="12272"/>
    <cellStyle name="Style 44" xfId="12273"/>
    <cellStyle name="Style 44 2" xfId="12274"/>
    <cellStyle name="Style 45" xfId="12275"/>
    <cellStyle name="Style 45 2" xfId="12276"/>
    <cellStyle name="Style 46" xfId="12277"/>
    <cellStyle name="Style 46 2" xfId="12278"/>
    <cellStyle name="Style 47" xfId="12279"/>
    <cellStyle name="Style 47 2" xfId="12280"/>
    <cellStyle name="Style 48" xfId="12281"/>
    <cellStyle name="Style 48 2" xfId="12282"/>
    <cellStyle name="Style 49" xfId="12283"/>
    <cellStyle name="Style 49 2" xfId="12284"/>
    <cellStyle name="Style 5" xfId="12285"/>
    <cellStyle name="Style 50" xfId="12286"/>
    <cellStyle name="Style 50 2" xfId="12287"/>
    <cellStyle name="Style 51" xfId="12288"/>
    <cellStyle name="Style 51 2" xfId="12289"/>
    <cellStyle name="Style 51 3" xfId="12290"/>
    <cellStyle name="Style 52" xfId="12291"/>
    <cellStyle name="Style 53" xfId="12292"/>
    <cellStyle name="Style 54" xfId="12293"/>
    <cellStyle name="Style 55" xfId="12294"/>
    <cellStyle name="Style 56" xfId="12295"/>
    <cellStyle name="Style 57" xfId="12296"/>
    <cellStyle name="Style 58" xfId="12297"/>
    <cellStyle name="Style 59" xfId="12298"/>
    <cellStyle name="Style 6" xfId="12299"/>
    <cellStyle name="Style 60" xfId="12300"/>
    <cellStyle name="Style 61" xfId="12301"/>
    <cellStyle name="Style 62" xfId="12302"/>
    <cellStyle name="Style 63" xfId="12303"/>
    <cellStyle name="Style 64" xfId="12304"/>
    <cellStyle name="Style 65" xfId="12305"/>
    <cellStyle name="Style 66" xfId="12306"/>
    <cellStyle name="Style 67" xfId="12307"/>
    <cellStyle name="Style 68" xfId="12308"/>
    <cellStyle name="Style 69" xfId="12309"/>
    <cellStyle name="Style 7" xfId="12310"/>
    <cellStyle name="Style 70" xfId="12311"/>
    <cellStyle name="Style 71" xfId="12312"/>
    <cellStyle name="Style 72" xfId="12313"/>
    <cellStyle name="Style 73" xfId="12314"/>
    <cellStyle name="Style 74" xfId="12315"/>
    <cellStyle name="Style 75" xfId="12316"/>
    <cellStyle name="Style 76" xfId="12317"/>
    <cellStyle name="Style 77" xfId="12318"/>
    <cellStyle name="Style 77 2" xfId="12319"/>
    <cellStyle name="Style 78" xfId="12320"/>
    <cellStyle name="Style 79" xfId="12321"/>
    <cellStyle name="Style 8" xfId="12322"/>
    <cellStyle name="Style 80" xfId="12323"/>
    <cellStyle name="Style 85" xfId="12324"/>
    <cellStyle name="Style 87" xfId="12325"/>
    <cellStyle name="Style 9" xfId="12326"/>
    <cellStyle name="Style 91" xfId="12327"/>
    <cellStyle name="Style 93" xfId="12328"/>
    <cellStyle name="STYLE1" xfId="12329"/>
    <cellStyle name="STYLE1 2" xfId="12330"/>
    <cellStyle name="STYLE10" xfId="12331"/>
    <cellStyle name="STYLE10 2" xfId="12332"/>
    <cellStyle name="STYLE11" xfId="12333"/>
    <cellStyle name="STYLE11 2" xfId="12334"/>
    <cellStyle name="STYLE12" xfId="12335"/>
    <cellStyle name="STYLE12 2" xfId="12336"/>
    <cellStyle name="STYLE13" xfId="12337"/>
    <cellStyle name="STYLE14" xfId="12338"/>
    <cellStyle name="STYLE15" xfId="12339"/>
    <cellStyle name="STYLE2" xfId="12340"/>
    <cellStyle name="STYLE2 2" xfId="12341"/>
    <cellStyle name="STYLE2 3" xfId="12342"/>
    <cellStyle name="STYLE3" xfId="12343"/>
    <cellStyle name="STYLE3 2" xfId="12344"/>
    <cellStyle name="STYLE3 3" xfId="12345"/>
    <cellStyle name="STYLE4" xfId="12346"/>
    <cellStyle name="STYLE4 2" xfId="12347"/>
    <cellStyle name="STYLE4 2 2" xfId="12348"/>
    <cellStyle name="STYLE4 2 2 2" xfId="12349"/>
    <cellStyle name="STYLE4 2 3" xfId="12350"/>
    <cellStyle name="STYLE4 3" xfId="12351"/>
    <cellStyle name="STYLE4 4" xfId="12352"/>
    <cellStyle name="STYLE4_3VR Common Stock Valuation Analysis Version 2" xfId="12353"/>
    <cellStyle name="STYLE5" xfId="12354"/>
    <cellStyle name="STYLE5 2" xfId="12355"/>
    <cellStyle name="STYLE5_BS Jan 05 with Plan 0222" xfId="12356"/>
    <cellStyle name="STYLE6" xfId="12357"/>
    <cellStyle name="STYLE6 2" xfId="12358"/>
    <cellStyle name="STYLE6_BS" xfId="12359"/>
    <cellStyle name="STYLE7" xfId="12360"/>
    <cellStyle name="STYLE7 2" xfId="12361"/>
    <cellStyle name="STYLE7 3" xfId="12362"/>
    <cellStyle name="STYLE7_BS Jan 05 with Plan 0222" xfId="12363"/>
    <cellStyle name="STYLE8" xfId="12364"/>
    <cellStyle name="STYLE8 2" xfId="12365"/>
    <cellStyle name="STYLE8 3" xfId="12366"/>
    <cellStyle name="STYLE8_BS Jan 05 with Plan 0222" xfId="12367"/>
    <cellStyle name="STYLE9" xfId="12368"/>
    <cellStyle name="STYLE9 2" xfId="12369"/>
    <cellStyle name="STYLE9 3" xfId="12370"/>
    <cellStyle name="STYLE9_Exec " xfId="12371"/>
    <cellStyle name="subhead" xfId="12372"/>
    <cellStyle name="Sub-Heading" xfId="12373"/>
    <cellStyle name="Subscribers" xfId="12374"/>
    <cellStyle name="SubScript" xfId="12375"/>
    <cellStyle name="subt1" xfId="12376"/>
    <cellStyle name="Subtitle" xfId="12377"/>
    <cellStyle name="Subtotal" xfId="12378"/>
    <cellStyle name="Summary" xfId="12379"/>
    <cellStyle name="SuperScript" xfId="12380"/>
    <cellStyle name="Table" xfId="12381"/>
    <cellStyle name="Table Bottom" xfId="12382"/>
    <cellStyle name="Table Col Head" xfId="12383"/>
    <cellStyle name="Table Head" xfId="12384"/>
    <cellStyle name="Table Head Aligned" xfId="12385"/>
    <cellStyle name="Table Head Aligned 2" xfId="12386"/>
    <cellStyle name="Table Head Aligned 3" xfId="12387"/>
    <cellStyle name="Table Head Blue" xfId="12388"/>
    <cellStyle name="Table Head Green" xfId="12389"/>
    <cellStyle name="Table Head Green 2" xfId="12390"/>
    <cellStyle name="Table Head Green 3" xfId="12391"/>
    <cellStyle name="Table Head_Cash Flow" xfId="12392"/>
    <cellStyle name="Table Sub Head" xfId="12393"/>
    <cellStyle name="Table Sub Heading" xfId="12394"/>
    <cellStyle name="Table Text" xfId="12395"/>
    <cellStyle name="Table Title" xfId="12396"/>
    <cellStyle name="Table Top" xfId="12397"/>
    <cellStyle name="Table Unites" xfId="12398"/>
    <cellStyle name="Table Units" xfId="12399"/>
    <cellStyle name="Table_Eric CapIQ unlinked v1" xfId="12400"/>
    <cellStyle name="TableBase" xfId="12401"/>
    <cellStyle name="TableColumnHeading" xfId="12402"/>
    <cellStyle name="TableHead" xfId="12403"/>
    <cellStyle name="TableSubTitleItalic" xfId="12404"/>
    <cellStyle name="TableText" xfId="12405"/>
    <cellStyle name="TableTitle" xfId="12406"/>
    <cellStyle name="TABLETXT" xfId="12407"/>
    <cellStyle name="test" xfId="12408"/>
    <cellStyle name="Test [green]" xfId="12409"/>
    <cellStyle name="Text" xfId="12410"/>
    <cellStyle name="Text 1" xfId="12411"/>
    <cellStyle name="Text Head 1" xfId="12412"/>
    <cellStyle name="Text Indent A" xfId="12413"/>
    <cellStyle name="Text Indent B" xfId="12414"/>
    <cellStyle name="Text Indent C" xfId="12415"/>
    <cellStyle name="Text Wrap" xfId="12416"/>
    <cellStyle name="TextBold" xfId="12417"/>
    <cellStyle name="TextDys0" xfId="12418"/>
    <cellStyle name="TextNormal" xfId="20303"/>
    <cellStyle name="Title 2" xfId="20304"/>
    <cellStyle name="Total 2" xfId="12419"/>
    <cellStyle name="Warning Text 2" xfId="12420"/>
  </cellStyles>
  <dxfs count="712">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dxf>
    <dxf>
      <numFmt numFmtId="14" formatCode="0.00%"/>
      <alignment horizontal="center" vertical="bottom" textRotation="0" wrapText="0" indent="0" justifyLastLine="0" shrinkToFit="0"/>
    </dxf>
    <dxf>
      <font>
        <b val="0"/>
        <i val="0"/>
        <strike val="0"/>
        <condense val="0"/>
        <extend val="0"/>
        <outline val="0"/>
        <shadow val="0"/>
        <u val="none"/>
        <vertAlign val="baseline"/>
        <sz val="12"/>
        <color theme="1"/>
        <name val="Calibri"/>
        <scheme val="minor"/>
      </font>
      <border diagonalUp="0" diagonalDown="0">
        <left/>
        <right style="thin">
          <color auto="1"/>
        </right>
        <top style="thin">
          <color auto="1"/>
        </top>
        <bottom style="thin">
          <color auto="1"/>
        </bottom>
        <vertical/>
        <horizontal/>
      </border>
    </dxf>
    <dxf>
      <border outline="0">
        <left style="thin">
          <color auto="1"/>
        </left>
        <top style="thin">
          <color auto="1"/>
        </top>
      </border>
    </dxf>
    <dxf>
      <border outline="0">
        <bottom style="thin">
          <color auto="1"/>
        </bottom>
      </border>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color theme="0" tint="-0.24994659260841701"/>
      </font>
      <fill>
        <patternFill>
          <bgColor theme="0" tint="-0.24994659260841701"/>
        </patternFill>
      </fill>
    </dxf>
    <dxf>
      <font>
        <b/>
        <i val="0"/>
        <condense val="0"/>
        <extend val="0"/>
        <color indexed="13"/>
      </font>
      <fill>
        <patternFill>
          <bgColor indexed="12"/>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b/>
        <i val="0"/>
        <condense val="0"/>
        <extend val="0"/>
        <color indexed="13"/>
      </font>
      <fill>
        <patternFill>
          <bgColor indexed="12"/>
        </patternFill>
      </fill>
    </dxf>
    <dxf>
      <font>
        <color theme="1" tint="0.499984740745262"/>
      </font>
    </dxf>
    <dxf>
      <font>
        <color theme="1" tint="0.499984740745262"/>
      </font>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color theme="1" tint="0.499984740745262"/>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tint="0.499984740745262"/>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1" tint="0.499984740745262"/>
      </font>
    </dxf>
    <dxf>
      <font>
        <color theme="1" tint="0.499984740745262"/>
      </font>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1" tint="0.499984740745262"/>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tint="0.499984740745262"/>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1" tint="0.499984740745262"/>
      </font>
    </dxf>
    <dxf>
      <font>
        <color theme="1" tint="0.499984740745262"/>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tint="0.499984740745262"/>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font>
    </dxf>
    <dxf>
      <font>
        <color theme="0"/>
      </font>
    </dxf>
    <dxf>
      <font>
        <b/>
        <i val="0"/>
      </font>
    </dxf>
    <dxf>
      <font>
        <color theme="0"/>
      </font>
    </dxf>
    <dxf>
      <font>
        <b/>
        <i val="0"/>
      </font>
    </dxf>
    <dxf>
      <font>
        <b/>
        <i val="0"/>
      </font>
    </dxf>
    <dxf>
      <font>
        <color theme="0"/>
      </font>
    </dxf>
    <dxf>
      <font>
        <b/>
        <i val="0"/>
      </font>
    </dxf>
    <dxf>
      <font>
        <b/>
        <i val="0"/>
      </font>
    </dxf>
    <dxf>
      <font>
        <b/>
        <i val="0"/>
      </font>
    </dxf>
    <dxf>
      <font>
        <color theme="0"/>
      </font>
    </dxf>
    <dxf>
      <font>
        <b/>
        <i val="0"/>
      </font>
    </dxf>
    <dxf>
      <font>
        <b/>
        <i val="0"/>
      </font>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patternType="solid">
          <bgColor rgb="FFFFFF00"/>
        </patternFill>
      </fill>
    </dxf>
    <dxf>
      <font>
        <b/>
        <i val="0"/>
      </font>
    </dxf>
    <dxf>
      <font>
        <b/>
        <i val="0"/>
      </font>
    </dxf>
    <dxf>
      <font>
        <b/>
        <i val="0"/>
      </font>
    </dxf>
    <dxf>
      <font>
        <b/>
        <i val="0"/>
      </font>
    </dxf>
    <dxf>
      <font>
        <b/>
        <i val="0"/>
      </font>
    </dxf>
    <dxf>
      <fill>
        <patternFill patternType="solid">
          <bgColor rgb="FFFFFF00"/>
        </patternFill>
      </fill>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s>
  <tableStyles count="0" defaultTableStyle="TableStyleMedium9" defaultPivotStyle="PivotStyleLight16"/>
  <colors>
    <mruColors>
      <color rgb="FF0000FF"/>
      <color rgb="FF008000"/>
      <color rgb="FFDCE6F1"/>
      <color rgb="FF808080"/>
      <color rgb="FF009900"/>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externalLink" Target="externalLinks/externalLink3.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externalLink" Target="externalLinks/externalLink19.xml"/><Relationship Id="rId138" Type="http://schemas.openxmlformats.org/officeDocument/2006/relationships/externalLink" Target="externalLinks/externalLink2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externalLink" Target="externalLinks/externalLink9.xml"/><Relationship Id="rId128" Type="http://schemas.openxmlformats.org/officeDocument/2006/relationships/externalLink" Target="externalLinks/externalLink14.xml"/><Relationship Id="rId144" Type="http://schemas.openxmlformats.org/officeDocument/2006/relationships/sharedStrings" Target="sharedString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externalLink" Target="externalLinks/externalLink4.xml"/><Relationship Id="rId134" Type="http://schemas.openxmlformats.org/officeDocument/2006/relationships/externalLink" Target="externalLinks/externalLink20.xml"/><Relationship Id="rId139" Type="http://schemas.openxmlformats.org/officeDocument/2006/relationships/externalLink" Target="externalLinks/externalLink25.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externalLink" Target="externalLinks/externalLink2.xml"/><Relationship Id="rId124" Type="http://schemas.openxmlformats.org/officeDocument/2006/relationships/externalLink" Target="externalLinks/externalLink10.xml"/><Relationship Id="rId129" Type="http://schemas.openxmlformats.org/officeDocument/2006/relationships/externalLink" Target="externalLinks/externalLink15.xml"/><Relationship Id="rId137" Type="http://schemas.openxmlformats.org/officeDocument/2006/relationships/externalLink" Target="externalLinks/externalLink2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externalLink" Target="externalLinks/externalLink18.xml"/><Relationship Id="rId140" Type="http://schemas.openxmlformats.org/officeDocument/2006/relationships/externalLink" Target="externalLinks/externalLink26.xml"/><Relationship Id="rId14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externalLink" Target="externalLinks/externalLink5.xml"/><Relationship Id="rId127" Type="http://schemas.openxmlformats.org/officeDocument/2006/relationships/externalLink" Target="externalLinks/externalLink1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externalLink" Target="externalLinks/externalLink8.xml"/><Relationship Id="rId130" Type="http://schemas.openxmlformats.org/officeDocument/2006/relationships/externalLink" Target="externalLinks/externalLink16.xml"/><Relationship Id="rId135" Type="http://schemas.openxmlformats.org/officeDocument/2006/relationships/externalLink" Target="externalLinks/externalLink21.xml"/><Relationship Id="rId143"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externalLink" Target="externalLinks/externalLink6.xml"/><Relationship Id="rId125" Type="http://schemas.openxmlformats.org/officeDocument/2006/relationships/externalLink" Target="externalLinks/externalLink11.xml"/><Relationship Id="rId141" Type="http://schemas.openxmlformats.org/officeDocument/2006/relationships/externalLink" Target="externalLinks/externalLink27.xml"/><Relationship Id="rId14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externalLink" Target="externalLinks/externalLink1.xml"/><Relationship Id="rId131" Type="http://schemas.openxmlformats.org/officeDocument/2006/relationships/externalLink" Target="externalLinks/externalLink17.xml"/><Relationship Id="rId136" Type="http://schemas.openxmlformats.org/officeDocument/2006/relationships/externalLink" Target="externalLinks/externalLink2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externalLink" Target="externalLinks/externalLink1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externalLink" Target="externalLinks/externalLink7.xml"/><Relationship Id="rId14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667989848376394E-2"/>
          <c:y val="4.1270586790686251E-2"/>
          <c:w val="0.98433201015162364"/>
          <c:h val="0.91307159521726455"/>
        </c:manualLayout>
      </c:layout>
      <c:ofPieChart>
        <c:ofPieType val="pie"/>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2D97-40E8-871E-C189FCF72A4F}"/>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2D97-40E8-871E-C189FCF72A4F}"/>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2D97-40E8-871E-C189FCF72A4F}"/>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7-2D97-40E8-871E-C189FCF72A4F}"/>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9-2D97-40E8-871E-C189FCF72A4F}"/>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B-2D97-40E8-871E-C189FCF72A4F}"/>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D-2D97-40E8-871E-C189FCF72A4F}"/>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F-2D97-40E8-871E-C189FCF72A4F}"/>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1-2D97-40E8-871E-C189FCF72A4F}"/>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3-2D97-40E8-871E-C189FCF72A4F}"/>
              </c:ext>
            </c:extLst>
          </c:dPt>
          <c:dLbls>
            <c:dLbl>
              <c:idx val="9"/>
              <c:tx>
                <c:rich>
                  <a:bodyPr/>
                  <a:lstStyle/>
                  <a:p>
                    <a:r>
                      <a:rPr lang="en-US" baseline="0"/>
                      <a:t>Common &amp; Equivalent
</a:t>
                    </a:r>
                    <a:fld id="{6F9DBA7A-8412-4DF1-8EED-F629AA63B57A}" type="PERCENTAGE">
                      <a:rPr lang="en-US" baseline="0"/>
                      <a:pPr/>
                      <a:t>[PERCENTAGE]</a:t>
                    </a:fld>
                    <a:endParaRPr lang="en-US" baseline="0"/>
                  </a:p>
                </c:rich>
              </c:tx>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13-2D97-40E8-871E-C189FCF72A4F}"/>
                </c:ext>
                <c:ext xmlns:c15="http://schemas.microsoft.com/office/drawing/2012/chart" uri="{CE6537A1-D6FC-4f65-9D91-7224C49458BB}">
                  <c15:dlblFieldTable/>
                  <c15:showDataLabelsRange val="0"/>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xmlns:c16r2="http://schemas.microsoft.com/office/drawing/2015/06/chart">
              <c:ext xmlns:c15="http://schemas.microsoft.com/office/drawing/2012/chart" uri="{CE6537A1-D6FC-4f65-9D91-7224C49458BB}"/>
            </c:extLst>
          </c:dLbls>
          <c:cat>
            <c:strRef>
              <c:f>('Cap Table'!$D$7:$H$7,'Cap Table'!$B$13)</c:f>
              <c:strCache>
                <c:ptCount val="6"/>
                <c:pt idx="0">
                  <c:v>Series A</c:v>
                </c:pt>
                <c:pt idx="1">
                  <c:v>Series B Tranche I</c:v>
                </c:pt>
                <c:pt idx="2">
                  <c:v>Series B Tranche II</c:v>
                </c:pt>
                <c:pt idx="3">
                  <c:v>Series B Tranche III</c:v>
                </c:pt>
                <c:pt idx="4">
                  <c:v>Common</c:v>
                </c:pt>
                <c:pt idx="5">
                  <c:v>Options Outstanding </c:v>
                </c:pt>
              </c:strCache>
            </c:strRef>
          </c:cat>
          <c:val>
            <c:numRef>
              <c:f>('Cap Table'!$D$16:$H$16,'Cap Table'!$J$13)</c:f>
              <c:numCache>
                <c:formatCode>_(* #,##0.0_);_(* \(#,##0.0\);_(* "-"_);_(@_)</c:formatCode>
                <c:ptCount val="6"/>
                <c:pt idx="0">
                  <c:v>44050</c:v>
                </c:pt>
                <c:pt idx="1">
                  <c:v>11024.995999999999</c:v>
                </c:pt>
                <c:pt idx="2">
                  <c:v>11024.995999999999</c:v>
                </c:pt>
                <c:pt idx="3">
                  <c:v>11024.995999999999</c:v>
                </c:pt>
                <c:pt idx="4">
                  <c:v>20090.798969072166</c:v>
                </c:pt>
                <c:pt idx="5">
                  <c:v>1636.404</c:v>
                </c:pt>
              </c:numCache>
            </c:numRef>
          </c:val>
          <c:extLst xmlns:c16r2="http://schemas.microsoft.com/office/drawing/2015/06/chart">
            <c:ext xmlns:c16="http://schemas.microsoft.com/office/drawing/2014/chart" uri="{C3380CC4-5D6E-409C-BE32-E72D297353CC}">
              <c16:uniqueId val="{00000014-2D97-40E8-871E-C189FCF72A4F}"/>
            </c:ext>
          </c:extLst>
        </c:ser>
        <c:dLbls>
          <c:showLegendKey val="0"/>
          <c:showVal val="0"/>
          <c:showCatName val="0"/>
          <c:showSerName val="0"/>
          <c:showPercent val="0"/>
          <c:showBubbleSize val="0"/>
          <c:showLeaderLines val="1"/>
        </c:dLbls>
        <c:gapWidth val="24"/>
        <c:splitType val="pos"/>
        <c:splitPos val="2"/>
        <c:secondPieSize val="60"/>
        <c:serLines>
          <c:spPr>
            <a:ln w="9525" cap="flat" cmpd="sng" algn="ctr">
              <a:solidFill>
                <a:schemeClr val="tx1">
                  <a:alpha val="54000"/>
                </a:schemeClr>
              </a:solidFill>
              <a:round/>
            </a:ln>
            <a:effectLst/>
          </c:spPr>
        </c:serLines>
      </c:ofPieChart>
      <c:spPr>
        <a:noFill/>
        <a:ln>
          <a:noFill/>
        </a:ln>
        <a:effectLst/>
      </c:spPr>
    </c:plotArea>
    <c:plotVisOnly val="1"/>
    <c:dispBlanksAs val="gap"/>
    <c:showDLblsOverMax val="0"/>
  </c:chart>
  <c:spPr>
    <a:gradFill flip="none" rotWithShape="1">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gradFill>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5520282186948854E-2"/>
          <c:y val="4.3912175648702596E-2"/>
          <c:w val="0.97460317460317458"/>
          <c:h val="0.91616766467065869"/>
        </c:manualLayout>
      </c:layout>
      <c:bar3DChart>
        <c:barDir val="col"/>
        <c:grouping val="stacked"/>
        <c:varyColors val="0"/>
        <c:ser>
          <c:idx val="0"/>
          <c:order val="0"/>
          <c:tx>
            <c:strRef>
              <c:f>'Econ Rights'!$N$12</c:f>
              <c:strCache>
                <c:ptCount val="1"/>
              </c:strCache>
            </c:strRef>
          </c:tx>
          <c:spPr>
            <a:solidFill>
              <a:schemeClr val="accent1"/>
            </a:solidFill>
            <a:ln>
              <a:noFill/>
            </a:ln>
            <a:effectLst/>
            <a:sp3d/>
          </c:spPr>
          <c:invertIfNegative val="0"/>
          <c:dLbls>
            <c:dLbl>
              <c:idx val="1"/>
              <c:delete val="1"/>
              <c:extLst xmlns:c16r2="http://schemas.microsoft.com/office/drawing/2015/06/chart">
                <c:ext xmlns:c16="http://schemas.microsoft.com/office/drawing/2014/chart" uri="{C3380CC4-5D6E-409C-BE32-E72D297353CC}">
                  <c16:uniqueId val="{00000000-13F5-445A-BF02-27C2B7FBA04B}"/>
                </c:ext>
                <c:ext xmlns:c15="http://schemas.microsoft.com/office/drawing/2012/chart" uri="{CE6537A1-D6FC-4f65-9D91-7224C49458BB}"/>
              </c:extLst>
            </c:dLbl>
            <c:dLbl>
              <c:idx val="2"/>
              <c:delete val="1"/>
              <c:extLst xmlns:c16r2="http://schemas.microsoft.com/office/drawing/2015/06/chart">
                <c:ext xmlns:c16="http://schemas.microsoft.com/office/drawing/2014/chart" uri="{C3380CC4-5D6E-409C-BE32-E72D297353CC}">
                  <c16:uniqueId val="{00000001-13F5-445A-BF02-27C2B7FBA04B}"/>
                </c:ext>
                <c:ext xmlns:c15="http://schemas.microsoft.com/office/drawing/2012/chart" uri="{CE6537A1-D6FC-4f65-9D91-7224C49458BB}"/>
              </c:extLst>
            </c:dLbl>
            <c:dLbl>
              <c:idx val="3"/>
              <c:delete val="1"/>
              <c:extLst xmlns:c16r2="http://schemas.microsoft.com/office/drawing/2015/06/chart">
                <c:ext xmlns:c16="http://schemas.microsoft.com/office/drawing/2014/chart" uri="{C3380CC4-5D6E-409C-BE32-E72D297353CC}">
                  <c16:uniqueId val="{00000002-13F5-445A-BF02-27C2B7FBA04B}"/>
                </c:ext>
                <c:ext xmlns:c15="http://schemas.microsoft.com/office/drawing/2012/chart" uri="{CE6537A1-D6FC-4f65-9D91-7224C49458BB}"/>
              </c:extLst>
            </c:dLbl>
            <c:dLbl>
              <c:idx val="4"/>
              <c:delete val="1"/>
              <c:extLst xmlns:c16r2="http://schemas.microsoft.com/office/drawing/2015/06/chart">
                <c:ext xmlns:c16="http://schemas.microsoft.com/office/drawing/2014/chart" uri="{C3380CC4-5D6E-409C-BE32-E72D297353CC}">
                  <c16:uniqueId val="{00000003-13F5-445A-BF02-27C2B7FBA04B}"/>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04-13F5-445A-BF02-27C2B7FBA04B}"/>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05-13F5-445A-BF02-27C2B7FBA04B}"/>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'Econ Rights'!$N$12:$N$18</c:f>
              <c:numCache>
                <c:formatCode>General</c:formatCode>
                <c:ptCount val="7"/>
              </c:numCache>
            </c:numRef>
          </c:cat>
          <c:val>
            <c:numRef>
              <c:f>'Econ Rights'!$O$12:$U$12</c:f>
              <c:numCache>
                <c:formatCode>"$"#,##0.00_);[Red]\("$"#,##0.00\)</c:formatCode>
                <c:ptCount val="7"/>
              </c:numCache>
            </c:numRef>
          </c:val>
          <c:extLst xmlns:c16r2="http://schemas.microsoft.com/office/drawing/2015/06/chart">
            <c:ext xmlns:c16="http://schemas.microsoft.com/office/drawing/2014/chart" uri="{C3380CC4-5D6E-409C-BE32-E72D297353CC}">
              <c16:uniqueId val="{00000006-13F5-445A-BF02-27C2B7FBA04B}"/>
            </c:ext>
          </c:extLst>
        </c:ser>
        <c:ser>
          <c:idx val="1"/>
          <c:order val="1"/>
          <c:tx>
            <c:strRef>
              <c:f>'Econ Rights'!$N$13</c:f>
              <c:strCache>
                <c:ptCount val="1"/>
              </c:strCache>
            </c:strRef>
          </c:tx>
          <c:spPr>
            <a:solidFill>
              <a:schemeClr val="accent2"/>
            </a:solidFill>
            <a:ln>
              <a:noFill/>
            </a:ln>
            <a:effectLst/>
            <a:sp3d/>
          </c:spPr>
          <c:invertIfNegative val="0"/>
          <c:dLbls>
            <c:dLbl>
              <c:idx val="2"/>
              <c:delete val="1"/>
              <c:extLst xmlns:c16r2="http://schemas.microsoft.com/office/drawing/2015/06/chart">
                <c:ext xmlns:c16="http://schemas.microsoft.com/office/drawing/2014/chart" uri="{C3380CC4-5D6E-409C-BE32-E72D297353CC}">
                  <c16:uniqueId val="{00000007-13F5-445A-BF02-27C2B7FBA04B}"/>
                </c:ext>
                <c:ext xmlns:c15="http://schemas.microsoft.com/office/drawing/2012/chart" uri="{CE6537A1-D6FC-4f65-9D91-7224C49458BB}"/>
              </c:extLst>
            </c:dLbl>
            <c:dLbl>
              <c:idx val="3"/>
              <c:delete val="1"/>
              <c:extLst xmlns:c16r2="http://schemas.microsoft.com/office/drawing/2015/06/chart">
                <c:ext xmlns:c16="http://schemas.microsoft.com/office/drawing/2014/chart" uri="{C3380CC4-5D6E-409C-BE32-E72D297353CC}">
                  <c16:uniqueId val="{00000008-13F5-445A-BF02-27C2B7FBA04B}"/>
                </c:ext>
                <c:ext xmlns:c15="http://schemas.microsoft.com/office/drawing/2012/chart" uri="{CE6537A1-D6FC-4f65-9D91-7224C49458BB}"/>
              </c:extLst>
            </c:dLbl>
            <c:dLbl>
              <c:idx val="4"/>
              <c:delete val="1"/>
              <c:extLst xmlns:c16r2="http://schemas.microsoft.com/office/drawing/2015/06/chart">
                <c:ext xmlns:c16="http://schemas.microsoft.com/office/drawing/2014/chart" uri="{C3380CC4-5D6E-409C-BE32-E72D297353CC}">
                  <c16:uniqueId val="{00000009-13F5-445A-BF02-27C2B7FBA04B}"/>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0A-13F5-445A-BF02-27C2B7FBA04B}"/>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0B-13F5-445A-BF02-27C2B7FBA04B}"/>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'Econ Rights'!$N$12:$N$18</c:f>
              <c:numCache>
                <c:formatCode>General</c:formatCode>
                <c:ptCount val="7"/>
              </c:numCache>
            </c:numRef>
          </c:cat>
          <c:val>
            <c:numRef>
              <c:f>'Econ Rights'!$O$13:$U$13</c:f>
              <c:numCache>
                <c:formatCode>"$"#,##0.00_);[Red]\("$"#,##0.00\)</c:formatCode>
                <c:ptCount val="7"/>
              </c:numCache>
            </c:numRef>
          </c:val>
          <c:extLst xmlns:c16r2="http://schemas.microsoft.com/office/drawing/2015/06/chart">
            <c:ext xmlns:c16="http://schemas.microsoft.com/office/drawing/2014/chart" uri="{C3380CC4-5D6E-409C-BE32-E72D297353CC}">
              <c16:uniqueId val="{0000000C-13F5-445A-BF02-27C2B7FBA04B}"/>
            </c:ext>
          </c:extLst>
        </c:ser>
        <c:ser>
          <c:idx val="2"/>
          <c:order val="2"/>
          <c:tx>
            <c:strRef>
              <c:f>'Econ Rights'!$N$14</c:f>
              <c:strCache>
                <c:ptCount val="1"/>
              </c:strCache>
            </c:strRef>
          </c:tx>
          <c:spPr>
            <a:solidFill>
              <a:schemeClr val="accent3"/>
            </a:solidFill>
            <a:ln>
              <a:noFill/>
            </a:ln>
            <a:effectLst/>
            <a:sp3d/>
          </c:spPr>
          <c:invertIfNegative val="0"/>
          <c:dLbls>
            <c:dLbl>
              <c:idx val="3"/>
              <c:delete val="1"/>
              <c:extLst xmlns:c16r2="http://schemas.microsoft.com/office/drawing/2015/06/chart">
                <c:ext xmlns:c16="http://schemas.microsoft.com/office/drawing/2014/chart" uri="{C3380CC4-5D6E-409C-BE32-E72D297353CC}">
                  <c16:uniqueId val="{0000000D-13F5-445A-BF02-27C2B7FBA04B}"/>
                </c:ext>
                <c:ext xmlns:c15="http://schemas.microsoft.com/office/drawing/2012/chart" uri="{CE6537A1-D6FC-4f65-9D91-7224C49458BB}"/>
              </c:extLst>
            </c:dLbl>
            <c:dLbl>
              <c:idx val="4"/>
              <c:delete val="1"/>
              <c:extLst xmlns:c16r2="http://schemas.microsoft.com/office/drawing/2015/06/chart">
                <c:ext xmlns:c16="http://schemas.microsoft.com/office/drawing/2014/chart" uri="{C3380CC4-5D6E-409C-BE32-E72D297353CC}">
                  <c16:uniqueId val="{0000000E-13F5-445A-BF02-27C2B7FBA04B}"/>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0F-13F5-445A-BF02-27C2B7FBA04B}"/>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10-13F5-445A-BF02-27C2B7FBA04B}"/>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'Econ Rights'!$N$12:$N$18</c:f>
              <c:numCache>
                <c:formatCode>General</c:formatCode>
                <c:ptCount val="7"/>
              </c:numCache>
            </c:numRef>
          </c:cat>
          <c:val>
            <c:numRef>
              <c:f>'Econ Rights'!$O$14:$U$14</c:f>
              <c:numCache>
                <c:formatCode>"$"#,##0.00_);[Red]\("$"#,##0.00\)</c:formatCode>
                <c:ptCount val="7"/>
              </c:numCache>
            </c:numRef>
          </c:val>
          <c:extLst xmlns:c16r2="http://schemas.microsoft.com/office/drawing/2015/06/chart">
            <c:ext xmlns:c16="http://schemas.microsoft.com/office/drawing/2014/chart" uri="{C3380CC4-5D6E-409C-BE32-E72D297353CC}">
              <c16:uniqueId val="{00000011-13F5-445A-BF02-27C2B7FBA04B}"/>
            </c:ext>
          </c:extLst>
        </c:ser>
        <c:ser>
          <c:idx val="3"/>
          <c:order val="3"/>
          <c:tx>
            <c:strRef>
              <c:f>'Econ Rights'!$N$15</c:f>
              <c:strCache>
                <c:ptCount val="1"/>
              </c:strCache>
            </c:strRef>
          </c:tx>
          <c:spPr>
            <a:solidFill>
              <a:schemeClr val="accent4"/>
            </a:solidFill>
            <a:ln>
              <a:noFill/>
            </a:ln>
            <a:effectLst/>
            <a:sp3d/>
          </c:spPr>
          <c:invertIfNegative val="0"/>
          <c:dLbls>
            <c:dLbl>
              <c:idx val="3"/>
              <c:showLegendKey val="0"/>
              <c:showVal val="1"/>
              <c:showCatName val="1"/>
              <c:showSerName val="0"/>
              <c:showPercent val="0"/>
              <c:showBubbleSize val="0"/>
              <c:extLst xmlns:c16r2="http://schemas.microsoft.com/office/drawing/2015/06/chart">
                <c:ext xmlns:c16="http://schemas.microsoft.com/office/drawing/2014/chart" uri="{C3380CC4-5D6E-409C-BE32-E72D297353CC}">
                  <c16:uniqueId val="{00000012-13F5-445A-BF02-27C2B7FBA04B}"/>
                </c:ext>
                <c:ext xmlns:c15="http://schemas.microsoft.com/office/drawing/2012/chart" uri="{CE6537A1-D6FC-4f65-9D91-7224C49458BB}"/>
              </c:extLst>
            </c:dLbl>
            <c:dLbl>
              <c:idx val="4"/>
              <c:delete val="1"/>
              <c:extLst xmlns:c16r2="http://schemas.microsoft.com/office/drawing/2015/06/chart">
                <c:ext xmlns:c16="http://schemas.microsoft.com/office/drawing/2014/chart" uri="{C3380CC4-5D6E-409C-BE32-E72D297353CC}">
                  <c16:uniqueId val="{00000013-13F5-445A-BF02-27C2B7FBA04B}"/>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14-13F5-445A-BF02-27C2B7FBA04B}"/>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15-13F5-445A-BF02-27C2B7FBA04B}"/>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'Econ Rights'!$N$12:$N$18</c:f>
              <c:numCache>
                <c:formatCode>General</c:formatCode>
                <c:ptCount val="7"/>
              </c:numCache>
            </c:numRef>
          </c:cat>
          <c:val>
            <c:numRef>
              <c:f>'Econ Rights'!$O$15:$U$15</c:f>
              <c:numCache>
                <c:formatCode>"$"#,##0.00_);[Red]\("$"#,##0.00\)</c:formatCode>
                <c:ptCount val="7"/>
              </c:numCache>
            </c:numRef>
          </c:val>
          <c:extLst xmlns:c16r2="http://schemas.microsoft.com/office/drawing/2015/06/chart">
            <c:ext xmlns:c16="http://schemas.microsoft.com/office/drawing/2014/chart" uri="{C3380CC4-5D6E-409C-BE32-E72D297353CC}">
              <c16:uniqueId val="{00000016-13F5-445A-BF02-27C2B7FBA04B}"/>
            </c:ext>
          </c:extLst>
        </c:ser>
        <c:ser>
          <c:idx val="4"/>
          <c:order val="4"/>
          <c:tx>
            <c:strRef>
              <c:f>'Econ Rights'!$N$16</c:f>
              <c:strCache>
                <c:ptCount val="1"/>
              </c:strCache>
            </c:strRef>
          </c:tx>
          <c:spPr>
            <a:solidFill>
              <a:schemeClr val="accent5"/>
            </a:solidFill>
            <a:ln>
              <a:noFill/>
            </a:ln>
            <a:effectLst/>
            <a:sp3d/>
          </c:spPr>
          <c:invertIfNegative val="0"/>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xmlns:c16r2="http://schemas.microsoft.com/office/drawing/2015/06/chart">
                <c:ext xmlns:c16="http://schemas.microsoft.com/office/drawing/2014/chart" uri="{C3380CC4-5D6E-409C-BE32-E72D297353CC}">
                  <c16:uniqueId val="{00000017-13F5-445A-BF02-27C2B7FBA04B}"/>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18-13F5-445A-BF02-27C2B7FBA04B}"/>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19-13F5-445A-BF02-27C2B7FBA04B}"/>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'Econ Rights'!$N$12:$N$18</c:f>
              <c:numCache>
                <c:formatCode>General</c:formatCode>
                <c:ptCount val="7"/>
              </c:numCache>
            </c:numRef>
          </c:cat>
          <c:val>
            <c:numRef>
              <c:f>'Econ Rights'!$O$16:$U$16</c:f>
              <c:numCache>
                <c:formatCode>"$"#,##0.00_);[Red]\("$"#,##0.00\)</c:formatCode>
                <c:ptCount val="7"/>
              </c:numCache>
            </c:numRef>
          </c:val>
          <c:extLst xmlns:c16r2="http://schemas.microsoft.com/office/drawing/2015/06/chart">
            <c:ext xmlns:c16="http://schemas.microsoft.com/office/drawing/2014/chart" uri="{C3380CC4-5D6E-409C-BE32-E72D297353CC}">
              <c16:uniqueId val="{0000001A-13F5-445A-BF02-27C2B7FBA04B}"/>
            </c:ext>
          </c:extLst>
        </c:ser>
        <c:ser>
          <c:idx val="5"/>
          <c:order val="5"/>
          <c:tx>
            <c:strRef>
              <c:f>'Econ Rights'!$N$17</c:f>
              <c:strCache>
                <c:ptCount val="1"/>
              </c:strCache>
            </c:strRef>
          </c:tx>
          <c:spPr>
            <a:solidFill>
              <a:schemeClr val="accent6"/>
            </a:solidFill>
            <a:ln>
              <a:noFill/>
            </a:ln>
            <a:effectLst/>
            <a:sp3d/>
          </c:spPr>
          <c:invertIfNegative val="0"/>
          <c:dLbls>
            <c:dLbl>
              <c:idx val="5"/>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xmlns:c16r2="http://schemas.microsoft.com/office/drawing/2015/06/chart">
                <c:ext xmlns:c16="http://schemas.microsoft.com/office/drawing/2014/chart" uri="{C3380CC4-5D6E-409C-BE32-E72D297353CC}">
                  <c16:uniqueId val="{0000001B-13F5-445A-BF02-27C2B7FBA04B}"/>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1C-13F5-445A-BF02-27C2B7FBA04B}"/>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'Econ Rights'!$N$12:$N$18</c:f>
              <c:numCache>
                <c:formatCode>General</c:formatCode>
                <c:ptCount val="7"/>
              </c:numCache>
            </c:numRef>
          </c:cat>
          <c:val>
            <c:numRef>
              <c:f>'Econ Rights'!$O$17:$U$17</c:f>
              <c:numCache>
                <c:formatCode>"$"#,##0.00_);[Red]\("$"#,##0.00\)</c:formatCode>
                <c:ptCount val="7"/>
              </c:numCache>
            </c:numRef>
          </c:val>
          <c:extLst xmlns:c16r2="http://schemas.microsoft.com/office/drawing/2015/06/chart">
            <c:ext xmlns:c16="http://schemas.microsoft.com/office/drawing/2014/chart" uri="{C3380CC4-5D6E-409C-BE32-E72D297353CC}">
              <c16:uniqueId val="{0000001D-13F5-445A-BF02-27C2B7FBA04B}"/>
            </c:ext>
          </c:extLst>
        </c:ser>
        <c:ser>
          <c:idx val="6"/>
          <c:order val="6"/>
          <c:tx>
            <c:strRef>
              <c:f>'Econ Rights'!$N$18</c:f>
              <c:strCache>
                <c:ptCount val="1"/>
              </c:strCache>
            </c:strRef>
          </c:tx>
          <c:spPr>
            <a:solidFill>
              <a:schemeClr val="accent1">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'Econ Rights'!$N$12:$N$18</c:f>
              <c:numCache>
                <c:formatCode>General</c:formatCode>
                <c:ptCount val="7"/>
              </c:numCache>
            </c:numRef>
          </c:cat>
          <c:val>
            <c:numRef>
              <c:f>'Econ Rights'!$O$18:$U$18</c:f>
              <c:numCache>
                <c:formatCode>"$"#,##0.00_);[Red]\("$"#,##0.00\)</c:formatCode>
                <c:ptCount val="7"/>
              </c:numCache>
            </c:numRef>
          </c:val>
          <c:extLst xmlns:c16r2="http://schemas.microsoft.com/office/drawing/2015/06/chart">
            <c:ext xmlns:c16="http://schemas.microsoft.com/office/drawing/2014/chart" uri="{C3380CC4-5D6E-409C-BE32-E72D297353CC}">
              <c16:uniqueId val="{0000001E-13F5-445A-BF02-27C2B7FBA04B}"/>
            </c:ext>
          </c:extLst>
        </c:ser>
        <c:dLbls>
          <c:showLegendKey val="0"/>
          <c:showVal val="0"/>
          <c:showCatName val="0"/>
          <c:showSerName val="0"/>
          <c:showPercent val="0"/>
          <c:showBubbleSize val="0"/>
        </c:dLbls>
        <c:gapWidth val="0"/>
        <c:gapDepth val="84"/>
        <c:shape val="box"/>
        <c:axId val="156215856"/>
        <c:axId val="156212328"/>
        <c:axId val="0"/>
      </c:bar3DChart>
      <c:catAx>
        <c:axId val="156215856"/>
        <c:scaling>
          <c:orientation val="minMax"/>
        </c:scaling>
        <c:delete val="1"/>
        <c:axPos val="b"/>
        <c:numFmt formatCode="General" sourceLinked="1"/>
        <c:majorTickMark val="none"/>
        <c:minorTickMark val="none"/>
        <c:tickLblPos val="nextTo"/>
        <c:crossAx val="156212328"/>
        <c:crosses val="autoZero"/>
        <c:auto val="1"/>
        <c:lblAlgn val="ctr"/>
        <c:lblOffset val="100"/>
        <c:noMultiLvlLbl val="0"/>
      </c:catAx>
      <c:valAx>
        <c:axId val="1562123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215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1">
            <a:lumMod val="85000"/>
          </a:schemeClr>
        </a:solidFill>
        <a:ln>
          <a:solidFill>
            <a:srgbClr val="000000"/>
          </a:solidFill>
        </a:ln>
        <a:effectLst/>
        <a:sp3d>
          <a:contourClr>
            <a:srgbClr val="000000"/>
          </a:contourClr>
        </a:sp3d>
      </c:spPr>
    </c:floor>
    <c:sideWall>
      <c:thickness val="0"/>
      <c:spPr>
        <a:noFill/>
        <a:ln>
          <a:solidFill>
            <a:schemeClr val="bg1">
              <a:lumMod val="75000"/>
            </a:schemeClr>
          </a:solidFill>
        </a:ln>
        <a:effectLst/>
        <a:sp3d>
          <a:contourClr>
            <a:schemeClr val="bg1">
              <a:lumMod val="75000"/>
            </a:schemeClr>
          </a:contourClr>
        </a:sp3d>
      </c:spPr>
    </c:sideWall>
    <c:backWall>
      <c:thickness val="0"/>
      <c:spPr>
        <a:noFill/>
        <a:ln>
          <a:solidFill>
            <a:schemeClr val="bg1">
              <a:lumMod val="75000"/>
            </a:schemeClr>
          </a:solidFill>
        </a:ln>
        <a:effectLst/>
        <a:sp3d>
          <a:contourClr>
            <a:schemeClr val="bg1">
              <a:lumMod val="75000"/>
            </a:schemeClr>
          </a:contourClr>
        </a:sp3d>
      </c:spPr>
    </c:backWall>
    <c:plotArea>
      <c:layout>
        <c:manualLayout>
          <c:layoutTarget val="inner"/>
          <c:xMode val="edge"/>
          <c:yMode val="edge"/>
          <c:x val="9.8715223097112864E-2"/>
          <c:y val="0.17530256634587343"/>
          <c:w val="0.76527712160979877"/>
          <c:h val="0.74686570428696408"/>
        </c:manualLayout>
      </c:layout>
      <c:bar3DChart>
        <c:barDir val="col"/>
        <c:grouping val="standard"/>
        <c:varyColors val="0"/>
        <c:ser>
          <c:idx val="0"/>
          <c:order val="0"/>
          <c:tx>
            <c:strRef>
              <c:f>'Cost of Capital_Avance'!$C$10</c:f>
              <c:strCache>
                <c:ptCount val="1"/>
                <c:pt idx="0">
                  <c:v>Late- Stage</c:v>
                </c:pt>
              </c:strCache>
            </c:strRef>
          </c:tx>
          <c:spPr>
            <a:solidFill>
              <a:schemeClr val="accent1"/>
            </a:solidFill>
            <a:ln>
              <a:solidFill>
                <a:srgbClr val="000000"/>
              </a:solidFill>
            </a:ln>
            <a:effectLst/>
            <a:sp3d>
              <a:contourClr>
                <a:srgbClr val="000000"/>
              </a:contourClr>
            </a:sp3d>
          </c:spPr>
          <c:invertIfNegative val="0"/>
          <c:dLbls>
            <c:dLbl>
              <c:idx val="0"/>
              <c:layout>
                <c:manualLayout>
                  <c:x val="0"/>
                  <c:y val="8.796296296296288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0332-4416-8459-02CD9B63CB5F}"/>
                </c:ext>
                <c:ext xmlns:c15="http://schemas.microsoft.com/office/drawing/2012/chart" uri="{CE6537A1-D6FC-4f65-9D91-7224C49458BB}"/>
              </c:extLst>
            </c:dLbl>
            <c:dLbl>
              <c:idx val="1"/>
              <c:layout>
                <c:manualLayout>
                  <c:x val="0"/>
                  <c:y val="8.333333333333332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0332-4416-8459-02CD9B63CB5F}"/>
                </c:ext>
                <c:ext xmlns:c15="http://schemas.microsoft.com/office/drawing/2012/chart" uri="{CE6537A1-D6FC-4f65-9D91-7224C49458BB}"/>
              </c:extLst>
            </c:dLbl>
            <c:dLbl>
              <c:idx val="2"/>
              <c:layout>
                <c:manualLayout>
                  <c:x val="-5.0925337632079971E-17"/>
                  <c:y val="7.870370370370362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0332-4416-8459-02CD9B63CB5F}"/>
                </c:ext>
                <c:ext xmlns:c15="http://schemas.microsoft.com/office/drawing/2012/chart" uri="{CE6537A1-D6FC-4f65-9D91-7224C49458BB}"/>
              </c:extLst>
            </c:dLbl>
            <c:dLbl>
              <c:idx val="3"/>
              <c:layout>
                <c:manualLayout>
                  <c:x val="2.777777777777676E-3"/>
                  <c:y val="8.333333333333332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0332-4416-8459-02CD9B63CB5F}"/>
                </c:ext>
                <c:ext xmlns:c15="http://schemas.microsoft.com/office/drawing/2012/chart" uri="{CE6537A1-D6FC-4f65-9D91-7224C49458BB}"/>
              </c:extLst>
            </c:dLbl>
            <c:spPr>
              <a:noFill/>
              <a:ln>
                <a:noFill/>
              </a:ln>
              <a:effectLst/>
            </c:spPr>
            <c:txPr>
              <a:bodyPr rot="0" spcFirstLastPara="1" vertOverflow="clip" horzOverflow="clip" vert="horz" wrap="square" lIns="38100" tIns="19050" rIns="38100" bIns="19050" anchor="t" anchorCtr="0">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of Capital_Avance'!$D$9:$G$9</c:f>
              <c:strCache>
                <c:ptCount val="4"/>
                <c:pt idx="0">
                  <c:v>Europe</c:v>
                </c:pt>
                <c:pt idx="1">
                  <c:v>RoW</c:v>
                </c:pt>
                <c:pt idx="2">
                  <c:v>US</c:v>
                </c:pt>
                <c:pt idx="3">
                  <c:v>Total</c:v>
                </c:pt>
              </c:strCache>
            </c:strRef>
          </c:cat>
          <c:val>
            <c:numRef>
              <c:f>'Cost of Capital_Avance'!$D$10:$G$10</c:f>
              <c:numCache>
                <c:formatCode>0.0%</c:formatCode>
                <c:ptCount val="4"/>
                <c:pt idx="0">
                  <c:v>0.13500000000000001</c:v>
                </c:pt>
                <c:pt idx="1">
                  <c:v>0.13</c:v>
                </c:pt>
                <c:pt idx="2">
                  <c:v>0.13700000000000001</c:v>
                </c:pt>
                <c:pt idx="3">
                  <c:v>0.13600000000000001</c:v>
                </c:pt>
              </c:numCache>
            </c:numRef>
          </c:val>
          <c:extLst xmlns:c16r2="http://schemas.microsoft.com/office/drawing/2015/06/chart">
            <c:ext xmlns:c16="http://schemas.microsoft.com/office/drawing/2014/chart" uri="{C3380CC4-5D6E-409C-BE32-E72D297353CC}">
              <c16:uniqueId val="{00000004-0332-4416-8459-02CD9B63CB5F}"/>
            </c:ext>
          </c:extLst>
        </c:ser>
        <c:ser>
          <c:idx val="1"/>
          <c:order val="1"/>
          <c:tx>
            <c:strRef>
              <c:f>'Cost of Capital_Avance'!$C$11</c:f>
              <c:strCache>
                <c:ptCount val="1"/>
                <c:pt idx="0">
                  <c:v>Mid-Stage</c:v>
                </c:pt>
              </c:strCache>
            </c:strRef>
          </c:tx>
          <c:spPr>
            <a:solidFill>
              <a:schemeClr val="accent2"/>
            </a:solidFill>
            <a:ln>
              <a:solidFill>
                <a:srgbClr val="000000"/>
              </a:solidFill>
            </a:ln>
            <a:effectLst/>
            <a:sp3d>
              <a:contourClr>
                <a:srgbClr val="000000"/>
              </a:contourClr>
            </a:sp3d>
          </c:spPr>
          <c:invertIfNegative val="0"/>
          <c:dLbls>
            <c:dLbl>
              <c:idx val="0"/>
              <c:layout>
                <c:manualLayout>
                  <c:x val="-2.5462668816039986E-17"/>
                  <c:y val="7.407407407407398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0332-4416-8459-02CD9B63CB5F}"/>
                </c:ext>
                <c:ext xmlns:c15="http://schemas.microsoft.com/office/drawing/2012/chart" uri="{CE6537A1-D6FC-4f65-9D91-7224C49458BB}"/>
              </c:extLst>
            </c:dLbl>
            <c:dLbl>
              <c:idx val="1"/>
              <c:layout>
                <c:manualLayout>
                  <c:x val="0"/>
                  <c:y val="6.01851851851851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0332-4416-8459-02CD9B63CB5F}"/>
                </c:ext>
                <c:ext xmlns:c15="http://schemas.microsoft.com/office/drawing/2012/chart" uri="{CE6537A1-D6FC-4f65-9D91-7224C49458BB}"/>
              </c:extLst>
            </c:dLbl>
            <c:dLbl>
              <c:idx val="2"/>
              <c:layout>
                <c:manualLayout>
                  <c:x val="0"/>
                  <c:y val="7.407407407407411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0332-4416-8459-02CD9B63CB5F}"/>
                </c:ext>
                <c:ext xmlns:c15="http://schemas.microsoft.com/office/drawing/2012/chart" uri="{CE6537A1-D6FC-4f65-9D91-7224C49458BB}"/>
              </c:extLst>
            </c:dLbl>
            <c:dLbl>
              <c:idx val="3"/>
              <c:layout>
                <c:manualLayout>
                  <c:x val="0"/>
                  <c:y val="7.407407407407402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0332-4416-8459-02CD9B63CB5F}"/>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of Capital_Avance'!$D$9:$G$9</c:f>
              <c:strCache>
                <c:ptCount val="4"/>
                <c:pt idx="0">
                  <c:v>Europe</c:v>
                </c:pt>
                <c:pt idx="1">
                  <c:v>RoW</c:v>
                </c:pt>
                <c:pt idx="2">
                  <c:v>US</c:v>
                </c:pt>
                <c:pt idx="3">
                  <c:v>Total</c:v>
                </c:pt>
              </c:strCache>
            </c:strRef>
          </c:cat>
          <c:val>
            <c:numRef>
              <c:f>'Cost of Capital_Avance'!$D$11:$G$11</c:f>
              <c:numCache>
                <c:formatCode>0.0%</c:formatCode>
                <c:ptCount val="4"/>
                <c:pt idx="0">
                  <c:v>0.158</c:v>
                </c:pt>
                <c:pt idx="1">
                  <c:v>0.14000000000000001</c:v>
                </c:pt>
                <c:pt idx="2">
                  <c:v>0.16500000000000001</c:v>
                </c:pt>
                <c:pt idx="3">
                  <c:v>0.16</c:v>
                </c:pt>
              </c:numCache>
            </c:numRef>
          </c:val>
          <c:extLst xmlns:c16r2="http://schemas.microsoft.com/office/drawing/2015/06/chart">
            <c:ext xmlns:c16="http://schemas.microsoft.com/office/drawing/2014/chart" uri="{C3380CC4-5D6E-409C-BE32-E72D297353CC}">
              <c16:uniqueId val="{00000009-0332-4416-8459-02CD9B63CB5F}"/>
            </c:ext>
          </c:extLst>
        </c:ser>
        <c:ser>
          <c:idx val="2"/>
          <c:order val="2"/>
          <c:tx>
            <c:strRef>
              <c:f>'Cost of Capital_Avance'!$C$12</c:f>
              <c:strCache>
                <c:ptCount val="1"/>
                <c:pt idx="0">
                  <c:v>Early-Stage</c:v>
                </c:pt>
              </c:strCache>
            </c:strRef>
          </c:tx>
          <c:spPr>
            <a:solidFill>
              <a:schemeClr val="accent3"/>
            </a:solidFill>
            <a:ln>
              <a:solidFill>
                <a:srgbClr val="000000"/>
              </a:solidFill>
            </a:ln>
            <a:effectLst/>
            <a:sp3d>
              <a:contourClr>
                <a:srgbClr val="000000"/>
              </a:contourClr>
            </a:sp3d>
          </c:spPr>
          <c:invertIfNegative val="0"/>
          <c:dLbls>
            <c:dLbl>
              <c:idx val="0"/>
              <c:layout>
                <c:manualLayout>
                  <c:x val="0"/>
                  <c:y val="6.944444444444444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0332-4416-8459-02CD9B63CB5F}"/>
                </c:ext>
                <c:ext xmlns:c15="http://schemas.microsoft.com/office/drawing/2012/chart" uri="{CE6537A1-D6FC-4f65-9D91-7224C49458BB}"/>
              </c:extLst>
            </c:dLbl>
            <c:dLbl>
              <c:idx val="1"/>
              <c:layout>
                <c:manualLayout>
                  <c:x val="0"/>
                  <c:y val="6.944444444444444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0332-4416-8459-02CD9B63CB5F}"/>
                </c:ext>
                <c:ext xmlns:c15="http://schemas.microsoft.com/office/drawing/2012/chart" uri="{CE6537A1-D6FC-4f65-9D91-7224C49458BB}"/>
              </c:extLst>
            </c:dLbl>
            <c:dLbl>
              <c:idx val="2"/>
              <c:layout>
                <c:manualLayout>
                  <c:x val="2.7777777777777779E-3"/>
                  <c:y val="7.407407407407405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C-0332-4416-8459-02CD9B63CB5F}"/>
                </c:ext>
                <c:ext xmlns:c15="http://schemas.microsoft.com/office/drawing/2012/chart" uri="{CE6537A1-D6FC-4f65-9D91-7224C49458BB}"/>
              </c:extLst>
            </c:dLbl>
            <c:dLbl>
              <c:idx val="3"/>
              <c:layout>
                <c:manualLayout>
                  <c:x val="0"/>
                  <c:y val="6.944444444444444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D-0332-4416-8459-02CD9B63CB5F}"/>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of Capital_Avance'!$D$9:$G$9</c:f>
              <c:strCache>
                <c:ptCount val="4"/>
                <c:pt idx="0">
                  <c:v>Europe</c:v>
                </c:pt>
                <c:pt idx="1">
                  <c:v>RoW</c:v>
                </c:pt>
                <c:pt idx="2">
                  <c:v>US</c:v>
                </c:pt>
                <c:pt idx="3">
                  <c:v>Total</c:v>
                </c:pt>
              </c:strCache>
            </c:strRef>
          </c:cat>
          <c:val>
            <c:numRef>
              <c:f>'Cost of Capital_Avance'!$D$12:$G$12</c:f>
              <c:numCache>
                <c:formatCode>0.0%</c:formatCode>
                <c:ptCount val="4"/>
                <c:pt idx="0">
                  <c:v>0.182</c:v>
                </c:pt>
                <c:pt idx="1">
                  <c:v>0.151</c:v>
                </c:pt>
                <c:pt idx="2">
                  <c:v>0.19700000000000001</c:v>
                </c:pt>
                <c:pt idx="3">
                  <c:v>0.186</c:v>
                </c:pt>
              </c:numCache>
            </c:numRef>
          </c:val>
          <c:extLst xmlns:c16r2="http://schemas.microsoft.com/office/drawing/2015/06/chart">
            <c:ext xmlns:c16="http://schemas.microsoft.com/office/drawing/2014/chart" uri="{C3380CC4-5D6E-409C-BE32-E72D297353CC}">
              <c16:uniqueId val="{0000000E-0332-4416-8459-02CD9B63CB5F}"/>
            </c:ext>
          </c:extLst>
        </c:ser>
        <c:dLbls>
          <c:showLegendKey val="0"/>
          <c:showVal val="1"/>
          <c:showCatName val="0"/>
          <c:showSerName val="0"/>
          <c:showPercent val="0"/>
          <c:showBubbleSize val="0"/>
        </c:dLbls>
        <c:gapWidth val="150"/>
        <c:shape val="box"/>
        <c:axId val="156216248"/>
        <c:axId val="156212720"/>
        <c:axId val="562247888"/>
      </c:bar3DChart>
      <c:catAx>
        <c:axId val="1562162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56212720"/>
        <c:crosses val="autoZero"/>
        <c:auto val="1"/>
        <c:lblAlgn val="ctr"/>
        <c:lblOffset val="100"/>
        <c:noMultiLvlLbl val="0"/>
      </c:catAx>
      <c:valAx>
        <c:axId val="156212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56216248"/>
        <c:crosses val="autoZero"/>
        <c:crossBetween val="between"/>
        <c:majorUnit val="2.0000000000000004E-2"/>
        <c:minorUnit val="1.0000000000000002E-2"/>
      </c:valAx>
      <c:serAx>
        <c:axId val="56224788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56212720"/>
        <c:crosses val="autoZero"/>
      </c:ser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rgbClr val="0F3F76"/>
            </a:solidFill>
          </c:spPr>
          <c:dPt>
            <c:idx val="1"/>
            <c:bubble3D val="0"/>
            <c:spPr>
              <a:solidFill>
                <a:srgbClr val="7ADC94"/>
              </a:solidFill>
            </c:spPr>
            <c:extLst xmlns:c16r2="http://schemas.microsoft.com/office/drawing/2015/06/chart">
              <c:ext xmlns:c16="http://schemas.microsoft.com/office/drawing/2014/chart" uri="{C3380CC4-5D6E-409C-BE32-E72D297353CC}">
                <c16:uniqueId val="{00000001-0A9F-4271-BD3D-D9DA34014D3B}"/>
              </c:ext>
            </c:extLst>
          </c:dPt>
          <c:dPt>
            <c:idx val="2"/>
            <c:bubble3D val="0"/>
            <c:spPr>
              <a:solidFill>
                <a:srgbClr val="1C7262"/>
              </a:solidFill>
            </c:spPr>
            <c:extLst xmlns:c16r2="http://schemas.microsoft.com/office/drawing/2015/06/chart">
              <c:ext xmlns:c16="http://schemas.microsoft.com/office/drawing/2014/chart" uri="{C3380CC4-5D6E-409C-BE32-E72D297353CC}">
                <c16:uniqueId val="{00000003-0A9F-4271-BD3D-D9DA34014D3B}"/>
              </c:ext>
            </c:extLst>
          </c:dPt>
          <c:dPt>
            <c:idx val="3"/>
            <c:bubble3D val="0"/>
            <c:spPr>
              <a:solidFill>
                <a:srgbClr val="C3E6EF"/>
              </a:solidFill>
            </c:spPr>
            <c:extLst xmlns:c16r2="http://schemas.microsoft.com/office/drawing/2015/06/chart">
              <c:ext xmlns:c16="http://schemas.microsoft.com/office/drawing/2014/chart" uri="{C3380CC4-5D6E-409C-BE32-E72D297353CC}">
                <c16:uniqueId val="{00000005-0A9F-4271-BD3D-D9DA34014D3B}"/>
              </c:ext>
            </c:extLst>
          </c:dPt>
          <c:dPt>
            <c:idx val="4"/>
            <c:bubble3D val="0"/>
            <c:spPr>
              <a:solidFill>
                <a:srgbClr val="40C2CC"/>
              </a:solidFill>
            </c:spPr>
            <c:extLst xmlns:c16r2="http://schemas.microsoft.com/office/drawing/2015/06/chart">
              <c:ext xmlns:c16="http://schemas.microsoft.com/office/drawing/2014/chart" uri="{C3380CC4-5D6E-409C-BE32-E72D297353CC}">
                <c16:uniqueId val="{00000007-0A9F-4271-BD3D-D9DA34014D3B}"/>
              </c:ext>
            </c:extLst>
          </c:dPt>
          <c:dPt>
            <c:idx val="5"/>
            <c:bubble3D val="0"/>
            <c:spPr>
              <a:solidFill>
                <a:srgbClr val="3777BC"/>
              </a:solidFill>
            </c:spPr>
            <c:extLst xmlns:c16r2="http://schemas.microsoft.com/office/drawing/2015/06/chart">
              <c:ext xmlns:c16="http://schemas.microsoft.com/office/drawing/2014/chart" uri="{C3380CC4-5D6E-409C-BE32-E72D297353CC}">
                <c16:uniqueId val="{00000009-0A9F-4271-BD3D-D9DA34014D3B}"/>
              </c:ext>
            </c:extLst>
          </c:dPt>
          <c:dLbls>
            <c:numFmt formatCode="General" sourceLinked="0"/>
            <c:spPr>
              <a:noFill/>
              <a:ln>
                <a:noFill/>
              </a:ln>
              <a:effectLst/>
            </c:spPr>
            <c:dLblPos val="outEnd"/>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Global!$A$12:$A$17</c:f>
              <c:strCache>
                <c:ptCount val="6"/>
                <c:pt idx="0">
                  <c:v>US</c:v>
                </c:pt>
                <c:pt idx="1">
                  <c:v>France</c:v>
                </c:pt>
                <c:pt idx="2">
                  <c:v>Germany</c:v>
                </c:pt>
                <c:pt idx="3">
                  <c:v>Italy</c:v>
                </c:pt>
                <c:pt idx="4">
                  <c:v>Spain</c:v>
                </c:pt>
                <c:pt idx="5">
                  <c:v>UK</c:v>
                </c:pt>
              </c:strCache>
            </c:strRef>
          </c:cat>
          <c:val>
            <c:numRef>
              <c:f>Global!$B$12:$B$17</c:f>
              <c:numCache>
                <c:formatCode>_(* #,##0_);_(* \(#,##0\);_(* "-"??_);_(@_)</c:formatCode>
                <c:ptCount val="6"/>
                <c:pt idx="0">
                  <c:v>208368136.26388299</c:v>
                </c:pt>
                <c:pt idx="1">
                  <c:v>3774010.9893813543</c:v>
                </c:pt>
                <c:pt idx="2">
                  <c:v>10047764.247715758</c:v>
                </c:pt>
                <c:pt idx="3">
                  <c:v>3439812.7887605829</c:v>
                </c:pt>
                <c:pt idx="4">
                  <c:v>4474703.5554127358</c:v>
                </c:pt>
                <c:pt idx="5">
                  <c:v>2800982.3670805376</c:v>
                </c:pt>
              </c:numCache>
            </c:numRef>
          </c:val>
          <c:extLst xmlns:c16r2="http://schemas.microsoft.com/office/drawing/2015/06/chart">
            <c:ext xmlns:c16="http://schemas.microsoft.com/office/drawing/2014/chart" uri="{C3380CC4-5D6E-409C-BE32-E72D297353CC}">
              <c16:uniqueId val="{0000000A-0A9F-4271-BD3D-D9DA34014D3B}"/>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0F3F76"/>
            </a:solidFill>
          </c:spPr>
          <c:dPt>
            <c:idx val="1"/>
            <c:bubble3D val="0"/>
            <c:spPr>
              <a:solidFill>
                <a:srgbClr val="7ADC94"/>
              </a:solidFill>
            </c:spPr>
            <c:extLst xmlns:c16r2="http://schemas.microsoft.com/office/drawing/2015/06/chart">
              <c:ext xmlns:c16="http://schemas.microsoft.com/office/drawing/2014/chart" uri="{C3380CC4-5D6E-409C-BE32-E72D297353CC}">
                <c16:uniqueId val="{00000001-D7C2-4293-80BF-FC521CA941F0}"/>
              </c:ext>
            </c:extLst>
          </c:dPt>
          <c:dPt>
            <c:idx val="2"/>
            <c:bubble3D val="0"/>
            <c:spPr>
              <a:solidFill>
                <a:srgbClr val="1C7262"/>
              </a:solidFill>
            </c:spPr>
            <c:extLst xmlns:c16r2="http://schemas.microsoft.com/office/drawing/2015/06/chart">
              <c:ext xmlns:c16="http://schemas.microsoft.com/office/drawing/2014/chart" uri="{C3380CC4-5D6E-409C-BE32-E72D297353CC}">
                <c16:uniqueId val="{00000003-D7C2-4293-80BF-FC521CA941F0}"/>
              </c:ext>
            </c:extLst>
          </c:dPt>
          <c:dPt>
            <c:idx val="3"/>
            <c:bubble3D val="0"/>
            <c:spPr>
              <a:solidFill>
                <a:srgbClr val="C3E6EF"/>
              </a:solidFill>
            </c:spPr>
            <c:extLst xmlns:c16r2="http://schemas.microsoft.com/office/drawing/2015/06/chart">
              <c:ext xmlns:c16="http://schemas.microsoft.com/office/drawing/2014/chart" uri="{C3380CC4-5D6E-409C-BE32-E72D297353CC}">
                <c16:uniqueId val="{00000005-D7C2-4293-80BF-FC521CA941F0}"/>
              </c:ext>
            </c:extLst>
          </c:dPt>
          <c:dPt>
            <c:idx val="4"/>
            <c:bubble3D val="0"/>
            <c:spPr>
              <a:solidFill>
                <a:srgbClr val="40C2CC"/>
              </a:solidFill>
            </c:spPr>
            <c:extLst xmlns:c16r2="http://schemas.microsoft.com/office/drawing/2015/06/chart">
              <c:ext xmlns:c16="http://schemas.microsoft.com/office/drawing/2014/chart" uri="{C3380CC4-5D6E-409C-BE32-E72D297353CC}">
                <c16:uniqueId val="{00000007-D7C2-4293-80BF-FC521CA941F0}"/>
              </c:ext>
            </c:extLst>
          </c:dPt>
          <c:dPt>
            <c:idx val="5"/>
            <c:bubble3D val="0"/>
            <c:spPr>
              <a:solidFill>
                <a:srgbClr val="3777BC"/>
              </a:solidFill>
            </c:spPr>
            <c:extLst xmlns:c16r2="http://schemas.microsoft.com/office/drawing/2015/06/chart">
              <c:ext xmlns:c16="http://schemas.microsoft.com/office/drawing/2014/chart" uri="{C3380CC4-5D6E-409C-BE32-E72D297353CC}">
                <c16:uniqueId val="{00000009-D7C2-4293-80BF-FC521CA941F0}"/>
              </c:ext>
            </c:extLst>
          </c:dPt>
          <c:dLbls>
            <c:dLbl>
              <c:idx val="1"/>
              <c:layout>
                <c:manualLayout>
                  <c:x val="-7.2222222222222215E-2"/>
                  <c:y val="9.2592592592592587E-3"/>
                </c:manualLayout>
              </c:layout>
              <c:dLblPos val="bestFit"/>
              <c:showLegendKey val="0"/>
              <c:showVal val="0"/>
              <c:showCatName val="0"/>
              <c:showSerName val="0"/>
              <c:showPercent val="1"/>
              <c:showBubbleSize val="0"/>
              <c:extLst xmlns:c16r2="http://schemas.microsoft.com/office/drawing/2015/06/chart">
                <c:ext xmlns:c16="http://schemas.microsoft.com/office/drawing/2014/chart" uri="{C3380CC4-5D6E-409C-BE32-E72D297353CC}">
                  <c16:uniqueId val="{00000001-D7C2-4293-80BF-FC521CA941F0}"/>
                </c:ext>
                <c:ext xmlns:c15="http://schemas.microsoft.com/office/drawing/2012/chart" uri="{CE6537A1-D6FC-4f65-9D91-7224C49458BB}"/>
              </c:extLst>
            </c:dLbl>
            <c:dLbl>
              <c:idx val="2"/>
              <c:layout>
                <c:manualLayout>
                  <c:x val="-1.600003023627761E-2"/>
                  <c:y val="4.4170826105398218E-18"/>
                </c:manualLayout>
              </c:layout>
              <c:dLblPos val="bestFit"/>
              <c:showLegendKey val="0"/>
              <c:showVal val="0"/>
              <c:showCatName val="0"/>
              <c:showSerName val="0"/>
              <c:showPercent val="1"/>
              <c:showBubbleSize val="0"/>
              <c:extLst xmlns:c16r2="http://schemas.microsoft.com/office/drawing/2015/06/chart">
                <c:ext xmlns:c16="http://schemas.microsoft.com/office/drawing/2014/chart" uri="{C3380CC4-5D6E-409C-BE32-E72D297353CC}">
                  <c16:uniqueId val="{00000003-D7C2-4293-80BF-FC521CA941F0}"/>
                </c:ext>
                <c:ext xmlns:c15="http://schemas.microsoft.com/office/drawing/2012/chart" uri="{CE6537A1-D6FC-4f65-9D91-7224C49458BB}"/>
              </c:extLst>
            </c:dLbl>
            <c:dLbl>
              <c:idx val="4"/>
              <c:layout>
                <c:manualLayout>
                  <c:x val="7.4999999999999997E-2"/>
                  <c:y val="9.2592592592592587E-3"/>
                </c:manualLayout>
              </c:layout>
              <c:dLblPos val="bestFit"/>
              <c:showLegendKey val="0"/>
              <c:showVal val="0"/>
              <c:showCatName val="0"/>
              <c:showSerName val="0"/>
              <c:showPercent val="1"/>
              <c:showBubbleSize val="0"/>
              <c:extLst xmlns:c16r2="http://schemas.microsoft.com/office/drawing/2015/06/chart">
                <c:ext xmlns:c16="http://schemas.microsoft.com/office/drawing/2014/chart" uri="{C3380CC4-5D6E-409C-BE32-E72D297353CC}">
                  <c16:uniqueId val="{00000007-D7C2-4293-80BF-FC521CA941F0}"/>
                </c:ext>
                <c:ext xmlns:c15="http://schemas.microsoft.com/office/drawing/2012/chart" uri="{CE6537A1-D6FC-4f65-9D91-7224C49458BB}"/>
              </c:extLst>
            </c:dLbl>
            <c:dLbl>
              <c:idx val="5"/>
              <c:layout>
                <c:manualLayout>
                  <c:x val="1.600003023627761E-2"/>
                  <c:y val="-1.1564858977016892E-2"/>
                </c:manualLayout>
              </c:layout>
              <c:dLblPos val="bestFit"/>
              <c:showLegendKey val="0"/>
              <c:showVal val="0"/>
              <c:showCatName val="0"/>
              <c:showSerName val="0"/>
              <c:showPercent val="1"/>
              <c:showBubbleSize val="0"/>
              <c:extLst xmlns:c16r2="http://schemas.microsoft.com/office/drawing/2015/06/chart">
                <c:ext xmlns:c16="http://schemas.microsoft.com/office/drawing/2014/chart" uri="{C3380CC4-5D6E-409C-BE32-E72D297353CC}">
                  <c16:uniqueId val="{00000009-D7C2-4293-80BF-FC521CA941F0}"/>
                </c:ext>
                <c:ext xmlns:c15="http://schemas.microsoft.com/office/drawing/2012/chart" uri="{CE6537A1-D6FC-4f65-9D91-7224C49458BB}"/>
              </c:extLst>
            </c:dLbl>
            <c:spPr>
              <a:noFill/>
              <a:ln>
                <a:noFill/>
              </a:ln>
              <a:effectLst/>
            </c:spPr>
            <c:dLblPos val="outEnd"/>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Global!$A$12:$A$17</c:f>
              <c:strCache>
                <c:ptCount val="6"/>
                <c:pt idx="0">
                  <c:v>US</c:v>
                </c:pt>
                <c:pt idx="1">
                  <c:v>France</c:v>
                </c:pt>
                <c:pt idx="2">
                  <c:v>Germany</c:v>
                </c:pt>
                <c:pt idx="3">
                  <c:v>Italy</c:v>
                </c:pt>
                <c:pt idx="4">
                  <c:v>Spain</c:v>
                </c:pt>
                <c:pt idx="5">
                  <c:v>UK</c:v>
                </c:pt>
              </c:strCache>
            </c:strRef>
          </c:cat>
          <c:val>
            <c:numRef>
              <c:f>Global!$G$12:$G$17</c:f>
              <c:numCache>
                <c:formatCode>_(* #,##0_);_(* \(#,##0\);_(* "-"??_);_(@_)</c:formatCode>
                <c:ptCount val="6"/>
                <c:pt idx="0">
                  <c:v>1279148558.2186012</c:v>
                </c:pt>
                <c:pt idx="1">
                  <c:v>11808641.583263803</c:v>
                </c:pt>
                <c:pt idx="2">
                  <c:v>19343760.514517795</c:v>
                </c:pt>
                <c:pt idx="3">
                  <c:v>21318160.875220589</c:v>
                </c:pt>
                <c:pt idx="4">
                  <c:v>10437464.332607035</c:v>
                </c:pt>
                <c:pt idx="5">
                  <c:v>14079048.135860527</c:v>
                </c:pt>
              </c:numCache>
            </c:numRef>
          </c:val>
          <c:extLst xmlns:c16r2="http://schemas.microsoft.com/office/drawing/2015/06/chart">
            <c:ext xmlns:c16="http://schemas.microsoft.com/office/drawing/2014/chart" uri="{C3380CC4-5D6E-409C-BE32-E72D297353CC}">
              <c16:uniqueId val="{0000000A-D7C2-4293-80BF-FC521CA941F0}"/>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1">
                  <a:lumMod val="65000"/>
                  <a:lumOff val="35000"/>
                </a:schemeClr>
              </a:solidFill>
            </c:spPr>
            <c:extLst xmlns:c16r2="http://schemas.microsoft.com/office/drawing/2015/06/chart">
              <c:ext xmlns:c16="http://schemas.microsoft.com/office/drawing/2014/chart" uri="{C3380CC4-5D6E-409C-BE32-E72D297353CC}">
                <c16:uniqueId val="{00000001-C62B-4280-BB5F-75945AE9F2B3}"/>
              </c:ext>
            </c:extLst>
          </c:dPt>
          <c:dPt>
            <c:idx val="1"/>
            <c:bubble3D val="0"/>
            <c:spPr>
              <a:solidFill>
                <a:srgbClr val="D96709"/>
              </a:solidFill>
            </c:spPr>
            <c:extLst xmlns:c16r2="http://schemas.microsoft.com/office/drawing/2015/06/chart">
              <c:ext xmlns:c16="http://schemas.microsoft.com/office/drawing/2014/chart" uri="{C3380CC4-5D6E-409C-BE32-E72D297353CC}">
                <c16:uniqueId val="{00000003-C62B-4280-BB5F-75945AE9F2B3}"/>
              </c:ext>
            </c:extLst>
          </c:dPt>
          <c:dPt>
            <c:idx val="2"/>
            <c:bubble3D val="0"/>
            <c:spPr>
              <a:solidFill>
                <a:schemeClr val="accent6">
                  <a:lumMod val="50000"/>
                </a:schemeClr>
              </a:solidFill>
            </c:spPr>
            <c:extLst xmlns:c16r2="http://schemas.microsoft.com/office/drawing/2015/06/chart">
              <c:ext xmlns:c16="http://schemas.microsoft.com/office/drawing/2014/chart" uri="{C3380CC4-5D6E-409C-BE32-E72D297353CC}">
                <c16:uniqueId val="{00000005-C62B-4280-BB5F-75945AE9F2B3}"/>
              </c:ext>
            </c:extLst>
          </c:dPt>
          <c:dPt>
            <c:idx val="3"/>
            <c:bubble3D val="0"/>
            <c:spPr>
              <a:solidFill>
                <a:schemeClr val="accent6">
                  <a:lumMod val="60000"/>
                  <a:lumOff val="40000"/>
                </a:schemeClr>
              </a:solidFill>
            </c:spPr>
            <c:extLst xmlns:c16r2="http://schemas.microsoft.com/office/drawing/2015/06/chart">
              <c:ext xmlns:c16="http://schemas.microsoft.com/office/drawing/2014/chart" uri="{C3380CC4-5D6E-409C-BE32-E72D297353CC}">
                <c16:uniqueId val="{00000007-C62B-4280-BB5F-75945AE9F2B3}"/>
              </c:ext>
            </c:extLst>
          </c:dPt>
          <c:dLbls>
            <c:spPr>
              <a:noFill/>
              <a:ln>
                <a:noFill/>
              </a:ln>
              <a:effectLst/>
            </c:spPr>
            <c:dLblPos val="outEnd"/>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World!$A$11:$A$15</c:f>
              <c:strCache>
                <c:ptCount val="5"/>
                <c:pt idx="0">
                  <c:v>US</c:v>
                </c:pt>
                <c:pt idx="1">
                  <c:v>5 EU</c:v>
                </c:pt>
                <c:pt idx="2">
                  <c:v>Japan</c:v>
                </c:pt>
                <c:pt idx="3">
                  <c:v>Canada</c:v>
                </c:pt>
                <c:pt idx="4">
                  <c:v>Brazil</c:v>
                </c:pt>
              </c:strCache>
            </c:strRef>
          </c:cat>
          <c:val>
            <c:numRef>
              <c:f>World!$B$11:$B$15</c:f>
              <c:numCache>
                <c:formatCode>#,##0_);\(#,##0\)</c:formatCode>
                <c:ptCount val="5"/>
                <c:pt idx="0">
                  <c:v>83809147.637888059</c:v>
                </c:pt>
                <c:pt idx="1">
                  <c:v>181051859.80993813</c:v>
                </c:pt>
                <c:pt idx="2">
                  <c:v>55009319.335938044</c:v>
                </c:pt>
                <c:pt idx="3">
                  <c:v>12424379.916118037</c:v>
                </c:pt>
                <c:pt idx="4">
                  <c:v>75217654.213696033</c:v>
                </c:pt>
              </c:numCache>
            </c:numRef>
          </c:val>
          <c:extLst xmlns:c16r2="http://schemas.microsoft.com/office/drawing/2015/06/chart">
            <c:ext xmlns:c16="http://schemas.microsoft.com/office/drawing/2014/chart" uri="{C3380CC4-5D6E-409C-BE32-E72D297353CC}">
              <c16:uniqueId val="{00000008-C62B-4280-BB5F-75945AE9F2B3}"/>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zero"/>
    <c:showDLblsOverMax val="0"/>
  </c:chart>
  <c:spPr>
    <a:ln>
      <a:noFill/>
    </a:ln>
  </c:spPr>
  <c:printSettings>
    <c:headerFooter/>
    <c:pageMargins b="0.75000000000000011" l="0.70000000000000007" r="0.70000000000000007" t="0.75000000000000011" header="0.30000000000000004" footer="0.30000000000000004"/>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1">
                  <a:lumMod val="65000"/>
                  <a:lumOff val="35000"/>
                </a:schemeClr>
              </a:solidFill>
            </c:spPr>
            <c:extLst xmlns:c16r2="http://schemas.microsoft.com/office/drawing/2015/06/chart">
              <c:ext xmlns:c16="http://schemas.microsoft.com/office/drawing/2014/chart" uri="{C3380CC4-5D6E-409C-BE32-E72D297353CC}">
                <c16:uniqueId val="{00000001-3188-4B20-8439-1E244B06663B}"/>
              </c:ext>
            </c:extLst>
          </c:dPt>
          <c:dPt>
            <c:idx val="1"/>
            <c:bubble3D val="0"/>
            <c:spPr>
              <a:solidFill>
                <a:srgbClr val="D96709"/>
              </a:solidFill>
            </c:spPr>
            <c:extLst xmlns:c16r2="http://schemas.microsoft.com/office/drawing/2015/06/chart">
              <c:ext xmlns:c16="http://schemas.microsoft.com/office/drawing/2014/chart" uri="{C3380CC4-5D6E-409C-BE32-E72D297353CC}">
                <c16:uniqueId val="{00000003-3188-4B20-8439-1E244B06663B}"/>
              </c:ext>
            </c:extLst>
          </c:dPt>
          <c:dPt>
            <c:idx val="2"/>
            <c:bubble3D val="0"/>
            <c:spPr>
              <a:solidFill>
                <a:schemeClr val="accent6">
                  <a:lumMod val="50000"/>
                </a:schemeClr>
              </a:solidFill>
            </c:spPr>
            <c:extLst xmlns:c16r2="http://schemas.microsoft.com/office/drawing/2015/06/chart">
              <c:ext xmlns:c16="http://schemas.microsoft.com/office/drawing/2014/chart" uri="{C3380CC4-5D6E-409C-BE32-E72D297353CC}">
                <c16:uniqueId val="{00000005-3188-4B20-8439-1E244B06663B}"/>
              </c:ext>
            </c:extLst>
          </c:dPt>
          <c:dPt>
            <c:idx val="3"/>
            <c:bubble3D val="0"/>
            <c:spPr>
              <a:solidFill>
                <a:schemeClr val="accent6">
                  <a:lumMod val="60000"/>
                  <a:lumOff val="40000"/>
                </a:schemeClr>
              </a:solidFill>
            </c:spPr>
            <c:extLst xmlns:c16r2="http://schemas.microsoft.com/office/drawing/2015/06/chart">
              <c:ext xmlns:c16="http://schemas.microsoft.com/office/drawing/2014/chart" uri="{C3380CC4-5D6E-409C-BE32-E72D297353CC}">
                <c16:uniqueId val="{00000007-3188-4B20-8439-1E244B06663B}"/>
              </c:ext>
            </c:extLst>
          </c:dPt>
          <c:dLbls>
            <c:spPr>
              <a:noFill/>
              <a:ln>
                <a:noFill/>
              </a:ln>
              <a:effectLst/>
            </c:spPr>
            <c:dLblPos val="outEnd"/>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World!$A$11:$A$15</c:f>
              <c:strCache>
                <c:ptCount val="5"/>
                <c:pt idx="0">
                  <c:v>US</c:v>
                </c:pt>
                <c:pt idx="1">
                  <c:v>5 EU</c:v>
                </c:pt>
                <c:pt idx="2">
                  <c:v>Japan</c:v>
                </c:pt>
                <c:pt idx="3">
                  <c:v>Canada</c:v>
                </c:pt>
                <c:pt idx="4">
                  <c:v>Brazil</c:v>
                </c:pt>
              </c:strCache>
            </c:strRef>
          </c:cat>
          <c:val>
            <c:numRef>
              <c:f>World!$L$11:$L$15</c:f>
              <c:numCache>
                <c:formatCode>#,##0_);\(#,##0\)</c:formatCode>
                <c:ptCount val="5"/>
                <c:pt idx="0">
                  <c:v>5273660880.5932627</c:v>
                </c:pt>
                <c:pt idx="1">
                  <c:v>1866096705.629847</c:v>
                </c:pt>
                <c:pt idx="2">
                  <c:v>165731704.00990385</c:v>
                </c:pt>
                <c:pt idx="3">
                  <c:v>699425896.55866539</c:v>
                </c:pt>
                <c:pt idx="4">
                  <c:v>354278752.16595632</c:v>
                </c:pt>
              </c:numCache>
            </c:numRef>
          </c:val>
          <c:extLst xmlns:c16r2="http://schemas.microsoft.com/office/drawing/2015/06/chart">
            <c:ext xmlns:c16="http://schemas.microsoft.com/office/drawing/2014/chart" uri="{C3380CC4-5D6E-409C-BE32-E72D297353CC}">
              <c16:uniqueId val="{00000008-3188-4B20-8439-1E244B06663B}"/>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zero"/>
    <c:showDLblsOverMax val="0"/>
  </c:chart>
  <c:spPr>
    <a:ln>
      <a:noFill/>
    </a:ln>
  </c:spPr>
  <c:printSettings>
    <c:headerFooter/>
    <c:pageMargins b="0.75000000000000011" l="0.70000000000000007" r="0.70000000000000007" t="0.75000000000000011" header="0.30000000000000004" footer="0.30000000000000004"/>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emf"/><Relationship Id="rId5" Type="http://schemas.openxmlformats.org/officeDocument/2006/relationships/image" Target="../media/image10.png"/><Relationship Id="rId4" Type="http://schemas.openxmlformats.org/officeDocument/2006/relationships/image" Target="../media/image9.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12.png"/><Relationship Id="rId1" Type="http://schemas.openxmlformats.org/officeDocument/2006/relationships/image" Target="../media/image11.jp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1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jpeg"/></Relationships>
</file>

<file path=xl/drawings/_rels/drawing1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14.jpeg"/><Relationship Id="rId4" Type="http://schemas.openxmlformats.org/officeDocument/2006/relationships/image" Target="../media/image1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0.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2362200</xdr:colOff>
      <xdr:row>1</xdr:row>
      <xdr:rowOff>142875</xdr:rowOff>
    </xdr:from>
    <xdr:to>
      <xdr:col>3</xdr:col>
      <xdr:colOff>4512566</xdr:colOff>
      <xdr:row>5</xdr:row>
      <xdr:rowOff>57090</xdr:rowOff>
    </xdr:to>
    <xdr:pic>
      <xdr:nvPicPr>
        <xdr:cNvPr id="3" name="Picture 2">
          <a:extLst>
            <a:ext uri="{FF2B5EF4-FFF2-40B4-BE49-F238E27FC236}">
              <a16:creationId xmlns:a16="http://schemas.microsoft.com/office/drawing/2014/main" xmlns=""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43325" y="333375"/>
          <a:ext cx="2150366" cy="67621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502687</xdr:colOff>
      <xdr:row>13</xdr:row>
      <xdr:rowOff>48208</xdr:rowOff>
    </xdr:from>
    <xdr:to>
      <xdr:col>25</xdr:col>
      <xdr:colOff>439852</xdr:colOff>
      <xdr:row>22</xdr:row>
      <xdr:rowOff>100887</xdr:rowOff>
    </xdr:to>
    <xdr:pic>
      <xdr:nvPicPr>
        <xdr:cNvPr id="2" name="Picture 1">
          <a:extLst>
            <a:ext uri="{FF2B5EF4-FFF2-40B4-BE49-F238E27FC236}">
              <a16:creationId xmlns:a16="http://schemas.microsoft.com/office/drawing/2014/main" xmlns=""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65662" y="2362783"/>
          <a:ext cx="7938165" cy="15385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495300</xdr:colOff>
      <xdr:row>5</xdr:row>
      <xdr:rowOff>57150</xdr:rowOff>
    </xdr:from>
    <xdr:to>
      <xdr:col>20</xdr:col>
      <xdr:colOff>358140</xdr:colOff>
      <xdr:row>22</xdr:row>
      <xdr:rowOff>62865</xdr:rowOff>
    </xdr:to>
    <xdr:graphicFrame macro="">
      <xdr:nvGraphicFramePr>
        <xdr:cNvPr id="2" name="Chart 1">
          <a:extLst>
            <a:ext uri="{FF2B5EF4-FFF2-40B4-BE49-F238E27FC236}">
              <a16:creationId xmlns:a16="http://schemas.microsoft.com/office/drawing/2014/main" xmlns=""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400049</xdr:colOff>
      <xdr:row>23</xdr:row>
      <xdr:rowOff>0</xdr:rowOff>
    </xdr:from>
    <xdr:to>
      <xdr:col>25</xdr:col>
      <xdr:colOff>333374</xdr:colOff>
      <xdr:row>40</xdr:row>
      <xdr:rowOff>38100</xdr:rowOff>
    </xdr:to>
    <xdr:graphicFrame macro="">
      <xdr:nvGraphicFramePr>
        <xdr:cNvPr id="2" name="Chart 1">
          <a:extLst>
            <a:ext uri="{FF2B5EF4-FFF2-40B4-BE49-F238E27FC236}">
              <a16:creationId xmlns:a16="http://schemas.microsoft.com/office/drawing/2014/main" xmlns=""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47625</xdr:colOff>
      <xdr:row>51</xdr:row>
      <xdr:rowOff>228600</xdr:rowOff>
    </xdr:from>
    <xdr:to>
      <xdr:col>25</xdr:col>
      <xdr:colOff>314325</xdr:colOff>
      <xdr:row>57</xdr:row>
      <xdr:rowOff>85725</xdr:rowOff>
    </xdr:to>
    <xdr:pic>
      <xdr:nvPicPr>
        <xdr:cNvPr id="5" name="Picture 4">
          <a:extLst>
            <a:ext uri="{FF2B5EF4-FFF2-40B4-BE49-F238E27FC236}">
              <a16:creationId xmlns:a16="http://schemas.microsoft.com/office/drawing/2014/main" xmlns="" id="{00000000-0008-0000-2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82925" y="8810625"/>
          <a:ext cx="1333500" cy="990600"/>
        </a:xfrm>
        <a:prstGeom prst="rect">
          <a:avLst/>
        </a:prstGeom>
        <a:noFill/>
        <a:ln w="3175">
          <a:solidFill>
            <a:schemeClr val="bg1">
              <a:lumMod val="6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2063750</xdr:colOff>
      <xdr:row>1</xdr:row>
      <xdr:rowOff>111125</xdr:rowOff>
    </xdr:from>
    <xdr:to>
      <xdr:col>3</xdr:col>
      <xdr:colOff>4214116</xdr:colOff>
      <xdr:row>5</xdr:row>
      <xdr:rowOff>25340</xdr:rowOff>
    </xdr:to>
    <xdr:pic>
      <xdr:nvPicPr>
        <xdr:cNvPr id="3" name="Picture 2">
          <a:extLst>
            <a:ext uri="{FF2B5EF4-FFF2-40B4-BE49-F238E27FC236}">
              <a16:creationId xmlns:a16="http://schemas.microsoft.com/office/drawing/2014/main" xmlns=""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44875" y="301625"/>
          <a:ext cx="2150366" cy="6762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295274</xdr:colOff>
      <xdr:row>12</xdr:row>
      <xdr:rowOff>123826</xdr:rowOff>
    </xdr:from>
    <xdr:to>
      <xdr:col>4</xdr:col>
      <xdr:colOff>1095375</xdr:colOff>
      <xdr:row>27</xdr:row>
      <xdr:rowOff>130682</xdr:rowOff>
    </xdr:to>
    <xdr:pic>
      <xdr:nvPicPr>
        <xdr:cNvPr id="2" name="Picture 1">
          <a:extLst>
            <a:ext uri="{FF2B5EF4-FFF2-40B4-BE49-F238E27FC236}">
              <a16:creationId xmlns:a16="http://schemas.microsoft.com/office/drawing/2014/main" xmlns="" id="{00000000-0008-0000-3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4" y="2095501"/>
          <a:ext cx="3924301" cy="2435731"/>
        </a:xfrm>
        <a:prstGeom prst="rect">
          <a:avLst/>
        </a:prstGeom>
        <a:noFill/>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48</xdr:col>
      <xdr:colOff>0</xdr:colOff>
      <xdr:row>5</xdr:row>
      <xdr:rowOff>0</xdr:rowOff>
    </xdr:from>
    <xdr:to>
      <xdr:col>55</xdr:col>
      <xdr:colOff>304799</xdr:colOff>
      <xdr:row>26</xdr:row>
      <xdr:rowOff>146051</xdr:rowOff>
    </xdr:to>
    <xdr:graphicFrame macro="">
      <xdr:nvGraphicFramePr>
        <xdr:cNvPr id="3" name="Chart 2">
          <a:extLst>
            <a:ext uri="{FF2B5EF4-FFF2-40B4-BE49-F238E27FC236}">
              <a16:creationId xmlns:a16="http://schemas.microsoft.com/office/drawing/2014/main" xmlns="" id="{00000000-0008-0000-3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28575</xdr:colOff>
      <xdr:row>7</xdr:row>
      <xdr:rowOff>123825</xdr:rowOff>
    </xdr:from>
    <xdr:to>
      <xdr:col>5</xdr:col>
      <xdr:colOff>485775</xdr:colOff>
      <xdr:row>24</xdr:row>
      <xdr:rowOff>9525</xdr:rowOff>
    </xdr:to>
    <xdr:pic>
      <xdr:nvPicPr>
        <xdr:cNvPr id="2" name="Picture 1">
          <a:extLst>
            <a:ext uri="{FF2B5EF4-FFF2-40B4-BE49-F238E27FC236}">
              <a16:creationId xmlns:a16="http://schemas.microsoft.com/office/drawing/2014/main" xmlns="" id="{00000000-0008-0000-37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07" t="352" r="452" b="2113"/>
        <a:stretch/>
      </xdr:blipFill>
      <xdr:spPr bwMode="auto">
        <a:xfrm>
          <a:off x="285750" y="1438275"/>
          <a:ext cx="7019925" cy="263842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54428</xdr:colOff>
      <xdr:row>15</xdr:row>
      <xdr:rowOff>42182</xdr:rowOff>
    </xdr:from>
    <xdr:to>
      <xdr:col>5</xdr:col>
      <xdr:colOff>502103</xdr:colOff>
      <xdr:row>16</xdr:row>
      <xdr:rowOff>32658</xdr:rowOff>
    </xdr:to>
    <xdr:sp macro="" textlink="">
      <xdr:nvSpPr>
        <xdr:cNvPr id="3" name="TextBox 2">
          <a:extLst>
            <a:ext uri="{FF2B5EF4-FFF2-40B4-BE49-F238E27FC236}">
              <a16:creationId xmlns:a16="http://schemas.microsoft.com/office/drawing/2014/main" xmlns="" id="{00000000-0008-0000-3700-000003000000}"/>
            </a:ext>
          </a:extLst>
        </xdr:cNvPr>
        <xdr:cNvSpPr txBox="1"/>
      </xdr:nvSpPr>
      <xdr:spPr>
        <a:xfrm>
          <a:off x="312964" y="2668361"/>
          <a:ext cx="7033532" cy="15376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xdr:txBody>
    </xdr:sp>
    <xdr:clientData/>
  </xdr:twoCellAnchor>
  <xdr:twoCellAnchor>
    <xdr:from>
      <xdr:col>1</xdr:col>
      <xdr:colOff>69396</xdr:colOff>
      <xdr:row>16</xdr:row>
      <xdr:rowOff>59871</xdr:rowOff>
    </xdr:from>
    <xdr:to>
      <xdr:col>5</xdr:col>
      <xdr:colOff>517071</xdr:colOff>
      <xdr:row>17</xdr:row>
      <xdr:rowOff>50346</xdr:rowOff>
    </xdr:to>
    <xdr:sp macro="" textlink="">
      <xdr:nvSpPr>
        <xdr:cNvPr id="4" name="TextBox 3">
          <a:extLst>
            <a:ext uri="{FF2B5EF4-FFF2-40B4-BE49-F238E27FC236}">
              <a16:creationId xmlns:a16="http://schemas.microsoft.com/office/drawing/2014/main" xmlns="" id="{00000000-0008-0000-3700-000004000000}"/>
            </a:ext>
          </a:extLst>
        </xdr:cNvPr>
        <xdr:cNvSpPr txBox="1"/>
      </xdr:nvSpPr>
      <xdr:spPr>
        <a:xfrm>
          <a:off x="327932" y="2849335"/>
          <a:ext cx="7033532" cy="15376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xdr:txBody>
    </xdr:sp>
    <xdr:clientData/>
  </xdr:twoCellAnchor>
  <xdr:twoCellAnchor editAs="oneCell">
    <xdr:from>
      <xdr:col>1</xdr:col>
      <xdr:colOff>0</xdr:colOff>
      <xdr:row>27</xdr:row>
      <xdr:rowOff>104775</xdr:rowOff>
    </xdr:from>
    <xdr:to>
      <xdr:col>5</xdr:col>
      <xdr:colOff>523875</xdr:colOff>
      <xdr:row>41</xdr:row>
      <xdr:rowOff>69012</xdr:rowOff>
    </xdr:to>
    <xdr:pic>
      <xdr:nvPicPr>
        <xdr:cNvPr id="5" name="Picture 4">
          <a:extLst>
            <a:ext uri="{FF2B5EF4-FFF2-40B4-BE49-F238E27FC236}">
              <a16:creationId xmlns:a16="http://schemas.microsoft.com/office/drawing/2014/main" xmlns="" id="{00000000-0008-0000-3700-000005000000}"/>
            </a:ext>
          </a:extLst>
        </xdr:cNvPr>
        <xdr:cNvPicPr>
          <a:picLocks noChangeAspect="1"/>
        </xdr:cNvPicPr>
      </xdr:nvPicPr>
      <xdr:blipFill rotWithShape="1">
        <a:blip xmlns:r="http://schemas.openxmlformats.org/officeDocument/2006/relationships" r:embed="rId2"/>
        <a:srcRect l="1870" r="21647"/>
        <a:stretch/>
      </xdr:blipFill>
      <xdr:spPr>
        <a:xfrm>
          <a:off x="257175" y="4686300"/>
          <a:ext cx="7086600" cy="2231187"/>
        </a:xfrm>
        <a:prstGeom prst="rect">
          <a:avLst/>
        </a:prstGeom>
        <a:ln>
          <a:solidFill>
            <a:sysClr val="windowText" lastClr="000000"/>
          </a:solidFill>
        </a:ln>
      </xdr:spPr>
    </xdr:pic>
    <xdr:clientData/>
  </xdr:twoCellAnchor>
  <xdr:twoCellAnchor editAs="oneCell">
    <xdr:from>
      <xdr:col>1</xdr:col>
      <xdr:colOff>38100</xdr:colOff>
      <xdr:row>45</xdr:row>
      <xdr:rowOff>0</xdr:rowOff>
    </xdr:from>
    <xdr:to>
      <xdr:col>3</xdr:col>
      <xdr:colOff>151945</xdr:colOff>
      <xdr:row>59</xdr:row>
      <xdr:rowOff>70644</xdr:rowOff>
    </xdr:to>
    <xdr:pic>
      <xdr:nvPicPr>
        <xdr:cNvPr id="6" name="Picture 5">
          <a:extLst>
            <a:ext uri="{FF2B5EF4-FFF2-40B4-BE49-F238E27FC236}">
              <a16:creationId xmlns:a16="http://schemas.microsoft.com/office/drawing/2014/main" xmlns="" id="{00000000-0008-0000-3700-000006000000}"/>
            </a:ext>
          </a:extLst>
        </xdr:cNvPr>
        <xdr:cNvPicPr>
          <a:picLocks noChangeAspect="1"/>
        </xdr:cNvPicPr>
      </xdr:nvPicPr>
      <xdr:blipFill>
        <a:blip xmlns:r="http://schemas.openxmlformats.org/officeDocument/2006/relationships" r:embed="rId3"/>
        <a:stretch>
          <a:fillRect/>
        </a:stretch>
      </xdr:blipFill>
      <xdr:spPr>
        <a:xfrm>
          <a:off x="295275" y="7524750"/>
          <a:ext cx="3638095" cy="2337594"/>
        </a:xfrm>
        <a:prstGeom prst="rect">
          <a:avLst/>
        </a:prstGeom>
        <a:ln>
          <a:solidFill>
            <a:sysClr val="windowText" lastClr="000000"/>
          </a:solidFill>
        </a:ln>
      </xdr:spPr>
    </xdr:pic>
    <xdr:clientData/>
  </xdr:twoCellAnchor>
  <xdr:twoCellAnchor editAs="oneCell">
    <xdr:from>
      <xdr:col>0</xdr:col>
      <xdr:colOff>228600</xdr:colOff>
      <xdr:row>62</xdr:row>
      <xdr:rowOff>47625</xdr:rowOff>
    </xdr:from>
    <xdr:to>
      <xdr:col>3</xdr:col>
      <xdr:colOff>933450</xdr:colOff>
      <xdr:row>78</xdr:row>
      <xdr:rowOff>104775</xdr:rowOff>
    </xdr:to>
    <xdr:pic>
      <xdr:nvPicPr>
        <xdr:cNvPr id="7" name="Picture 6">
          <a:extLst>
            <a:ext uri="{FF2B5EF4-FFF2-40B4-BE49-F238E27FC236}">
              <a16:creationId xmlns:a16="http://schemas.microsoft.com/office/drawing/2014/main" xmlns="" id="{00000000-0008-0000-3700-000007000000}"/>
            </a:ext>
          </a:extLst>
        </xdr:cNvPr>
        <xdr:cNvPicPr>
          <a:picLocks noChangeAspect="1"/>
        </xdr:cNvPicPr>
      </xdr:nvPicPr>
      <xdr:blipFill rotWithShape="1">
        <a:blip xmlns:r="http://schemas.openxmlformats.org/officeDocument/2006/relationships" r:embed="rId4"/>
        <a:srcRect t="2952"/>
        <a:stretch/>
      </xdr:blipFill>
      <xdr:spPr>
        <a:xfrm>
          <a:off x="228600" y="10353675"/>
          <a:ext cx="4486275" cy="2647950"/>
        </a:xfrm>
        <a:prstGeom prst="rect">
          <a:avLst/>
        </a:prstGeom>
        <a:ln>
          <a:solidFill>
            <a:sysClr val="windowText" lastClr="000000"/>
          </a:solidFill>
        </a:ln>
      </xdr:spPr>
    </xdr:pic>
    <xdr:clientData/>
  </xdr:twoCellAnchor>
  <xdr:twoCellAnchor editAs="oneCell">
    <xdr:from>
      <xdr:col>0</xdr:col>
      <xdr:colOff>257174</xdr:colOff>
      <xdr:row>82</xdr:row>
      <xdr:rowOff>1</xdr:rowOff>
    </xdr:from>
    <xdr:to>
      <xdr:col>3</xdr:col>
      <xdr:colOff>819150</xdr:colOff>
      <xdr:row>105</xdr:row>
      <xdr:rowOff>120895</xdr:rowOff>
    </xdr:to>
    <xdr:pic>
      <xdr:nvPicPr>
        <xdr:cNvPr id="8" name="Picture 7">
          <a:extLst>
            <a:ext uri="{FF2B5EF4-FFF2-40B4-BE49-F238E27FC236}">
              <a16:creationId xmlns:a16="http://schemas.microsoft.com/office/drawing/2014/main" xmlns="" id="{00000000-0008-0000-3700-000008000000}"/>
            </a:ext>
          </a:extLst>
        </xdr:cNvPr>
        <xdr:cNvPicPr>
          <a:picLocks noChangeAspect="1"/>
        </xdr:cNvPicPr>
      </xdr:nvPicPr>
      <xdr:blipFill>
        <a:blip xmlns:r="http://schemas.openxmlformats.org/officeDocument/2006/relationships" r:embed="rId5"/>
        <a:stretch>
          <a:fillRect/>
        </a:stretch>
      </xdr:blipFill>
      <xdr:spPr>
        <a:xfrm>
          <a:off x="257174" y="13573126"/>
          <a:ext cx="4343401" cy="3845169"/>
        </a:xfrm>
        <a:prstGeom prst="rect">
          <a:avLst/>
        </a:prstGeom>
        <a:ln>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502687</xdr:colOff>
      <xdr:row>13</xdr:row>
      <xdr:rowOff>48208</xdr:rowOff>
    </xdr:from>
    <xdr:to>
      <xdr:col>25</xdr:col>
      <xdr:colOff>439852</xdr:colOff>
      <xdr:row>22</xdr:row>
      <xdr:rowOff>100887</xdr:rowOff>
    </xdr:to>
    <xdr:pic>
      <xdr:nvPicPr>
        <xdr:cNvPr id="2" name="Picture 1">
          <a:extLst>
            <a:ext uri="{FF2B5EF4-FFF2-40B4-BE49-F238E27FC236}">
              <a16:creationId xmlns:a16="http://schemas.microsoft.com/office/drawing/2014/main" xmlns="" id="{00000000-0008-0000-3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65662" y="2362783"/>
          <a:ext cx="7938165" cy="153857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517074</xdr:colOff>
      <xdr:row>0</xdr:row>
      <xdr:rowOff>925284</xdr:rowOff>
    </xdr:from>
    <xdr:to>
      <xdr:col>0</xdr:col>
      <xdr:colOff>2122716</xdr:colOff>
      <xdr:row>0</xdr:row>
      <xdr:rowOff>1783895</xdr:rowOff>
    </xdr:to>
    <xdr:pic>
      <xdr:nvPicPr>
        <xdr:cNvPr id="2" name="Picture 1">
          <a:extLst>
            <a:ext uri="{FF2B5EF4-FFF2-40B4-BE49-F238E27FC236}">
              <a16:creationId xmlns:a16="http://schemas.microsoft.com/office/drawing/2014/main" xmlns="" id="{00000000-0008-0000-4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7074" y="925284"/>
          <a:ext cx="1605642" cy="858611"/>
        </a:xfrm>
        <a:prstGeom prst="rect">
          <a:avLst/>
        </a:prstGeom>
      </xdr:spPr>
    </xdr:pic>
    <xdr:clientData/>
  </xdr:twoCellAnchor>
  <xdr:twoCellAnchor>
    <xdr:from>
      <xdr:col>1</xdr:col>
      <xdr:colOff>39116</xdr:colOff>
      <xdr:row>0</xdr:row>
      <xdr:rowOff>272143</xdr:rowOff>
    </xdr:from>
    <xdr:to>
      <xdr:col>5</xdr:col>
      <xdr:colOff>47624</xdr:colOff>
      <xdr:row>0</xdr:row>
      <xdr:rowOff>1680319</xdr:rowOff>
    </xdr:to>
    <xdr:sp macro="" textlink="">
      <xdr:nvSpPr>
        <xdr:cNvPr id="3" name="TextBox 2">
          <a:extLst>
            <a:ext uri="{FF2B5EF4-FFF2-40B4-BE49-F238E27FC236}">
              <a16:creationId xmlns:a16="http://schemas.microsoft.com/office/drawing/2014/main" xmlns="" id="{00000000-0008-0000-4C00-000003000000}"/>
            </a:ext>
          </a:extLst>
        </xdr:cNvPr>
        <xdr:cNvSpPr txBox="1"/>
      </xdr:nvSpPr>
      <xdr:spPr>
        <a:xfrm>
          <a:off x="2696591" y="272143"/>
          <a:ext cx="4628133" cy="140817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200" b="1" i="0" baseline="0">
              <a:solidFill>
                <a:schemeClr val="dk1"/>
              </a:solidFill>
              <a:effectLst/>
              <a:latin typeface="+mn-lt"/>
              <a:ea typeface="+mn-ea"/>
              <a:cs typeface="+mn-cs"/>
            </a:rPr>
            <a:t>Legend</a:t>
          </a:r>
          <a:endParaRPr lang="en-US" sz="1200">
            <a:effectLst/>
          </a:endParaRPr>
        </a:p>
        <a:p>
          <a:pPr eaLnBrk="1" fontAlgn="auto" latinLnBrk="0" hangingPunct="1"/>
          <a:r>
            <a:rPr lang="en-US" sz="1200" b="0" i="0" baseline="0">
              <a:solidFill>
                <a:schemeClr val="dk1"/>
              </a:solidFill>
              <a:effectLst/>
              <a:latin typeface="+mn-lt"/>
              <a:ea typeface="+mn-ea"/>
              <a:cs typeface="+mn-cs"/>
            </a:rPr>
            <a:t>             Data obtained directly from secondary sources</a:t>
          </a:r>
          <a:endParaRPr lang="en-US" sz="1200">
            <a:effectLst/>
          </a:endParaRPr>
        </a:p>
        <a:p>
          <a:pPr eaLnBrk="1" fontAlgn="auto" latinLnBrk="0" hangingPunct="1"/>
          <a:r>
            <a:rPr lang="en-US" sz="1200" b="0" i="0" baseline="0">
              <a:solidFill>
                <a:schemeClr val="dk1"/>
              </a:solidFill>
              <a:effectLst/>
              <a:latin typeface="+mn-lt"/>
              <a:ea typeface="+mn-ea"/>
              <a:cs typeface="+mn-cs"/>
            </a:rPr>
            <a:t>             Data calculated</a:t>
          </a:r>
          <a:endParaRPr lang="en-US" sz="1200">
            <a:effectLst/>
          </a:endParaRPr>
        </a:p>
        <a:p>
          <a:pPr eaLnBrk="1" fontAlgn="auto" latinLnBrk="0" hangingPunct="1"/>
          <a:r>
            <a:rPr lang="en-US" sz="1200" b="0" i="0" baseline="0">
              <a:solidFill>
                <a:schemeClr val="dk1"/>
              </a:solidFill>
              <a:effectLst/>
              <a:latin typeface="+mn-lt"/>
              <a:ea typeface="+mn-ea"/>
              <a:cs typeface="+mn-cs"/>
            </a:rPr>
            <a:t>             Data obtained from Key Opinion Leaders </a:t>
          </a:r>
          <a:endParaRPr lang="en-US" sz="1200">
            <a:effectLst/>
          </a:endParaRPr>
        </a:p>
        <a:p>
          <a:pPr eaLnBrk="1" fontAlgn="auto" latinLnBrk="0" hangingPunct="1"/>
          <a:r>
            <a:rPr lang="en-US" sz="1200" b="0" i="0" baseline="0">
              <a:solidFill>
                <a:schemeClr val="dk1"/>
              </a:solidFill>
              <a:effectLst/>
              <a:latin typeface="+mn-lt"/>
              <a:ea typeface="+mn-ea"/>
              <a:cs typeface="+mn-cs"/>
            </a:rPr>
            <a:t>             Assumed values</a:t>
          </a:r>
          <a:endParaRPr lang="en-US" sz="1200">
            <a:effectLst/>
          </a:endParaRPr>
        </a:p>
        <a:p>
          <a:pPr eaLnBrk="1" fontAlgn="auto" latinLnBrk="0" hangingPunct="1"/>
          <a:r>
            <a:rPr lang="en-US" sz="1200" b="0" i="0" baseline="0">
              <a:solidFill>
                <a:schemeClr val="dk1"/>
              </a:solidFill>
              <a:effectLst/>
              <a:latin typeface="+mn-lt"/>
              <a:ea typeface="+mn-ea"/>
              <a:cs typeface="+mn-cs"/>
            </a:rPr>
            <a:t>             Drug patent expires</a:t>
          </a:r>
          <a:endParaRPr lang="en-US" sz="1200">
            <a:effectLst/>
          </a:endParaRPr>
        </a:p>
        <a:p>
          <a:pPr eaLnBrk="1" fontAlgn="auto" latinLnBrk="0" hangingPunct="1"/>
          <a:r>
            <a:rPr lang="en-US" sz="1200" b="0" i="0" baseline="0">
              <a:solidFill>
                <a:schemeClr val="dk1"/>
              </a:solidFill>
              <a:effectLst/>
              <a:latin typeface="+mn-lt"/>
              <a:ea typeface="+mn-ea"/>
              <a:cs typeface="+mn-cs"/>
            </a:rPr>
            <a:t>             Drug launches</a:t>
          </a:r>
          <a:endParaRPr lang="en-US" sz="1200">
            <a:effectLst/>
          </a:endParaRPr>
        </a:p>
        <a:p>
          <a:endParaRPr lang="en-US" sz="1100">
            <a:noFill/>
          </a:endParaRPr>
        </a:p>
      </xdr:txBody>
    </xdr:sp>
    <xdr:clientData/>
  </xdr:twoCellAnchor>
  <xdr:twoCellAnchor>
    <xdr:from>
      <xdr:col>1</xdr:col>
      <xdr:colOff>59531</xdr:colOff>
      <xdr:row>0</xdr:row>
      <xdr:rowOff>515370</xdr:rowOff>
    </xdr:from>
    <xdr:to>
      <xdr:col>1</xdr:col>
      <xdr:colOff>562451</xdr:colOff>
      <xdr:row>0</xdr:row>
      <xdr:rowOff>670818</xdr:rowOff>
    </xdr:to>
    <xdr:sp macro="" textlink="">
      <xdr:nvSpPr>
        <xdr:cNvPr id="4" name="Rectangle 3">
          <a:extLst>
            <a:ext uri="{FF2B5EF4-FFF2-40B4-BE49-F238E27FC236}">
              <a16:creationId xmlns:a16="http://schemas.microsoft.com/office/drawing/2014/main" xmlns="" id="{00000000-0008-0000-4C00-000004000000}"/>
            </a:ext>
          </a:extLst>
        </xdr:cNvPr>
        <xdr:cNvSpPr/>
      </xdr:nvSpPr>
      <xdr:spPr bwMode="auto">
        <a:xfrm>
          <a:off x="2717006" y="515370"/>
          <a:ext cx="502920" cy="155448"/>
        </a:xfrm>
        <a:prstGeom prst="rect">
          <a:avLst/>
        </a:prstGeom>
        <a:solidFill>
          <a:srgbClr val="0F3F76"/>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1</xdr:col>
      <xdr:colOff>59529</xdr:colOff>
      <xdr:row>0</xdr:row>
      <xdr:rowOff>716076</xdr:rowOff>
    </xdr:from>
    <xdr:to>
      <xdr:col>1</xdr:col>
      <xdr:colOff>562449</xdr:colOff>
      <xdr:row>0</xdr:row>
      <xdr:rowOff>871524</xdr:rowOff>
    </xdr:to>
    <xdr:sp macro="" textlink="">
      <xdr:nvSpPr>
        <xdr:cNvPr id="5" name="Rectangle 4">
          <a:extLst>
            <a:ext uri="{FF2B5EF4-FFF2-40B4-BE49-F238E27FC236}">
              <a16:creationId xmlns:a16="http://schemas.microsoft.com/office/drawing/2014/main" xmlns="" id="{00000000-0008-0000-4C00-000005000000}"/>
            </a:ext>
          </a:extLst>
        </xdr:cNvPr>
        <xdr:cNvSpPr/>
      </xdr:nvSpPr>
      <xdr:spPr bwMode="auto">
        <a:xfrm>
          <a:off x="2717004" y="716076"/>
          <a:ext cx="502920" cy="155448"/>
        </a:xfrm>
        <a:prstGeom prst="rect">
          <a:avLst/>
        </a:prstGeom>
        <a:solidFill>
          <a:srgbClr val="D1D3D4"/>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1</xdr:col>
      <xdr:colOff>59532</xdr:colOff>
      <xdr:row>0</xdr:row>
      <xdr:rowOff>906577</xdr:rowOff>
    </xdr:from>
    <xdr:to>
      <xdr:col>1</xdr:col>
      <xdr:colOff>562452</xdr:colOff>
      <xdr:row>0</xdr:row>
      <xdr:rowOff>1062025</xdr:rowOff>
    </xdr:to>
    <xdr:sp macro="" textlink="">
      <xdr:nvSpPr>
        <xdr:cNvPr id="6" name="Rectangle 5">
          <a:extLst>
            <a:ext uri="{FF2B5EF4-FFF2-40B4-BE49-F238E27FC236}">
              <a16:creationId xmlns:a16="http://schemas.microsoft.com/office/drawing/2014/main" xmlns="" id="{00000000-0008-0000-4C00-000006000000}"/>
            </a:ext>
          </a:extLst>
        </xdr:cNvPr>
        <xdr:cNvSpPr/>
      </xdr:nvSpPr>
      <xdr:spPr bwMode="auto">
        <a:xfrm>
          <a:off x="2717007" y="906577"/>
          <a:ext cx="502920" cy="155448"/>
        </a:xfrm>
        <a:prstGeom prst="rect">
          <a:avLst/>
        </a:prstGeom>
        <a:solidFill>
          <a:srgbClr val="3777BC"/>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1</xdr:col>
      <xdr:colOff>47625</xdr:colOff>
      <xdr:row>0</xdr:row>
      <xdr:rowOff>1097077</xdr:rowOff>
    </xdr:from>
    <xdr:to>
      <xdr:col>1</xdr:col>
      <xdr:colOff>550545</xdr:colOff>
      <xdr:row>0</xdr:row>
      <xdr:rowOff>1252525</xdr:rowOff>
    </xdr:to>
    <xdr:sp macro="" textlink="">
      <xdr:nvSpPr>
        <xdr:cNvPr id="7" name="Rectangle 6">
          <a:extLst>
            <a:ext uri="{FF2B5EF4-FFF2-40B4-BE49-F238E27FC236}">
              <a16:creationId xmlns:a16="http://schemas.microsoft.com/office/drawing/2014/main" xmlns="" id="{00000000-0008-0000-4C00-000007000000}"/>
            </a:ext>
          </a:extLst>
        </xdr:cNvPr>
        <xdr:cNvSpPr/>
      </xdr:nvSpPr>
      <xdr:spPr bwMode="auto">
        <a:xfrm>
          <a:off x="2705100" y="1097077"/>
          <a:ext cx="502920" cy="155448"/>
        </a:xfrm>
        <a:prstGeom prst="rect">
          <a:avLst/>
        </a:prstGeom>
        <a:solidFill>
          <a:srgbClr val="C3E6EF"/>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1</xdr:col>
      <xdr:colOff>35718</xdr:colOff>
      <xdr:row>0</xdr:row>
      <xdr:rowOff>1275671</xdr:rowOff>
    </xdr:from>
    <xdr:to>
      <xdr:col>1</xdr:col>
      <xdr:colOff>538638</xdr:colOff>
      <xdr:row>0</xdr:row>
      <xdr:rowOff>1431119</xdr:rowOff>
    </xdr:to>
    <xdr:sp macro="" textlink="">
      <xdr:nvSpPr>
        <xdr:cNvPr id="8" name="Rectangle 7">
          <a:extLst>
            <a:ext uri="{FF2B5EF4-FFF2-40B4-BE49-F238E27FC236}">
              <a16:creationId xmlns:a16="http://schemas.microsoft.com/office/drawing/2014/main" xmlns="" id="{00000000-0008-0000-4C00-000008000000}"/>
            </a:ext>
          </a:extLst>
        </xdr:cNvPr>
        <xdr:cNvSpPr/>
      </xdr:nvSpPr>
      <xdr:spPr bwMode="auto">
        <a:xfrm>
          <a:off x="2693193" y="1275671"/>
          <a:ext cx="502920" cy="155448"/>
        </a:xfrm>
        <a:prstGeom prst="rect">
          <a:avLst/>
        </a:prstGeom>
        <a:solidFill>
          <a:srgbClr val="EE6E71"/>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1</xdr:col>
      <xdr:colOff>35719</xdr:colOff>
      <xdr:row>0</xdr:row>
      <xdr:rowOff>1466169</xdr:rowOff>
    </xdr:from>
    <xdr:to>
      <xdr:col>1</xdr:col>
      <xdr:colOff>538639</xdr:colOff>
      <xdr:row>0</xdr:row>
      <xdr:rowOff>1621617</xdr:rowOff>
    </xdr:to>
    <xdr:sp macro="" textlink="">
      <xdr:nvSpPr>
        <xdr:cNvPr id="9" name="Rectangle 8">
          <a:extLst>
            <a:ext uri="{FF2B5EF4-FFF2-40B4-BE49-F238E27FC236}">
              <a16:creationId xmlns:a16="http://schemas.microsoft.com/office/drawing/2014/main" xmlns="" id="{00000000-0008-0000-4C00-000009000000}"/>
            </a:ext>
          </a:extLst>
        </xdr:cNvPr>
        <xdr:cNvSpPr/>
      </xdr:nvSpPr>
      <xdr:spPr bwMode="auto">
        <a:xfrm>
          <a:off x="2693194" y="1466169"/>
          <a:ext cx="502920" cy="155448"/>
        </a:xfrm>
        <a:prstGeom prst="rect">
          <a:avLst/>
        </a:prstGeom>
        <a:solidFill>
          <a:srgbClr val="7ADC94"/>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editAs="oneCell">
    <xdr:from>
      <xdr:col>5</xdr:col>
      <xdr:colOff>39121</xdr:colOff>
      <xdr:row>0</xdr:row>
      <xdr:rowOff>515371</xdr:rowOff>
    </xdr:from>
    <xdr:to>
      <xdr:col>9</xdr:col>
      <xdr:colOff>385083</xdr:colOff>
      <xdr:row>0</xdr:row>
      <xdr:rowOff>1472526</xdr:rowOff>
    </xdr:to>
    <xdr:pic>
      <xdr:nvPicPr>
        <xdr:cNvPr id="10" name="Picture 9">
          <a:extLst>
            <a:ext uri="{FF2B5EF4-FFF2-40B4-BE49-F238E27FC236}">
              <a16:creationId xmlns:a16="http://schemas.microsoft.com/office/drawing/2014/main" xmlns="" id="{00000000-0008-0000-4C00-00000A000000}"/>
            </a:ext>
          </a:extLst>
        </xdr:cNvPr>
        <xdr:cNvPicPr>
          <a:picLocks noChangeAspect="1"/>
        </xdr:cNvPicPr>
      </xdr:nvPicPr>
      <xdr:blipFill>
        <a:blip xmlns:r="http://schemas.openxmlformats.org/officeDocument/2006/relationships" r:embed="rId2"/>
        <a:stretch>
          <a:fillRect/>
        </a:stretch>
      </xdr:blipFill>
      <xdr:spPr>
        <a:xfrm>
          <a:off x="7316221" y="515371"/>
          <a:ext cx="6422912" cy="957155"/>
        </a:xfrm>
        <a:prstGeom prst="rect">
          <a:avLst/>
        </a:prstGeom>
      </xdr:spPr>
    </xdr:pic>
    <xdr:clientData/>
  </xdr:twoCellAnchor>
  <xdr:twoCellAnchor editAs="oneCell">
    <xdr:from>
      <xdr:col>0</xdr:col>
      <xdr:colOff>312965</xdr:colOff>
      <xdr:row>0</xdr:row>
      <xdr:rowOff>244929</xdr:rowOff>
    </xdr:from>
    <xdr:to>
      <xdr:col>0</xdr:col>
      <xdr:colOff>646340</xdr:colOff>
      <xdr:row>0</xdr:row>
      <xdr:rowOff>516111</xdr:rowOff>
    </xdr:to>
    <xdr:pic>
      <xdr:nvPicPr>
        <xdr:cNvPr id="11" name="Picture 382">
          <a:hlinkClick xmlns:r="http://schemas.openxmlformats.org/officeDocument/2006/relationships" r:id="rId3" tooltip="Home"/>
          <a:extLst>
            <a:ext uri="{FF2B5EF4-FFF2-40B4-BE49-F238E27FC236}">
              <a16:creationId xmlns:a16="http://schemas.microsoft.com/office/drawing/2014/main" xmlns="" id="{00000000-0008-0000-4C00-00000B00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312965" y="244929"/>
          <a:ext cx="333375" cy="271182"/>
        </a:xfrm>
        <a:prstGeom prst="rect">
          <a:avLst/>
        </a:prstGeom>
        <a:noFill/>
        <a:ln w="9525">
          <a:noFill/>
          <a:miter lim="800000"/>
          <a:headEnd/>
          <a:tailEnd/>
        </a:ln>
      </xdr:spPr>
    </xdr:pic>
    <xdr:clientData/>
  </xdr:twoCellAnchor>
  <xdr:twoCellAnchor>
    <xdr:from>
      <xdr:col>2</xdr:col>
      <xdr:colOff>821537</xdr:colOff>
      <xdr:row>29</xdr:row>
      <xdr:rowOff>90144</xdr:rowOff>
    </xdr:from>
    <xdr:to>
      <xdr:col>6</xdr:col>
      <xdr:colOff>1071562</xdr:colOff>
      <xdr:row>45</xdr:row>
      <xdr:rowOff>88445</xdr:rowOff>
    </xdr:to>
    <xdr:graphicFrame macro="">
      <xdr:nvGraphicFramePr>
        <xdr:cNvPr id="12" name="Chart 11">
          <a:extLst>
            <a:ext uri="{FF2B5EF4-FFF2-40B4-BE49-F238E27FC236}">
              <a16:creationId xmlns:a16="http://schemas.microsoft.com/office/drawing/2014/main" xmlns="" id="{00000000-0008-0000-4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847044</xdr:colOff>
      <xdr:row>46</xdr:row>
      <xdr:rowOff>98652</xdr:rowOff>
    </xdr:from>
    <xdr:to>
      <xdr:col>6</xdr:col>
      <xdr:colOff>1061357</xdr:colOff>
      <xdr:row>62</xdr:row>
      <xdr:rowOff>134371</xdr:rowOff>
    </xdr:to>
    <xdr:graphicFrame macro="">
      <xdr:nvGraphicFramePr>
        <xdr:cNvPr id="13" name="Chart 12">
          <a:extLst>
            <a:ext uri="{FF2B5EF4-FFF2-40B4-BE49-F238E27FC236}">
              <a16:creationId xmlns:a16="http://schemas.microsoft.com/office/drawing/2014/main" xmlns="" id="{00000000-0008-0000-4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0.66867</cdr:x>
      <cdr:y>0.04022</cdr:y>
    </cdr:from>
    <cdr:to>
      <cdr:x>0.95722</cdr:x>
      <cdr:y>0.22088</cdr:y>
    </cdr:to>
    <cdr:sp macro="" textlink="">
      <cdr:nvSpPr>
        <cdr:cNvPr id="2" name="TextBox 1"/>
        <cdr:cNvSpPr txBox="1"/>
      </cdr:nvSpPr>
      <cdr:spPr>
        <a:xfrm xmlns:a="http://schemas.openxmlformats.org/drawingml/2006/main">
          <a:off x="2977559" y="119241"/>
          <a:ext cx="1284871" cy="53560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2012</a:t>
          </a:r>
          <a:r>
            <a:rPr lang="en-US" sz="1100" b="1" baseline="0"/>
            <a:t> </a:t>
          </a:r>
          <a:r>
            <a:rPr lang="en-US" sz="1100" b="1"/>
            <a:t>Total</a:t>
          </a:r>
          <a:r>
            <a:rPr lang="en-US" sz="1100" b="1" baseline="0"/>
            <a:t> Sales:</a:t>
          </a:r>
        </a:p>
        <a:p xmlns:a="http://schemas.openxmlformats.org/drawingml/2006/main">
          <a:r>
            <a:rPr lang="en-US" sz="1100" b="1" baseline="0"/>
            <a:t>$232.9m</a:t>
          </a:r>
          <a:endParaRPr lang="en-US" sz="1100" b="1"/>
        </a:p>
      </cdr:txBody>
    </cdr:sp>
  </cdr:relSizeAnchor>
</c:userShapes>
</file>

<file path=xl/drawings/drawing12.xml><?xml version="1.0" encoding="utf-8"?>
<c:userShapes xmlns:c="http://schemas.openxmlformats.org/drawingml/2006/chart">
  <cdr:relSizeAnchor xmlns:cdr="http://schemas.openxmlformats.org/drawingml/2006/chartDrawing">
    <cdr:from>
      <cdr:x>0.7175</cdr:x>
      <cdr:y>0.08204</cdr:y>
    </cdr:from>
    <cdr:to>
      <cdr:x>0.98</cdr:x>
      <cdr:y>0.34225</cdr:y>
    </cdr:to>
    <cdr:sp macro="" textlink="">
      <cdr:nvSpPr>
        <cdr:cNvPr id="2" name="TextBox 1"/>
        <cdr:cNvSpPr txBox="1"/>
      </cdr:nvSpPr>
      <cdr:spPr>
        <a:xfrm xmlns:a="http://schemas.openxmlformats.org/drawingml/2006/main">
          <a:off x="3417086" y="270275"/>
          <a:ext cx="1250156" cy="8572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2017 Total Sales:</a:t>
          </a:r>
        </a:p>
        <a:p xmlns:a="http://schemas.openxmlformats.org/drawingml/2006/main">
          <a:r>
            <a:rPr lang="en-US" sz="1100" b="1"/>
            <a:t>$1,356.1m</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25400</xdr:colOff>
      <xdr:row>96</xdr:row>
      <xdr:rowOff>0</xdr:rowOff>
    </xdr:from>
    <xdr:to>
      <xdr:col>0</xdr:col>
      <xdr:colOff>2787649</xdr:colOff>
      <xdr:row>98</xdr:row>
      <xdr:rowOff>32658</xdr:rowOff>
    </xdr:to>
    <xdr:sp macro="" textlink="">
      <xdr:nvSpPr>
        <xdr:cNvPr id="2" name="TextBox 1">
          <a:extLst>
            <a:ext uri="{FF2B5EF4-FFF2-40B4-BE49-F238E27FC236}">
              <a16:creationId xmlns:a16="http://schemas.microsoft.com/office/drawing/2014/main" xmlns="" id="{00000000-0008-0000-4E00-000002000000}"/>
            </a:ext>
          </a:extLst>
        </xdr:cNvPr>
        <xdr:cNvSpPr txBox="1"/>
      </xdr:nvSpPr>
      <xdr:spPr>
        <a:xfrm>
          <a:off x="25400" y="21174075"/>
          <a:ext cx="2762249" cy="41365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i="0" u="none" strike="noStrike">
              <a:solidFill>
                <a:schemeClr val="tx1">
                  <a:lumMod val="65000"/>
                  <a:lumOff val="35000"/>
                </a:schemeClr>
              </a:solidFill>
              <a:effectLst/>
              <a:latin typeface="+mn-lt"/>
              <a:ea typeface="+mn-ea"/>
              <a:cs typeface="+mn-cs"/>
            </a:rPr>
            <a:t>© 2012 GlobalData. All rights</a:t>
          </a:r>
          <a:r>
            <a:rPr lang="en-US" sz="1200" b="1" i="0" u="none" strike="noStrike" baseline="0">
              <a:solidFill>
                <a:schemeClr val="tx1">
                  <a:lumMod val="65000"/>
                  <a:lumOff val="35000"/>
                </a:schemeClr>
              </a:solidFill>
              <a:effectLst/>
              <a:latin typeface="+mn-lt"/>
              <a:ea typeface="+mn-ea"/>
              <a:cs typeface="+mn-cs"/>
            </a:rPr>
            <a:t> reserved.</a:t>
          </a:r>
          <a:endParaRPr lang="en-US" sz="1200">
            <a:solidFill>
              <a:schemeClr val="tx1">
                <a:lumMod val="65000"/>
                <a:lumOff val="35000"/>
              </a:schemeClr>
            </a:solidFill>
          </a:endParaRPr>
        </a:p>
      </xdr:txBody>
    </xdr:sp>
    <xdr:clientData/>
  </xdr:twoCellAnchor>
  <xdr:twoCellAnchor editAs="oneCell">
    <xdr:from>
      <xdr:col>0</xdr:col>
      <xdr:colOff>1368484</xdr:colOff>
      <xdr:row>0</xdr:row>
      <xdr:rowOff>891411</xdr:rowOff>
    </xdr:from>
    <xdr:to>
      <xdr:col>0</xdr:col>
      <xdr:colOff>1384678</xdr:colOff>
      <xdr:row>0</xdr:row>
      <xdr:rowOff>895350</xdr:rowOff>
    </xdr:to>
    <xdr:pic>
      <xdr:nvPicPr>
        <xdr:cNvPr id="3" name="Picture 2">
          <a:extLst>
            <a:ext uri="{FF2B5EF4-FFF2-40B4-BE49-F238E27FC236}">
              <a16:creationId xmlns:a16="http://schemas.microsoft.com/office/drawing/2014/main" xmlns="" id="{00000000-0008-0000-4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8484" y="891411"/>
          <a:ext cx="16194" cy="3939"/>
        </a:xfrm>
        <a:prstGeom prst="rect">
          <a:avLst/>
        </a:prstGeom>
      </xdr:spPr>
    </xdr:pic>
    <xdr:clientData/>
  </xdr:twoCellAnchor>
  <xdr:twoCellAnchor editAs="oneCell">
    <xdr:from>
      <xdr:col>0</xdr:col>
      <xdr:colOff>631884</xdr:colOff>
      <xdr:row>0</xdr:row>
      <xdr:rowOff>891411</xdr:rowOff>
    </xdr:from>
    <xdr:to>
      <xdr:col>0</xdr:col>
      <xdr:colOff>2235200</xdr:colOff>
      <xdr:row>0</xdr:row>
      <xdr:rowOff>1973818</xdr:rowOff>
    </xdr:to>
    <xdr:pic>
      <xdr:nvPicPr>
        <xdr:cNvPr id="4" name="Picture 3">
          <a:extLst>
            <a:ext uri="{FF2B5EF4-FFF2-40B4-BE49-F238E27FC236}">
              <a16:creationId xmlns:a16="http://schemas.microsoft.com/office/drawing/2014/main" xmlns="" id="{00000000-0008-0000-4E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1884" y="891411"/>
          <a:ext cx="1603316" cy="1082407"/>
        </a:xfrm>
        <a:prstGeom prst="rect">
          <a:avLst/>
        </a:prstGeom>
      </xdr:spPr>
    </xdr:pic>
    <xdr:clientData/>
  </xdr:twoCellAnchor>
  <xdr:twoCellAnchor>
    <xdr:from>
      <xdr:col>2</xdr:col>
      <xdr:colOff>29114</xdr:colOff>
      <xdr:row>0</xdr:row>
      <xdr:rowOff>0</xdr:rowOff>
    </xdr:from>
    <xdr:to>
      <xdr:col>4</xdr:col>
      <xdr:colOff>500078</xdr:colOff>
      <xdr:row>0</xdr:row>
      <xdr:rowOff>690563</xdr:rowOff>
    </xdr:to>
    <xdr:sp macro="" textlink="">
      <xdr:nvSpPr>
        <xdr:cNvPr id="5" name="TextBox 4">
          <a:extLst>
            <a:ext uri="{FF2B5EF4-FFF2-40B4-BE49-F238E27FC236}">
              <a16:creationId xmlns:a16="http://schemas.microsoft.com/office/drawing/2014/main" xmlns="" id="{00000000-0008-0000-4E00-000005000000}"/>
            </a:ext>
          </a:extLst>
        </xdr:cNvPr>
        <xdr:cNvSpPr txBox="1"/>
      </xdr:nvSpPr>
      <xdr:spPr bwMode="auto">
        <a:xfrm>
          <a:off x="4258214" y="0"/>
          <a:ext cx="3233214" cy="690563"/>
        </a:xfrm>
        <a:prstGeom prst="rect">
          <a:avLst/>
        </a:prstGeom>
        <a:solidFill>
          <a:sysClr val="window" lastClr="FFFFFF"/>
        </a:solidFill>
        <a:ln>
          <a:noFill/>
        </a:ln>
        <a:effectLst/>
      </xdr:spPr>
      <xdr:txBody>
        <a:bodyPr wrap="square" rtlCol="0" anchor="t">
          <a:noAutofit/>
        </a:bodyPr>
        <a:lstStyle/>
        <a:p>
          <a:pPr marL="0" marR="0" lvl="0" indent="0" defTabSz="914400" eaLnBrk="1" fontAlgn="auto" latinLnBrk="0" hangingPunct="1">
            <a:lnSpc>
              <a:spcPct val="100000"/>
            </a:lnSpc>
            <a:spcBef>
              <a:spcPts val="0"/>
            </a:spcBef>
            <a:spcAft>
              <a:spcPts val="300"/>
            </a:spcAft>
            <a:buClrTx/>
            <a:buSzTx/>
            <a:buFontTx/>
            <a:buNone/>
            <a:tabLst/>
            <a:defRPr/>
          </a:pPr>
          <a:endParaRPr kumimoji="0" lang="en-US" sz="1100" b="0" i="0" u="none" strike="noStrike" kern="0" cap="none" spc="0" normalizeH="0" baseline="0" noProof="0">
            <a:ln>
              <a:noFill/>
            </a:ln>
            <a:solidFill>
              <a:srgbClr val="000000"/>
            </a:solidFill>
            <a:effectLst/>
            <a:uLnTx/>
            <a:uFillTx/>
            <a:latin typeface="Arial"/>
            <a:ea typeface="PMingLiU"/>
            <a:cs typeface="+mn-cs"/>
          </a:endParaRPr>
        </a:p>
        <a:p>
          <a:pPr marL="0" marR="0" lvl="0" indent="0" defTabSz="914400" eaLnBrk="1" fontAlgn="auto" latinLnBrk="0" hangingPunct="1">
            <a:lnSpc>
              <a:spcPct val="100000"/>
            </a:lnSpc>
            <a:spcBef>
              <a:spcPts val="0"/>
            </a:spcBef>
            <a:spcAft>
              <a:spcPts val="300"/>
            </a:spcAft>
            <a:buClrTx/>
            <a:buSzTx/>
            <a:buFontTx/>
            <a:buNone/>
            <a:tabLst/>
            <a:defRPr/>
          </a:pPr>
          <a:endParaRPr kumimoji="0" lang="en-US" sz="1100" b="0" i="0" u="none" strike="noStrike" kern="0" cap="none" spc="0" normalizeH="0" baseline="0" noProof="0">
            <a:ln>
              <a:noFill/>
            </a:ln>
            <a:solidFill>
              <a:srgbClr val="000000"/>
            </a:solidFill>
            <a:effectLst/>
            <a:uLnTx/>
            <a:uFillTx/>
            <a:latin typeface="Arial"/>
            <a:ea typeface="PMingLiU"/>
            <a:cs typeface="+mn-cs"/>
          </a:endParaRPr>
        </a:p>
        <a:p>
          <a:pPr marL="0" marR="0" lvl="0" indent="0" defTabSz="914400" eaLnBrk="1" fontAlgn="auto" latinLnBrk="0" hangingPunct="1">
            <a:lnSpc>
              <a:spcPct val="100000"/>
            </a:lnSpc>
            <a:spcBef>
              <a:spcPts val="0"/>
            </a:spcBef>
            <a:spcAft>
              <a:spcPts val="300"/>
            </a:spcAft>
            <a:buClrTx/>
            <a:buSzTx/>
            <a:buFontTx/>
            <a:buNone/>
            <a:tabLst/>
            <a:defRPr/>
          </a:pPr>
          <a:r>
            <a:rPr kumimoji="0" lang="en-US" sz="1200" b="1" i="0" u="none" strike="noStrike" kern="0" cap="none" spc="0" normalizeH="0" baseline="0" noProof="0">
              <a:ln>
                <a:noFill/>
              </a:ln>
              <a:solidFill>
                <a:srgbClr val="000000"/>
              </a:solidFill>
              <a:effectLst/>
              <a:uLnTx/>
              <a:uFillTx/>
              <a:latin typeface="Arial"/>
              <a:ea typeface="PMingLiU"/>
              <a:cs typeface="+mn-cs"/>
            </a:rPr>
            <a:t>Legend</a:t>
          </a:r>
          <a:endParaRPr kumimoji="0" lang="en-US" sz="1200" b="1" i="0" u="none" strike="noStrike" kern="0" cap="none" spc="0" normalizeH="0" baseline="0" noProof="0">
            <a:ln>
              <a:noFill/>
            </a:ln>
            <a:solidFill>
              <a:sysClr val="windowText" lastClr="000000"/>
            </a:solidFill>
            <a:effectLst/>
            <a:uLnTx/>
            <a:uFillTx/>
            <a:latin typeface="Times New Roman"/>
            <a:ea typeface="PMingLiU"/>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FF0000"/>
              </a:solidFill>
              <a:effectLst/>
              <a:uLnTx/>
              <a:uFillTx/>
              <a:latin typeface="Arial"/>
              <a:ea typeface="PMingLiU"/>
              <a:cs typeface="+mn-cs"/>
            </a:rPr>
            <a:t>         </a:t>
          </a:r>
          <a:r>
            <a:rPr kumimoji="0" lang="en-US" sz="1100" b="0" i="0" u="none" strike="noStrike" kern="0" cap="none" spc="0" normalizeH="0" baseline="0" noProof="0">
              <a:ln>
                <a:noFill/>
              </a:ln>
              <a:solidFill>
                <a:srgbClr val="000000"/>
              </a:solidFill>
              <a:effectLst/>
              <a:uLnTx/>
              <a:uFillTx/>
              <a:latin typeface="Arial"/>
              <a:ea typeface="PMingLiU"/>
              <a:cs typeface="+mn-cs"/>
            </a:rPr>
            <a:t>   Data obtained directly from sources</a:t>
          </a:r>
          <a:endParaRPr kumimoji="0" lang="en-US" sz="1200" b="0" i="0" u="none" strike="noStrike" kern="0" cap="none" spc="0" normalizeH="0" baseline="0" noProof="0">
            <a:ln>
              <a:noFill/>
            </a:ln>
            <a:solidFill>
              <a:sysClr val="windowText" lastClr="000000"/>
            </a:solidFill>
            <a:effectLst/>
            <a:uLnTx/>
            <a:uFillTx/>
            <a:latin typeface="Times New Roman"/>
            <a:ea typeface="PMingLiU"/>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Data calculated</a:t>
          </a:r>
          <a:endParaRPr kumimoji="0" lang="en-US" sz="1200" b="0" i="0" u="none" strike="noStrike" kern="0" cap="none" spc="0" normalizeH="0" baseline="0" noProof="0">
            <a:ln>
              <a:noFill/>
            </a:ln>
            <a:solidFill>
              <a:sysClr val="windowText" lastClr="000000"/>
            </a:solidFill>
            <a:effectLst/>
            <a:uLnTx/>
            <a:uFillTx/>
            <a:latin typeface="Times New Roman"/>
            <a:ea typeface="PMingLiU"/>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Data obtained from Key Opinion Leaders </a:t>
          </a:r>
          <a:endParaRPr kumimoji="0" lang="en-US" sz="1200" b="0" i="0" u="none" strike="noStrike" kern="0" cap="none" spc="0" normalizeH="0" baseline="0" noProof="0">
            <a:ln>
              <a:noFill/>
            </a:ln>
            <a:solidFill>
              <a:sysClr val="windowText" lastClr="000000"/>
            </a:solidFill>
            <a:effectLst/>
            <a:uLnTx/>
            <a:uFillTx/>
            <a:latin typeface="Times New Roman"/>
            <a:ea typeface="PMingLiU"/>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Assumed values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Therapy launches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a:t>
          </a:r>
          <a:endParaRPr kumimoji="0" lang="en-US" sz="1200" b="0" i="0" u="none" strike="noStrike" kern="0" cap="none" spc="0" normalizeH="0" baseline="0" noProof="0">
            <a:ln>
              <a:noFill/>
            </a:ln>
            <a:solidFill>
              <a:sysClr val="windowText" lastClr="000000"/>
            </a:solidFill>
            <a:effectLst/>
            <a:uLnTx/>
            <a:uFillTx/>
            <a:latin typeface="Times New Roman"/>
            <a:ea typeface="PMingLiU"/>
            <a:cs typeface="+mn-cs"/>
          </a:endParaRPr>
        </a:p>
      </xdr:txBody>
    </xdr:sp>
    <xdr:clientData/>
  </xdr:twoCellAnchor>
  <xdr:twoCellAnchor>
    <xdr:from>
      <xdr:col>2</xdr:col>
      <xdr:colOff>0</xdr:colOff>
      <xdr:row>0</xdr:row>
      <xdr:rowOff>652918</xdr:rowOff>
    </xdr:from>
    <xdr:to>
      <xdr:col>2</xdr:col>
      <xdr:colOff>509724</xdr:colOff>
      <xdr:row>0</xdr:row>
      <xdr:rowOff>808366</xdr:rowOff>
    </xdr:to>
    <xdr:sp macro="" textlink="">
      <xdr:nvSpPr>
        <xdr:cNvPr id="6" name="Rectangle 5">
          <a:extLst>
            <a:ext uri="{FF2B5EF4-FFF2-40B4-BE49-F238E27FC236}">
              <a16:creationId xmlns:a16="http://schemas.microsoft.com/office/drawing/2014/main" xmlns="" id="{00000000-0008-0000-4E00-000006000000}"/>
            </a:ext>
          </a:extLst>
        </xdr:cNvPr>
        <xdr:cNvSpPr/>
      </xdr:nvSpPr>
      <xdr:spPr bwMode="auto">
        <a:xfrm>
          <a:off x="4229100" y="652918"/>
          <a:ext cx="509724" cy="155448"/>
        </a:xfrm>
        <a:prstGeom prst="rect">
          <a:avLst/>
        </a:prstGeom>
        <a:solidFill>
          <a:srgbClr val="0F3F76"/>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2</xdr:col>
      <xdr:colOff>1</xdr:colOff>
      <xdr:row>0</xdr:row>
      <xdr:rowOff>816747</xdr:rowOff>
    </xdr:from>
    <xdr:to>
      <xdr:col>2</xdr:col>
      <xdr:colOff>509725</xdr:colOff>
      <xdr:row>0</xdr:row>
      <xdr:rowOff>972195</xdr:rowOff>
    </xdr:to>
    <xdr:sp macro="" textlink="">
      <xdr:nvSpPr>
        <xdr:cNvPr id="7" name="Rectangle 6">
          <a:extLst>
            <a:ext uri="{FF2B5EF4-FFF2-40B4-BE49-F238E27FC236}">
              <a16:creationId xmlns:a16="http://schemas.microsoft.com/office/drawing/2014/main" xmlns="" id="{00000000-0008-0000-4E00-000007000000}"/>
            </a:ext>
          </a:extLst>
        </xdr:cNvPr>
        <xdr:cNvSpPr/>
      </xdr:nvSpPr>
      <xdr:spPr bwMode="auto">
        <a:xfrm>
          <a:off x="4229101" y="816747"/>
          <a:ext cx="509724" cy="155448"/>
        </a:xfrm>
        <a:prstGeom prst="rect">
          <a:avLst/>
        </a:prstGeom>
        <a:solidFill>
          <a:srgbClr val="D1D3D4"/>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2</xdr:col>
      <xdr:colOff>0</xdr:colOff>
      <xdr:row>0</xdr:row>
      <xdr:rowOff>980578</xdr:rowOff>
    </xdr:from>
    <xdr:to>
      <xdr:col>2</xdr:col>
      <xdr:colOff>509724</xdr:colOff>
      <xdr:row>0</xdr:row>
      <xdr:rowOff>1136026</xdr:rowOff>
    </xdr:to>
    <xdr:sp macro="" textlink="">
      <xdr:nvSpPr>
        <xdr:cNvPr id="8" name="Rectangle 7">
          <a:extLst>
            <a:ext uri="{FF2B5EF4-FFF2-40B4-BE49-F238E27FC236}">
              <a16:creationId xmlns:a16="http://schemas.microsoft.com/office/drawing/2014/main" xmlns="" id="{00000000-0008-0000-4E00-000008000000}"/>
            </a:ext>
          </a:extLst>
        </xdr:cNvPr>
        <xdr:cNvSpPr/>
      </xdr:nvSpPr>
      <xdr:spPr bwMode="auto">
        <a:xfrm>
          <a:off x="4229100" y="980578"/>
          <a:ext cx="509724" cy="155448"/>
        </a:xfrm>
        <a:prstGeom prst="rect">
          <a:avLst/>
        </a:prstGeom>
        <a:solidFill>
          <a:srgbClr val="3777BC"/>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2</xdr:col>
      <xdr:colOff>1</xdr:colOff>
      <xdr:row>0</xdr:row>
      <xdr:rowOff>1133295</xdr:rowOff>
    </xdr:from>
    <xdr:to>
      <xdr:col>2</xdr:col>
      <xdr:colOff>509725</xdr:colOff>
      <xdr:row>0</xdr:row>
      <xdr:rowOff>1288743</xdr:rowOff>
    </xdr:to>
    <xdr:sp macro="" textlink="">
      <xdr:nvSpPr>
        <xdr:cNvPr id="9" name="Rectangle 8">
          <a:extLst>
            <a:ext uri="{FF2B5EF4-FFF2-40B4-BE49-F238E27FC236}">
              <a16:creationId xmlns:a16="http://schemas.microsoft.com/office/drawing/2014/main" xmlns="" id="{00000000-0008-0000-4E00-000009000000}"/>
            </a:ext>
          </a:extLst>
        </xdr:cNvPr>
        <xdr:cNvSpPr/>
      </xdr:nvSpPr>
      <xdr:spPr bwMode="auto">
        <a:xfrm>
          <a:off x="4229101" y="1133295"/>
          <a:ext cx="509724" cy="155448"/>
        </a:xfrm>
        <a:prstGeom prst="rect">
          <a:avLst/>
        </a:prstGeom>
        <a:solidFill>
          <a:srgbClr val="C3E6EF"/>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2</xdr:col>
      <xdr:colOff>0</xdr:colOff>
      <xdr:row>0</xdr:row>
      <xdr:rowOff>1295855</xdr:rowOff>
    </xdr:from>
    <xdr:to>
      <xdr:col>2</xdr:col>
      <xdr:colOff>509724</xdr:colOff>
      <xdr:row>0</xdr:row>
      <xdr:rowOff>1451303</xdr:rowOff>
    </xdr:to>
    <xdr:sp macro="" textlink="">
      <xdr:nvSpPr>
        <xdr:cNvPr id="10" name="Rectangle 9">
          <a:extLst>
            <a:ext uri="{FF2B5EF4-FFF2-40B4-BE49-F238E27FC236}">
              <a16:creationId xmlns:a16="http://schemas.microsoft.com/office/drawing/2014/main" xmlns="" id="{00000000-0008-0000-4E00-00000A000000}"/>
            </a:ext>
          </a:extLst>
        </xdr:cNvPr>
        <xdr:cNvSpPr/>
      </xdr:nvSpPr>
      <xdr:spPr bwMode="auto">
        <a:xfrm>
          <a:off x="4229100" y="1295855"/>
          <a:ext cx="509724" cy="155448"/>
        </a:xfrm>
        <a:prstGeom prst="rect">
          <a:avLst/>
        </a:prstGeom>
        <a:solidFill>
          <a:srgbClr val="92D050"/>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editAs="oneCell">
    <xdr:from>
      <xdr:col>5</xdr:col>
      <xdr:colOff>740312</xdr:colOff>
      <xdr:row>0</xdr:row>
      <xdr:rowOff>233589</xdr:rowOff>
    </xdr:from>
    <xdr:to>
      <xdr:col>10</xdr:col>
      <xdr:colOff>108487</xdr:colOff>
      <xdr:row>0</xdr:row>
      <xdr:rowOff>1186089</xdr:rowOff>
    </xdr:to>
    <xdr:pic>
      <xdr:nvPicPr>
        <xdr:cNvPr id="11" name="Picture 17">
          <a:extLst>
            <a:ext uri="{FF2B5EF4-FFF2-40B4-BE49-F238E27FC236}">
              <a16:creationId xmlns:a16="http://schemas.microsoft.com/office/drawing/2014/main" xmlns="" id="{00000000-0008-0000-4E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12787" y="233589"/>
          <a:ext cx="6273800" cy="95250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479484</xdr:colOff>
      <xdr:row>0</xdr:row>
      <xdr:rowOff>878711</xdr:rowOff>
    </xdr:from>
    <xdr:to>
      <xdr:col>0</xdr:col>
      <xdr:colOff>1924428</xdr:colOff>
      <xdr:row>0</xdr:row>
      <xdr:rowOff>1854200</xdr:rowOff>
    </xdr:to>
    <xdr:pic>
      <xdr:nvPicPr>
        <xdr:cNvPr id="2" name="Picture 1">
          <a:extLst>
            <a:ext uri="{FF2B5EF4-FFF2-40B4-BE49-F238E27FC236}">
              <a16:creationId xmlns:a16="http://schemas.microsoft.com/office/drawing/2014/main" xmlns="" id="{00000000-0008-0000-4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9484" y="878711"/>
          <a:ext cx="1444944" cy="975489"/>
        </a:xfrm>
        <a:prstGeom prst="rect">
          <a:avLst/>
        </a:prstGeom>
      </xdr:spPr>
    </xdr:pic>
    <xdr:clientData/>
  </xdr:twoCellAnchor>
  <xdr:twoCellAnchor>
    <xdr:from>
      <xdr:col>2</xdr:col>
      <xdr:colOff>215900</xdr:colOff>
      <xdr:row>49</xdr:row>
      <xdr:rowOff>45026</xdr:rowOff>
    </xdr:from>
    <xdr:to>
      <xdr:col>5</xdr:col>
      <xdr:colOff>83991</xdr:colOff>
      <xdr:row>63</xdr:row>
      <xdr:rowOff>121226</xdr:rowOff>
    </xdr:to>
    <xdr:graphicFrame macro="">
      <xdr:nvGraphicFramePr>
        <xdr:cNvPr id="3" name="Chart 2">
          <a:extLst>
            <a:ext uri="{FF2B5EF4-FFF2-40B4-BE49-F238E27FC236}">
              <a16:creationId xmlns:a16="http://schemas.microsoft.com/office/drawing/2014/main" xmlns="" id="{00000000-0008-0000-4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508000</xdr:colOff>
      <xdr:row>50</xdr:row>
      <xdr:rowOff>4618</xdr:rowOff>
    </xdr:from>
    <xdr:to>
      <xdr:col>8</xdr:col>
      <xdr:colOff>381000</xdr:colOff>
      <xdr:row>64</xdr:row>
      <xdr:rowOff>80818</xdr:rowOff>
    </xdr:to>
    <xdr:graphicFrame macro="">
      <xdr:nvGraphicFramePr>
        <xdr:cNvPr id="4" name="Chart 3">
          <a:extLst>
            <a:ext uri="{FF2B5EF4-FFF2-40B4-BE49-F238E27FC236}">
              <a16:creationId xmlns:a16="http://schemas.microsoft.com/office/drawing/2014/main" xmlns="" id="{00000000-0008-0000-4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25400</xdr:colOff>
      <xdr:row>87</xdr:row>
      <xdr:rowOff>0</xdr:rowOff>
    </xdr:from>
    <xdr:to>
      <xdr:col>0</xdr:col>
      <xdr:colOff>2787649</xdr:colOff>
      <xdr:row>89</xdr:row>
      <xdr:rowOff>32658</xdr:rowOff>
    </xdr:to>
    <xdr:sp macro="" textlink="">
      <xdr:nvSpPr>
        <xdr:cNvPr id="5" name="TextBox 4">
          <a:extLst>
            <a:ext uri="{FF2B5EF4-FFF2-40B4-BE49-F238E27FC236}">
              <a16:creationId xmlns:a16="http://schemas.microsoft.com/office/drawing/2014/main" xmlns="" id="{00000000-0008-0000-4F00-000005000000}"/>
            </a:ext>
          </a:extLst>
        </xdr:cNvPr>
        <xdr:cNvSpPr txBox="1"/>
      </xdr:nvSpPr>
      <xdr:spPr>
        <a:xfrm>
          <a:off x="25400" y="18897600"/>
          <a:ext cx="2352674" cy="41365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i="0" u="none" strike="noStrike">
              <a:solidFill>
                <a:schemeClr val="tx1">
                  <a:lumMod val="65000"/>
                  <a:lumOff val="35000"/>
                </a:schemeClr>
              </a:solidFill>
              <a:effectLst/>
              <a:latin typeface="+mn-lt"/>
              <a:ea typeface="+mn-ea"/>
              <a:cs typeface="+mn-cs"/>
            </a:rPr>
            <a:t>© 2012 GlobalData. All rights</a:t>
          </a:r>
          <a:r>
            <a:rPr lang="en-US" sz="1200" b="1" i="0" u="none" strike="noStrike" baseline="0">
              <a:solidFill>
                <a:schemeClr val="tx1">
                  <a:lumMod val="65000"/>
                  <a:lumOff val="35000"/>
                </a:schemeClr>
              </a:solidFill>
              <a:effectLst/>
              <a:latin typeface="+mn-lt"/>
              <a:ea typeface="+mn-ea"/>
              <a:cs typeface="+mn-cs"/>
            </a:rPr>
            <a:t> reserved.</a:t>
          </a:r>
          <a:endParaRPr lang="en-US" sz="1200">
            <a:solidFill>
              <a:schemeClr val="tx1">
                <a:lumMod val="65000"/>
                <a:lumOff val="35000"/>
              </a:schemeClr>
            </a:solidFill>
          </a:endParaRPr>
        </a:p>
      </xdr:txBody>
    </xdr:sp>
    <xdr:clientData/>
  </xdr:twoCellAnchor>
  <xdr:twoCellAnchor editAs="oneCell">
    <xdr:from>
      <xdr:col>9</xdr:col>
      <xdr:colOff>0</xdr:colOff>
      <xdr:row>0</xdr:row>
      <xdr:rowOff>0</xdr:rowOff>
    </xdr:from>
    <xdr:to>
      <xdr:col>13</xdr:col>
      <xdr:colOff>388026</xdr:colOff>
      <xdr:row>0</xdr:row>
      <xdr:rowOff>838200</xdr:rowOff>
    </xdr:to>
    <xdr:pic>
      <xdr:nvPicPr>
        <xdr:cNvPr id="6" name="Picture 5">
          <a:extLst>
            <a:ext uri="{FF2B5EF4-FFF2-40B4-BE49-F238E27FC236}">
              <a16:creationId xmlns:a16="http://schemas.microsoft.com/office/drawing/2014/main" xmlns="" id="{00000000-0008-0000-4F00-00000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830050" y="0"/>
          <a:ext cx="5312451" cy="838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c:userShapes xmlns:c="http://schemas.openxmlformats.org/drawingml/2006/chart">
  <cdr:relSizeAnchor xmlns:cdr="http://schemas.openxmlformats.org/drawingml/2006/chartDrawing">
    <cdr:from>
      <cdr:x>0.73222</cdr:x>
      <cdr:y>0.09375</cdr:y>
    </cdr:from>
    <cdr:to>
      <cdr:x>0.96653</cdr:x>
      <cdr:y>0.27431</cdr:y>
    </cdr:to>
    <cdr:sp macro="" textlink="">
      <cdr:nvSpPr>
        <cdr:cNvPr id="2" name="TextBox 1"/>
        <cdr:cNvSpPr txBox="1"/>
      </cdr:nvSpPr>
      <cdr:spPr>
        <a:xfrm xmlns:a="http://schemas.openxmlformats.org/drawingml/2006/main">
          <a:off x="3333751" y="257175"/>
          <a:ext cx="1066800" cy="4953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1100"/>
            <a:t>2012</a:t>
          </a:r>
        </a:p>
        <a:p xmlns:a="http://schemas.openxmlformats.org/drawingml/2006/main">
          <a:pPr algn="ctr"/>
          <a:r>
            <a:rPr lang="en-US" sz="1100"/>
            <a:t>Total: $526 M</a:t>
          </a:r>
        </a:p>
      </cdr:txBody>
    </cdr:sp>
  </cdr:relSizeAnchor>
</c:userShapes>
</file>

<file path=xl/drawings/drawing16.xml><?xml version="1.0" encoding="utf-8"?>
<c:userShapes xmlns:c="http://schemas.openxmlformats.org/drawingml/2006/chart">
  <cdr:relSizeAnchor xmlns:cdr="http://schemas.openxmlformats.org/drawingml/2006/chartDrawing">
    <cdr:from>
      <cdr:x>0.73222</cdr:x>
      <cdr:y>0.09375</cdr:y>
    </cdr:from>
    <cdr:to>
      <cdr:x>0.96653</cdr:x>
      <cdr:y>0.27431</cdr:y>
    </cdr:to>
    <cdr:sp macro="" textlink="">
      <cdr:nvSpPr>
        <cdr:cNvPr id="2" name="TextBox 1"/>
        <cdr:cNvSpPr txBox="1"/>
      </cdr:nvSpPr>
      <cdr:spPr>
        <a:xfrm xmlns:a="http://schemas.openxmlformats.org/drawingml/2006/main">
          <a:off x="3333751" y="257175"/>
          <a:ext cx="1066800" cy="4953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1100"/>
            <a:t>2022</a:t>
          </a:r>
        </a:p>
        <a:p xmlns:a="http://schemas.openxmlformats.org/drawingml/2006/main">
          <a:pPr algn="ctr"/>
          <a:r>
            <a:rPr lang="en-US" sz="1100"/>
            <a:t>Total: $8.6 B</a:t>
          </a:r>
        </a:p>
      </cdr:txBody>
    </cdr:sp>
  </cdr:relSizeAnchor>
</c:userShapes>
</file>

<file path=xl/externalLinks/_rels/externalLink1.xml.rels><?xml version="1.0" encoding="UTF-8" standalone="yes"?>
<Relationships xmlns="http://schemas.openxmlformats.org/package/2006/relationships"><Relationship Id="rId1" Type="http://schemas.microsoft.com/office/2006/relationships/xlExternalLinkPath/xlPathMissing" Target="quarterly%20trends%20for%20d%20&amp;%20t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Kw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ean_counter1\D-Drive\1999%20Budget%20-%20Active\Dec%2099%20budget%20-%20active\Stock%20Option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USNY057\groupdirs\M&amp;A\Presentations\04\9040832n\9040832n.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Transfer\02-tues\book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gb24166\PDMSdirs\Current%20Work\PC\9-05\9-05046\9-05046L.xls"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model.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2005%20Account%20Recons/Jan_Close/Jan_Recons/108000%20&amp;%20108500%20-%20DB%20Investment%20Statement%20at%2012.10.0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lasgow\accountrecons\Documents%20and%20Settings\mt050c\Local%20Settings\Temporary%20Internet%20Files\OLK16\LAM%20Summary"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Glasgow\accountrecons\windows\TEMP\Amortization\AMORT"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2004%2005%20SCS%20UK%20management%20accounts.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Valuation/RNA%20Advisors/Vivace%20Therapeutics/VD%2005.31.2016/4%20-%20Provided%20by%20Client/Previous%20Valuation/Vivace%20Therapeutics,%20Inc.%2003.31.15%20Final%20Exhibits%2006.12.15.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Users\jc3\Dropbox\C:\C\HNH%20-%20Holy%20Name%20Hospital\HNH-02%20Holy%20Name%20Medical%20Center%20Dialysis%20Program%20(PHC-BV)\HNH-02%20HNMC's%20Dialysis%20Program%20Financial%20Model%20DRAFT%2008-25-2011.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lto\dmv\Documents%20and%20Settings\ksobhan\Local%20Settings\Temporary%20Internet%20Files\Content.IE5\WVNRHTZI\Key%20docs%20delivered%202011\PTCL-CTCL%20Market%20Shar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Valuation/RNA%20Advisors/Kiromic/409A%20VD%2005.31.2017/6%20-%20Analysis/Kiromic,%20Inc.%20IRC%20409a%20VD%2005.31.17%20Draft%20Exhibits%202017.08.02.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4\psdb\Valuation\RNA%20Advisors\Kiromic\409A%20VD%2005.31.2017\6%20-%20Analysis\Kiromic,%20Inc.%20IRC%20409a%20VD%2005.31.17%20Draft%20Exhibits%202017.08.02.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biodesix.local\Finance\Finance\Planning%20Model\NEW-Data%20Room\1.%20Financial\1.1%20Financial%20Model\1.1%20Biodesix%20-%20Financial%20Model%20(03.30.17)%20RNA%20Advisors.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Alto\dmv\Documents%20and%20Settings\ksobhan\Desktop\GSK\Mail%20to%20GSK\Multiple%20Myeloma%20Pipeline%20Forecast%20Tool_28121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Oncology/Breast%20cancer/BRIC/China%20new_Breast%20Cancer%20NEW%20MODEL.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Users/pagrawal/Desktop/Aduro%20409A%202014.09.30%20VD%20Exhibits%20DRAFT%202014.11.16.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Users\pagrawal\Desktop\Aduro%20409A%202014.09.30%20VD%20Exhibits%20DRAFT%202014.11.16.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s4\comSHARE\Users\pagrawal\Desktop\Aduro%20409A%202014.09.30%20VD%20Exhibits%20DRAFT%202014.11.16.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Valuation/RNA%20Advisors/4D%20Molecular%20Therapeutics/409A%20VD%2001.15.2016/7%20-%20Audit/Option%20Simulation%20&amp;%20Volatility%20Computation.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Valuation/RNA%20Advisors/Templates/Model/Cabrillo%20Template%20Company%20ABC%20Valuation%20Draft%20Model%2011%2011%202011.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Valuation/RNA%20Advisors/Expertus/6%20-%20Analysis/Expertus%20VD%2002.28.2015%20IP%20Valuation%2003.11.2015.xlsx"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SUB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Valuation/RNA%20Advisors/A2%20Biotherapeutics/409A%20VD%2001.18.2018/6%20-%20Analysis/ARC/A2%20Biotherapeutics,%20Inc%20IRC%20409a%20VD%2001.18.18%20Draft%20Exhibits%202018.04.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2"/>
      <sheetName val="Sheet3"/>
      <sheetName val="Sheet4"/>
      <sheetName val="Sheet1"/>
      <sheetName val="Tickmarks"/>
      <sheetName val="Sheet5"/>
      <sheetName val="FAB별"/>
      <sheetName val="Credit Calc"/>
      <sheetName val="Capital IQ Sheet-GPC"/>
    </sheetNames>
    <sheetDataSet>
      <sheetData sheetId="0" refreshError="1">
        <row r="3">
          <cell r="H3" t="str">
            <v>Q1 97</v>
          </cell>
          <cell r="I3" t="str">
            <v>Q2 97</v>
          </cell>
          <cell r="J3" t="str">
            <v>Q3 97</v>
          </cell>
          <cell r="K3" t="str">
            <v>Q4 97</v>
          </cell>
          <cell r="M3" t="str">
            <v>Q1 98</v>
          </cell>
          <cell r="N3" t="str">
            <v>Q2 98</v>
          </cell>
          <cell r="O3" t="str">
            <v>Q3 98</v>
          </cell>
          <cell r="P3" t="str">
            <v>Q4 98</v>
          </cell>
        </row>
        <row r="15">
          <cell r="H15">
            <v>-2123303.52</v>
          </cell>
          <cell r="I15">
            <v>-1253290.3699999999</v>
          </cell>
          <cell r="J15">
            <v>-162269.43</v>
          </cell>
          <cell r="K15">
            <v>146899.29000000033</v>
          </cell>
          <cell r="M15">
            <v>-246014.77000000002</v>
          </cell>
          <cell r="N15">
            <v>-1799602.0100000002</v>
          </cell>
          <cell r="O15">
            <v>-1013013.5800000001</v>
          </cell>
        </row>
        <row r="20">
          <cell r="H20">
            <v>0.19236638472376649</v>
          </cell>
          <cell r="I20">
            <v>0.17160343737293951</v>
          </cell>
          <cell r="J20">
            <v>0.22329840583258154</v>
          </cell>
          <cell r="K20">
            <v>0.2622241607330375</v>
          </cell>
          <cell r="M20">
            <v>0.22868601654276952</v>
          </cell>
          <cell r="N20">
            <v>0.13886160439354986</v>
          </cell>
          <cell r="O20">
            <v>0.16937325540860795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 by Employee"/>
      <sheetName val="Summary Option Analysis"/>
      <sheetName val="Sheet2"/>
      <sheetName val="Sheet3"/>
    </sheetNames>
    <sheetDataSet>
      <sheetData sheetId="0" refreshError="1">
        <row r="9">
          <cell r="A9">
            <v>1998</v>
          </cell>
          <cell r="D9">
            <v>0.5</v>
          </cell>
        </row>
        <row r="10">
          <cell r="A10" t="str">
            <v xml:space="preserve">RESEARCH     </v>
          </cell>
        </row>
        <row r="11">
          <cell r="A11" t="str">
            <v>Rainer Ziermann - Scientist</v>
          </cell>
          <cell r="B11">
            <v>69000</v>
          </cell>
          <cell r="C11">
            <v>34653</v>
          </cell>
          <cell r="D11">
            <v>34500</v>
          </cell>
          <cell r="G11">
            <v>7000</v>
          </cell>
          <cell r="H11">
            <v>-100</v>
          </cell>
        </row>
        <row r="12">
          <cell r="A12" t="str">
            <v>Ellen Paxinos - Assoc Scientist</v>
          </cell>
          <cell r="B12">
            <v>50000</v>
          </cell>
          <cell r="C12">
            <v>34674</v>
          </cell>
          <cell r="D12">
            <v>25000</v>
          </cell>
          <cell r="G12">
            <v>5000</v>
          </cell>
          <cell r="H12">
            <v>0</v>
          </cell>
        </row>
        <row r="13">
          <cell r="A13" t="str">
            <v>Wei Huang - Senior RA</v>
          </cell>
          <cell r="B13">
            <v>64000</v>
          </cell>
          <cell r="C13">
            <v>34457</v>
          </cell>
          <cell r="D13">
            <v>32000</v>
          </cell>
          <cell r="G13">
            <v>6500</v>
          </cell>
          <cell r="H13">
            <v>-100</v>
          </cell>
        </row>
        <row r="14">
          <cell r="A14" t="str">
            <v>Jen Fischer - Admin Asst</v>
          </cell>
          <cell r="B14">
            <v>39998.400000000001</v>
          </cell>
          <cell r="C14">
            <v>34597</v>
          </cell>
          <cell r="D14">
            <v>19999.2</v>
          </cell>
          <cell r="G14">
            <v>4000</v>
          </cell>
          <cell r="H14">
            <v>-0.15999999999985448</v>
          </cell>
        </row>
        <row r="16">
          <cell r="A16" t="str">
            <v>CLINICAL REFERENCE LAB/MFG SUPPORT OPS</v>
          </cell>
        </row>
        <row r="17">
          <cell r="A17" t="str">
            <v>JulieTam - Medical Technologist</v>
          </cell>
          <cell r="B17">
            <v>48000</v>
          </cell>
          <cell r="C17">
            <v>34393</v>
          </cell>
          <cell r="D17">
            <v>24000</v>
          </cell>
          <cell r="G17">
            <v>4760</v>
          </cell>
          <cell r="H17">
            <v>40</v>
          </cell>
        </row>
        <row r="18">
          <cell r="A18" t="str">
            <v>Sophia Chen - Medical Technologist</v>
          </cell>
          <cell r="B18">
            <v>52000</v>
          </cell>
          <cell r="C18">
            <v>34454</v>
          </cell>
          <cell r="D18">
            <v>26000</v>
          </cell>
          <cell r="G18">
            <v>4800</v>
          </cell>
          <cell r="H18">
            <v>400</v>
          </cell>
        </row>
        <row r="19">
          <cell r="A19" t="str">
            <v>Joe Wang -  Medical Technologist</v>
          </cell>
          <cell r="B19">
            <v>66000</v>
          </cell>
          <cell r="C19">
            <v>34577</v>
          </cell>
          <cell r="D19">
            <v>33000</v>
          </cell>
          <cell r="G19">
            <v>7000</v>
          </cell>
          <cell r="H19">
            <v>-400</v>
          </cell>
        </row>
        <row r="20">
          <cell r="A20" t="str">
            <v>Joyce Yap - Medical Technologist</v>
          </cell>
          <cell r="B20">
            <v>46000.08</v>
          </cell>
          <cell r="C20">
            <v>34607</v>
          </cell>
          <cell r="D20">
            <v>23000.04</v>
          </cell>
          <cell r="G20">
            <v>4500</v>
          </cell>
          <cell r="H20">
            <v>100.00799999999981</v>
          </cell>
        </row>
        <row r="21">
          <cell r="A21" t="str">
            <v>Jennifer Pecson - Medical Technologist</v>
          </cell>
          <cell r="B21">
            <v>47000.04</v>
          </cell>
          <cell r="C21">
            <v>34607</v>
          </cell>
          <cell r="D21">
            <v>23500.02</v>
          </cell>
          <cell r="G21">
            <v>4000</v>
          </cell>
          <cell r="H21">
            <v>700.00399999999991</v>
          </cell>
        </row>
        <row r="22">
          <cell r="A22" t="str">
            <v>Paul Yap - Lab Tech #1</v>
          </cell>
          <cell r="B22">
            <v>32760</v>
          </cell>
          <cell r="C22">
            <v>34365</v>
          </cell>
          <cell r="D22">
            <v>16380</v>
          </cell>
          <cell r="G22">
            <v>3200</v>
          </cell>
          <cell r="H22">
            <v>76</v>
          </cell>
        </row>
        <row r="23">
          <cell r="A23" t="str">
            <v>Gina Gonzaga - Cell Culture Tech</v>
          </cell>
          <cell r="B23">
            <v>36400</v>
          </cell>
          <cell r="C23">
            <v>34619</v>
          </cell>
          <cell r="D23">
            <v>18200</v>
          </cell>
          <cell r="G23">
            <v>3000</v>
          </cell>
          <cell r="H23">
            <v>640</v>
          </cell>
        </row>
        <row r="24">
          <cell r="A24" t="str">
            <v xml:space="preserve">Jonas San Gabriel - Lab Tech </v>
          </cell>
          <cell r="B24">
            <v>36400</v>
          </cell>
          <cell r="C24">
            <v>34632</v>
          </cell>
          <cell r="D24">
            <v>18200</v>
          </cell>
          <cell r="G24">
            <v>3000</v>
          </cell>
          <cell r="H24">
            <v>640</v>
          </cell>
        </row>
        <row r="25">
          <cell r="A25" t="str">
            <v>Mike Nakanishi - Lab Tech</v>
          </cell>
          <cell r="B25">
            <v>31720</v>
          </cell>
          <cell r="C25">
            <v>34628</v>
          </cell>
          <cell r="D25">
            <v>15860</v>
          </cell>
          <cell r="G25">
            <v>3000</v>
          </cell>
          <cell r="H25">
            <v>172</v>
          </cell>
        </row>
        <row r="26">
          <cell r="A26" t="str">
            <v>Lan Trinh - Lab Tech</v>
          </cell>
          <cell r="B26">
            <v>31200</v>
          </cell>
          <cell r="C26">
            <v>34625</v>
          </cell>
          <cell r="D26">
            <v>15600</v>
          </cell>
          <cell r="G26">
            <v>3000</v>
          </cell>
          <cell r="H26">
            <v>120</v>
          </cell>
        </row>
        <row r="27">
          <cell r="A27" t="str">
            <v>Mona Francisco - Lab Tech</v>
          </cell>
          <cell r="B27">
            <v>30680</v>
          </cell>
          <cell r="C27">
            <v>34636</v>
          </cell>
          <cell r="D27">
            <v>15340</v>
          </cell>
          <cell r="G27">
            <v>3000</v>
          </cell>
          <cell r="H27">
            <v>68</v>
          </cell>
        </row>
        <row r="28">
          <cell r="A28" t="str">
            <v>Justin Schreiber - Lab Tech</v>
          </cell>
          <cell r="B28">
            <v>29120</v>
          </cell>
          <cell r="C28">
            <v>34636</v>
          </cell>
          <cell r="D28">
            <v>14560</v>
          </cell>
          <cell r="G28">
            <v>2800</v>
          </cell>
          <cell r="H28">
            <v>112</v>
          </cell>
        </row>
        <row r="29">
          <cell r="A29" t="str">
            <v>Nemia Quijano - Lab Tech</v>
          </cell>
          <cell r="B29">
            <v>30160</v>
          </cell>
          <cell r="C29">
            <v>34636</v>
          </cell>
          <cell r="D29">
            <v>15080</v>
          </cell>
          <cell r="G29">
            <v>3000</v>
          </cell>
          <cell r="H29">
            <v>16</v>
          </cell>
        </row>
        <row r="30">
          <cell r="A30" t="str">
            <v>Debbie Kwong - Cell Culture Tech</v>
          </cell>
          <cell r="B30">
            <v>38000</v>
          </cell>
          <cell r="C30">
            <v>34454</v>
          </cell>
          <cell r="D30">
            <v>19000</v>
          </cell>
          <cell r="G30">
            <v>3800</v>
          </cell>
          <cell r="H30">
            <v>0</v>
          </cell>
        </row>
        <row r="31">
          <cell r="A31" t="str">
            <v>Grillmeyer - R.A.-RTV support</v>
          </cell>
          <cell r="B31">
            <v>44000</v>
          </cell>
          <cell r="C31">
            <v>34303</v>
          </cell>
          <cell r="D31">
            <v>22000</v>
          </cell>
          <cell r="G31">
            <v>4500</v>
          </cell>
          <cell r="H31">
            <v>-100</v>
          </cell>
        </row>
        <row r="33">
          <cell r="A33" t="str">
            <v>AUTOMATION / INFORMATION SYSTEMS</v>
          </cell>
        </row>
        <row r="34">
          <cell r="A34" t="str">
            <v>Steve Thompson - I.S. Director</v>
          </cell>
          <cell r="B34">
            <v>110000</v>
          </cell>
          <cell r="C34">
            <v>34345</v>
          </cell>
          <cell r="D34">
            <v>55000</v>
          </cell>
          <cell r="G34">
            <v>62500</v>
          </cell>
          <cell r="H34">
            <v>-51500</v>
          </cell>
        </row>
        <row r="35">
          <cell r="A35" t="str">
            <v>John Stewart - Sys Admin</v>
          </cell>
          <cell r="B35">
            <v>60000</v>
          </cell>
          <cell r="C35">
            <v>34655</v>
          </cell>
          <cell r="D35">
            <v>30000</v>
          </cell>
          <cell r="G35">
            <v>6000</v>
          </cell>
          <cell r="H35">
            <v>0</v>
          </cell>
        </row>
        <row r="37">
          <cell r="A37" t="str">
            <v>CLINICAL RESEARCH</v>
          </cell>
        </row>
        <row r="38">
          <cell r="A38" t="str">
            <v>Maureen Grech - Admin Asst</v>
          </cell>
          <cell r="B38">
            <v>49004.799999999996</v>
          </cell>
          <cell r="C38">
            <v>34676</v>
          </cell>
          <cell r="D38">
            <v>24502.399999999998</v>
          </cell>
          <cell r="G38">
            <v>4500</v>
          </cell>
          <cell r="H38">
            <v>400.47999999999956</v>
          </cell>
        </row>
        <row r="40">
          <cell r="A40" t="str">
            <v>ADMINISTRATION</v>
          </cell>
        </row>
        <row r="41">
          <cell r="A41" t="str">
            <v>Cherie Patterson - Accountant</v>
          </cell>
          <cell r="B41">
            <v>34860</v>
          </cell>
          <cell r="C41">
            <v>34424</v>
          </cell>
          <cell r="D41">
            <v>17430</v>
          </cell>
          <cell r="G41">
            <v>4000</v>
          </cell>
          <cell r="H41">
            <v>-514</v>
          </cell>
        </row>
        <row r="42">
          <cell r="A42" t="str">
            <v>Erin Hagan - Receptionist</v>
          </cell>
          <cell r="B42">
            <v>32000</v>
          </cell>
          <cell r="C42">
            <v>34638</v>
          </cell>
          <cell r="D42">
            <v>16000</v>
          </cell>
          <cell r="G42">
            <v>3000</v>
          </cell>
          <cell r="H42">
            <v>200</v>
          </cell>
        </row>
        <row r="43">
          <cell r="A43" t="str">
            <v>Patty Wray - Senior Director, HR</v>
          </cell>
          <cell r="B43">
            <v>110000.16</v>
          </cell>
          <cell r="C43">
            <v>34577</v>
          </cell>
          <cell r="D43">
            <v>55000.08</v>
          </cell>
          <cell r="G43">
            <v>35000</v>
          </cell>
          <cell r="H43">
            <v>-23999.984</v>
          </cell>
        </row>
        <row r="44">
          <cell r="A44" t="str">
            <v>Sandy Tran - Receptionist -- 1,500 options granted have been excluded from this analysis as they were granted and canceled w/in 1998</v>
          </cell>
        </row>
        <row r="46">
          <cell r="A46" t="str">
            <v>SALES &amp; MKTG</v>
          </cell>
        </row>
        <row r="47">
          <cell r="A47" t="str">
            <v>Robin Toft - S&amp;M VP</v>
          </cell>
          <cell r="B47">
            <v>159300</v>
          </cell>
          <cell r="C47">
            <v>34471</v>
          </cell>
          <cell r="D47">
            <v>79650</v>
          </cell>
          <cell r="G47">
            <v>125000</v>
          </cell>
          <cell r="H47">
            <v>-109070</v>
          </cell>
        </row>
        <row r="48">
          <cell r="A48" t="str">
            <v>Sidney Ho - Director, Public Affairs</v>
          </cell>
          <cell r="B48">
            <v>78000</v>
          </cell>
          <cell r="C48">
            <v>34625</v>
          </cell>
          <cell r="D48">
            <v>39000</v>
          </cell>
          <cell r="G48">
            <v>25000</v>
          </cell>
          <cell r="H48">
            <v>-17200</v>
          </cell>
        </row>
        <row r="50">
          <cell r="A50" t="str">
            <v xml:space="preserve">FACILITIES </v>
          </cell>
        </row>
        <row r="51">
          <cell r="A51" t="str">
            <v>Ken Quach - Warehouseman</v>
          </cell>
          <cell r="B51">
            <v>27040</v>
          </cell>
          <cell r="C51">
            <v>34438</v>
          </cell>
          <cell r="D51">
            <v>13520</v>
          </cell>
          <cell r="G51">
            <v>2700</v>
          </cell>
          <cell r="H51">
            <v>4</v>
          </cell>
        </row>
        <row r="54">
          <cell r="A54" t="str">
            <v>TOTAL 1998</v>
          </cell>
          <cell r="F54">
            <v>0</v>
          </cell>
          <cell r="G54">
            <v>347560</v>
          </cell>
          <cell r="H54">
            <v>-199295.652</v>
          </cell>
        </row>
        <row r="56">
          <cell r="A56" t="str">
            <v># OF OPTIONS AVAILABLE FOR GRANT - 12/31/97 (per fin'l stmts)</v>
          </cell>
          <cell r="G56">
            <v>533401</v>
          </cell>
        </row>
        <row r="57">
          <cell r="A57" t="str">
            <v>New Hire Option Grants - 1998</v>
          </cell>
          <cell r="G57">
            <v>-347560</v>
          </cell>
        </row>
        <row r="58">
          <cell r="A58" t="str">
            <v>Consultant Option Grant- 1998</v>
          </cell>
          <cell r="G58">
            <v>-10676</v>
          </cell>
        </row>
        <row r="59">
          <cell r="A59" t="str">
            <v>Options Canceled - 1998</v>
          </cell>
          <cell r="G59">
            <v>169500</v>
          </cell>
        </row>
        <row r="61">
          <cell r="A61" t="str">
            <v>REMAINDER # AVAILABLE FOR 1999 HIRES</v>
          </cell>
          <cell r="G61">
            <v>344665</v>
          </cell>
        </row>
        <row r="62">
          <cell r="A62" t="str">
            <v>[this # agrees to options available per schedule in Stockholders Equity recon worksheet]</v>
          </cell>
        </row>
        <row r="64">
          <cell r="A64" t="str">
            <v>1999 BUDGETED HEADCOUNT</v>
          </cell>
          <cell r="D64" t="str">
            <v>% of salary</v>
          </cell>
        </row>
        <row r="65">
          <cell r="D65">
            <v>0.5</v>
          </cell>
          <cell r="E65">
            <v>0.5</v>
          </cell>
        </row>
        <row r="66">
          <cell r="A66" t="str">
            <v xml:space="preserve">RESEARCH     </v>
          </cell>
        </row>
        <row r="67">
          <cell r="A67" t="str">
            <v>Scientist #5</v>
          </cell>
          <cell r="B67">
            <v>70000</v>
          </cell>
          <cell r="C67">
            <v>34730</v>
          </cell>
          <cell r="D67">
            <v>35000</v>
          </cell>
          <cell r="F67">
            <v>7000</v>
          </cell>
        </row>
        <row r="68">
          <cell r="A68" t="str">
            <v>Scientist #6</v>
          </cell>
          <cell r="B68">
            <v>70000</v>
          </cell>
          <cell r="C68">
            <v>34819</v>
          </cell>
          <cell r="E68">
            <v>35000</v>
          </cell>
          <cell r="F68">
            <v>7000</v>
          </cell>
        </row>
        <row r="69">
          <cell r="A69" t="str">
            <v>SRA #5</v>
          </cell>
          <cell r="B69">
            <v>55000</v>
          </cell>
          <cell r="C69">
            <v>34819</v>
          </cell>
          <cell r="E69">
            <v>27500</v>
          </cell>
          <cell r="F69">
            <v>5500</v>
          </cell>
        </row>
        <row r="70">
          <cell r="A70" t="str">
            <v>Scientist #7</v>
          </cell>
          <cell r="B70">
            <v>70000</v>
          </cell>
          <cell r="C70">
            <v>34880</v>
          </cell>
          <cell r="E70">
            <v>35000</v>
          </cell>
          <cell r="F70">
            <v>7000</v>
          </cell>
        </row>
        <row r="71">
          <cell r="A71" t="str">
            <v>Scientist  #8</v>
          </cell>
          <cell r="B71">
            <v>70000</v>
          </cell>
          <cell r="C71">
            <v>34911</v>
          </cell>
          <cell r="E71">
            <v>35000</v>
          </cell>
          <cell r="F71">
            <v>7000</v>
          </cell>
        </row>
        <row r="72">
          <cell r="A72" t="str">
            <v>Scientist #9</v>
          </cell>
          <cell r="B72">
            <v>70000</v>
          </cell>
          <cell r="C72">
            <v>34942</v>
          </cell>
          <cell r="E72">
            <v>35000</v>
          </cell>
          <cell r="F72">
            <v>7000</v>
          </cell>
        </row>
        <row r="73">
          <cell r="A73" t="str">
            <v>Research Assoc. #2</v>
          </cell>
          <cell r="B73">
            <v>45000</v>
          </cell>
          <cell r="C73">
            <v>34880</v>
          </cell>
          <cell r="E73">
            <v>22500</v>
          </cell>
          <cell r="F73">
            <v>4500</v>
          </cell>
        </row>
        <row r="74">
          <cell r="A74" t="str">
            <v>Research Assoc. #3</v>
          </cell>
          <cell r="B74">
            <v>45000</v>
          </cell>
          <cell r="C74">
            <v>34911</v>
          </cell>
          <cell r="E74">
            <v>22500</v>
          </cell>
          <cell r="F74">
            <v>4500</v>
          </cell>
        </row>
        <row r="75">
          <cell r="A75" t="str">
            <v>Research Assoc. #4</v>
          </cell>
          <cell r="B75">
            <v>45000</v>
          </cell>
          <cell r="C75">
            <v>34942</v>
          </cell>
          <cell r="E75">
            <v>22500</v>
          </cell>
          <cell r="F75">
            <v>4500</v>
          </cell>
        </row>
        <row r="77">
          <cell r="A77" t="str">
            <v>CLINICAL REFERENCE LAB</v>
          </cell>
        </row>
        <row r="78">
          <cell r="A78" t="str">
            <v>Operations Mgr (Med Tech)</v>
          </cell>
          <cell r="B78">
            <v>65000</v>
          </cell>
          <cell r="C78">
            <v>34730</v>
          </cell>
          <cell r="D78">
            <v>32500</v>
          </cell>
          <cell r="F78">
            <v>6500</v>
          </cell>
        </row>
        <row r="79">
          <cell r="A79" t="str">
            <v>Medical Tech (MT#6) - Front End</v>
          </cell>
          <cell r="B79">
            <v>50000</v>
          </cell>
          <cell r="C79">
            <v>34699</v>
          </cell>
          <cell r="D79">
            <v>25000</v>
          </cell>
          <cell r="F79">
            <v>5000</v>
          </cell>
        </row>
        <row r="80">
          <cell r="A80" t="str">
            <v>Medical Tech (MT#7) - Front End</v>
          </cell>
          <cell r="B80">
            <v>47000</v>
          </cell>
          <cell r="C80">
            <v>34730</v>
          </cell>
          <cell r="D80">
            <v>23500</v>
          </cell>
          <cell r="F80">
            <v>4700</v>
          </cell>
        </row>
        <row r="81">
          <cell r="A81" t="str">
            <v>Lab Asst (Accessioning, other)</v>
          </cell>
          <cell r="B81">
            <v>31000</v>
          </cell>
          <cell r="C81">
            <v>34699</v>
          </cell>
          <cell r="D81">
            <v>15500</v>
          </cell>
          <cell r="F81">
            <v>3100</v>
          </cell>
        </row>
        <row r="82">
          <cell r="A82" t="str">
            <v xml:space="preserve">Med Tech - Lead (Back End) </v>
          </cell>
          <cell r="B82">
            <v>55000</v>
          </cell>
          <cell r="C82">
            <v>34699</v>
          </cell>
          <cell r="D82">
            <v>27500</v>
          </cell>
          <cell r="F82">
            <v>5500</v>
          </cell>
        </row>
        <row r="83">
          <cell r="A83" t="str">
            <v>Med Tech (Data Prod/Anal)</v>
          </cell>
          <cell r="B83">
            <v>50000</v>
          </cell>
          <cell r="C83">
            <v>34699</v>
          </cell>
          <cell r="D83">
            <v>25000</v>
          </cell>
          <cell r="F83">
            <v>5000</v>
          </cell>
        </row>
        <row r="84">
          <cell r="A84" t="str">
            <v>Medical Tech Supv - Front End</v>
          </cell>
          <cell r="B84">
            <v>55000</v>
          </cell>
          <cell r="C84">
            <v>34880</v>
          </cell>
          <cell r="E84">
            <v>27500</v>
          </cell>
          <cell r="F84">
            <v>5500</v>
          </cell>
        </row>
        <row r="85">
          <cell r="A85" t="str">
            <v>Medical Tech (MT#8) - Front End</v>
          </cell>
          <cell r="B85">
            <v>45000</v>
          </cell>
          <cell r="C85">
            <v>34789</v>
          </cell>
          <cell r="E85">
            <v>22500</v>
          </cell>
          <cell r="F85">
            <v>4500</v>
          </cell>
        </row>
        <row r="86">
          <cell r="A86" t="str">
            <v>Medical Tech (MT#9) - Front End</v>
          </cell>
          <cell r="B86">
            <v>45000</v>
          </cell>
          <cell r="C86">
            <v>34789</v>
          </cell>
          <cell r="E86">
            <v>22500</v>
          </cell>
          <cell r="F86">
            <v>4500</v>
          </cell>
        </row>
        <row r="87">
          <cell r="A87" t="str">
            <v>Medical Tech (MT#10) - Front End</v>
          </cell>
          <cell r="B87">
            <v>45000</v>
          </cell>
          <cell r="C87">
            <v>34819</v>
          </cell>
          <cell r="E87">
            <v>22500</v>
          </cell>
          <cell r="F87">
            <v>4500</v>
          </cell>
        </row>
        <row r="88">
          <cell r="A88" t="str">
            <v>Medical Tech (MT#11) - Front End</v>
          </cell>
          <cell r="B88">
            <v>45000</v>
          </cell>
          <cell r="C88">
            <v>34911</v>
          </cell>
          <cell r="E88">
            <v>22500</v>
          </cell>
          <cell r="F88">
            <v>4500</v>
          </cell>
        </row>
        <row r="89">
          <cell r="A89" t="str">
            <v>Lab Assistant - Front End</v>
          </cell>
          <cell r="B89">
            <v>30000</v>
          </cell>
          <cell r="C89">
            <v>34911</v>
          </cell>
          <cell r="E89">
            <v>15000</v>
          </cell>
          <cell r="F89">
            <v>3000</v>
          </cell>
        </row>
        <row r="90">
          <cell r="A90" t="str">
            <v>Med Tech (Night Supv) - Back End</v>
          </cell>
          <cell r="B90">
            <v>55000</v>
          </cell>
          <cell r="C90">
            <v>34880</v>
          </cell>
          <cell r="E90">
            <v>27500</v>
          </cell>
          <cell r="F90">
            <v>5500</v>
          </cell>
        </row>
        <row r="91">
          <cell r="A91" t="str">
            <v>Med Tech (Data Prod/Anal #2)</v>
          </cell>
          <cell r="B91">
            <v>50000</v>
          </cell>
          <cell r="C91">
            <v>34880</v>
          </cell>
          <cell r="E91">
            <v>25000</v>
          </cell>
          <cell r="F91">
            <v>5000</v>
          </cell>
        </row>
        <row r="93">
          <cell r="A93" t="str">
            <v>CLINICAL RESEARCH</v>
          </cell>
        </row>
        <row r="94">
          <cell r="A94" t="str">
            <v>Clin Project Mgr</v>
          </cell>
          <cell r="B94">
            <v>85000</v>
          </cell>
          <cell r="C94">
            <v>34819</v>
          </cell>
          <cell r="E94">
            <v>42500</v>
          </cell>
          <cell r="F94">
            <v>8500</v>
          </cell>
        </row>
        <row r="95">
          <cell r="A95" t="str">
            <v>Statistician/CRO</v>
          </cell>
          <cell r="B95">
            <v>80000</v>
          </cell>
          <cell r="C95">
            <v>34911</v>
          </cell>
          <cell r="E95">
            <v>40000</v>
          </cell>
          <cell r="F95">
            <v>8000</v>
          </cell>
        </row>
        <row r="97">
          <cell r="A97" t="str">
            <v>AUTOMATION</v>
          </cell>
        </row>
        <row r="98">
          <cell r="A98" t="str">
            <v>Automation Scientist #2</v>
          </cell>
          <cell r="B98">
            <v>65000</v>
          </cell>
          <cell r="C98">
            <v>34730</v>
          </cell>
          <cell r="D98">
            <v>32500</v>
          </cell>
          <cell r="F98">
            <v>6500</v>
          </cell>
        </row>
        <row r="99">
          <cell r="A99" t="str">
            <v>Automation Specialist #3</v>
          </cell>
          <cell r="B99">
            <v>50000</v>
          </cell>
          <cell r="C99">
            <v>34730</v>
          </cell>
          <cell r="D99">
            <v>25000</v>
          </cell>
          <cell r="F99">
            <v>5000</v>
          </cell>
        </row>
        <row r="100">
          <cell r="A100" t="str">
            <v>Automation Specialist #4</v>
          </cell>
          <cell r="B100">
            <v>40000</v>
          </cell>
          <cell r="C100">
            <v>34880</v>
          </cell>
          <cell r="E100">
            <v>20000</v>
          </cell>
          <cell r="F100">
            <v>4000</v>
          </cell>
        </row>
        <row r="102">
          <cell r="A102" t="str">
            <v>INFORMATION SYSTEMS</v>
          </cell>
        </row>
        <row r="103">
          <cell r="A103" t="str">
            <v>Programmer #1</v>
          </cell>
          <cell r="B103">
            <v>75000</v>
          </cell>
          <cell r="C103">
            <v>34699</v>
          </cell>
          <cell r="D103">
            <v>37500</v>
          </cell>
          <cell r="F103">
            <v>7500</v>
          </cell>
        </row>
        <row r="104">
          <cell r="A104" t="str">
            <v>Programmer #2</v>
          </cell>
          <cell r="B104">
            <v>75000</v>
          </cell>
          <cell r="C104">
            <v>34789</v>
          </cell>
          <cell r="E104">
            <v>37500</v>
          </cell>
          <cell r="F104">
            <v>7500</v>
          </cell>
        </row>
        <row r="105">
          <cell r="A105" t="str">
            <v>Laboratory Info. Sys Admin</v>
          </cell>
          <cell r="B105">
            <v>70000</v>
          </cell>
          <cell r="C105">
            <v>34758</v>
          </cell>
          <cell r="D105">
            <v>35000</v>
          </cell>
          <cell r="F105">
            <v>7000</v>
          </cell>
        </row>
        <row r="106">
          <cell r="A106" t="str">
            <v>Data Coordinator</v>
          </cell>
          <cell r="B106">
            <v>40000</v>
          </cell>
          <cell r="C106">
            <v>34789</v>
          </cell>
          <cell r="E106">
            <v>20000</v>
          </cell>
          <cell r="F106">
            <v>4000</v>
          </cell>
        </row>
        <row r="108">
          <cell r="A108" t="str">
            <v>ADMINISTRATION</v>
          </cell>
        </row>
        <row r="109">
          <cell r="A109" t="str">
            <v>CFO</v>
          </cell>
          <cell r="B109">
            <v>175000</v>
          </cell>
          <cell r="C109">
            <v>34730</v>
          </cell>
          <cell r="D109">
            <v>87500</v>
          </cell>
          <cell r="F109">
            <v>75000</v>
          </cell>
          <cell r="G109" t="str">
            <v>formula override</v>
          </cell>
        </row>
        <row r="110">
          <cell r="A110" t="str">
            <v>Controller, Dir of Finance</v>
          </cell>
          <cell r="B110">
            <v>100000</v>
          </cell>
          <cell r="C110">
            <v>34758</v>
          </cell>
          <cell r="D110">
            <v>50000</v>
          </cell>
          <cell r="F110">
            <v>10000</v>
          </cell>
        </row>
        <row r="111">
          <cell r="A111" t="str">
            <v>HR Admin Support</v>
          </cell>
          <cell r="B111">
            <v>35000</v>
          </cell>
          <cell r="C111">
            <v>34789</v>
          </cell>
          <cell r="E111">
            <v>17500</v>
          </cell>
          <cell r="F111">
            <v>3500</v>
          </cell>
        </row>
        <row r="112">
          <cell r="A112" t="str">
            <v>Accountant #2</v>
          </cell>
          <cell r="B112">
            <v>40000</v>
          </cell>
          <cell r="C112">
            <v>34789</v>
          </cell>
          <cell r="E112">
            <v>20000</v>
          </cell>
          <cell r="F112">
            <v>4000</v>
          </cell>
        </row>
        <row r="113">
          <cell r="A113" t="str">
            <v>General Accounting Mgr</v>
          </cell>
          <cell r="B113">
            <v>55000</v>
          </cell>
          <cell r="C113">
            <v>34819</v>
          </cell>
          <cell r="E113">
            <v>27500</v>
          </cell>
          <cell r="F113">
            <v>5500</v>
          </cell>
        </row>
        <row r="114">
          <cell r="A114" t="str">
            <v>Cost Accountant</v>
          </cell>
          <cell r="B114">
            <v>50000</v>
          </cell>
          <cell r="C114">
            <v>34880</v>
          </cell>
          <cell r="E114">
            <v>25000</v>
          </cell>
          <cell r="F114">
            <v>5000</v>
          </cell>
        </row>
        <row r="115">
          <cell r="A115" t="str">
            <v>Attorney/Bus Dev'l</v>
          </cell>
          <cell r="B115">
            <v>100000</v>
          </cell>
          <cell r="C115">
            <v>34880</v>
          </cell>
          <cell r="E115">
            <v>50000</v>
          </cell>
          <cell r="F115">
            <v>15000</v>
          </cell>
          <cell r="G115" t="str">
            <v>formula override</v>
          </cell>
        </row>
        <row r="117">
          <cell r="A117" t="str">
            <v>SALES &amp; MKTG</v>
          </cell>
        </row>
        <row r="118">
          <cell r="A118" t="str">
            <v>Customer Svc Mgr</v>
          </cell>
          <cell r="B118">
            <v>80000</v>
          </cell>
          <cell r="C118">
            <v>34699</v>
          </cell>
          <cell r="D118">
            <v>40000</v>
          </cell>
          <cell r="F118">
            <v>8000</v>
          </cell>
        </row>
        <row r="119">
          <cell r="A119" t="str">
            <v>Customer Svc Rep #1</v>
          </cell>
          <cell r="B119">
            <v>35000</v>
          </cell>
          <cell r="C119">
            <v>34789</v>
          </cell>
          <cell r="E119">
            <v>17500</v>
          </cell>
          <cell r="F119">
            <v>3500</v>
          </cell>
        </row>
        <row r="120">
          <cell r="A120" t="str">
            <v xml:space="preserve">Sales Rep #1 </v>
          </cell>
          <cell r="B120">
            <v>70000</v>
          </cell>
          <cell r="C120">
            <v>34789</v>
          </cell>
          <cell r="E120">
            <v>35000</v>
          </cell>
          <cell r="F120">
            <v>7000</v>
          </cell>
        </row>
        <row r="121">
          <cell r="A121" t="str">
            <v xml:space="preserve">Sales Rep #2 </v>
          </cell>
          <cell r="B121">
            <v>70000</v>
          </cell>
          <cell r="C121">
            <v>34789</v>
          </cell>
          <cell r="E121">
            <v>35000</v>
          </cell>
          <cell r="F121">
            <v>7000</v>
          </cell>
        </row>
        <row r="122">
          <cell r="A122" t="str">
            <v xml:space="preserve">Sales Rep #3 </v>
          </cell>
          <cell r="B122">
            <v>70000</v>
          </cell>
          <cell r="C122">
            <v>34972</v>
          </cell>
          <cell r="E122">
            <v>35000</v>
          </cell>
          <cell r="F122">
            <v>7000</v>
          </cell>
        </row>
        <row r="123">
          <cell r="A123" t="str">
            <v>Admin Assistant</v>
          </cell>
          <cell r="B123">
            <v>30000</v>
          </cell>
          <cell r="C123">
            <v>34789</v>
          </cell>
          <cell r="E123">
            <v>15000</v>
          </cell>
          <cell r="F123">
            <v>3000</v>
          </cell>
        </row>
        <row r="125">
          <cell r="A125" t="str">
            <v>FACILITIES AND LAB SERVICES</v>
          </cell>
        </row>
        <row r="126">
          <cell r="A126" t="str">
            <v>Shipping/Rec (Quach repl)</v>
          </cell>
          <cell r="B126">
            <v>27000</v>
          </cell>
          <cell r="C126">
            <v>34699</v>
          </cell>
          <cell r="D126">
            <v>13500</v>
          </cell>
          <cell r="F126">
            <v>2700</v>
          </cell>
        </row>
        <row r="127">
          <cell r="A127" t="str">
            <v>QA Coordinator</v>
          </cell>
          <cell r="B127">
            <v>55000</v>
          </cell>
          <cell r="C127">
            <v>34758</v>
          </cell>
          <cell r="D127">
            <v>27500</v>
          </cell>
          <cell r="F127">
            <v>5500</v>
          </cell>
        </row>
        <row r="128">
          <cell r="A128" t="str">
            <v xml:space="preserve">Facility Tech #1 </v>
          </cell>
          <cell r="B128">
            <v>30000</v>
          </cell>
          <cell r="C128">
            <v>34758</v>
          </cell>
          <cell r="D128">
            <v>15000</v>
          </cell>
          <cell r="F128">
            <v>3000</v>
          </cell>
        </row>
        <row r="129">
          <cell r="A129" t="str">
            <v>Shipping/Rec #2 (96/day)</v>
          </cell>
          <cell r="B129">
            <v>27000</v>
          </cell>
          <cell r="C129">
            <v>34972</v>
          </cell>
          <cell r="E129">
            <v>13500</v>
          </cell>
          <cell r="F129">
            <v>2700</v>
          </cell>
        </row>
        <row r="131">
          <cell r="A131" t="str">
            <v>MANUFACTURING SUPPORT OPS</v>
          </cell>
        </row>
        <row r="132">
          <cell r="A132" t="str">
            <v>Lab Tech (O'Shea repl)</v>
          </cell>
          <cell r="B132">
            <v>32000</v>
          </cell>
          <cell r="C132">
            <v>34730</v>
          </cell>
          <cell r="D132">
            <v>16000</v>
          </cell>
          <cell r="F132">
            <v>3200</v>
          </cell>
        </row>
        <row r="133">
          <cell r="A133" t="str">
            <v xml:space="preserve">Lab Tech </v>
          </cell>
          <cell r="B133">
            <v>36000</v>
          </cell>
          <cell r="C133">
            <v>34789</v>
          </cell>
          <cell r="E133">
            <v>18000</v>
          </cell>
          <cell r="F133">
            <v>3600</v>
          </cell>
        </row>
        <row r="134">
          <cell r="A134" t="str">
            <v xml:space="preserve">Lab Tech </v>
          </cell>
          <cell r="B134">
            <v>36000</v>
          </cell>
          <cell r="C134">
            <v>34850</v>
          </cell>
          <cell r="E134">
            <v>18000</v>
          </cell>
          <cell r="F134">
            <v>3600</v>
          </cell>
        </row>
        <row r="135">
          <cell r="A135" t="str">
            <v>Lab Asst</v>
          </cell>
          <cell r="B135">
            <v>28000</v>
          </cell>
          <cell r="C135">
            <v>34880</v>
          </cell>
          <cell r="E135">
            <v>14000</v>
          </cell>
          <cell r="F135">
            <v>2800</v>
          </cell>
        </row>
        <row r="136">
          <cell r="A136" t="str">
            <v>Lab Tech (Reag Prep Supv)</v>
          </cell>
          <cell r="B136">
            <v>40000</v>
          </cell>
          <cell r="C136">
            <v>34880</v>
          </cell>
          <cell r="E136">
            <v>20000</v>
          </cell>
          <cell r="F136">
            <v>4000</v>
          </cell>
        </row>
        <row r="137">
          <cell r="A137" t="str">
            <v>Lab Tech (Grillmeyer filler)</v>
          </cell>
          <cell r="B137">
            <v>38000</v>
          </cell>
          <cell r="C137">
            <v>34911</v>
          </cell>
          <cell r="E137">
            <v>19000</v>
          </cell>
          <cell r="F137">
            <v>3800</v>
          </cell>
        </row>
        <row r="138">
          <cell r="A138" t="str">
            <v>Lab Asst</v>
          </cell>
          <cell r="B138">
            <v>29000</v>
          </cell>
          <cell r="C138">
            <v>34942</v>
          </cell>
          <cell r="E138">
            <v>14500</v>
          </cell>
          <cell r="F138">
            <v>2900</v>
          </cell>
        </row>
        <row r="139">
          <cell r="A139" t="str">
            <v>Cell Culture Technician</v>
          </cell>
          <cell r="B139">
            <v>36000</v>
          </cell>
          <cell r="C139">
            <v>34789</v>
          </cell>
          <cell r="E139">
            <v>18000</v>
          </cell>
          <cell r="F139">
            <v>3600</v>
          </cell>
        </row>
        <row r="142">
          <cell r="A142" t="str">
            <v>TOTAL 1999</v>
          </cell>
          <cell r="F142">
            <v>373700</v>
          </cell>
        </row>
        <row r="144">
          <cell r="A144" t="str">
            <v>OPTIONS AVAILABLE - BEGINNING OF YEAR</v>
          </cell>
          <cell r="F144">
            <v>344665</v>
          </cell>
        </row>
        <row r="146">
          <cell r="A146" t="str">
            <v>REMAINDER OF OPTIONS AVAILABLE</v>
          </cell>
          <cell r="F146">
            <v>-29035</v>
          </cell>
        </row>
      </sheetData>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tock Price"/>
      <sheetName val="Price of Comps-1yr (UHS)"/>
      <sheetName val="Price of Comps-1yr (UNH)"/>
      <sheetName val="Price of Comps-3yrs (UHS)"/>
      <sheetName val="Price of Comps-3yrs (UNH)"/>
      <sheetName val="critical"/>
      <sheetName val="medical"/>
      <sheetName val="manor"/>
      <sheetName val="Stock Price (4)"/>
      <sheetName val="Shareholder Value"/>
      <sheetName val="Shareholder Value (2)"/>
      <sheetName val="Shareholder Value (3)"/>
      <sheetName val="theatre"/>
      <sheetName val="StockPrice"/>
      <sheetName val="Total"/>
      <sheetName val="Stock_Price"/>
      <sheetName val="Price_of_Comps-1yr_(UHS)"/>
      <sheetName val="Price_of_Comps-1yr_(UNH)"/>
      <sheetName val="Price_of_Comps-3yrs_(UHS)"/>
      <sheetName val="Price_of_Comps-3yrs_(UNH)"/>
      <sheetName val="Stock_Price_(4)"/>
      <sheetName val="Shareholder_Value"/>
      <sheetName val="Shareholder_Value_(2)"/>
      <sheetName val="Shareholder_Value_(3)"/>
      <sheetName val="Graph"/>
      <sheetName val="Clec_Comp"/>
      <sheetName val="Assump"/>
      <sheetName val="DCF_Rider_Term_Mult"/>
      <sheetName val="Horus_P&amp;L"/>
      <sheetName val="Assumptions"/>
      <sheetName val="sales_vol_"/>
      <sheetName val="NewGLP_Assumptions"/>
      <sheetName val="Revenue"/>
      <sheetName val="3"/>
      <sheetName val="Acc_Dil"/>
      <sheetName val="6b"/>
      <sheetName val="ValMatrix"/>
      <sheetName val="Overview_1"/>
      <sheetName val="Value_Creation"/>
      <sheetName val="Controls"/>
      <sheetName val="budg_act"/>
      <sheetName val="1"/>
      <sheetName val="Admin"/>
      <sheetName val="Constants"/>
      <sheetName val="Model"/>
      <sheetName val="MOE"/>
      <sheetName val="Financials_Old"/>
      <sheetName val="5a"/>
      <sheetName val="Side_by_Side"/>
      <sheetName val="CA"/>
      <sheetName val="Overview_2"/>
      <sheetName val="Value_Creation_Chart"/>
      <sheetName val="PF__Cash_EPS_Graph"/>
      <sheetName val="Cash_Flow"/>
      <sheetName val="4"/>
      <sheetName val="Contribution"/>
      <sheetName val="middle-market_-_new"/>
      <sheetName val="7"/>
      <sheetName val="DRDs"/>
      <sheetName val="SX3"/>
      <sheetName val="QuickMerge"/>
      <sheetName val="CONTROL"/>
      <sheetName val="Parameters"/>
      <sheetName val="NOPAT_VDF"/>
      <sheetName val="RC"/>
      <sheetName val="Chapter_7"/>
      <sheetName val="Invested_capital_VDF"/>
      <sheetName val="DCF_VDF"/>
      <sheetName val="MWV-BAL"/>
      <sheetName val="Balance_Sheet"/>
      <sheetName val="US_dollar_mkt"/>
      <sheetName val="riderF"/>
      <sheetName val="cd_Data"/>
      <sheetName val="Colour_Hierarchy"/>
      <sheetName val="graphdialog"/>
      <sheetName val="CID"/>
      <sheetName val="Inputs"/>
      <sheetName val="Customers"/>
      <sheetName val="WEEKLYVLS"/>
      <sheetName val="Data"/>
      <sheetName val="Market_Share"/>
      <sheetName val="DCF"/>
      <sheetName val="lev_loan_raw_data"/>
      <sheetName val="Valuation_Matrix"/>
      <sheetName val="MLP_IPO_Yields_vs_MLP_Index"/>
      <sheetName val="Forecast"/>
      <sheetName val="Financing_Memo"/>
      <sheetName val="Force_Count"/>
      <sheetName val="Instructions"/>
      <sheetName val="MWV-FUN"/>
      <sheetName val="FX_Rates"/>
      <sheetName val="Delhaize"/>
      <sheetName val="Income_Stmt"/>
      <sheetName val="Income_Statement"/>
      <sheetName val="Input"/>
      <sheetName val="Accretion_SensitivityOutput"/>
      <sheetName val="Summary"/>
      <sheetName val="IRR"/>
      <sheetName val="Lookup"/>
      <sheetName val="Budget"/>
      <sheetName val="WACC_VDF"/>
      <sheetName val="Minutes"/>
      <sheetName val="Monthly_IS"/>
      <sheetName val="Scenario_Manager"/>
      <sheetName val="PV_of_Op_Leases_VDF"/>
      <sheetName val="Sensitivity"/>
      <sheetName val="LBO_Model"/>
      <sheetName val="1991_-_1999_Drilling_Type"/>
      <sheetName val="MWV-QTR1"/>
      <sheetName val="LookupRanges"/>
      <sheetName val="Ali_Synergy_Est_(2)"/>
      <sheetName val="Summary_Inc_Stmt"/>
      <sheetName val="f3"/>
      <sheetName val="MarketData"/>
      <sheetName val="Definitions"/>
      <sheetName val="Team_Award"/>
      <sheetName val="Income_Statement_VDF"/>
      <sheetName val="Neste_Oy"/>
      <sheetName val="yc_Formula"/>
      <sheetName val="SEP"/>
      <sheetName val="Stock_Price1"/>
      <sheetName val="Price_of_Comps-1yr_(UHS)1"/>
      <sheetName val="Price_of_Comps-1yr_(UNH)1"/>
      <sheetName val="Price_of_Comps-3yrs_(UHS)1"/>
      <sheetName val="Price_of_Comps-3yrs_(UNH)1"/>
      <sheetName val="Stock_Price_(4)1"/>
      <sheetName val="Shareholder_Value1"/>
      <sheetName val="Shareholder_Value_(2)1"/>
      <sheetName val="Shareholder_Value_(3)1"/>
      <sheetName val="Stock_Price2"/>
      <sheetName val="Price_of_Comps-1yr_(UHS)2"/>
      <sheetName val="Price_of_Comps-1yr_(UNH)2"/>
      <sheetName val="Price_of_Comps-3yrs_(UHS)2"/>
      <sheetName val="Price_of_Comps-3yrs_(UNH)2"/>
      <sheetName val="Stock_Price_(4)2"/>
      <sheetName val="Shareholder_Value2"/>
      <sheetName val="Shareholder_Value_(2)2"/>
      <sheetName val="Shareholder_Value_(3)2"/>
      <sheetName val="Stock_Price3"/>
      <sheetName val="Price_of_Comps-1yr_(UHS)3"/>
      <sheetName val="Price_of_Comps-1yr_(UNH)3"/>
      <sheetName val="Price_of_Comps-3yrs_(UHS)3"/>
      <sheetName val="Price_of_Comps-3yrs_(UNH)3"/>
      <sheetName val="Stock_Price_(4)3"/>
      <sheetName val="Shareholder_Value3"/>
      <sheetName val="Shareholder_Value_(2)3"/>
      <sheetName val="Shareholder_Value_(3)3"/>
      <sheetName val="EuroInputs"/>
      <sheetName val="Price_of_Compsjà_x0013__x0000_¤ß_x0013__x0000_lâ_x0013_"/>
      <sheetName val="9040832n"/>
      <sheetName val="oldSEG"/>
      <sheetName val="Quarters"/>
      <sheetName val="sales vol."/>
      <sheetName val="Entry data"/>
      <sheetName val="Refunds Weekly"/>
      <sheetName val="Final Payments"/>
      <sheetName val="FootballField"/>
      <sheetName val="CNST"/>
      <sheetName val="AL &amp; NHY"/>
      <sheetName val="SEE"/>
      <sheetName val="P&amp;L"/>
      <sheetName val="company"/>
      <sheetName val="99 JULY SALE"/>
    </sheetNames>
    <sheetDataSet>
      <sheetData sheetId="0"/>
      <sheetData sheetId="1" refreshError="1">
        <row r="4">
          <cell r="A4">
            <v>35464</v>
          </cell>
          <cell r="B4">
            <v>1</v>
          </cell>
          <cell r="C4">
            <v>1</v>
          </cell>
          <cell r="D4">
            <v>1</v>
          </cell>
          <cell r="E4">
            <v>1</v>
          </cell>
          <cell r="F4">
            <v>1</v>
          </cell>
          <cell r="G4">
            <v>1</v>
          </cell>
        </row>
        <row r="5">
          <cell r="A5">
            <v>35465</v>
          </cell>
          <cell r="B5">
            <v>0.99669966996699666</v>
          </cell>
          <cell r="C5">
            <v>1.0280811232449298</v>
          </cell>
          <cell r="D5">
            <v>1</v>
          </cell>
          <cell r="E5">
            <v>0.99328859060402686</v>
          </cell>
          <cell r="F5">
            <v>0.97093023255813948</v>
          </cell>
          <cell r="G5">
            <v>1.0113636363636365</v>
          </cell>
        </row>
        <row r="6">
          <cell r="A6">
            <v>35466</v>
          </cell>
          <cell r="B6">
            <v>0.97689768976897695</v>
          </cell>
          <cell r="C6">
            <v>0.97347893915756634</v>
          </cell>
          <cell r="D6">
            <v>1.0112781954887218</v>
          </cell>
          <cell r="E6">
            <v>0.96644295302013428</v>
          </cell>
          <cell r="F6">
            <v>0.95813953488372094</v>
          </cell>
          <cell r="G6">
            <v>0.96590909090909094</v>
          </cell>
        </row>
        <row r="7">
          <cell r="A7">
            <v>35467</v>
          </cell>
          <cell r="B7">
            <v>0.99339933993399343</v>
          </cell>
          <cell r="C7">
            <v>0.96567862714508579</v>
          </cell>
          <cell r="D7">
            <v>1.0263157894736843</v>
          </cell>
          <cell r="E7">
            <v>0.95302013422818788</v>
          </cell>
          <cell r="F7">
            <v>0.92093023255813955</v>
          </cell>
          <cell r="G7">
            <v>0.95454545454545459</v>
          </cell>
        </row>
        <row r="8">
          <cell r="A8">
            <v>35468</v>
          </cell>
          <cell r="B8">
            <v>1.0297029702970297</v>
          </cell>
          <cell r="C8">
            <v>0.97347893915756634</v>
          </cell>
          <cell r="D8">
            <v>1.0413533834586466</v>
          </cell>
          <cell r="E8">
            <v>0.97315436241610742</v>
          </cell>
          <cell r="F8">
            <v>0.95581395348837206</v>
          </cell>
          <cell r="G8">
            <v>0.96590909090909094</v>
          </cell>
        </row>
        <row r="9">
          <cell r="A9">
            <v>35471</v>
          </cell>
          <cell r="B9">
            <v>1.033003300330033</v>
          </cell>
          <cell r="C9">
            <v>0.99375975039001563</v>
          </cell>
          <cell r="D9">
            <v>1.0883458646616542</v>
          </cell>
          <cell r="E9">
            <v>0.98657718120805371</v>
          </cell>
          <cell r="F9">
            <v>0.94883720930232562</v>
          </cell>
          <cell r="G9">
            <v>0.95454545454545459</v>
          </cell>
        </row>
        <row r="10">
          <cell r="A10">
            <v>35472</v>
          </cell>
          <cell r="B10">
            <v>1.0594059405940595</v>
          </cell>
          <cell r="C10">
            <v>0.99843993759750393</v>
          </cell>
          <cell r="D10">
            <v>1.0676691729323309</v>
          </cell>
          <cell r="E10">
            <v>1.0067114093959733</v>
          </cell>
          <cell r="F10">
            <v>0.96976744186046515</v>
          </cell>
          <cell r="G10">
            <v>0.95454545454545459</v>
          </cell>
        </row>
        <row r="11">
          <cell r="A11">
            <v>35473</v>
          </cell>
          <cell r="B11">
            <v>1.0734323432343233</v>
          </cell>
          <cell r="C11">
            <v>1.0265210608424338</v>
          </cell>
          <cell r="D11">
            <v>1.0864661654135339</v>
          </cell>
          <cell r="E11">
            <v>1.0067114093959733</v>
          </cell>
          <cell r="F11">
            <v>1.0418604651162791</v>
          </cell>
          <cell r="G11">
            <v>0.96590909090909094</v>
          </cell>
        </row>
        <row r="12">
          <cell r="A12">
            <v>35474</v>
          </cell>
          <cell r="B12">
            <v>1.0981848184818481</v>
          </cell>
          <cell r="C12">
            <v>1.0733229329173166</v>
          </cell>
          <cell r="D12">
            <v>1.1165413533834587</v>
          </cell>
          <cell r="E12">
            <v>1.0536912751677852</v>
          </cell>
          <cell r="F12">
            <v>1.1046511627906976</v>
          </cell>
          <cell r="G12">
            <v>0.98863636363636365</v>
          </cell>
        </row>
        <row r="13">
          <cell r="A13">
            <v>35475</v>
          </cell>
          <cell r="B13">
            <v>1.1056105610561056</v>
          </cell>
          <cell r="C13">
            <v>1.0795631825273011</v>
          </cell>
          <cell r="D13">
            <v>1.131578947368421</v>
          </cell>
          <cell r="E13">
            <v>1.0738255033557047</v>
          </cell>
          <cell r="F13">
            <v>1.1441860465116278</v>
          </cell>
          <cell r="G13">
            <v>1.2159090909090908</v>
          </cell>
        </row>
        <row r="14">
          <cell r="A14">
            <v>35478</v>
          </cell>
          <cell r="B14">
            <v>1.1056105610561056</v>
          </cell>
          <cell r="C14">
            <v>1.0795631825273011</v>
          </cell>
          <cell r="D14">
            <v>1.131578947368421</v>
          </cell>
          <cell r="E14">
            <v>1.0738255033557047</v>
          </cell>
          <cell r="F14">
            <v>1.1441860465116278</v>
          </cell>
          <cell r="G14">
            <v>1.2159090909090908</v>
          </cell>
        </row>
        <row r="15">
          <cell r="A15">
            <v>35479</v>
          </cell>
          <cell r="B15">
            <v>1.0990099009900991</v>
          </cell>
          <cell r="C15">
            <v>1.0608424336973479</v>
          </cell>
          <cell r="D15">
            <v>1.1090225563909775</v>
          </cell>
          <cell r="E15">
            <v>1.0738255033557047</v>
          </cell>
          <cell r="F15">
            <v>1.1000000000000001</v>
          </cell>
          <cell r="G15">
            <v>1.2159090909090908</v>
          </cell>
        </row>
        <row r="16">
          <cell r="A16">
            <v>35480</v>
          </cell>
          <cell r="B16">
            <v>1.1122112211221122</v>
          </cell>
          <cell r="C16">
            <v>1.0717628705148206</v>
          </cell>
          <cell r="D16">
            <v>1.131578947368421</v>
          </cell>
          <cell r="E16">
            <v>1.0268456375838926</v>
          </cell>
          <cell r="F16">
            <v>1.1046511627906976</v>
          </cell>
          <cell r="G16">
            <v>1.2159090909090908</v>
          </cell>
        </row>
        <row r="17">
          <cell r="A17">
            <v>35481</v>
          </cell>
          <cell r="B17">
            <v>1.1056105610561056</v>
          </cell>
          <cell r="C17">
            <v>1.0592823712948518</v>
          </cell>
          <cell r="D17">
            <v>1.1099624060150375</v>
          </cell>
          <cell r="E17">
            <v>1.0671140939597314</v>
          </cell>
          <cell r="F17">
            <v>1.0930232558139534</v>
          </cell>
          <cell r="G17">
            <v>1.2045454545454546</v>
          </cell>
        </row>
        <row r="18">
          <cell r="A18">
            <v>35482</v>
          </cell>
          <cell r="B18">
            <v>1.0990099009900991</v>
          </cell>
          <cell r="C18">
            <v>1.0608424336973479</v>
          </cell>
          <cell r="D18">
            <v>1.1353383458646618</v>
          </cell>
          <cell r="E18">
            <v>1.0738255033557047</v>
          </cell>
          <cell r="F18">
            <v>1.0953488372093023</v>
          </cell>
          <cell r="G18">
            <v>1.2159090909090908</v>
          </cell>
        </row>
        <row r="19">
          <cell r="A19">
            <v>35485</v>
          </cell>
          <cell r="B19">
            <v>1.0808580858085808</v>
          </cell>
          <cell r="C19">
            <v>1.0702028081123245</v>
          </cell>
          <cell r="D19">
            <v>1.1390977443609023</v>
          </cell>
          <cell r="E19">
            <v>1.0604026845637584</v>
          </cell>
          <cell r="F19">
            <v>1.0627906976744186</v>
          </cell>
          <cell r="G19">
            <v>1.2045454545454546</v>
          </cell>
        </row>
        <row r="20">
          <cell r="A20">
            <v>35486</v>
          </cell>
          <cell r="B20">
            <v>1.0990099009900991</v>
          </cell>
          <cell r="C20">
            <v>1.0670826833073324</v>
          </cell>
          <cell r="D20">
            <v>1.1503759398496241</v>
          </cell>
          <cell r="E20">
            <v>1.0738255033557047</v>
          </cell>
          <cell r="F20">
            <v>1.069767441860465</v>
          </cell>
          <cell r="G20">
            <v>1.2045454545454546</v>
          </cell>
        </row>
        <row r="21">
          <cell r="A21">
            <v>35487</v>
          </cell>
          <cell r="B21">
            <v>1.0940594059405941</v>
          </cell>
          <cell r="C21">
            <v>1.0405616224648986</v>
          </cell>
          <cell r="D21">
            <v>1.1503759398496241</v>
          </cell>
          <cell r="E21">
            <v>1.0134228187919463</v>
          </cell>
          <cell r="F21">
            <v>1.0488372093023255</v>
          </cell>
          <cell r="G21">
            <v>1.2045454545454546</v>
          </cell>
        </row>
        <row r="22">
          <cell r="A22">
            <v>35488</v>
          </cell>
          <cell r="B22">
            <v>1.0990099009900991</v>
          </cell>
          <cell r="C22">
            <v>1.0468018720748831</v>
          </cell>
          <cell r="D22">
            <v>1.1390977443609023</v>
          </cell>
          <cell r="E22">
            <v>1.0201342281879195</v>
          </cell>
          <cell r="F22">
            <v>1.0372093023255815</v>
          </cell>
          <cell r="G22">
            <v>1.2045454545454546</v>
          </cell>
        </row>
        <row r="23">
          <cell r="A23">
            <v>35489</v>
          </cell>
          <cell r="B23">
            <v>1.1056105610561056</v>
          </cell>
          <cell r="C23">
            <v>1.0374414976599065</v>
          </cell>
          <cell r="D23">
            <v>1.1353383458646618</v>
          </cell>
          <cell r="E23">
            <v>1.0536912751677852</v>
          </cell>
          <cell r="F23">
            <v>1.0372093023255815</v>
          </cell>
          <cell r="G23">
            <v>1.1931818181818181</v>
          </cell>
        </row>
        <row r="24">
          <cell r="A24">
            <v>35492</v>
          </cell>
          <cell r="B24">
            <v>1.0965346534653466</v>
          </cell>
          <cell r="C24">
            <v>1.0577223088923557</v>
          </cell>
          <cell r="D24">
            <v>1.1390977443609023</v>
          </cell>
          <cell r="E24">
            <v>1.1342281879194631</v>
          </cell>
          <cell r="F24">
            <v>1.0325581395348837</v>
          </cell>
          <cell r="G24">
            <v>1.2159090909090908</v>
          </cell>
        </row>
        <row r="25">
          <cell r="A25">
            <v>35493</v>
          </cell>
          <cell r="B25">
            <v>1.0973597359735974</v>
          </cell>
          <cell r="C25">
            <v>1.06396255850234</v>
          </cell>
          <cell r="D25">
            <v>1.1353383458646618</v>
          </cell>
          <cell r="E25">
            <v>1.1610738255033557</v>
          </cell>
          <cell r="F25">
            <v>1.069767441860465</v>
          </cell>
          <cell r="G25">
            <v>1.2159090909090908</v>
          </cell>
        </row>
        <row r="26">
          <cell r="A26">
            <v>35494</v>
          </cell>
          <cell r="B26">
            <v>1.113861386138614</v>
          </cell>
          <cell r="C26">
            <v>1.076443057722309</v>
          </cell>
          <cell r="D26">
            <v>1.1278195488721805</v>
          </cell>
          <cell r="E26">
            <v>1.174496644295302</v>
          </cell>
          <cell r="F26">
            <v>1.1255813953488372</v>
          </cell>
          <cell r="G26">
            <v>1.2727272727272727</v>
          </cell>
        </row>
        <row r="27">
          <cell r="A27">
            <v>35495</v>
          </cell>
          <cell r="B27">
            <v>1.1460396039603959</v>
          </cell>
          <cell r="C27">
            <v>1.0717628705148206</v>
          </cell>
          <cell r="D27">
            <v>1.1090225563909775</v>
          </cell>
          <cell r="E27">
            <v>1.1208053691275168</v>
          </cell>
          <cell r="F27">
            <v>1.1093023255813954</v>
          </cell>
          <cell r="G27">
            <v>1.2272727272727273</v>
          </cell>
        </row>
        <row r="28">
          <cell r="A28">
            <v>35496</v>
          </cell>
          <cell r="B28">
            <v>1.165016501650165</v>
          </cell>
          <cell r="C28">
            <v>1.1216848673946958</v>
          </cell>
          <cell r="D28">
            <v>1.1541353383458646</v>
          </cell>
          <cell r="E28">
            <v>1.2147651006711409</v>
          </cell>
          <cell r="F28">
            <v>1.1511627906976745</v>
          </cell>
          <cell r="G28">
            <v>1.2386363636363635</v>
          </cell>
        </row>
        <row r="29">
          <cell r="A29">
            <v>35499</v>
          </cell>
          <cell r="B29">
            <v>1.165016501650165</v>
          </cell>
          <cell r="C29">
            <v>1.1372854914196568</v>
          </cell>
          <cell r="D29">
            <v>1.1766917293233083</v>
          </cell>
          <cell r="E29">
            <v>1.2348993288590604</v>
          </cell>
          <cell r="F29">
            <v>1.2069767441860466</v>
          </cell>
          <cell r="G29">
            <v>1.3068181818181819</v>
          </cell>
        </row>
        <row r="30">
          <cell r="A30">
            <v>35500</v>
          </cell>
          <cell r="B30">
            <v>1.1452145214521452</v>
          </cell>
          <cell r="C30">
            <v>1.1528861154446177</v>
          </cell>
          <cell r="D30">
            <v>1.1766917293233083</v>
          </cell>
          <cell r="E30">
            <v>1.2348993288590604</v>
          </cell>
          <cell r="F30">
            <v>1.2255813953488373</v>
          </cell>
          <cell r="G30">
            <v>1.2954545454545454</v>
          </cell>
        </row>
        <row r="31">
          <cell r="A31">
            <v>35501</v>
          </cell>
          <cell r="B31">
            <v>1.1386138613861385</v>
          </cell>
          <cell r="C31">
            <v>1.1591263650546022</v>
          </cell>
          <cell r="D31">
            <v>1.1879699248120301</v>
          </cell>
          <cell r="E31">
            <v>1.2214765100671141</v>
          </cell>
          <cell r="F31">
            <v>1.213953488372093</v>
          </cell>
          <cell r="G31">
            <v>1.2954545454545454</v>
          </cell>
        </row>
        <row r="32">
          <cell r="A32">
            <v>35502</v>
          </cell>
          <cell r="B32">
            <v>1.1353135313531353</v>
          </cell>
          <cell r="C32">
            <v>1.1232449297971918</v>
          </cell>
          <cell r="D32">
            <v>1.1766917293233083</v>
          </cell>
          <cell r="E32">
            <v>1.1879194630872483</v>
          </cell>
          <cell r="F32">
            <v>1.1895348837209303</v>
          </cell>
          <cell r="G32">
            <v>1.2954545454545454</v>
          </cell>
        </row>
        <row r="33">
          <cell r="A33">
            <v>35503</v>
          </cell>
          <cell r="B33">
            <v>1.1353135313531353</v>
          </cell>
          <cell r="C33">
            <v>1.1341653666146645</v>
          </cell>
          <cell r="D33">
            <v>1.1691729323308271</v>
          </cell>
          <cell r="E33">
            <v>1.2281879194630871</v>
          </cell>
          <cell r="F33">
            <v>1.1837209302325582</v>
          </cell>
          <cell r="G33">
            <v>1.2954545454545454</v>
          </cell>
        </row>
        <row r="34">
          <cell r="A34">
            <v>35506</v>
          </cell>
          <cell r="B34">
            <v>1.1377887788778878</v>
          </cell>
          <cell r="C34">
            <v>1.1216848673946958</v>
          </cell>
          <cell r="D34">
            <v>1.1541353383458646</v>
          </cell>
          <cell r="E34">
            <v>1.1946308724832215</v>
          </cell>
          <cell r="F34">
            <v>1.1348837209302325</v>
          </cell>
          <cell r="G34">
            <v>1.2954545454545454</v>
          </cell>
        </row>
        <row r="35">
          <cell r="A35">
            <v>35507</v>
          </cell>
          <cell r="B35">
            <v>1.1287128712871286</v>
          </cell>
          <cell r="C35">
            <v>1.1154446177847115</v>
          </cell>
          <cell r="D35">
            <v>1.1428571428571428</v>
          </cell>
          <cell r="E35">
            <v>1.1946308724832215</v>
          </cell>
          <cell r="F35">
            <v>1.1093023255813954</v>
          </cell>
          <cell r="G35">
            <v>1.3068181818181819</v>
          </cell>
        </row>
        <row r="36">
          <cell r="A36">
            <v>35508</v>
          </cell>
          <cell r="B36">
            <v>1.1287128712871286</v>
          </cell>
          <cell r="C36">
            <v>1.0936037441497659</v>
          </cell>
          <cell r="D36">
            <v>1.1466165413533835</v>
          </cell>
          <cell r="E36">
            <v>1.174496644295302</v>
          </cell>
          <cell r="F36">
            <v>1.1232558139534883</v>
          </cell>
          <cell r="G36">
            <v>1.2954545454545454</v>
          </cell>
        </row>
        <row r="37">
          <cell r="A37">
            <v>35509</v>
          </cell>
          <cell r="B37">
            <v>1.1303630363036303</v>
          </cell>
          <cell r="C37">
            <v>1.0998439937597504</v>
          </cell>
          <cell r="D37">
            <v>1.1503759398496241</v>
          </cell>
          <cell r="E37">
            <v>1.1677852348993289</v>
          </cell>
          <cell r="F37">
            <v>1.155813953488372</v>
          </cell>
          <cell r="G37">
            <v>1.2954545454545454</v>
          </cell>
        </row>
        <row r="38">
          <cell r="A38">
            <v>35510</v>
          </cell>
          <cell r="B38">
            <v>1.1221122112211221</v>
          </cell>
          <cell r="C38">
            <v>1.1014040561622465</v>
          </cell>
          <cell r="D38">
            <v>1.1466165413533835</v>
          </cell>
          <cell r="E38">
            <v>1.1812080536912752</v>
          </cell>
          <cell r="F38">
            <v>1.1441860465116278</v>
          </cell>
          <cell r="G38">
            <v>1.2954545454545454</v>
          </cell>
        </row>
        <row r="39">
          <cell r="A39">
            <v>35513</v>
          </cell>
          <cell r="B39">
            <v>1.0965346534653466</v>
          </cell>
          <cell r="C39">
            <v>1.0951638065522622</v>
          </cell>
          <cell r="D39">
            <v>1.1353383458646618</v>
          </cell>
          <cell r="E39">
            <v>1.1677852348993289</v>
          </cell>
          <cell r="F39">
            <v>1.1441860465116278</v>
          </cell>
          <cell r="G39">
            <v>1.2954545454545454</v>
          </cell>
        </row>
        <row r="40">
          <cell r="A40">
            <v>35514</v>
          </cell>
          <cell r="B40">
            <v>1.1221122112211221</v>
          </cell>
          <cell r="C40">
            <v>1.1232449297971918</v>
          </cell>
          <cell r="D40">
            <v>1.131578947368421</v>
          </cell>
          <cell r="E40">
            <v>1.1812080536912752</v>
          </cell>
          <cell r="F40">
            <v>1.1790697674418604</v>
          </cell>
          <cell r="G40">
            <v>1.2954545454545454</v>
          </cell>
        </row>
        <row r="41">
          <cell r="A41">
            <v>35515</v>
          </cell>
          <cell r="B41">
            <v>1.1435643564356435</v>
          </cell>
          <cell r="C41">
            <v>1.1185647425897036</v>
          </cell>
          <cell r="D41">
            <v>1.112781954887218</v>
          </cell>
          <cell r="E41">
            <v>1.2013422818791946</v>
          </cell>
          <cell r="F41">
            <v>1.1697674418604651</v>
          </cell>
          <cell r="G41">
            <v>1.2954545454545454</v>
          </cell>
        </row>
        <row r="42">
          <cell r="A42">
            <v>35516</v>
          </cell>
          <cell r="B42">
            <v>1.141914191419142</v>
          </cell>
          <cell r="C42">
            <v>1.0904836193447738</v>
          </cell>
          <cell r="D42">
            <v>1.1052631578947369</v>
          </cell>
          <cell r="E42">
            <v>1.174496644295302</v>
          </cell>
          <cell r="F42">
            <v>1.1372093023255814</v>
          </cell>
          <cell r="G42">
            <v>1.2954545454545454</v>
          </cell>
        </row>
        <row r="43">
          <cell r="A43">
            <v>35517</v>
          </cell>
          <cell r="B43">
            <v>1.141914191419142</v>
          </cell>
          <cell r="C43">
            <v>1.0904836193447738</v>
          </cell>
          <cell r="D43">
            <v>1.1052631578947369</v>
          </cell>
          <cell r="E43">
            <v>1.174496644295302</v>
          </cell>
          <cell r="F43">
            <v>1.1372093023255814</v>
          </cell>
          <cell r="G43">
            <v>1.2954545454545454</v>
          </cell>
        </row>
        <row r="44">
          <cell r="A44">
            <v>35520</v>
          </cell>
          <cell r="B44">
            <v>1.1386138613861385</v>
          </cell>
          <cell r="C44">
            <v>1.0717628705148206</v>
          </cell>
          <cell r="D44">
            <v>1.0977443609022557</v>
          </cell>
          <cell r="E44">
            <v>1.1812080536912752</v>
          </cell>
          <cell r="F44">
            <v>1.0906976744186045</v>
          </cell>
          <cell r="G44">
            <v>1.2954545454545454</v>
          </cell>
        </row>
        <row r="45">
          <cell r="A45">
            <v>35521</v>
          </cell>
          <cell r="B45">
            <v>1.1056105610561056</v>
          </cell>
          <cell r="C45">
            <v>1.0748829953198127</v>
          </cell>
          <cell r="D45">
            <v>1.1090225563909775</v>
          </cell>
          <cell r="E45">
            <v>1.1342281879194631</v>
          </cell>
          <cell r="F45">
            <v>1.0604651162790697</v>
          </cell>
          <cell r="G45">
            <v>1.2954545454545454</v>
          </cell>
        </row>
        <row r="46">
          <cell r="A46">
            <v>35522</v>
          </cell>
          <cell r="B46">
            <v>1.0973597359735974</v>
          </cell>
          <cell r="C46">
            <v>1.0748829953198127</v>
          </cell>
          <cell r="D46">
            <v>0.84586466165413532</v>
          </cell>
          <cell r="E46">
            <v>1.1140939597315436</v>
          </cell>
          <cell r="F46">
            <v>1.0511627906976744</v>
          </cell>
          <cell r="G46">
            <v>1.2954545454545454</v>
          </cell>
        </row>
        <row r="47">
          <cell r="A47">
            <v>35523</v>
          </cell>
          <cell r="B47">
            <v>1.0957095709570956</v>
          </cell>
          <cell r="C47">
            <v>1.0842433697347893</v>
          </cell>
          <cell r="D47">
            <v>0.82330827067669177</v>
          </cell>
          <cell r="E47">
            <v>1.1342281879194631</v>
          </cell>
          <cell r="F47">
            <v>1.0813953488372092</v>
          </cell>
          <cell r="G47">
            <v>1.2840909090909092</v>
          </cell>
        </row>
        <row r="48">
          <cell r="A48">
            <v>35524</v>
          </cell>
          <cell r="B48">
            <v>1.1023102310231023</v>
          </cell>
          <cell r="C48">
            <v>1.076443057722309</v>
          </cell>
          <cell r="D48">
            <v>0.83082706766917291</v>
          </cell>
          <cell r="E48">
            <v>1.1342281879194631</v>
          </cell>
          <cell r="F48">
            <v>1.0790697674418606</v>
          </cell>
          <cell r="G48">
            <v>1.2954545454545454</v>
          </cell>
        </row>
        <row r="49">
          <cell r="A49">
            <v>35527</v>
          </cell>
          <cell r="B49">
            <v>1.0907590759075907</v>
          </cell>
          <cell r="C49">
            <v>1.0670826833073324</v>
          </cell>
          <cell r="D49">
            <v>0.82706766917293228</v>
          </cell>
          <cell r="E49">
            <v>1.1677852348993289</v>
          </cell>
          <cell r="F49">
            <v>1.1093023255813954</v>
          </cell>
          <cell r="G49">
            <v>1.2954545454545454</v>
          </cell>
        </row>
        <row r="50">
          <cell r="A50">
            <v>35528</v>
          </cell>
          <cell r="B50">
            <v>1.0907590759075907</v>
          </cell>
          <cell r="C50">
            <v>1.0686427457098284</v>
          </cell>
          <cell r="D50">
            <v>0.81578947368421051</v>
          </cell>
          <cell r="E50">
            <v>1.1610738255033557</v>
          </cell>
          <cell r="F50">
            <v>1.1418604651162791</v>
          </cell>
          <cell r="G50">
            <v>1.2840909090909092</v>
          </cell>
        </row>
        <row r="51">
          <cell r="A51">
            <v>35529</v>
          </cell>
          <cell r="B51">
            <v>1.0874587458745875</v>
          </cell>
          <cell r="C51">
            <v>1.0655226209048363</v>
          </cell>
          <cell r="D51">
            <v>0.83834586466165417</v>
          </cell>
          <cell r="E51">
            <v>1.1208053691275168</v>
          </cell>
          <cell r="F51">
            <v>1.1744186046511629</v>
          </cell>
          <cell r="G51">
            <v>1.3068181818181819</v>
          </cell>
        </row>
        <row r="52">
          <cell r="A52">
            <v>35530</v>
          </cell>
          <cell r="B52">
            <v>1.0891089108910892</v>
          </cell>
          <cell r="C52">
            <v>1.076443057722309</v>
          </cell>
          <cell r="D52">
            <v>0.83458646616541354</v>
          </cell>
          <cell r="E52">
            <v>1.1409395973154361</v>
          </cell>
          <cell r="F52">
            <v>1.1976744186046511</v>
          </cell>
          <cell r="G52">
            <v>1.2954545454545454</v>
          </cell>
        </row>
        <row r="53">
          <cell r="A53">
            <v>35531</v>
          </cell>
          <cell r="B53">
            <v>1.0577557755775577</v>
          </cell>
          <cell r="C53">
            <v>1.0436817472698907</v>
          </cell>
          <cell r="D53">
            <v>0.81203007518796988</v>
          </cell>
          <cell r="E53">
            <v>1.1140939597315436</v>
          </cell>
          <cell r="F53">
            <v>1.1232558139534883</v>
          </cell>
          <cell r="G53">
            <v>1.2840909090909092</v>
          </cell>
        </row>
        <row r="54">
          <cell r="A54">
            <v>35534</v>
          </cell>
          <cell r="B54">
            <v>1.0379537953795379</v>
          </cell>
          <cell r="C54">
            <v>1.0748829953198127</v>
          </cell>
          <cell r="D54">
            <v>0.82330827067669177</v>
          </cell>
          <cell r="E54">
            <v>1.1275167785234899</v>
          </cell>
          <cell r="F54">
            <v>1.1534883720930234</v>
          </cell>
          <cell r="G54">
            <v>1.2727272727272727</v>
          </cell>
        </row>
        <row r="55">
          <cell r="A55">
            <v>35535</v>
          </cell>
          <cell r="B55">
            <v>1.0742574257425743</v>
          </cell>
          <cell r="C55">
            <v>1.1045241809672386</v>
          </cell>
          <cell r="D55">
            <v>0.84586466165413532</v>
          </cell>
          <cell r="E55">
            <v>1.1476510067114094</v>
          </cell>
          <cell r="F55">
            <v>1.1767441860465115</v>
          </cell>
          <cell r="G55">
            <v>1.2727272727272727</v>
          </cell>
        </row>
        <row r="56">
          <cell r="A56">
            <v>35536</v>
          </cell>
          <cell r="B56">
            <v>1.1039603960396041</v>
          </cell>
          <cell r="C56">
            <v>1.1201248049921997</v>
          </cell>
          <cell r="D56">
            <v>0.86466165413533835</v>
          </cell>
          <cell r="E56">
            <v>1.1476510067114094</v>
          </cell>
          <cell r="F56">
            <v>1.1476744186046512</v>
          </cell>
          <cell r="G56">
            <v>1.2840909090909092</v>
          </cell>
        </row>
        <row r="57">
          <cell r="A57">
            <v>35537</v>
          </cell>
          <cell r="B57">
            <v>1.0990099009900991</v>
          </cell>
          <cell r="C57">
            <v>1.0982839313572543</v>
          </cell>
          <cell r="D57">
            <v>0.84962406015037595</v>
          </cell>
          <cell r="E57">
            <v>1.1409395973154361</v>
          </cell>
          <cell r="F57">
            <v>1.1627906976744187</v>
          </cell>
          <cell r="G57">
            <v>1.2840909090909092</v>
          </cell>
        </row>
        <row r="58">
          <cell r="A58">
            <v>35538</v>
          </cell>
          <cell r="B58">
            <v>1.0577557755775577</v>
          </cell>
          <cell r="C58">
            <v>1.0717628705148206</v>
          </cell>
          <cell r="D58">
            <v>0.80451127819548873</v>
          </cell>
          <cell r="E58">
            <v>1.080536912751678</v>
          </cell>
          <cell r="F58">
            <v>1.1232558139534883</v>
          </cell>
          <cell r="G58">
            <v>1.2840909090909092</v>
          </cell>
        </row>
        <row r="59">
          <cell r="A59">
            <v>35541</v>
          </cell>
          <cell r="B59">
            <v>1.0445544554455446</v>
          </cell>
          <cell r="C59">
            <v>1.0624024960998439</v>
          </cell>
          <cell r="D59">
            <v>0.77819548872180455</v>
          </cell>
          <cell r="E59">
            <v>1.0939597315436242</v>
          </cell>
          <cell r="F59">
            <v>1.1232558139534883</v>
          </cell>
          <cell r="G59">
            <v>1.2727272727272727</v>
          </cell>
        </row>
        <row r="60">
          <cell r="A60">
            <v>35542</v>
          </cell>
          <cell r="B60">
            <v>1.0297029702970297</v>
          </cell>
          <cell r="C60">
            <v>1.0702028081123245</v>
          </cell>
          <cell r="D60">
            <v>0.76691729323308266</v>
          </cell>
          <cell r="E60">
            <v>1.1073825503355705</v>
          </cell>
          <cell r="F60">
            <v>1.1418604651162791</v>
          </cell>
          <cell r="G60">
            <v>1.2727272727272727</v>
          </cell>
        </row>
        <row r="61">
          <cell r="A61">
            <v>35543</v>
          </cell>
          <cell r="B61">
            <v>1.0148514851485149</v>
          </cell>
          <cell r="C61">
            <v>1.0686427457098284</v>
          </cell>
          <cell r="D61">
            <v>0.75563909774436089</v>
          </cell>
          <cell r="E61">
            <v>1.1208053691275168</v>
          </cell>
          <cell r="F61">
            <v>1.1488372093023256</v>
          </cell>
          <cell r="G61">
            <v>1.2727272727272727</v>
          </cell>
        </row>
        <row r="62">
          <cell r="A62">
            <v>35544</v>
          </cell>
          <cell r="B62">
            <v>1.0198019801980198</v>
          </cell>
          <cell r="C62">
            <v>1.0530421216848673</v>
          </cell>
          <cell r="D62">
            <v>0.75939849624060152</v>
          </cell>
          <cell r="E62">
            <v>1.080536912751678</v>
          </cell>
          <cell r="F62">
            <v>1.1395348837209303</v>
          </cell>
          <cell r="G62">
            <v>1.2727272727272727</v>
          </cell>
        </row>
        <row r="63">
          <cell r="A63">
            <v>35545</v>
          </cell>
          <cell r="B63">
            <v>1.0156765676567656</v>
          </cell>
          <cell r="C63">
            <v>1.0483619344773791</v>
          </cell>
          <cell r="D63">
            <v>0.74060150375939848</v>
          </cell>
          <cell r="E63">
            <v>1.0939597315436242</v>
          </cell>
          <cell r="F63">
            <v>1.1046511627906976</v>
          </cell>
          <cell r="G63">
            <v>1.2727272727272727</v>
          </cell>
        </row>
        <row r="64">
          <cell r="A64">
            <v>35548</v>
          </cell>
          <cell r="B64">
            <v>1.0099009900990099</v>
          </cell>
          <cell r="C64">
            <v>1.0468018720748831</v>
          </cell>
          <cell r="D64">
            <v>0.73308270676691734</v>
          </cell>
          <cell r="E64">
            <v>1.087248322147651</v>
          </cell>
          <cell r="F64">
            <v>1.0976744186046512</v>
          </cell>
          <cell r="G64">
            <v>1.2613636363636365</v>
          </cell>
        </row>
        <row r="65">
          <cell r="A65">
            <v>35549</v>
          </cell>
          <cell r="B65">
            <v>1.033003300330033</v>
          </cell>
          <cell r="C65">
            <v>1.1185647425897036</v>
          </cell>
          <cell r="D65">
            <v>0.77067669172932329</v>
          </cell>
          <cell r="E65">
            <v>1.1543624161073827</v>
          </cell>
          <cell r="F65">
            <v>1.1674418604651162</v>
          </cell>
          <cell r="G65">
            <v>1.2613636363636365</v>
          </cell>
        </row>
        <row r="66">
          <cell r="A66">
            <v>35550</v>
          </cell>
          <cell r="B66">
            <v>1.0594059405940595</v>
          </cell>
          <cell r="C66">
            <v>1.1372854914196568</v>
          </cell>
          <cell r="D66">
            <v>0.81203007518796988</v>
          </cell>
          <cell r="E66">
            <v>1.1677852348993289</v>
          </cell>
          <cell r="F66">
            <v>1.2255813953488373</v>
          </cell>
          <cell r="G66">
            <v>1.2613636363636365</v>
          </cell>
        </row>
        <row r="67">
          <cell r="A67">
            <v>35551</v>
          </cell>
          <cell r="B67">
            <v>1.0148514851485149</v>
          </cell>
          <cell r="C67">
            <v>1.1216848673946958</v>
          </cell>
          <cell r="D67">
            <v>0.80451127819548873</v>
          </cell>
          <cell r="E67">
            <v>1.1610738255033557</v>
          </cell>
          <cell r="F67">
            <v>1.213953488372093</v>
          </cell>
          <cell r="G67">
            <v>1.2727272727272727</v>
          </cell>
        </row>
        <row r="68">
          <cell r="A68">
            <v>35552</v>
          </cell>
          <cell r="B68">
            <v>1.0181518151815181</v>
          </cell>
          <cell r="C68">
            <v>1.1216848673946958</v>
          </cell>
          <cell r="D68">
            <v>0.82330827067669177</v>
          </cell>
          <cell r="E68">
            <v>1.174496644295302</v>
          </cell>
          <cell r="F68">
            <v>1.2720930232558139</v>
          </cell>
          <cell r="G68">
            <v>1.2727272727272727</v>
          </cell>
        </row>
        <row r="69">
          <cell r="A69">
            <v>35555</v>
          </cell>
          <cell r="B69">
            <v>1.0396039603960396</v>
          </cell>
          <cell r="C69">
            <v>1.1310452418096724</v>
          </cell>
          <cell r="D69">
            <v>0.83458646616541354</v>
          </cell>
          <cell r="E69">
            <v>1.1543624161073827</v>
          </cell>
          <cell r="F69">
            <v>1.2</v>
          </cell>
          <cell r="G69">
            <v>1.2954545454545454</v>
          </cell>
        </row>
        <row r="70">
          <cell r="A70">
            <v>35556</v>
          </cell>
          <cell r="B70">
            <v>1.056930693069307</v>
          </cell>
          <cell r="C70">
            <v>1.1965678627145087</v>
          </cell>
          <cell r="D70">
            <v>0.81203007518796988</v>
          </cell>
          <cell r="E70">
            <v>1.1543624161073827</v>
          </cell>
          <cell r="F70">
            <v>1.2441860465116279</v>
          </cell>
          <cell r="G70">
            <v>1.2727272727272727</v>
          </cell>
        </row>
        <row r="71">
          <cell r="A71">
            <v>35557</v>
          </cell>
          <cell r="B71">
            <v>1.0627062706270627</v>
          </cell>
          <cell r="C71">
            <v>1.2059282371294853</v>
          </cell>
          <cell r="D71">
            <v>0.81203007518796988</v>
          </cell>
          <cell r="E71">
            <v>1.1610738255033557</v>
          </cell>
          <cell r="F71">
            <v>1.2511627906976743</v>
          </cell>
          <cell r="G71">
            <v>1.2840909090909092</v>
          </cell>
        </row>
        <row r="72">
          <cell r="A72">
            <v>35558</v>
          </cell>
          <cell r="B72">
            <v>1.0412541254125414</v>
          </cell>
          <cell r="C72">
            <v>1.2246489859594383</v>
          </cell>
          <cell r="D72">
            <v>0.80451127819548873</v>
          </cell>
          <cell r="E72">
            <v>1.1476510067114094</v>
          </cell>
          <cell r="F72">
            <v>1.2279069767441861</v>
          </cell>
          <cell r="G72">
            <v>1.2727272727272727</v>
          </cell>
        </row>
        <row r="73">
          <cell r="A73">
            <v>35559</v>
          </cell>
          <cell r="B73">
            <v>1.028052805280528</v>
          </cell>
          <cell r="C73">
            <v>1.2293291731669267</v>
          </cell>
          <cell r="D73">
            <v>0.81578947368421051</v>
          </cell>
          <cell r="E73">
            <v>1.1409395973154361</v>
          </cell>
          <cell r="F73">
            <v>1.2069767441860466</v>
          </cell>
          <cell r="G73">
            <v>1.2840909090909092</v>
          </cell>
        </row>
        <row r="74">
          <cell r="A74">
            <v>35562</v>
          </cell>
          <cell r="B74">
            <v>1.033003300330033</v>
          </cell>
          <cell r="C74">
            <v>1.2402496099843994</v>
          </cell>
          <cell r="D74">
            <v>0.83834586466165417</v>
          </cell>
          <cell r="E74">
            <v>1.174496644295302</v>
          </cell>
          <cell r="F74">
            <v>1.2279069767441861</v>
          </cell>
          <cell r="G74">
            <v>1.2840909090909092</v>
          </cell>
        </row>
        <row r="75">
          <cell r="A75">
            <v>35563</v>
          </cell>
          <cell r="B75">
            <v>0.98844884488448848</v>
          </cell>
          <cell r="C75">
            <v>1.2308892355694228</v>
          </cell>
          <cell r="D75">
            <v>0.83458646616541354</v>
          </cell>
          <cell r="E75">
            <v>1.2013422818791946</v>
          </cell>
          <cell r="F75">
            <v>1.2127906976744185</v>
          </cell>
          <cell r="G75">
            <v>1.2840909090909092</v>
          </cell>
        </row>
        <row r="76">
          <cell r="A76">
            <v>35564</v>
          </cell>
          <cell r="B76">
            <v>0.95379537953795379</v>
          </cell>
          <cell r="C76">
            <v>1.218408736349454</v>
          </cell>
          <cell r="D76">
            <v>0.83458646616541354</v>
          </cell>
          <cell r="E76">
            <v>1.1543624161073827</v>
          </cell>
          <cell r="F76">
            <v>1.1883720930232557</v>
          </cell>
          <cell r="G76">
            <v>1.2727272727272727</v>
          </cell>
        </row>
        <row r="77">
          <cell r="A77">
            <v>35565</v>
          </cell>
          <cell r="B77">
            <v>0.96039603960396036</v>
          </cell>
          <cell r="C77">
            <v>1.2090483619344774</v>
          </cell>
          <cell r="D77">
            <v>0.83834586466165417</v>
          </cell>
          <cell r="E77">
            <v>1.1610738255033557</v>
          </cell>
          <cell r="F77">
            <v>1.1744186046511629</v>
          </cell>
          <cell r="G77">
            <v>1.2840909090909092</v>
          </cell>
        </row>
        <row r="78">
          <cell r="A78">
            <v>35566</v>
          </cell>
          <cell r="B78">
            <v>0.97029702970297027</v>
          </cell>
          <cell r="C78">
            <v>1.1825273010920436</v>
          </cell>
          <cell r="D78">
            <v>0.83834586466165417</v>
          </cell>
          <cell r="E78">
            <v>1.1409395973154361</v>
          </cell>
          <cell r="F78">
            <v>1.1790697674418604</v>
          </cell>
          <cell r="G78">
            <v>1.2840909090909092</v>
          </cell>
        </row>
        <row r="79">
          <cell r="A79">
            <v>35569</v>
          </cell>
          <cell r="B79">
            <v>0.97854785478547857</v>
          </cell>
          <cell r="C79">
            <v>1.204368174726989</v>
          </cell>
          <cell r="D79">
            <v>0.84210526315789469</v>
          </cell>
          <cell r="E79">
            <v>1.1610738255033557</v>
          </cell>
          <cell r="F79">
            <v>1.2186046511627906</v>
          </cell>
          <cell r="G79">
            <v>1.2840909090909092</v>
          </cell>
        </row>
        <row r="80">
          <cell r="A80">
            <v>35570</v>
          </cell>
          <cell r="B80">
            <v>0.98679867986798675</v>
          </cell>
          <cell r="C80">
            <v>1.204368174726989</v>
          </cell>
          <cell r="D80">
            <v>0.83834586466165417</v>
          </cell>
          <cell r="E80">
            <v>1.1677852348993289</v>
          </cell>
          <cell r="F80">
            <v>1.2488372093023257</v>
          </cell>
          <cell r="G80">
            <v>1.2840909090909092</v>
          </cell>
        </row>
        <row r="81">
          <cell r="A81">
            <v>35571</v>
          </cell>
          <cell r="B81">
            <v>0.98514851485148514</v>
          </cell>
          <cell r="C81">
            <v>1.1778471138845554</v>
          </cell>
          <cell r="D81">
            <v>0.84586466165413532</v>
          </cell>
          <cell r="E81">
            <v>1.1409395973154361</v>
          </cell>
          <cell r="F81">
            <v>1.2244186046511627</v>
          </cell>
          <cell r="G81">
            <v>1.2840909090909092</v>
          </cell>
        </row>
        <row r="82">
          <cell r="A82">
            <v>35572</v>
          </cell>
          <cell r="B82">
            <v>1.0148514851485149</v>
          </cell>
          <cell r="C82">
            <v>1.1825273010920436</v>
          </cell>
          <cell r="D82">
            <v>0.84962406015037595</v>
          </cell>
          <cell r="E82">
            <v>1.1342281879194631</v>
          </cell>
          <cell r="F82">
            <v>1.2116279069767442</v>
          </cell>
          <cell r="G82">
            <v>1.3068181818181819</v>
          </cell>
        </row>
        <row r="83">
          <cell r="A83">
            <v>35573</v>
          </cell>
          <cell r="B83">
            <v>1.0066006600660067</v>
          </cell>
          <cell r="C83">
            <v>1.1887675507020281</v>
          </cell>
          <cell r="D83">
            <v>0.8571428571428571</v>
          </cell>
          <cell r="E83">
            <v>1.1677852348993289</v>
          </cell>
          <cell r="F83">
            <v>1.2116279069767442</v>
          </cell>
          <cell r="G83">
            <v>1.2954545454545454</v>
          </cell>
        </row>
        <row r="84">
          <cell r="A84">
            <v>35576</v>
          </cell>
          <cell r="B84">
            <v>1.0066006600660067</v>
          </cell>
          <cell r="C84">
            <v>1.1887675507020281</v>
          </cell>
          <cell r="D84">
            <v>0.8571428571428571</v>
          </cell>
          <cell r="E84">
            <v>1.1677852348993289</v>
          </cell>
          <cell r="F84">
            <v>1.2116279069767442</v>
          </cell>
          <cell r="G84">
            <v>1.2954545454545454</v>
          </cell>
        </row>
        <row r="85">
          <cell r="A85">
            <v>35577</v>
          </cell>
          <cell r="B85">
            <v>1.0066006600660067</v>
          </cell>
          <cell r="C85">
            <v>1.1903276131045242</v>
          </cell>
          <cell r="D85">
            <v>0.8721804511278195</v>
          </cell>
          <cell r="E85">
            <v>1.1543624161073827</v>
          </cell>
          <cell r="F85">
            <v>1.2232558139534884</v>
          </cell>
          <cell r="G85">
            <v>1.3068181818181819</v>
          </cell>
        </row>
        <row r="86">
          <cell r="A86">
            <v>35578</v>
          </cell>
          <cell r="B86">
            <v>1.0066006600660067</v>
          </cell>
          <cell r="C86">
            <v>1.1825273010920436</v>
          </cell>
          <cell r="D86">
            <v>0.88345864661654139</v>
          </cell>
          <cell r="E86">
            <v>1.1342281879194631</v>
          </cell>
          <cell r="F86">
            <v>1.2093023255813953</v>
          </cell>
          <cell r="G86">
            <v>1.3068181818181819</v>
          </cell>
        </row>
        <row r="87">
          <cell r="A87">
            <v>35579</v>
          </cell>
          <cell r="B87">
            <v>1.0297029702970297</v>
          </cell>
          <cell r="C87">
            <v>1.1965678627145087</v>
          </cell>
          <cell r="D87">
            <v>0.86842105263157898</v>
          </cell>
          <cell r="E87">
            <v>1.1543624161073827</v>
          </cell>
          <cell r="F87">
            <v>1.2116279069767442</v>
          </cell>
          <cell r="G87">
            <v>1.3068181818181819</v>
          </cell>
        </row>
        <row r="88">
          <cell r="A88">
            <v>35580</v>
          </cell>
          <cell r="B88">
            <v>1.0462046204620461</v>
          </cell>
          <cell r="C88">
            <v>1.2605304212168487</v>
          </cell>
          <cell r="D88">
            <v>0.89849624060150379</v>
          </cell>
          <cell r="E88">
            <v>1.2214765100671141</v>
          </cell>
          <cell r="F88">
            <v>1.3116279069767443</v>
          </cell>
          <cell r="G88">
            <v>1.3181818181818181</v>
          </cell>
        </row>
        <row r="89">
          <cell r="A89">
            <v>35583</v>
          </cell>
          <cell r="B89">
            <v>1.0511551155115511</v>
          </cell>
          <cell r="C89">
            <v>1.2480499219968799</v>
          </cell>
          <cell r="D89">
            <v>0.90225563909774431</v>
          </cell>
          <cell r="E89">
            <v>1.2483221476510067</v>
          </cell>
          <cell r="F89">
            <v>1.344186046511628</v>
          </cell>
          <cell r="G89">
            <v>1.3068181818181819</v>
          </cell>
        </row>
        <row r="90">
          <cell r="A90">
            <v>35584</v>
          </cell>
          <cell r="B90">
            <v>1.056105610561056</v>
          </cell>
          <cell r="C90">
            <v>1.2371294851794072</v>
          </cell>
          <cell r="D90">
            <v>0.92481203007518797</v>
          </cell>
          <cell r="E90">
            <v>1.2684563758389262</v>
          </cell>
          <cell r="F90">
            <v>1.35</v>
          </cell>
          <cell r="G90">
            <v>1.3068181818181819</v>
          </cell>
        </row>
        <row r="91">
          <cell r="A91">
            <v>35585</v>
          </cell>
          <cell r="B91">
            <v>1.0833333333333333</v>
          </cell>
          <cell r="C91">
            <v>1.2605304212168487</v>
          </cell>
          <cell r="D91">
            <v>0.9135338345864662</v>
          </cell>
          <cell r="E91">
            <v>1.2483221476510067</v>
          </cell>
          <cell r="F91">
            <v>1.3779069767441861</v>
          </cell>
          <cell r="G91">
            <v>1.3181818181818181</v>
          </cell>
        </row>
        <row r="92">
          <cell r="A92">
            <v>35586</v>
          </cell>
          <cell r="B92">
            <v>1.0891089108910892</v>
          </cell>
          <cell r="C92">
            <v>1.2854914196567864</v>
          </cell>
          <cell r="D92">
            <v>0.90977443609022557</v>
          </cell>
          <cell r="E92">
            <v>1.2550335570469799</v>
          </cell>
          <cell r="F92">
            <v>1.3395348837209302</v>
          </cell>
          <cell r="G92">
            <v>1.3068181818181819</v>
          </cell>
        </row>
        <row r="93">
          <cell r="A93">
            <v>35587</v>
          </cell>
          <cell r="B93">
            <v>1.0726072607260726</v>
          </cell>
          <cell r="C93">
            <v>1.313572542901716</v>
          </cell>
          <cell r="D93">
            <v>0.93233082706766912</v>
          </cell>
          <cell r="E93">
            <v>1.2416107382550337</v>
          </cell>
          <cell r="F93">
            <v>1.3162790697674418</v>
          </cell>
          <cell r="G93">
            <v>1.3068181818181819</v>
          </cell>
        </row>
        <row r="94">
          <cell r="A94">
            <v>35590</v>
          </cell>
          <cell r="B94">
            <v>1.0874587458745875</v>
          </cell>
          <cell r="C94">
            <v>1.3494539781591264</v>
          </cell>
          <cell r="D94">
            <v>0.94360902255639101</v>
          </cell>
          <cell r="E94">
            <v>1.2818791946308725</v>
          </cell>
          <cell r="F94">
            <v>1.3523255813953488</v>
          </cell>
          <cell r="G94">
            <v>1.3068181818181819</v>
          </cell>
        </row>
        <row r="95">
          <cell r="A95">
            <v>35591</v>
          </cell>
          <cell r="B95">
            <v>1.0808580858085808</v>
          </cell>
          <cell r="C95">
            <v>1.3416536661466458</v>
          </cell>
          <cell r="D95">
            <v>0.96240601503759393</v>
          </cell>
          <cell r="E95">
            <v>1.3020134228187918</v>
          </cell>
          <cell r="F95">
            <v>1.3383720930232559</v>
          </cell>
          <cell r="G95">
            <v>1.3295454545454546</v>
          </cell>
        </row>
        <row r="96">
          <cell r="A96">
            <v>35592</v>
          </cell>
          <cell r="B96">
            <v>1.1105610561056105</v>
          </cell>
          <cell r="C96">
            <v>1.3541341653666146</v>
          </cell>
          <cell r="D96">
            <v>0.98496240601503759</v>
          </cell>
          <cell r="E96">
            <v>1.2953020134228188</v>
          </cell>
          <cell r="F96">
            <v>1.3395348837209302</v>
          </cell>
          <cell r="G96">
            <v>1.3181818181818181</v>
          </cell>
        </row>
        <row r="97">
          <cell r="A97">
            <v>35593</v>
          </cell>
          <cell r="B97">
            <v>1.1468646864686469</v>
          </cell>
          <cell r="C97">
            <v>1.3884555382215289</v>
          </cell>
          <cell r="D97">
            <v>0.96992481203007519</v>
          </cell>
          <cell r="E97">
            <v>1.2818791946308725</v>
          </cell>
          <cell r="F97">
            <v>1.3209302325581396</v>
          </cell>
          <cell r="G97">
            <v>1.3181818181818181</v>
          </cell>
        </row>
        <row r="98">
          <cell r="A98">
            <v>35594</v>
          </cell>
          <cell r="B98">
            <v>1.1534653465346534</v>
          </cell>
          <cell r="C98">
            <v>1.4071762870514821</v>
          </cell>
          <cell r="D98">
            <v>0.97744360902255634</v>
          </cell>
          <cell r="E98">
            <v>1.3020134228187918</v>
          </cell>
          <cell r="F98">
            <v>1.3186046511627907</v>
          </cell>
          <cell r="G98">
            <v>1.3181818181818181</v>
          </cell>
        </row>
        <row r="99">
          <cell r="A99">
            <v>35597</v>
          </cell>
          <cell r="B99">
            <v>1.136138613861386</v>
          </cell>
          <cell r="C99">
            <v>1.3666146645865835</v>
          </cell>
          <cell r="D99">
            <v>0.96240601503759393</v>
          </cell>
          <cell r="E99">
            <v>1.2751677852348993</v>
          </cell>
          <cell r="F99">
            <v>1.2872093023255815</v>
          </cell>
          <cell r="G99">
            <v>1.3181818181818181</v>
          </cell>
        </row>
        <row r="100">
          <cell r="A100">
            <v>35598</v>
          </cell>
          <cell r="B100">
            <v>1.1303630363036303</v>
          </cell>
          <cell r="C100">
            <v>1.3650546021840875</v>
          </cell>
          <cell r="D100">
            <v>0.93984962406015038</v>
          </cell>
          <cell r="E100">
            <v>1.2818791946308725</v>
          </cell>
          <cell r="F100">
            <v>1.286046511627907</v>
          </cell>
          <cell r="G100">
            <v>1.3181818181818181</v>
          </cell>
        </row>
        <row r="101">
          <cell r="A101">
            <v>35599</v>
          </cell>
          <cell r="B101">
            <v>1.0973597359735974</v>
          </cell>
          <cell r="C101">
            <v>1.3338533541341653</v>
          </cell>
          <cell r="D101">
            <v>0.94360902255639101</v>
          </cell>
          <cell r="E101">
            <v>1.2751677852348993</v>
          </cell>
          <cell r="F101">
            <v>1.2790697674418605</v>
          </cell>
          <cell r="G101">
            <v>1.3181818181818181</v>
          </cell>
        </row>
        <row r="102">
          <cell r="A102">
            <v>35600</v>
          </cell>
          <cell r="B102">
            <v>1.1171617161716172</v>
          </cell>
          <cell r="C102">
            <v>1.3634945397815912</v>
          </cell>
          <cell r="D102">
            <v>0.97744360902255634</v>
          </cell>
          <cell r="E102">
            <v>1.2885906040268456</v>
          </cell>
          <cell r="F102">
            <v>1.3813953488372093</v>
          </cell>
          <cell r="G102">
            <v>1.3295454545454546</v>
          </cell>
        </row>
        <row r="103">
          <cell r="A103">
            <v>35601</v>
          </cell>
          <cell r="B103">
            <v>1.1320132013201321</v>
          </cell>
          <cell r="C103">
            <v>1.3494539781591264</v>
          </cell>
          <cell r="D103">
            <v>0.98496240601503759</v>
          </cell>
          <cell r="E103">
            <v>1.2751677852348993</v>
          </cell>
          <cell r="F103">
            <v>1.3651162790697675</v>
          </cell>
          <cell r="G103">
            <v>1.3295454545454546</v>
          </cell>
        </row>
        <row r="104">
          <cell r="A104">
            <v>35604</v>
          </cell>
          <cell r="B104">
            <v>1.1287128712871286</v>
          </cell>
          <cell r="C104">
            <v>1.3354134165366616</v>
          </cell>
          <cell r="D104">
            <v>0.97368421052631582</v>
          </cell>
          <cell r="E104">
            <v>1.2550335570469799</v>
          </cell>
          <cell r="F104">
            <v>1.3616279069767443</v>
          </cell>
          <cell r="G104">
            <v>1.3295454545454546</v>
          </cell>
        </row>
        <row r="105">
          <cell r="A105">
            <v>35605</v>
          </cell>
          <cell r="B105">
            <v>0.88118811881188119</v>
          </cell>
          <cell r="C105">
            <v>1.3494539781591264</v>
          </cell>
          <cell r="D105">
            <v>0.94736842105263153</v>
          </cell>
          <cell r="E105">
            <v>1.2483221476510067</v>
          </cell>
          <cell r="F105">
            <v>1.3651162790697675</v>
          </cell>
          <cell r="G105">
            <v>1.3295454545454546</v>
          </cell>
        </row>
        <row r="106">
          <cell r="A106">
            <v>35606</v>
          </cell>
          <cell r="B106">
            <v>0.92409240924092406</v>
          </cell>
          <cell r="C106">
            <v>1.3361934477379096</v>
          </cell>
          <cell r="D106">
            <v>0.94360902255639101</v>
          </cell>
          <cell r="E106">
            <v>1.2449664429530201</v>
          </cell>
          <cell r="F106">
            <v>1.3813953488372093</v>
          </cell>
          <cell r="G106">
            <v>1.3295454545454546</v>
          </cell>
        </row>
        <row r="107">
          <cell r="A107">
            <v>35607</v>
          </cell>
          <cell r="B107">
            <v>0.91171617161716167</v>
          </cell>
          <cell r="C107">
            <v>1.3299531981279251</v>
          </cell>
          <cell r="D107">
            <v>0.93609022556390975</v>
          </cell>
          <cell r="E107">
            <v>1.2315436241610738</v>
          </cell>
          <cell r="F107">
            <v>1.3744186046511628</v>
          </cell>
          <cell r="G107">
            <v>1.3238636363636365</v>
          </cell>
        </row>
        <row r="108">
          <cell r="A108">
            <v>35608</v>
          </cell>
          <cell r="B108">
            <v>0.83003300330033003</v>
          </cell>
          <cell r="C108">
            <v>1.2971918876755071</v>
          </cell>
          <cell r="D108">
            <v>0.93984962406015038</v>
          </cell>
          <cell r="E108">
            <v>1.2281879194630871</v>
          </cell>
          <cell r="F108">
            <v>1.3581395348837209</v>
          </cell>
          <cell r="G108">
            <v>1.3295454545454546</v>
          </cell>
        </row>
        <row r="109">
          <cell r="A109">
            <v>35611</v>
          </cell>
          <cell r="B109">
            <v>0.84323432343234328</v>
          </cell>
          <cell r="C109">
            <v>1.2776911076443058</v>
          </cell>
          <cell r="D109">
            <v>0.91165413533834583</v>
          </cell>
          <cell r="E109">
            <v>1.2416107382550337</v>
          </cell>
          <cell r="F109">
            <v>1.3348837209302327</v>
          </cell>
          <cell r="G109">
            <v>1.3295454545454546</v>
          </cell>
        </row>
        <row r="110">
          <cell r="A110">
            <v>35612</v>
          </cell>
          <cell r="B110">
            <v>0.84818481848184824</v>
          </cell>
          <cell r="C110">
            <v>1.2761310452418098</v>
          </cell>
          <cell r="D110">
            <v>0.9285714285714286</v>
          </cell>
          <cell r="E110">
            <v>1.238255033557047</v>
          </cell>
          <cell r="F110">
            <v>1.3837209302325582</v>
          </cell>
          <cell r="G110">
            <v>1.3295454545454546</v>
          </cell>
        </row>
        <row r="111">
          <cell r="A111">
            <v>35613</v>
          </cell>
          <cell r="B111">
            <v>0.8366336633663366</v>
          </cell>
          <cell r="C111">
            <v>1.2901716068642746</v>
          </cell>
          <cell r="D111">
            <v>0.9285714285714286</v>
          </cell>
          <cell r="E111">
            <v>1.2449664429530201</v>
          </cell>
          <cell r="F111">
            <v>1.4116279069767441</v>
          </cell>
          <cell r="G111">
            <v>1.3181818181818181</v>
          </cell>
        </row>
        <row r="112">
          <cell r="A112">
            <v>35614</v>
          </cell>
          <cell r="B112">
            <v>0.84570957095709576</v>
          </cell>
          <cell r="C112">
            <v>1.3151326053042123</v>
          </cell>
          <cell r="D112">
            <v>0.93421052631578949</v>
          </cell>
          <cell r="E112">
            <v>1.2348993288590604</v>
          </cell>
          <cell r="F112">
            <v>1.4290697674418604</v>
          </cell>
          <cell r="G112">
            <v>1.3125</v>
          </cell>
        </row>
        <row r="113">
          <cell r="A113">
            <v>35615</v>
          </cell>
          <cell r="B113">
            <v>0.84570957095709576</v>
          </cell>
          <cell r="C113">
            <v>1.3151326053042123</v>
          </cell>
          <cell r="D113">
            <v>0.93421052631578949</v>
          </cell>
          <cell r="E113">
            <v>1.2348993288590604</v>
          </cell>
          <cell r="F113">
            <v>1.4290697674418604</v>
          </cell>
          <cell r="G113">
            <v>1.3125</v>
          </cell>
        </row>
        <row r="114">
          <cell r="A114">
            <v>35618</v>
          </cell>
          <cell r="B114">
            <v>0.84158415841584155</v>
          </cell>
          <cell r="C114">
            <v>1.3018720748829953</v>
          </cell>
          <cell r="D114">
            <v>0.93984962406015038</v>
          </cell>
          <cell r="E114">
            <v>1.238255033557047</v>
          </cell>
          <cell r="F114">
            <v>1.4162790697674419</v>
          </cell>
          <cell r="G114">
            <v>1.3181818181818181</v>
          </cell>
        </row>
        <row r="115">
          <cell r="A115">
            <v>35619</v>
          </cell>
          <cell r="B115">
            <v>0.85808580858085803</v>
          </cell>
          <cell r="C115">
            <v>1.3112324492979719</v>
          </cell>
          <cell r="D115">
            <v>0.9285714285714286</v>
          </cell>
          <cell r="E115">
            <v>1.2315436241610738</v>
          </cell>
          <cell r="F115">
            <v>1.4953488372093022</v>
          </cell>
          <cell r="G115">
            <v>1.3181818181818181</v>
          </cell>
        </row>
        <row r="116">
          <cell r="A116">
            <v>35620</v>
          </cell>
          <cell r="B116">
            <v>0.86303630363036299</v>
          </cell>
          <cell r="C116">
            <v>1.2893915756630265</v>
          </cell>
          <cell r="D116">
            <v>0.90977443609022557</v>
          </cell>
          <cell r="E116">
            <v>1.2348993288590604</v>
          </cell>
          <cell r="F116">
            <v>1.4441860465116279</v>
          </cell>
          <cell r="G116">
            <v>1.3295454545454546</v>
          </cell>
        </row>
        <row r="117">
          <cell r="A117">
            <v>35621</v>
          </cell>
          <cell r="B117">
            <v>0.86138613861386137</v>
          </cell>
          <cell r="C117">
            <v>1.2901716068642746</v>
          </cell>
          <cell r="D117">
            <v>0.91917293233082709</v>
          </cell>
          <cell r="E117">
            <v>1.261744966442953</v>
          </cell>
          <cell r="F117">
            <v>1.4744186046511627</v>
          </cell>
          <cell r="G117">
            <v>1.3295454545454546</v>
          </cell>
        </row>
        <row r="118">
          <cell r="A118">
            <v>35622</v>
          </cell>
          <cell r="B118">
            <v>0.83333333333333337</v>
          </cell>
          <cell r="C118">
            <v>1.3096723868954758</v>
          </cell>
          <cell r="D118">
            <v>0.9135338345864662</v>
          </cell>
          <cell r="E118">
            <v>1.2751677852348993</v>
          </cell>
          <cell r="F118">
            <v>1.5069767441860464</v>
          </cell>
          <cell r="G118">
            <v>1.3181818181818181</v>
          </cell>
        </row>
        <row r="119">
          <cell r="A119">
            <v>35625</v>
          </cell>
          <cell r="B119">
            <v>0.84818481848184824</v>
          </cell>
          <cell r="C119">
            <v>1.3010920436817472</v>
          </cell>
          <cell r="D119">
            <v>0.92293233082706772</v>
          </cell>
          <cell r="E119">
            <v>1.261744966442953</v>
          </cell>
          <cell r="F119">
            <v>1.4697674418604652</v>
          </cell>
          <cell r="G119">
            <v>1.3295454545454546</v>
          </cell>
        </row>
        <row r="120">
          <cell r="A120">
            <v>35626</v>
          </cell>
          <cell r="B120">
            <v>0.85231023102310233</v>
          </cell>
          <cell r="C120">
            <v>1.3042121684867394</v>
          </cell>
          <cell r="D120">
            <v>0.93045112781954886</v>
          </cell>
          <cell r="E120">
            <v>1.2651006711409396</v>
          </cell>
          <cell r="F120">
            <v>1.5139534883720931</v>
          </cell>
          <cell r="G120">
            <v>1.3181818181818181</v>
          </cell>
        </row>
        <row r="121">
          <cell r="A121">
            <v>35627</v>
          </cell>
          <cell r="B121">
            <v>0.84983498349834985</v>
          </cell>
          <cell r="C121">
            <v>1.3424336973478939</v>
          </cell>
          <cell r="D121">
            <v>0.9135338345864662</v>
          </cell>
          <cell r="E121">
            <v>1.2885906040268456</v>
          </cell>
          <cell r="F121">
            <v>1.569767441860465</v>
          </cell>
          <cell r="G121">
            <v>1.2954545454545454</v>
          </cell>
        </row>
        <row r="122">
          <cell r="A122">
            <v>35628</v>
          </cell>
          <cell r="B122">
            <v>0.85313531353135319</v>
          </cell>
          <cell r="C122">
            <v>1.3338533541341653</v>
          </cell>
          <cell r="D122">
            <v>0.91541353383458646</v>
          </cell>
          <cell r="E122">
            <v>1.2684563758389262</v>
          </cell>
          <cell r="F122">
            <v>1.6069767441860465</v>
          </cell>
          <cell r="G122">
            <v>1.3068181818181819</v>
          </cell>
        </row>
        <row r="123">
          <cell r="A123">
            <v>35629</v>
          </cell>
          <cell r="B123">
            <v>0.84653465346534651</v>
          </cell>
          <cell r="C123">
            <v>1.3018720748829953</v>
          </cell>
          <cell r="D123">
            <v>0.91541353383458646</v>
          </cell>
          <cell r="E123">
            <v>1.2583892617449663</v>
          </cell>
          <cell r="F123">
            <v>1.6046511627906976</v>
          </cell>
          <cell r="G123">
            <v>1.2954545454545454</v>
          </cell>
        </row>
        <row r="124">
          <cell r="A124">
            <v>35632</v>
          </cell>
          <cell r="B124">
            <v>0.83993399339933994</v>
          </cell>
          <cell r="C124">
            <v>1.3252730109204369</v>
          </cell>
          <cell r="D124">
            <v>0.90037593984962405</v>
          </cell>
          <cell r="E124">
            <v>1.2483221476510067</v>
          </cell>
          <cell r="F124">
            <v>1.5488372093023255</v>
          </cell>
          <cell r="G124">
            <v>1.3125</v>
          </cell>
        </row>
        <row r="125">
          <cell r="A125">
            <v>35633</v>
          </cell>
          <cell r="B125">
            <v>0.84488448844884489</v>
          </cell>
          <cell r="C125">
            <v>1.3400936037441498</v>
          </cell>
          <cell r="D125">
            <v>0.90413533834586468</v>
          </cell>
          <cell r="E125">
            <v>1.2751677852348993</v>
          </cell>
          <cell r="F125">
            <v>1.5813953488372092</v>
          </cell>
          <cell r="G125">
            <v>1.3238636363636365</v>
          </cell>
        </row>
        <row r="126">
          <cell r="A126">
            <v>35634</v>
          </cell>
          <cell r="B126">
            <v>0.84158415841584155</v>
          </cell>
          <cell r="C126">
            <v>1.3837753510140405</v>
          </cell>
          <cell r="D126">
            <v>0.90601503759398494</v>
          </cell>
          <cell r="E126">
            <v>1.2483221476510067</v>
          </cell>
          <cell r="F126">
            <v>1.5930232558139534</v>
          </cell>
          <cell r="G126">
            <v>1.3238636363636365</v>
          </cell>
        </row>
        <row r="127">
          <cell r="A127">
            <v>35635</v>
          </cell>
          <cell r="B127">
            <v>0.86551155115511547</v>
          </cell>
          <cell r="C127">
            <v>1.43603744149766</v>
          </cell>
          <cell r="D127">
            <v>0.95676691729323304</v>
          </cell>
          <cell r="E127">
            <v>1.3154362416107384</v>
          </cell>
          <cell r="F127">
            <v>1.6279069767441861</v>
          </cell>
          <cell r="G127">
            <v>1.3238636363636365</v>
          </cell>
        </row>
        <row r="128">
          <cell r="A128">
            <v>35636</v>
          </cell>
          <cell r="B128">
            <v>0.86963696369636967</v>
          </cell>
          <cell r="C128">
            <v>1.4056162246489861</v>
          </cell>
          <cell r="D128">
            <v>0.9285714285714286</v>
          </cell>
          <cell r="E128">
            <v>1.2651006711409396</v>
          </cell>
          <cell r="F128">
            <v>1.5837209302325581</v>
          </cell>
          <cell r="G128">
            <v>1.3238636363636365</v>
          </cell>
        </row>
        <row r="129">
          <cell r="A129">
            <v>35639</v>
          </cell>
          <cell r="B129">
            <v>0.85643564356435642</v>
          </cell>
          <cell r="C129">
            <v>1.3759750390015602</v>
          </cell>
          <cell r="D129">
            <v>0.9285714285714286</v>
          </cell>
          <cell r="E129">
            <v>1.2416107382550337</v>
          </cell>
          <cell r="F129">
            <v>1.5418604651162791</v>
          </cell>
          <cell r="G129">
            <v>1.3181818181818181</v>
          </cell>
        </row>
        <row r="130">
          <cell r="A130">
            <v>35640</v>
          </cell>
          <cell r="B130">
            <v>0.8729372937293729</v>
          </cell>
          <cell r="C130">
            <v>1.4149765990639624</v>
          </cell>
          <cell r="D130">
            <v>0.94360902255639101</v>
          </cell>
          <cell r="E130">
            <v>1.2550335570469799</v>
          </cell>
          <cell r="F130">
            <v>1.5441860465116279</v>
          </cell>
          <cell r="G130">
            <v>1.3125</v>
          </cell>
        </row>
        <row r="131">
          <cell r="A131">
            <v>35641</v>
          </cell>
          <cell r="B131">
            <v>0.9455445544554455</v>
          </cell>
          <cell r="C131">
            <v>1.4266770670826834</v>
          </cell>
          <cell r="D131">
            <v>0.96804511278195493</v>
          </cell>
          <cell r="E131">
            <v>1.2751677852348993</v>
          </cell>
          <cell r="F131">
            <v>1.5767441860465117</v>
          </cell>
          <cell r="G131">
            <v>1.3181818181818181</v>
          </cell>
        </row>
        <row r="132">
          <cell r="A132">
            <v>35642</v>
          </cell>
          <cell r="B132">
            <v>0.93399339933993397</v>
          </cell>
          <cell r="C132">
            <v>1.421996879875195</v>
          </cell>
          <cell r="D132">
            <v>0.97368421052631582</v>
          </cell>
          <cell r="E132">
            <v>1.3087248322147651</v>
          </cell>
          <cell r="F132">
            <v>1.5639534883720929</v>
          </cell>
          <cell r="G132">
            <v>1.3181818181818181</v>
          </cell>
        </row>
        <row r="133">
          <cell r="A133">
            <v>35643</v>
          </cell>
          <cell r="B133">
            <v>0.8910891089108911</v>
          </cell>
          <cell r="C133">
            <v>1.422776911076443</v>
          </cell>
          <cell r="D133">
            <v>0.96240601503759393</v>
          </cell>
          <cell r="E133">
            <v>1.2852348993288591</v>
          </cell>
          <cell r="F133">
            <v>1.5488372093023255</v>
          </cell>
          <cell r="G133">
            <v>1.3181818181818181</v>
          </cell>
        </row>
        <row r="134">
          <cell r="A134">
            <v>35646</v>
          </cell>
          <cell r="B134">
            <v>0.90594059405940597</v>
          </cell>
          <cell r="C134">
            <v>1.4602184087363494</v>
          </cell>
          <cell r="D134">
            <v>0.99436090225563911</v>
          </cell>
          <cell r="E134">
            <v>1.3087248322147651</v>
          </cell>
          <cell r="F134">
            <v>1.5965116279069766</v>
          </cell>
          <cell r="G134">
            <v>1.3181818181818181</v>
          </cell>
        </row>
        <row r="135">
          <cell r="A135">
            <v>35647</v>
          </cell>
          <cell r="B135">
            <v>0.8952145214521452</v>
          </cell>
          <cell r="C135">
            <v>1.282371294851794</v>
          </cell>
          <cell r="D135">
            <v>0.97556390977443608</v>
          </cell>
          <cell r="E135">
            <v>1.2885906040268456</v>
          </cell>
          <cell r="F135">
            <v>1.527906976744186</v>
          </cell>
          <cell r="G135">
            <v>1.3238636363636365</v>
          </cell>
        </row>
        <row r="136">
          <cell r="A136">
            <v>35648</v>
          </cell>
          <cell r="B136">
            <v>0.8910891089108911</v>
          </cell>
          <cell r="C136">
            <v>1.2730109204368174</v>
          </cell>
          <cell r="D136">
            <v>0.94736842105263153</v>
          </cell>
          <cell r="E136">
            <v>1.3154362416107384</v>
          </cell>
          <cell r="F136">
            <v>1.4744186046511627</v>
          </cell>
          <cell r="G136">
            <v>1.3125</v>
          </cell>
        </row>
        <row r="137">
          <cell r="A137">
            <v>35649</v>
          </cell>
          <cell r="B137">
            <v>0.88778877887788776</v>
          </cell>
          <cell r="C137">
            <v>1.2074882995319813</v>
          </cell>
          <cell r="D137">
            <v>0.91165413533834583</v>
          </cell>
          <cell r="E137">
            <v>1.2751677852348993</v>
          </cell>
          <cell r="F137">
            <v>1.3767441860465117</v>
          </cell>
          <cell r="G137">
            <v>1.2954545454545454</v>
          </cell>
        </row>
        <row r="138">
          <cell r="A138">
            <v>35650</v>
          </cell>
          <cell r="B138">
            <v>0.91089108910891092</v>
          </cell>
          <cell r="C138">
            <v>1.218408736349454</v>
          </cell>
          <cell r="D138">
            <v>0.91729323308270672</v>
          </cell>
          <cell r="E138">
            <v>1.2583892617449663</v>
          </cell>
          <cell r="F138">
            <v>1.3767441860465117</v>
          </cell>
          <cell r="G138">
            <v>1.3125</v>
          </cell>
        </row>
        <row r="139">
          <cell r="A139">
            <v>35653</v>
          </cell>
          <cell r="B139">
            <v>0.91749174917491749</v>
          </cell>
          <cell r="C139">
            <v>1.2199687987519501</v>
          </cell>
          <cell r="D139">
            <v>0.9135338345864662</v>
          </cell>
          <cell r="E139">
            <v>1.2818791946308725</v>
          </cell>
          <cell r="F139">
            <v>1.3813953488372093</v>
          </cell>
          <cell r="G139">
            <v>1.3295454545454546</v>
          </cell>
        </row>
        <row r="140">
          <cell r="A140">
            <v>35654</v>
          </cell>
          <cell r="B140">
            <v>0.91254125412541254</v>
          </cell>
          <cell r="C140">
            <v>1.217628705148206</v>
          </cell>
          <cell r="D140">
            <v>0.90789473684210531</v>
          </cell>
          <cell r="E140">
            <v>1.2550335570469799</v>
          </cell>
          <cell r="F140">
            <v>1.386046511627907</v>
          </cell>
          <cell r="G140">
            <v>1.3295454545454546</v>
          </cell>
        </row>
        <row r="141">
          <cell r="A141">
            <v>35655</v>
          </cell>
          <cell r="B141">
            <v>0.93399339933993397</v>
          </cell>
          <cell r="C141">
            <v>1.2012480499219969</v>
          </cell>
          <cell r="D141">
            <v>0.9135338345864662</v>
          </cell>
          <cell r="E141">
            <v>1.2248322147651007</v>
          </cell>
          <cell r="F141">
            <v>1.3558139534883722</v>
          </cell>
          <cell r="G141">
            <v>1.3295454545454546</v>
          </cell>
        </row>
        <row r="142">
          <cell r="A142">
            <v>35656</v>
          </cell>
          <cell r="B142">
            <v>0.95132013201320131</v>
          </cell>
          <cell r="C142">
            <v>1.2082683307332294</v>
          </cell>
          <cell r="D142">
            <v>0.9135338345864662</v>
          </cell>
          <cell r="E142">
            <v>1.2483221476510067</v>
          </cell>
          <cell r="F142">
            <v>1.3953488372093024</v>
          </cell>
          <cell r="G142">
            <v>1.3295454545454546</v>
          </cell>
        </row>
        <row r="143">
          <cell r="A143">
            <v>35657</v>
          </cell>
          <cell r="B143">
            <v>0.94884488448844884</v>
          </cell>
          <cell r="C143">
            <v>1.1950078003120126</v>
          </cell>
          <cell r="D143">
            <v>0.90977443609022557</v>
          </cell>
          <cell r="E143">
            <v>1.2684563758389262</v>
          </cell>
          <cell r="F143">
            <v>1.4</v>
          </cell>
          <cell r="G143">
            <v>1.3295454545454546</v>
          </cell>
        </row>
        <row r="144">
          <cell r="A144">
            <v>35660</v>
          </cell>
          <cell r="B144">
            <v>0.9356435643564357</v>
          </cell>
          <cell r="C144">
            <v>1.1895475819032761</v>
          </cell>
          <cell r="D144">
            <v>0.90601503759398494</v>
          </cell>
          <cell r="E144">
            <v>1.2651006711409396</v>
          </cell>
          <cell r="F144">
            <v>1.413953488372093</v>
          </cell>
          <cell r="G144">
            <v>1.3352272727272727</v>
          </cell>
        </row>
        <row r="145">
          <cell r="A145">
            <v>35661</v>
          </cell>
          <cell r="B145">
            <v>0.94224422442244227</v>
          </cell>
          <cell r="C145">
            <v>1.1770670826833074</v>
          </cell>
          <cell r="D145">
            <v>0.92481203007518797</v>
          </cell>
          <cell r="E145">
            <v>1.2986577181208054</v>
          </cell>
          <cell r="F145">
            <v>1.4604651162790698</v>
          </cell>
          <cell r="G145">
            <v>1.3522727272727273</v>
          </cell>
        </row>
        <row r="146">
          <cell r="A146">
            <v>35662</v>
          </cell>
          <cell r="B146">
            <v>0.95049504950495045</v>
          </cell>
          <cell r="C146">
            <v>1.173166926677067</v>
          </cell>
          <cell r="D146">
            <v>0.9135338345864662</v>
          </cell>
          <cell r="E146">
            <v>1.2986577181208054</v>
          </cell>
          <cell r="F146">
            <v>1.4767441860465116</v>
          </cell>
          <cell r="G146">
            <v>1.3522727272727273</v>
          </cell>
        </row>
        <row r="147">
          <cell r="A147">
            <v>35663</v>
          </cell>
          <cell r="B147">
            <v>0.92904290429042902</v>
          </cell>
          <cell r="C147">
            <v>1.1669266770670828</v>
          </cell>
          <cell r="D147">
            <v>0.91165413533834583</v>
          </cell>
          <cell r="E147">
            <v>1.2684563758389262</v>
          </cell>
          <cell r="F147">
            <v>1.4279069767441861</v>
          </cell>
          <cell r="G147">
            <v>1.3522727272727273</v>
          </cell>
        </row>
        <row r="148">
          <cell r="A148">
            <v>35664</v>
          </cell>
          <cell r="B148">
            <v>0.93894389438943893</v>
          </cell>
          <cell r="C148">
            <v>1.1653666146645867</v>
          </cell>
          <cell r="D148">
            <v>0.93984962406015038</v>
          </cell>
          <cell r="E148">
            <v>1.261744966442953</v>
          </cell>
          <cell r="F148">
            <v>1.430232558139535</v>
          </cell>
          <cell r="G148">
            <v>1.3522727272727273</v>
          </cell>
        </row>
        <row r="149">
          <cell r="A149">
            <v>35667</v>
          </cell>
          <cell r="B149">
            <v>0.91584158415841588</v>
          </cell>
          <cell r="C149">
            <v>1.187207488299532</v>
          </cell>
          <cell r="D149">
            <v>0.94548872180451127</v>
          </cell>
          <cell r="E149">
            <v>1.2919463087248322</v>
          </cell>
          <cell r="F149">
            <v>1.4244186046511629</v>
          </cell>
          <cell r="G149">
            <v>1.3465909090909092</v>
          </cell>
        </row>
        <row r="150">
          <cell r="A150">
            <v>35668</v>
          </cell>
          <cell r="B150">
            <v>0.92409240924092406</v>
          </cell>
          <cell r="C150">
            <v>1.1981279251170047</v>
          </cell>
          <cell r="D150">
            <v>0.92669172932330823</v>
          </cell>
          <cell r="E150">
            <v>1.2953020134228188</v>
          </cell>
          <cell r="F150">
            <v>1.4162790697674419</v>
          </cell>
          <cell r="G150">
            <v>1.3465909090909092</v>
          </cell>
        </row>
        <row r="151">
          <cell r="A151">
            <v>35669</v>
          </cell>
          <cell r="B151">
            <v>0.91254125412541254</v>
          </cell>
          <cell r="C151">
            <v>1.2098283931357254</v>
          </cell>
          <cell r="D151">
            <v>0.94736842105263153</v>
          </cell>
          <cell r="E151">
            <v>1.2818791946308725</v>
          </cell>
          <cell r="F151">
            <v>1.3930232558139535</v>
          </cell>
          <cell r="G151">
            <v>1.3522727272727273</v>
          </cell>
        </row>
        <row r="152">
          <cell r="A152">
            <v>35670</v>
          </cell>
          <cell r="B152">
            <v>0.9092409240924092</v>
          </cell>
          <cell r="C152">
            <v>1.1989079563182528</v>
          </cell>
          <cell r="D152">
            <v>0.95864661654135341</v>
          </cell>
          <cell r="E152">
            <v>1.2785234899328859</v>
          </cell>
          <cell r="F152">
            <v>1.3651162790697675</v>
          </cell>
          <cell r="G152">
            <v>1.3522727272727273</v>
          </cell>
        </row>
        <row r="153">
          <cell r="A153">
            <v>35671</v>
          </cell>
          <cell r="B153">
            <v>0.90264026402640263</v>
          </cell>
          <cell r="C153">
            <v>1.1911076443057722</v>
          </cell>
          <cell r="D153">
            <v>0.95676691729323304</v>
          </cell>
          <cell r="E153">
            <v>1.2651006711409396</v>
          </cell>
          <cell r="F153">
            <v>1.3604651162790697</v>
          </cell>
          <cell r="G153">
            <v>1.3522727272727273</v>
          </cell>
        </row>
        <row r="154">
          <cell r="A154">
            <v>35674</v>
          </cell>
          <cell r="B154">
            <v>0.90264026402640263</v>
          </cell>
          <cell r="C154">
            <v>1.1911076443057722</v>
          </cell>
          <cell r="D154">
            <v>0.95676691729323304</v>
          </cell>
          <cell r="E154">
            <v>1.2651006711409396</v>
          </cell>
          <cell r="F154">
            <v>1.3604651162790697</v>
          </cell>
          <cell r="G154">
            <v>1.3522727272727273</v>
          </cell>
        </row>
        <row r="155">
          <cell r="A155">
            <v>35675</v>
          </cell>
          <cell r="B155">
            <v>0.94801980198019797</v>
          </cell>
          <cell r="C155">
            <v>1.2207488299531981</v>
          </cell>
          <cell r="D155">
            <v>0.97368421052631582</v>
          </cell>
          <cell r="E155">
            <v>1.2516778523489933</v>
          </cell>
          <cell r="F155">
            <v>1.3813953488372093</v>
          </cell>
          <cell r="G155">
            <v>1.3579545454545454</v>
          </cell>
        </row>
        <row r="156">
          <cell r="A156">
            <v>35676</v>
          </cell>
          <cell r="B156">
            <v>0.95049504950495045</v>
          </cell>
          <cell r="C156">
            <v>1.2394695787831513</v>
          </cell>
          <cell r="D156">
            <v>0.98872180451127822</v>
          </cell>
          <cell r="E156">
            <v>1.3087248322147651</v>
          </cell>
          <cell r="F156">
            <v>1.4075581395348837</v>
          </cell>
          <cell r="G156">
            <v>1.3636363636363635</v>
          </cell>
        </row>
        <row r="157">
          <cell r="A157">
            <v>35677</v>
          </cell>
          <cell r="B157">
            <v>0.94059405940594054</v>
          </cell>
          <cell r="C157">
            <v>1.2464898595943839</v>
          </cell>
          <cell r="D157">
            <v>0.97744360902255634</v>
          </cell>
          <cell r="E157">
            <v>1.2885906040268456</v>
          </cell>
          <cell r="F157">
            <v>1.4046511627906977</v>
          </cell>
          <cell r="G157">
            <v>1.3522727272727273</v>
          </cell>
        </row>
        <row r="158">
          <cell r="A158">
            <v>35678</v>
          </cell>
          <cell r="B158">
            <v>0.94884488448844884</v>
          </cell>
          <cell r="C158">
            <v>1.2636505460218408</v>
          </cell>
          <cell r="D158">
            <v>0.99812030075187974</v>
          </cell>
          <cell r="E158">
            <v>1.3120805369127517</v>
          </cell>
          <cell r="F158">
            <v>1.4395348837209303</v>
          </cell>
          <cell r="G158">
            <v>1.3522727272727273</v>
          </cell>
        </row>
        <row r="159">
          <cell r="A159">
            <v>35681</v>
          </cell>
          <cell r="B159">
            <v>0.94636963696369636</v>
          </cell>
          <cell r="C159">
            <v>1.2659906396255851</v>
          </cell>
          <cell r="D159">
            <v>0.99248120300751874</v>
          </cell>
          <cell r="E159">
            <v>1.2818791946308725</v>
          </cell>
          <cell r="F159">
            <v>1.4186046511627908</v>
          </cell>
          <cell r="G159">
            <v>1.3636363636363635</v>
          </cell>
        </row>
        <row r="160">
          <cell r="A160">
            <v>35682</v>
          </cell>
          <cell r="B160">
            <v>0.95049504950495045</v>
          </cell>
          <cell r="C160">
            <v>1.2730109204368174</v>
          </cell>
          <cell r="D160">
            <v>0.99624060150375937</v>
          </cell>
          <cell r="E160">
            <v>1.2953020134228188</v>
          </cell>
          <cell r="F160">
            <v>1.4209302325581394</v>
          </cell>
          <cell r="G160">
            <v>1.3579545454545454</v>
          </cell>
        </row>
        <row r="161">
          <cell r="A161">
            <v>35683</v>
          </cell>
          <cell r="B161">
            <v>0.95379537953795379</v>
          </cell>
          <cell r="C161">
            <v>1.2652106084243371</v>
          </cell>
          <cell r="D161">
            <v>0.99624060150375937</v>
          </cell>
          <cell r="E161">
            <v>1.2953020134228188</v>
          </cell>
          <cell r="F161">
            <v>1.4162790697674419</v>
          </cell>
          <cell r="G161">
            <v>1.3636363636363635</v>
          </cell>
        </row>
        <row r="162">
          <cell r="A162">
            <v>35684</v>
          </cell>
          <cell r="B162">
            <v>0.95049504950495045</v>
          </cell>
          <cell r="C162">
            <v>1.2480499219968799</v>
          </cell>
          <cell r="D162">
            <v>0.99060150375939848</v>
          </cell>
          <cell r="E162">
            <v>1.2785234899328859</v>
          </cell>
          <cell r="F162">
            <v>1.4395348837209303</v>
          </cell>
          <cell r="G162">
            <v>1.3579545454545454</v>
          </cell>
        </row>
        <row r="163">
          <cell r="A163">
            <v>35685</v>
          </cell>
          <cell r="B163">
            <v>0.98679867986798675</v>
          </cell>
          <cell r="C163">
            <v>1.2730109204368174</v>
          </cell>
          <cell r="D163">
            <v>1.013157894736842</v>
          </cell>
          <cell r="E163">
            <v>1.3389261744966443</v>
          </cell>
          <cell r="F163">
            <v>1.45</v>
          </cell>
          <cell r="G163">
            <v>1.3579545454545454</v>
          </cell>
        </row>
        <row r="164">
          <cell r="A164">
            <v>35688</v>
          </cell>
          <cell r="B164">
            <v>0.97689768976897695</v>
          </cell>
          <cell r="C164">
            <v>1.2862714508580344</v>
          </cell>
          <cell r="D164">
            <v>1.0018796992481203</v>
          </cell>
          <cell r="E164">
            <v>1.2885906040268456</v>
          </cell>
          <cell r="F164">
            <v>1.413953488372093</v>
          </cell>
          <cell r="G164">
            <v>1.3522727272727273</v>
          </cell>
        </row>
        <row r="165">
          <cell r="A165">
            <v>35689</v>
          </cell>
          <cell r="B165">
            <v>0.96534653465346532</v>
          </cell>
          <cell r="C165">
            <v>1.3213728549141965</v>
          </cell>
          <cell r="D165">
            <v>1.005639097744361</v>
          </cell>
          <cell r="E165">
            <v>1.3355704697986577</v>
          </cell>
          <cell r="F165">
            <v>1.4511627906976745</v>
          </cell>
          <cell r="G165">
            <v>1.3579545454545454</v>
          </cell>
        </row>
        <row r="166">
          <cell r="A166">
            <v>35690</v>
          </cell>
          <cell r="B166">
            <v>0.9636963696369637</v>
          </cell>
          <cell r="C166">
            <v>1.3237129485179406</v>
          </cell>
          <cell r="D166">
            <v>0.99436090225563911</v>
          </cell>
          <cell r="E166">
            <v>1.3355704697986577</v>
          </cell>
          <cell r="F166">
            <v>1.4279069767441861</v>
          </cell>
          <cell r="G166">
            <v>1.3636363636363635</v>
          </cell>
        </row>
        <row r="167">
          <cell r="A167">
            <v>35691</v>
          </cell>
          <cell r="B167">
            <v>0.96039603960396036</v>
          </cell>
          <cell r="C167">
            <v>1.3244929797191887</v>
          </cell>
          <cell r="D167">
            <v>1.0075187969924813</v>
          </cell>
          <cell r="E167">
            <v>1.3288590604026846</v>
          </cell>
          <cell r="F167">
            <v>1.430232558139535</v>
          </cell>
          <cell r="G167">
            <v>1.3636363636363635</v>
          </cell>
        </row>
        <row r="168">
          <cell r="A168">
            <v>35692</v>
          </cell>
          <cell r="B168">
            <v>0.96204620462046209</v>
          </cell>
          <cell r="C168">
            <v>1.3057722308892357</v>
          </cell>
          <cell r="D168">
            <v>1.0093984962406015</v>
          </cell>
          <cell r="E168">
            <v>1.3154362416107384</v>
          </cell>
          <cell r="F168">
            <v>1.4232558139534883</v>
          </cell>
          <cell r="G168">
            <v>1.3636363636363635</v>
          </cell>
        </row>
        <row r="169">
          <cell r="A169">
            <v>35695</v>
          </cell>
          <cell r="B169">
            <v>0.95709570957095713</v>
          </cell>
          <cell r="C169">
            <v>1.282371294851794</v>
          </cell>
          <cell r="D169">
            <v>1.0075187969924813</v>
          </cell>
          <cell r="E169">
            <v>1.3020134228187918</v>
          </cell>
          <cell r="F169">
            <v>1.4476744186046511</v>
          </cell>
          <cell r="G169">
            <v>1.3636363636363635</v>
          </cell>
        </row>
        <row r="170">
          <cell r="A170">
            <v>35696</v>
          </cell>
          <cell r="B170">
            <v>0.92574257425742579</v>
          </cell>
          <cell r="C170">
            <v>1.1692667706708268</v>
          </cell>
          <cell r="D170">
            <v>0.99812030075187974</v>
          </cell>
          <cell r="E170">
            <v>1.2785234899328859</v>
          </cell>
          <cell r="F170">
            <v>1.4313953488372093</v>
          </cell>
          <cell r="G170">
            <v>1.3636363636363635</v>
          </cell>
        </row>
        <row r="171">
          <cell r="A171">
            <v>35697</v>
          </cell>
          <cell r="B171">
            <v>0.92409240924092406</v>
          </cell>
          <cell r="C171">
            <v>1.1560062402496101</v>
          </cell>
          <cell r="D171">
            <v>0.98872180451127822</v>
          </cell>
          <cell r="E171">
            <v>1.2684563758389262</v>
          </cell>
          <cell r="F171">
            <v>1.4162790697674419</v>
          </cell>
          <cell r="G171">
            <v>1.3636363636363635</v>
          </cell>
        </row>
        <row r="172">
          <cell r="A172">
            <v>35698</v>
          </cell>
          <cell r="B172">
            <v>0.92079207920792083</v>
          </cell>
          <cell r="C172">
            <v>1.1248049921996879</v>
          </cell>
          <cell r="D172">
            <v>0.99436090225563911</v>
          </cell>
          <cell r="E172">
            <v>1.238255033557047</v>
          </cell>
          <cell r="F172">
            <v>1.3941860465116278</v>
          </cell>
          <cell r="G172">
            <v>1.3636363636363635</v>
          </cell>
        </row>
        <row r="173">
          <cell r="A173">
            <v>35699</v>
          </cell>
          <cell r="B173">
            <v>0.8952145214521452</v>
          </cell>
          <cell r="C173">
            <v>1.1294851794071763</v>
          </cell>
          <cell r="D173">
            <v>0.97556390977443608</v>
          </cell>
          <cell r="E173">
            <v>1.2550335570469799</v>
          </cell>
          <cell r="F173">
            <v>1.4511627906976745</v>
          </cell>
          <cell r="G173">
            <v>1.3636363636363635</v>
          </cell>
        </row>
        <row r="174">
          <cell r="A174">
            <v>35702</v>
          </cell>
          <cell r="B174">
            <v>0.88778877887788776</v>
          </cell>
          <cell r="C174">
            <v>1.0109204368174727</v>
          </cell>
          <cell r="D174">
            <v>0.96052631578947367</v>
          </cell>
          <cell r="E174">
            <v>1.2550335570469799</v>
          </cell>
          <cell r="F174">
            <v>1.4116279069767441</v>
          </cell>
          <cell r="G174">
            <v>1.3636363636363635</v>
          </cell>
        </row>
        <row r="175">
          <cell r="A175">
            <v>35703</v>
          </cell>
          <cell r="B175">
            <v>0.89933993399339929</v>
          </cell>
          <cell r="C175">
            <v>1.0163806552262091</v>
          </cell>
          <cell r="D175">
            <v>0.96240601503759393</v>
          </cell>
          <cell r="E175">
            <v>1.2785234899328859</v>
          </cell>
          <cell r="F175">
            <v>1.3930232558139535</v>
          </cell>
          <cell r="G175">
            <v>1.3636363636363635</v>
          </cell>
        </row>
        <row r="176">
          <cell r="A176">
            <v>35704</v>
          </cell>
          <cell r="B176">
            <v>0.88448844884488453</v>
          </cell>
          <cell r="C176">
            <v>0.99531981279251169</v>
          </cell>
          <cell r="D176">
            <v>0.97932330827067671</v>
          </cell>
          <cell r="E176">
            <v>1.2550335570469799</v>
          </cell>
          <cell r="F176">
            <v>1.336046511627907</v>
          </cell>
          <cell r="G176">
            <v>1.3636363636363635</v>
          </cell>
        </row>
        <row r="177">
          <cell r="A177">
            <v>35705</v>
          </cell>
          <cell r="B177">
            <v>0.88531353135313529</v>
          </cell>
          <cell r="C177">
            <v>0.97659906396255847</v>
          </cell>
          <cell r="D177">
            <v>0.96240601503759393</v>
          </cell>
          <cell r="E177">
            <v>1.1946308724832215</v>
          </cell>
          <cell r="F177">
            <v>1.3255813953488371</v>
          </cell>
          <cell r="G177">
            <v>1.3636363636363635</v>
          </cell>
        </row>
        <row r="178">
          <cell r="A178">
            <v>35706</v>
          </cell>
          <cell r="B178">
            <v>0.89603960396039606</v>
          </cell>
          <cell r="C178">
            <v>0.9726989079563183</v>
          </cell>
          <cell r="D178">
            <v>0.96240601503759393</v>
          </cell>
          <cell r="E178">
            <v>1.2516778523489933</v>
          </cell>
          <cell r="F178">
            <v>1.3720930232558139</v>
          </cell>
          <cell r="G178">
            <v>1.3636363636363635</v>
          </cell>
        </row>
        <row r="179">
          <cell r="A179">
            <v>35709</v>
          </cell>
          <cell r="B179">
            <v>0.90594059405940597</v>
          </cell>
          <cell r="C179">
            <v>0.9726989079563183</v>
          </cell>
          <cell r="D179">
            <v>0.95676691729323304</v>
          </cell>
          <cell r="E179">
            <v>1.2348993288590604</v>
          </cell>
          <cell r="F179">
            <v>1.3232558139534885</v>
          </cell>
          <cell r="G179">
            <v>1.3636363636363635</v>
          </cell>
        </row>
        <row r="180">
          <cell r="A180">
            <v>35710</v>
          </cell>
          <cell r="B180">
            <v>0.94059405940594054</v>
          </cell>
          <cell r="C180">
            <v>1.0015600624024961</v>
          </cell>
          <cell r="D180">
            <v>1.0037593984962405</v>
          </cell>
          <cell r="E180">
            <v>1.3154362416107384</v>
          </cell>
          <cell r="F180">
            <v>1.4267441860465115</v>
          </cell>
          <cell r="G180">
            <v>1.3636363636363635</v>
          </cell>
        </row>
        <row r="181">
          <cell r="A181">
            <v>35711</v>
          </cell>
          <cell r="B181">
            <v>0.92904290429042902</v>
          </cell>
          <cell r="C181">
            <v>0.98751950078003126</v>
          </cell>
          <cell r="D181">
            <v>0.99812030075187974</v>
          </cell>
          <cell r="E181">
            <v>1.2718120805369129</v>
          </cell>
          <cell r="F181">
            <v>1.4488372093023256</v>
          </cell>
          <cell r="G181">
            <v>1.3636363636363635</v>
          </cell>
        </row>
        <row r="182">
          <cell r="A182">
            <v>35712</v>
          </cell>
          <cell r="B182">
            <v>0.93234323432343236</v>
          </cell>
          <cell r="C182">
            <v>0.98595943837753508</v>
          </cell>
          <cell r="D182">
            <v>0.98308270676691734</v>
          </cell>
          <cell r="E182">
            <v>1.2785234899328859</v>
          </cell>
          <cell r="F182">
            <v>1.430232558139535</v>
          </cell>
          <cell r="G182">
            <v>1.3636363636363635</v>
          </cell>
        </row>
        <row r="183">
          <cell r="A183">
            <v>35713</v>
          </cell>
          <cell r="B183">
            <v>0.92079207920792083</v>
          </cell>
          <cell r="C183">
            <v>0.98049921996879874</v>
          </cell>
          <cell r="D183">
            <v>0.98308270676691734</v>
          </cell>
          <cell r="E183">
            <v>1.2651006711409396</v>
          </cell>
          <cell r="F183">
            <v>1.3720930232558139</v>
          </cell>
          <cell r="G183">
            <v>1.3636363636363635</v>
          </cell>
        </row>
        <row r="184">
          <cell r="A184">
            <v>35716</v>
          </cell>
          <cell r="B184">
            <v>0.91419141914191415</v>
          </cell>
          <cell r="C184">
            <v>0.99687987519500776</v>
          </cell>
          <cell r="D184">
            <v>0.98684210526315785</v>
          </cell>
          <cell r="E184">
            <v>1.2885906040268456</v>
          </cell>
          <cell r="F184">
            <v>1.4162790697674419</v>
          </cell>
          <cell r="G184">
            <v>1.3636363636363635</v>
          </cell>
        </row>
        <row r="185">
          <cell r="A185">
            <v>35717</v>
          </cell>
          <cell r="B185">
            <v>0.91914191419141911</v>
          </cell>
          <cell r="C185">
            <v>0.98985959438377535</v>
          </cell>
          <cell r="D185">
            <v>0.99248120300751874</v>
          </cell>
          <cell r="E185">
            <v>1.2818791946308725</v>
          </cell>
          <cell r="F185">
            <v>1.3767441860465117</v>
          </cell>
          <cell r="G185">
            <v>1.3636363636363635</v>
          </cell>
        </row>
        <row r="186">
          <cell r="A186">
            <v>35718</v>
          </cell>
          <cell r="B186">
            <v>0.91089108910891092</v>
          </cell>
          <cell r="C186">
            <v>0.98361934477379098</v>
          </cell>
          <cell r="D186">
            <v>0.98308270676691734</v>
          </cell>
          <cell r="E186">
            <v>1.2919463087248322</v>
          </cell>
          <cell r="F186">
            <v>1.3674418604651162</v>
          </cell>
          <cell r="G186">
            <v>1.3636363636363635</v>
          </cell>
        </row>
        <row r="187">
          <cell r="A187">
            <v>35719</v>
          </cell>
          <cell r="B187">
            <v>0.91419141914191415</v>
          </cell>
          <cell r="C187">
            <v>0.95865834633385338</v>
          </cell>
          <cell r="D187">
            <v>0.95864661654135341</v>
          </cell>
          <cell r="E187">
            <v>1.2651006711409396</v>
          </cell>
          <cell r="F187">
            <v>1.3465116279069766</v>
          </cell>
          <cell r="G187">
            <v>1.3636363636363635</v>
          </cell>
        </row>
        <row r="188">
          <cell r="A188">
            <v>35720</v>
          </cell>
          <cell r="B188">
            <v>0.90594059405940597</v>
          </cell>
          <cell r="C188">
            <v>0.93369734789391579</v>
          </cell>
          <cell r="D188">
            <v>0.96804511278195493</v>
          </cell>
          <cell r="E188">
            <v>1.2718120805369129</v>
          </cell>
          <cell r="F188">
            <v>1.3104651162790697</v>
          </cell>
          <cell r="G188">
            <v>1.3636363636363635</v>
          </cell>
        </row>
        <row r="189">
          <cell r="A189">
            <v>35723</v>
          </cell>
          <cell r="B189">
            <v>0.91584158415841588</v>
          </cell>
          <cell r="C189">
            <v>0.9430577223088924</v>
          </cell>
          <cell r="D189">
            <v>0.99624060150375937</v>
          </cell>
          <cell r="E189">
            <v>1.2986577181208054</v>
          </cell>
          <cell r="F189">
            <v>1.3511627906976744</v>
          </cell>
          <cell r="G189">
            <v>1.3636363636363635</v>
          </cell>
        </row>
        <row r="190">
          <cell r="A190">
            <v>35724</v>
          </cell>
          <cell r="B190">
            <v>0.94059405940594054</v>
          </cell>
          <cell r="C190">
            <v>0.96567862714508579</v>
          </cell>
          <cell r="D190">
            <v>0.98308270676691734</v>
          </cell>
          <cell r="E190">
            <v>1.3221476510067114</v>
          </cell>
          <cell r="F190">
            <v>1.3604651162790697</v>
          </cell>
          <cell r="G190">
            <v>1.3636363636363635</v>
          </cell>
        </row>
        <row r="191">
          <cell r="A191">
            <v>35725</v>
          </cell>
          <cell r="B191">
            <v>0.93151815181518149</v>
          </cell>
          <cell r="C191">
            <v>0.95865834633385338</v>
          </cell>
          <cell r="D191">
            <v>0.96992481203007519</v>
          </cell>
          <cell r="E191">
            <v>1.2818791946308725</v>
          </cell>
          <cell r="F191">
            <v>1.3627906976744186</v>
          </cell>
          <cell r="G191">
            <v>1.3636363636363635</v>
          </cell>
        </row>
        <row r="192">
          <cell r="A192">
            <v>35726</v>
          </cell>
          <cell r="B192">
            <v>0.93069306930693074</v>
          </cell>
          <cell r="C192">
            <v>0.95163806552262087</v>
          </cell>
          <cell r="D192">
            <v>0.96052631578947367</v>
          </cell>
          <cell r="E192">
            <v>1.2449664429530201</v>
          </cell>
          <cell r="F192">
            <v>1.3209302325581396</v>
          </cell>
          <cell r="G192">
            <v>1.3636363636363635</v>
          </cell>
        </row>
        <row r="193">
          <cell r="A193">
            <v>35727</v>
          </cell>
          <cell r="B193">
            <v>0.9092409240924092</v>
          </cell>
          <cell r="C193">
            <v>0.94071762870514819</v>
          </cell>
          <cell r="D193">
            <v>0.96240601503759393</v>
          </cell>
          <cell r="E193">
            <v>1.2147651006711409</v>
          </cell>
          <cell r="F193">
            <v>1.2790697674418605</v>
          </cell>
          <cell r="G193">
            <v>1.3636363636363635</v>
          </cell>
        </row>
        <row r="194">
          <cell r="A194">
            <v>35730</v>
          </cell>
          <cell r="B194">
            <v>0.83333333333333337</v>
          </cell>
          <cell r="C194">
            <v>0.86115444617784709</v>
          </cell>
          <cell r="D194">
            <v>0.89473684210526316</v>
          </cell>
          <cell r="E194">
            <v>1.1241610738255035</v>
          </cell>
          <cell r="F194">
            <v>0.4813953488372093</v>
          </cell>
          <cell r="G194">
            <v>1.3636363636363635</v>
          </cell>
        </row>
        <row r="195">
          <cell r="A195">
            <v>35731</v>
          </cell>
          <cell r="B195">
            <v>0.87458745874587462</v>
          </cell>
          <cell r="C195">
            <v>0.89781591263650551</v>
          </cell>
          <cell r="D195">
            <v>0.91917293233082709</v>
          </cell>
          <cell r="E195">
            <v>1.1543624161073827</v>
          </cell>
          <cell r="F195">
            <v>0.47209302325581393</v>
          </cell>
          <cell r="G195">
            <v>1.3636363636363635</v>
          </cell>
        </row>
        <row r="196">
          <cell r="A196">
            <v>35732</v>
          </cell>
          <cell r="B196">
            <v>0.85973597359735976</v>
          </cell>
          <cell r="C196">
            <v>0.90561622464898595</v>
          </cell>
          <cell r="D196">
            <v>0.90601503759398494</v>
          </cell>
          <cell r="E196">
            <v>1.1577181208053691</v>
          </cell>
          <cell r="F196">
            <v>0.5058139534883721</v>
          </cell>
          <cell r="G196">
            <v>1.3636363636363635</v>
          </cell>
        </row>
        <row r="197">
          <cell r="A197">
            <v>35733</v>
          </cell>
          <cell r="B197">
            <v>0.85313531353135319</v>
          </cell>
          <cell r="C197">
            <v>0.8931357254290172</v>
          </cell>
          <cell r="D197">
            <v>0.89097744360902253</v>
          </cell>
          <cell r="E197">
            <v>1.1208053691275168</v>
          </cell>
          <cell r="F197">
            <v>0.48023255813953486</v>
          </cell>
          <cell r="G197">
            <v>1.3636363636363635</v>
          </cell>
        </row>
        <row r="198">
          <cell r="A198">
            <v>35734</v>
          </cell>
          <cell r="B198">
            <v>0.8547854785478548</v>
          </cell>
          <cell r="C198">
            <v>0.88689547581903272</v>
          </cell>
          <cell r="D198">
            <v>0.86466165413533835</v>
          </cell>
          <cell r="E198">
            <v>1.1241610738255035</v>
          </cell>
          <cell r="F198">
            <v>0.48023255813953486</v>
          </cell>
          <cell r="G198">
            <v>1.3636363636363635</v>
          </cell>
        </row>
        <row r="199">
          <cell r="A199">
            <v>35737</v>
          </cell>
          <cell r="B199">
            <v>0.86138613861386137</v>
          </cell>
          <cell r="C199">
            <v>0.90717628705148201</v>
          </cell>
          <cell r="D199">
            <v>0.8778195488721805</v>
          </cell>
          <cell r="E199">
            <v>1.1677852348993289</v>
          </cell>
          <cell r="F199">
            <v>0.48372093023255813</v>
          </cell>
          <cell r="G199">
            <v>1.3636363636363635</v>
          </cell>
        </row>
        <row r="200">
          <cell r="A200">
            <v>35738</v>
          </cell>
          <cell r="B200">
            <v>0.85973597359735976</v>
          </cell>
          <cell r="C200">
            <v>0.92433697347893917</v>
          </cell>
          <cell r="D200">
            <v>0.88157894736842102</v>
          </cell>
          <cell r="E200">
            <v>1.1845637583892616</v>
          </cell>
          <cell r="F200">
            <v>0.47093023255813954</v>
          </cell>
          <cell r="G200">
            <v>1.3636363636363635</v>
          </cell>
        </row>
        <row r="201">
          <cell r="A201">
            <v>35739</v>
          </cell>
          <cell r="B201">
            <v>0.86138613861386137</v>
          </cell>
          <cell r="C201">
            <v>0.89937597503900157</v>
          </cell>
          <cell r="D201">
            <v>0.89473684210526316</v>
          </cell>
          <cell r="E201">
            <v>1.1845637583892616</v>
          </cell>
          <cell r="F201">
            <v>0.44418604651162791</v>
          </cell>
          <cell r="G201">
            <v>1.3636363636363635</v>
          </cell>
        </row>
        <row r="202">
          <cell r="A202">
            <v>35740</v>
          </cell>
          <cell r="B202">
            <v>0.90264026402640263</v>
          </cell>
          <cell r="C202">
            <v>0.90639625585023398</v>
          </cell>
          <cell r="D202">
            <v>0.89097744360902253</v>
          </cell>
          <cell r="E202">
            <v>1.2080536912751678</v>
          </cell>
          <cell r="F202">
            <v>0.45930232558139533</v>
          </cell>
          <cell r="G202">
            <v>1.3636363636363635</v>
          </cell>
        </row>
        <row r="203">
          <cell r="A203">
            <v>35741</v>
          </cell>
          <cell r="B203">
            <v>0.9273927392739274</v>
          </cell>
          <cell r="C203">
            <v>0.92667706708268327</v>
          </cell>
          <cell r="D203">
            <v>0.87593984962406013</v>
          </cell>
          <cell r="E203">
            <v>1.2013422818791946</v>
          </cell>
          <cell r="F203">
            <v>0.47325581395348837</v>
          </cell>
          <cell r="G203">
            <v>1.3636363636363635</v>
          </cell>
        </row>
        <row r="204">
          <cell r="A204">
            <v>35744</v>
          </cell>
          <cell r="B204">
            <v>0.94389438943894388</v>
          </cell>
          <cell r="C204">
            <v>0.94461778471138846</v>
          </cell>
          <cell r="D204">
            <v>0.89473684210526316</v>
          </cell>
          <cell r="E204">
            <v>1.2214765100671141</v>
          </cell>
          <cell r="F204">
            <v>0.46046511627906977</v>
          </cell>
          <cell r="G204">
            <v>1.3636363636363635</v>
          </cell>
        </row>
        <row r="205">
          <cell r="A205">
            <v>35745</v>
          </cell>
          <cell r="B205">
            <v>0.94884488448844884</v>
          </cell>
          <cell r="C205">
            <v>0.97191887675507016</v>
          </cell>
          <cell r="D205">
            <v>0.92105263157894735</v>
          </cell>
          <cell r="E205">
            <v>1.2214765100671141</v>
          </cell>
          <cell r="F205">
            <v>0.46395348837209305</v>
          </cell>
          <cell r="G205">
            <v>1.3636363636363635</v>
          </cell>
        </row>
        <row r="206">
          <cell r="A206">
            <v>35746</v>
          </cell>
          <cell r="B206">
            <v>0.9092409240924092</v>
          </cell>
          <cell r="C206">
            <v>0.96099843993759748</v>
          </cell>
          <cell r="D206">
            <v>0.90601503759398494</v>
          </cell>
          <cell r="E206">
            <v>1.1812080536912752</v>
          </cell>
          <cell r="F206">
            <v>0.44534883720930235</v>
          </cell>
          <cell r="G206">
            <v>1.3636363636363635</v>
          </cell>
        </row>
        <row r="207">
          <cell r="A207">
            <v>35747</v>
          </cell>
          <cell r="B207">
            <v>0.91254125412541254</v>
          </cell>
          <cell r="C207">
            <v>0.95865834633385338</v>
          </cell>
          <cell r="D207">
            <v>0.91541353383458646</v>
          </cell>
          <cell r="E207">
            <v>1.1644295302013423</v>
          </cell>
          <cell r="F207">
            <v>0.43604651162790697</v>
          </cell>
          <cell r="G207">
            <v>1.3636363636363635</v>
          </cell>
        </row>
        <row r="208">
          <cell r="A208">
            <v>35748</v>
          </cell>
          <cell r="B208">
            <v>0.89768976897689767</v>
          </cell>
          <cell r="C208">
            <v>0.96723868954758185</v>
          </cell>
          <cell r="D208">
            <v>0.89473684210526316</v>
          </cell>
          <cell r="E208">
            <v>1.1644295302013423</v>
          </cell>
          <cell r="F208">
            <v>0.46279069767441861</v>
          </cell>
          <cell r="G208">
            <v>1.3636363636363635</v>
          </cell>
        </row>
        <row r="209">
          <cell r="A209">
            <v>35751</v>
          </cell>
          <cell r="B209">
            <v>0.90429042904290424</v>
          </cell>
          <cell r="C209">
            <v>0.98595943837753508</v>
          </cell>
          <cell r="D209">
            <v>0.90601503759398494</v>
          </cell>
          <cell r="E209">
            <v>1.1946308724832215</v>
          </cell>
          <cell r="F209">
            <v>0.44883720930232557</v>
          </cell>
          <cell r="G209">
            <v>1.3636363636363635</v>
          </cell>
        </row>
        <row r="210">
          <cell r="A210">
            <v>35752</v>
          </cell>
          <cell r="B210">
            <v>0.89273927392739272</v>
          </cell>
          <cell r="C210">
            <v>0.9773790951638065</v>
          </cell>
          <cell r="D210">
            <v>0.89849624060150379</v>
          </cell>
          <cell r="E210">
            <v>1.1979865771812082</v>
          </cell>
          <cell r="F210">
            <v>0.4325581395348837</v>
          </cell>
          <cell r="G210">
            <v>1.3636363636363635</v>
          </cell>
        </row>
        <row r="211">
          <cell r="A211">
            <v>35753</v>
          </cell>
          <cell r="B211">
            <v>0.89603960396039606</v>
          </cell>
          <cell r="C211">
            <v>0.97581903276131043</v>
          </cell>
          <cell r="D211">
            <v>0.87969924812030076</v>
          </cell>
          <cell r="E211">
            <v>1.1711409395973154</v>
          </cell>
          <cell r="F211">
            <v>0.44069767441860463</v>
          </cell>
          <cell r="G211">
            <v>1.3636363636363635</v>
          </cell>
        </row>
        <row r="212">
          <cell r="A212">
            <v>35754</v>
          </cell>
          <cell r="B212">
            <v>0.87128712871287128</v>
          </cell>
          <cell r="C212">
            <v>0.9726989079563183</v>
          </cell>
          <cell r="D212">
            <v>0.90037593984962405</v>
          </cell>
          <cell r="E212">
            <v>1.1812080536912752</v>
          </cell>
          <cell r="F212">
            <v>0.4325581395348837</v>
          </cell>
          <cell r="G212">
            <v>1.3636363636363635</v>
          </cell>
        </row>
        <row r="213">
          <cell r="A213">
            <v>35755</v>
          </cell>
          <cell r="B213">
            <v>0.88613861386138615</v>
          </cell>
          <cell r="C213">
            <v>0.97035881435257409</v>
          </cell>
          <cell r="D213">
            <v>0.8928571428571429</v>
          </cell>
          <cell r="E213">
            <v>1.1912751677852349</v>
          </cell>
          <cell r="F213">
            <v>0.42674418604651165</v>
          </cell>
          <cell r="G213">
            <v>1.3636363636363635</v>
          </cell>
        </row>
        <row r="214">
          <cell r="A214">
            <v>35758</v>
          </cell>
          <cell r="B214">
            <v>0.86468646864686471</v>
          </cell>
          <cell r="C214">
            <v>0.94929797191887677</v>
          </cell>
          <cell r="D214">
            <v>0.8928571428571429</v>
          </cell>
          <cell r="E214">
            <v>1.174496644295302</v>
          </cell>
          <cell r="F214">
            <v>0.42441860465116277</v>
          </cell>
          <cell r="G214">
            <v>1.3636363636363635</v>
          </cell>
        </row>
        <row r="215">
          <cell r="A215">
            <v>35759</v>
          </cell>
          <cell r="B215">
            <v>0.68151815181518149</v>
          </cell>
          <cell r="C215">
            <v>0.93369734789391579</v>
          </cell>
          <cell r="D215">
            <v>0.88721804511278191</v>
          </cell>
          <cell r="E215">
            <v>1.1812080536912752</v>
          </cell>
          <cell r="F215">
            <v>0.42790697674418604</v>
          </cell>
          <cell r="G215">
            <v>1.3636363636363635</v>
          </cell>
        </row>
        <row r="216">
          <cell r="A216">
            <v>35760</v>
          </cell>
          <cell r="B216">
            <v>0.70792079207920788</v>
          </cell>
          <cell r="C216">
            <v>0.93447737909516382</v>
          </cell>
          <cell r="D216">
            <v>0.84774436090225569</v>
          </cell>
          <cell r="E216">
            <v>1.1845637583892616</v>
          </cell>
          <cell r="F216">
            <v>0.43604651162790697</v>
          </cell>
          <cell r="G216">
            <v>1.3636363636363635</v>
          </cell>
        </row>
        <row r="217">
          <cell r="A217">
            <v>35761</v>
          </cell>
          <cell r="B217">
            <v>0.70792079207920788</v>
          </cell>
          <cell r="C217">
            <v>0.93447737909516382</v>
          </cell>
          <cell r="D217">
            <v>0.84774436090225569</v>
          </cell>
          <cell r="E217">
            <v>1.1845637583892616</v>
          </cell>
          <cell r="F217">
            <v>0.43604651162790697</v>
          </cell>
          <cell r="G217">
            <v>1.3636363636363635</v>
          </cell>
        </row>
        <row r="218">
          <cell r="A218">
            <v>35762</v>
          </cell>
          <cell r="B218">
            <v>0.70957095709570961</v>
          </cell>
          <cell r="C218">
            <v>0.93603744149765988</v>
          </cell>
          <cell r="D218">
            <v>0.84398496240601506</v>
          </cell>
          <cell r="E218">
            <v>1.1912751677852349</v>
          </cell>
          <cell r="F218">
            <v>0.44418604651162791</v>
          </cell>
          <cell r="G218">
            <v>1.3636363636363635</v>
          </cell>
        </row>
        <row r="219">
          <cell r="A219">
            <v>35765</v>
          </cell>
          <cell r="B219">
            <v>0.72277227722772275</v>
          </cell>
          <cell r="C219">
            <v>0.96723868954758185</v>
          </cell>
          <cell r="D219">
            <v>0.85902255639097747</v>
          </cell>
          <cell r="E219">
            <v>1.2281879194630871</v>
          </cell>
          <cell r="F219">
            <v>0.45348837209302323</v>
          </cell>
          <cell r="G219">
            <v>1.3636363636363635</v>
          </cell>
        </row>
        <row r="220">
          <cell r="A220">
            <v>35766</v>
          </cell>
          <cell r="B220">
            <v>0.70132013201320131</v>
          </cell>
          <cell r="C220">
            <v>0.98283931357254295</v>
          </cell>
          <cell r="D220">
            <v>0.84586466165413532</v>
          </cell>
          <cell r="E220">
            <v>1.2080536912751678</v>
          </cell>
          <cell r="F220">
            <v>0.43720930232558142</v>
          </cell>
          <cell r="G220">
            <v>1.3636363636363635</v>
          </cell>
        </row>
        <row r="221">
          <cell r="A221">
            <v>35767</v>
          </cell>
          <cell r="B221">
            <v>0.71122112211221122</v>
          </cell>
          <cell r="C221">
            <v>1.0015600624024961</v>
          </cell>
          <cell r="D221">
            <v>0.84586466165413532</v>
          </cell>
          <cell r="E221">
            <v>1.1879194630872483</v>
          </cell>
          <cell r="F221">
            <v>0.44186046511627908</v>
          </cell>
          <cell r="G221">
            <v>1.3636363636363635</v>
          </cell>
        </row>
        <row r="222">
          <cell r="A222">
            <v>35768</v>
          </cell>
          <cell r="B222">
            <v>0.70709570957095713</v>
          </cell>
          <cell r="C222">
            <v>0.9929797191887676</v>
          </cell>
          <cell r="D222">
            <v>0.84210526315789469</v>
          </cell>
          <cell r="E222">
            <v>1.2483221476510067</v>
          </cell>
          <cell r="F222">
            <v>0.39302325581395348</v>
          </cell>
          <cell r="G222">
            <v>1.3636363636363635</v>
          </cell>
        </row>
        <row r="223">
          <cell r="A223">
            <v>35769</v>
          </cell>
          <cell r="B223">
            <v>0.71452145214521456</v>
          </cell>
          <cell r="C223">
            <v>0.99687987519500776</v>
          </cell>
          <cell r="D223">
            <v>0.84210526315789469</v>
          </cell>
          <cell r="E223">
            <v>1.2583892617449663</v>
          </cell>
          <cell r="F223">
            <v>0.413953488372093</v>
          </cell>
          <cell r="G223">
            <v>1.3636363636363635</v>
          </cell>
        </row>
        <row r="224">
          <cell r="A224">
            <v>35772</v>
          </cell>
          <cell r="B224">
            <v>0.72277227722772275</v>
          </cell>
          <cell r="C224">
            <v>0.98673946957878311</v>
          </cell>
          <cell r="D224">
            <v>0.82518796992481203</v>
          </cell>
          <cell r="E224">
            <v>1.2483221476510067</v>
          </cell>
          <cell r="F224">
            <v>0.39767441860465114</v>
          </cell>
          <cell r="G224">
            <v>1.3636363636363635</v>
          </cell>
        </row>
        <row r="225">
          <cell r="A225">
            <v>35773</v>
          </cell>
          <cell r="B225">
            <v>0.71617161716171618</v>
          </cell>
          <cell r="C225">
            <v>0.99219968798751945</v>
          </cell>
          <cell r="D225">
            <v>0.80639097744360899</v>
          </cell>
          <cell r="E225">
            <v>1.2751677852348993</v>
          </cell>
          <cell r="F225">
            <v>0.37325581395348839</v>
          </cell>
          <cell r="G225">
            <v>1.3636363636363635</v>
          </cell>
        </row>
        <row r="226">
          <cell r="A226">
            <v>35774</v>
          </cell>
          <cell r="B226">
            <v>0.70792079207920788</v>
          </cell>
          <cell r="C226">
            <v>0.98751950078003126</v>
          </cell>
          <cell r="D226">
            <v>0.76315789473684215</v>
          </cell>
          <cell r="E226">
            <v>1.1476510067114094</v>
          </cell>
          <cell r="F226">
            <v>0.31860465116279069</v>
          </cell>
          <cell r="G226">
            <v>1.3636363636363635</v>
          </cell>
        </row>
        <row r="227">
          <cell r="A227">
            <v>35775</v>
          </cell>
          <cell r="B227">
            <v>0.70709570957095713</v>
          </cell>
          <cell r="C227">
            <v>0.9750390015600624</v>
          </cell>
          <cell r="D227">
            <v>0.75939849624060152</v>
          </cell>
          <cell r="E227">
            <v>1.1275167785234899</v>
          </cell>
          <cell r="F227">
            <v>0.30813953488372092</v>
          </cell>
          <cell r="G227">
            <v>1.3636363636363635</v>
          </cell>
        </row>
        <row r="228">
          <cell r="A228">
            <v>35776</v>
          </cell>
          <cell r="B228">
            <v>0.70297029702970293</v>
          </cell>
          <cell r="C228">
            <v>0.98517940717628705</v>
          </cell>
          <cell r="D228">
            <v>0.75939849624060152</v>
          </cell>
          <cell r="E228">
            <v>1.1241610738255035</v>
          </cell>
          <cell r="F228">
            <v>0.28953488372093023</v>
          </cell>
          <cell r="G228">
            <v>1.3636363636363635</v>
          </cell>
        </row>
        <row r="229">
          <cell r="A229">
            <v>35779</v>
          </cell>
          <cell r="B229">
            <v>0.71122112211221122</v>
          </cell>
          <cell r="C229">
            <v>1.0031201248049921</v>
          </cell>
          <cell r="D229">
            <v>0.73684210526315785</v>
          </cell>
          <cell r="E229">
            <v>1.1174496644295302</v>
          </cell>
          <cell r="F229">
            <v>0.2930232558139535</v>
          </cell>
          <cell r="G229">
            <v>1.3636363636363635</v>
          </cell>
        </row>
        <row r="230">
          <cell r="A230">
            <v>35780</v>
          </cell>
          <cell r="B230">
            <v>0.71947194719471952</v>
          </cell>
          <cell r="C230">
            <v>0.99375975039001563</v>
          </cell>
          <cell r="D230">
            <v>0.73872180451127822</v>
          </cell>
          <cell r="E230">
            <v>1.0906040268456376</v>
          </cell>
          <cell r="F230">
            <v>0.30116279069767443</v>
          </cell>
          <cell r="G230">
            <v>1.3636363636363635</v>
          </cell>
        </row>
        <row r="231">
          <cell r="A231">
            <v>35781</v>
          </cell>
          <cell r="B231">
            <v>0.71782178217821779</v>
          </cell>
          <cell r="C231">
            <v>0.98439937597503901</v>
          </cell>
          <cell r="D231">
            <v>0.75375939849624063</v>
          </cell>
          <cell r="E231">
            <v>1.080536912751678</v>
          </cell>
          <cell r="F231">
            <v>0.3</v>
          </cell>
          <cell r="G231">
            <v>1.3636363636363635</v>
          </cell>
        </row>
        <row r="232">
          <cell r="A232">
            <v>35782</v>
          </cell>
          <cell r="B232">
            <v>0.71122112211221122</v>
          </cell>
          <cell r="C232">
            <v>0.86739469578783146</v>
          </cell>
          <cell r="D232">
            <v>0.71240601503759393</v>
          </cell>
          <cell r="E232">
            <v>1.0671140939597314</v>
          </cell>
          <cell r="F232">
            <v>0.27790697674418607</v>
          </cell>
          <cell r="G232">
            <v>1.3636363636363635</v>
          </cell>
        </row>
        <row r="233">
          <cell r="A233">
            <v>35783</v>
          </cell>
          <cell r="B233">
            <v>0.70379537953795379</v>
          </cell>
          <cell r="C233">
            <v>0.84789391575663031</v>
          </cell>
          <cell r="D233">
            <v>0.68045112781954886</v>
          </cell>
          <cell r="E233">
            <v>1.0503355704697988</v>
          </cell>
          <cell r="F233">
            <v>0.28255813953488373</v>
          </cell>
          <cell r="G233">
            <v>1.3636363636363635</v>
          </cell>
        </row>
        <row r="234">
          <cell r="A234">
            <v>35786</v>
          </cell>
          <cell r="B234">
            <v>0.71947194719471952</v>
          </cell>
          <cell r="C234">
            <v>0.8408736349453978</v>
          </cell>
          <cell r="D234">
            <v>0.68045112781954886</v>
          </cell>
          <cell r="E234">
            <v>1.0402684563758389</v>
          </cell>
          <cell r="F234">
            <v>0.28139534883720929</v>
          </cell>
          <cell r="G234">
            <v>1.3636363636363635</v>
          </cell>
        </row>
        <row r="235">
          <cell r="A235">
            <v>35787</v>
          </cell>
          <cell r="B235">
            <v>0.70627062706270627</v>
          </cell>
          <cell r="C235">
            <v>0.8408736349453978</v>
          </cell>
          <cell r="D235">
            <v>0.67669172932330823</v>
          </cell>
          <cell r="E235">
            <v>1.0201342281879195</v>
          </cell>
          <cell r="F235">
            <v>0.27209302325581397</v>
          </cell>
          <cell r="G235">
            <v>1.3636363636363635</v>
          </cell>
        </row>
        <row r="236">
          <cell r="A236">
            <v>35788</v>
          </cell>
          <cell r="B236">
            <v>0.70297029702970293</v>
          </cell>
          <cell r="C236">
            <v>0.83619344773790949</v>
          </cell>
          <cell r="D236">
            <v>0.68421052631578949</v>
          </cell>
          <cell r="E236">
            <v>1.0134228187919463</v>
          </cell>
          <cell r="F236">
            <v>0.26976744186046514</v>
          </cell>
          <cell r="G236">
            <v>1.3636363636363635</v>
          </cell>
        </row>
        <row r="237">
          <cell r="A237">
            <v>35789</v>
          </cell>
          <cell r="B237">
            <v>0.70297029702970293</v>
          </cell>
          <cell r="C237">
            <v>0.83619344773790949</v>
          </cell>
          <cell r="D237">
            <v>0.68421052631578949</v>
          </cell>
          <cell r="E237">
            <v>1.0134228187919463</v>
          </cell>
          <cell r="F237">
            <v>0.26976744186046514</v>
          </cell>
          <cell r="G237">
            <v>1.3636363636363635</v>
          </cell>
        </row>
        <row r="238">
          <cell r="A238">
            <v>35790</v>
          </cell>
          <cell r="B238">
            <v>0.70462046204620465</v>
          </cell>
          <cell r="C238">
            <v>0.8408736349453978</v>
          </cell>
          <cell r="D238">
            <v>0.68233082706766912</v>
          </cell>
          <cell r="E238">
            <v>1.0134228187919463</v>
          </cell>
          <cell r="F238">
            <v>0.2686046511627907</v>
          </cell>
          <cell r="G238">
            <v>1.3636363636363635</v>
          </cell>
        </row>
        <row r="239">
          <cell r="A239">
            <v>35793</v>
          </cell>
          <cell r="B239">
            <v>0.68976897689768979</v>
          </cell>
          <cell r="C239">
            <v>0.84165366614664583</v>
          </cell>
          <cell r="D239">
            <v>0.68045112781954886</v>
          </cell>
          <cell r="E239">
            <v>1.0335570469798658</v>
          </cell>
          <cell r="F239">
            <v>0.2686046511627907</v>
          </cell>
          <cell r="G239">
            <v>1.3636363636363635</v>
          </cell>
        </row>
        <row r="240">
          <cell r="A240">
            <v>35794</v>
          </cell>
          <cell r="B240">
            <v>0.69471947194719474</v>
          </cell>
          <cell r="C240">
            <v>0.87363494539781594</v>
          </cell>
          <cell r="D240">
            <v>0.6992481203007519</v>
          </cell>
          <cell r="E240">
            <v>1.080536912751678</v>
          </cell>
          <cell r="F240">
            <v>0.28837209302325584</v>
          </cell>
          <cell r="G240">
            <v>1.3636363636363635</v>
          </cell>
        </row>
        <row r="241">
          <cell r="A241">
            <v>35795</v>
          </cell>
          <cell r="B241">
            <v>0.6914191419141914</v>
          </cell>
          <cell r="C241">
            <v>0.88065522620904835</v>
          </cell>
          <cell r="D241">
            <v>0.66917293233082709</v>
          </cell>
          <cell r="E241">
            <v>1.1140939597315436</v>
          </cell>
          <cell r="F241">
            <v>0.28953488372093023</v>
          </cell>
          <cell r="G241">
            <v>1.3636363636363635</v>
          </cell>
        </row>
        <row r="242">
          <cell r="A242">
            <v>35796</v>
          </cell>
          <cell r="B242">
            <v>0.6914191419141914</v>
          </cell>
          <cell r="C242">
            <v>0.88065522620904835</v>
          </cell>
          <cell r="D242">
            <v>0.66917293233082709</v>
          </cell>
          <cell r="E242">
            <v>1.1140939597315436</v>
          </cell>
          <cell r="F242">
            <v>0.28953488372093023</v>
          </cell>
          <cell r="G242">
            <v>1.3636363636363635</v>
          </cell>
        </row>
        <row r="243">
          <cell r="A243">
            <v>35797</v>
          </cell>
          <cell r="B243">
            <v>0.69636963696369636</v>
          </cell>
          <cell r="C243">
            <v>0.87363494539781594</v>
          </cell>
          <cell r="D243">
            <v>0.69548872180451127</v>
          </cell>
          <cell r="E243">
            <v>1.1342281879194631</v>
          </cell>
          <cell r="F243">
            <v>0.31860465116279069</v>
          </cell>
          <cell r="G243">
            <v>1.3636363636363635</v>
          </cell>
        </row>
        <row r="244">
          <cell r="A244">
            <v>35800</v>
          </cell>
          <cell r="B244">
            <v>0.68811881188118806</v>
          </cell>
          <cell r="C244">
            <v>0.87831513260530425</v>
          </cell>
          <cell r="D244">
            <v>0.69548872180451127</v>
          </cell>
          <cell r="E244">
            <v>1.1409395973154361</v>
          </cell>
          <cell r="F244">
            <v>0.33953488372093021</v>
          </cell>
          <cell r="G244">
            <v>1.3636363636363635</v>
          </cell>
        </row>
        <row r="245">
          <cell r="A245">
            <v>35801</v>
          </cell>
          <cell r="B245">
            <v>0.66666666666666663</v>
          </cell>
          <cell r="C245">
            <v>0.9024960998439937</v>
          </cell>
          <cell r="D245">
            <v>0.69172932330827064</v>
          </cell>
          <cell r="E245">
            <v>1.1140939597315436</v>
          </cell>
          <cell r="F245">
            <v>0.32558139534883723</v>
          </cell>
          <cell r="G245">
            <v>1.3636363636363635</v>
          </cell>
        </row>
        <row r="246">
          <cell r="A246">
            <v>35802</v>
          </cell>
          <cell r="B246">
            <v>0.72607260726072609</v>
          </cell>
          <cell r="C246">
            <v>0.91107644305772228</v>
          </cell>
          <cell r="D246">
            <v>0.73308270676691734</v>
          </cell>
          <cell r="E246">
            <v>1.1677852348993289</v>
          </cell>
          <cell r="F246">
            <v>0.3174418604651163</v>
          </cell>
          <cell r="G246">
            <v>1.3636363636363635</v>
          </cell>
        </row>
        <row r="247">
          <cell r="A247">
            <v>35803</v>
          </cell>
          <cell r="B247">
            <v>0.68646864686468645</v>
          </cell>
          <cell r="C247">
            <v>0.88767550702028086</v>
          </cell>
          <cell r="D247">
            <v>0.74060150375939848</v>
          </cell>
          <cell r="E247">
            <v>1.1174496644295302</v>
          </cell>
          <cell r="F247">
            <v>0.30465116279069765</v>
          </cell>
          <cell r="G247">
            <v>1.3636363636363635</v>
          </cell>
        </row>
        <row r="248">
          <cell r="A248">
            <v>35804</v>
          </cell>
          <cell r="B248">
            <v>0.65841584158415845</v>
          </cell>
          <cell r="C248">
            <v>0.86895475819032764</v>
          </cell>
          <cell r="D248">
            <v>0.74060150375939848</v>
          </cell>
          <cell r="E248">
            <v>1.0536912751677852</v>
          </cell>
          <cell r="F248">
            <v>0.29186046511627906</v>
          </cell>
          <cell r="G248">
            <v>1.3636363636363635</v>
          </cell>
        </row>
        <row r="249">
          <cell r="A249">
            <v>35807</v>
          </cell>
          <cell r="B249">
            <v>0.65676567656765672</v>
          </cell>
          <cell r="C249">
            <v>0.87909516380655228</v>
          </cell>
          <cell r="D249">
            <v>0.74060150375939848</v>
          </cell>
          <cell r="E249">
            <v>1.0738255033557047</v>
          </cell>
          <cell r="F249">
            <v>0.28255813953488373</v>
          </cell>
          <cell r="G249">
            <v>1.3636363636363635</v>
          </cell>
        </row>
        <row r="250">
          <cell r="A250">
            <v>35808</v>
          </cell>
          <cell r="B250">
            <v>0.66666666666666663</v>
          </cell>
          <cell r="C250">
            <v>0.87753510140405622</v>
          </cell>
          <cell r="D250">
            <v>0.73684210526315785</v>
          </cell>
          <cell r="E250">
            <v>1.0604026845637584</v>
          </cell>
          <cell r="F250">
            <v>0.28720930232558139</v>
          </cell>
          <cell r="G250">
            <v>1.3636363636363635</v>
          </cell>
        </row>
        <row r="251">
          <cell r="A251">
            <v>35809</v>
          </cell>
          <cell r="B251">
            <v>0.68316831683168322</v>
          </cell>
          <cell r="C251">
            <v>0.87597503900156004</v>
          </cell>
          <cell r="D251">
            <v>0.72556390977443608</v>
          </cell>
          <cell r="E251">
            <v>1.0939597315436242</v>
          </cell>
          <cell r="F251">
            <v>0.29534883720930233</v>
          </cell>
          <cell r="G251">
            <v>1.3636363636363635</v>
          </cell>
        </row>
        <row r="252">
          <cell r="A252">
            <v>35810</v>
          </cell>
          <cell r="B252">
            <v>0.71287128712871284</v>
          </cell>
          <cell r="C252">
            <v>0.89235569422776906</v>
          </cell>
          <cell r="D252">
            <v>0.73496240601503759</v>
          </cell>
          <cell r="E252">
            <v>1.0704697986577181</v>
          </cell>
          <cell r="F252">
            <v>0.29418604651162789</v>
          </cell>
          <cell r="G252">
            <v>1.3636363636363635</v>
          </cell>
        </row>
        <row r="253">
          <cell r="A253">
            <v>35811</v>
          </cell>
          <cell r="B253">
            <v>0.7277227722772277</v>
          </cell>
          <cell r="C253">
            <v>0.89703588143525737</v>
          </cell>
          <cell r="D253">
            <v>0.75187969924812026</v>
          </cell>
          <cell r="E253">
            <v>1.0838926174496644</v>
          </cell>
          <cell r="F253">
            <v>0.29534883720930233</v>
          </cell>
          <cell r="G253">
            <v>1.3636363636363635</v>
          </cell>
        </row>
        <row r="254">
          <cell r="A254">
            <v>35814</v>
          </cell>
          <cell r="B254">
            <v>0.7277227722772277</v>
          </cell>
          <cell r="C254">
            <v>0.89703588143525737</v>
          </cell>
          <cell r="D254">
            <v>0.75187969924812026</v>
          </cell>
          <cell r="E254">
            <v>1.0838926174496644</v>
          </cell>
          <cell r="F254">
            <v>0.29534883720930233</v>
          </cell>
          <cell r="G254">
            <v>1.3636363636363635</v>
          </cell>
        </row>
        <row r="255">
          <cell r="A255">
            <v>35815</v>
          </cell>
          <cell r="B255">
            <v>0.73019801980198018</v>
          </cell>
          <cell r="C255">
            <v>0.90873634945397819</v>
          </cell>
          <cell r="D255">
            <v>0.77067669172932329</v>
          </cell>
          <cell r="E255">
            <v>1.0738255033557047</v>
          </cell>
          <cell r="F255">
            <v>0.27906976744186046</v>
          </cell>
          <cell r="G255">
            <v>1.3636363636363635</v>
          </cell>
        </row>
        <row r="256">
          <cell r="A256">
            <v>35816</v>
          </cell>
          <cell r="B256">
            <v>0.76567656765676573</v>
          </cell>
          <cell r="C256">
            <v>0.91575663026521059</v>
          </cell>
          <cell r="D256">
            <v>0.77631578947368418</v>
          </cell>
          <cell r="E256">
            <v>1.0704697986577181</v>
          </cell>
          <cell r="F256">
            <v>0.27209302325581397</v>
          </cell>
          <cell r="G256">
            <v>1.3636363636363635</v>
          </cell>
        </row>
        <row r="257">
          <cell r="A257">
            <v>35817</v>
          </cell>
          <cell r="B257">
            <v>0.7722772277227723</v>
          </cell>
          <cell r="C257">
            <v>0.92823712948517945</v>
          </cell>
          <cell r="D257">
            <v>0.77819548872180455</v>
          </cell>
          <cell r="E257">
            <v>1.063758389261745</v>
          </cell>
          <cell r="F257">
            <v>0.2744186046511628</v>
          </cell>
          <cell r="G257">
            <v>1.3636363636363635</v>
          </cell>
        </row>
        <row r="258">
          <cell r="A258">
            <v>35818</v>
          </cell>
          <cell r="B258">
            <v>0.77516501650165015</v>
          </cell>
          <cell r="C258">
            <v>0.92199687987519496</v>
          </cell>
          <cell r="D258">
            <v>0.75563909774436089</v>
          </cell>
          <cell r="E258">
            <v>1.0469798657718121</v>
          </cell>
          <cell r="F258">
            <v>0.27325581395348836</v>
          </cell>
          <cell r="G258">
            <v>1.3636363636363635</v>
          </cell>
        </row>
        <row r="259">
          <cell r="A259">
            <v>35821</v>
          </cell>
          <cell r="B259">
            <v>0.7722772277227723</v>
          </cell>
          <cell r="C259">
            <v>0.93447737909516382</v>
          </cell>
          <cell r="D259">
            <v>0.74812030075187974</v>
          </cell>
          <cell r="E259">
            <v>1.0604026845637584</v>
          </cell>
          <cell r="F259">
            <v>0.27093023255813953</v>
          </cell>
          <cell r="G259">
            <v>1.3636363636363635</v>
          </cell>
        </row>
        <row r="260">
          <cell r="A260">
            <v>35822</v>
          </cell>
          <cell r="B260">
            <v>0.78382838283828382</v>
          </cell>
          <cell r="C260">
            <v>0.94929797191887677</v>
          </cell>
          <cell r="D260">
            <v>0.75187969924812026</v>
          </cell>
          <cell r="E260">
            <v>1.0704697986577181</v>
          </cell>
          <cell r="F260">
            <v>0.2686046511627907</v>
          </cell>
          <cell r="G260">
            <v>1.3636363636363635</v>
          </cell>
        </row>
        <row r="261">
          <cell r="A261">
            <v>35823</v>
          </cell>
          <cell r="B261">
            <v>0.77557755775577553</v>
          </cell>
          <cell r="C261">
            <v>0.94149765990639622</v>
          </cell>
          <cell r="D261">
            <v>0.76879699248120303</v>
          </cell>
          <cell r="E261">
            <v>1.0771812080536913</v>
          </cell>
          <cell r="F261">
            <v>0.26279069767441859</v>
          </cell>
          <cell r="G261">
            <v>1.3636363636363635</v>
          </cell>
        </row>
        <row r="262">
          <cell r="A262">
            <v>35824</v>
          </cell>
          <cell r="B262">
            <v>0.75247524752475248</v>
          </cell>
          <cell r="C262">
            <v>0.93837753510140409</v>
          </cell>
          <cell r="D262">
            <v>0.78947368421052633</v>
          </cell>
          <cell r="E262">
            <v>1.080536912751678</v>
          </cell>
          <cell r="F262">
            <v>0.2686046511627907</v>
          </cell>
          <cell r="G262">
            <v>1.3636363636363635</v>
          </cell>
        </row>
        <row r="263">
          <cell r="A263">
            <v>35825</v>
          </cell>
          <cell r="B263">
            <v>0.76567656765676573</v>
          </cell>
          <cell r="C263">
            <v>0.91731669266770666</v>
          </cell>
          <cell r="D263">
            <v>0.78007518796992481</v>
          </cell>
          <cell r="E263">
            <v>1.0771812080536913</v>
          </cell>
          <cell r="F263">
            <v>0.32558139534883723</v>
          </cell>
          <cell r="G263">
            <v>1.3636363636363635</v>
          </cell>
        </row>
        <row r="264">
          <cell r="A264">
            <v>35828</v>
          </cell>
          <cell r="B264">
            <v>0.7722772277227723</v>
          </cell>
          <cell r="C264">
            <v>0.95709828393135721</v>
          </cell>
          <cell r="D264">
            <v>0.79135338345864659</v>
          </cell>
          <cell r="E264">
            <v>1.1073825503355705</v>
          </cell>
          <cell r="F264">
            <v>0.33023255813953489</v>
          </cell>
          <cell r="G264">
            <v>1.3636363636363635</v>
          </cell>
        </row>
        <row r="265">
          <cell r="A265">
            <v>35829</v>
          </cell>
          <cell r="B265">
            <v>0.78877887788778878</v>
          </cell>
          <cell r="C265">
            <v>0.95397815912636508</v>
          </cell>
          <cell r="D265">
            <v>0.77631578947368418</v>
          </cell>
          <cell r="E265">
            <v>1.0973154362416107</v>
          </cell>
          <cell r="F265">
            <v>0.30813953488372092</v>
          </cell>
          <cell r="G265">
            <v>1.3636363636363635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
      <sheetName val="09"/>
      <sheetName val="10"/>
      <sheetName val="11"/>
      <sheetName val="Total"/>
      <sheetName val="Europe"/>
      <sheetName val="US"/>
      <sheetName val="Sheet3"/>
      <sheetName val="DIV Y"/>
    </sheetNames>
    <sheetDataSet>
      <sheetData sheetId="0"/>
      <sheetData sheetId="1"/>
      <sheetData sheetId="2"/>
      <sheetData sheetId="3"/>
      <sheetData sheetId="4" refreshError="1">
        <row r="322">
          <cell r="C322" t="str">
            <v>Quality 1</v>
          </cell>
          <cell r="D322">
            <v>54</v>
          </cell>
        </row>
        <row r="323">
          <cell r="C323" t="str">
            <v>Quality 2</v>
          </cell>
          <cell r="D323">
            <v>37</v>
          </cell>
        </row>
        <row r="324">
          <cell r="C324" t="str">
            <v>Quality 3</v>
          </cell>
          <cell r="D324">
            <v>33</v>
          </cell>
        </row>
        <row r="325">
          <cell r="C325" t="str">
            <v>Quality 4</v>
          </cell>
          <cell r="D325">
            <v>173</v>
          </cell>
        </row>
      </sheetData>
      <sheetData sheetId="5" refreshError="1"/>
      <sheetData sheetId="6" refreshError="1"/>
      <sheetData sheetId="7" refreshError="1"/>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vol."/>
      <sheetName val="Breakdown"/>
      <sheetName val="20 year"/>
      <sheetName val="ten year"/>
      <sheetName val="5 year"/>
      <sheetName val="spread"/>
      <sheetName val="Trading Summary"/>
      <sheetName val="Expected European Inv"/>
      <sheetName val="Diageo's investor base"/>
      <sheetName val="spread perf."/>
      <sheetName val="spread 2"/>
      <sheetName val="Global dist"/>
      <sheetName val="Global distribution"/>
      <sheetName val="Internat dist"/>
      <sheetName val="Post launch (6)"/>
      <sheetName val="Recent trading (7)"/>
      <sheetName val="salesvol_"/>
      <sheetName val="sales vol_"/>
      <sheetName val="Financials"/>
      <sheetName val="Stock Price"/>
      <sheetName val="20_year"/>
      <sheetName val="ten_year"/>
      <sheetName val="5_year"/>
      <sheetName val="Trading_Summary"/>
      <sheetName val="Expected_European_Inv"/>
      <sheetName val="Diageo's_investor_base"/>
      <sheetName val="sales_vol_"/>
      <sheetName val="spread_perf_"/>
      <sheetName val="spread_2"/>
      <sheetName val="Global_dist"/>
      <sheetName val="Global_distribution"/>
      <sheetName val="Internat_dist"/>
      <sheetName val="Post_launch_(6)"/>
      <sheetName val="Recent_trading_(7)"/>
      <sheetName val="sales_vol_1"/>
      <sheetName val="Stock_Price"/>
      <sheetName val="20_year1"/>
      <sheetName val="ten_year1"/>
      <sheetName val="5_year1"/>
      <sheetName val="Trading_Summary1"/>
      <sheetName val="Expected_European_Inv1"/>
      <sheetName val="Diageo's_investor_base1"/>
      <sheetName val="sales_vol_2"/>
      <sheetName val="spread_perf_1"/>
      <sheetName val="spread_21"/>
      <sheetName val="Global_dist1"/>
      <sheetName val="Global_distribution1"/>
      <sheetName val="Internat_dist1"/>
      <sheetName val="Post_launch_(6)1"/>
      <sheetName val="Recent_trading_(7)1"/>
      <sheetName val="sales_vol_3"/>
      <sheetName val="Stock_Price1"/>
      <sheetName val="20_year2"/>
      <sheetName val="ten_year2"/>
      <sheetName val="5_year2"/>
      <sheetName val="Trading_Summary2"/>
      <sheetName val="Expected_European_Inv2"/>
      <sheetName val="Diageo's_investor_base2"/>
      <sheetName val="sales_vol_4"/>
      <sheetName val="spread_perf_2"/>
      <sheetName val="spread_22"/>
      <sheetName val="Global_dist2"/>
      <sheetName val="Global_distribution2"/>
      <sheetName val="Internat_dist2"/>
      <sheetName val="Post_launch_(6)2"/>
      <sheetName val="Recent_trading_(7)2"/>
      <sheetName val="sales_vol_5"/>
      <sheetName val="Stock_Price2"/>
      <sheetName val="Input Projected"/>
      <sheetName val="consolidated"/>
      <sheetName val="oldSEG"/>
      <sheetName val="Quarters"/>
      <sheetName val="Financial Overview ShortProfile"/>
      <sheetName val="Summary"/>
      <sheetName val="CUS Image"/>
      <sheetName val="9-05046L"/>
      <sheetName val="Input"/>
      <sheetName val="ProForma"/>
      <sheetName val="__FDSCACHE__"/>
      <sheetName val="Output"/>
      <sheetName val="Sheet1"/>
      <sheetName val="Delhaize"/>
      <sheetName val="Prop Model"/>
      <sheetName val="Office Data"/>
      <sheetName val="Pro forma IS"/>
      <sheetName val="BTMAIN"/>
      <sheetName val="Assumptions"/>
      <sheetName val="OPER"/>
      <sheetName val="RSR"/>
      <sheetName val="Weeklies"/>
      <sheetName val="Opportunity Codes "/>
      <sheetName val="2013"/>
      <sheetName val="Sheet2"/>
      <sheetName val="Sheet3"/>
      <sheetName val="Sheet4"/>
      <sheetName val="Total"/>
      <sheetName val="CAPITAL PH1"/>
      <sheetName val=" BUDGET P1"/>
      <sheetName val="EuroInputs"/>
      <sheetName val="MktAss"/>
      <sheetName val="A"/>
      <sheetName val="Corp Overhead"/>
      <sheetName val="MWC"/>
      <sheetName val="Corp_Overhead"/>
      <sheetName val="Corp_Overhead1"/>
      <sheetName val="Corp_Overhead2"/>
      <sheetName val="CAPEX"/>
      <sheetName val="Parameters"/>
      <sheetName val="INPUT ACQUIROR DATA"/>
      <sheetName val="Transaction-Assum."/>
      <sheetName val="Gráfico"/>
      <sheetName val="Data"/>
      <sheetName val="All Sum"/>
      <sheetName val="P&amp;L --KRON"/>
      <sheetName val="P&amp;L -BayTV"/>
      <sheetName val="215002"/>
      <sheetName val="Summary Financials"/>
      <sheetName val="Amarillo I-40-HI"/>
      <sheetName val="LTM"/>
      <sheetName val="CREDIT STATS"/>
      <sheetName val="DropZone"/>
      <sheetName val="Cover"/>
      <sheetName val="Total Firm"/>
      <sheetName val="Data for 03-04 Base Position"/>
      <sheetName val="company"/>
      <sheetName val="BS Rollup"/>
      <sheetName val="BEV"/>
      <sheetName val="EBITDA"/>
      <sheetName val="Price Performance Output"/>
      <sheetName val="Historical Multiples Output"/>
      <sheetName val="Straw Man"/>
      <sheetName val="MedSolutions Financial Data"/>
      <sheetName val="Football Field "/>
      <sheetName val="DCF"/>
      <sheetName val="Qcharts"/>
      <sheetName val="Charts"/>
      <sheetName val="Offers G&amp;C"/>
      <sheetName val="Offers GE"/>
      <sheetName val="Offers GS"/>
      <sheetName val="Offers MC"/>
      <sheetName val="13199"/>
      <sheetName val="PNGOil"/>
      <sheetName val="Model"/>
      <sheetName val="MLP IPO Yields vs MLP Index"/>
      <sheetName val="Control Panel"/>
      <sheetName val="Market"/>
      <sheetName val="Country Risk"/>
      <sheetName val="Quarterly rates"/>
      <sheetName val="Codes"/>
      <sheetName val="NCV Pivot"/>
      <sheetName val="exec sum (ncv) (3)"/>
      <sheetName val="Data Control"/>
    </sheetNames>
    <sheetDataSet>
      <sheetData sheetId="0" refreshError="1">
        <row r="34">
          <cell r="J34" t="str">
            <v>Europe</v>
          </cell>
        </row>
        <row r="35">
          <cell r="J35" t="str">
            <v>Other</v>
          </cell>
        </row>
        <row r="36">
          <cell r="J36" t="str">
            <v>Swiss</v>
          </cell>
        </row>
        <row r="37">
          <cell r="J37" t="str">
            <v>UK</v>
          </cell>
        </row>
        <row r="211">
          <cell r="J211" t="str">
            <v>Europe</v>
          </cell>
          <cell r="K211">
            <v>42560000</v>
          </cell>
        </row>
        <row r="212">
          <cell r="J212" t="str">
            <v>Other</v>
          </cell>
          <cell r="K212">
            <v>87425000</v>
          </cell>
        </row>
        <row r="213">
          <cell r="J213" t="str">
            <v>Swiss</v>
          </cell>
          <cell r="K213">
            <v>24660000</v>
          </cell>
        </row>
        <row r="214">
          <cell r="J214" t="str">
            <v>UK</v>
          </cell>
          <cell r="K214">
            <v>42000000</v>
          </cell>
        </row>
        <row r="398">
          <cell r="J398" t="str">
            <v>Europe</v>
          </cell>
          <cell r="K398">
            <v>33000000</v>
          </cell>
        </row>
        <row r="399">
          <cell r="J399" t="str">
            <v>Other</v>
          </cell>
          <cell r="K399">
            <v>21500000</v>
          </cell>
        </row>
        <row r="400">
          <cell r="J400" t="str">
            <v>Swiss</v>
          </cell>
          <cell r="K400">
            <v>116440000</v>
          </cell>
        </row>
        <row r="401">
          <cell r="J401" t="str">
            <v>UK</v>
          </cell>
          <cell r="K401">
            <v>101448000</v>
          </cell>
        </row>
        <row r="1121">
          <cell r="I1121" t="str">
            <v>Europe</v>
          </cell>
          <cell r="J1121">
            <v>11000000</v>
          </cell>
        </row>
        <row r="1122">
          <cell r="I1122" t="str">
            <v>Swiss</v>
          </cell>
          <cell r="J1122">
            <v>3370000</v>
          </cell>
        </row>
        <row r="1632">
          <cell r="I1632" t="str">
            <v>Europe</v>
          </cell>
          <cell r="J1632">
            <v>96300000</v>
          </cell>
        </row>
        <row r="1633">
          <cell r="I1633" t="str">
            <v>Other</v>
          </cell>
          <cell r="J1633">
            <v>39000000</v>
          </cell>
        </row>
        <row r="1634">
          <cell r="I1634" t="str">
            <v>Swiss</v>
          </cell>
          <cell r="J1634">
            <v>92900000</v>
          </cell>
        </row>
        <row r="1635">
          <cell r="I1635" t="str">
            <v>UK</v>
          </cell>
          <cell r="J1635">
            <v>64000000</v>
          </cell>
        </row>
        <row r="2248">
          <cell r="I2248" t="str">
            <v>Europe</v>
          </cell>
          <cell r="J2248">
            <v>12600000</v>
          </cell>
        </row>
        <row r="2249">
          <cell r="I2249" t="str">
            <v>Other</v>
          </cell>
          <cell r="J2249">
            <v>24500000</v>
          </cell>
        </row>
        <row r="2250">
          <cell r="I2250" t="str">
            <v>Swiss</v>
          </cell>
          <cell r="J2250">
            <v>56200000</v>
          </cell>
        </row>
        <row r="2251">
          <cell r="I2251" t="str">
            <v>UK</v>
          </cell>
          <cell r="J2251">
            <v>56400000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IS"/>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refreshError="1"/>
      <sheetData sheetId="20" refreshError="1"/>
      <sheetData sheetId="21"/>
      <sheetData sheetId="22"/>
      <sheetData sheetId="23"/>
      <sheetData sheetId="24"/>
      <sheetData sheetId="25" refreshError="1"/>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4 Summary"/>
      <sheetName val="Acct Recon"/>
      <sheetName val="Brkdwns"/>
      <sheetName val="Portfolio"/>
      <sheetName val="P-S Actvty"/>
      <sheetName val="Tfr Actvty"/>
    </sheetNames>
    <sheetDataSet>
      <sheetData sheetId="0" refreshError="1"/>
      <sheetData sheetId="1">
        <row r="2">
          <cell r="A2" t="str">
            <v>Aclara Biosciences Inc</v>
          </cell>
          <cell r="E2">
            <v>38322</v>
          </cell>
        </row>
        <row r="3">
          <cell r="A3" t="str">
            <v>5ZX 71060 0 J09</v>
          </cell>
          <cell r="E3">
            <v>38331</v>
          </cell>
        </row>
        <row r="4">
          <cell r="E4">
            <v>10</v>
          </cell>
        </row>
      </sheetData>
      <sheetData sheetId="2" refreshError="1"/>
      <sheetData sheetId="3" refreshError="1"/>
      <sheetData sheetId="4" refreshError="1"/>
      <sheetData sheetId="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ments"/>
      <sheetName val="Restructure schedule-revised"/>
      <sheetName val="MR Component Summary"/>
      <sheetName val="Usage Customer"/>
      <sheetName val="Late Charges"/>
    </sheetNames>
    <sheetDataSet>
      <sheetData sheetId="0"/>
      <sheetData sheetId="1"/>
      <sheetData sheetId="2" refreshError="1">
        <row r="20">
          <cell r="D20">
            <v>2307755.86</v>
          </cell>
        </row>
      </sheetData>
      <sheetData sheetId="3"/>
      <sheetData sheetId="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ORT"/>
      <sheetName val="\\Glasgow\accountrecons\windows"/>
    </sheetNames>
    <definedNames>
      <definedName name="Calcint"/>
    </definedNames>
    <sheetDataSet>
      <sheetData sheetId="0" refreshError="1"/>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tSettings"/>
      <sheetName val="SectList"/>
      <sheetName val="AcList"/>
      <sheetName val="DepList"/>
      <sheetName val="CurList"/>
      <sheetName val="SectTB"/>
      <sheetName val="SectCDTB"/>
      <sheetName val="AcTB"/>
      <sheetName val="AcCDTB"/>
      <sheetName val="Settings"/>
      <sheetName val="TB Scheme A"/>
      <sheetName val="TB Scheme B"/>
      <sheetName val="TB Scheme C"/>
      <sheetName val="TB Scheme D"/>
      <sheetName val="Check List"/>
      <sheetName val="History"/>
      <sheetName val="TB"/>
      <sheetName val="Data"/>
      <sheetName val="CFWorkings"/>
      <sheetName val="Cover"/>
      <sheetName val="Contents"/>
      <sheetName val="Information"/>
      <sheetName val="Director"/>
      <sheetName val="Responsibilities"/>
      <sheetName val="Audit"/>
      <sheetName val="Compilation"/>
      <sheetName val="Accountant"/>
      <sheetName val="PL"/>
      <sheetName val="RGL"/>
      <sheetName val="PL 1 Page"/>
      <sheetName val="BS"/>
      <sheetName val="CF"/>
      <sheetName val="BS 1 Page"/>
      <sheetName val="Cash Flow"/>
      <sheetName val="Notes"/>
      <sheetName val="DetailPL1"/>
      <sheetName val="DetailPL2"/>
      <sheetName val="AbbCover"/>
      <sheetName val="AbbAudit"/>
      <sheetName val="AbbCompilation"/>
      <sheetName val="AbbAccountant"/>
      <sheetName val="AbbBS"/>
      <sheetName val="AbbNotes"/>
      <sheetName val="Library"/>
      <sheetName val="Info Required"/>
      <sheetName val="FAR"/>
      <sheetName val="Tax Comp"/>
      <sheetName val="Workings"/>
      <sheetName val="VT_Results"/>
      <sheetName val="2004 05 SCS UK management acco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6">
          <cell r="C56" t="str">
            <v>Stem Cell Sciences (UK) Limited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_CIQHiddenCacheSheet"/>
      <sheetName val="Cover Page"/>
      <sheetName val="TOC"/>
      <sheetName val="ValSum"/>
      <sheetName val="Allocation Methods --&gt;"/>
      <sheetName val="PWERM"/>
      <sheetName val="Prob. of Exit"/>
      <sheetName val="Tranche Calculation"/>
      <sheetName val="WACC PWERM"/>
      <sheetName val="Financials --&gt;"/>
      <sheetName val="Hist IS"/>
      <sheetName val="Hist BS"/>
      <sheetName val="Captable details--&gt;"/>
      <sheetName val="Cap"/>
      <sheetName val="EconRights"/>
      <sheetName val="Waterfall"/>
      <sheetName val="GPC Approach --&gt;"/>
      <sheetName val="Revenue &amp; EBITDA Analysis"/>
      <sheetName val="Comps Description"/>
      <sheetName val="GT Approach --&gt;"/>
      <sheetName val="Transaction Metrics"/>
      <sheetName val="Transaction Desc."/>
      <sheetName val="Supporting Schedules --&gt;"/>
      <sheetName val="IPO Data"/>
      <sheetName val="Not Used --&gt;"/>
      <sheetName val="OPM I"/>
      <sheetName val="OPM II"/>
      <sheetName val="DLOM"/>
      <sheetName val="AssetVol"/>
      <sheetName val="Equity Volatility "/>
      <sheetName val="rNPV Approach --&gt;"/>
      <sheetName val="rNPV"/>
      <sheetName val="Beta"/>
      <sheetName val="Kcapital"/>
      <sheetName val="rNPV Workings"/>
      <sheetName val="Kcapital VC Return"/>
      <sheetName val="Sheet1"/>
      <sheetName val="Equity Allocation"/>
      <sheetName val="PWERM_nEW"/>
      <sheetName val="Mandelbaum Factors"/>
      <sheetName val="Multiples Analysis"/>
      <sheetName val="Key Metrics"/>
      <sheetName val="Transaction Valuation"/>
      <sheetName val="PBC --&gt;"/>
      <sheetName val="Summary"/>
      <sheetName val="2007 Plan"/>
      <sheetName val="IPO Data (3)"/>
      <sheetName val="Future Financing"/>
      <sheetName val="Risk Free Rates"/>
      <sheetName val="Equity Volatility - old"/>
      <sheetName val="Workpaper --&gt; "/>
    </sheetNames>
    <sheetDataSet>
      <sheetData sheetId="0">
        <row r="1">
          <cell r="C1" t="str">
            <v>Vivace Therapeutics, Inc.</v>
          </cell>
        </row>
        <row r="2">
          <cell r="C2">
            <v>42094</v>
          </cell>
        </row>
        <row r="4">
          <cell r="C4" t="str">
            <v>Common Stock Valuation as of March 31, 2015</v>
          </cell>
        </row>
        <row r="5">
          <cell r="C5" t="str">
            <v>RNA Advisors</v>
          </cell>
        </row>
        <row r="14">
          <cell r="C14" t="str">
            <v>CY 2015</v>
          </cell>
        </row>
        <row r="15">
          <cell r="C15" t="str">
            <v>CY 2016</v>
          </cell>
        </row>
        <row r="16">
          <cell r="C16" t="str">
            <v>CY 2017</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MultInputs"/>
      <sheetName val="Setup"/>
    </sheetNames>
    <sheetDataSet>
      <sheetData sheetId="0" refreshError="1"/>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ashboard"/>
      <sheetName val="Backend"/>
      <sheetName val="PTCL"/>
      <sheetName val="PTCL_Assumptions"/>
      <sheetName val="CTCL"/>
      <sheetName val="CTCL_Assumptions "/>
      <sheetName val="Sources"/>
    </sheetNames>
    <sheetDataSet>
      <sheetData sheetId="0"/>
      <sheetData sheetId="1">
        <row r="22">
          <cell r="AQ22" t="str">
            <v>US</v>
          </cell>
          <cell r="AR22" t="str">
            <v>PTCL</v>
          </cell>
          <cell r="AT22" t="str">
            <v>Patient Share</v>
          </cell>
        </row>
        <row r="23">
          <cell r="AQ23" t="str">
            <v>UK</v>
          </cell>
          <cell r="AR23" t="str">
            <v>CTCL</v>
          </cell>
          <cell r="AT23" t="str">
            <v>Market Share</v>
          </cell>
        </row>
        <row r="24">
          <cell r="AQ24" t="str">
            <v>Germany</v>
          </cell>
        </row>
        <row r="25">
          <cell r="AQ25" t="str">
            <v>France</v>
          </cell>
        </row>
        <row r="26">
          <cell r="AQ26" t="str">
            <v>Italy</v>
          </cell>
        </row>
        <row r="27">
          <cell r="AQ27" t="str">
            <v>Spain</v>
          </cell>
        </row>
      </sheetData>
      <sheetData sheetId="2"/>
      <sheetData sheetId="3"/>
      <sheetData sheetId="4"/>
      <sheetData sheetId="5"/>
      <sheetData sheetId="6"/>
      <sheetData sheetId="7"/>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Notes &amp; Assumptions"/>
      <sheetName val="Checklist"/>
      <sheetName val="Exhibits--&gt;&gt;"/>
      <sheetName val="Title"/>
      <sheetName val="Outline"/>
      <sheetName val="_CIQHiddenCacheSheet"/>
      <sheetName val="Val Summ"/>
      <sheetName val="Allocation Method &gt;&gt;"/>
      <sheetName val="PWERM"/>
      <sheetName val="Exit Probability"/>
      <sheetName val="PoTS"/>
      <sheetName val="FS &gt;&gt;"/>
      <sheetName val="Projections"/>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Convertible Notes"/>
      <sheetName val="Support FP &gt;&gt;"/>
      <sheetName val="Licensing Deals"/>
      <sheetName val="Licensing Deals_IO"/>
      <sheetName val="DLOM"/>
      <sheetName val="Asset Vol_PWERM"/>
      <sheetName val="Equity Vol"/>
      <sheetName val="Risk-Free Rates"/>
      <sheetName val="IPO Data"/>
      <sheetName val="IPO Data_selected"/>
      <sheetName val="Title_Workpapers &gt; &gt;"/>
      <sheetName val="Outline_Workpapers"/>
      <sheetName val="CVM"/>
      <sheetName val="Cash Burn Analysis"/>
      <sheetName val="Market Trends since Prior Val"/>
      <sheetName val="Comparative Sheet"/>
      <sheetName val="Exit Values Phase-wise"/>
      <sheetName val="Upfront-Milestone Payments"/>
      <sheetName val="PBC -&gt;&gt;&gt;"/>
      <sheetName val="1 Forecast"/>
      <sheetName val="2 Monthly Expense Actuals"/>
      <sheetName val="3 Cost Containment PlanMonthly"/>
      <sheetName val="Restructuring Model"/>
      <sheetName val="CAPIQ -&gt;&gt;&gt;"/>
      <sheetName val="Capital IQ Sheet-GPC"/>
      <sheetName val="Capital IQ Sheet-STM"/>
      <sheetName val="STM"/>
      <sheetName val="Capital IQ DATA"/>
      <sheetName val="&lt;DO NOT INCLUDE&gt;"/>
      <sheetName val="OPM 1"/>
      <sheetName val="OPM 2"/>
      <sheetName val="Class Vol"/>
      <sheetName val="Asset Vol_DLOM"/>
      <sheetName val="DLOM Rest Stock"/>
      <sheetName val="Lack Voting"/>
      <sheetName val="Comp.4"/>
      <sheetName val="Asset Vol_OPM"/>
      <sheetName val="Hybrid OPM"/>
      <sheetName val="OPM 1 Hybrid"/>
      <sheetName val="Asset Vol_IPO Late"/>
      <sheetName val="Asset Vol_M&amp;A Early"/>
      <sheetName val="Asset Vol_M&amp;A Late"/>
      <sheetName val="OPM 2 Hybrid"/>
      <sheetName val="DLOM Hybrid"/>
      <sheetName val="Asset Vol Hybrid"/>
      <sheetName val="Control Premium Summary"/>
      <sheetName val="GTM SUMM"/>
      <sheetName val="GCM SUMM"/>
      <sheetName val="WACC CAPM"/>
      <sheetName val="Beta Calc"/>
      <sheetName val="Comp.2"/>
      <sheetName val="Comp.5"/>
      <sheetName val="List Data"/>
      <sheetName val="Template Detai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Notes &amp; Assumptions"/>
      <sheetName val="Checklist"/>
      <sheetName val="Exhibits--&gt;&gt;"/>
      <sheetName val="Title"/>
      <sheetName val="Outline"/>
      <sheetName val="_CIQHiddenCacheSheet"/>
      <sheetName val="Val Summ"/>
      <sheetName val="Allocation Method &gt;&gt;"/>
      <sheetName val="PWERM"/>
      <sheetName val="Exit Probability"/>
      <sheetName val="PoTS"/>
      <sheetName val="FS &gt;&gt;"/>
      <sheetName val="Projections"/>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Convertible Notes"/>
      <sheetName val="Support FP &gt;&gt;"/>
      <sheetName val="Licensing Deals"/>
      <sheetName val="Licensing Deals_IO"/>
      <sheetName val="DLOM"/>
      <sheetName val="Asset Vol_PWERM"/>
      <sheetName val="Equity Vol"/>
      <sheetName val="Risk-Free Rates"/>
      <sheetName val="IPO Data"/>
      <sheetName val="IPO Data_selected"/>
      <sheetName val="Title_Workpapers &gt; &gt;"/>
      <sheetName val="Outline_Workpapers"/>
      <sheetName val="CVM"/>
      <sheetName val="Cash Burn Analysis"/>
      <sheetName val="Market Trends since Prior Val"/>
      <sheetName val="Comparative Sheet"/>
      <sheetName val="Exit Values Phase-wise"/>
      <sheetName val="Upfront-Milestone Payments"/>
      <sheetName val="PBC -&gt;&gt;&gt;"/>
      <sheetName val="1 Forecast"/>
      <sheetName val="2 Monthly Expense Actuals"/>
      <sheetName val="3 Cost Containment PlanMonthly"/>
      <sheetName val="Restructuring Model"/>
      <sheetName val="CAPIQ -&gt;&gt;&gt;"/>
      <sheetName val="Capital IQ Sheet-GPC"/>
      <sheetName val="Capital IQ Sheet-STM"/>
      <sheetName val="STM"/>
      <sheetName val="Capital IQ DATA"/>
      <sheetName val="&lt;DO NOT INCLUDE&gt;"/>
      <sheetName val="OPM 1"/>
      <sheetName val="OPM 2"/>
      <sheetName val="Class Vol"/>
      <sheetName val="Asset Vol_DLOM"/>
      <sheetName val="DLOM Rest Stock"/>
      <sheetName val="Lack Voting"/>
      <sheetName val="Comp.4"/>
      <sheetName val="Asset Vol_OPM"/>
      <sheetName val="Hybrid OPM"/>
      <sheetName val="OPM 1 Hybrid"/>
      <sheetName val="Asset Vol_IPO Late"/>
      <sheetName val="Asset Vol_M&amp;A Early"/>
      <sheetName val="Asset Vol_M&amp;A Late"/>
      <sheetName val="OPM 2 Hybrid"/>
      <sheetName val="DLOM Hybrid"/>
      <sheetName val="Asset Vol Hybrid"/>
      <sheetName val="Control Premium Summary"/>
      <sheetName val="GTM SUMM"/>
      <sheetName val="GCM SUMM"/>
      <sheetName val="WACC CAPM"/>
      <sheetName val="Beta Calc"/>
      <sheetName val="Comp.2"/>
      <sheetName val="Comp.5"/>
      <sheetName val="List Data"/>
      <sheetName val="Template Detai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count"/>
      <sheetName val="Debt"/>
      <sheetName val="P&amp;V"/>
      <sheetName val="Summary"/>
      <sheetName val="Annual IS Expense Assumptions"/>
      <sheetName val="Revenue Assumptions and Summary"/>
      <sheetName val="Quarterly Income Statement"/>
      <sheetName val="Quarterly Balance Sheet"/>
      <sheetName val="Quarterly Cashflow Statement"/>
      <sheetName val="COGS Actual"/>
      <sheetName val="VeriStrat Revenue Forecast"/>
      <sheetName val="GeneStrat Revenue Forecast"/>
      <sheetName val="BDX010 Revenue Forecast"/>
      <sheetName val="ITx-Melanoma Revenue Forecast"/>
      <sheetName val="ITx-Lung Revenue Forecast"/>
      <sheetName val="Ovarian Revenue Forecast"/>
      <sheetName val="CDx Revenue Forecast"/>
      <sheetName val="Bus Dev Revenue"/>
      <sheetName val="License Royalty Income"/>
      <sheetName val="Selling Expenses"/>
      <sheetName val="Data export for P&amp;L"/>
      <sheetName val="VeriStrat_Sales_Model"/>
      <sheetName val="BDX010"/>
      <sheetName val="ImmunoDX-Melanoma"/>
      <sheetName val="ImmunoDX-Lung"/>
      <sheetName val="Ovarian"/>
      <sheetName val="CDX3"/>
      <sheetName val="CDX4"/>
      <sheetName val="CDX5"/>
      <sheetName val="CDX6"/>
      <sheetName val="SalesRepsAdded"/>
      <sheetName val="Lookup"/>
      <sheetName val="2 Monthly Expense Actuals"/>
    </sheetNames>
    <sheetDataSet>
      <sheetData sheetId="0" refreshError="1"/>
      <sheetData sheetId="1" refreshError="1"/>
      <sheetData sheetId="2" refreshError="1"/>
      <sheetData sheetId="3" refreshError="1"/>
      <sheetData sheetId="4" refreshError="1"/>
      <sheetData sheetId="5">
        <row r="24">
          <cell r="T24" t="str">
            <v>Sales Rep</v>
          </cell>
        </row>
        <row r="25">
          <cell r="T25" t="str">
            <v>Account Manager</v>
          </cell>
        </row>
      </sheetData>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2">
          <cell r="K2">
            <v>42552</v>
          </cell>
        </row>
        <row r="3">
          <cell r="K3">
            <v>42583</v>
          </cell>
        </row>
        <row r="4">
          <cell r="K4">
            <v>42614</v>
          </cell>
        </row>
        <row r="5">
          <cell r="K5">
            <v>42644</v>
          </cell>
        </row>
        <row r="6">
          <cell r="K6">
            <v>42675</v>
          </cell>
        </row>
        <row r="7">
          <cell r="K7">
            <v>42705</v>
          </cell>
        </row>
        <row r="8">
          <cell r="K8">
            <v>42736</v>
          </cell>
        </row>
        <row r="9">
          <cell r="K9">
            <v>42767</v>
          </cell>
        </row>
        <row r="10">
          <cell r="K10">
            <v>42795</v>
          </cell>
        </row>
        <row r="11">
          <cell r="K11">
            <v>42826</v>
          </cell>
        </row>
        <row r="12">
          <cell r="K12">
            <v>42856</v>
          </cell>
        </row>
        <row r="13">
          <cell r="K13">
            <v>42887</v>
          </cell>
        </row>
        <row r="14">
          <cell r="K14">
            <v>42917</v>
          </cell>
        </row>
        <row r="15">
          <cell r="K15">
            <v>42948</v>
          </cell>
        </row>
        <row r="16">
          <cell r="K16">
            <v>42979</v>
          </cell>
        </row>
        <row r="17">
          <cell r="K17">
            <v>43009</v>
          </cell>
        </row>
        <row r="18">
          <cell r="K18">
            <v>43040</v>
          </cell>
        </row>
        <row r="19">
          <cell r="K19">
            <v>43070</v>
          </cell>
        </row>
        <row r="20">
          <cell r="K20">
            <v>43101</v>
          </cell>
        </row>
        <row r="21">
          <cell r="K21">
            <v>43132</v>
          </cell>
        </row>
        <row r="22">
          <cell r="K22">
            <v>43160</v>
          </cell>
        </row>
        <row r="23">
          <cell r="K23">
            <v>43191</v>
          </cell>
        </row>
        <row r="24">
          <cell r="K24">
            <v>43221</v>
          </cell>
        </row>
        <row r="25">
          <cell r="K25">
            <v>43252</v>
          </cell>
        </row>
        <row r="26">
          <cell r="K26">
            <v>43282</v>
          </cell>
        </row>
        <row r="27">
          <cell r="K27">
            <v>43313</v>
          </cell>
        </row>
        <row r="28">
          <cell r="K28">
            <v>43344</v>
          </cell>
        </row>
        <row r="29">
          <cell r="K29">
            <v>43374</v>
          </cell>
        </row>
        <row r="30">
          <cell r="K30">
            <v>43405</v>
          </cell>
        </row>
        <row r="31">
          <cell r="K31">
            <v>43435</v>
          </cell>
        </row>
        <row r="32">
          <cell r="K32">
            <v>43466</v>
          </cell>
        </row>
        <row r="33">
          <cell r="K33">
            <v>43497</v>
          </cell>
        </row>
        <row r="34">
          <cell r="K34">
            <v>43525</v>
          </cell>
        </row>
        <row r="35">
          <cell r="K35">
            <v>43556</v>
          </cell>
        </row>
        <row r="36">
          <cell r="K36">
            <v>43586</v>
          </cell>
        </row>
        <row r="37">
          <cell r="K37">
            <v>43617</v>
          </cell>
        </row>
        <row r="38">
          <cell r="K38">
            <v>43647</v>
          </cell>
        </row>
        <row r="39">
          <cell r="K39">
            <v>43678</v>
          </cell>
        </row>
        <row r="40">
          <cell r="K40">
            <v>43709</v>
          </cell>
        </row>
        <row r="41">
          <cell r="K41">
            <v>43739</v>
          </cell>
        </row>
        <row r="42">
          <cell r="K42">
            <v>43770</v>
          </cell>
        </row>
        <row r="43">
          <cell r="K43">
            <v>43800</v>
          </cell>
        </row>
        <row r="44">
          <cell r="K44">
            <v>43831</v>
          </cell>
        </row>
        <row r="45">
          <cell r="K45">
            <v>43862</v>
          </cell>
        </row>
        <row r="46">
          <cell r="K46">
            <v>43891</v>
          </cell>
        </row>
        <row r="47">
          <cell r="K47">
            <v>43922</v>
          </cell>
        </row>
        <row r="48">
          <cell r="K48">
            <v>43952</v>
          </cell>
        </row>
        <row r="49">
          <cell r="K49">
            <v>43983</v>
          </cell>
        </row>
        <row r="50">
          <cell r="K50">
            <v>44013</v>
          </cell>
        </row>
        <row r="51">
          <cell r="K51">
            <v>44044</v>
          </cell>
        </row>
        <row r="52">
          <cell r="K52">
            <v>44075</v>
          </cell>
        </row>
        <row r="53">
          <cell r="K53">
            <v>44105</v>
          </cell>
        </row>
        <row r="54">
          <cell r="K54">
            <v>44136</v>
          </cell>
        </row>
        <row r="55">
          <cell r="K55">
            <v>44166</v>
          </cell>
        </row>
      </sheetData>
      <sheetData sheetId="32"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ountry View"/>
      <sheetName val="Product View"/>
      <sheetName val="Backend"/>
    </sheetNames>
    <sheetDataSet>
      <sheetData sheetId="0"/>
      <sheetData sheetId="1">
        <row r="18">
          <cell r="AM18" t="str">
            <v>Sales</v>
          </cell>
          <cell r="AO18" t="str">
            <v>Top7</v>
          </cell>
          <cell r="AP18" t="str">
            <v>Revlimid (lenalidomide)</v>
          </cell>
          <cell r="AS18">
            <v>2011</v>
          </cell>
        </row>
        <row r="19">
          <cell r="AM19" t="str">
            <v>Patients</v>
          </cell>
          <cell r="AO19" t="str">
            <v>EU5</v>
          </cell>
          <cell r="AP19" t="str">
            <v>Velcade (bortezomib)</v>
          </cell>
          <cell r="AS19">
            <v>2012</v>
          </cell>
        </row>
        <row r="20">
          <cell r="AO20" t="str">
            <v>US</v>
          </cell>
          <cell r="AP20" t="str">
            <v>Actimid (pomalidomide)</v>
          </cell>
          <cell r="AS20">
            <v>2013</v>
          </cell>
        </row>
        <row r="21">
          <cell r="AO21" t="str">
            <v>UK</v>
          </cell>
          <cell r="AP21" t="str">
            <v>Aplidin (plitidepsin)</v>
          </cell>
          <cell r="AS21">
            <v>2014</v>
          </cell>
        </row>
        <row r="22">
          <cell r="AO22" t="str">
            <v>France</v>
          </cell>
          <cell r="AP22" t="str">
            <v>Carfilzomib</v>
          </cell>
          <cell r="AS22">
            <v>2015</v>
          </cell>
        </row>
        <row r="23">
          <cell r="AO23" t="str">
            <v>Germany</v>
          </cell>
          <cell r="AP23" t="str">
            <v>Elotuzumab</v>
          </cell>
          <cell r="AS23">
            <v>2016</v>
          </cell>
        </row>
        <row r="24">
          <cell r="AO24" t="str">
            <v>Italy</v>
          </cell>
          <cell r="AP24" t="str">
            <v>Panobinostat</v>
          </cell>
          <cell r="AS24">
            <v>2017</v>
          </cell>
        </row>
        <row r="25">
          <cell r="AO25" t="str">
            <v>Spain</v>
          </cell>
          <cell r="AP25" t="str">
            <v>Perifosine</v>
          </cell>
          <cell r="AS25">
            <v>2018</v>
          </cell>
        </row>
        <row r="26">
          <cell r="AO26" t="str">
            <v>Japan</v>
          </cell>
          <cell r="AP26" t="str">
            <v>Zolinza (vorinostat)</v>
          </cell>
        </row>
      </sheetData>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hina Epidemiology"/>
      <sheetName val="Prd Asmp"/>
      <sheetName val="Prd Summary"/>
      <sheetName val="Market size"/>
      <sheetName val="Sources"/>
      <sheetName val="ACOT"/>
      <sheetName val="Filter"/>
      <sheetName val="Data"/>
      <sheetName val="Volume"/>
      <sheetName val="Value"/>
      <sheetName val="CostofTherapy"/>
      <sheetName val="Scratch Pad1"/>
      <sheetName val="Scratch Pad2"/>
      <sheetName val="Pivot"/>
    </sheetNames>
    <sheetDataSet>
      <sheetData sheetId="0"/>
      <sheetData sheetId="1"/>
      <sheetData sheetId="2"/>
      <sheetData sheetId="3"/>
      <sheetData sheetId="4"/>
      <sheetData sheetId="5">
        <row r="56">
          <cell r="M56">
            <v>5</v>
          </cell>
        </row>
      </sheetData>
      <sheetData sheetId="6"/>
      <sheetData sheetId="7" refreshError="1"/>
      <sheetData sheetId="8"/>
      <sheetData sheetId="9">
        <row r="4">
          <cell r="A4" t="str">
            <v>CountryName</v>
          </cell>
          <cell r="B4" t="str">
            <v>Therapy Area</v>
          </cell>
          <cell r="C4" t="str">
            <v>Indication</v>
          </cell>
          <cell r="D4" t="str">
            <v>Measure</v>
          </cell>
          <cell r="E4" t="str">
            <v>Denomination</v>
          </cell>
          <cell r="F4" t="str">
            <v>[2000]</v>
          </cell>
          <cell r="G4" t="str">
            <v>[2001]</v>
          </cell>
          <cell r="H4" t="str">
            <v>[2002]</v>
          </cell>
          <cell r="I4" t="str">
            <v>[2003]</v>
          </cell>
          <cell r="J4" t="str">
            <v>[2004]</v>
          </cell>
          <cell r="K4" t="str">
            <v>[2005]</v>
          </cell>
          <cell r="L4" t="str">
            <v>[2006]</v>
          </cell>
          <cell r="M4" t="str">
            <v>[2007]</v>
          </cell>
          <cell r="N4" t="str">
            <v>[2008]</v>
          </cell>
          <cell r="O4" t="str">
            <v>[2009]</v>
          </cell>
          <cell r="P4" t="str">
            <v>[2010]</v>
          </cell>
          <cell r="Q4" t="str">
            <v>[2011]</v>
          </cell>
          <cell r="R4" t="str">
            <v>[2012]</v>
          </cell>
          <cell r="S4" t="str">
            <v>[2013]</v>
          </cell>
          <cell r="T4" t="str">
            <v>[2014]</v>
          </cell>
          <cell r="U4" t="str">
            <v>[2015]</v>
          </cell>
          <cell r="V4" t="str">
            <v>[2016]</v>
          </cell>
        </row>
        <row r="5">
          <cell r="A5" t="e">
            <v>#REF!</v>
          </cell>
          <cell r="B5" t="str">
            <v>Oncology</v>
          </cell>
          <cell r="C5" t="e">
            <v>#REF!</v>
          </cell>
          <cell r="D5" t="str">
            <v>Prevalence Rate</v>
          </cell>
          <cell r="E5" t="str">
            <v>Percentage</v>
          </cell>
          <cell r="H5" t="e">
            <v>#REF!</v>
          </cell>
          <cell r="I5" t="e">
            <v>#REF!</v>
          </cell>
          <cell r="J5" t="e">
            <v>#REF!</v>
          </cell>
          <cell r="K5" t="e">
            <v>#REF!</v>
          </cell>
          <cell r="L5" t="e">
            <v>#REF!</v>
          </cell>
          <cell r="M5" t="e">
            <v>#REF!</v>
          </cell>
          <cell r="N5" t="e">
            <v>#REF!</v>
          </cell>
          <cell r="O5" t="e">
            <v>#REF!</v>
          </cell>
          <cell r="P5" t="e">
            <v>#REF!</v>
          </cell>
          <cell r="Q5" t="e">
            <v>#REF!</v>
          </cell>
          <cell r="R5" t="e">
            <v>#REF!</v>
          </cell>
          <cell r="S5" t="e">
            <v>#REF!</v>
          </cell>
          <cell r="T5" t="e">
            <v>#REF!</v>
          </cell>
          <cell r="U5" t="e">
            <v>#REF!</v>
          </cell>
          <cell r="V5" t="e">
            <v>#REF!</v>
          </cell>
        </row>
        <row r="6">
          <cell r="A6" t="e">
            <v>#REF!</v>
          </cell>
          <cell r="B6" t="str">
            <v>Oncology</v>
          </cell>
          <cell r="C6" t="e">
            <v>#REF!</v>
          </cell>
          <cell r="D6" t="str">
            <v>Diseased Population</v>
          </cell>
          <cell r="E6" t="str">
            <v>Absolute</v>
          </cell>
          <cell r="H6" t="e">
            <v>#REF!</v>
          </cell>
          <cell r="I6" t="e">
            <v>#REF!</v>
          </cell>
          <cell r="J6" t="e">
            <v>#REF!</v>
          </cell>
          <cell r="K6" t="e">
            <v>#REF!</v>
          </cell>
          <cell r="L6" t="e">
            <v>#REF!</v>
          </cell>
          <cell r="M6" t="e">
            <v>#REF!</v>
          </cell>
          <cell r="N6" t="e">
            <v>#REF!</v>
          </cell>
          <cell r="O6" t="e">
            <v>#REF!</v>
          </cell>
          <cell r="P6" t="e">
            <v>#REF!</v>
          </cell>
          <cell r="Q6" t="e">
            <v>#REF!</v>
          </cell>
          <cell r="R6" t="e">
            <v>#REF!</v>
          </cell>
          <cell r="S6" t="e">
            <v>#REF!</v>
          </cell>
          <cell r="T6" t="e">
            <v>#REF!</v>
          </cell>
          <cell r="U6" t="e">
            <v>#REF!</v>
          </cell>
          <cell r="V6" t="e">
            <v>#REF!</v>
          </cell>
        </row>
        <row r="7">
          <cell r="A7" t="e">
            <v>#REF!</v>
          </cell>
          <cell r="B7" t="str">
            <v>Oncology</v>
          </cell>
          <cell r="C7" t="e">
            <v>#REF!</v>
          </cell>
          <cell r="D7" t="str">
            <v>Diagnosis Rate</v>
          </cell>
          <cell r="E7" t="str">
            <v>Percentage</v>
          </cell>
          <cell r="H7" t="e">
            <v>#REF!</v>
          </cell>
          <cell r="I7" t="e">
            <v>#REF!</v>
          </cell>
          <cell r="J7" t="e">
            <v>#REF!</v>
          </cell>
          <cell r="K7" t="e">
            <v>#REF!</v>
          </cell>
          <cell r="L7" t="e">
            <v>#REF!</v>
          </cell>
          <cell r="M7" t="e">
            <v>#REF!</v>
          </cell>
          <cell r="N7" t="e">
            <v>#REF!</v>
          </cell>
          <cell r="O7" t="e">
            <v>#REF!</v>
          </cell>
          <cell r="P7" t="e">
            <v>#REF!</v>
          </cell>
          <cell r="Q7" t="e">
            <v>#REF!</v>
          </cell>
          <cell r="R7" t="e">
            <v>#REF!</v>
          </cell>
          <cell r="S7" t="e">
            <v>#REF!</v>
          </cell>
          <cell r="T7" t="e">
            <v>#REF!</v>
          </cell>
          <cell r="U7" t="e">
            <v>#REF!</v>
          </cell>
          <cell r="V7" t="e">
            <v>#REF!</v>
          </cell>
        </row>
        <row r="8">
          <cell r="A8" t="e">
            <v>#REF!</v>
          </cell>
          <cell r="B8" t="str">
            <v>Oncology</v>
          </cell>
          <cell r="C8" t="e">
            <v>#REF!</v>
          </cell>
          <cell r="D8" t="str">
            <v>Diagnosed Population</v>
          </cell>
          <cell r="E8" t="str">
            <v>Absolute</v>
          </cell>
          <cell r="H8" t="e">
            <v>#REF!</v>
          </cell>
          <cell r="I8" t="e">
            <v>#REF!</v>
          </cell>
          <cell r="J8" t="e">
            <v>#REF!</v>
          </cell>
          <cell r="K8" t="e">
            <v>#REF!</v>
          </cell>
          <cell r="L8" t="e">
            <v>#REF!</v>
          </cell>
          <cell r="M8" t="e">
            <v>#REF!</v>
          </cell>
          <cell r="N8" t="e">
            <v>#REF!</v>
          </cell>
          <cell r="O8" t="e">
            <v>#REF!</v>
          </cell>
          <cell r="P8" t="e">
            <v>#REF!</v>
          </cell>
          <cell r="Q8" t="e">
            <v>#REF!</v>
          </cell>
          <cell r="R8" t="e">
            <v>#REF!</v>
          </cell>
          <cell r="S8" t="e">
            <v>#REF!</v>
          </cell>
          <cell r="T8" t="e">
            <v>#REF!</v>
          </cell>
          <cell r="U8" t="e">
            <v>#REF!</v>
          </cell>
          <cell r="V8" t="e">
            <v>#REF!</v>
          </cell>
        </row>
        <row r="9">
          <cell r="A9" t="e">
            <v>#REF!</v>
          </cell>
          <cell r="B9" t="str">
            <v>Oncology</v>
          </cell>
          <cell r="C9" t="e">
            <v>#REF!</v>
          </cell>
          <cell r="D9" t="str">
            <v>Treatment Seeking rate</v>
          </cell>
          <cell r="E9" t="str">
            <v>Percentage</v>
          </cell>
          <cell r="H9" t="e">
            <v>#REF!</v>
          </cell>
          <cell r="I9" t="e">
            <v>#REF!</v>
          </cell>
          <cell r="J9" t="e">
            <v>#REF!</v>
          </cell>
          <cell r="K9" t="e">
            <v>#REF!</v>
          </cell>
          <cell r="L9" t="e">
            <v>#REF!</v>
          </cell>
          <cell r="M9" t="e">
            <v>#REF!</v>
          </cell>
          <cell r="N9" t="e">
            <v>#REF!</v>
          </cell>
          <cell r="O9" t="e">
            <v>#REF!</v>
          </cell>
          <cell r="P9" t="e">
            <v>#REF!</v>
          </cell>
          <cell r="Q9" t="e">
            <v>#REF!</v>
          </cell>
          <cell r="R9" t="e">
            <v>#REF!</v>
          </cell>
          <cell r="S9" t="e">
            <v>#REF!</v>
          </cell>
          <cell r="T9" t="e">
            <v>#REF!</v>
          </cell>
          <cell r="U9" t="e">
            <v>#REF!</v>
          </cell>
          <cell r="V9" t="e">
            <v>#REF!</v>
          </cell>
        </row>
        <row r="10">
          <cell r="A10" t="e">
            <v>#REF!</v>
          </cell>
          <cell r="B10" t="str">
            <v>Oncology</v>
          </cell>
          <cell r="C10" t="e">
            <v>#REF!</v>
          </cell>
          <cell r="D10" t="str">
            <v>Treatment Seeking Population</v>
          </cell>
          <cell r="E10" t="str">
            <v>Absolute</v>
          </cell>
          <cell r="H10" t="e">
            <v>#REF!</v>
          </cell>
          <cell r="I10" t="e">
            <v>#REF!</v>
          </cell>
          <cell r="J10" t="e">
            <v>#REF!</v>
          </cell>
          <cell r="K10" t="e">
            <v>#REF!</v>
          </cell>
          <cell r="L10" t="e">
            <v>#REF!</v>
          </cell>
          <cell r="M10" t="e">
            <v>#REF!</v>
          </cell>
          <cell r="N10" t="e">
            <v>#REF!</v>
          </cell>
          <cell r="O10" t="e">
            <v>#REF!</v>
          </cell>
          <cell r="P10" t="e">
            <v>#REF!</v>
          </cell>
          <cell r="Q10" t="e">
            <v>#REF!</v>
          </cell>
          <cell r="R10" t="e">
            <v>#REF!</v>
          </cell>
          <cell r="S10" t="e">
            <v>#REF!</v>
          </cell>
          <cell r="T10" t="e">
            <v>#REF!</v>
          </cell>
          <cell r="U10" t="e">
            <v>#REF!</v>
          </cell>
          <cell r="V10" t="e">
            <v>#REF!</v>
          </cell>
        </row>
      </sheetData>
      <sheetData sheetId="10">
        <row r="4">
          <cell r="A4" t="str">
            <v>CountryName</v>
          </cell>
          <cell r="B4" t="str">
            <v>Therapy Area</v>
          </cell>
          <cell r="C4" t="str">
            <v>Indication</v>
          </cell>
          <cell r="D4" t="str">
            <v>Currency</v>
          </cell>
          <cell r="E4" t="str">
            <v>Denomination</v>
          </cell>
          <cell r="F4" t="str">
            <v>[2000]</v>
          </cell>
          <cell r="G4" t="str">
            <v>[2001]</v>
          </cell>
          <cell r="H4" t="str">
            <v>[2002]</v>
          </cell>
          <cell r="I4" t="str">
            <v>[2003]</v>
          </cell>
          <cell r="J4" t="str">
            <v>[2004]</v>
          </cell>
          <cell r="K4" t="str">
            <v>[2005]</v>
          </cell>
          <cell r="L4" t="str">
            <v>[2006]</v>
          </cell>
          <cell r="M4" t="str">
            <v>[2007]</v>
          </cell>
          <cell r="N4" t="str">
            <v>[2008]</v>
          </cell>
          <cell r="O4" t="str">
            <v>[2009]</v>
          </cell>
          <cell r="P4" t="str">
            <v>[2010]</v>
          </cell>
          <cell r="Q4" t="str">
            <v>[2011]</v>
          </cell>
          <cell r="R4" t="str">
            <v>[2012]</v>
          </cell>
          <cell r="S4" t="str">
            <v>[2013]</v>
          </cell>
          <cell r="T4" t="str">
            <v>[2014]</v>
          </cell>
          <cell r="U4" t="str">
            <v>[2015]</v>
          </cell>
          <cell r="V4" t="str">
            <v>[2016]</v>
          </cell>
        </row>
        <row r="5">
          <cell r="A5" t="e">
            <v>#REF!</v>
          </cell>
          <cell r="B5" t="str">
            <v>Oncology</v>
          </cell>
          <cell r="C5" t="e">
            <v>#REF!</v>
          </cell>
          <cell r="D5" t="str">
            <v>USD</v>
          </cell>
          <cell r="E5" t="str">
            <v>Million</v>
          </cell>
          <cell r="H5">
            <v>204.36</v>
          </cell>
          <cell r="I5">
            <v>219.98</v>
          </cell>
          <cell r="J5">
            <v>238.34</v>
          </cell>
          <cell r="K5">
            <v>258.61</v>
          </cell>
          <cell r="L5">
            <v>282.45999999999998</v>
          </cell>
          <cell r="M5">
            <v>306.13</v>
          </cell>
          <cell r="N5">
            <v>332.97</v>
          </cell>
          <cell r="O5">
            <v>365.37</v>
          </cell>
          <cell r="P5">
            <v>398.55</v>
          </cell>
          <cell r="Q5">
            <v>433.79</v>
          </cell>
          <cell r="R5">
            <v>471.5</v>
          </cell>
          <cell r="S5">
            <v>511.81</v>
          </cell>
          <cell r="T5">
            <v>569.73</v>
          </cell>
          <cell r="U5">
            <v>621.91999999999996</v>
          </cell>
          <cell r="V5">
            <v>679.08</v>
          </cell>
        </row>
      </sheetData>
      <sheetData sheetId="11">
        <row r="4">
          <cell r="A4" t="str">
            <v>CountryName</v>
          </cell>
          <cell r="B4" t="str">
            <v>Therapy Area</v>
          </cell>
          <cell r="C4" t="str">
            <v>Indication</v>
          </cell>
          <cell r="D4" t="str">
            <v>Currency</v>
          </cell>
          <cell r="E4" t="str">
            <v>Denomination</v>
          </cell>
          <cell r="F4" t="str">
            <v>[2000]</v>
          </cell>
          <cell r="G4" t="str">
            <v>[2001]</v>
          </cell>
          <cell r="H4" t="str">
            <v>[2002]</v>
          </cell>
          <cell r="I4" t="str">
            <v>[2003]</v>
          </cell>
          <cell r="J4" t="str">
            <v>[2004]</v>
          </cell>
          <cell r="K4" t="str">
            <v>[2005]</v>
          </cell>
          <cell r="L4" t="str">
            <v>[2006]</v>
          </cell>
          <cell r="M4" t="str">
            <v>[2007]</v>
          </cell>
          <cell r="N4" t="str">
            <v>[2008]</v>
          </cell>
          <cell r="O4" t="str">
            <v>[2009]</v>
          </cell>
          <cell r="P4" t="str">
            <v>[2010]</v>
          </cell>
          <cell r="Q4" t="str">
            <v>[2011]</v>
          </cell>
          <cell r="R4" t="str">
            <v>[2012]</v>
          </cell>
          <cell r="S4" t="str">
            <v>[2013]</v>
          </cell>
          <cell r="T4" t="str">
            <v>[2014]</v>
          </cell>
          <cell r="U4" t="str">
            <v>[2015]</v>
          </cell>
          <cell r="V4" t="str">
            <v>[2016]</v>
          </cell>
          <cell r="W4" t="str">
            <v>[2017]</v>
          </cell>
          <cell r="X4" t="str">
            <v>[2018]</v>
          </cell>
          <cell r="Y4" t="str">
            <v>[2019]</v>
          </cell>
          <cell r="Z4" t="str">
            <v>[2020]</v>
          </cell>
          <cell r="AA4" t="str">
            <v>Source</v>
          </cell>
          <cell r="AB4" t="str">
            <v>Remarks</v>
          </cell>
        </row>
        <row r="5">
          <cell r="A5" t="e">
            <v>#REF!</v>
          </cell>
          <cell r="B5" t="str">
            <v>Oncology</v>
          </cell>
          <cell r="C5" t="e">
            <v>#REF!</v>
          </cell>
          <cell r="D5" t="str">
            <v>USD</v>
          </cell>
          <cell r="E5" t="str">
            <v>As Is</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row>
      </sheetData>
      <sheetData sheetId="12"/>
      <sheetData sheetId="13"/>
      <sheetData sheetId="14"/>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Inputs"/>
      <sheetName val="RAW_DATA"/>
      <sheetName val="List Data"/>
      <sheetName val="_CIQHiddenCacheSheet"/>
      <sheetName val="Pub Rev C-1"/>
      <sheetName val="Pub EBITDA C-2"/>
      <sheetName val="Pub C-3"/>
      <sheetName val="Pub C-4"/>
      <sheetName val="Pub C-5"/>
      <sheetName val="Pub IPO C-6"/>
      <sheetName val="Pub IPO C-7"/>
      <sheetName val="M&amp;A D-1"/>
      <sheetName val="M&amp;A D-2"/>
      <sheetName val="WACC E-2"/>
      <sheetName val="WACC E-3"/>
      <sheetName val="WACC E-4"/>
      <sheetName val="OPM Equity Vols I-4"/>
      <sheetName val="OPM Asset Vol I-5"/>
      <sheetName val="OPM Asset Vol I-5 (b)"/>
      <sheetName val="OPM DLOMs I-6"/>
      <sheetName val="RSS DLOM"/>
      <sheetName val="Rf"/>
      <sheetName val="Rm"/>
      <sheetName val="Rs-Ibbot"/>
      <sheetName val="Rs-D&amp;P"/>
      <sheetName val="Cost of Debt"/>
      <sheetName val="Beta"/>
    </sheetNames>
    <sheetDataSet>
      <sheetData sheetId="0" refreshError="1"/>
      <sheetData sheetId="1" refreshError="1"/>
      <sheetData sheetId="2">
        <row r="5">
          <cell r="B5" t="str">
            <v>Not Assigned</v>
          </cell>
          <cell r="C5" t="str">
            <v>Not Assigned</v>
          </cell>
          <cell r="D5" t="str">
            <v>Not Assigned</v>
          </cell>
        </row>
        <row r="6">
          <cell r="B6" t="str">
            <v>Channing Hamlet</v>
          </cell>
          <cell r="C6" t="str">
            <v>Daniel Shia</v>
          </cell>
          <cell r="D6" t="str">
            <v>Pratik</v>
          </cell>
        </row>
        <row r="7">
          <cell r="B7" t="str">
            <v>Wade Hansen</v>
          </cell>
          <cell r="C7" t="str">
            <v>Isabel</v>
          </cell>
          <cell r="D7" t="str">
            <v>Upasak</v>
          </cell>
        </row>
        <row r="8">
          <cell r="B8" t="str">
            <v>Russ Zanetti</v>
          </cell>
          <cell r="D8" t="str">
            <v>Nishma</v>
          </cell>
        </row>
        <row r="9">
          <cell r="B9" t="str">
            <v>Mitzi Lazich</v>
          </cell>
          <cell r="D9" t="str">
            <v>Rakshit</v>
          </cell>
        </row>
        <row r="10">
          <cell r="B10" t="str">
            <v>Jamie Burres</v>
          </cell>
          <cell r="D10" t="str">
            <v>Anshuman</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Setup - IP Val"/>
      <sheetName val="_CIQHiddenCacheSheet"/>
      <sheetName val="Cover Page IP Val"/>
      <sheetName val="TOC"/>
      <sheetName val="ValSum IP Val"/>
      <sheetName val="Technology - Summary"/>
      <sheetName val="Technology - MPEE"/>
      <sheetName val="CAC"/>
      <sheetName val="Technology - RFR"/>
      <sheetName val="Technology - Transactions"/>
      <sheetName val="Technology - Cost"/>
      <sheetName val="Brand IP - RFR"/>
      <sheetName val="Brand IP - Transactions"/>
      <sheetName val="Projections"/>
      <sheetName val="WACC"/>
      <sheetName val="Beta"/>
      <sheetName val="Balance Sheet"/>
      <sheetName val="Income Statement"/>
      <sheetName val="GPC"/>
      <sheetName val="GPC Metrics"/>
      <sheetName val="GPC Desc"/>
      <sheetName val="PBC"/>
      <sheetName val="WARA"/>
      <sheetName val="Customer Contracts"/>
      <sheetName val="Projections 2016-2018"/>
      <sheetName val="BS 2010-2012"/>
      <sheetName val="PBC_Cash Flow"/>
      <sheetName val="IS FY 2010 - 2012"/>
      <sheetName val="CF 2010-1013"/>
      <sheetName val="PBC _ Budget 2015"/>
      <sheetName val="Workforce for Technology"/>
      <sheetName val="Assembled Workforce"/>
      <sheetName val="IS"/>
      <sheetName val="BS"/>
      <sheetName val="CF"/>
      <sheetName val="YTD PL"/>
      <sheetName val="02.28.2015 BS"/>
      <sheetName val="Salaries"/>
      <sheetName val="Monthly BS &amp; CF Drivers"/>
      <sheetName val="Depreciation - MACRS"/>
    </sheetNames>
    <sheetDataSet>
      <sheetData sheetId="0"/>
      <sheetData sheetId="1">
        <row r="1">
          <cell r="C1" t="str">
            <v>Expertus, Inc.</v>
          </cell>
        </row>
        <row r="2">
          <cell r="C2">
            <v>42063</v>
          </cell>
        </row>
        <row r="4">
          <cell r="C4" t="str">
            <v>Intellectual Property Valuation as of February 28, 2015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S"/>
      <sheetName val="Setup - IP Val"/>
    </sheetNames>
    <sheetDataSet>
      <sheetData sheetId="0" refreshError="1"/>
      <sheetData sheetId="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Change Log"/>
      <sheetName val="MASTER PubCo Inputs"/>
      <sheetName val="Notes &amp; Assumptions"/>
      <sheetName val="Checklist"/>
      <sheetName val="Exhibits--&gt;&gt;"/>
      <sheetName val="Title"/>
      <sheetName val="Outline"/>
      <sheetName val="_CIQHiddenCacheSheet"/>
      <sheetName val="Val Summ"/>
      <sheetName val="Allocation Method &gt;&gt;"/>
      <sheetName val="OPM 1 Series A Fair Value"/>
      <sheetName val="OPM 2 Series A Fair Value"/>
      <sheetName val="Tranche Calculation"/>
      <sheetName val="FS &gt;&gt;"/>
      <sheetName val="Forecast"/>
      <sheetName val="Hist BS"/>
      <sheetName val="GCM FP &gt;&gt;"/>
      <sheetName val="Comp.1"/>
      <sheetName val="Comp.6"/>
      <sheetName val="GTM FP &gt;&gt;"/>
      <sheetName val="Trans.1"/>
      <sheetName val="Trans.2"/>
      <sheetName val="Cap Structure FP &gt;&gt;"/>
      <sheetName val="Cap Table"/>
      <sheetName val="Econ Rights"/>
      <sheetName val="Support FP &gt;&gt;"/>
      <sheetName val="DLOM"/>
      <sheetName val="Asset Vol_OPM Fair Value"/>
      <sheetName val="Asset Vol_DLOM_OPM Fair Value"/>
      <sheetName val="Equity Vol"/>
      <sheetName val="Risk-Free Rates"/>
      <sheetName val="Title_Workpapers &gt; &gt;"/>
      <sheetName val="Outline_Workpapers"/>
      <sheetName val="OPM 1 Series A Warrants"/>
      <sheetName val="OPM 2 Series A Warrants"/>
      <sheetName val="DLOM (2)"/>
      <sheetName val="Asset Vol OPM Series A Warrants"/>
      <sheetName val="Asset Vol_DLOM_OPM Warrants"/>
      <sheetName val="Risk-Free Rates_WPS"/>
      <sheetName val="PBC -&gt;&gt;&gt;"/>
      <sheetName val="Per Tranche"/>
      <sheetName val="CAPIQ -&gt;&gt;&gt;"/>
      <sheetName val="Capital IQ Sheet-GPC"/>
      <sheetName val="Capital IQ Sheet-STM"/>
      <sheetName val="STM"/>
      <sheetName val="Capital IQ DATA"/>
      <sheetName val="&lt;DO NOT INCLUDE&gt;"/>
      <sheetName val="Licensing Deals"/>
      <sheetName val="IPO Data_BioPharma"/>
      <sheetName val="PWERM"/>
      <sheetName val="Exit Probability"/>
      <sheetName val="PoTS"/>
      <sheetName val="Discount Rate FP &gt;&gt;"/>
      <sheetName val="WACC CAPM"/>
      <sheetName val="Beta Calc"/>
      <sheetName val="WACC PWERM"/>
      <sheetName val="RoR Stage of Dev"/>
      <sheetName val="Comp.2"/>
      <sheetName val="Comp.4"/>
      <sheetName val="Comp.5"/>
      <sheetName val="List Data"/>
      <sheetName val="Template Detai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ow r="11">
          <cell r="B11">
            <v>7013800</v>
          </cell>
        </row>
      </sheetData>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tables/table1.xml><?xml version="1.0" encoding="utf-8"?>
<table xmlns="http://schemas.openxmlformats.org/spreadsheetml/2006/main" id="1" name="Table1" displayName="Table1" ref="A1:F173" totalsRowShown="0" headerRowBorderDxfId="194" tableBorderDxfId="193">
  <autoFilter ref="A1:F173">
    <filterColumn colId="0">
      <filters>
        <filter val="Denmark"/>
      </filters>
    </filterColumn>
  </autoFilter>
  <tableColumns count="6">
    <tableColumn id="1" name="Country" dataDxfId="192"/>
    <tableColumn id="2" name="Africa"/>
    <tableColumn id="3" name="Moody's rating"/>
    <tableColumn id="4" name="Rating-based Default Spread" dataDxfId="191"/>
    <tableColumn id="5" name="Country Risk Premium" dataDxfId="190"/>
    <tableColumn id="6" name="Equity Risk Premium" dataDxfId="18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4.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5.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vmlDrawing" Target="../drawings/vmlDrawing23.vml"/><Relationship Id="rId1" Type="http://schemas.openxmlformats.org/officeDocument/2006/relationships/printerSettings" Target="../printerSettings/printerSettings36.bin"/><Relationship Id="rId4" Type="http://schemas.openxmlformats.org/officeDocument/2006/relationships/comments" Target="../comments2.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38.bin"/><Relationship Id="rId1" Type="http://schemas.openxmlformats.org/officeDocument/2006/relationships/hyperlink" Target="http://advicenne.com/pipeline/" TargetMode="External"/><Relationship Id="rId5" Type="http://schemas.openxmlformats.org/officeDocument/2006/relationships/comments" Target="../comments3.xml"/><Relationship Id="rId4" Type="http://schemas.openxmlformats.org/officeDocument/2006/relationships/vmlDrawing" Target="../drawings/vmlDrawing26.v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printerSettings" Target="../printerSettings/printerSettings39.bin"/><Relationship Id="rId1" Type="http://schemas.openxmlformats.org/officeDocument/2006/relationships/hyperlink" Target="http://advicenne.com/pipeline/" TargetMode="External"/><Relationship Id="rId5" Type="http://schemas.openxmlformats.org/officeDocument/2006/relationships/comments" Target="../comments4.xml"/><Relationship Id="rId4" Type="http://schemas.openxmlformats.org/officeDocument/2006/relationships/vmlDrawing" Target="../drawings/vmlDrawing28.vml"/></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0.bin"/><Relationship Id="rId2" Type="http://schemas.openxmlformats.org/officeDocument/2006/relationships/hyperlink" Target="https://snbl.com/snbl_japan/conclusion-of-joint-research-agreement-with-the-center-for-ips-cell-research-and-application-kyoto-university-cira/" TargetMode="External"/><Relationship Id="rId1" Type="http://schemas.openxmlformats.org/officeDocument/2006/relationships/hyperlink" Target="http://www.fiercebiotech.com/biotech/genentech-south-korean-pharma-up-to-910m-raf-inhibitor-deal" TargetMode="External"/><Relationship Id="rId6" Type="http://schemas.openxmlformats.org/officeDocument/2006/relationships/comments" Target="../comments5.xml"/><Relationship Id="rId5" Type="http://schemas.openxmlformats.org/officeDocument/2006/relationships/vmlDrawing" Target="../drawings/vmlDrawing30.vml"/><Relationship Id="rId4" Type="http://schemas.openxmlformats.org/officeDocument/2006/relationships/vmlDrawing" Target="../drawings/vmlDrawing29.v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32.vml"/><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33.vml"/><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54.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35.vml"/><Relationship Id="rId1" Type="http://schemas.openxmlformats.org/officeDocument/2006/relationships/printerSettings" Target="../printerSettings/printerSettings55.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37.vml"/><Relationship Id="rId1" Type="http://schemas.openxmlformats.org/officeDocument/2006/relationships/printerSettings" Target="../printerSettings/printerSettings67.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38.vml"/><Relationship Id="rId1" Type="http://schemas.openxmlformats.org/officeDocument/2006/relationships/printerSettings" Target="../printerSettings/printerSettings73.bin"/></Relationships>
</file>

<file path=xl/worksheets/_rels/sheet8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39.vml"/><Relationship Id="rId1" Type="http://schemas.openxmlformats.org/officeDocument/2006/relationships/printerSettings" Target="../printerSettings/printerSettings74.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vmlDrawing" Target="../drawings/vmlDrawing40.vml"/><Relationship Id="rId1" Type="http://schemas.openxmlformats.org/officeDocument/2006/relationships/printerSettings" Target="../printerSettings/printerSettings77.bin"/><Relationship Id="rId4" Type="http://schemas.openxmlformats.org/officeDocument/2006/relationships/comments" Target="../comments12.xml"/></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8.bin"/></Relationships>
</file>

<file path=xl/worksheets/_rels/sheet8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42.vml"/></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9.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80.bin"/></Relationships>
</file>

<file path=xl/worksheets/_rels/sheet89.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43.vml"/></Relationships>
</file>

<file path=xl/worksheets/_rels/sheet90.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44.vml"/></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vmlDrawing" Target="../drawings/vmlDrawing45.vml"/><Relationship Id="rId1" Type="http://schemas.openxmlformats.org/officeDocument/2006/relationships/printerSettings" Target="../printerSettings/printerSettings82.bin"/><Relationship Id="rId4" Type="http://schemas.openxmlformats.org/officeDocument/2006/relationships/comments" Target="../comments16.xml"/></Relationships>
</file>

<file path=xl/worksheets/_rels/sheet93.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83.bin"/></Relationships>
</file>

<file path=xl/worksheets/_rels/sheet94.xml.rels><?xml version="1.0" encoding="UTF-8" standalone="yes"?>
<Relationships xmlns="http://schemas.openxmlformats.org/package/2006/relationships"><Relationship Id="rId2" Type="http://schemas.openxmlformats.org/officeDocument/2006/relationships/vmlDrawing" Target="../drawings/vmlDrawing48.vml"/><Relationship Id="rId1" Type="http://schemas.openxmlformats.org/officeDocument/2006/relationships/printerSettings" Target="../printerSettings/printerSettings84.bin"/></Relationships>
</file>

<file path=xl/worksheets/_rels/sheet95.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85.bin"/></Relationships>
</file>

<file path=xl/worksheets/_rels/sheet96.xml.rels><?xml version="1.0" encoding="UTF-8" standalone="yes"?>
<Relationships xmlns="http://schemas.openxmlformats.org/package/2006/relationships"><Relationship Id="rId2" Type="http://schemas.openxmlformats.org/officeDocument/2006/relationships/vmlDrawing" Target="../drawings/vmlDrawing50.vml"/><Relationship Id="rId1" Type="http://schemas.openxmlformats.org/officeDocument/2006/relationships/printerSettings" Target="../printerSettings/printerSettings86.bin"/></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vmlDrawing" Target="../drawings/vmlDrawing51.vml"/><Relationship Id="rId1" Type="http://schemas.openxmlformats.org/officeDocument/2006/relationships/printerSettings" Target="../printerSettings/printerSettings87.bin"/><Relationship Id="rId4" Type="http://schemas.openxmlformats.org/officeDocument/2006/relationships/comments" Target="../comments17.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vmlDrawing" Target="../drawings/vmlDrawing53.vml"/><Relationship Id="rId1" Type="http://schemas.openxmlformats.org/officeDocument/2006/relationships/printerSettings" Target="../printerSettings/printerSettings88.bin"/><Relationship Id="rId4" Type="http://schemas.openxmlformats.org/officeDocument/2006/relationships/comments" Target="../comments18.xml"/></Relationships>
</file>

<file path=xl/worksheets/_rels/sheet99.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89.bin"/></Relationships>
</file>

<file path=xl/worksheets/_rels/sheet100.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90.bin"/></Relationships>
</file>

<file path=xl/worksheets/_rels/sheet101.xml.rels><?xml version="1.0" encoding="UTF-8" standalone="yes"?>
<Relationships xmlns="http://schemas.openxmlformats.org/package/2006/relationships"><Relationship Id="rId2" Type="http://schemas.openxmlformats.org/officeDocument/2006/relationships/vmlDrawing" Target="../drawings/vmlDrawing57.vml"/><Relationship Id="rId1" Type="http://schemas.openxmlformats.org/officeDocument/2006/relationships/printerSettings" Target="../printerSettings/printerSettings91.bin"/></Relationships>
</file>

<file path=xl/worksheets/_rels/sheet102.xml.rels><?xml version="1.0" encoding="UTF-8" standalone="yes"?>
<Relationships xmlns="http://schemas.openxmlformats.org/package/2006/relationships"><Relationship Id="rId2" Type="http://schemas.openxmlformats.org/officeDocument/2006/relationships/vmlDrawing" Target="../drawings/vmlDrawing58.vml"/><Relationship Id="rId1" Type="http://schemas.openxmlformats.org/officeDocument/2006/relationships/printerSettings" Target="../printerSettings/printerSettings92.bin"/></Relationships>
</file>

<file path=xl/worksheets/_rels/sheet103.xml.rels><?xml version="1.0" encoding="UTF-8" standalone="yes"?>
<Relationships xmlns="http://schemas.openxmlformats.org/package/2006/relationships"><Relationship Id="rId2" Type="http://schemas.openxmlformats.org/officeDocument/2006/relationships/vmlDrawing" Target="../drawings/vmlDrawing59.vml"/><Relationship Id="rId1" Type="http://schemas.openxmlformats.org/officeDocument/2006/relationships/printerSettings" Target="../printerSettings/printerSettings93.bin"/></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vmlDrawing" Target="../drawings/vmlDrawing60.vml"/><Relationship Id="rId1" Type="http://schemas.openxmlformats.org/officeDocument/2006/relationships/printerSettings" Target="../printerSettings/printerSettings94.bin"/><Relationship Id="rId4" Type="http://schemas.openxmlformats.org/officeDocument/2006/relationships/comments" Target="../comments19.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vmlDrawing" Target="../drawings/vmlDrawing62.vml"/><Relationship Id="rId1" Type="http://schemas.openxmlformats.org/officeDocument/2006/relationships/printerSettings" Target="../printerSettings/printerSettings95.bin"/><Relationship Id="rId4" Type="http://schemas.openxmlformats.org/officeDocument/2006/relationships/comments" Target="../comments20.xml"/></Relationships>
</file>

<file path=xl/worksheets/_rels/sheet106.xml.rels><?xml version="1.0" encoding="UTF-8" standalone="yes"?>
<Relationships xmlns="http://schemas.openxmlformats.org/package/2006/relationships"><Relationship Id="rId2" Type="http://schemas.openxmlformats.org/officeDocument/2006/relationships/vmlDrawing" Target="../drawings/vmlDrawing64.vml"/><Relationship Id="rId1" Type="http://schemas.openxmlformats.org/officeDocument/2006/relationships/printerSettings" Target="../printerSettings/printerSettings96.bin"/></Relationships>
</file>

<file path=xl/worksheets/_rels/sheet107.xml.rels><?xml version="1.0" encoding="UTF-8" standalone="yes"?>
<Relationships xmlns="http://schemas.openxmlformats.org/package/2006/relationships"><Relationship Id="rId2" Type="http://schemas.openxmlformats.org/officeDocument/2006/relationships/vmlDrawing" Target="../drawings/vmlDrawing65.vml"/><Relationship Id="rId1" Type="http://schemas.openxmlformats.org/officeDocument/2006/relationships/printerSettings" Target="../printerSettings/printerSettings97.bin"/></Relationships>
</file>

<file path=xl/worksheets/_rels/sheet108.xml.rels><?xml version="1.0" encoding="UTF-8" standalone="yes"?>
<Relationships xmlns="http://schemas.openxmlformats.org/package/2006/relationships"><Relationship Id="rId2" Type="http://schemas.openxmlformats.org/officeDocument/2006/relationships/vmlDrawing" Target="../drawings/vmlDrawing66.vml"/><Relationship Id="rId1" Type="http://schemas.openxmlformats.org/officeDocument/2006/relationships/printerSettings" Target="../printerSettings/printerSettings98.bin"/></Relationships>
</file>

<file path=xl/worksheets/_rels/sheet109.xml.rels><?xml version="1.0" encoding="UTF-8" standalone="yes"?>
<Relationships xmlns="http://schemas.openxmlformats.org/package/2006/relationships"><Relationship Id="rId2" Type="http://schemas.openxmlformats.org/officeDocument/2006/relationships/vmlDrawing" Target="../drawings/vmlDrawing67.vml"/><Relationship Id="rId1" Type="http://schemas.openxmlformats.org/officeDocument/2006/relationships/printerSettings" Target="../printerSettings/printerSettings99.bin"/></Relationships>
</file>

<file path=xl/worksheets/_rels/sheet110.xml.rels><?xml version="1.0" encoding="UTF-8" standalone="yes"?>
<Relationships xmlns="http://schemas.openxmlformats.org/package/2006/relationships"><Relationship Id="rId2" Type="http://schemas.openxmlformats.org/officeDocument/2006/relationships/vmlDrawing" Target="../drawings/vmlDrawing68.vml"/><Relationship Id="rId1" Type="http://schemas.openxmlformats.org/officeDocument/2006/relationships/printerSettings" Target="../printerSettings/printerSettings100.bin"/></Relationships>
</file>

<file path=xl/worksheets/_rels/sheet111.xml.rels><?xml version="1.0" encoding="UTF-8" standalone="yes"?>
<Relationships xmlns="http://schemas.openxmlformats.org/package/2006/relationships"><Relationship Id="rId2" Type="http://schemas.openxmlformats.org/officeDocument/2006/relationships/vmlDrawing" Target="../drawings/vmlDrawing69.vml"/><Relationship Id="rId1" Type="http://schemas.openxmlformats.org/officeDocument/2006/relationships/printerSettings" Target="../printerSettings/printerSettings101.bin"/></Relationships>
</file>

<file path=xl/worksheets/_rels/sheet112.xml.rels><?xml version="1.0" encoding="UTF-8" standalone="yes"?>
<Relationships xmlns="http://schemas.openxmlformats.org/package/2006/relationships"><Relationship Id="rId2" Type="http://schemas.openxmlformats.org/officeDocument/2006/relationships/vmlDrawing" Target="../drawings/vmlDrawing70.vml"/><Relationship Id="rId1" Type="http://schemas.openxmlformats.org/officeDocument/2006/relationships/printerSettings" Target="../printerSettings/printerSettings102.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C13"/>
  <sheetViews>
    <sheetView workbookViewId="0">
      <selection activeCell="F8" sqref="F8"/>
    </sheetView>
  </sheetViews>
  <sheetFormatPr defaultRowHeight="12.75"/>
  <cols>
    <col min="1" max="1" width="6.6640625" style="405" customWidth="1"/>
    <col min="2" max="2" width="46" style="405" bestFit="1" customWidth="1"/>
    <col min="3" max="3" width="52.6640625" style="405" customWidth="1"/>
    <col min="4" max="16384" width="9.33203125" style="405"/>
  </cols>
  <sheetData>
    <row r="2" spans="1:3">
      <c r="A2" s="332" t="s">
        <v>485</v>
      </c>
    </row>
    <row r="3" spans="1:3">
      <c r="A3" s="405" t="s">
        <v>389</v>
      </c>
      <c r="B3" s="405" t="s">
        <v>774</v>
      </c>
      <c r="C3" s="405" t="s">
        <v>486</v>
      </c>
    </row>
    <row r="4" spans="1:3" ht="38.25">
      <c r="A4" s="411">
        <v>1</v>
      </c>
      <c r="B4" s="405" t="s">
        <v>487</v>
      </c>
      <c r="C4" s="6" t="s">
        <v>488</v>
      </c>
    </row>
    <row r="5" spans="1:3" ht="25.5">
      <c r="A5" s="411">
        <f>+A4+1</f>
        <v>2</v>
      </c>
      <c r="B5" s="405" t="s">
        <v>489</v>
      </c>
      <c r="C5" s="6" t="s">
        <v>585</v>
      </c>
    </row>
    <row r="6" spans="1:3" ht="25.5">
      <c r="A6" s="411">
        <f>+A5+1</f>
        <v>3</v>
      </c>
      <c r="B6" s="405" t="s">
        <v>490</v>
      </c>
      <c r="C6" s="6" t="s">
        <v>586</v>
      </c>
    </row>
    <row r="7" spans="1:3" ht="25.5">
      <c r="A7" s="411">
        <f>+A6+1</f>
        <v>4</v>
      </c>
      <c r="B7" s="405" t="s">
        <v>491</v>
      </c>
      <c r="C7" s="6" t="s">
        <v>587</v>
      </c>
    </row>
    <row r="8" spans="1:3">
      <c r="A8" s="411">
        <f>+A7+1</f>
        <v>5</v>
      </c>
      <c r="B8" s="405" t="s">
        <v>493</v>
      </c>
      <c r="C8" s="325" t="s">
        <v>492</v>
      </c>
    </row>
    <row r="11" spans="1:3">
      <c r="A11" s="332" t="s">
        <v>494</v>
      </c>
    </row>
    <row r="12" spans="1:3">
      <c r="A12" s="405">
        <v>1</v>
      </c>
      <c r="B12" s="405" t="s">
        <v>495</v>
      </c>
    </row>
    <row r="13" spans="1:3">
      <c r="A13" s="405">
        <v>2</v>
      </c>
      <c r="B13" s="405" t="s">
        <v>618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D57"/>
  <sheetViews>
    <sheetView workbookViewId="0">
      <selection activeCell="C9" sqref="C9"/>
    </sheetView>
  </sheetViews>
  <sheetFormatPr defaultRowHeight="12.75"/>
  <cols>
    <col min="1" max="1" width="7" style="405" customWidth="1"/>
    <col min="2" max="2" width="27.1640625" style="405" customWidth="1"/>
    <col min="3" max="3" width="56.33203125" style="405" customWidth="1"/>
    <col min="4" max="4" width="20.83203125" style="173" customWidth="1"/>
    <col min="5" max="5" width="10.83203125" style="405" customWidth="1"/>
    <col min="6" max="6" width="9.33203125" style="405"/>
    <col min="7" max="7" width="12.83203125" style="405" customWidth="1"/>
    <col min="8" max="8" width="17.83203125" style="405" bestFit="1" customWidth="1"/>
    <col min="9" max="10" width="12.83203125" style="405" customWidth="1"/>
    <col min="11" max="16384" width="9.33203125" style="405"/>
  </cols>
  <sheetData>
    <row r="1" spans="1:4">
      <c r="A1" s="17" t="s">
        <v>380</v>
      </c>
    </row>
    <row r="3" spans="1:4">
      <c r="B3" s="405" t="s">
        <v>379</v>
      </c>
      <c r="C3" s="716">
        <v>42718</v>
      </c>
      <c r="D3" s="173" t="s">
        <v>506</v>
      </c>
    </row>
    <row r="5" spans="1:4">
      <c r="B5" s="405" t="s">
        <v>384</v>
      </c>
      <c r="C5" s="335" t="s">
        <v>1608</v>
      </c>
    </row>
    <row r="6" spans="1:4">
      <c r="B6" s="405" t="s">
        <v>385</v>
      </c>
      <c r="C6" s="717">
        <v>43281</v>
      </c>
    </row>
    <row r="7" spans="1:4">
      <c r="B7" s="405" t="s">
        <v>477</v>
      </c>
      <c r="C7" s="717">
        <v>43100</v>
      </c>
    </row>
    <row r="8" spans="1:4">
      <c r="B8" s="405" t="s">
        <v>396</v>
      </c>
      <c r="C8" s="335" t="s">
        <v>1609</v>
      </c>
    </row>
    <row r="9" spans="1:4">
      <c r="B9" s="405" t="s">
        <v>388</v>
      </c>
      <c r="C9" s="336">
        <v>0.35</v>
      </c>
    </row>
    <row r="10" spans="1:4">
      <c r="B10" s="405" t="s">
        <v>412</v>
      </c>
      <c r="C10" s="335" t="s">
        <v>1610</v>
      </c>
    </row>
    <row r="13" spans="1:4">
      <c r="B13" s="405" t="s">
        <v>383</v>
      </c>
      <c r="C13" s="335"/>
    </row>
    <row r="14" spans="1:4">
      <c r="B14" s="405" t="s">
        <v>386</v>
      </c>
      <c r="C14" s="335"/>
    </row>
    <row r="15" spans="1:4">
      <c r="B15" s="405" t="s">
        <v>387</v>
      </c>
      <c r="C15" s="335"/>
    </row>
    <row r="16" spans="1:4">
      <c r="B16" s="405" t="s">
        <v>381</v>
      </c>
      <c r="C16" s="335"/>
    </row>
    <row r="17" spans="1:4">
      <c r="B17" s="405" t="s">
        <v>382</v>
      </c>
      <c r="C17" s="335"/>
    </row>
    <row r="19" spans="1:4">
      <c r="B19" s="405" t="s">
        <v>588</v>
      </c>
      <c r="C19" s="335" t="s">
        <v>143</v>
      </c>
    </row>
    <row r="20" spans="1:4">
      <c r="B20" s="405" t="s">
        <v>589</v>
      </c>
      <c r="C20" s="335" t="s">
        <v>591</v>
      </c>
    </row>
    <row r="21" spans="1:4">
      <c r="B21" s="405" t="s">
        <v>590</v>
      </c>
      <c r="C21" s="335" t="s">
        <v>0</v>
      </c>
    </row>
    <row r="22" spans="1:4">
      <c r="B22" s="405" t="s">
        <v>593</v>
      </c>
      <c r="C22" s="335" t="s">
        <v>592</v>
      </c>
    </row>
    <row r="23" spans="1:4">
      <c r="B23" s="405" t="s">
        <v>594</v>
      </c>
      <c r="C23" s="335" t="s">
        <v>1170</v>
      </c>
    </row>
    <row r="24" spans="1:4">
      <c r="B24" s="405" t="s">
        <v>1169</v>
      </c>
      <c r="C24" s="335" t="s">
        <v>88</v>
      </c>
    </row>
    <row r="25" spans="1:4">
      <c r="B25" s="405" t="s">
        <v>1228</v>
      </c>
      <c r="C25" s="335" t="s">
        <v>1229</v>
      </c>
    </row>
    <row r="26" spans="1:4">
      <c r="D26" s="410" t="s">
        <v>479</v>
      </c>
    </row>
    <row r="27" spans="1:4">
      <c r="A27" s="337" t="s">
        <v>389</v>
      </c>
      <c r="B27" s="338" t="s">
        <v>108</v>
      </c>
      <c r="C27" s="526" t="s">
        <v>390</v>
      </c>
      <c r="D27" s="339" t="s">
        <v>145</v>
      </c>
    </row>
    <row r="28" spans="1:4">
      <c r="A28" s="738">
        <v>1</v>
      </c>
      <c r="B28" s="739" t="str">
        <f>'Capital IQ Sheet-GPC'!A13</f>
        <v>NasdaqGS:ACAD</v>
      </c>
      <c r="C28" s="740" t="str">
        <f>'Capital IQ Sheet-GPC'!B13</f>
        <v>IQ683713</v>
      </c>
      <c r="D28" s="741">
        <f>IF(B28="","",'Comp.1'!C12)</f>
        <v>1608.0295500000002</v>
      </c>
    </row>
    <row r="29" spans="1:4">
      <c r="A29" s="705">
        <f>A28+1</f>
        <v>2</v>
      </c>
      <c r="B29" s="340" t="str">
        <f>'Capital IQ Sheet-GPC'!A14</f>
        <v>NasdaqGM:RYTM</v>
      </c>
      <c r="C29" s="341" t="str">
        <f>'Capital IQ Sheet-GPC'!B14</f>
        <v>IQ309184792</v>
      </c>
      <c r="D29" s="342">
        <f>IF(B29="","",'Comp.1'!C13)</f>
        <v>930.20021999999994</v>
      </c>
    </row>
    <row r="30" spans="1:4">
      <c r="A30" s="705">
        <f t="shared" ref="A30:A57" si="0">A29+1</f>
        <v>3</v>
      </c>
      <c r="B30" s="340" t="str">
        <f>'Capital IQ Sheet-GPC'!A15</f>
        <v>NasdaqCM:ASMB</v>
      </c>
      <c r="C30" s="341" t="str">
        <f>'Capital IQ Sheet-GPC'!B15</f>
        <v>IQ99715344</v>
      </c>
      <c r="D30" s="342">
        <f>IF(B30="","",'Comp.1'!C14)</f>
        <v>696.63466999999991</v>
      </c>
    </row>
    <row r="31" spans="1:4">
      <c r="A31" s="705">
        <f t="shared" si="0"/>
        <v>4</v>
      </c>
      <c r="B31" s="340" t="str">
        <f>'Capital IQ Sheet-GPC'!A16</f>
        <v>NasdaqGS:VYGR</v>
      </c>
      <c r="C31" s="341" t="str">
        <f>'Capital IQ Sheet-GPC'!B16</f>
        <v>IQ256887902</v>
      </c>
      <c r="D31" s="342">
        <f>IF(B31="","",'Comp.1'!C15)</f>
        <v>413.35426000000007</v>
      </c>
    </row>
    <row r="32" spans="1:4">
      <c r="A32" s="705">
        <f t="shared" si="0"/>
        <v>5</v>
      </c>
      <c r="B32" s="340" t="str">
        <f>'Capital IQ Sheet-GPC'!A17</f>
        <v>NasdaqGS:ZFGN</v>
      </c>
      <c r="C32" s="341" t="str">
        <f>'Capital IQ Sheet-GPC'!B17</f>
        <v>IQ29016215</v>
      </c>
      <c r="D32" s="342">
        <f>IF(B32="","",'Comp.1'!C16)</f>
        <v>294.85737000000006</v>
      </c>
    </row>
    <row r="33" spans="1:4">
      <c r="A33" s="705">
        <f t="shared" si="0"/>
        <v>6</v>
      </c>
      <c r="B33" s="340" t="str">
        <f>'Capital IQ Sheet-GPC'!A18</f>
        <v>NasdaqGS:MCRB</v>
      </c>
      <c r="C33" s="341" t="str">
        <f>'Capital IQ Sheet-GPC'!B18</f>
        <v>IQ222388947</v>
      </c>
      <c r="D33" s="342">
        <f>IF(B33="","",'Comp.1'!C17)</f>
        <v>227.41895</v>
      </c>
    </row>
    <row r="34" spans="1:4">
      <c r="A34" s="705">
        <f t="shared" si="0"/>
        <v>7</v>
      </c>
      <c r="B34" s="340" t="str">
        <f>'Capital IQ Sheet-GPC'!A19</f>
        <v>TSXV:COB.U</v>
      </c>
      <c r="C34" s="341" t="str">
        <f>'Capital IQ Sheet-GPC'!B19</f>
        <v>IQ134282175</v>
      </c>
      <c r="D34" s="342">
        <f>IF(B34="","",'Comp.1'!C18)</f>
        <v>204.76295000000002</v>
      </c>
    </row>
    <row r="35" spans="1:4">
      <c r="A35" s="705">
        <f t="shared" si="0"/>
        <v>8</v>
      </c>
      <c r="B35" s="340" t="str">
        <f>'Capital IQ Sheet-GPC'!A20</f>
        <v>NasdaqGS:VVUS</v>
      </c>
      <c r="C35" s="341" t="str">
        <f>'Capital IQ Sheet-GPC'!B20</f>
        <v>IQ36398</v>
      </c>
      <c r="D35" s="342">
        <f>IF(B35="","",'Comp.1'!C19)</f>
        <v>102.15014000000002</v>
      </c>
    </row>
    <row r="36" spans="1:4">
      <c r="A36" s="705">
        <f t="shared" si="0"/>
        <v>9</v>
      </c>
      <c r="B36" s="340" t="str">
        <f>'Capital IQ Sheet-GPC'!A21</f>
        <v>NasdaqCM:AVXL</v>
      </c>
      <c r="C36" s="341" t="str">
        <f>'Capital IQ Sheet-GPC'!B21</f>
        <v>IQ13580387</v>
      </c>
      <c r="D36" s="342">
        <f>IF(B36="","",'Comp.1'!C20)</f>
        <v>91.352779999999996</v>
      </c>
    </row>
    <row r="37" spans="1:4">
      <c r="A37" s="705">
        <f t="shared" si="0"/>
        <v>10</v>
      </c>
      <c r="B37" s="340" t="str">
        <f>'Capital IQ Sheet-GPC'!A22</f>
        <v>AIM:OPTI</v>
      </c>
      <c r="C37" s="341" t="str">
        <f>'Capital IQ Sheet-GPC'!B22</f>
        <v>IQ129358643</v>
      </c>
      <c r="D37" s="342">
        <f>IF(B37="","",'Comp.1'!C21)</f>
        <v>71.230959999999996</v>
      </c>
    </row>
    <row r="38" spans="1:4">
      <c r="A38" s="705">
        <f t="shared" si="0"/>
        <v>11</v>
      </c>
      <c r="B38" s="340" t="str">
        <f>'Capital IQ Sheet-GPC'!A23</f>
        <v>NasdaqCM:SLNO</v>
      </c>
      <c r="C38" s="341" t="str">
        <f>'Capital IQ Sheet-GPC'!B23</f>
        <v>IQ2520553</v>
      </c>
      <c r="D38" s="342">
        <f>IF(B38="","",'Comp.1'!C22)</f>
        <v>31.392000000000003</v>
      </c>
    </row>
    <row r="39" spans="1:4">
      <c r="A39" s="705">
        <f t="shared" si="0"/>
        <v>12</v>
      </c>
      <c r="B39" s="340" t="str">
        <f>'Capital IQ Sheet-GPC'!A24</f>
        <v>AMEX:SYN</v>
      </c>
      <c r="C39" s="341" t="str">
        <f>'Capital IQ Sheet-GPC'!B24</f>
        <v>IQ24424557</v>
      </c>
      <c r="D39" s="342">
        <f>IF(B39="","",'Comp.1'!C23)</f>
        <v>29.879480000000001</v>
      </c>
    </row>
    <row r="40" spans="1:4">
      <c r="A40" s="705">
        <f t="shared" si="0"/>
        <v>13</v>
      </c>
      <c r="B40" s="340" t="str">
        <f>'Capital IQ Sheet-GPC'!A25</f>
        <v>OTCPK:NEXS</v>
      </c>
      <c r="C40" s="341" t="str">
        <f>'Capital IQ Sheet-GPC'!B25</f>
        <v>IQ340704541</v>
      </c>
      <c r="D40" s="342">
        <f>IF(B40="","",'Comp.1'!C24)</f>
        <v>4.2106600000000007</v>
      </c>
    </row>
    <row r="41" spans="1:4">
      <c r="A41" s="705">
        <f t="shared" si="0"/>
        <v>14</v>
      </c>
      <c r="B41" s="340" t="str">
        <f>'Capital IQ Sheet-GPC'!A26</f>
        <v>NasdaqCM:RTTR</v>
      </c>
      <c r="C41" s="341" t="str">
        <f>'Capital IQ Sheet-GPC'!B26</f>
        <v>IQ62102047</v>
      </c>
      <c r="D41" s="342">
        <f>IF(B41="","",'Comp.1'!C25)</f>
        <v>-1.0675899999999992</v>
      </c>
    </row>
    <row r="42" spans="1:4">
      <c r="A42" s="705">
        <f t="shared" si="0"/>
        <v>15</v>
      </c>
      <c r="B42" s="340" t="str">
        <f>'Capital IQ Sheet-GPC'!A27</f>
        <v>(Invalid Identifier)</v>
      </c>
      <c r="C42" s="341" t="str">
        <f>'Capital IQ Sheet-GPC'!B27</f>
        <v>(Invalid Identifier)</v>
      </c>
      <c r="D42" s="342">
        <f>IF(B42="","",'Comp.1'!C26)</f>
        <v>0</v>
      </c>
    </row>
    <row r="43" spans="1:4">
      <c r="A43" s="705">
        <f t="shared" si="0"/>
        <v>16</v>
      </c>
      <c r="B43" s="340" t="str">
        <f>'Capital IQ Sheet-GPC'!A28</f>
        <v>(Invalid Identifier)</v>
      </c>
      <c r="C43" s="341" t="str">
        <f>'Capital IQ Sheet-GPC'!B28</f>
        <v>(Invalid Identifier)</v>
      </c>
      <c r="D43" s="342">
        <f>IF(B43="","",'Comp.1'!C27)</f>
        <v>0</v>
      </c>
    </row>
    <row r="44" spans="1:4">
      <c r="A44" s="705">
        <f t="shared" si="0"/>
        <v>17</v>
      </c>
      <c r="B44" s="340" t="str">
        <f>'Capital IQ Sheet-GPC'!A29</f>
        <v>(Invalid Identifier)</v>
      </c>
      <c r="C44" s="341" t="str">
        <f>'Capital IQ Sheet-GPC'!B29</f>
        <v>(Invalid Identifier)</v>
      </c>
      <c r="D44" s="342">
        <f>IF(B44="","",'Comp.1'!C28)</f>
        <v>0</v>
      </c>
    </row>
    <row r="45" spans="1:4">
      <c r="A45" s="705">
        <f t="shared" si="0"/>
        <v>18</v>
      </c>
      <c r="B45" s="340" t="str">
        <f>'Capital IQ Sheet-GPC'!A30</f>
        <v>(Invalid Identifier)</v>
      </c>
      <c r="C45" s="341" t="str">
        <f>'Capital IQ Sheet-GPC'!B30</f>
        <v>(Invalid Identifier)</v>
      </c>
      <c r="D45" s="342">
        <f>IF(B45="","",'Comp.1'!C29)</f>
        <v>0</v>
      </c>
    </row>
    <row r="46" spans="1:4">
      <c r="A46" s="705">
        <f t="shared" si="0"/>
        <v>19</v>
      </c>
      <c r="B46" s="340" t="str">
        <f>'Capital IQ Sheet-GPC'!A31</f>
        <v>(Invalid Identifier)</v>
      </c>
      <c r="C46" s="341" t="str">
        <f>'Capital IQ Sheet-GPC'!B31</f>
        <v>(Invalid Identifier)</v>
      </c>
      <c r="D46" s="342">
        <f>IF(B46="","",'Comp.1'!C30)</f>
        <v>0</v>
      </c>
    </row>
    <row r="47" spans="1:4">
      <c r="A47" s="705">
        <f t="shared" si="0"/>
        <v>20</v>
      </c>
      <c r="B47" s="340" t="str">
        <f>'Capital IQ Sheet-GPC'!A32</f>
        <v>(Invalid Identifier)</v>
      </c>
      <c r="C47" s="341" t="str">
        <f>'Capital IQ Sheet-GPC'!B32</f>
        <v>(Invalid Identifier)</v>
      </c>
      <c r="D47" s="342">
        <f>IF(B47="","",'Comp.1'!C31)</f>
        <v>0</v>
      </c>
    </row>
    <row r="48" spans="1:4">
      <c r="A48" s="705">
        <f t="shared" si="0"/>
        <v>21</v>
      </c>
      <c r="B48" s="340" t="str">
        <f>'Capital IQ Sheet-GPC'!A33</f>
        <v>(Invalid Identifier)</v>
      </c>
      <c r="C48" s="341" t="str">
        <f>'Capital IQ Sheet-GPC'!B33</f>
        <v>(Invalid Identifier)</v>
      </c>
      <c r="D48" s="342">
        <f>IF(B48="","",'Comp.1'!C32)</f>
        <v>0</v>
      </c>
    </row>
    <row r="49" spans="1:4">
      <c r="A49" s="705">
        <f t="shared" si="0"/>
        <v>22</v>
      </c>
      <c r="B49" s="340" t="str">
        <f>'Capital IQ Sheet-GPC'!A34</f>
        <v>(Invalid Identifier)</v>
      </c>
      <c r="C49" s="341" t="str">
        <f>'Capital IQ Sheet-GPC'!B34</f>
        <v>(Invalid Identifier)</v>
      </c>
      <c r="D49" s="342">
        <f>IF(B49="","",'Comp.1'!C33)</f>
        <v>0</v>
      </c>
    </row>
    <row r="50" spans="1:4">
      <c r="A50" s="705">
        <f t="shared" si="0"/>
        <v>23</v>
      </c>
      <c r="B50" s="340" t="str">
        <f>'Capital IQ Sheet-GPC'!A35</f>
        <v>(Invalid Identifier)</v>
      </c>
      <c r="C50" s="341" t="str">
        <f>'Capital IQ Sheet-GPC'!B35</f>
        <v>(Invalid Identifier)</v>
      </c>
      <c r="D50" s="342">
        <f>IF(B50="","",'Comp.1'!C34)</f>
        <v>0</v>
      </c>
    </row>
    <row r="51" spans="1:4">
      <c r="A51" s="705">
        <f t="shared" si="0"/>
        <v>24</v>
      </c>
      <c r="B51" s="340" t="str">
        <f>'Capital IQ Sheet-GPC'!A36</f>
        <v>(Invalid Identifier)</v>
      </c>
      <c r="C51" s="341" t="str">
        <f>'Capital IQ Sheet-GPC'!B36</f>
        <v>(Invalid Identifier)</v>
      </c>
      <c r="D51" s="342">
        <f>IF(B51="","",'Comp.1'!C35)</f>
        <v>0</v>
      </c>
    </row>
    <row r="52" spans="1:4">
      <c r="A52" s="705">
        <f t="shared" si="0"/>
        <v>25</v>
      </c>
      <c r="B52" s="340" t="str">
        <f>'Capital IQ Sheet-GPC'!A37</f>
        <v>(Invalid Identifier)</v>
      </c>
      <c r="C52" s="341" t="str">
        <f>'Capital IQ Sheet-GPC'!B37</f>
        <v>(Invalid Identifier)</v>
      </c>
      <c r="D52" s="342">
        <f>IF(B52="","",'Comp.1'!C36)</f>
        <v>0</v>
      </c>
    </row>
    <row r="53" spans="1:4">
      <c r="A53" s="705">
        <f t="shared" si="0"/>
        <v>26</v>
      </c>
      <c r="B53" s="340" t="str">
        <f>'Capital IQ Sheet-GPC'!A38</f>
        <v>(Invalid Identifier)</v>
      </c>
      <c r="C53" s="341" t="str">
        <f>'Capital IQ Sheet-GPC'!B38</f>
        <v>(Invalid Identifier)</v>
      </c>
      <c r="D53" s="342">
        <f>IF(B53="","",'Comp.1'!C37)</f>
        <v>0</v>
      </c>
    </row>
    <row r="54" spans="1:4">
      <c r="A54" s="705">
        <f t="shared" si="0"/>
        <v>27</v>
      </c>
      <c r="B54" s="340" t="str">
        <f>'Capital IQ Sheet-GPC'!A39</f>
        <v>(Invalid Identifier)</v>
      </c>
      <c r="C54" s="341" t="str">
        <f>'Capital IQ Sheet-GPC'!B39</f>
        <v>(Invalid Identifier)</v>
      </c>
      <c r="D54" s="342">
        <f>IF(B54="","",'Comp.1'!C38)</f>
        <v>0</v>
      </c>
    </row>
    <row r="55" spans="1:4">
      <c r="A55" s="705">
        <f t="shared" si="0"/>
        <v>28</v>
      </c>
      <c r="B55" s="340" t="str">
        <f>'Capital IQ Sheet-GPC'!A40</f>
        <v>(Invalid Identifier)</v>
      </c>
      <c r="C55" s="341" t="str">
        <f>'Capital IQ Sheet-GPC'!B40</f>
        <v>(Invalid Identifier)</v>
      </c>
      <c r="D55" s="342">
        <f>IF(B55="","",'Comp.1'!C39)</f>
        <v>0</v>
      </c>
    </row>
    <row r="56" spans="1:4">
      <c r="A56" s="705">
        <f t="shared" si="0"/>
        <v>29</v>
      </c>
      <c r="B56" s="340" t="str">
        <f>'Capital IQ Sheet-GPC'!A41</f>
        <v>(Invalid Identifier)</v>
      </c>
      <c r="C56" s="341" t="str">
        <f>'Capital IQ Sheet-GPC'!B41</f>
        <v>(Invalid Identifier)</v>
      </c>
      <c r="D56" s="342">
        <f>IF(B56="","",'Comp.1'!C40)</f>
        <v>0</v>
      </c>
    </row>
    <row r="57" spans="1:4">
      <c r="A57" s="343">
        <f t="shared" si="0"/>
        <v>30</v>
      </c>
      <c r="B57" s="742" t="str">
        <f>'Capital IQ Sheet-GPC'!A42</f>
        <v>(Invalid Identifier)</v>
      </c>
      <c r="C57" s="743" t="str">
        <f>'Capital IQ Sheet-GPC'!B42</f>
        <v>(Invalid Identifier)</v>
      </c>
      <c r="D57" s="744">
        <f>IF(B57="","",'Comp.1'!C41)</f>
        <v>0</v>
      </c>
    </row>
  </sheetData>
  <dataValidations count="1">
    <dataValidation type="list" allowBlank="1" showInputMessage="1" showErrorMessage="1" sqref="C10">
      <formula1>"New,Recurring"</formula1>
    </dataValidation>
  </dataValidations>
  <pageMargins left="0.5" right="0.5" top="0.5" bottom="0.5" header="0.3" footer="0.3"/>
  <pageSetup orientation="landscape" r:id="rId1"/>
  <headerFooter>
    <oddHeader>&amp;R&amp;"Garamond, Bold"&amp;K000001CONFIDENTIAL</oddHeader>
    <oddFooter>&amp;L&amp;G&amp;R&amp;"Garamond"&amp;K000001Page &amp;P of &amp;N</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B3:G165"/>
  <sheetViews>
    <sheetView topLeftCell="A10" zoomScale="70" zoomScaleNormal="70" workbookViewId="0">
      <selection activeCell="F10" sqref="B3:G165"/>
    </sheetView>
  </sheetViews>
  <sheetFormatPr defaultRowHeight="12.75"/>
  <cols>
    <col min="1" max="1" width="9.33203125" style="405"/>
    <col min="2" max="2" width="14.83203125" style="405" customWidth="1"/>
    <col min="3" max="3" width="13.33203125" style="405" customWidth="1"/>
    <col min="4" max="4" width="26.5" style="405" customWidth="1"/>
    <col min="5" max="5" width="9.33203125" style="405"/>
    <col min="6" max="6" width="65" style="405" customWidth="1"/>
    <col min="7" max="7" width="46.5" style="405" customWidth="1"/>
    <col min="8" max="16384" width="9.33203125" style="405"/>
  </cols>
  <sheetData>
    <row r="3" spans="2:7">
      <c r="B3" s="1" t="s">
        <v>1190</v>
      </c>
      <c r="D3" s="405" t="s">
        <v>1214</v>
      </c>
    </row>
    <row r="4" spans="2:7">
      <c r="B4" s="1" t="s">
        <v>1196</v>
      </c>
      <c r="D4" s="831">
        <v>42850.427083333336</v>
      </c>
    </row>
    <row r="6" spans="2:7">
      <c r="B6" s="819" t="s">
        <v>1191</v>
      </c>
      <c r="C6" s="819" t="s">
        <v>1192</v>
      </c>
      <c r="D6" s="819" t="s">
        <v>1193</v>
      </c>
      <c r="E6" s="819" t="s">
        <v>1194</v>
      </c>
      <c r="F6" s="819" t="s">
        <v>620</v>
      </c>
      <c r="G6" s="819" t="s">
        <v>1195</v>
      </c>
    </row>
    <row r="7" spans="2:7">
      <c r="B7" s="820"/>
      <c r="C7" s="820"/>
      <c r="D7" s="820"/>
      <c r="E7" s="820"/>
      <c r="F7" s="820"/>
      <c r="G7" s="820"/>
    </row>
    <row r="8" spans="2:7">
      <c r="B8" s="821">
        <v>42772</v>
      </c>
      <c r="C8" s="820" t="s">
        <v>1197</v>
      </c>
      <c r="D8" s="820" t="s">
        <v>1198</v>
      </c>
      <c r="E8" s="820" t="s">
        <v>1199</v>
      </c>
      <c r="F8" s="820" t="s">
        <v>1200</v>
      </c>
      <c r="G8" s="820"/>
    </row>
    <row r="9" spans="2:7" ht="25.5">
      <c r="B9" s="821">
        <v>42772</v>
      </c>
      <c r="C9" s="820" t="s">
        <v>1197</v>
      </c>
      <c r="D9" s="820" t="s">
        <v>1201</v>
      </c>
      <c r="E9" s="820" t="s">
        <v>1202</v>
      </c>
      <c r="F9" s="822" t="s">
        <v>1203</v>
      </c>
      <c r="G9" s="820"/>
    </row>
    <row r="10" spans="2:7">
      <c r="B10" s="823">
        <v>42776</v>
      </c>
      <c r="C10" s="820" t="s">
        <v>1197</v>
      </c>
      <c r="D10" s="820" t="s">
        <v>1204</v>
      </c>
      <c r="E10" s="820" t="s">
        <v>1205</v>
      </c>
      <c r="F10" s="820" t="s">
        <v>1206</v>
      </c>
      <c r="G10" s="820"/>
    </row>
    <row r="11" spans="2:7">
      <c r="B11" s="823">
        <v>42776</v>
      </c>
      <c r="C11" s="820" t="s">
        <v>1197</v>
      </c>
      <c r="D11" s="820" t="s">
        <v>555</v>
      </c>
      <c r="E11" s="820" t="s">
        <v>1207</v>
      </c>
      <c r="F11" s="820" t="s">
        <v>1208</v>
      </c>
      <c r="G11" s="820"/>
    </row>
    <row r="12" spans="2:7">
      <c r="B12" s="823">
        <v>42776</v>
      </c>
      <c r="C12" s="820" t="s">
        <v>1197</v>
      </c>
      <c r="D12" s="820" t="s">
        <v>1209</v>
      </c>
      <c r="E12" s="820" t="s">
        <v>1210</v>
      </c>
      <c r="F12" s="820" t="s">
        <v>1211</v>
      </c>
      <c r="G12" s="820"/>
    </row>
    <row r="13" spans="2:7">
      <c r="B13" s="823">
        <v>42776</v>
      </c>
      <c r="C13" s="820" t="s">
        <v>1197</v>
      </c>
      <c r="D13" s="820" t="s">
        <v>117</v>
      </c>
      <c r="E13" s="820" t="s">
        <v>1212</v>
      </c>
      <c r="F13" s="820" t="s">
        <v>1213</v>
      </c>
      <c r="G13" s="820"/>
    </row>
    <row r="14" spans="2:7">
      <c r="B14" s="823">
        <v>42800</v>
      </c>
      <c r="C14" s="820" t="s">
        <v>1219</v>
      </c>
      <c r="D14" s="820" t="s">
        <v>533</v>
      </c>
      <c r="E14" s="820" t="s">
        <v>1205</v>
      </c>
      <c r="F14" s="820" t="s">
        <v>1222</v>
      </c>
      <c r="G14" s="820"/>
    </row>
    <row r="15" spans="2:7">
      <c r="B15" s="823">
        <v>42800</v>
      </c>
      <c r="C15" s="820" t="s">
        <v>1219</v>
      </c>
      <c r="D15" s="820" t="s">
        <v>1220</v>
      </c>
      <c r="E15" s="820" t="s">
        <v>1205</v>
      </c>
      <c r="F15" s="820" t="s">
        <v>1223</v>
      </c>
      <c r="G15" s="820"/>
    </row>
    <row r="16" spans="2:7">
      <c r="B16" s="823">
        <v>42800</v>
      </c>
      <c r="C16" s="820" t="s">
        <v>1219</v>
      </c>
      <c r="D16" s="820" t="s">
        <v>1221</v>
      </c>
      <c r="E16" s="820" t="s">
        <v>1225</v>
      </c>
      <c r="F16" s="820" t="s">
        <v>1224</v>
      </c>
      <c r="G16" s="820"/>
    </row>
    <row r="17" spans="2:7">
      <c r="B17" s="823">
        <v>42801</v>
      </c>
      <c r="C17" s="820" t="s">
        <v>1219</v>
      </c>
      <c r="D17" s="820" t="s">
        <v>555</v>
      </c>
      <c r="E17" s="820" t="s">
        <v>1227</v>
      </c>
      <c r="F17" s="820" t="s">
        <v>1226</v>
      </c>
      <c r="G17" s="820"/>
    </row>
    <row r="18" spans="2:7">
      <c r="B18" s="823">
        <v>42811</v>
      </c>
      <c r="C18" s="820" t="s">
        <v>1230</v>
      </c>
      <c r="D18" s="820" t="s">
        <v>1231</v>
      </c>
      <c r="E18" s="820" t="s">
        <v>1232</v>
      </c>
      <c r="F18" s="820" t="s">
        <v>1233</v>
      </c>
      <c r="G18" s="820"/>
    </row>
    <row r="19" spans="2:7">
      <c r="B19" s="823">
        <v>42817</v>
      </c>
      <c r="C19" s="820" t="s">
        <v>1219</v>
      </c>
      <c r="D19" s="820" t="s">
        <v>151</v>
      </c>
      <c r="E19" s="820" t="s">
        <v>1234</v>
      </c>
      <c r="F19" s="820" t="s">
        <v>1235</v>
      </c>
      <c r="G19" s="820"/>
    </row>
    <row r="20" spans="2:7">
      <c r="B20" s="823">
        <v>42849</v>
      </c>
      <c r="C20" s="820" t="s">
        <v>1197</v>
      </c>
      <c r="D20" s="820" t="s">
        <v>1221</v>
      </c>
      <c r="E20" s="820" t="s">
        <v>1236</v>
      </c>
      <c r="F20" s="820" t="s">
        <v>1237</v>
      </c>
      <c r="G20" s="820"/>
    </row>
    <row r="21" spans="2:7">
      <c r="B21" s="823">
        <v>42850</v>
      </c>
      <c r="C21" s="820" t="s">
        <v>1197</v>
      </c>
      <c r="D21" s="820" t="s">
        <v>1241</v>
      </c>
      <c r="E21" s="820" t="s">
        <v>1243</v>
      </c>
      <c r="F21" s="820" t="s">
        <v>1242</v>
      </c>
      <c r="G21" s="820"/>
    </row>
    <row r="22" spans="2:7">
      <c r="B22" s="823">
        <v>42878</v>
      </c>
      <c r="C22" s="820" t="s">
        <v>1230</v>
      </c>
      <c r="D22" s="820" t="s">
        <v>1359</v>
      </c>
      <c r="E22" s="820"/>
      <c r="F22" s="820" t="s">
        <v>1360</v>
      </c>
      <c r="G22" s="820"/>
    </row>
    <row r="23" spans="2:7">
      <c r="B23" s="823">
        <v>42878</v>
      </c>
      <c r="C23" s="820" t="s">
        <v>1230</v>
      </c>
      <c r="D23" s="820" t="s">
        <v>1343</v>
      </c>
      <c r="E23" s="820"/>
      <c r="F23" s="820" t="s">
        <v>1367</v>
      </c>
      <c r="G23" s="820"/>
    </row>
    <row r="24" spans="2:7">
      <c r="B24" s="823">
        <v>42878</v>
      </c>
      <c r="C24" s="820" t="s">
        <v>1230</v>
      </c>
      <c r="D24" s="820" t="s">
        <v>1361</v>
      </c>
      <c r="E24" s="820"/>
      <c r="F24" s="820" t="s">
        <v>1362</v>
      </c>
      <c r="G24" s="820"/>
    </row>
    <row r="25" spans="2:7">
      <c r="B25" s="823">
        <v>42878</v>
      </c>
      <c r="C25" s="820" t="s">
        <v>1230</v>
      </c>
      <c r="D25" s="820" t="s">
        <v>1363</v>
      </c>
      <c r="E25" s="820"/>
      <c r="F25" s="820" t="s">
        <v>1364</v>
      </c>
      <c r="G25" s="820"/>
    </row>
    <row r="26" spans="2:7">
      <c r="B26" s="823">
        <v>42878</v>
      </c>
      <c r="C26" s="820" t="s">
        <v>1230</v>
      </c>
      <c r="D26" s="820" t="s">
        <v>117</v>
      </c>
      <c r="E26" s="820"/>
      <c r="F26" s="820" t="s">
        <v>1365</v>
      </c>
      <c r="G26" s="820"/>
    </row>
    <row r="27" spans="2:7">
      <c r="B27" s="823">
        <v>42878</v>
      </c>
      <c r="C27" s="820" t="s">
        <v>1230</v>
      </c>
      <c r="D27" s="820" t="s">
        <v>1344</v>
      </c>
      <c r="E27" s="820"/>
      <c r="F27" s="820" t="s">
        <v>1366</v>
      </c>
      <c r="G27" s="820"/>
    </row>
    <row r="28" spans="2:7">
      <c r="B28" s="823">
        <v>42885</v>
      </c>
      <c r="C28" s="820" t="s">
        <v>1230</v>
      </c>
      <c r="D28" s="820" t="s">
        <v>317</v>
      </c>
      <c r="E28" s="820"/>
      <c r="F28" s="820" t="s">
        <v>1368</v>
      </c>
      <c r="G28" s="820"/>
    </row>
    <row r="29" spans="2:7">
      <c r="B29" s="823">
        <v>42885</v>
      </c>
      <c r="C29" s="820" t="s">
        <v>1230</v>
      </c>
      <c r="D29" s="820" t="s">
        <v>151</v>
      </c>
      <c r="E29" s="820" t="s">
        <v>1369</v>
      </c>
      <c r="F29" s="820" t="s">
        <v>1370</v>
      </c>
      <c r="G29" s="820"/>
    </row>
    <row r="30" spans="2:7">
      <c r="B30" s="823">
        <v>42885</v>
      </c>
      <c r="C30" s="820" t="s">
        <v>1230</v>
      </c>
      <c r="D30" s="820" t="s">
        <v>1371</v>
      </c>
      <c r="E30" s="820"/>
      <c r="F30" s="820" t="s">
        <v>1372</v>
      </c>
      <c r="G30" s="820"/>
    </row>
    <row r="31" spans="2:7">
      <c r="B31" s="823">
        <v>42885</v>
      </c>
      <c r="C31" s="820" t="s">
        <v>1230</v>
      </c>
      <c r="D31" s="820" t="s">
        <v>1371</v>
      </c>
      <c r="E31" s="820"/>
      <c r="F31" s="820" t="s">
        <v>1373</v>
      </c>
      <c r="G31" s="820"/>
    </row>
    <row r="32" spans="2:7">
      <c r="B32" s="823">
        <v>43039</v>
      </c>
      <c r="C32" s="820" t="s">
        <v>1230</v>
      </c>
      <c r="D32" s="820" t="s">
        <v>867</v>
      </c>
      <c r="E32" s="820"/>
      <c r="F32" s="820" t="s">
        <v>1399</v>
      </c>
      <c r="G32" s="820"/>
    </row>
    <row r="33" spans="2:7">
      <c r="B33" s="823">
        <v>43039</v>
      </c>
      <c r="C33" s="820" t="s">
        <v>1230</v>
      </c>
      <c r="D33" s="820" t="s">
        <v>1400</v>
      </c>
      <c r="E33" s="820"/>
      <c r="F33" s="820" t="s">
        <v>1401</v>
      </c>
      <c r="G33" s="820"/>
    </row>
    <row r="34" spans="2:7">
      <c r="B34" s="823">
        <v>43049</v>
      </c>
      <c r="C34" s="820" t="s">
        <v>1230</v>
      </c>
      <c r="D34" s="820" t="s">
        <v>1402</v>
      </c>
      <c r="E34" s="820"/>
      <c r="F34" s="820" t="s">
        <v>1403</v>
      </c>
      <c r="G34" s="820"/>
    </row>
    <row r="35" spans="2:7">
      <c r="B35" s="823">
        <v>43083</v>
      </c>
      <c r="C35" s="820" t="s">
        <v>1230</v>
      </c>
      <c r="D35" s="820" t="s">
        <v>1473</v>
      </c>
      <c r="E35" s="820"/>
      <c r="F35" s="820" t="s">
        <v>1472</v>
      </c>
      <c r="G35" s="820"/>
    </row>
    <row r="36" spans="2:7">
      <c r="B36" s="823">
        <v>43098</v>
      </c>
      <c r="C36" s="820" t="s">
        <v>1230</v>
      </c>
      <c r="D36" s="820" t="s">
        <v>1371</v>
      </c>
      <c r="E36" s="820"/>
      <c r="F36" s="820" t="s">
        <v>1542</v>
      </c>
      <c r="G36" s="820"/>
    </row>
    <row r="37" spans="2:7">
      <c r="B37" s="823">
        <v>43105</v>
      </c>
      <c r="C37" s="820" t="s">
        <v>1230</v>
      </c>
      <c r="D37" s="820" t="s">
        <v>1371</v>
      </c>
      <c r="E37" s="820"/>
      <c r="F37" s="820" t="s">
        <v>1543</v>
      </c>
      <c r="G37" s="820"/>
    </row>
    <row r="38" spans="2:7">
      <c r="B38" s="823">
        <v>43105</v>
      </c>
      <c r="C38" s="820" t="s">
        <v>1230</v>
      </c>
      <c r="D38" s="820" t="s">
        <v>1547</v>
      </c>
      <c r="E38" s="820"/>
      <c r="F38" s="820" t="s">
        <v>1548</v>
      </c>
      <c r="G38" s="820"/>
    </row>
    <row r="39" spans="2:7">
      <c r="B39" s="823">
        <v>43105</v>
      </c>
      <c r="C39" s="820" t="s">
        <v>1230</v>
      </c>
      <c r="D39" s="820" t="s">
        <v>1361</v>
      </c>
      <c r="E39" s="820"/>
      <c r="F39" s="820" t="s">
        <v>1549</v>
      </c>
      <c r="G39" s="820"/>
    </row>
    <row r="40" spans="2:7">
      <c r="B40" s="823">
        <v>43105</v>
      </c>
      <c r="C40" s="820" t="s">
        <v>1230</v>
      </c>
      <c r="D40" s="820" t="s">
        <v>1343</v>
      </c>
      <c r="E40" s="820"/>
      <c r="F40" s="820" t="s">
        <v>1550</v>
      </c>
      <c r="G40" s="820"/>
    </row>
    <row r="41" spans="2:7">
      <c r="B41" s="823">
        <v>43222</v>
      </c>
      <c r="C41" s="820" t="s">
        <v>1230</v>
      </c>
      <c r="D41" s="820" t="s">
        <v>1551</v>
      </c>
      <c r="E41" s="820"/>
      <c r="F41" s="820" t="s">
        <v>1552</v>
      </c>
      <c r="G41" s="820"/>
    </row>
    <row r="42" spans="2:7">
      <c r="B42" s="823">
        <v>43222</v>
      </c>
      <c r="C42" s="820" t="s">
        <v>1555</v>
      </c>
      <c r="D42" s="820" t="s">
        <v>1374</v>
      </c>
      <c r="E42" s="820"/>
      <c r="F42" s="820" t="s">
        <v>1560</v>
      </c>
      <c r="G42" s="820"/>
    </row>
    <row r="43" spans="2:7">
      <c r="B43" s="823">
        <v>43222</v>
      </c>
      <c r="C43" s="820" t="s">
        <v>1555</v>
      </c>
      <c r="D43" s="820" t="s">
        <v>1374</v>
      </c>
      <c r="E43" s="820" t="s">
        <v>1563</v>
      </c>
      <c r="F43" s="820" t="s">
        <v>1561</v>
      </c>
      <c r="G43" s="820"/>
    </row>
    <row r="44" spans="2:7">
      <c r="B44" s="823">
        <v>43222</v>
      </c>
      <c r="C44" s="820" t="s">
        <v>1555</v>
      </c>
      <c r="D44" s="820" t="s">
        <v>1562</v>
      </c>
      <c r="E44" s="820"/>
      <c r="F44" s="820" t="s">
        <v>1560</v>
      </c>
      <c r="G44" s="820"/>
    </row>
    <row r="45" spans="2:7">
      <c r="B45" s="823">
        <v>43222</v>
      </c>
      <c r="C45" s="820" t="s">
        <v>1555</v>
      </c>
      <c r="D45" s="820" t="s">
        <v>1562</v>
      </c>
      <c r="E45" s="820" t="s">
        <v>1563</v>
      </c>
      <c r="F45" s="820" t="s">
        <v>1561</v>
      </c>
      <c r="G45" s="820"/>
    </row>
    <row r="46" spans="2:7">
      <c r="B46" s="823">
        <v>43222</v>
      </c>
      <c r="C46" s="820" t="s">
        <v>1555</v>
      </c>
      <c r="D46" s="820" t="s">
        <v>1350</v>
      </c>
      <c r="E46" s="820" t="s">
        <v>1565</v>
      </c>
      <c r="F46" s="820" t="s">
        <v>1564</v>
      </c>
      <c r="G46" s="820"/>
    </row>
    <row r="47" spans="2:7">
      <c r="B47" s="823">
        <v>43222</v>
      </c>
      <c r="C47" s="820" t="s">
        <v>1555</v>
      </c>
      <c r="D47" s="820" t="s">
        <v>632</v>
      </c>
      <c r="E47" s="820" t="s">
        <v>1567</v>
      </c>
      <c r="F47" s="820" t="s">
        <v>1566</v>
      </c>
      <c r="G47" s="820"/>
    </row>
    <row r="48" spans="2:7">
      <c r="B48" s="823">
        <v>43222</v>
      </c>
      <c r="C48" s="820" t="s">
        <v>1555</v>
      </c>
      <c r="D48" s="820" t="s">
        <v>1568</v>
      </c>
      <c r="E48" s="820"/>
      <c r="F48" s="820" t="s">
        <v>1569</v>
      </c>
      <c r="G48" s="820"/>
    </row>
    <row r="49" spans="2:7">
      <c r="B49" s="823">
        <v>43222</v>
      </c>
      <c r="C49" s="820" t="s">
        <v>1555</v>
      </c>
      <c r="D49" s="820" t="s">
        <v>317</v>
      </c>
      <c r="E49" s="820"/>
      <c r="F49" s="820" t="s">
        <v>1570</v>
      </c>
      <c r="G49" s="820"/>
    </row>
    <row r="50" spans="2:7">
      <c r="B50" s="823">
        <v>43222</v>
      </c>
      <c r="C50" s="820" t="s">
        <v>1555</v>
      </c>
      <c r="D50" s="820" t="s">
        <v>1568</v>
      </c>
      <c r="E50" s="820"/>
      <c r="F50" s="820" t="s">
        <v>1571</v>
      </c>
      <c r="G50" s="820"/>
    </row>
    <row r="51" spans="2:7">
      <c r="B51" s="823">
        <v>43222</v>
      </c>
      <c r="C51" s="820" t="s">
        <v>1555</v>
      </c>
      <c r="D51" s="820" t="s">
        <v>1572</v>
      </c>
      <c r="E51" s="820"/>
      <c r="F51" s="820" t="s">
        <v>1573</v>
      </c>
      <c r="G51" s="820"/>
    </row>
    <row r="52" spans="2:7">
      <c r="B52" s="823">
        <v>43222</v>
      </c>
      <c r="C52" s="820" t="s">
        <v>1555</v>
      </c>
      <c r="D52" s="820" t="s">
        <v>1198</v>
      </c>
      <c r="E52" s="820"/>
      <c r="F52" s="820" t="s">
        <v>1574</v>
      </c>
      <c r="G52" s="820"/>
    </row>
    <row r="53" spans="2:7">
      <c r="B53" s="823">
        <v>43222</v>
      </c>
      <c r="C53" s="820" t="s">
        <v>1555</v>
      </c>
      <c r="D53" s="820" t="s">
        <v>1575</v>
      </c>
      <c r="E53" s="820"/>
      <c r="F53" s="820" t="s">
        <v>1574</v>
      </c>
      <c r="G53" s="820"/>
    </row>
    <row r="54" spans="2:7">
      <c r="B54" s="823">
        <v>43223</v>
      </c>
      <c r="C54" s="820" t="s">
        <v>1576</v>
      </c>
      <c r="D54" s="820" t="s">
        <v>1577</v>
      </c>
      <c r="E54" s="820"/>
      <c r="F54" s="820" t="s">
        <v>1578</v>
      </c>
      <c r="G54" s="820"/>
    </row>
    <row r="55" spans="2:7">
      <c r="B55" s="823">
        <v>43223</v>
      </c>
      <c r="C55" s="820" t="s">
        <v>1576</v>
      </c>
      <c r="D55" s="820" t="s">
        <v>151</v>
      </c>
      <c r="E55" s="820"/>
      <c r="F55" s="820" t="s">
        <v>1579</v>
      </c>
      <c r="G55" s="820"/>
    </row>
    <row r="56" spans="2:7">
      <c r="B56" s="823">
        <v>43223</v>
      </c>
      <c r="C56" s="820" t="s">
        <v>1576</v>
      </c>
      <c r="D56" s="820" t="s">
        <v>1580</v>
      </c>
      <c r="E56" s="820"/>
      <c r="F56" s="820" t="s">
        <v>1581</v>
      </c>
      <c r="G56" s="820"/>
    </row>
    <row r="57" spans="2:7">
      <c r="B57" s="823">
        <v>43223</v>
      </c>
      <c r="C57" s="820" t="s">
        <v>1576</v>
      </c>
      <c r="D57" s="820" t="s">
        <v>1374</v>
      </c>
      <c r="E57" s="820"/>
      <c r="F57" s="820" t="s">
        <v>1584</v>
      </c>
      <c r="G57" s="820"/>
    </row>
    <row r="58" spans="2:7">
      <c r="B58" s="823">
        <v>43223</v>
      </c>
      <c r="C58" s="820" t="s">
        <v>1576</v>
      </c>
      <c r="D58" s="820" t="s">
        <v>1374</v>
      </c>
      <c r="E58" s="820"/>
      <c r="F58" s="820" t="s">
        <v>1585</v>
      </c>
      <c r="G58" s="820"/>
    </row>
    <row r="59" spans="2:7">
      <c r="B59" s="823">
        <v>43223</v>
      </c>
      <c r="C59" s="820" t="s">
        <v>1576</v>
      </c>
      <c r="D59" s="820" t="s">
        <v>1374</v>
      </c>
      <c r="E59" s="820"/>
      <c r="F59" s="820" t="s">
        <v>1591</v>
      </c>
      <c r="G59" s="820"/>
    </row>
    <row r="60" spans="2:7">
      <c r="B60" s="823">
        <v>43223</v>
      </c>
      <c r="C60" s="820" t="s">
        <v>1576</v>
      </c>
      <c r="D60" s="820" t="s">
        <v>1592</v>
      </c>
      <c r="E60" s="820"/>
      <c r="F60" s="820" t="s">
        <v>1593</v>
      </c>
      <c r="G60" s="820"/>
    </row>
    <row r="61" spans="2:7">
      <c r="B61" s="823">
        <v>43223</v>
      </c>
      <c r="C61" s="820" t="s">
        <v>1576</v>
      </c>
      <c r="D61" s="820" t="s">
        <v>1350</v>
      </c>
      <c r="E61" s="820"/>
      <c r="F61" s="820" t="s">
        <v>1594</v>
      </c>
      <c r="G61" s="820"/>
    </row>
    <row r="62" spans="2:7">
      <c r="B62" s="823">
        <v>43223</v>
      </c>
      <c r="C62" s="820" t="s">
        <v>1576</v>
      </c>
      <c r="D62" s="820" t="s">
        <v>1595</v>
      </c>
      <c r="E62" s="820"/>
      <c r="F62" s="820" t="s">
        <v>1596</v>
      </c>
      <c r="G62" s="820"/>
    </row>
    <row r="63" spans="2:7">
      <c r="B63" s="823">
        <v>43223</v>
      </c>
      <c r="C63" s="820" t="s">
        <v>1576</v>
      </c>
      <c r="D63" s="820" t="s">
        <v>317</v>
      </c>
      <c r="E63" s="820"/>
      <c r="F63" s="820" t="s">
        <v>1597</v>
      </c>
      <c r="G63" s="820"/>
    </row>
    <row r="64" spans="2:7">
      <c r="B64" s="823">
        <v>43223</v>
      </c>
      <c r="C64" s="820" t="s">
        <v>1576</v>
      </c>
      <c r="D64" s="820" t="s">
        <v>1600</v>
      </c>
      <c r="E64" s="820"/>
      <c r="F64" s="820" t="s">
        <v>1601</v>
      </c>
      <c r="G64" s="820"/>
    </row>
    <row r="65" spans="2:7">
      <c r="B65" s="823">
        <v>43223</v>
      </c>
      <c r="C65" s="820" t="s">
        <v>1576</v>
      </c>
      <c r="D65" s="820" t="s">
        <v>1602</v>
      </c>
      <c r="E65" s="820"/>
      <c r="F65" s="820" t="s">
        <v>1603</v>
      </c>
      <c r="G65" s="820"/>
    </row>
    <row r="66" spans="2:7">
      <c r="B66" s="823">
        <v>43223</v>
      </c>
      <c r="C66" s="820" t="s">
        <v>1576</v>
      </c>
      <c r="D66" s="820" t="s">
        <v>117</v>
      </c>
      <c r="E66" s="820"/>
      <c r="F66" s="820" t="s">
        <v>1604</v>
      </c>
      <c r="G66" s="820"/>
    </row>
    <row r="67" spans="2:7">
      <c r="B67" s="823">
        <v>43227</v>
      </c>
      <c r="C67" s="820" t="s">
        <v>1230</v>
      </c>
      <c r="D67" s="820" t="s">
        <v>317</v>
      </c>
      <c r="E67" s="820" t="s">
        <v>1605</v>
      </c>
      <c r="F67" s="820" t="s">
        <v>1606</v>
      </c>
      <c r="G67" s="820"/>
    </row>
    <row r="68" spans="2:7">
      <c r="B68" s="823">
        <v>43245</v>
      </c>
      <c r="C68" s="820" t="s">
        <v>1230</v>
      </c>
      <c r="D68" s="820" t="s">
        <v>317</v>
      </c>
      <c r="E68" s="820"/>
      <c r="F68" s="820" t="s">
        <v>1607</v>
      </c>
      <c r="G68" s="820"/>
    </row>
    <row r="69" spans="2:7">
      <c r="B69" s="820"/>
      <c r="C69" s="820"/>
      <c r="D69" s="820"/>
      <c r="E69" s="820"/>
      <c r="F69" s="820"/>
      <c r="G69" s="820"/>
    </row>
    <row r="70" spans="2:7">
      <c r="B70" s="820"/>
      <c r="C70" s="820"/>
      <c r="D70" s="820"/>
      <c r="E70" s="820"/>
      <c r="F70" s="820"/>
      <c r="G70" s="820"/>
    </row>
    <row r="71" spans="2:7">
      <c r="B71" s="820"/>
      <c r="C71" s="820"/>
      <c r="D71" s="820"/>
      <c r="E71" s="820"/>
      <c r="F71" s="820"/>
      <c r="G71" s="820"/>
    </row>
    <row r="72" spans="2:7">
      <c r="B72" s="820"/>
      <c r="C72" s="820"/>
      <c r="D72" s="820"/>
      <c r="E72" s="820"/>
      <c r="F72" s="820"/>
      <c r="G72" s="820"/>
    </row>
    <row r="73" spans="2:7">
      <c r="B73" s="820"/>
      <c r="C73" s="820"/>
      <c r="D73" s="820"/>
      <c r="E73" s="820"/>
      <c r="F73" s="820"/>
      <c r="G73" s="820"/>
    </row>
    <row r="74" spans="2:7">
      <c r="B74" s="820"/>
      <c r="C74" s="820"/>
      <c r="D74" s="820"/>
      <c r="E74" s="820"/>
      <c r="F74" s="820"/>
      <c r="G74" s="820"/>
    </row>
    <row r="75" spans="2:7">
      <c r="B75" s="820"/>
      <c r="C75" s="820"/>
      <c r="D75" s="820"/>
      <c r="E75" s="820"/>
      <c r="F75" s="820"/>
      <c r="G75" s="820"/>
    </row>
    <row r="76" spans="2:7">
      <c r="B76" s="820"/>
      <c r="C76" s="820"/>
      <c r="D76" s="820"/>
      <c r="E76" s="820"/>
      <c r="F76" s="820"/>
      <c r="G76" s="820"/>
    </row>
    <row r="77" spans="2:7">
      <c r="B77" s="820"/>
      <c r="C77" s="820"/>
      <c r="D77" s="820"/>
      <c r="E77" s="820"/>
      <c r="F77" s="820"/>
      <c r="G77" s="820"/>
    </row>
    <row r="78" spans="2:7">
      <c r="B78" s="820"/>
      <c r="C78" s="820"/>
      <c r="D78" s="820"/>
      <c r="E78" s="820"/>
      <c r="F78" s="820"/>
      <c r="G78" s="820"/>
    </row>
    <row r="79" spans="2:7">
      <c r="B79" s="820"/>
      <c r="C79" s="820"/>
      <c r="D79" s="820"/>
      <c r="E79" s="820"/>
      <c r="F79" s="820"/>
      <c r="G79" s="820"/>
    </row>
    <row r="80" spans="2:7">
      <c r="B80" s="820"/>
      <c r="C80" s="820"/>
      <c r="D80" s="820"/>
      <c r="E80" s="820"/>
      <c r="F80" s="820"/>
      <c r="G80" s="820"/>
    </row>
    <row r="81" spans="2:7">
      <c r="B81" s="820"/>
      <c r="C81" s="820"/>
      <c r="D81" s="820"/>
      <c r="E81" s="820"/>
      <c r="F81" s="820"/>
      <c r="G81" s="820"/>
    </row>
    <row r="82" spans="2:7">
      <c r="B82" s="820"/>
      <c r="C82" s="820"/>
      <c r="D82" s="820"/>
      <c r="E82" s="820"/>
      <c r="F82" s="820"/>
      <c r="G82" s="820"/>
    </row>
    <row r="83" spans="2:7">
      <c r="B83" s="820"/>
      <c r="C83" s="820"/>
      <c r="D83" s="820"/>
      <c r="E83" s="820"/>
      <c r="F83" s="820"/>
      <c r="G83" s="820"/>
    </row>
    <row r="84" spans="2:7">
      <c r="B84" s="820"/>
      <c r="C84" s="820"/>
      <c r="D84" s="820"/>
      <c r="E84" s="820"/>
      <c r="F84" s="820"/>
      <c r="G84" s="820"/>
    </row>
    <row r="85" spans="2:7">
      <c r="B85" s="820"/>
      <c r="C85" s="820"/>
      <c r="D85" s="820"/>
      <c r="E85" s="820"/>
      <c r="F85" s="820"/>
      <c r="G85" s="820"/>
    </row>
    <row r="86" spans="2:7">
      <c r="B86" s="820"/>
      <c r="C86" s="820"/>
      <c r="D86" s="820"/>
      <c r="E86" s="820"/>
      <c r="F86" s="820"/>
      <c r="G86" s="820"/>
    </row>
    <row r="87" spans="2:7">
      <c r="B87" s="820"/>
      <c r="C87" s="820"/>
      <c r="D87" s="820"/>
      <c r="E87" s="820"/>
      <c r="F87" s="820"/>
      <c r="G87" s="820"/>
    </row>
    <row r="88" spans="2:7">
      <c r="B88" s="820"/>
      <c r="C88" s="820"/>
      <c r="D88" s="820"/>
      <c r="E88" s="820"/>
      <c r="F88" s="820"/>
      <c r="G88" s="820"/>
    </row>
    <row r="89" spans="2:7">
      <c r="B89" s="820"/>
      <c r="C89" s="820"/>
      <c r="D89" s="820"/>
      <c r="E89" s="820"/>
      <c r="F89" s="820"/>
      <c r="G89" s="820"/>
    </row>
    <row r="90" spans="2:7">
      <c r="B90" s="820"/>
      <c r="C90" s="820"/>
      <c r="D90" s="820"/>
      <c r="E90" s="820"/>
      <c r="F90" s="820"/>
      <c r="G90" s="820"/>
    </row>
    <row r="91" spans="2:7">
      <c r="B91" s="820"/>
      <c r="C91" s="820"/>
      <c r="D91" s="820"/>
      <c r="E91" s="820"/>
      <c r="F91" s="820"/>
      <c r="G91" s="820"/>
    </row>
    <row r="92" spans="2:7">
      <c r="B92" s="820"/>
      <c r="C92" s="820"/>
      <c r="D92" s="820"/>
      <c r="E92" s="820"/>
      <c r="F92" s="820"/>
      <c r="G92" s="820"/>
    </row>
    <row r="93" spans="2:7">
      <c r="B93" s="820"/>
      <c r="C93" s="820"/>
      <c r="D93" s="820"/>
      <c r="E93" s="820"/>
      <c r="F93" s="820"/>
      <c r="G93" s="820"/>
    </row>
    <row r="94" spans="2:7">
      <c r="B94" s="820"/>
      <c r="C94" s="820"/>
      <c r="D94" s="820"/>
      <c r="E94" s="820"/>
      <c r="F94" s="820"/>
      <c r="G94" s="820"/>
    </row>
    <row r="95" spans="2:7">
      <c r="B95" s="820"/>
      <c r="C95" s="820"/>
      <c r="D95" s="820"/>
      <c r="E95" s="820"/>
      <c r="F95" s="820"/>
      <c r="G95" s="820"/>
    </row>
    <row r="96" spans="2:7">
      <c r="B96" s="820"/>
      <c r="C96" s="820"/>
      <c r="D96" s="820"/>
      <c r="E96" s="820"/>
      <c r="F96" s="820"/>
      <c r="G96" s="820"/>
    </row>
    <row r="97" spans="2:7">
      <c r="B97" s="820"/>
      <c r="C97" s="820"/>
      <c r="D97" s="820"/>
      <c r="E97" s="820"/>
      <c r="F97" s="820"/>
      <c r="G97" s="820"/>
    </row>
    <row r="98" spans="2:7">
      <c r="B98" s="820"/>
      <c r="C98" s="820"/>
      <c r="D98" s="820"/>
      <c r="E98" s="820"/>
      <c r="F98" s="820"/>
      <c r="G98" s="820"/>
    </row>
    <row r="99" spans="2:7">
      <c r="B99" s="820"/>
      <c r="C99" s="820"/>
      <c r="D99" s="820"/>
      <c r="E99" s="820"/>
      <c r="F99" s="820"/>
      <c r="G99" s="820"/>
    </row>
    <row r="100" spans="2:7">
      <c r="B100" s="820"/>
      <c r="C100" s="820"/>
      <c r="D100" s="820"/>
      <c r="E100" s="820"/>
      <c r="F100" s="820"/>
      <c r="G100" s="820"/>
    </row>
    <row r="101" spans="2:7">
      <c r="B101" s="820"/>
      <c r="C101" s="820"/>
      <c r="D101" s="820"/>
      <c r="E101" s="820"/>
      <c r="F101" s="820"/>
      <c r="G101" s="820"/>
    </row>
    <row r="102" spans="2:7">
      <c r="B102" s="820"/>
      <c r="C102" s="820"/>
      <c r="D102" s="820"/>
      <c r="E102" s="820"/>
      <c r="F102" s="820"/>
      <c r="G102" s="820"/>
    </row>
    <row r="103" spans="2:7">
      <c r="B103" s="820"/>
      <c r="C103" s="820"/>
      <c r="D103" s="820"/>
      <c r="E103" s="820"/>
      <c r="F103" s="820"/>
      <c r="G103" s="820"/>
    </row>
    <row r="104" spans="2:7">
      <c r="B104" s="820"/>
      <c r="C104" s="820"/>
      <c r="D104" s="820"/>
      <c r="E104" s="820"/>
      <c r="F104" s="820"/>
      <c r="G104" s="820"/>
    </row>
    <row r="105" spans="2:7">
      <c r="B105" s="820"/>
      <c r="C105" s="820"/>
      <c r="D105" s="820"/>
      <c r="E105" s="820"/>
      <c r="F105" s="820"/>
      <c r="G105" s="820"/>
    </row>
    <row r="106" spans="2:7">
      <c r="B106" s="820"/>
      <c r="C106" s="820"/>
      <c r="D106" s="820"/>
      <c r="E106" s="820"/>
      <c r="F106" s="820"/>
      <c r="G106" s="820"/>
    </row>
    <row r="107" spans="2:7">
      <c r="B107" s="820"/>
      <c r="C107" s="820"/>
      <c r="D107" s="820"/>
      <c r="E107" s="820"/>
      <c r="F107" s="820"/>
      <c r="G107" s="820"/>
    </row>
    <row r="108" spans="2:7">
      <c r="B108" s="820"/>
      <c r="C108" s="820"/>
      <c r="D108" s="820"/>
      <c r="E108" s="820"/>
      <c r="F108" s="820"/>
      <c r="G108" s="820"/>
    </row>
    <row r="109" spans="2:7">
      <c r="B109" s="820"/>
      <c r="C109" s="820"/>
      <c r="D109" s="820"/>
      <c r="E109" s="820"/>
      <c r="F109" s="820"/>
      <c r="G109" s="820"/>
    </row>
    <row r="110" spans="2:7">
      <c r="B110" s="820"/>
      <c r="C110" s="820"/>
      <c r="D110" s="820"/>
      <c r="E110" s="820"/>
      <c r="F110" s="820"/>
      <c r="G110" s="820"/>
    </row>
    <row r="111" spans="2:7">
      <c r="B111" s="820"/>
      <c r="C111" s="820"/>
      <c r="D111" s="820"/>
      <c r="E111" s="820"/>
      <c r="F111" s="820"/>
      <c r="G111" s="820"/>
    </row>
    <row r="112" spans="2:7">
      <c r="B112" s="820"/>
      <c r="C112" s="820"/>
      <c r="D112" s="820"/>
      <c r="E112" s="820"/>
      <c r="F112" s="820"/>
      <c r="G112" s="820"/>
    </row>
    <row r="113" spans="2:7">
      <c r="B113" s="820"/>
      <c r="C113" s="820"/>
      <c r="D113" s="820"/>
      <c r="E113" s="820"/>
      <c r="F113" s="820"/>
      <c r="G113" s="820"/>
    </row>
    <row r="114" spans="2:7">
      <c r="B114" s="820"/>
      <c r="C114" s="820"/>
      <c r="D114" s="820"/>
      <c r="E114" s="820"/>
      <c r="F114" s="820"/>
      <c r="G114" s="820"/>
    </row>
    <row r="115" spans="2:7">
      <c r="B115" s="820"/>
      <c r="C115" s="820"/>
      <c r="D115" s="820"/>
      <c r="E115" s="820"/>
      <c r="F115" s="820"/>
      <c r="G115" s="820"/>
    </row>
    <row r="116" spans="2:7">
      <c r="B116" s="820"/>
      <c r="C116" s="820"/>
      <c r="D116" s="820"/>
      <c r="E116" s="820"/>
      <c r="F116" s="820"/>
      <c r="G116" s="820"/>
    </row>
    <row r="117" spans="2:7">
      <c r="B117" s="820"/>
      <c r="C117" s="820"/>
      <c r="D117" s="820"/>
      <c r="E117" s="820"/>
      <c r="F117" s="820"/>
      <c r="G117" s="820"/>
    </row>
    <row r="118" spans="2:7">
      <c r="B118" s="820"/>
      <c r="C118" s="820"/>
      <c r="D118" s="820"/>
      <c r="E118" s="820"/>
      <c r="F118" s="820"/>
      <c r="G118" s="820"/>
    </row>
    <row r="119" spans="2:7">
      <c r="B119" s="820"/>
      <c r="C119" s="820"/>
      <c r="D119" s="820"/>
      <c r="E119" s="820"/>
      <c r="F119" s="820"/>
      <c r="G119" s="820"/>
    </row>
    <row r="120" spans="2:7">
      <c r="B120" s="820"/>
      <c r="C120" s="820"/>
      <c r="D120" s="820"/>
      <c r="E120" s="820"/>
      <c r="F120" s="820"/>
      <c r="G120" s="820"/>
    </row>
    <row r="121" spans="2:7">
      <c r="B121" s="820"/>
      <c r="C121" s="820"/>
      <c r="D121" s="820"/>
      <c r="E121" s="820"/>
      <c r="F121" s="820"/>
      <c r="G121" s="820"/>
    </row>
    <row r="122" spans="2:7">
      <c r="B122" s="820"/>
      <c r="C122" s="820"/>
      <c r="D122" s="820"/>
      <c r="E122" s="820"/>
      <c r="F122" s="820"/>
      <c r="G122" s="820"/>
    </row>
    <row r="123" spans="2:7">
      <c r="B123" s="820"/>
      <c r="C123" s="820"/>
      <c r="D123" s="820"/>
      <c r="E123" s="820"/>
      <c r="F123" s="820"/>
      <c r="G123" s="820"/>
    </row>
    <row r="124" spans="2:7">
      <c r="B124" s="820"/>
      <c r="C124" s="820"/>
      <c r="D124" s="820"/>
      <c r="E124" s="820"/>
      <c r="F124" s="820"/>
      <c r="G124" s="820"/>
    </row>
    <row r="125" spans="2:7">
      <c r="B125" s="820"/>
      <c r="C125" s="820"/>
      <c r="D125" s="820"/>
      <c r="E125" s="820"/>
      <c r="F125" s="820"/>
      <c r="G125" s="820"/>
    </row>
    <row r="126" spans="2:7">
      <c r="B126" s="820"/>
      <c r="C126" s="820"/>
      <c r="D126" s="820"/>
      <c r="E126" s="820"/>
      <c r="F126" s="820"/>
      <c r="G126" s="820"/>
    </row>
    <row r="127" spans="2:7">
      <c r="B127" s="820"/>
      <c r="C127" s="820"/>
      <c r="D127" s="820"/>
      <c r="E127" s="820"/>
      <c r="F127" s="820"/>
      <c r="G127" s="820"/>
    </row>
    <row r="128" spans="2:7">
      <c r="B128" s="820"/>
      <c r="C128" s="820"/>
      <c r="D128" s="820"/>
      <c r="E128" s="820"/>
      <c r="F128" s="820"/>
      <c r="G128" s="820"/>
    </row>
    <row r="129" spans="2:7">
      <c r="B129" s="820"/>
      <c r="C129" s="820"/>
      <c r="D129" s="820"/>
      <c r="E129" s="820"/>
      <c r="F129" s="820"/>
      <c r="G129" s="820"/>
    </row>
    <row r="130" spans="2:7">
      <c r="B130" s="820"/>
      <c r="C130" s="820"/>
      <c r="D130" s="820"/>
      <c r="E130" s="820"/>
      <c r="F130" s="820"/>
      <c r="G130" s="820"/>
    </row>
    <row r="131" spans="2:7">
      <c r="B131" s="820"/>
      <c r="C131" s="820"/>
      <c r="D131" s="820"/>
      <c r="E131" s="820"/>
      <c r="F131" s="820"/>
      <c r="G131" s="820"/>
    </row>
    <row r="132" spans="2:7">
      <c r="B132" s="820"/>
      <c r="C132" s="820"/>
      <c r="D132" s="820"/>
      <c r="E132" s="820"/>
      <c r="F132" s="820"/>
      <c r="G132" s="820"/>
    </row>
    <row r="133" spans="2:7">
      <c r="B133" s="820"/>
      <c r="C133" s="820"/>
      <c r="D133" s="820"/>
      <c r="E133" s="820"/>
      <c r="F133" s="820"/>
      <c r="G133" s="820"/>
    </row>
    <row r="134" spans="2:7">
      <c r="B134" s="820"/>
      <c r="C134" s="820"/>
      <c r="D134" s="820"/>
      <c r="E134" s="820"/>
      <c r="F134" s="820"/>
      <c r="G134" s="820"/>
    </row>
    <row r="135" spans="2:7">
      <c r="B135" s="820"/>
      <c r="C135" s="820"/>
      <c r="D135" s="820"/>
      <c r="E135" s="820"/>
      <c r="F135" s="820"/>
      <c r="G135" s="820"/>
    </row>
    <row r="136" spans="2:7">
      <c r="B136" s="820"/>
      <c r="C136" s="820"/>
      <c r="D136" s="820"/>
      <c r="E136" s="820"/>
      <c r="F136" s="820"/>
      <c r="G136" s="820"/>
    </row>
    <row r="137" spans="2:7">
      <c r="B137" s="820"/>
      <c r="C137" s="820"/>
      <c r="D137" s="820"/>
      <c r="E137" s="820"/>
      <c r="F137" s="820"/>
      <c r="G137" s="820"/>
    </row>
    <row r="138" spans="2:7">
      <c r="B138" s="820"/>
      <c r="C138" s="820"/>
      <c r="D138" s="820"/>
      <c r="E138" s="820"/>
      <c r="F138" s="820"/>
      <c r="G138" s="820"/>
    </row>
    <row r="139" spans="2:7">
      <c r="B139" s="820"/>
      <c r="C139" s="820"/>
      <c r="D139" s="820"/>
      <c r="E139" s="820"/>
      <c r="F139" s="820"/>
      <c r="G139" s="820"/>
    </row>
    <row r="140" spans="2:7">
      <c r="B140" s="820"/>
      <c r="C140" s="820"/>
      <c r="D140" s="820"/>
      <c r="E140" s="820"/>
      <c r="F140" s="820"/>
      <c r="G140" s="820"/>
    </row>
    <row r="141" spans="2:7">
      <c r="B141" s="820"/>
      <c r="C141" s="820"/>
      <c r="D141" s="820"/>
      <c r="E141" s="820"/>
      <c r="F141" s="820"/>
      <c r="G141" s="820"/>
    </row>
    <row r="142" spans="2:7">
      <c r="B142" s="820"/>
      <c r="C142" s="820"/>
      <c r="D142" s="820"/>
      <c r="E142" s="820"/>
      <c r="F142" s="820"/>
      <c r="G142" s="820"/>
    </row>
    <row r="143" spans="2:7">
      <c r="B143" s="820"/>
      <c r="C143" s="820"/>
      <c r="D143" s="820"/>
      <c r="E143" s="820"/>
      <c r="F143" s="820"/>
      <c r="G143" s="820"/>
    </row>
    <row r="144" spans="2:7">
      <c r="B144" s="820"/>
      <c r="C144" s="820"/>
      <c r="D144" s="820"/>
      <c r="E144" s="820"/>
      <c r="F144" s="820"/>
      <c r="G144" s="820"/>
    </row>
    <row r="145" spans="2:7">
      <c r="B145" s="820"/>
      <c r="C145" s="820"/>
      <c r="D145" s="820"/>
      <c r="E145" s="820"/>
      <c r="F145" s="820"/>
      <c r="G145" s="820"/>
    </row>
    <row r="146" spans="2:7">
      <c r="B146" s="820"/>
      <c r="C146" s="820"/>
      <c r="D146" s="820"/>
      <c r="E146" s="820"/>
      <c r="F146" s="820"/>
      <c r="G146" s="820"/>
    </row>
    <row r="147" spans="2:7">
      <c r="B147" s="820"/>
      <c r="C147" s="820"/>
      <c r="D147" s="820"/>
      <c r="E147" s="820"/>
      <c r="F147" s="820"/>
      <c r="G147" s="820"/>
    </row>
    <row r="148" spans="2:7">
      <c r="B148" s="820"/>
      <c r="C148" s="820"/>
      <c r="D148" s="820"/>
      <c r="E148" s="820"/>
      <c r="F148" s="820"/>
      <c r="G148" s="820"/>
    </row>
    <row r="149" spans="2:7">
      <c r="B149" s="820"/>
      <c r="C149" s="820"/>
      <c r="D149" s="820"/>
      <c r="E149" s="820"/>
      <c r="F149" s="820"/>
      <c r="G149" s="820"/>
    </row>
    <row r="150" spans="2:7">
      <c r="B150" s="820"/>
      <c r="C150" s="820"/>
      <c r="D150" s="820"/>
      <c r="E150" s="820"/>
      <c r="F150" s="820"/>
      <c r="G150" s="820"/>
    </row>
    <row r="151" spans="2:7">
      <c r="B151" s="820"/>
      <c r="C151" s="820"/>
      <c r="D151" s="820"/>
      <c r="E151" s="820"/>
      <c r="F151" s="820"/>
      <c r="G151" s="820"/>
    </row>
    <row r="152" spans="2:7">
      <c r="B152" s="820"/>
      <c r="C152" s="820"/>
      <c r="D152" s="820"/>
      <c r="E152" s="820"/>
      <c r="F152" s="820"/>
      <c r="G152" s="820"/>
    </row>
    <row r="153" spans="2:7">
      <c r="B153" s="820"/>
      <c r="C153" s="820"/>
      <c r="D153" s="820"/>
      <c r="E153" s="820"/>
      <c r="F153" s="820"/>
      <c r="G153" s="820"/>
    </row>
    <row r="154" spans="2:7">
      <c r="B154" s="820"/>
      <c r="C154" s="820"/>
      <c r="D154" s="820"/>
      <c r="E154" s="820"/>
      <c r="F154" s="820"/>
      <c r="G154" s="820"/>
    </row>
    <row r="155" spans="2:7">
      <c r="B155" s="820"/>
      <c r="C155" s="820"/>
      <c r="D155" s="820"/>
      <c r="E155" s="820"/>
      <c r="F155" s="820"/>
      <c r="G155" s="820"/>
    </row>
    <row r="156" spans="2:7">
      <c r="B156" s="820"/>
      <c r="C156" s="820"/>
      <c r="D156" s="820"/>
      <c r="E156" s="820"/>
      <c r="F156" s="820"/>
      <c r="G156" s="820"/>
    </row>
    <row r="157" spans="2:7">
      <c r="B157" s="820"/>
      <c r="C157" s="820"/>
      <c r="D157" s="820"/>
      <c r="E157" s="820"/>
      <c r="F157" s="820"/>
      <c r="G157" s="820"/>
    </row>
    <row r="158" spans="2:7">
      <c r="B158" s="820"/>
      <c r="C158" s="820"/>
      <c r="D158" s="820"/>
      <c r="E158" s="820"/>
      <c r="F158" s="820"/>
      <c r="G158" s="820"/>
    </row>
    <row r="159" spans="2:7">
      <c r="B159" s="820"/>
      <c r="C159" s="820"/>
      <c r="D159" s="820"/>
      <c r="E159" s="820"/>
      <c r="F159" s="820"/>
      <c r="G159" s="820"/>
    </row>
    <row r="160" spans="2:7">
      <c r="B160" s="820"/>
      <c r="C160" s="820"/>
      <c r="D160" s="820"/>
      <c r="E160" s="820"/>
      <c r="F160" s="820"/>
      <c r="G160" s="820"/>
    </row>
    <row r="161" spans="2:7">
      <c r="B161" s="820"/>
      <c r="C161" s="820"/>
      <c r="D161" s="820"/>
      <c r="E161" s="820"/>
      <c r="F161" s="820"/>
      <c r="G161" s="820"/>
    </row>
    <row r="162" spans="2:7">
      <c r="B162" s="820"/>
      <c r="C162" s="820"/>
      <c r="D162" s="820"/>
      <c r="E162" s="820"/>
      <c r="F162" s="820"/>
      <c r="G162" s="820"/>
    </row>
    <row r="163" spans="2:7">
      <c r="B163" s="820"/>
      <c r="C163" s="820"/>
      <c r="D163" s="820"/>
      <c r="E163" s="820"/>
      <c r="F163" s="820"/>
      <c r="G163" s="820"/>
    </row>
    <row r="164" spans="2:7">
      <c r="B164" s="820"/>
      <c r="C164" s="820"/>
      <c r="D164" s="820"/>
      <c r="E164" s="820"/>
      <c r="F164" s="820"/>
      <c r="G164" s="820"/>
    </row>
    <row r="165" spans="2:7">
      <c r="B165" s="820"/>
      <c r="C165" s="820"/>
      <c r="D165" s="820"/>
      <c r="E165" s="820"/>
      <c r="F165" s="820"/>
      <c r="G165" s="82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H30"/>
  <sheetViews>
    <sheetView workbookViewId="0">
      <selection activeCell="D10" sqref="D10"/>
    </sheetView>
  </sheetViews>
  <sheetFormatPr defaultRowHeight="12.75"/>
  <cols>
    <col min="1" max="1" width="2.83203125" style="405" customWidth="1"/>
    <col min="2" max="2" width="8.6640625" style="405" customWidth="1"/>
    <col min="3" max="8" width="25.83203125" style="405" customWidth="1"/>
    <col min="9" max="9" width="2.83203125" style="405" customWidth="1"/>
    <col min="10" max="16384" width="9.33203125" style="405"/>
  </cols>
  <sheetData>
    <row r="1" spans="2:8" ht="10.7" customHeight="1" thickBot="1">
      <c r="E1" s="411"/>
      <c r="G1" s="411"/>
      <c r="H1" s="411"/>
    </row>
    <row r="2" spans="2:8" ht="16.5" customHeight="1" thickTop="1">
      <c r="B2" s="10" t="str">
        <f>'MASTER PubCo Inputs'!$C$5</f>
        <v>Kallyope, Inc.</v>
      </c>
      <c r="C2" s="10"/>
      <c r="D2" s="10"/>
      <c r="E2" s="372"/>
      <c r="F2" s="10"/>
      <c r="G2" s="372"/>
      <c r="H2" s="372"/>
    </row>
    <row r="3" spans="2:8" ht="16.5" customHeight="1" thickBot="1">
      <c r="B3" s="12" t="s">
        <v>539</v>
      </c>
      <c r="C3" s="12"/>
      <c r="D3" s="12"/>
      <c r="E3" s="373"/>
      <c r="F3" s="12"/>
      <c r="G3" s="373"/>
      <c r="H3" s="373"/>
    </row>
    <row r="4" spans="2:8" ht="12.75" customHeight="1" thickTop="1">
      <c r="E4" s="411"/>
      <c r="G4" s="411"/>
      <c r="H4" s="411"/>
    </row>
    <row r="6" spans="2:8" ht="13.5">
      <c r="B6" s="380" t="s">
        <v>545</v>
      </c>
    </row>
    <row r="7" spans="2:8">
      <c r="B7" s="358" t="s">
        <v>389</v>
      </c>
      <c r="C7" s="374" t="s">
        <v>540</v>
      </c>
      <c r="D7" s="374" t="s">
        <v>546</v>
      </c>
      <c r="E7" s="374" t="s">
        <v>541</v>
      </c>
      <c r="F7" s="374" t="s">
        <v>542</v>
      </c>
      <c r="G7" s="374" t="s">
        <v>543</v>
      </c>
      <c r="H7" s="375" t="s">
        <v>547</v>
      </c>
    </row>
    <row r="8" spans="2:8">
      <c r="B8" s="405">
        <v>1</v>
      </c>
    </row>
    <row r="9" spans="2:8">
      <c r="B9" s="405">
        <f>+B8+1</f>
        <v>2</v>
      </c>
    </row>
    <row r="10" spans="2:8">
      <c r="B10" s="405">
        <f t="shared" ref="B10:B30" si="0">+B9+1</f>
        <v>3</v>
      </c>
    </row>
    <row r="11" spans="2:8">
      <c r="B11" s="405">
        <f t="shared" si="0"/>
        <v>4</v>
      </c>
    </row>
    <row r="12" spans="2:8">
      <c r="B12" s="405">
        <f t="shared" si="0"/>
        <v>5</v>
      </c>
    </row>
    <row r="13" spans="2:8">
      <c r="B13" s="405">
        <f t="shared" si="0"/>
        <v>6</v>
      </c>
    </row>
    <row r="14" spans="2:8">
      <c r="B14" s="405">
        <f t="shared" si="0"/>
        <v>7</v>
      </c>
    </row>
    <row r="15" spans="2:8">
      <c r="B15" s="405">
        <f t="shared" si="0"/>
        <v>8</v>
      </c>
    </row>
    <row r="16" spans="2:8">
      <c r="B16" s="405">
        <f t="shared" si="0"/>
        <v>9</v>
      </c>
    </row>
    <row r="17" spans="2:8">
      <c r="B17" s="405">
        <f t="shared" si="0"/>
        <v>10</v>
      </c>
    </row>
    <row r="19" spans="2:8" ht="13.5">
      <c r="B19" s="380" t="s">
        <v>544</v>
      </c>
    </row>
    <row r="20" spans="2:8">
      <c r="B20" s="358" t="s">
        <v>389</v>
      </c>
      <c r="C20" s="374" t="s">
        <v>540</v>
      </c>
      <c r="D20" s="374" t="s">
        <v>546</v>
      </c>
      <c r="E20" s="374" t="s">
        <v>541</v>
      </c>
      <c r="F20" s="374" t="s">
        <v>542</v>
      </c>
      <c r="G20" s="374" t="s">
        <v>543</v>
      </c>
      <c r="H20" s="375" t="s">
        <v>515</v>
      </c>
    </row>
    <row r="21" spans="2:8">
      <c r="B21" s="405">
        <v>1</v>
      </c>
    </row>
    <row r="22" spans="2:8">
      <c r="B22" s="405">
        <f t="shared" si="0"/>
        <v>2</v>
      </c>
    </row>
    <row r="23" spans="2:8">
      <c r="B23" s="405">
        <f t="shared" si="0"/>
        <v>3</v>
      </c>
    </row>
    <row r="24" spans="2:8">
      <c r="B24" s="405">
        <f t="shared" si="0"/>
        <v>4</v>
      </c>
    </row>
    <row r="25" spans="2:8">
      <c r="B25" s="405">
        <f t="shared" si="0"/>
        <v>5</v>
      </c>
    </row>
    <row r="26" spans="2:8">
      <c r="B26" s="405">
        <f t="shared" si="0"/>
        <v>6</v>
      </c>
    </row>
    <row r="27" spans="2:8">
      <c r="B27" s="405">
        <f t="shared" si="0"/>
        <v>7</v>
      </c>
    </row>
    <row r="28" spans="2:8">
      <c r="B28" s="405">
        <f t="shared" si="0"/>
        <v>8</v>
      </c>
    </row>
    <row r="29" spans="2:8">
      <c r="B29" s="405">
        <f t="shared" si="0"/>
        <v>9</v>
      </c>
    </row>
    <row r="30" spans="2:8">
      <c r="B30" s="405">
        <f t="shared" si="0"/>
        <v>10</v>
      </c>
    </row>
  </sheetData>
  <conditionalFormatting sqref="B3:G3">
    <cfRule type="cellIs" dxfId="711" priority="2" stopIfTrue="1" operator="equal">
      <formula>"input"</formula>
    </cfRule>
  </conditionalFormatting>
  <conditionalFormatting sqref="H3">
    <cfRule type="cellIs" dxfId="710" priority="1" stopIfTrue="1" operator="equal">
      <formula>"input"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FF0000"/>
  </sheetPr>
  <dimension ref="B1:I79"/>
  <sheetViews>
    <sheetView showGridLines="0" view="pageBreakPreview" zoomScaleNormal="145" zoomScaleSheetLayoutView="100" workbookViewId="0"/>
  </sheetViews>
  <sheetFormatPr defaultRowHeight="12.75"/>
  <cols>
    <col min="1" max="1" width="4.5" style="405" customWidth="1"/>
    <col min="2" max="2" width="23.1640625" style="405" customWidth="1"/>
    <col min="3" max="3" width="89.6640625" style="405" customWidth="1"/>
    <col min="4" max="4" width="15.1640625" style="411" customWidth="1"/>
    <col min="5" max="5" width="30.83203125" style="405" customWidth="1"/>
    <col min="6" max="6" width="4.5" style="405" customWidth="1"/>
    <col min="7" max="8" width="2.83203125" style="405" customWidth="1"/>
    <col min="9" max="9" width="13.33203125" style="405" customWidth="1"/>
    <col min="10" max="16384" width="9.33203125" style="405"/>
  </cols>
  <sheetData>
    <row r="1" spans="2:9" ht="10.7" customHeight="1" thickBot="1"/>
    <row r="2" spans="2:9" ht="16.5" customHeight="1" thickTop="1">
      <c r="B2" s="10" t="str">
        <f>'MASTER PubCo Inputs'!$C$5</f>
        <v>Kallyope, Inc.</v>
      </c>
      <c r="C2" s="10"/>
      <c r="D2" s="372"/>
      <c r="E2" s="10"/>
      <c r="I2" s="1" t="s">
        <v>579</v>
      </c>
    </row>
    <row r="3" spans="2:9" ht="16.5" customHeight="1" thickBot="1">
      <c r="B3" s="12" t="s">
        <v>1347</v>
      </c>
      <c r="C3" s="12"/>
      <c r="D3" s="373"/>
      <c r="E3" s="12"/>
      <c r="I3" s="950" t="s">
        <v>110</v>
      </c>
    </row>
    <row r="4" spans="2:9" ht="12.75" customHeight="1" thickTop="1"/>
    <row r="5" spans="2:9" ht="12.75" customHeight="1"/>
    <row r="6" spans="2:9" ht="12.75" customHeight="1">
      <c r="B6" s="951" t="s">
        <v>540</v>
      </c>
      <c r="C6" s="952" t="s">
        <v>1347</v>
      </c>
      <c r="D6" s="952" t="s">
        <v>110</v>
      </c>
      <c r="E6" s="953" t="s">
        <v>1346</v>
      </c>
    </row>
    <row r="7" spans="2:9" ht="12.75" customHeight="1">
      <c r="B7" s="383"/>
      <c r="C7" s="383"/>
      <c r="D7" s="369"/>
      <c r="E7" s="1"/>
    </row>
    <row r="8" spans="2:9">
      <c r="B8" s="954" t="s">
        <v>151</v>
      </c>
      <c r="C8" s="384" t="s">
        <v>1348</v>
      </c>
      <c r="D8" s="957" t="str">
        <f>IF(PWERM!Q98=$I$3,"Check","")</f>
        <v/>
      </c>
    </row>
    <row r="9" spans="2:9">
      <c r="B9" s="384"/>
      <c r="C9" s="384"/>
      <c r="D9" s="957"/>
    </row>
    <row r="10" spans="2:9">
      <c r="B10" s="954" t="s">
        <v>1374</v>
      </c>
      <c r="C10" s="384" t="s">
        <v>1375</v>
      </c>
      <c r="D10" s="957" t="str">
        <f>IF('PWERM Waterfall n Allocation'!O106=Checklist!$I$3,"Check","")</f>
        <v/>
      </c>
    </row>
    <row r="11" spans="2:9">
      <c r="B11" s="384"/>
      <c r="C11" s="384"/>
      <c r="D11" s="957"/>
    </row>
    <row r="12" spans="2:9">
      <c r="B12" s="954" t="s">
        <v>1198</v>
      </c>
      <c r="C12" s="384" t="s">
        <v>1357</v>
      </c>
      <c r="D12" s="957" t="str">
        <f>'OPM 2_OIP'!D22</f>
        <v/>
      </c>
    </row>
    <row r="13" spans="2:9">
      <c r="B13" s="954"/>
      <c r="C13" s="384"/>
      <c r="D13" s="957"/>
    </row>
    <row r="14" spans="2:9">
      <c r="B14" s="954" t="s">
        <v>2607</v>
      </c>
      <c r="C14" s="384" t="s">
        <v>2608</v>
      </c>
      <c r="D14" s="957" t="str">
        <f>'OPM 2_OIP'!Q6</f>
        <v/>
      </c>
    </row>
    <row r="15" spans="2:9">
      <c r="B15" s="954"/>
      <c r="C15" s="384"/>
      <c r="D15" s="957"/>
    </row>
    <row r="16" spans="2:9">
      <c r="B16" s="954" t="s">
        <v>2610</v>
      </c>
      <c r="C16" s="384" t="s">
        <v>2609</v>
      </c>
      <c r="D16" s="957" t="str">
        <f>'Asset Vol_IPO Phase I'!AB46</f>
        <v/>
      </c>
    </row>
    <row r="17" spans="2:4">
      <c r="B17" s="384"/>
      <c r="C17" s="384"/>
      <c r="D17" s="957"/>
    </row>
    <row r="18" spans="2:4">
      <c r="B18" s="954" t="s">
        <v>2611</v>
      </c>
      <c r="C18" s="384" t="s">
        <v>2609</v>
      </c>
      <c r="D18" s="957" t="str">
        <f>'Asset Vol_IPO Phase II'!AB46</f>
        <v/>
      </c>
    </row>
    <row r="19" spans="2:4">
      <c r="B19" s="384"/>
      <c r="C19" s="384"/>
      <c r="D19" s="957"/>
    </row>
    <row r="20" spans="2:4">
      <c r="B20" s="954" t="s">
        <v>2612</v>
      </c>
      <c r="C20" s="384" t="s">
        <v>2609</v>
      </c>
      <c r="D20" s="957" t="str">
        <f>'Asset Vol_M&amp;A IND'!AB46</f>
        <v/>
      </c>
    </row>
    <row r="21" spans="2:4">
      <c r="B21" s="384"/>
      <c r="C21" s="384"/>
      <c r="D21" s="957"/>
    </row>
    <row r="22" spans="2:4">
      <c r="B22" s="954" t="s">
        <v>2613</v>
      </c>
      <c r="C22" s="384" t="s">
        <v>2609</v>
      </c>
      <c r="D22" s="957" t="str">
        <f>'Asset Vol_M&amp;A Phase I'!AB46</f>
        <v/>
      </c>
    </row>
    <row r="23" spans="2:4">
      <c r="B23" s="384"/>
      <c r="C23" s="384"/>
      <c r="D23" s="957"/>
    </row>
    <row r="24" spans="2:4">
      <c r="B24" s="954" t="s">
        <v>2614</v>
      </c>
      <c r="C24" s="384" t="s">
        <v>2609</v>
      </c>
      <c r="D24" s="957" t="str">
        <f>'Asset Vol_M&amp;A Phase II'!AB46</f>
        <v/>
      </c>
    </row>
    <row r="25" spans="2:4">
      <c r="B25" s="384"/>
      <c r="C25" s="384"/>
      <c r="D25" s="957"/>
    </row>
    <row r="26" spans="2:4">
      <c r="B26" s="954" t="s">
        <v>2615</v>
      </c>
      <c r="C26" s="384" t="s">
        <v>2609</v>
      </c>
      <c r="D26" s="957" t="str">
        <f>'Asset Vol_OPM_OIP'!AB47</f>
        <v/>
      </c>
    </row>
    <row r="27" spans="2:4">
      <c r="B27" s="384"/>
      <c r="C27" s="384"/>
      <c r="D27" s="957"/>
    </row>
    <row r="28" spans="2:4">
      <c r="B28" s="954" t="s">
        <v>2616</v>
      </c>
      <c r="C28" s="384" t="s">
        <v>2609</v>
      </c>
      <c r="D28" s="957" t="str">
        <f>'Asset Vol_DLOM'!AB47</f>
        <v/>
      </c>
    </row>
    <row r="29" spans="2:4">
      <c r="B29" s="384"/>
      <c r="C29" s="384"/>
      <c r="D29" s="957"/>
    </row>
    <row r="30" spans="2:4">
      <c r="B30" s="954" t="s">
        <v>1353</v>
      </c>
      <c r="C30" s="384" t="s">
        <v>1353</v>
      </c>
      <c r="D30" s="957" t="str">
        <f>'Val Summ'!Q3</f>
        <v/>
      </c>
    </row>
    <row r="31" spans="2:4">
      <c r="B31" s="954"/>
      <c r="C31" s="384"/>
      <c r="D31" s="957"/>
    </row>
    <row r="32" spans="2:4">
      <c r="B32" s="384"/>
      <c r="C32" s="384"/>
      <c r="D32" s="957"/>
    </row>
    <row r="33" spans="2:4">
      <c r="B33" s="384"/>
      <c r="C33" s="384"/>
      <c r="D33" s="957"/>
    </row>
    <row r="34" spans="2:4">
      <c r="B34" s="384"/>
      <c r="C34" s="384"/>
      <c r="D34" s="957"/>
    </row>
    <row r="35" spans="2:4">
      <c r="B35" s="384"/>
      <c r="C35" s="384"/>
      <c r="D35" s="957"/>
    </row>
    <row r="36" spans="2:4">
      <c r="B36" s="384"/>
      <c r="C36" s="384"/>
      <c r="D36" s="957"/>
    </row>
    <row r="37" spans="2:4">
      <c r="B37" s="384"/>
      <c r="C37" s="384"/>
      <c r="D37" s="957"/>
    </row>
    <row r="38" spans="2:4">
      <c r="B38" s="384"/>
      <c r="C38" s="384"/>
      <c r="D38" s="957"/>
    </row>
    <row r="39" spans="2:4">
      <c r="B39" s="384"/>
      <c r="C39" s="384"/>
      <c r="D39" s="957"/>
    </row>
    <row r="40" spans="2:4">
      <c r="B40" s="384"/>
      <c r="C40" s="384"/>
      <c r="D40" s="957"/>
    </row>
    <row r="41" spans="2:4">
      <c r="B41" s="384"/>
      <c r="C41" s="384"/>
      <c r="D41" s="957"/>
    </row>
    <row r="42" spans="2:4">
      <c r="B42" s="384"/>
      <c r="C42" s="384"/>
      <c r="D42" s="957"/>
    </row>
    <row r="43" spans="2:4">
      <c r="B43" s="384"/>
      <c r="C43" s="384"/>
      <c r="D43" s="957"/>
    </row>
    <row r="44" spans="2:4">
      <c r="B44" s="384"/>
      <c r="C44" s="384"/>
      <c r="D44" s="957"/>
    </row>
    <row r="45" spans="2:4">
      <c r="B45" s="384"/>
      <c r="C45" s="384"/>
      <c r="D45" s="957"/>
    </row>
    <row r="46" spans="2:4">
      <c r="B46" s="384"/>
      <c r="C46" s="384"/>
      <c r="D46" s="957"/>
    </row>
    <row r="47" spans="2:4">
      <c r="B47" s="384"/>
      <c r="C47" s="384"/>
      <c r="D47" s="957"/>
    </row>
    <row r="48" spans="2:4">
      <c r="B48" s="384"/>
      <c r="C48" s="384"/>
      <c r="D48" s="957"/>
    </row>
    <row r="49" spans="2:4">
      <c r="B49" s="384"/>
      <c r="C49" s="384"/>
      <c r="D49" s="957"/>
    </row>
    <row r="50" spans="2:4">
      <c r="B50" s="384"/>
      <c r="C50" s="384"/>
      <c r="D50" s="957"/>
    </row>
    <row r="51" spans="2:4">
      <c r="B51" s="384"/>
      <c r="C51" s="384"/>
      <c r="D51" s="957"/>
    </row>
    <row r="52" spans="2:4">
      <c r="B52" s="384"/>
      <c r="C52" s="384"/>
      <c r="D52" s="957"/>
    </row>
    <row r="53" spans="2:4">
      <c r="B53" s="384"/>
      <c r="C53" s="384"/>
      <c r="D53" s="957"/>
    </row>
    <row r="54" spans="2:4">
      <c r="B54" s="384"/>
      <c r="C54" s="384"/>
      <c r="D54" s="957"/>
    </row>
    <row r="55" spans="2:4">
      <c r="B55" s="384"/>
      <c r="C55" s="384"/>
      <c r="D55" s="957"/>
    </row>
    <row r="56" spans="2:4">
      <c r="B56" s="384"/>
      <c r="C56" s="384"/>
      <c r="D56" s="957"/>
    </row>
    <row r="57" spans="2:4">
      <c r="B57" s="384"/>
      <c r="C57" s="384"/>
      <c r="D57" s="957"/>
    </row>
    <row r="58" spans="2:4">
      <c r="B58" s="384"/>
      <c r="C58" s="384"/>
      <c r="D58" s="957"/>
    </row>
    <row r="59" spans="2:4">
      <c r="B59" s="384"/>
      <c r="C59" s="384"/>
      <c r="D59" s="957"/>
    </row>
    <row r="60" spans="2:4">
      <c r="B60" s="384"/>
      <c r="C60" s="384"/>
      <c r="D60" s="957"/>
    </row>
    <row r="61" spans="2:4">
      <c r="B61" s="384"/>
      <c r="C61" s="384"/>
      <c r="D61" s="957"/>
    </row>
    <row r="62" spans="2:4">
      <c r="B62" s="384"/>
      <c r="C62" s="384"/>
      <c r="D62" s="957"/>
    </row>
    <row r="63" spans="2:4">
      <c r="B63" s="384"/>
      <c r="C63" s="384"/>
      <c r="D63" s="957"/>
    </row>
    <row r="64" spans="2:4">
      <c r="B64" s="384"/>
      <c r="C64" s="384"/>
      <c r="D64" s="957"/>
    </row>
    <row r="65" spans="2:4">
      <c r="B65" s="384"/>
      <c r="C65" s="384"/>
      <c r="D65" s="957"/>
    </row>
    <row r="66" spans="2:4">
      <c r="B66" s="384"/>
      <c r="C66" s="384"/>
      <c r="D66" s="957"/>
    </row>
    <row r="67" spans="2:4">
      <c r="B67" s="384"/>
      <c r="C67" s="384"/>
      <c r="D67" s="957"/>
    </row>
    <row r="68" spans="2:4">
      <c r="B68" s="384"/>
      <c r="C68" s="384"/>
      <c r="D68" s="957"/>
    </row>
    <row r="69" spans="2:4">
      <c r="B69" s="384"/>
      <c r="C69" s="384"/>
      <c r="D69" s="957"/>
    </row>
    <row r="70" spans="2:4">
      <c r="B70" s="384"/>
      <c r="C70" s="384"/>
      <c r="D70" s="957"/>
    </row>
    <row r="71" spans="2:4">
      <c r="B71" s="384"/>
      <c r="C71" s="384"/>
      <c r="D71" s="957"/>
    </row>
    <row r="72" spans="2:4">
      <c r="B72" s="384"/>
      <c r="C72" s="384"/>
      <c r="D72" s="957"/>
    </row>
    <row r="73" spans="2:4">
      <c r="B73" s="384"/>
      <c r="C73" s="384"/>
      <c r="D73" s="957"/>
    </row>
    <row r="74" spans="2:4">
      <c r="B74" s="384"/>
      <c r="C74" s="384"/>
      <c r="D74" s="957"/>
    </row>
    <row r="75" spans="2:4">
      <c r="B75" s="384"/>
      <c r="C75" s="384"/>
      <c r="D75" s="957"/>
    </row>
    <row r="76" spans="2:4">
      <c r="B76" s="384"/>
      <c r="C76" s="384"/>
      <c r="D76" s="314"/>
    </row>
    <row r="77" spans="2:4">
      <c r="B77" s="384"/>
      <c r="C77" s="384"/>
      <c r="D77" s="314"/>
    </row>
    <row r="78" spans="2:4">
      <c r="B78" s="384"/>
      <c r="C78" s="384"/>
      <c r="D78" s="314"/>
    </row>
    <row r="79" spans="2:4">
      <c r="B79" s="384"/>
      <c r="C79" s="384"/>
      <c r="D79" s="314"/>
    </row>
  </sheetData>
  <conditionalFormatting sqref="B3:E3">
    <cfRule type="cellIs" dxfId="709" priority="63" stopIfTrue="1" operator="equal">
      <formula>"input"</formula>
    </cfRule>
  </conditionalFormatting>
  <conditionalFormatting sqref="B7:C13 B17:C17 B31:C79 D16:D75">
    <cfRule type="expression" dxfId="708" priority="62">
      <formula>OR($B7="Exhibits",$B7="Workpapers")</formula>
    </cfRule>
  </conditionalFormatting>
  <conditionalFormatting sqref="D7 D76:D79">
    <cfRule type="expression" dxfId="707" priority="61">
      <formula>$B7=""</formula>
    </cfRule>
  </conditionalFormatting>
  <conditionalFormatting sqref="D8:D13">
    <cfRule type="expression" dxfId="706" priority="49">
      <formula>OR($B8="Exhibits",$B8="Workpapers")</formula>
    </cfRule>
  </conditionalFormatting>
  <conditionalFormatting sqref="D8:D13 D16:D59">
    <cfRule type="notContainsBlanks" dxfId="705" priority="47">
      <formula>LEN(TRIM(D8))&gt;0</formula>
    </cfRule>
  </conditionalFormatting>
  <conditionalFormatting sqref="D18">
    <cfRule type="expression" dxfId="704" priority="46">
      <formula>OR($B18="Exhibits",$B18="Workpapers")</formula>
    </cfRule>
  </conditionalFormatting>
  <conditionalFormatting sqref="D20">
    <cfRule type="expression" dxfId="703" priority="45">
      <formula>OR($B20="Exhibits",$B20="Workpapers")</formula>
    </cfRule>
  </conditionalFormatting>
  <conditionalFormatting sqref="D22:D24">
    <cfRule type="expression" dxfId="702" priority="44">
      <formula>OR($B22="Exhibits",$B22="Workpapers")</formula>
    </cfRule>
  </conditionalFormatting>
  <conditionalFormatting sqref="B15:C15">
    <cfRule type="expression" dxfId="701" priority="25">
      <formula>OR($B15="Exhibits",$B15="Workpapers")</formula>
    </cfRule>
  </conditionalFormatting>
  <conditionalFormatting sqref="D14:D15">
    <cfRule type="expression" dxfId="700" priority="24">
      <formula>OR($B14="Exhibits",$B14="Workpapers")</formula>
    </cfRule>
  </conditionalFormatting>
  <conditionalFormatting sqref="D14:D15">
    <cfRule type="notContainsBlanks" dxfId="699" priority="23">
      <formula>LEN(TRIM(D14))&gt;0</formula>
    </cfRule>
  </conditionalFormatting>
  <conditionalFormatting sqref="B14">
    <cfRule type="expression" dxfId="698" priority="18">
      <formula>OR($B14="Exhibits",$B14="Workpapers")</formula>
    </cfRule>
  </conditionalFormatting>
  <conditionalFormatting sqref="C14">
    <cfRule type="expression" dxfId="697" priority="17">
      <formula>OR($B14="Exhibits",$B14="Workpapers")</formula>
    </cfRule>
  </conditionalFormatting>
  <conditionalFormatting sqref="B16">
    <cfRule type="expression" dxfId="696" priority="12">
      <formula>OR($B16="Exhibits",$B16="Workpapers")</formula>
    </cfRule>
  </conditionalFormatting>
  <conditionalFormatting sqref="C16">
    <cfRule type="expression" dxfId="695" priority="11">
      <formula>OR($B16="Exhibits",$B16="Workpapers")</formula>
    </cfRule>
  </conditionalFormatting>
  <conditionalFormatting sqref="B28:C30">
    <cfRule type="expression" dxfId="694" priority="10">
      <formula>OR($B28="Exhibits",$B28="Workpapers")</formula>
    </cfRule>
  </conditionalFormatting>
  <conditionalFormatting sqref="B21:C21 B19:C19">
    <cfRule type="expression" dxfId="693" priority="9">
      <formula>OR($B19="Exhibits",$B19="Workpapers")</formula>
    </cfRule>
  </conditionalFormatting>
  <conditionalFormatting sqref="B23:C23 C22">
    <cfRule type="expression" dxfId="692" priority="8">
      <formula>OR($B22="Exhibits",$B22="Workpapers")</formula>
    </cfRule>
  </conditionalFormatting>
  <conditionalFormatting sqref="B25:C25 C24">
    <cfRule type="expression" dxfId="691" priority="7">
      <formula>OR($B24="Exhibits",$B24="Workpapers")</formula>
    </cfRule>
  </conditionalFormatting>
  <conditionalFormatting sqref="B26:C27">
    <cfRule type="expression" dxfId="690" priority="6">
      <formula>OR($B26="Exhibits",$B26="Workpapers")</formula>
    </cfRule>
  </conditionalFormatting>
  <conditionalFormatting sqref="B22">
    <cfRule type="expression" dxfId="689" priority="5">
      <formula>OR($B22="Exhibits",$B22="Workpapers")</formula>
    </cfRule>
  </conditionalFormatting>
  <conditionalFormatting sqref="B24">
    <cfRule type="expression" dxfId="688" priority="4">
      <formula>OR($B24="Exhibits",$B24="Workpapers")</formula>
    </cfRule>
  </conditionalFormatting>
  <conditionalFormatting sqref="C20">
    <cfRule type="expression" dxfId="687" priority="3">
      <formula>OR($B20="Exhibits",$B20="Workpapers")</formula>
    </cfRule>
  </conditionalFormatting>
  <conditionalFormatting sqref="B20">
    <cfRule type="expression" dxfId="686" priority="2">
      <formula>OR($B20="Exhibits",$B20="Workpapers")</formula>
    </cfRule>
  </conditionalFormatting>
  <conditionalFormatting sqref="B18:C18">
    <cfRule type="expression" dxfId="685" priority="1">
      <formula>OR($B18="Exhibits",$B18="Workpapers")</formula>
    </cfRule>
  </conditionalFormatting>
  <pageMargins left="0.5" right="0.5" top="0.5" bottom="0.5" header="0.5" footer="0.5"/>
  <pageSetup scale="85" fitToWidth="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
  <sheetViews>
    <sheetView workbookViewId="0"/>
  </sheetViews>
  <sheetFormatPr defaultRowHeight="12.75"/>
  <cols>
    <col min="1" max="16384" width="9.33203125" style="405"/>
  </cols>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6:J28"/>
  <sheetViews>
    <sheetView showGridLines="0" view="pageBreakPreview" zoomScale="70" zoomScaleNormal="100" zoomScaleSheetLayoutView="70" workbookViewId="0"/>
  </sheetViews>
  <sheetFormatPr defaultColWidth="9.33203125" defaultRowHeight="15"/>
  <cols>
    <col min="1" max="1" width="4.5" style="291" customWidth="1"/>
    <col min="2" max="2" width="3.83203125" style="291" customWidth="1"/>
    <col min="3" max="3" width="15.83203125" style="291" customWidth="1"/>
    <col min="4" max="4" width="115.83203125" style="292" customWidth="1"/>
    <col min="5" max="5" width="8.33203125" style="291" customWidth="1"/>
    <col min="6" max="6" width="3.83203125" style="291" customWidth="1"/>
    <col min="7" max="7" width="4.5" style="291" customWidth="1"/>
    <col min="8" max="8" width="9.33203125" style="291"/>
    <col min="9" max="9" width="22.33203125" style="291" bestFit="1" customWidth="1"/>
    <col min="10" max="10" width="19" style="291" bestFit="1" customWidth="1"/>
    <col min="11" max="16384" width="9.33203125" style="291"/>
  </cols>
  <sheetData>
    <row r="6" spans="2:9">
      <c r="B6" s="293"/>
      <c r="C6" s="282"/>
      <c r="D6" s="283"/>
      <c r="E6" s="282"/>
      <c r="F6" s="282"/>
    </row>
    <row r="7" spans="2:9" ht="15.75" thickBot="1">
      <c r="B7" s="293"/>
      <c r="C7" s="282"/>
      <c r="D7" s="283"/>
      <c r="E7" s="282"/>
      <c r="F7" s="282"/>
    </row>
    <row r="8" spans="2:9" ht="15.75" thickTop="1">
      <c r="B8" s="14"/>
      <c r="C8" s="294"/>
      <c r="D8" s="295"/>
      <c r="E8" s="294"/>
      <c r="F8" s="294"/>
    </row>
    <row r="9" spans="2:9" s="296" customFormat="1" ht="40.5">
      <c r="B9" s="297"/>
      <c r="C9" s="316"/>
      <c r="D9" s="316" t="str">
        <f>+'MASTER PubCo Inputs'!C8</f>
        <v>IRC 409A and ASC 718 Common Stock Independent Appraisal</v>
      </c>
      <c r="E9" s="298"/>
      <c r="F9" s="298"/>
      <c r="I9" s="971" t="str">
        <f>IF(COUNTIF(Checklist!D8:D31,"Check")&gt;0,"Check","")</f>
        <v/>
      </c>
    </row>
    <row r="10" spans="2:9">
      <c r="B10" s="284"/>
      <c r="C10" s="300"/>
      <c r="D10" s="317"/>
      <c r="E10" s="300"/>
      <c r="F10" s="300"/>
    </row>
    <row r="11" spans="2:9" ht="23.25">
      <c r="B11" s="284"/>
      <c r="C11" s="300"/>
      <c r="D11" s="285" t="s">
        <v>391</v>
      </c>
      <c r="E11" s="300"/>
      <c r="F11" s="300"/>
    </row>
    <row r="12" spans="2:9" ht="19.5">
      <c r="B12" s="284"/>
      <c r="C12" s="300"/>
      <c r="D12" s="318" t="s">
        <v>392</v>
      </c>
      <c r="E12" s="300"/>
      <c r="F12" s="300"/>
    </row>
    <row r="13" spans="2:9" ht="23.25">
      <c r="B13" s="284"/>
      <c r="C13" s="300"/>
      <c r="D13" s="285" t="str">
        <f>IF('MASTER PubCo Inputs'!C5="","",'MASTER PubCo Inputs'!C5)</f>
        <v>Kallyope, Inc.</v>
      </c>
      <c r="E13" s="300"/>
      <c r="F13" s="300"/>
    </row>
    <row r="14" spans="2:9">
      <c r="B14" s="284"/>
      <c r="C14" s="300"/>
      <c r="D14" s="317"/>
      <c r="E14" s="300"/>
      <c r="F14" s="300"/>
    </row>
    <row r="15" spans="2:9" ht="23.25">
      <c r="B15" s="284"/>
      <c r="C15" s="300"/>
      <c r="D15" s="285" t="str">
        <f>"Valuation Date as of "&amp;TEXT('MASTER PubCo Inputs'!$C$6,"mmmm d, yyyy")&amp;""</f>
        <v>Valuation Date as of June 30, 2018</v>
      </c>
      <c r="E15" s="300"/>
      <c r="F15" s="300"/>
    </row>
    <row r="16" spans="2:9" ht="15.75" thickBot="1">
      <c r="B16" s="286"/>
      <c r="C16" s="301"/>
      <c r="D16" s="302"/>
      <c r="E16" s="301"/>
      <c r="F16" s="301"/>
    </row>
    <row r="17" spans="4:10" ht="15.75" thickTop="1"/>
    <row r="19" spans="4:10" ht="18.75">
      <c r="D19" s="287" t="s">
        <v>393</v>
      </c>
    </row>
    <row r="20" spans="4:10" ht="18.75">
      <c r="D20" s="288" t="str">
        <f ca="1">TEXT(J20,"mmmm d, yyyy")</f>
        <v>September 3, 2018</v>
      </c>
      <c r="I20" s="291" t="s">
        <v>395</v>
      </c>
      <c r="J20" s="315">
        <f ca="1">TODAY()</f>
        <v>43346</v>
      </c>
    </row>
    <row r="25" spans="4:10" ht="23.25">
      <c r="D25" s="867" t="s">
        <v>776</v>
      </c>
    </row>
    <row r="27" spans="4:10" ht="18.75">
      <c r="D27" s="289" t="s">
        <v>575</v>
      </c>
    </row>
    <row r="28" spans="4:10" ht="37.5">
      <c r="D28" s="290" t="s">
        <v>394</v>
      </c>
    </row>
  </sheetData>
  <pageMargins left="0.5" right="0.5" top="0.5" bottom="0.5" header="0.5" footer="0.5"/>
  <pageSetup scale="9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72"/>
  <sheetViews>
    <sheetView showGridLines="0" view="pageBreakPreview" topLeftCell="A40" zoomScale="85" zoomScaleNormal="145" zoomScaleSheetLayoutView="85" workbookViewId="0">
      <selection activeCell="E51" sqref="E51"/>
    </sheetView>
  </sheetViews>
  <sheetFormatPr defaultRowHeight="12.75" outlineLevelCol="1"/>
  <cols>
    <col min="1" max="1" width="4.5" style="405" customWidth="1"/>
    <col min="2" max="2" width="20.83203125" style="405" customWidth="1"/>
    <col min="3" max="4" width="14.83203125" style="405" customWidth="1"/>
    <col min="5" max="5" width="80" style="411" customWidth="1"/>
    <col min="6" max="6" width="30.83203125" style="405" customWidth="1"/>
    <col min="7" max="7" width="20.83203125" style="411" hidden="1" customWidth="1" outlineLevel="1"/>
    <col min="8" max="8" width="4.5" style="405" customWidth="1" collapsed="1"/>
    <col min="9" max="10" width="2.83203125" style="405" customWidth="1"/>
    <col min="11" max="11" width="3.33203125" style="405" customWidth="1"/>
    <col min="12" max="16384" width="9.33203125" style="405"/>
  </cols>
  <sheetData>
    <row r="1" spans="2:12" ht="10.7" customHeight="1" thickBot="1"/>
    <row r="2" spans="2:12" ht="16.5" customHeight="1" thickTop="1">
      <c r="B2" s="10" t="str">
        <f>'MASTER PubCo Inputs'!$C$5</f>
        <v>Kallyope, Inc.</v>
      </c>
      <c r="C2" s="10"/>
      <c r="D2" s="10"/>
      <c r="E2" s="372"/>
      <c r="F2" s="10"/>
      <c r="G2" s="372"/>
    </row>
    <row r="3" spans="2:12" ht="16.5" customHeight="1" thickBot="1">
      <c r="B3" s="12" t="s">
        <v>533</v>
      </c>
      <c r="C3" s="12"/>
      <c r="D3" s="12"/>
      <c r="E3" s="373"/>
      <c r="F3" s="12"/>
      <c r="G3" s="373"/>
    </row>
    <row r="4" spans="2:12" ht="12.75" customHeight="1" thickTop="1"/>
    <row r="5" spans="2:12" ht="12.75" customHeight="1"/>
    <row r="6" spans="2:12" ht="12.75" customHeight="1">
      <c r="B6" s="369" t="s">
        <v>534</v>
      </c>
      <c r="C6" s="1"/>
      <c r="D6" s="1"/>
      <c r="E6" s="369" t="s">
        <v>603</v>
      </c>
      <c r="F6" s="1"/>
      <c r="G6" s="369"/>
    </row>
    <row r="7" spans="2:12" ht="12.75" customHeight="1">
      <c r="B7" s="383"/>
      <c r="C7" s="1"/>
      <c r="D7" s="1"/>
      <c r="E7" s="369"/>
      <c r="F7" s="1"/>
      <c r="G7" s="369"/>
    </row>
    <row r="8" spans="2:12">
      <c r="B8" s="384" t="str">
        <f>K8&amp;"."&amp;L8</f>
        <v>A.1</v>
      </c>
      <c r="E8" s="314" t="str">
        <f>'Val Summ'!B4</f>
        <v>Valuation Summary</v>
      </c>
      <c r="G8" s="411" t="str">
        <f>"Exhibit "&amp;B8</f>
        <v>Exhibit A.1</v>
      </c>
      <c r="J8" s="405">
        <v>65</v>
      </c>
      <c r="K8" s="405" t="str">
        <f>CHAR(J8)</f>
        <v>A</v>
      </c>
      <c r="L8" s="405">
        <v>1</v>
      </c>
    </row>
    <row r="9" spans="2:12">
      <c r="B9" s="384"/>
      <c r="E9" s="314"/>
      <c r="G9" s="411" t="str">
        <f t="shared" ref="G9:G47" si="0">"Exhibit "&amp;B9</f>
        <v xml:space="preserve">Exhibit </v>
      </c>
    </row>
    <row r="10" spans="2:12">
      <c r="B10" s="384"/>
      <c r="E10" s="314" t="str">
        <f>'Allocation Method &gt;&gt;'!D9</f>
        <v>Allocation Methodology</v>
      </c>
      <c r="G10" s="411" t="str">
        <f t="shared" si="0"/>
        <v xml:space="preserve">Exhibit </v>
      </c>
    </row>
    <row r="11" spans="2:12">
      <c r="B11" s="384" t="str">
        <f t="shared" ref="B11:B48" si="1">K11&amp;"."&amp;L11</f>
        <v>B.1</v>
      </c>
      <c r="E11" s="314" t="str">
        <f>PWERM!$B$4</f>
        <v>PWERM Analysis</v>
      </c>
      <c r="G11" s="411" t="str">
        <f t="shared" si="0"/>
        <v>Exhibit B.1</v>
      </c>
      <c r="J11" s="405">
        <f>IF(J10="",J8+1,J10)</f>
        <v>66</v>
      </c>
      <c r="K11" s="405" t="str">
        <f>CHAR(J11)</f>
        <v>B</v>
      </c>
      <c r="L11" s="405">
        <f>IF(L10="",1,L10+1)</f>
        <v>1</v>
      </c>
    </row>
    <row r="12" spans="2:12">
      <c r="B12" s="384" t="str">
        <f t="shared" si="1"/>
        <v>B.2</v>
      </c>
      <c r="E12" s="314" t="str">
        <f>'Exit Probability'!B4</f>
        <v>PWERM - Exit Probabilities</v>
      </c>
      <c r="G12" s="411" t="str">
        <f t="shared" si="0"/>
        <v>Exhibit B.2</v>
      </c>
      <c r="J12" s="405">
        <f>IF(J11="",J10+1,J11)</f>
        <v>66</v>
      </c>
      <c r="K12" s="405" t="str">
        <f>CHAR(J12)</f>
        <v>B</v>
      </c>
      <c r="L12" s="405">
        <f>IF(L11="",1,L11+1)</f>
        <v>2</v>
      </c>
    </row>
    <row r="13" spans="2:12">
      <c r="B13" s="384" t="str">
        <f t="shared" si="1"/>
        <v>B.3</v>
      </c>
      <c r="E13" s="314" t="str">
        <f>PoTS!B4</f>
        <v>PWERM - Probability of Technical Success</v>
      </c>
      <c r="G13" s="411" t="str">
        <f t="shared" si="0"/>
        <v>Exhibit B.3</v>
      </c>
      <c r="J13" s="405">
        <f>IF(J12="",J11+1,J12)</f>
        <v>66</v>
      </c>
      <c r="K13" s="405" t="str">
        <f>CHAR(J13)</f>
        <v>B</v>
      </c>
      <c r="L13" s="405">
        <f>IF(L12="",1,L12+1)</f>
        <v>3</v>
      </c>
    </row>
    <row r="14" spans="2:12">
      <c r="B14" s="384"/>
      <c r="E14" s="314"/>
      <c r="G14" s="411" t="str">
        <f t="shared" si="0"/>
        <v xml:space="preserve">Exhibit </v>
      </c>
    </row>
    <row r="15" spans="2:12">
      <c r="B15" s="384"/>
      <c r="E15" s="394" t="str">
        <f>'FS &gt;&gt;'!$D$9</f>
        <v>Financial Statements</v>
      </c>
      <c r="G15" s="411" t="str">
        <f t="shared" si="0"/>
        <v xml:space="preserve">Exhibit </v>
      </c>
    </row>
    <row r="16" spans="2:12">
      <c r="B16" s="384" t="str">
        <f t="shared" si="1"/>
        <v>C.1</v>
      </c>
      <c r="E16" s="314" t="str">
        <f>Forecast!B4</f>
        <v xml:space="preserve">Projected Income Statement </v>
      </c>
      <c r="G16" s="411" t="str">
        <f t="shared" si="0"/>
        <v>Exhibit C.1</v>
      </c>
      <c r="J16" s="405">
        <f>IF(J15="",J13+1,J15)</f>
        <v>67</v>
      </c>
      <c r="K16" s="405" t="str">
        <f>CHAR(J16)</f>
        <v>C</v>
      </c>
      <c r="L16" s="405">
        <f>IF(L15="",1,L15+1)</f>
        <v>1</v>
      </c>
    </row>
    <row r="17" spans="2:12">
      <c r="B17" s="384" t="str">
        <f t="shared" si="1"/>
        <v>C.2</v>
      </c>
      <c r="E17" s="314" t="str">
        <f>'Hist IS'!$B$4</f>
        <v>Historical Income Statement</v>
      </c>
      <c r="G17" s="411" t="str">
        <f t="shared" si="0"/>
        <v>Exhibit C.2</v>
      </c>
      <c r="J17" s="405">
        <f>IF(J16="",J14+1,J16)</f>
        <v>67</v>
      </c>
      <c r="K17" s="405" t="str">
        <f>CHAR(J17)</f>
        <v>C</v>
      </c>
      <c r="L17" s="405">
        <f>IF(L16="",1,L16+1)</f>
        <v>2</v>
      </c>
    </row>
    <row r="18" spans="2:12">
      <c r="B18" s="384" t="str">
        <f t="shared" si="1"/>
        <v>C.3</v>
      </c>
      <c r="E18" s="314" t="str">
        <f>'Hist BS'!$B$4</f>
        <v>Historical Balance Sheet</v>
      </c>
      <c r="G18" s="411" t="str">
        <f t="shared" si="0"/>
        <v>Exhibit C.3</v>
      </c>
      <c r="J18" s="405">
        <f>IF(J17="",J16+1,J17)</f>
        <v>67</v>
      </c>
      <c r="K18" s="405" t="str">
        <f>CHAR(J18)</f>
        <v>C</v>
      </c>
      <c r="L18" s="405">
        <f>IF(L17="",1,L17+1)</f>
        <v>3</v>
      </c>
    </row>
    <row r="19" spans="2:12">
      <c r="B19" s="384"/>
      <c r="E19" s="314"/>
      <c r="G19" s="411" t="str">
        <f t="shared" si="0"/>
        <v xml:space="preserve">Exhibit </v>
      </c>
    </row>
    <row r="20" spans="2:12">
      <c r="B20" s="384"/>
      <c r="E20" s="314" t="str">
        <f>'Discount Rate FP &gt;&gt;'!$D$9</f>
        <v>Discount Rates</v>
      </c>
      <c r="G20" s="411" t="str">
        <f t="shared" si="0"/>
        <v xml:space="preserve">Exhibit </v>
      </c>
    </row>
    <row r="21" spans="2:12">
      <c r="B21" s="384" t="str">
        <f t="shared" si="1"/>
        <v>D.1</v>
      </c>
      <c r="E21" s="314" t="str">
        <f>'WACC PWERM'!B4</f>
        <v xml:space="preserve">Weighted Average Cost of Capital - PWERM-Based </v>
      </c>
      <c r="G21" s="411" t="str">
        <f t="shared" si="0"/>
        <v>Exhibit D.1</v>
      </c>
      <c r="J21" s="405">
        <f>IF(J20="",J18+1,J20)</f>
        <v>68</v>
      </c>
      <c r="K21" s="405" t="str">
        <f>CHAR(J21)</f>
        <v>D</v>
      </c>
      <c r="L21" s="405">
        <f>IF(L20="",1,L20+1)</f>
        <v>1</v>
      </c>
    </row>
    <row r="22" spans="2:12">
      <c r="B22" s="384" t="str">
        <f t="shared" si="1"/>
        <v>D.2</v>
      </c>
      <c r="E22" s="314" t="str">
        <f>'RoR Stage of Dev'!$B$4</f>
        <v xml:space="preserve">Rate of Return By Stage of Development </v>
      </c>
      <c r="G22" s="411" t="str">
        <f>"Exhibit "&amp;B22</f>
        <v>Exhibit D.2</v>
      </c>
      <c r="J22" s="405">
        <f>IF(J21="",J19+1,J21)</f>
        <v>68</v>
      </c>
      <c r="K22" s="405" t="str">
        <f>CHAR(J22)</f>
        <v>D</v>
      </c>
      <c r="L22" s="405">
        <f t="shared" ref="L22:L48" si="2">IF(L21="",1,L21+1)</f>
        <v>2</v>
      </c>
    </row>
    <row r="23" spans="2:12">
      <c r="B23" s="384"/>
      <c r="E23" s="314"/>
      <c r="G23" s="411" t="str">
        <f t="shared" si="0"/>
        <v xml:space="preserve">Exhibit </v>
      </c>
    </row>
    <row r="24" spans="2:12">
      <c r="B24" s="384"/>
      <c r="E24" s="394" t="str">
        <f>'GCM FP &gt;&gt;'!$D$9</f>
        <v>Guideline Comparables Analysis</v>
      </c>
      <c r="G24" s="411" t="str">
        <f t="shared" si="0"/>
        <v xml:space="preserve">Exhibit </v>
      </c>
    </row>
    <row r="25" spans="2:12">
      <c r="B25" s="384" t="str">
        <f t="shared" si="1"/>
        <v>E.1</v>
      </c>
      <c r="E25" s="314" t="str">
        <f>'Comp.1'!$B$4</f>
        <v>Guideline Public Companies' Revenue Multiples</v>
      </c>
      <c r="G25" s="411" t="str">
        <f t="shared" si="0"/>
        <v>Exhibit E.1</v>
      </c>
      <c r="J25" s="405">
        <f>IF(J24="",J22+1,J24)</f>
        <v>69</v>
      </c>
      <c r="K25" s="405" t="str">
        <f>CHAR(J25)</f>
        <v>E</v>
      </c>
      <c r="L25" s="405">
        <f>IF(L24="",1,L24+1)</f>
        <v>1</v>
      </c>
    </row>
    <row r="26" spans="2:12">
      <c r="B26" s="384" t="str">
        <f t="shared" si="1"/>
        <v>E.2</v>
      </c>
      <c r="E26" s="314" t="str">
        <f>'Comp.6'!$B$4</f>
        <v>Guideline Public Companies' Descriptions</v>
      </c>
      <c r="G26" s="411" t="str">
        <f t="shared" si="0"/>
        <v>Exhibit E.2</v>
      </c>
      <c r="J26" s="405">
        <f>IF(J25="",J23+1,J25)</f>
        <v>69</v>
      </c>
      <c r="K26" s="405" t="str">
        <f>CHAR(J26)</f>
        <v>E</v>
      </c>
      <c r="L26" s="405">
        <f>IF(L25="",1,L25+1)</f>
        <v>2</v>
      </c>
    </row>
    <row r="27" spans="2:12">
      <c r="B27" s="384"/>
      <c r="E27" s="314"/>
      <c r="G27" s="411" t="str">
        <f t="shared" si="0"/>
        <v xml:space="preserve">Exhibit </v>
      </c>
    </row>
    <row r="28" spans="2:12">
      <c r="B28" s="384"/>
      <c r="E28" s="394" t="str">
        <f>'GTM FP &gt;&gt;'!$D$9</f>
        <v>Guideline Transaction Analysis</v>
      </c>
      <c r="G28" s="411" t="str">
        <f t="shared" si="0"/>
        <v xml:space="preserve">Exhibit </v>
      </c>
    </row>
    <row r="29" spans="2:12">
      <c r="B29" s="384" t="str">
        <f t="shared" si="1"/>
        <v>F.1</v>
      </c>
      <c r="E29" s="314" t="str">
        <f>Trans.1!$B$4</f>
        <v>Guideline Transactions' Multiples Analysis</v>
      </c>
      <c r="G29" s="411" t="str">
        <f t="shared" si="0"/>
        <v>Exhibit F.1</v>
      </c>
      <c r="J29" s="405">
        <f>IF(J28="",J26+1,J28)</f>
        <v>70</v>
      </c>
      <c r="K29" s="405" t="str">
        <f>CHAR(J29)</f>
        <v>F</v>
      </c>
      <c r="L29" s="405">
        <f>IF(L28="",1,L28+1)</f>
        <v>1</v>
      </c>
    </row>
    <row r="30" spans="2:12">
      <c r="B30" s="384" t="str">
        <f t="shared" si="1"/>
        <v>F.2</v>
      </c>
      <c r="E30" s="314" t="str">
        <f>Trans.2!$B$4</f>
        <v>Guideline Transactions' Target Descriptions</v>
      </c>
      <c r="G30" s="411" t="str">
        <f t="shared" si="0"/>
        <v>Exhibit F.2</v>
      </c>
      <c r="J30" s="405">
        <f>IF(J29="",J27+1,J29)</f>
        <v>70</v>
      </c>
      <c r="K30" s="405" t="str">
        <f>CHAR(J30)</f>
        <v>F</v>
      </c>
      <c r="L30" s="405">
        <f>IF(L29="",1,L29+1)</f>
        <v>2</v>
      </c>
    </row>
    <row r="31" spans="2:12">
      <c r="B31" s="384"/>
      <c r="E31" s="314"/>
      <c r="G31" s="411" t="str">
        <f t="shared" si="0"/>
        <v xml:space="preserve">Exhibit </v>
      </c>
    </row>
    <row r="32" spans="2:12">
      <c r="B32" s="384"/>
      <c r="E32" s="314" t="str">
        <f>'Cap Structure FP &gt;&gt;'!$D$9</f>
        <v>Capitalization Summary</v>
      </c>
      <c r="G32" s="411" t="str">
        <f t="shared" si="0"/>
        <v xml:space="preserve">Exhibit </v>
      </c>
    </row>
    <row r="33" spans="2:12">
      <c r="B33" s="384" t="str">
        <f t="shared" si="1"/>
        <v>G.1</v>
      </c>
      <c r="E33" s="314" t="str">
        <f>'Cap Table'!B4</f>
        <v xml:space="preserve">Capitalization Table </v>
      </c>
      <c r="G33" s="411" t="str">
        <f t="shared" si="0"/>
        <v>Exhibit G.1</v>
      </c>
      <c r="J33" s="405">
        <f>IF(J32="",J30+1,J32)</f>
        <v>71</v>
      </c>
      <c r="K33" s="405" t="str">
        <f>CHAR(J33)</f>
        <v>G</v>
      </c>
      <c r="L33" s="405">
        <f t="shared" si="2"/>
        <v>1</v>
      </c>
    </row>
    <row r="34" spans="2:12">
      <c r="B34" s="384" t="str">
        <f t="shared" si="1"/>
        <v>G.2</v>
      </c>
      <c r="E34" s="314" t="str">
        <f>'Econ Rights'!B4</f>
        <v xml:space="preserve">Economic Rights Summary </v>
      </c>
      <c r="G34" s="411" t="str">
        <f t="shared" si="0"/>
        <v>Exhibit G.2</v>
      </c>
      <c r="J34" s="405">
        <f t="shared" ref="J34:J48" si="3">IF(J33="",J32+1,J33)</f>
        <v>71</v>
      </c>
      <c r="K34" s="405" t="str">
        <f>CHAR(J34)</f>
        <v>G</v>
      </c>
      <c r="L34" s="405">
        <f t="shared" si="2"/>
        <v>2</v>
      </c>
    </row>
    <row r="35" spans="2:12">
      <c r="B35" s="384"/>
      <c r="E35" s="314"/>
      <c r="G35" s="411" t="str">
        <f t="shared" si="0"/>
        <v xml:space="preserve">Exhibit </v>
      </c>
    </row>
    <row r="36" spans="2:12">
      <c r="B36" s="384"/>
      <c r="E36" s="314" t="str">
        <f>+'Support FP &gt;&gt;'!D9</f>
        <v>Appendices</v>
      </c>
      <c r="G36" s="411" t="str">
        <f t="shared" si="0"/>
        <v xml:space="preserve">Exhibit </v>
      </c>
    </row>
    <row r="37" spans="2:12">
      <c r="B37" s="384" t="str">
        <f t="shared" si="1"/>
        <v>H.1</v>
      </c>
      <c r="E37" s="314" t="str">
        <f>'PWERM DLOM'!B4</f>
        <v>Discount for Lack of Marketability - PWERM</v>
      </c>
      <c r="G37" s="411" t="str">
        <f t="shared" si="0"/>
        <v>Exhibit H.1</v>
      </c>
      <c r="J37" s="405">
        <f>IF(J36="",J34+1,J36)</f>
        <v>72</v>
      </c>
      <c r="K37" s="405" t="str">
        <f>CHAR(J37)</f>
        <v>H</v>
      </c>
      <c r="L37" s="405">
        <v>1</v>
      </c>
    </row>
    <row r="38" spans="2:12">
      <c r="B38" s="384" t="str">
        <f>K38&amp;"."&amp;L38</f>
        <v>H.2</v>
      </c>
      <c r="E38" s="314" t="str">
        <f>'Asset Vol_IPO Phase I'!B4</f>
        <v>Asset Volatility - IPO Phase I</v>
      </c>
      <c r="G38" s="411" t="str">
        <f>"Exhibit "&amp;B38</f>
        <v>Exhibit H.2</v>
      </c>
      <c r="J38" s="405">
        <f t="shared" si="3"/>
        <v>72</v>
      </c>
      <c r="K38" s="405" t="str">
        <f>CHAR(J38)</f>
        <v>H</v>
      </c>
      <c r="L38" s="405">
        <f t="shared" si="2"/>
        <v>2</v>
      </c>
    </row>
    <row r="39" spans="2:12">
      <c r="B39" s="384" t="str">
        <f>K39&amp;"."&amp;L39</f>
        <v>H.3</v>
      </c>
      <c r="E39" s="314" t="str">
        <f>'Asset Vol_IPO Phase II'!B4</f>
        <v>Asset Volatility - IPO Phase II</v>
      </c>
      <c r="G39" s="411" t="str">
        <f>"Exhibit "&amp;B39</f>
        <v>Exhibit H.3</v>
      </c>
      <c r="J39" s="405">
        <f t="shared" si="3"/>
        <v>72</v>
      </c>
      <c r="K39" s="405" t="str">
        <f t="shared" ref="K39:K47" si="4">CHAR(J39)</f>
        <v>H</v>
      </c>
      <c r="L39" s="405">
        <f t="shared" si="2"/>
        <v>3</v>
      </c>
    </row>
    <row r="40" spans="2:12">
      <c r="B40" s="384" t="str">
        <f>K40&amp;"."&amp;L40</f>
        <v>H.4</v>
      </c>
      <c r="E40" s="314" t="str">
        <f>'Asset Vol_M&amp;A IND'!B4</f>
        <v>Asset Volatility - M&amp;A - IND</v>
      </c>
      <c r="G40" s="411" t="str">
        <f>"Exhibit "&amp;B40</f>
        <v>Exhibit H.4</v>
      </c>
      <c r="J40" s="405">
        <f t="shared" si="3"/>
        <v>72</v>
      </c>
      <c r="K40" s="405" t="str">
        <f t="shared" si="4"/>
        <v>H</v>
      </c>
      <c r="L40" s="405">
        <f t="shared" si="2"/>
        <v>4</v>
      </c>
    </row>
    <row r="41" spans="2:12">
      <c r="B41" s="384" t="str">
        <f>K41&amp;"."&amp;L41</f>
        <v>H.5</v>
      </c>
      <c r="E41" s="314" t="str">
        <f>'Asset Vol_M&amp;A Phase I'!B4</f>
        <v>Asset Volatility - M&amp;A Phase I</v>
      </c>
      <c r="G41" s="411" t="str">
        <f>"Exhibit "&amp;B41</f>
        <v>Exhibit H.5</v>
      </c>
      <c r="J41" s="405">
        <f t="shared" si="3"/>
        <v>72</v>
      </c>
      <c r="K41" s="405" t="str">
        <f t="shared" si="4"/>
        <v>H</v>
      </c>
      <c r="L41" s="405">
        <f t="shared" si="2"/>
        <v>5</v>
      </c>
    </row>
    <row r="42" spans="2:12">
      <c r="B42" s="384" t="str">
        <f>K42&amp;"."&amp;L42</f>
        <v>H.6</v>
      </c>
      <c r="E42" s="314" t="str">
        <f>'Asset Vol_M&amp;A Phase II'!B4</f>
        <v>Asset Volatility - M&amp;A Phase II</v>
      </c>
      <c r="G42" s="411" t="str">
        <f>"Exhibit "&amp;B42</f>
        <v>Exhibit H.6</v>
      </c>
      <c r="J42" s="405">
        <f t="shared" si="3"/>
        <v>72</v>
      </c>
      <c r="K42" s="405" t="str">
        <f t="shared" si="4"/>
        <v>H</v>
      </c>
      <c r="L42" s="405">
        <f t="shared" si="2"/>
        <v>6</v>
      </c>
    </row>
    <row r="43" spans="2:12">
      <c r="B43" s="384" t="str">
        <f t="shared" si="1"/>
        <v>H.7</v>
      </c>
      <c r="E43" s="314" t="str">
        <f>'Equity Vol'!B4</f>
        <v>Equity Volatility</v>
      </c>
      <c r="G43" s="411" t="str">
        <f t="shared" si="0"/>
        <v>Exhibit H.7</v>
      </c>
      <c r="J43" s="405">
        <f t="shared" si="3"/>
        <v>72</v>
      </c>
      <c r="K43" s="405" t="str">
        <f t="shared" si="4"/>
        <v>H</v>
      </c>
      <c r="L43" s="405">
        <f t="shared" si="2"/>
        <v>7</v>
      </c>
    </row>
    <row r="44" spans="2:12">
      <c r="B44" s="384" t="str">
        <f t="shared" si="1"/>
        <v>H.8</v>
      </c>
      <c r="E44" s="314" t="str">
        <f>'Risk-Free Rates'!B4</f>
        <v>Risk-Free Rates - PWERM</v>
      </c>
      <c r="G44" s="411" t="str">
        <f t="shared" si="0"/>
        <v>Exhibit H.8</v>
      </c>
      <c r="J44" s="405">
        <f t="shared" si="3"/>
        <v>72</v>
      </c>
      <c r="K44" s="405" t="str">
        <f t="shared" si="4"/>
        <v>H</v>
      </c>
      <c r="L44" s="405">
        <f t="shared" si="2"/>
        <v>8</v>
      </c>
    </row>
    <row r="45" spans="2:12">
      <c r="B45" s="384" t="str">
        <f t="shared" si="1"/>
        <v>H.9</v>
      </c>
      <c r="E45" s="314" t="str">
        <f>'Non-Diversification Risk'!B4</f>
        <v>Non-Diversification Risk / Additional Adjustment Factor Calculations</v>
      </c>
      <c r="G45" s="411" t="str">
        <f t="shared" si="0"/>
        <v>Exhibit H.9</v>
      </c>
      <c r="J45" s="405">
        <f t="shared" si="3"/>
        <v>72</v>
      </c>
      <c r="K45" s="405" t="str">
        <f t="shared" si="4"/>
        <v>H</v>
      </c>
      <c r="L45" s="405">
        <f t="shared" si="2"/>
        <v>9</v>
      </c>
    </row>
    <row r="46" spans="2:12">
      <c r="B46" s="384" t="str">
        <f t="shared" si="1"/>
        <v>H.10</v>
      </c>
      <c r="E46" s="314" t="str">
        <f>'IPO Data_BioPharma'!B4</f>
        <v>Initial Public Offerings Data - Biopharma</v>
      </c>
      <c r="G46" s="411" t="str">
        <f t="shared" si="0"/>
        <v>Exhibit H.10</v>
      </c>
      <c r="J46" s="405">
        <f t="shared" si="3"/>
        <v>72</v>
      </c>
      <c r="K46" s="405" t="str">
        <f t="shared" si="4"/>
        <v>H</v>
      </c>
      <c r="L46" s="405">
        <f t="shared" si="2"/>
        <v>10</v>
      </c>
    </row>
    <row r="47" spans="2:12">
      <c r="B47" s="384" t="str">
        <f t="shared" si="1"/>
        <v>H.11</v>
      </c>
      <c r="E47" s="394" t="str">
        <f>'IPO Data_Comparables'!B4</f>
        <v>Initial Public Offerings Data - Comparables</v>
      </c>
      <c r="G47" s="411" t="str">
        <f t="shared" si="0"/>
        <v>Exhibit H.11</v>
      </c>
      <c r="J47" s="405">
        <f t="shared" si="3"/>
        <v>72</v>
      </c>
      <c r="K47" s="405" t="str">
        <f t="shared" si="4"/>
        <v>H</v>
      </c>
      <c r="L47" s="405">
        <f t="shared" si="2"/>
        <v>11</v>
      </c>
    </row>
    <row r="48" spans="2:12">
      <c r="B48" s="384" t="str">
        <f t="shared" si="1"/>
        <v>H.12</v>
      </c>
      <c r="E48" s="394" t="str">
        <f>'Licensing Deals'!B4</f>
        <v>Comparable Licensing Deals</v>
      </c>
      <c r="G48" s="411" t="str">
        <f>"Exhibit "&amp;B48</f>
        <v>Exhibit H.12</v>
      </c>
      <c r="J48" s="405">
        <f t="shared" si="3"/>
        <v>72</v>
      </c>
      <c r="K48" s="405" t="str">
        <f>CHAR(J48)</f>
        <v>H</v>
      </c>
      <c r="L48" s="405">
        <f t="shared" si="2"/>
        <v>12</v>
      </c>
    </row>
    <row r="49" spans="2:12">
      <c r="B49" s="384" t="s">
        <v>565</v>
      </c>
      <c r="E49" s="314"/>
    </row>
    <row r="50" spans="2:12">
      <c r="B50" s="384" t="str">
        <f>K50&amp;L50</f>
        <v>#1</v>
      </c>
      <c r="E50" s="314" t="str">
        <f>'Val Summ (2)'!B4</f>
        <v>Valuation Summary - rNPV Analysis</v>
      </c>
      <c r="G50" s="411" t="str">
        <f t="shared" ref="G50:G56" si="5">"Workpaper "&amp;B50</f>
        <v>Workpaper #1</v>
      </c>
      <c r="K50" s="405" t="s">
        <v>1186</v>
      </c>
      <c r="L50" s="405">
        <v>1</v>
      </c>
    </row>
    <row r="51" spans="2:12">
      <c r="B51" s="384" t="str">
        <f t="shared" ref="B51:B66" si="6">K51&amp;L51</f>
        <v>#2</v>
      </c>
      <c r="E51" s="314" t="str">
        <f>'Milestone Calcs'!B4</f>
        <v>Milestone Calculation</v>
      </c>
      <c r="G51" s="411" t="str">
        <f t="shared" si="5"/>
        <v>Workpaper #2</v>
      </c>
      <c r="K51" s="405" t="s">
        <v>1186</v>
      </c>
      <c r="L51" s="405">
        <f>L50+1</f>
        <v>2</v>
      </c>
    </row>
    <row r="52" spans="2:12">
      <c r="B52" s="384" t="str">
        <f t="shared" si="6"/>
        <v>#3</v>
      </c>
      <c r="E52" s="314" t="str">
        <f>'Fixed Research Payments'!B4</f>
        <v>Fixed Research Payments</v>
      </c>
      <c r="G52" s="411" t="str">
        <f t="shared" si="5"/>
        <v>Workpaper #3</v>
      </c>
      <c r="K52" s="405" t="s">
        <v>1186</v>
      </c>
      <c r="L52" s="405">
        <f t="shared" ref="L52:L72" si="7">L51+1</f>
        <v>3</v>
      </c>
    </row>
    <row r="53" spans="2:12">
      <c r="B53" s="384" t="str">
        <f t="shared" si="6"/>
        <v>#4</v>
      </c>
      <c r="E53" s="314" t="str">
        <f>'rNPV Assumptions_Obesity'!B4</f>
        <v>rNPV Assumptions - Obesity</v>
      </c>
      <c r="G53" s="411" t="str">
        <f t="shared" si="5"/>
        <v>Workpaper #4</v>
      </c>
      <c r="K53" s="405" t="s">
        <v>1186</v>
      </c>
      <c r="L53" s="405">
        <f t="shared" si="7"/>
        <v>4</v>
      </c>
    </row>
    <row r="54" spans="2:12">
      <c r="B54" s="384" t="str">
        <f t="shared" si="6"/>
        <v>#5</v>
      </c>
      <c r="E54" s="314" t="str">
        <f>'rNPV Analysis_Obesity'!B4</f>
        <v>rNPV Analysis - Obesity</v>
      </c>
      <c r="G54" s="411" t="str">
        <f t="shared" si="5"/>
        <v>Workpaper #5</v>
      </c>
      <c r="K54" s="405" t="s">
        <v>1186</v>
      </c>
      <c r="L54" s="405">
        <f t="shared" si="7"/>
        <v>5</v>
      </c>
    </row>
    <row r="55" spans="2:12">
      <c r="B55" s="384" t="str">
        <f t="shared" si="6"/>
        <v>#6</v>
      </c>
      <c r="E55" s="314" t="str">
        <f>'rNPV Assumptions_Diabetes'!B4</f>
        <v>rNPV Assumptions - Diabetes</v>
      </c>
      <c r="G55" s="411" t="str">
        <f t="shared" si="5"/>
        <v>Workpaper #6</v>
      </c>
      <c r="K55" s="405" t="s">
        <v>1186</v>
      </c>
      <c r="L55" s="405">
        <f t="shared" si="7"/>
        <v>6</v>
      </c>
    </row>
    <row r="56" spans="2:12">
      <c r="B56" s="384" t="str">
        <f t="shared" si="6"/>
        <v>#7</v>
      </c>
      <c r="E56" s="314" t="str">
        <f>'rNPV Analysis_Diabetes'!B4</f>
        <v>rNPV Analysis - Diabetes</v>
      </c>
      <c r="G56" s="411" t="str">
        <f t="shared" si="5"/>
        <v>Workpaper #7</v>
      </c>
      <c r="K56" s="405" t="s">
        <v>1186</v>
      </c>
      <c r="L56" s="405">
        <f t="shared" si="7"/>
        <v>7</v>
      </c>
    </row>
    <row r="57" spans="2:12">
      <c r="B57" s="384" t="str">
        <f t="shared" si="6"/>
        <v>#8</v>
      </c>
      <c r="E57" s="314" t="str">
        <f>'rNPV Assumptions_NASH'!B4</f>
        <v>rNPV Assumptions - NASH</v>
      </c>
      <c r="G57" s="411" t="str">
        <f t="shared" ref="G57:G71" si="8">"Workpaper "&amp;B57</f>
        <v>Workpaper #8</v>
      </c>
      <c r="K57" s="405" t="s">
        <v>1186</v>
      </c>
      <c r="L57" s="405">
        <f t="shared" si="7"/>
        <v>8</v>
      </c>
    </row>
    <row r="58" spans="2:12">
      <c r="B58" s="384" t="str">
        <f t="shared" si="6"/>
        <v>#9</v>
      </c>
      <c r="E58" s="314" t="str">
        <f>'rNPV Analysis_NASH'!B4</f>
        <v>rNPV Analysis - NASH</v>
      </c>
      <c r="G58" s="411" t="str">
        <f t="shared" si="8"/>
        <v>Workpaper #9</v>
      </c>
      <c r="K58" s="405" t="s">
        <v>1186</v>
      </c>
      <c r="L58" s="405">
        <f t="shared" si="7"/>
        <v>9</v>
      </c>
    </row>
    <row r="59" spans="2:12">
      <c r="B59" s="384" t="str">
        <f t="shared" si="6"/>
        <v>#10</v>
      </c>
      <c r="E59" s="314" t="str">
        <f>'Penetration Curves'!B4</f>
        <v>Penetration Curves</v>
      </c>
      <c r="G59" s="411" t="str">
        <f t="shared" si="8"/>
        <v>Workpaper #10</v>
      </c>
      <c r="K59" s="405" t="s">
        <v>1186</v>
      </c>
      <c r="L59" s="405">
        <f t="shared" si="7"/>
        <v>10</v>
      </c>
    </row>
    <row r="60" spans="2:12">
      <c r="B60" s="384" t="str">
        <f t="shared" si="6"/>
        <v>#11</v>
      </c>
      <c r="E60" s="314" t="str">
        <f>'Cost of Capital_Avance'!B4</f>
        <v>Discount Rate Support</v>
      </c>
      <c r="G60" s="411" t="str">
        <f t="shared" si="8"/>
        <v>Workpaper #11</v>
      </c>
      <c r="K60" s="405" t="s">
        <v>1186</v>
      </c>
      <c r="L60" s="405">
        <f t="shared" si="7"/>
        <v>11</v>
      </c>
    </row>
    <row r="61" spans="2:12">
      <c r="B61" s="384" t="str">
        <f t="shared" si="6"/>
        <v>#12</v>
      </c>
      <c r="E61" s="314" t="str">
        <f>'WACC CAPM_rNPV'!B4</f>
        <v>Weighted Average Cost of Capital - CAPM-Based</v>
      </c>
      <c r="G61" s="411" t="str">
        <f t="shared" si="8"/>
        <v>Workpaper #12</v>
      </c>
      <c r="K61" s="405" t="s">
        <v>1186</v>
      </c>
      <c r="L61" s="405">
        <f t="shared" si="7"/>
        <v>12</v>
      </c>
    </row>
    <row r="62" spans="2:12">
      <c r="B62" s="384" t="str">
        <f t="shared" si="6"/>
        <v>#13</v>
      </c>
      <c r="E62" s="314" t="str">
        <f>'YTW Large Pharma'!B4</f>
        <v>YTW - Large Pharmaceuticals Companies</v>
      </c>
      <c r="G62" s="411" t="str">
        <f t="shared" si="8"/>
        <v>Workpaper #13</v>
      </c>
      <c r="K62" s="405" t="s">
        <v>1186</v>
      </c>
      <c r="L62" s="405">
        <f t="shared" si="7"/>
        <v>13</v>
      </c>
    </row>
    <row r="63" spans="2:12">
      <c r="B63" s="384" t="str">
        <f t="shared" si="6"/>
        <v>#14</v>
      </c>
      <c r="E63" s="314" t="str">
        <f>'Obesity_WW Summary'!B4</f>
        <v>Summary of Obesity Drug Worldwide Forecasts</v>
      </c>
      <c r="G63" s="411" t="str">
        <f t="shared" si="8"/>
        <v>Workpaper #14</v>
      </c>
      <c r="K63" s="405" t="s">
        <v>1186</v>
      </c>
      <c r="L63" s="405">
        <f t="shared" si="7"/>
        <v>14</v>
      </c>
    </row>
    <row r="64" spans="2:12">
      <c r="B64" s="384" t="str">
        <f t="shared" si="6"/>
        <v>#15</v>
      </c>
      <c r="E64" s="314" t="str">
        <f>'Diabetes_WW Summary'!B4</f>
        <v>Summary of Diabetes Drug Worldwide Forecasts</v>
      </c>
      <c r="G64" s="411" t="str">
        <f t="shared" si="8"/>
        <v>Workpaper #15</v>
      </c>
      <c r="K64" s="405" t="s">
        <v>1186</v>
      </c>
      <c r="L64" s="405">
        <f t="shared" si="7"/>
        <v>15</v>
      </c>
    </row>
    <row r="65" spans="2:12">
      <c r="B65" s="384" t="str">
        <f t="shared" si="6"/>
        <v>#16</v>
      </c>
      <c r="E65" s="314" t="str">
        <f>'NASH_WW Summary'!B4</f>
        <v>Summary of NASH Drug Worldwide Forecasts</v>
      </c>
      <c r="G65" s="411" t="str">
        <f t="shared" si="8"/>
        <v>Workpaper #16</v>
      </c>
      <c r="K65" s="405" t="s">
        <v>1186</v>
      </c>
      <c r="L65" s="405">
        <f t="shared" si="7"/>
        <v>16</v>
      </c>
    </row>
    <row r="66" spans="2:12">
      <c r="B66" s="384" t="str">
        <f t="shared" si="6"/>
        <v>#17</v>
      </c>
      <c r="E66" s="314" t="str">
        <f>'Timeline and Cost Research'!B4</f>
        <v>Timeline and Development Cost Research</v>
      </c>
      <c r="G66" s="411" t="str">
        <f t="shared" si="8"/>
        <v>Workpaper #17</v>
      </c>
      <c r="K66" s="405" t="s">
        <v>1186</v>
      </c>
      <c r="L66" s="405">
        <f t="shared" si="7"/>
        <v>17</v>
      </c>
    </row>
    <row r="67" spans="2:12">
      <c r="B67" s="384" t="str">
        <f t="shared" ref="B67:B72" si="9">K67&amp;L67</f>
        <v>#18</v>
      </c>
      <c r="E67" s="314" t="str">
        <f>'FDA Drug timeline'!B4</f>
        <v>FDA Drug Timelines &amp; Probabilities</v>
      </c>
      <c r="G67" s="411" t="str">
        <f t="shared" si="8"/>
        <v>Workpaper #18</v>
      </c>
      <c r="K67" s="405" t="s">
        <v>1186</v>
      </c>
      <c r="L67" s="405">
        <f t="shared" si="7"/>
        <v>18</v>
      </c>
    </row>
    <row r="68" spans="2:12">
      <c r="B68" s="384" t="str">
        <f t="shared" si="9"/>
        <v>#19</v>
      </c>
      <c r="E68" s="314" t="str">
        <f>'PoTS _rNPV'!B4</f>
        <v>rNPV - Probability of Technical Success</v>
      </c>
      <c r="G68" s="411" t="str">
        <f t="shared" si="8"/>
        <v>Workpaper #19</v>
      </c>
      <c r="K68" s="405" t="s">
        <v>1186</v>
      </c>
      <c r="L68" s="405">
        <f t="shared" si="7"/>
        <v>19</v>
      </c>
    </row>
    <row r="69" spans="2:12">
      <c r="B69" s="384" t="str">
        <f t="shared" si="9"/>
        <v>#20</v>
      </c>
      <c r="E69" s="314" t="str">
        <f>'Patent Exclusivity'!B4</f>
        <v>Patent Exclusivity</v>
      </c>
      <c r="G69" s="411" t="str">
        <f t="shared" si="8"/>
        <v>Workpaper #20</v>
      </c>
      <c r="K69" s="405" t="s">
        <v>1186</v>
      </c>
      <c r="L69" s="405">
        <f t="shared" si="7"/>
        <v>20</v>
      </c>
    </row>
    <row r="70" spans="2:12">
      <c r="B70" s="384" t="str">
        <f t="shared" si="9"/>
        <v>#21</v>
      </c>
      <c r="E70" s="314"/>
      <c r="G70" s="411" t="str">
        <f t="shared" si="8"/>
        <v>Workpaper #21</v>
      </c>
      <c r="K70" s="405" t="s">
        <v>1186</v>
      </c>
      <c r="L70" s="405">
        <f t="shared" si="7"/>
        <v>21</v>
      </c>
    </row>
    <row r="71" spans="2:12">
      <c r="B71" s="384" t="str">
        <f t="shared" si="9"/>
        <v>#22</v>
      </c>
      <c r="G71" s="411" t="str">
        <f t="shared" si="8"/>
        <v>Workpaper #22</v>
      </c>
      <c r="K71" s="405" t="s">
        <v>1186</v>
      </c>
      <c r="L71" s="405">
        <f t="shared" si="7"/>
        <v>22</v>
      </c>
    </row>
    <row r="72" spans="2:12">
      <c r="B72" s="384" t="str">
        <f t="shared" si="9"/>
        <v>#23</v>
      </c>
      <c r="K72" s="405" t="s">
        <v>1186</v>
      </c>
      <c r="L72" s="405">
        <f t="shared" si="7"/>
        <v>23</v>
      </c>
    </row>
  </sheetData>
  <conditionalFormatting sqref="B3:G3">
    <cfRule type="cellIs" dxfId="684" priority="29" stopIfTrue="1" operator="equal">
      <formula>"input"</formula>
    </cfRule>
  </conditionalFormatting>
  <conditionalFormatting sqref="B7:B37 B43:B72">
    <cfRule type="expression" dxfId="683" priority="26">
      <formula>OR($B7="Exhibits",$B7="Workpapers")</formula>
    </cfRule>
  </conditionalFormatting>
  <conditionalFormatting sqref="E7:E36">
    <cfRule type="expression" dxfId="682" priority="25">
      <formula>$B7=""</formula>
    </cfRule>
  </conditionalFormatting>
  <conditionalFormatting sqref="G43:G47 G8:G37 G49:G71">
    <cfRule type="expression" dxfId="681" priority="24">
      <formula>$B8="Workpapers"</formula>
    </cfRule>
  </conditionalFormatting>
  <conditionalFormatting sqref="E37 E43:E45">
    <cfRule type="expression" dxfId="680" priority="54">
      <formula>$B37=""</formula>
    </cfRule>
  </conditionalFormatting>
  <conditionalFormatting sqref="E49:E50">
    <cfRule type="expression" dxfId="679" priority="58">
      <formula>$B46=""</formula>
    </cfRule>
  </conditionalFormatting>
  <conditionalFormatting sqref="B38:B41">
    <cfRule type="expression" dxfId="678" priority="9">
      <formula>OR($B38="Exhibits",$B38="Workpapers")</formula>
    </cfRule>
  </conditionalFormatting>
  <conditionalFormatting sqref="G38:G41">
    <cfRule type="expression" dxfId="677" priority="8">
      <formula>$B38="Workpapers"</formula>
    </cfRule>
  </conditionalFormatting>
  <conditionalFormatting sqref="E38:E40">
    <cfRule type="expression" dxfId="676" priority="10">
      <formula>$B38=""</formula>
    </cfRule>
  </conditionalFormatting>
  <conditionalFormatting sqref="B42">
    <cfRule type="expression" dxfId="675" priority="6">
      <formula>OR($B42="Exhibits",$B42="Workpapers")</formula>
    </cfRule>
  </conditionalFormatting>
  <conditionalFormatting sqref="G42">
    <cfRule type="expression" dxfId="674" priority="5">
      <formula>$B42="Workpapers"</formula>
    </cfRule>
  </conditionalFormatting>
  <conditionalFormatting sqref="E42">
    <cfRule type="expression" dxfId="673" priority="7">
      <formula>$B42=""</formula>
    </cfRule>
  </conditionalFormatting>
  <conditionalFormatting sqref="G48">
    <cfRule type="expression" dxfId="672" priority="4">
      <formula>$B48="Workpapers"</formula>
    </cfRule>
  </conditionalFormatting>
  <conditionalFormatting sqref="E59">
    <cfRule type="expression" dxfId="671" priority="74">
      <formula>$B47=""</formula>
    </cfRule>
  </conditionalFormatting>
  <conditionalFormatting sqref="E54">
    <cfRule type="expression" dxfId="670" priority="76">
      <formula>$B47=""</formula>
    </cfRule>
  </conditionalFormatting>
  <conditionalFormatting sqref="E53">
    <cfRule type="expression" dxfId="669" priority="78">
      <formula>$B47=""</formula>
    </cfRule>
  </conditionalFormatting>
  <conditionalFormatting sqref="E52">
    <cfRule type="expression" dxfId="668" priority="80">
      <formula>$B47=""</formula>
    </cfRule>
  </conditionalFormatting>
  <conditionalFormatting sqref="E51">
    <cfRule type="expression" dxfId="667" priority="82">
      <formula>$B47=""</formula>
    </cfRule>
  </conditionalFormatting>
  <conditionalFormatting sqref="E68">
    <cfRule type="expression" dxfId="666" priority="178">
      <formula>$B48=""</formula>
    </cfRule>
  </conditionalFormatting>
  <conditionalFormatting sqref="E69">
    <cfRule type="expression" dxfId="665" priority="1">
      <formula>$B49=""</formula>
    </cfRule>
  </conditionalFormatting>
  <pageMargins left="0.5" right="0.5" top="0.5" bottom="0.5" header="0.5" footer="0.5"/>
  <pageSetup scale="85" fitToWidth="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dimension ref="A1:IV2"/>
  <sheetViews>
    <sheetView workbookViewId="0"/>
  </sheetViews>
  <sheetFormatPr defaultRowHeight="12.75"/>
  <sheetData>
    <row r="1" spans="1:256">
      <c r="A1">
        <v>317</v>
      </c>
      <c r="B1" t="s">
        <v>4044</v>
      </c>
      <c r="C1" t="s">
        <v>4045</v>
      </c>
      <c r="D1" t="s">
        <v>4046</v>
      </c>
      <c r="E1" t="s">
        <v>4047</v>
      </c>
      <c r="F1" t="s">
        <v>4048</v>
      </c>
      <c r="G1" t="s">
        <v>4049</v>
      </c>
      <c r="H1" t="s">
        <v>4050</v>
      </c>
      <c r="I1" t="s">
        <v>4051</v>
      </c>
      <c r="J1" t="s">
        <v>4052</v>
      </c>
      <c r="K1" t="s">
        <v>4053</v>
      </c>
      <c r="L1" t="s">
        <v>4054</v>
      </c>
      <c r="M1" t="s">
        <v>4055</v>
      </c>
      <c r="N1" t="s">
        <v>4056</v>
      </c>
      <c r="O1" t="s">
        <v>4057</v>
      </c>
      <c r="P1" t="s">
        <v>4058</v>
      </c>
      <c r="Q1" t="s">
        <v>4059</v>
      </c>
      <c r="R1" t="s">
        <v>4060</v>
      </c>
      <c r="S1" t="s">
        <v>4061</v>
      </c>
      <c r="T1" t="s">
        <v>4062</v>
      </c>
      <c r="U1" t="s">
        <v>4063</v>
      </c>
      <c r="V1" t="s">
        <v>4064</v>
      </c>
      <c r="W1" t="s">
        <v>4065</v>
      </c>
      <c r="X1" t="s">
        <v>4066</v>
      </c>
      <c r="Y1" t="s">
        <v>4067</v>
      </c>
      <c r="Z1" t="s">
        <v>4068</v>
      </c>
      <c r="AA1" t="s">
        <v>4069</v>
      </c>
      <c r="AB1" t="s">
        <v>4070</v>
      </c>
      <c r="AC1" t="s">
        <v>4071</v>
      </c>
      <c r="AD1" t="s">
        <v>4072</v>
      </c>
      <c r="AE1" t="s">
        <v>4073</v>
      </c>
      <c r="AF1" t="s">
        <v>4074</v>
      </c>
      <c r="AG1" t="s">
        <v>4075</v>
      </c>
      <c r="AH1" t="s">
        <v>4076</v>
      </c>
      <c r="AI1" t="s">
        <v>4077</v>
      </c>
      <c r="AJ1" t="s">
        <v>4078</v>
      </c>
      <c r="AK1" t="s">
        <v>4079</v>
      </c>
      <c r="AL1" t="s">
        <v>4080</v>
      </c>
      <c r="AM1" t="s">
        <v>4081</v>
      </c>
      <c r="AN1" t="s">
        <v>4082</v>
      </c>
      <c r="AO1" t="s">
        <v>4083</v>
      </c>
      <c r="AP1" t="s">
        <v>4084</v>
      </c>
      <c r="AQ1" t="s">
        <v>4085</v>
      </c>
      <c r="AR1" t="s">
        <v>4086</v>
      </c>
      <c r="AS1" t="s">
        <v>4087</v>
      </c>
      <c r="AT1" t="s">
        <v>4088</v>
      </c>
      <c r="AU1" t="s">
        <v>4089</v>
      </c>
      <c r="AV1" t="s">
        <v>4090</v>
      </c>
      <c r="AW1" t="s">
        <v>4091</v>
      </c>
      <c r="AX1" t="s">
        <v>4092</v>
      </c>
      <c r="AY1" t="s">
        <v>4093</v>
      </c>
      <c r="AZ1" t="s">
        <v>4094</v>
      </c>
      <c r="BA1" t="s">
        <v>4095</v>
      </c>
      <c r="BB1" t="s">
        <v>4096</v>
      </c>
      <c r="BC1" t="s">
        <v>4097</v>
      </c>
      <c r="BD1" t="s">
        <v>4098</v>
      </c>
      <c r="BE1" t="s">
        <v>4099</v>
      </c>
      <c r="BF1" t="s">
        <v>4100</v>
      </c>
      <c r="BG1" t="s">
        <v>4101</v>
      </c>
      <c r="BH1" t="s">
        <v>4102</v>
      </c>
      <c r="BI1" t="s">
        <v>4103</v>
      </c>
      <c r="BJ1" t="s">
        <v>4104</v>
      </c>
      <c r="BK1" t="s">
        <v>4105</v>
      </c>
      <c r="BL1" t="s">
        <v>4106</v>
      </c>
      <c r="BM1" t="s">
        <v>4107</v>
      </c>
      <c r="BN1" t="s">
        <v>4108</v>
      </c>
      <c r="BO1" t="s">
        <v>4109</v>
      </c>
      <c r="BP1" t="s">
        <v>4110</v>
      </c>
      <c r="BQ1" t="s">
        <v>4111</v>
      </c>
      <c r="BR1" t="s">
        <v>4112</v>
      </c>
      <c r="BS1" t="s">
        <v>4113</v>
      </c>
      <c r="BT1" t="s">
        <v>4114</v>
      </c>
      <c r="BU1" t="s">
        <v>4115</v>
      </c>
      <c r="BV1" t="s">
        <v>4116</v>
      </c>
      <c r="BW1" t="s">
        <v>4117</v>
      </c>
      <c r="BX1" t="s">
        <v>4118</v>
      </c>
      <c r="BY1" t="s">
        <v>4119</v>
      </c>
      <c r="BZ1" t="s">
        <v>4120</v>
      </c>
      <c r="CA1" t="s">
        <v>4121</v>
      </c>
      <c r="CB1" t="s">
        <v>4122</v>
      </c>
      <c r="CC1" t="s">
        <v>4123</v>
      </c>
      <c r="CD1" t="s">
        <v>4124</v>
      </c>
      <c r="CE1" t="s">
        <v>4125</v>
      </c>
      <c r="CF1" t="s">
        <v>4126</v>
      </c>
      <c r="CG1" t="s">
        <v>4127</v>
      </c>
      <c r="CH1" t="s">
        <v>4128</v>
      </c>
      <c r="CI1" t="s">
        <v>4129</v>
      </c>
      <c r="CJ1" t="s">
        <v>4130</v>
      </c>
      <c r="CK1" t="s">
        <v>4131</v>
      </c>
      <c r="CL1" t="s">
        <v>4132</v>
      </c>
      <c r="CM1" t="s">
        <v>4133</v>
      </c>
      <c r="CN1" t="s">
        <v>4134</v>
      </c>
      <c r="CO1" t="s">
        <v>4135</v>
      </c>
      <c r="CP1" t="s">
        <v>4136</v>
      </c>
      <c r="CQ1" t="s">
        <v>4137</v>
      </c>
      <c r="CR1" t="s">
        <v>4138</v>
      </c>
      <c r="CS1" t="s">
        <v>4139</v>
      </c>
      <c r="CT1" t="s">
        <v>4140</v>
      </c>
      <c r="CU1" t="s">
        <v>4141</v>
      </c>
      <c r="CV1" t="s">
        <v>4142</v>
      </c>
      <c r="CW1" t="s">
        <v>4143</v>
      </c>
      <c r="CX1" t="s">
        <v>4144</v>
      </c>
      <c r="CY1" t="s">
        <v>4145</v>
      </c>
      <c r="CZ1" t="s">
        <v>4146</v>
      </c>
      <c r="DA1" t="s">
        <v>4147</v>
      </c>
      <c r="DB1" t="s">
        <v>4148</v>
      </c>
      <c r="DC1" t="s">
        <v>4149</v>
      </c>
      <c r="DD1" t="s">
        <v>4150</v>
      </c>
      <c r="DE1" t="s">
        <v>4151</v>
      </c>
      <c r="DF1" t="s">
        <v>4152</v>
      </c>
      <c r="DG1" t="s">
        <v>4153</v>
      </c>
      <c r="DH1" t="s">
        <v>4154</v>
      </c>
      <c r="DI1" t="s">
        <v>4155</v>
      </c>
      <c r="DJ1" t="s">
        <v>4156</v>
      </c>
      <c r="DK1" t="s">
        <v>4157</v>
      </c>
      <c r="DL1" t="s">
        <v>4158</v>
      </c>
      <c r="DM1" t="s">
        <v>4159</v>
      </c>
      <c r="DN1" t="s">
        <v>4160</v>
      </c>
      <c r="DO1" t="s">
        <v>4161</v>
      </c>
      <c r="DP1" t="s">
        <v>4162</v>
      </c>
      <c r="DQ1" t="s">
        <v>4163</v>
      </c>
      <c r="DR1" t="s">
        <v>4164</v>
      </c>
      <c r="DS1" t="s">
        <v>4165</v>
      </c>
      <c r="DT1" t="s">
        <v>4166</v>
      </c>
      <c r="DU1" t="s">
        <v>4167</v>
      </c>
      <c r="DV1" t="s">
        <v>4168</v>
      </c>
      <c r="DW1" t="s">
        <v>4169</v>
      </c>
      <c r="DX1" t="s">
        <v>4170</v>
      </c>
      <c r="DY1" t="s">
        <v>4171</v>
      </c>
      <c r="DZ1" t="s">
        <v>4172</v>
      </c>
      <c r="EA1" t="s">
        <v>4173</v>
      </c>
      <c r="EB1" t="s">
        <v>4174</v>
      </c>
      <c r="EC1" t="s">
        <v>4175</v>
      </c>
      <c r="ED1" t="s">
        <v>4176</v>
      </c>
      <c r="EE1" t="s">
        <v>4177</v>
      </c>
      <c r="EF1" t="s">
        <v>4178</v>
      </c>
      <c r="EG1" t="s">
        <v>4179</v>
      </c>
      <c r="EH1" t="s">
        <v>4180</v>
      </c>
      <c r="EI1" t="s">
        <v>4181</v>
      </c>
      <c r="EJ1" t="s">
        <v>4182</v>
      </c>
      <c r="EK1" t="s">
        <v>4183</v>
      </c>
      <c r="EL1" t="s">
        <v>4184</v>
      </c>
      <c r="EM1" t="s">
        <v>4185</v>
      </c>
      <c r="EN1" t="s">
        <v>4186</v>
      </c>
      <c r="EO1" t="s">
        <v>4187</v>
      </c>
      <c r="EP1" t="s">
        <v>4188</v>
      </c>
      <c r="EQ1" t="s">
        <v>4189</v>
      </c>
      <c r="ER1" t="s">
        <v>4190</v>
      </c>
      <c r="ES1" t="s">
        <v>4191</v>
      </c>
      <c r="ET1" t="s">
        <v>4192</v>
      </c>
      <c r="EU1" t="s">
        <v>4193</v>
      </c>
      <c r="EV1" t="s">
        <v>4194</v>
      </c>
      <c r="EW1" t="s">
        <v>4195</v>
      </c>
      <c r="EX1" t="s">
        <v>4196</v>
      </c>
      <c r="EY1" t="s">
        <v>4197</v>
      </c>
      <c r="EZ1" t="s">
        <v>4198</v>
      </c>
      <c r="FA1" t="s">
        <v>4199</v>
      </c>
      <c r="FB1" t="s">
        <v>4200</v>
      </c>
      <c r="FC1" t="s">
        <v>4201</v>
      </c>
      <c r="FD1" t="s">
        <v>4202</v>
      </c>
      <c r="FE1" t="s">
        <v>4203</v>
      </c>
      <c r="FF1" t="s">
        <v>4204</v>
      </c>
      <c r="FG1" t="s">
        <v>4205</v>
      </c>
      <c r="FH1" t="s">
        <v>4206</v>
      </c>
      <c r="FI1" t="s">
        <v>4207</v>
      </c>
      <c r="FJ1" t="s">
        <v>4208</v>
      </c>
      <c r="FK1" t="s">
        <v>4209</v>
      </c>
      <c r="FL1" t="s">
        <v>4210</v>
      </c>
      <c r="FM1" t="s">
        <v>4211</v>
      </c>
      <c r="FN1" t="s">
        <v>4212</v>
      </c>
      <c r="FO1" t="s">
        <v>4213</v>
      </c>
      <c r="FP1" t="s">
        <v>4214</v>
      </c>
      <c r="FQ1" t="s">
        <v>4215</v>
      </c>
      <c r="FR1" t="s">
        <v>4216</v>
      </c>
      <c r="FS1" t="s">
        <v>4217</v>
      </c>
      <c r="FT1" t="s">
        <v>4218</v>
      </c>
      <c r="FU1" t="s">
        <v>4219</v>
      </c>
      <c r="FV1" t="s">
        <v>4220</v>
      </c>
      <c r="FW1" t="s">
        <v>4221</v>
      </c>
      <c r="FX1" t="s">
        <v>4222</v>
      </c>
      <c r="FY1" t="s">
        <v>4223</v>
      </c>
      <c r="FZ1" t="s">
        <v>4224</v>
      </c>
      <c r="GA1" t="s">
        <v>4225</v>
      </c>
      <c r="GB1" t="s">
        <v>4226</v>
      </c>
      <c r="GC1" t="s">
        <v>4227</v>
      </c>
      <c r="GD1" t="s">
        <v>4228</v>
      </c>
      <c r="GE1" t="s">
        <v>4229</v>
      </c>
      <c r="GF1" t="s">
        <v>4230</v>
      </c>
      <c r="GG1" t="s">
        <v>4231</v>
      </c>
      <c r="GH1" t="s">
        <v>4232</v>
      </c>
      <c r="GI1" t="s">
        <v>4233</v>
      </c>
      <c r="GJ1" t="s">
        <v>4234</v>
      </c>
      <c r="GK1" t="s">
        <v>4235</v>
      </c>
      <c r="GL1" t="s">
        <v>4236</v>
      </c>
      <c r="GM1" t="s">
        <v>4237</v>
      </c>
      <c r="GN1" t="s">
        <v>4238</v>
      </c>
      <c r="GO1" t="s">
        <v>4239</v>
      </c>
      <c r="GP1" t="s">
        <v>4240</v>
      </c>
      <c r="GQ1" t="s">
        <v>4241</v>
      </c>
      <c r="GR1" t="s">
        <v>4242</v>
      </c>
      <c r="GS1" t="s">
        <v>4243</v>
      </c>
      <c r="GT1" t="s">
        <v>4244</v>
      </c>
      <c r="GU1" t="s">
        <v>4245</v>
      </c>
      <c r="GV1" t="s">
        <v>4246</v>
      </c>
      <c r="GW1" t="s">
        <v>4247</v>
      </c>
      <c r="GX1" t="s">
        <v>4248</v>
      </c>
      <c r="GY1" t="s">
        <v>4249</v>
      </c>
      <c r="GZ1" t="s">
        <v>4250</v>
      </c>
      <c r="HA1" t="s">
        <v>4251</v>
      </c>
      <c r="HB1" t="s">
        <v>4252</v>
      </c>
      <c r="HC1" t="s">
        <v>4253</v>
      </c>
      <c r="HD1" t="s">
        <v>4254</v>
      </c>
      <c r="HE1" t="s">
        <v>4255</v>
      </c>
      <c r="HF1" t="s">
        <v>4256</v>
      </c>
      <c r="HG1" t="s">
        <v>4257</v>
      </c>
      <c r="HH1" t="s">
        <v>4258</v>
      </c>
      <c r="HI1" t="s">
        <v>4259</v>
      </c>
      <c r="HJ1" t="s">
        <v>4260</v>
      </c>
      <c r="HK1" t="s">
        <v>4261</v>
      </c>
      <c r="HL1" t="s">
        <v>4262</v>
      </c>
      <c r="HM1" t="s">
        <v>4263</v>
      </c>
      <c r="HN1" t="s">
        <v>4264</v>
      </c>
      <c r="HO1" t="s">
        <v>4265</v>
      </c>
      <c r="HP1" t="s">
        <v>4266</v>
      </c>
      <c r="HQ1" t="s">
        <v>4267</v>
      </c>
      <c r="HR1" t="s">
        <v>4268</v>
      </c>
      <c r="HS1" t="s">
        <v>4269</v>
      </c>
      <c r="HT1" t="s">
        <v>4270</v>
      </c>
      <c r="HU1" t="s">
        <v>4271</v>
      </c>
      <c r="HV1" t="s">
        <v>4272</v>
      </c>
      <c r="HW1" t="s">
        <v>4273</v>
      </c>
      <c r="HX1" t="s">
        <v>4274</v>
      </c>
      <c r="HY1" t="s">
        <v>4275</v>
      </c>
      <c r="HZ1" t="s">
        <v>4276</v>
      </c>
      <c r="IA1" t="s">
        <v>4277</v>
      </c>
      <c r="IB1" t="s">
        <v>4278</v>
      </c>
      <c r="IC1" t="s">
        <v>4279</v>
      </c>
      <c r="ID1" t="s">
        <v>4280</v>
      </c>
      <c r="IE1" t="s">
        <v>4281</v>
      </c>
      <c r="IF1" t="s">
        <v>4282</v>
      </c>
      <c r="IG1" t="s">
        <v>4283</v>
      </c>
      <c r="IH1" t="s">
        <v>4284</v>
      </c>
      <c r="II1" t="s">
        <v>4285</v>
      </c>
      <c r="IJ1" t="s">
        <v>4286</v>
      </c>
      <c r="IK1" t="s">
        <v>4287</v>
      </c>
      <c r="IL1" t="s">
        <v>4288</v>
      </c>
      <c r="IM1" t="s">
        <v>4289</v>
      </c>
      <c r="IN1" t="s">
        <v>4290</v>
      </c>
      <c r="IO1" t="s">
        <v>4291</v>
      </c>
      <c r="IP1" t="s">
        <v>4292</v>
      </c>
      <c r="IQ1" t="s">
        <v>4293</v>
      </c>
      <c r="IR1" t="s">
        <v>4294</v>
      </c>
      <c r="IS1" t="s">
        <v>4295</v>
      </c>
      <c r="IT1" t="s">
        <v>4296</v>
      </c>
      <c r="IU1" t="s">
        <v>4297</v>
      </c>
      <c r="IV1" t="s">
        <v>4298</v>
      </c>
    </row>
    <row r="2" spans="1:256">
      <c r="A2" t="s">
        <v>4299</v>
      </c>
      <c r="B2" t="s">
        <v>4300</v>
      </c>
      <c r="C2" t="s">
        <v>4301</v>
      </c>
      <c r="D2" t="s">
        <v>4302</v>
      </c>
      <c r="E2" t="s">
        <v>4303</v>
      </c>
      <c r="F2" t="s">
        <v>4304</v>
      </c>
      <c r="G2" t="s">
        <v>4305</v>
      </c>
      <c r="H2" t="s">
        <v>4306</v>
      </c>
      <c r="I2" t="s">
        <v>4307</v>
      </c>
      <c r="J2" t="s">
        <v>4308</v>
      </c>
      <c r="K2" t="s">
        <v>4309</v>
      </c>
      <c r="L2" t="s">
        <v>4310</v>
      </c>
      <c r="M2" t="s">
        <v>4311</v>
      </c>
      <c r="N2" t="s">
        <v>4312</v>
      </c>
      <c r="O2" t="s">
        <v>4313</v>
      </c>
      <c r="P2" t="s">
        <v>4314</v>
      </c>
      <c r="Q2" t="s">
        <v>4315</v>
      </c>
      <c r="R2" t="s">
        <v>4316</v>
      </c>
      <c r="S2" t="s">
        <v>4317</v>
      </c>
      <c r="T2" t="s">
        <v>4318</v>
      </c>
      <c r="U2" t="s">
        <v>4319</v>
      </c>
      <c r="V2" t="s">
        <v>4320</v>
      </c>
      <c r="W2" t="s">
        <v>4321</v>
      </c>
      <c r="X2" t="s">
        <v>4322</v>
      </c>
      <c r="Y2" t="s">
        <v>4323</v>
      </c>
      <c r="Z2" t="s">
        <v>4324</v>
      </c>
      <c r="AA2" t="s">
        <v>4325</v>
      </c>
      <c r="AB2" t="s">
        <v>4326</v>
      </c>
      <c r="AC2" t="s">
        <v>4327</v>
      </c>
      <c r="AD2" t="s">
        <v>4328</v>
      </c>
      <c r="AE2" t="s">
        <v>4329</v>
      </c>
      <c r="AF2" t="s">
        <v>4330</v>
      </c>
      <c r="AG2" t="s">
        <v>4331</v>
      </c>
      <c r="AH2" t="s">
        <v>4332</v>
      </c>
      <c r="AI2" t="s">
        <v>4333</v>
      </c>
      <c r="AJ2" t="s">
        <v>4334</v>
      </c>
      <c r="AK2" t="s">
        <v>4335</v>
      </c>
      <c r="AL2" t="s">
        <v>4336</v>
      </c>
      <c r="AM2" t="s">
        <v>4337</v>
      </c>
      <c r="AN2" t="s">
        <v>4338</v>
      </c>
      <c r="AO2" t="s">
        <v>4339</v>
      </c>
      <c r="AP2" t="s">
        <v>4340</v>
      </c>
      <c r="AQ2" t="s">
        <v>4341</v>
      </c>
      <c r="AR2" t="s">
        <v>4342</v>
      </c>
      <c r="AS2" t="s">
        <v>4343</v>
      </c>
      <c r="AT2" t="s">
        <v>4344</v>
      </c>
      <c r="AU2" t="s">
        <v>4345</v>
      </c>
      <c r="AV2" t="s">
        <v>4346</v>
      </c>
      <c r="AW2" t="s">
        <v>4347</v>
      </c>
      <c r="AX2" t="s">
        <v>4348</v>
      </c>
      <c r="AY2" t="s">
        <v>4349</v>
      </c>
      <c r="AZ2" t="s">
        <v>4350</v>
      </c>
      <c r="BA2" t="s">
        <v>4351</v>
      </c>
      <c r="BB2" t="s">
        <v>4352</v>
      </c>
      <c r="BC2" t="s">
        <v>4353</v>
      </c>
      <c r="BD2" t="s">
        <v>4354</v>
      </c>
      <c r="BE2" t="s">
        <v>4355</v>
      </c>
      <c r="BF2" t="s">
        <v>4356</v>
      </c>
      <c r="BG2" t="s">
        <v>4357</v>
      </c>
      <c r="BH2" t="s">
        <v>4358</v>
      </c>
      <c r="BI2" t="s">
        <v>4359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23"/>
  <sheetViews>
    <sheetView showGridLines="0" view="pageBreakPreview" topLeftCell="A10" zoomScaleNormal="145" zoomScaleSheetLayoutView="100" workbookViewId="0">
      <selection activeCell="H18" sqref="H18"/>
    </sheetView>
  </sheetViews>
  <sheetFormatPr defaultRowHeight="12.75"/>
  <cols>
    <col min="1" max="1" width="4.5" style="405" customWidth="1"/>
    <col min="2" max="2" width="54.5" style="405" customWidth="1"/>
    <col min="3" max="3" width="4.33203125" style="405" customWidth="1"/>
    <col min="4" max="4" width="18.83203125" style="405" customWidth="1"/>
    <col min="5" max="5" width="2.83203125" style="405" customWidth="1"/>
    <col min="6" max="6" width="17.5" style="405" customWidth="1"/>
    <col min="7" max="7" width="4.33203125" style="405" customWidth="1"/>
    <col min="8" max="8" width="18" style="405" customWidth="1"/>
    <col min="9" max="9" width="4.33203125" style="405" customWidth="1"/>
    <col min="10" max="10" width="18.83203125" style="405" customWidth="1"/>
    <col min="11" max="11" width="4.5" style="405" customWidth="1"/>
    <col min="12" max="12" width="18.1640625" style="405" customWidth="1"/>
    <col min="13" max="13" width="9.33203125" style="405"/>
    <col min="14" max="14" width="9.5" style="405" bestFit="1" customWidth="1"/>
    <col min="15" max="18" width="9.6640625" style="405" bestFit="1" customWidth="1"/>
    <col min="19" max="16384" width="9.33203125" style="405"/>
  </cols>
  <sheetData>
    <row r="1" spans="1:17" ht="10.7" customHeight="1" thickBot="1"/>
    <row r="2" spans="1:17" ht="16.5" customHeight="1" thickTop="1">
      <c r="B2" s="10" t="str">
        <f>'MASTER PubCo Inputs'!$C$5</f>
        <v>Kallyope, Inc.</v>
      </c>
      <c r="C2" s="10"/>
      <c r="D2" s="10"/>
      <c r="E2" s="10"/>
      <c r="F2" s="10"/>
      <c r="G2" s="10"/>
      <c r="H2" s="10"/>
      <c r="I2" s="10"/>
      <c r="J2" s="10"/>
      <c r="L2" s="1133"/>
      <c r="M2" s="1133"/>
      <c r="N2" s="2013" t="s">
        <v>767</v>
      </c>
      <c r="O2" s="2093"/>
      <c r="P2" s="2094"/>
      <c r="Q2" s="405" t="b">
        <v>1</v>
      </c>
    </row>
    <row r="3" spans="1:17" ht="15.75" customHeight="1">
      <c r="B3" s="11" t="str">
        <f>VLOOKUP(B4,Outline!$E$8:$G$69,COLUMNS(Outline!$E$8:$G$8),FALSE)</f>
        <v>Exhibit A.1</v>
      </c>
      <c r="C3" s="11"/>
      <c r="D3" s="11"/>
      <c r="E3" s="11"/>
      <c r="F3" s="11"/>
      <c r="G3" s="11"/>
      <c r="H3" s="11"/>
      <c r="I3" s="11"/>
      <c r="J3" s="11"/>
      <c r="L3" s="2092"/>
      <c r="M3" s="2092"/>
      <c r="N3" s="2095" t="s">
        <v>159</v>
      </c>
      <c r="O3" s="2099" t="s">
        <v>165</v>
      </c>
      <c r="P3" s="2100" t="s">
        <v>768</v>
      </c>
      <c r="Q3" s="2037" t="str">
        <f>IF(AND(N4=$Q$2,O4=$Q$2,P4=$Q$2,N5=$Q$2,O5=$Q$2,P5=$Q$2,N6=$Q$2,O6=$Q$2,P6=$Q$2),"","Check")</f>
        <v/>
      </c>
    </row>
    <row r="4" spans="1:17" ht="16.5" customHeight="1" thickBot="1">
      <c r="B4" s="12" t="s">
        <v>144</v>
      </c>
      <c r="C4" s="12"/>
      <c r="D4" s="12"/>
      <c r="E4" s="12"/>
      <c r="F4" s="12"/>
      <c r="G4" s="12"/>
      <c r="H4" s="12"/>
      <c r="I4" s="12"/>
      <c r="J4" s="13" t="str">
        <f>+'MASTER PubCo Inputs'!$C$19</f>
        <v>(in thousands of USD, except price per share)</v>
      </c>
      <c r="L4" s="345"/>
      <c r="M4" s="345"/>
      <c r="N4" s="705" t="b">
        <f>'Comp.1'!AE2</f>
        <v>1</v>
      </c>
      <c r="O4" s="371" t="b">
        <f>'Comp.2'!AB2</f>
        <v>1</v>
      </c>
      <c r="P4" s="706" t="b">
        <f>Trans.1!AR3</f>
        <v>1</v>
      </c>
    </row>
    <row r="5" spans="1:17" ht="12.75" customHeight="1" thickTop="1">
      <c r="L5" s="203"/>
      <c r="M5" s="203"/>
      <c r="N5" s="705" t="b">
        <f>'Comp.1'!AE3</f>
        <v>1</v>
      </c>
      <c r="O5" s="371" t="b">
        <f>'Comp.2'!AB3</f>
        <v>1</v>
      </c>
      <c r="P5" s="706" t="b">
        <f>Trans.1!AR4</f>
        <v>1</v>
      </c>
    </row>
    <row r="6" spans="1:17" ht="12.75" customHeight="1">
      <c r="L6" s="203"/>
      <c r="M6" s="203"/>
      <c r="N6" s="2101" t="b">
        <f>'Comp.1'!AE4</f>
        <v>1</v>
      </c>
      <c r="O6" s="2102" t="b">
        <f>'Comp.2'!AB4</f>
        <v>1</v>
      </c>
      <c r="P6" s="2103" t="b">
        <f>Trans.1!AR5</f>
        <v>1</v>
      </c>
    </row>
    <row r="7" spans="1:17" s="6" customFormat="1">
      <c r="B7" s="33" t="s">
        <v>148</v>
      </c>
      <c r="D7" s="585" t="s">
        <v>147</v>
      </c>
      <c r="E7" s="330"/>
      <c r="F7" s="585" t="s">
        <v>149</v>
      </c>
      <c r="H7" s="32" t="s">
        <v>150</v>
      </c>
      <c r="J7" s="2012" t="s">
        <v>70</v>
      </c>
      <c r="L7" s="2014" t="s">
        <v>435</v>
      </c>
      <c r="M7" s="2014" t="s">
        <v>1166</v>
      </c>
    </row>
    <row r="8" spans="1:17" ht="12.75" customHeight="1"/>
    <row r="9" spans="1:17" ht="12.75" customHeight="1">
      <c r="B9" s="405" t="s">
        <v>627</v>
      </c>
      <c r="D9" s="449">
        <f>PWERM!B222</f>
        <v>143330</v>
      </c>
      <c r="F9" s="484">
        <f>+PWERM!B119</f>
        <v>0.47778446963398424</v>
      </c>
      <c r="H9" s="411" t="s">
        <v>152</v>
      </c>
      <c r="J9" s="314" t="str">
        <f>PWERM!B3</f>
        <v>Exhibit B.1</v>
      </c>
      <c r="L9" s="2519">
        <f>PWERM!F168</f>
        <v>2.1326976851557422</v>
      </c>
      <c r="M9" s="2519">
        <f>'Econ Rights'!G12</f>
        <v>2</v>
      </c>
      <c r="N9" s="899"/>
    </row>
    <row r="10" spans="1:17" ht="12.75" customHeight="1">
      <c r="H10" s="411"/>
    </row>
    <row r="11" spans="1:17" ht="12.75" customHeight="1">
      <c r="B11" s="29" t="s">
        <v>153</v>
      </c>
      <c r="C11" s="30"/>
      <c r="D11" s="30"/>
      <c r="E11" s="30"/>
      <c r="F11" s="393">
        <f>F9</f>
        <v>0.47778446963398424</v>
      </c>
      <c r="M11" s="2010">
        <v>0.47</v>
      </c>
      <c r="N11" s="405" t="s">
        <v>602</v>
      </c>
    </row>
    <row r="12" spans="1:17" ht="12.75" customHeight="1">
      <c r="M12" s="2011" t="str">
        <f>IF(OR(F11-M11&gt;0.01,F11-M11&lt;-0.01),"Check","")</f>
        <v/>
      </c>
      <c r="N12" s="180" t="s">
        <v>1544</v>
      </c>
    </row>
    <row r="13" spans="1:17" s="16" customFormat="1" ht="12.75" customHeight="1">
      <c r="A13" s="2007"/>
      <c r="B13" s="2504" t="s">
        <v>634</v>
      </c>
      <c r="C13" s="2009"/>
      <c r="D13" s="2009"/>
      <c r="E13" s="2009"/>
      <c r="F13" s="2009"/>
      <c r="G13" s="2009"/>
      <c r="H13" s="2009"/>
    </row>
    <row r="14" spans="1:17" s="16" customFormat="1" ht="12.75" customHeight="1">
      <c r="A14" s="2007"/>
      <c r="B14" s="2008" t="s">
        <v>627</v>
      </c>
      <c r="C14" s="2009"/>
      <c r="D14" s="363">
        <v>125990</v>
      </c>
      <c r="E14" s="2009"/>
      <c r="F14" s="2505">
        <v>0.40104230010399688</v>
      </c>
      <c r="G14" s="2009"/>
      <c r="H14" s="2009"/>
      <c r="L14" s="2523">
        <v>1.8898958639429912</v>
      </c>
      <c r="M14" s="883">
        <f>M9</f>
        <v>2</v>
      </c>
    </row>
    <row r="15" spans="1:17" s="16" customFormat="1" ht="12.75" customHeight="1">
      <c r="A15" s="2007"/>
      <c r="B15" s="2008" t="s">
        <v>548</v>
      </c>
      <c r="C15" s="2009"/>
      <c r="D15" s="2506">
        <f>D9/D14-1</f>
        <v>0.13762997063258986</v>
      </c>
      <c r="E15" s="2009"/>
      <c r="F15" s="2506">
        <f>F9/F14-1</f>
        <v>0.19135679580454945</v>
      </c>
      <c r="G15" s="2009"/>
      <c r="H15" s="2009"/>
      <c r="L15" s="2506">
        <f>L9/L14-1</f>
        <v>0.1284736507683446</v>
      </c>
    </row>
    <row r="16" spans="1:17" s="16" customFormat="1" ht="12.75" customHeight="1">
      <c r="A16" s="2007"/>
      <c r="B16" s="2008"/>
      <c r="C16" s="2009"/>
      <c r="D16" s="2506"/>
      <c r="E16" s="2009"/>
      <c r="F16" s="2506"/>
      <c r="G16" s="2009"/>
      <c r="H16" s="2009"/>
    </row>
    <row r="17" spans="1:10" s="16" customFormat="1" ht="12.75" customHeight="1">
      <c r="A17" s="2007"/>
      <c r="B17" s="405"/>
      <c r="C17" s="405"/>
      <c r="D17" s="449"/>
      <c r="E17" s="405"/>
      <c r="F17" s="484"/>
      <c r="G17" s="405"/>
      <c r="H17" s="411"/>
      <c r="I17" s="405"/>
      <c r="J17" s="314"/>
    </row>
    <row r="18" spans="1:10" s="16" customFormat="1" ht="12.75" customHeight="1">
      <c r="A18" s="2007"/>
      <c r="B18" s="405"/>
      <c r="C18" s="405"/>
      <c r="D18" s="405"/>
      <c r="E18" s="405"/>
      <c r="F18" s="405"/>
      <c r="G18" s="405"/>
      <c r="H18" s="405"/>
      <c r="I18" s="405"/>
      <c r="J18" s="405"/>
    </row>
    <row r="19" spans="1:10" s="16" customFormat="1" ht="12.75" customHeight="1">
      <c r="B19" s="405" t="s">
        <v>604</v>
      </c>
      <c r="C19" s="405"/>
      <c r="D19" s="407"/>
      <c r="E19" s="405"/>
      <c r="F19" s="2098"/>
      <c r="G19" s="405"/>
      <c r="H19" s="405"/>
      <c r="I19" s="405"/>
      <c r="J19" s="405"/>
    </row>
    <row r="20" spans="1:10" s="16" customFormat="1">
      <c r="B20" s="405" t="s">
        <v>146</v>
      </c>
      <c r="C20" s="405"/>
      <c r="D20" s="407"/>
      <c r="E20" s="405"/>
      <c r="F20" s="2098"/>
      <c r="G20" s="405"/>
      <c r="H20" s="405"/>
      <c r="I20" s="405"/>
      <c r="J20" s="405"/>
    </row>
    <row r="22" spans="1:10">
      <c r="D22" s="325" t="s">
        <v>563</v>
      </c>
      <c r="F22" s="382">
        <f>F11/'Econ Rights'!G12</f>
        <v>0.23889223481699212</v>
      </c>
    </row>
    <row r="23" spans="1:10">
      <c r="D23" s="405" t="s">
        <v>2934</v>
      </c>
      <c r="F23" s="2538">
        <f>F11/L9</f>
        <v>0.22402822160849001</v>
      </c>
    </row>
  </sheetData>
  <conditionalFormatting sqref="B4:I4">
    <cfRule type="cellIs" dxfId="664" priority="6" stopIfTrue="1" operator="equal">
      <formula>"input"</formula>
    </cfRule>
  </conditionalFormatting>
  <conditionalFormatting sqref="J4">
    <cfRule type="cellIs" dxfId="663" priority="3" stopIfTrue="1" operator="equal">
      <formula>"input"</formula>
    </cfRule>
  </conditionalFormatting>
  <conditionalFormatting sqref="J4">
    <cfRule type="cellIs" dxfId="662" priority="4" stopIfTrue="1" operator="equal">
      <formula>"input"</formula>
    </cfRule>
  </conditionalFormatting>
  <pageMargins left="0.5" right="0.5" top="0.5" bottom="0.5" header="0.5" footer="0.5"/>
  <pageSetup scale="99" fitToWidth="0"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tint="-0.499984740745262"/>
    <pageSetUpPr fitToPage="1"/>
  </sheetPr>
  <dimension ref="B6:F30"/>
  <sheetViews>
    <sheetView showGridLines="0" view="pageBreakPreview" zoomScale="60" zoomScaleNormal="100" workbookViewId="0"/>
  </sheetViews>
  <sheetFormatPr defaultColWidth="9.33203125" defaultRowHeight="15"/>
  <cols>
    <col min="1" max="1" width="4.5" style="291" customWidth="1"/>
    <col min="2" max="2" width="3.83203125" style="291" customWidth="1"/>
    <col min="3" max="3" width="15.83203125" style="291" customWidth="1"/>
    <col min="4" max="4" width="106" style="292" customWidth="1"/>
    <col min="5" max="5" width="15.83203125" style="291" customWidth="1"/>
    <col min="6" max="6" width="3.83203125" style="291" customWidth="1"/>
    <col min="7" max="7" width="4.5" style="291" customWidth="1"/>
    <col min="8" max="8" width="9.33203125" style="291"/>
    <col min="9" max="9" width="16.33203125" style="291" bestFit="1" customWidth="1"/>
    <col min="10" max="10" width="19" style="291" bestFit="1" customWidth="1"/>
    <col min="11" max="16384" width="9.33203125" style="291"/>
  </cols>
  <sheetData>
    <row r="6" spans="2:6">
      <c r="B6" s="293"/>
      <c r="C6" s="282"/>
      <c r="D6" s="283"/>
      <c r="E6" s="282"/>
      <c r="F6" s="282"/>
    </row>
    <row r="7" spans="2:6" ht="15.75" thickBot="1">
      <c r="B7" s="293"/>
      <c r="C7" s="282"/>
      <c r="D7" s="283"/>
      <c r="E7" s="282"/>
      <c r="F7" s="282"/>
    </row>
    <row r="8" spans="2:6" ht="15.75" thickTop="1">
      <c r="B8" s="14"/>
      <c r="C8" s="294"/>
      <c r="D8" s="295"/>
      <c r="E8" s="294"/>
      <c r="F8" s="294"/>
    </row>
    <row r="9" spans="2:6" s="296" customFormat="1" ht="40.5">
      <c r="B9" s="297"/>
      <c r="C9" s="298"/>
      <c r="D9" s="299" t="s">
        <v>154</v>
      </c>
      <c r="E9" s="298"/>
      <c r="F9" s="298"/>
    </row>
    <row r="10" spans="2:6" ht="15.75" thickBot="1">
      <c r="B10" s="286"/>
      <c r="C10" s="301"/>
      <c r="D10" s="302"/>
      <c r="E10" s="301"/>
      <c r="F10" s="301"/>
    </row>
    <row r="11" spans="2:6" ht="15.75" thickTop="1"/>
    <row r="13" spans="2:6" ht="18.75">
      <c r="D13" s="287"/>
    </row>
    <row r="14" spans="2:6" ht="18.75">
      <c r="D14" s="288"/>
    </row>
    <row r="27" spans="4:4" ht="23.25">
      <c r="D27" s="867" t="s">
        <v>776</v>
      </c>
    </row>
    <row r="29" spans="4:4" ht="18.75">
      <c r="D29" s="289" t="s">
        <v>575</v>
      </c>
    </row>
    <row r="30" spans="4:4" ht="37.5">
      <c r="D30" s="290" t="s">
        <v>394</v>
      </c>
    </row>
  </sheetData>
  <pageMargins left="0.5" right="0.5" top="0.5" bottom="0.5" header="0.5" footer="0.5"/>
  <pageSetup scale="98" orientation="landscape"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XFD235"/>
  <sheetViews>
    <sheetView showGridLines="0" view="pageBreakPreview" topLeftCell="A85" zoomScale="85" zoomScaleNormal="100" zoomScaleSheetLayoutView="85" workbookViewId="0">
      <selection activeCell="D106" sqref="D106"/>
    </sheetView>
  </sheetViews>
  <sheetFormatPr defaultRowHeight="12.75" outlineLevelRow="1"/>
  <cols>
    <col min="1" max="1" width="4.5" style="405" customWidth="1"/>
    <col min="2" max="2" width="36.1640625" style="405" customWidth="1"/>
    <col min="3" max="3" width="9.6640625" style="405" customWidth="1"/>
    <col min="4" max="7" width="13.83203125" style="405" customWidth="1"/>
    <col min="8" max="8" width="15.6640625" style="405" customWidth="1"/>
    <col min="9" max="9" width="14.5" style="405" customWidth="1"/>
    <col min="10" max="10" width="14.83203125" style="405" customWidth="1"/>
    <col min="11" max="11" width="15.33203125" style="405" customWidth="1"/>
    <col min="12" max="12" width="14.83203125" style="405" customWidth="1"/>
    <col min="13" max="13" width="13.83203125" style="405" customWidth="1"/>
    <col min="14" max="14" width="14.5" style="405" customWidth="1"/>
    <col min="15" max="15" width="4.5" style="405" customWidth="1"/>
    <col min="17" max="17" width="23.83203125" style="405" bestFit="1" customWidth="1"/>
    <col min="18" max="18" width="18.6640625" style="405" customWidth="1"/>
    <col min="19" max="19" width="25" style="405" customWidth="1"/>
    <col min="20" max="20" width="9.33203125" style="405" customWidth="1"/>
    <col min="21" max="21" width="23.6640625" style="405" customWidth="1"/>
    <col min="22" max="22" width="8.6640625" style="405" customWidth="1"/>
    <col min="23" max="16384" width="9.33203125" style="405"/>
  </cols>
  <sheetData>
    <row r="1" spans="2:19" ht="10.7" customHeight="1" thickBot="1"/>
    <row r="2" spans="2:19" ht="16.5" customHeight="1" thickTop="1">
      <c r="B2" s="10" t="str">
        <f>'MASTER PubCo Inputs'!$C$5</f>
        <v>Kallyope, Inc.</v>
      </c>
      <c r="C2" s="10"/>
      <c r="D2" s="10"/>
      <c r="E2" s="10"/>
      <c r="F2" s="10"/>
      <c r="G2" s="10"/>
      <c r="H2" s="10"/>
      <c r="I2" s="10"/>
      <c r="J2" s="10"/>
      <c r="K2" s="10"/>
      <c r="L2" s="10"/>
      <c r="M2" s="10"/>
      <c r="N2" s="10"/>
    </row>
    <row r="3" spans="2:19" ht="15.75" customHeight="1">
      <c r="B3" s="11" t="str">
        <f>VLOOKUP(B4,Outline!$E$8:$G$69,COLUMNS(Outline!$E$8:$G$8),FALSE)</f>
        <v>Exhibit B.1</v>
      </c>
      <c r="C3" s="11"/>
      <c r="D3" s="11"/>
      <c r="E3" s="11"/>
      <c r="F3" s="11"/>
      <c r="G3" s="11"/>
      <c r="H3" s="11"/>
      <c r="I3" s="11"/>
      <c r="J3" s="11"/>
      <c r="K3" s="11"/>
      <c r="L3" s="11"/>
      <c r="M3" s="11"/>
      <c r="N3" s="11"/>
    </row>
    <row r="4" spans="2:19" ht="16.5" customHeight="1" thickBot="1">
      <c r="B4" s="12" t="s">
        <v>535</v>
      </c>
      <c r="C4" s="12"/>
      <c r="D4" s="12"/>
      <c r="E4" s="12"/>
      <c r="F4" s="12"/>
      <c r="G4" s="12"/>
      <c r="H4" s="12"/>
      <c r="I4" s="13"/>
      <c r="J4" s="13"/>
      <c r="K4" s="13"/>
      <c r="L4" s="13"/>
      <c r="M4" s="13"/>
      <c r="N4" s="13" t="str">
        <f>+'MASTER PubCo Inputs'!$C$20</f>
        <v>(in thousands of USD and shares, except price per share)</v>
      </c>
    </row>
    <row r="5" spans="2:19" ht="12.75" customHeight="1" thickTop="1"/>
    <row r="6" spans="2:19" ht="12.75" customHeight="1"/>
    <row r="7" spans="2:19" ht="27" customHeight="1">
      <c r="B7" s="33" t="s">
        <v>511</v>
      </c>
      <c r="D7" s="1219" t="str">
        <f t="array" ref="D7:N7">TRANSPOSE('Exit Probability'!B34:B44)</f>
        <v>IPO - Phase I</v>
      </c>
      <c r="E7" s="1121" t="str">
        <v>IPO - Phase II</v>
      </c>
      <c r="F7" s="1121" t="str">
        <v>M&amp;A - IND (High)</v>
      </c>
      <c r="G7" s="1121" t="str">
        <v>M&amp;A - IND (Low)</v>
      </c>
      <c r="H7" s="1121" t="str">
        <v>M&amp;A - Phase I (High)</v>
      </c>
      <c r="I7" s="1121" t="str">
        <v>M&amp;A - Phase I (Low)</v>
      </c>
      <c r="J7" s="1121" t="str">
        <v>M&amp;A - Phase II (High)</v>
      </c>
      <c r="K7" s="1121" t="str">
        <v>M&amp;A - Phase II (Low)</v>
      </c>
      <c r="L7" s="1121" t="str">
        <v>Low Sale - IND</v>
      </c>
      <c r="M7" s="1121" t="str">
        <v>Low Sale - Phase I</v>
      </c>
      <c r="N7" s="1220" t="str">
        <v>Low Sale - Phase II</v>
      </c>
      <c r="Q7" s="2061" t="s">
        <v>579</v>
      </c>
      <c r="R7" s="2525"/>
      <c r="S7" s="2527" t="s">
        <v>579</v>
      </c>
    </row>
    <row r="8" spans="2:19" ht="29.25" customHeight="1">
      <c r="B8" s="405" t="s">
        <v>578</v>
      </c>
      <c r="D8" s="436" t="s">
        <v>580</v>
      </c>
      <c r="E8" s="436" t="s">
        <v>580</v>
      </c>
      <c r="F8" s="436" t="s">
        <v>1697</v>
      </c>
      <c r="G8" s="436" t="s">
        <v>1697</v>
      </c>
      <c r="H8" s="436" t="s">
        <v>1697</v>
      </c>
      <c r="I8" s="436" t="s">
        <v>1697</v>
      </c>
      <c r="J8" s="436" t="s">
        <v>1697</v>
      </c>
      <c r="K8" s="436" t="s">
        <v>1697</v>
      </c>
      <c r="L8" s="436" t="s">
        <v>580</v>
      </c>
      <c r="M8" s="436" t="s">
        <v>580</v>
      </c>
      <c r="N8" s="436" t="s">
        <v>580</v>
      </c>
      <c r="Q8" s="2062" t="s">
        <v>1697</v>
      </c>
      <c r="R8" s="2526" t="s">
        <v>580</v>
      </c>
      <c r="S8" s="334">
        <v>1</v>
      </c>
    </row>
    <row r="9" spans="2:19" ht="8.1" customHeight="1">
      <c r="S9" s="2528">
        <v>0</v>
      </c>
    </row>
    <row r="10" spans="2:19" ht="12.75" customHeight="1">
      <c r="B10" s="1023" t="s">
        <v>350</v>
      </c>
      <c r="C10" s="1221"/>
      <c r="D10" s="1226"/>
      <c r="E10" s="1221"/>
      <c r="F10" s="1221"/>
      <c r="G10" s="1221"/>
      <c r="H10" s="1221"/>
      <c r="I10" s="1221"/>
      <c r="J10" s="1221"/>
      <c r="K10" s="1221"/>
      <c r="L10" s="1221"/>
      <c r="M10" s="1221"/>
      <c r="N10" s="1222"/>
    </row>
    <row r="11" spans="2:19" ht="12.75" customHeight="1">
      <c r="B11" s="2" t="s">
        <v>346</v>
      </c>
      <c r="D11" s="576">
        <f>'MASTER PubCo Inputs'!$C$6</f>
        <v>43281</v>
      </c>
      <c r="E11" s="576">
        <f>'MASTER PubCo Inputs'!$C$6</f>
        <v>43281</v>
      </c>
      <c r="F11" s="576">
        <f>'MASTER PubCo Inputs'!$C$6</f>
        <v>43281</v>
      </c>
      <c r="G11" s="576">
        <f>'MASTER PubCo Inputs'!$C$6</f>
        <v>43281</v>
      </c>
      <c r="H11" s="576">
        <f>'MASTER PubCo Inputs'!$C$6</f>
        <v>43281</v>
      </c>
      <c r="I11" s="576">
        <f>'MASTER PubCo Inputs'!$C$6</f>
        <v>43281</v>
      </c>
      <c r="J11" s="576">
        <f>'MASTER PubCo Inputs'!$C$6</f>
        <v>43281</v>
      </c>
      <c r="K11" s="576">
        <f>'MASTER PubCo Inputs'!$C$6</f>
        <v>43281</v>
      </c>
      <c r="L11" s="576">
        <f>'MASTER PubCo Inputs'!$C$6</f>
        <v>43281</v>
      </c>
      <c r="M11" s="576">
        <f>'MASTER PubCo Inputs'!$C$6</f>
        <v>43281</v>
      </c>
      <c r="N11" s="576">
        <f>'MASTER PubCo Inputs'!$C$6</f>
        <v>43281</v>
      </c>
    </row>
    <row r="12" spans="2:19" ht="8.1" customHeight="1">
      <c r="B12" s="2"/>
    </row>
    <row r="13" spans="2:19" ht="12.75" customHeight="1">
      <c r="B13" s="2" t="s">
        <v>348</v>
      </c>
      <c r="D13" s="387">
        <f>YEARFRAC(D11,D15,3)</f>
        <v>3.0027397260273974</v>
      </c>
      <c r="E13" s="387">
        <f t="shared" ref="E13:M13" si="0">YEARFRAC(E11,E15,3)</f>
        <v>6.0054794520547947</v>
      </c>
      <c r="F13" s="387">
        <f t="shared" si="0"/>
        <v>2.0027397260273974</v>
      </c>
      <c r="G13" s="387">
        <f t="shared" si="0"/>
        <v>2.0027397260273974</v>
      </c>
      <c r="H13" s="387">
        <f t="shared" si="0"/>
        <v>3.0027397260273974</v>
      </c>
      <c r="I13" s="387">
        <f t="shared" si="0"/>
        <v>3.0027397260273974</v>
      </c>
      <c r="J13" s="387">
        <f t="shared" si="0"/>
        <v>6.0054794520547947</v>
      </c>
      <c r="K13" s="387">
        <f t="shared" si="0"/>
        <v>6.0054794520547947</v>
      </c>
      <c r="L13" s="387">
        <f t="shared" si="0"/>
        <v>2.0027397260273974</v>
      </c>
      <c r="M13" s="387">
        <f t="shared" si="0"/>
        <v>3.0027397260273974</v>
      </c>
      <c r="N13" s="387">
        <f>YEARFRAC(N11,N15,3)</f>
        <v>6.0054794520547947</v>
      </c>
    </row>
    <row r="14" spans="2:19" ht="8.1" customHeight="1">
      <c r="B14" s="2"/>
    </row>
    <row r="15" spans="2:19" ht="12.75" customHeight="1">
      <c r="B15" s="41" t="s">
        <v>347</v>
      </c>
      <c r="C15" s="1"/>
      <c r="D15" s="709">
        <f t="array" ref="D15:N15">TRANSPOSE('Exit Probability'!E34:E44)</f>
        <v>44377</v>
      </c>
      <c r="E15" s="709">
        <v>45473</v>
      </c>
      <c r="F15" s="709">
        <v>44012</v>
      </c>
      <c r="G15" s="709">
        <v>44012</v>
      </c>
      <c r="H15" s="709">
        <v>44377</v>
      </c>
      <c r="I15" s="709">
        <v>44377</v>
      </c>
      <c r="J15" s="709">
        <v>45473</v>
      </c>
      <c r="K15" s="709">
        <v>45473</v>
      </c>
      <c r="L15" s="709">
        <v>44012</v>
      </c>
      <c r="M15" s="709">
        <v>44377</v>
      </c>
      <c r="N15" s="709">
        <v>45473</v>
      </c>
      <c r="Q15" s="405" t="s">
        <v>2931</v>
      </c>
      <c r="S15" s="405">
        <v>0</v>
      </c>
    </row>
    <row r="16" spans="2:19" ht="8.1" customHeight="1"/>
    <row r="17" spans="2:22" ht="12.75" customHeight="1">
      <c r="B17" s="1023" t="s">
        <v>349</v>
      </c>
      <c r="C17" s="1221"/>
      <c r="D17" s="1221"/>
      <c r="E17" s="1221"/>
      <c r="F17" s="1221"/>
      <c r="G17" s="1221"/>
      <c r="H17" s="1221"/>
      <c r="I17" s="1221"/>
      <c r="J17" s="1221"/>
      <c r="K17" s="1221"/>
      <c r="L17" s="1221"/>
      <c r="M17" s="1221"/>
      <c r="N17" s="1222"/>
    </row>
    <row r="18" spans="2:22" ht="8.1" customHeight="1">
      <c r="D18" s="1656"/>
      <c r="E18" s="78"/>
      <c r="F18" s="78"/>
      <c r="G18" s="78"/>
      <c r="H18" s="78"/>
    </row>
    <row r="19" spans="2:22" ht="24.75" customHeight="1">
      <c r="B19" s="2" t="s">
        <v>351</v>
      </c>
      <c r="D19" s="1655" t="s">
        <v>2872</v>
      </c>
      <c r="E19" s="1655" t="s">
        <v>2872</v>
      </c>
      <c r="F19" s="1655" t="s">
        <v>2872</v>
      </c>
      <c r="G19" s="1655" t="s">
        <v>2872</v>
      </c>
      <c r="H19" s="1655" t="s">
        <v>2872</v>
      </c>
      <c r="I19" s="1655" t="s">
        <v>2872</v>
      </c>
      <c r="J19" s="1655" t="s">
        <v>2872</v>
      </c>
      <c r="K19" s="1655" t="s">
        <v>2872</v>
      </c>
      <c r="L19" s="1655" t="s">
        <v>2872</v>
      </c>
      <c r="M19" s="1655" t="s">
        <v>2872</v>
      </c>
      <c r="N19" s="1655" t="s">
        <v>2872</v>
      </c>
      <c r="Q19" s="913" t="s">
        <v>579</v>
      </c>
      <c r="R19" s="914"/>
      <c r="S19" s="913" t="s">
        <v>579</v>
      </c>
      <c r="T19" s="914"/>
      <c r="U19" s="913" t="s">
        <v>579</v>
      </c>
      <c r="V19" s="914"/>
    </row>
    <row r="20" spans="2:22" ht="12.75" customHeight="1">
      <c r="B20" s="2" t="s">
        <v>352</v>
      </c>
      <c r="D20" s="42">
        <f>D35+D42++SUM('Econ Rights'!$D$13:$G$13)</f>
        <v>140199.976</v>
      </c>
      <c r="E20" s="42">
        <f>E35+E42++SUM('Econ Rights'!$D$13:$G$13)</f>
        <v>215199.976</v>
      </c>
      <c r="F20" s="42">
        <f>F35+F42++SUM('Econ Rights'!$D$13:$G$13)</f>
        <v>110199.976</v>
      </c>
      <c r="G20" s="42">
        <f>G35+G42++SUM('Econ Rights'!$D$13:$G$13)</f>
        <v>110199.976</v>
      </c>
      <c r="H20" s="42">
        <f>H35+H42++SUM('Econ Rights'!$D$13:$G$13)</f>
        <v>140199.976</v>
      </c>
      <c r="I20" s="42">
        <f>I35+I42++SUM('Econ Rights'!$D$13:$G$13)</f>
        <v>140199.976</v>
      </c>
      <c r="J20" s="42">
        <f>J35+J42++SUM('Econ Rights'!$D$13:$G$13)</f>
        <v>215199.976</v>
      </c>
      <c r="K20" s="42">
        <f>K35+K42++SUM('Econ Rights'!$D$13:$G$13)</f>
        <v>215199.976</v>
      </c>
      <c r="L20" s="42">
        <f>L35+L42++SUM('Econ Rights'!$D$13:$G$13)</f>
        <v>110199.976</v>
      </c>
      <c r="M20" s="42">
        <f>M35+M42++SUM('Econ Rights'!$D$13:$G$13)</f>
        <v>140199.976</v>
      </c>
      <c r="N20" s="42">
        <f>N35+N42++SUM('Econ Rights'!$D$13:$G$13)</f>
        <v>215199.976</v>
      </c>
      <c r="Q20" s="911" t="s">
        <v>1275</v>
      </c>
      <c r="R20" s="915">
        <f>F168</f>
        <v>2.1326976851557422</v>
      </c>
      <c r="S20" s="917" t="s">
        <v>1277</v>
      </c>
      <c r="T20" s="914"/>
      <c r="U20" s="973" t="s">
        <v>1376</v>
      </c>
      <c r="V20" s="972"/>
    </row>
    <row r="21" spans="2:22" ht="12.75" customHeight="1">
      <c r="B21" s="2" t="s">
        <v>353</v>
      </c>
      <c r="D21" s="438">
        <f>D23/D20</f>
        <v>3.2097009774095824</v>
      </c>
      <c r="E21" s="438">
        <f t="shared" ref="E21:K21" si="1">E23/E20</f>
        <v>3.4851305002004276</v>
      </c>
      <c r="F21" s="438">
        <f t="shared" si="1"/>
        <v>4.0834854628280501</v>
      </c>
      <c r="G21" s="438">
        <f t="shared" si="1"/>
        <v>2.0417427314140251</v>
      </c>
      <c r="H21" s="438">
        <f t="shared" si="1"/>
        <v>7.1326688386879615</v>
      </c>
      <c r="I21" s="438">
        <f t="shared" si="1"/>
        <v>3.5663344193439808</v>
      </c>
      <c r="J21" s="438">
        <f t="shared" si="1"/>
        <v>9.2936813338678075</v>
      </c>
      <c r="K21" s="438">
        <f t="shared" si="1"/>
        <v>4.6468406669339037</v>
      </c>
      <c r="L21" s="2585">
        <v>0.5</v>
      </c>
      <c r="M21" s="2585">
        <v>0.75</v>
      </c>
      <c r="N21" s="2585">
        <v>0.75</v>
      </c>
      <c r="Q21" s="912" t="s">
        <v>1276</v>
      </c>
      <c r="R21" s="916">
        <f>B119</f>
        <v>0.47778446963398424</v>
      </c>
      <c r="S21" s="912" t="s">
        <v>1276</v>
      </c>
      <c r="T21" s="2015"/>
      <c r="U21" s="973" t="s">
        <v>1276</v>
      </c>
      <c r="V21" s="974">
        <v>0</v>
      </c>
    </row>
    <row r="22" spans="2:22" ht="8.1" customHeight="1">
      <c r="B22" s="5"/>
      <c r="C22" s="5"/>
      <c r="D22" s="5"/>
      <c r="E22" s="5"/>
      <c r="F22" s="5"/>
      <c r="G22" s="5"/>
      <c r="H22" s="5"/>
      <c r="I22" s="5"/>
      <c r="J22" s="5"/>
      <c r="K22" s="5"/>
      <c r="L22" s="5"/>
      <c r="M22" s="5"/>
    </row>
    <row r="23" spans="2:22" ht="12.75" customHeight="1">
      <c r="B23" s="41" t="s">
        <v>349</v>
      </c>
      <c r="D23" s="1653">
        <v>450000</v>
      </c>
      <c r="E23" s="1653">
        <v>750000</v>
      </c>
      <c r="F23" s="1653">
        <f>+G23*2</f>
        <v>450000</v>
      </c>
      <c r="G23" s="1653">
        <v>225000</v>
      </c>
      <c r="H23" s="1653">
        <v>1000000</v>
      </c>
      <c r="I23" s="1653">
        <v>500000</v>
      </c>
      <c r="J23" s="1653">
        <v>2000000</v>
      </c>
      <c r="K23" s="1653">
        <v>1000000</v>
      </c>
      <c r="L23" s="1654">
        <f>L20*L21</f>
        <v>55099.987999999998</v>
      </c>
      <c r="M23" s="1654">
        <f>M20*M21</f>
        <v>105149.98199999999</v>
      </c>
      <c r="N23" s="1654">
        <f>N20*N21</f>
        <v>161399.98199999999</v>
      </c>
      <c r="Q23" s="2005" t="s">
        <v>2574</v>
      </c>
      <c r="R23" s="2006"/>
      <c r="S23" s="2005" t="s">
        <v>2601</v>
      </c>
      <c r="T23" s="2043"/>
    </row>
    <row r="24" spans="2:22" ht="12.75" customHeight="1">
      <c r="B24" s="41"/>
      <c r="D24" s="1071"/>
      <c r="E24" s="1071"/>
      <c r="F24" s="1071"/>
      <c r="G24" s="1071"/>
      <c r="H24" s="1071"/>
      <c r="I24" s="1071"/>
      <c r="J24" s="1071"/>
      <c r="K24" s="1071"/>
      <c r="L24" s="311"/>
      <c r="M24" s="311"/>
      <c r="N24" s="311"/>
      <c r="Q24" s="362"/>
      <c r="R24" s="204"/>
      <c r="S24" s="362"/>
      <c r="T24" s="204"/>
    </row>
    <row r="25" spans="2:22" ht="12.75" customHeight="1">
      <c r="B25" s="41"/>
      <c r="D25" s="1071"/>
      <c r="E25" s="1071"/>
      <c r="F25" s="1071"/>
      <c r="G25" s="1071"/>
      <c r="H25" s="1071"/>
      <c r="I25" s="1071"/>
      <c r="J25" s="1071"/>
      <c r="K25" s="1071"/>
      <c r="L25" s="311"/>
      <c r="M25" s="311"/>
      <c r="N25" s="311"/>
      <c r="Q25" s="362"/>
      <c r="R25" s="204"/>
      <c r="S25" s="362"/>
      <c r="T25" s="204"/>
    </row>
    <row r="26" spans="2:22" ht="12.75" customHeight="1">
      <c r="B26" s="312" t="s">
        <v>2597</v>
      </c>
      <c r="C26" s="203"/>
      <c r="D26" s="203"/>
      <c r="E26" s="203"/>
      <c r="F26" s="203"/>
      <c r="G26" s="203"/>
      <c r="H26" s="203"/>
      <c r="I26" s="203"/>
      <c r="J26" s="203"/>
      <c r="K26" s="203"/>
      <c r="L26" s="203"/>
      <c r="M26" s="203"/>
      <c r="N26" s="203"/>
      <c r="Q26" s="362"/>
      <c r="R26" s="204"/>
      <c r="S26" s="906">
        <v>0</v>
      </c>
      <c r="T26" s="448"/>
    </row>
    <row r="27" spans="2:22" ht="12.75" customHeight="1">
      <c r="B27" s="2" t="s">
        <v>2598</v>
      </c>
      <c r="D27" s="2057"/>
      <c r="E27" s="2057"/>
      <c r="F27" s="2058">
        <v>1</v>
      </c>
      <c r="G27" s="2059">
        <f>+F27</f>
        <v>1</v>
      </c>
      <c r="H27" s="2059">
        <f t="shared" ref="H27:K29" si="2">+G27</f>
        <v>1</v>
      </c>
      <c r="I27" s="2059">
        <f t="shared" si="2"/>
        <v>1</v>
      </c>
      <c r="J27" s="2059">
        <f t="shared" si="2"/>
        <v>1</v>
      </c>
      <c r="K27" s="2059">
        <f t="shared" si="2"/>
        <v>1</v>
      </c>
      <c r="L27" s="2060"/>
      <c r="M27" s="2060"/>
      <c r="N27" s="2060"/>
      <c r="Q27" s="362"/>
      <c r="R27" s="204"/>
    </row>
    <row r="28" spans="2:22" ht="12.75" customHeight="1">
      <c r="B28" s="2" t="s">
        <v>2599</v>
      </c>
      <c r="D28" s="2057"/>
      <c r="E28" s="2057"/>
      <c r="F28" s="2058">
        <v>1</v>
      </c>
      <c r="G28" s="2059">
        <f>+F28</f>
        <v>1</v>
      </c>
      <c r="H28" s="2059">
        <f t="shared" si="2"/>
        <v>1</v>
      </c>
      <c r="I28" s="2059">
        <f t="shared" si="2"/>
        <v>1</v>
      </c>
      <c r="J28" s="2059">
        <f t="shared" si="2"/>
        <v>1</v>
      </c>
      <c r="K28" s="2059">
        <f t="shared" si="2"/>
        <v>1</v>
      </c>
      <c r="L28" s="2060"/>
      <c r="M28" s="2060"/>
      <c r="N28" s="2060"/>
      <c r="Q28" s="362"/>
      <c r="R28" s="204"/>
    </row>
    <row r="29" spans="2:22" ht="12.75" customHeight="1">
      <c r="B29" s="2" t="s">
        <v>2600</v>
      </c>
      <c r="D29" s="2057"/>
      <c r="E29" s="2057"/>
      <c r="F29" s="2058">
        <v>1</v>
      </c>
      <c r="G29" s="2059">
        <f>+F29</f>
        <v>1</v>
      </c>
      <c r="H29" s="2059">
        <f t="shared" si="2"/>
        <v>1</v>
      </c>
      <c r="I29" s="2059">
        <f t="shared" si="2"/>
        <v>1</v>
      </c>
      <c r="J29" s="2059">
        <f t="shared" si="2"/>
        <v>1</v>
      </c>
      <c r="K29" s="2059">
        <f t="shared" si="2"/>
        <v>1</v>
      </c>
      <c r="L29" s="2060"/>
      <c r="M29" s="2060"/>
      <c r="N29" s="2060"/>
      <c r="Q29" s="362"/>
      <c r="R29" s="204"/>
    </row>
    <row r="30" spans="2:22" ht="8.1" customHeight="1">
      <c r="Q30" s="362"/>
      <c r="R30" s="204"/>
    </row>
    <row r="31" spans="2:22" ht="12.75" customHeight="1">
      <c r="B31" s="1023" t="s">
        <v>2098</v>
      </c>
      <c r="C31" s="1221"/>
      <c r="D31" s="1221"/>
      <c r="E31" s="1221"/>
      <c r="F31" s="1221"/>
      <c r="G31" s="1221"/>
      <c r="H31" s="1221"/>
      <c r="I31" s="1221"/>
      <c r="J31" s="1221"/>
      <c r="K31" s="1221"/>
      <c r="L31" s="1221"/>
      <c r="M31" s="1221"/>
      <c r="N31" s="1222"/>
      <c r="Q31" s="906">
        <v>1</v>
      </c>
      <c r="R31" s="448"/>
    </row>
    <row r="32" spans="2:22" ht="8.1" customHeight="1"/>
    <row r="33" spans="2:19" ht="12.75" customHeight="1">
      <c r="B33" s="81" t="s">
        <v>439</v>
      </c>
      <c r="Q33" s="395" t="s">
        <v>581</v>
      </c>
      <c r="R33" s="396"/>
    </row>
    <row r="34" spans="2:19" ht="12.75" customHeight="1">
      <c r="B34" s="2" t="s">
        <v>355</v>
      </c>
      <c r="D34" s="577">
        <f t="shared" ref="D34:N34" si="3">IF(D15&gt;$R$34,$R$34,0)</f>
        <v>44012</v>
      </c>
      <c r="E34" s="577">
        <f t="shared" si="3"/>
        <v>44012</v>
      </c>
      <c r="F34" s="577">
        <f t="shared" si="3"/>
        <v>0</v>
      </c>
      <c r="G34" s="577">
        <f t="shared" si="3"/>
        <v>0</v>
      </c>
      <c r="H34" s="577">
        <f t="shared" si="3"/>
        <v>44012</v>
      </c>
      <c r="I34" s="577">
        <f t="shared" si="3"/>
        <v>44012</v>
      </c>
      <c r="J34" s="577">
        <f t="shared" si="3"/>
        <v>44012</v>
      </c>
      <c r="K34" s="577">
        <f t="shared" si="3"/>
        <v>44012</v>
      </c>
      <c r="L34" s="577">
        <f t="shared" si="3"/>
        <v>0</v>
      </c>
      <c r="M34" s="577">
        <f t="shared" si="3"/>
        <v>44012</v>
      </c>
      <c r="N34" s="577">
        <f t="shared" si="3"/>
        <v>44012</v>
      </c>
      <c r="Q34" s="397" t="s">
        <v>582</v>
      </c>
      <c r="R34" s="1657">
        <f>'Exit Probability'!E42</f>
        <v>44012</v>
      </c>
      <c r="S34" s="405" t="s">
        <v>2575</v>
      </c>
    </row>
    <row r="35" spans="2:19" ht="12.75" customHeight="1">
      <c r="B35" s="2" t="s">
        <v>354</v>
      </c>
      <c r="D35" s="387">
        <f t="shared" ref="D35:N35" si="4">IF(D34=0,0,$R$35)</f>
        <v>30000</v>
      </c>
      <c r="E35" s="387">
        <f t="shared" si="4"/>
        <v>30000</v>
      </c>
      <c r="F35" s="387">
        <f t="shared" si="4"/>
        <v>0</v>
      </c>
      <c r="G35" s="387">
        <f t="shared" si="4"/>
        <v>0</v>
      </c>
      <c r="H35" s="387">
        <f t="shared" si="4"/>
        <v>30000</v>
      </c>
      <c r="I35" s="387">
        <f t="shared" si="4"/>
        <v>30000</v>
      </c>
      <c r="J35" s="387">
        <f t="shared" si="4"/>
        <v>30000</v>
      </c>
      <c r="K35" s="387">
        <f t="shared" si="4"/>
        <v>30000</v>
      </c>
      <c r="L35" s="387">
        <f t="shared" si="4"/>
        <v>0</v>
      </c>
      <c r="M35" s="387">
        <f t="shared" si="4"/>
        <v>30000</v>
      </c>
      <c r="N35" s="387">
        <f t="shared" si="4"/>
        <v>30000</v>
      </c>
      <c r="Q35" s="397" t="s">
        <v>583</v>
      </c>
      <c r="R35" s="398">
        <v>30000</v>
      </c>
    </row>
    <row r="36" spans="2:19" ht="12.75" customHeight="1">
      <c r="B36" s="2" t="s">
        <v>356</v>
      </c>
      <c r="D36" s="388">
        <f>IF(D34=0,0,$R$36)</f>
        <v>0.2</v>
      </c>
      <c r="E36" s="388">
        <f t="shared" ref="E36:L36" si="5">IF(E34=0,0,$R$36)</f>
        <v>0.2</v>
      </c>
      <c r="F36" s="388">
        <f t="shared" si="5"/>
        <v>0</v>
      </c>
      <c r="G36" s="388">
        <f t="shared" si="5"/>
        <v>0</v>
      </c>
      <c r="H36" s="388">
        <f t="shared" si="5"/>
        <v>0.2</v>
      </c>
      <c r="I36" s="388">
        <f t="shared" si="5"/>
        <v>0.2</v>
      </c>
      <c r="J36" s="388">
        <f t="shared" si="5"/>
        <v>0.2</v>
      </c>
      <c r="K36" s="388">
        <f t="shared" si="5"/>
        <v>0.2</v>
      </c>
      <c r="L36" s="388">
        <f t="shared" si="5"/>
        <v>0</v>
      </c>
      <c r="M36" s="1666">
        <f>IF(M34=0,0,$M$21)</f>
        <v>0.75</v>
      </c>
      <c r="N36" s="1666">
        <f>IF(N34=0,0,$N$21)</f>
        <v>0.75</v>
      </c>
      <c r="Q36" s="386" t="s">
        <v>584</v>
      </c>
      <c r="R36" s="715">
        <f>'WACC PWERM'!J23</f>
        <v>0.2</v>
      </c>
    </row>
    <row r="37" spans="2:19" ht="8.1" customHeight="1">
      <c r="B37" s="5"/>
      <c r="C37" s="5"/>
      <c r="D37" s="5"/>
      <c r="E37" s="5"/>
      <c r="F37" s="5"/>
      <c r="G37" s="5"/>
      <c r="H37" s="5"/>
      <c r="I37" s="5"/>
      <c r="J37" s="5"/>
      <c r="K37" s="5"/>
      <c r="L37" s="5"/>
      <c r="M37" s="5"/>
      <c r="N37" s="5"/>
    </row>
    <row r="38" spans="2:19" ht="12.75" customHeight="1">
      <c r="B38" s="41" t="s">
        <v>160</v>
      </c>
      <c r="D38" s="387">
        <f>D35*(1+D36)^(YEARFRAC(D34,D$15,3))</f>
        <v>36000</v>
      </c>
      <c r="E38" s="387">
        <f t="shared" ref="E38:L38" si="6">E35*(1+E36)^(YEARFRAC(E34,E$15,3))</f>
        <v>62239.081349504559</v>
      </c>
      <c r="F38" s="387">
        <f t="shared" si="6"/>
        <v>0</v>
      </c>
      <c r="G38" s="387">
        <f t="shared" si="6"/>
        <v>0</v>
      </c>
      <c r="H38" s="387">
        <f t="shared" si="6"/>
        <v>36000</v>
      </c>
      <c r="I38" s="387">
        <f t="shared" si="6"/>
        <v>36000</v>
      </c>
      <c r="J38" s="387">
        <f t="shared" si="6"/>
        <v>62239.081349504559</v>
      </c>
      <c r="K38" s="387">
        <f t="shared" si="6"/>
        <v>62239.081349504559</v>
      </c>
      <c r="L38" s="387">
        <f t="shared" si="6"/>
        <v>0</v>
      </c>
      <c r="M38" s="387">
        <f>M36*M35</f>
        <v>22500</v>
      </c>
      <c r="N38" s="387">
        <f>N36*N35</f>
        <v>22500</v>
      </c>
    </row>
    <row r="39" spans="2:19" ht="8.1" customHeight="1"/>
    <row r="40" spans="2:19" ht="12.75" customHeight="1">
      <c r="B40" s="81" t="s">
        <v>443</v>
      </c>
    </row>
    <row r="41" spans="2:19" ht="12.75" customHeight="1">
      <c r="B41" s="2" t="s">
        <v>355</v>
      </c>
      <c r="D41" s="577">
        <f t="shared" ref="D41:N41" si="7">IF(D15&gt;$R$41,$R$41,0)</f>
        <v>0</v>
      </c>
      <c r="E41" s="577">
        <f t="shared" si="7"/>
        <v>44377</v>
      </c>
      <c r="F41" s="577">
        <f t="shared" si="7"/>
        <v>0</v>
      </c>
      <c r="G41" s="577">
        <f t="shared" si="7"/>
        <v>0</v>
      </c>
      <c r="H41" s="577">
        <f t="shared" si="7"/>
        <v>0</v>
      </c>
      <c r="I41" s="577">
        <f t="shared" si="7"/>
        <v>0</v>
      </c>
      <c r="J41" s="577">
        <f t="shared" si="7"/>
        <v>44377</v>
      </c>
      <c r="K41" s="577">
        <f t="shared" si="7"/>
        <v>44377</v>
      </c>
      <c r="L41" s="577">
        <f t="shared" si="7"/>
        <v>0</v>
      </c>
      <c r="M41" s="577">
        <f t="shared" si="7"/>
        <v>0</v>
      </c>
      <c r="N41" s="577">
        <f t="shared" si="7"/>
        <v>44377</v>
      </c>
      <c r="Q41" s="397" t="s">
        <v>582</v>
      </c>
      <c r="R41" s="1657">
        <f>'Exit Probability'!E43</f>
        <v>44377</v>
      </c>
    </row>
    <row r="42" spans="2:19" ht="12.75" customHeight="1">
      <c r="B42" s="2" t="s">
        <v>354</v>
      </c>
      <c r="D42" s="387">
        <f t="shared" ref="D42:N42" si="8">IF(D41=0,0,$R$42)</f>
        <v>0</v>
      </c>
      <c r="E42" s="387">
        <f t="shared" si="8"/>
        <v>75000</v>
      </c>
      <c r="F42" s="387">
        <f t="shared" si="8"/>
        <v>0</v>
      </c>
      <c r="G42" s="387">
        <f t="shared" si="8"/>
        <v>0</v>
      </c>
      <c r="H42" s="387">
        <f t="shared" si="8"/>
        <v>0</v>
      </c>
      <c r="I42" s="387">
        <f t="shared" si="8"/>
        <v>0</v>
      </c>
      <c r="J42" s="387">
        <f t="shared" si="8"/>
        <v>75000</v>
      </c>
      <c r="K42" s="387">
        <f t="shared" si="8"/>
        <v>75000</v>
      </c>
      <c r="L42" s="387">
        <f t="shared" si="8"/>
        <v>0</v>
      </c>
      <c r="M42" s="387">
        <f t="shared" si="8"/>
        <v>0</v>
      </c>
      <c r="N42" s="387">
        <f t="shared" si="8"/>
        <v>75000</v>
      </c>
      <c r="Q42" s="397" t="s">
        <v>583</v>
      </c>
      <c r="R42" s="398">
        <v>75000</v>
      </c>
      <c r="S42" s="405" t="s">
        <v>2576</v>
      </c>
    </row>
    <row r="43" spans="2:19" ht="12.75" customHeight="1">
      <c r="B43" s="2" t="s">
        <v>356</v>
      </c>
      <c r="D43" s="388">
        <f t="shared" ref="D43:M43" si="9">IF(D41=0,0,$R$43)</f>
        <v>0</v>
      </c>
      <c r="E43" s="388">
        <f t="shared" si="9"/>
        <v>0.2</v>
      </c>
      <c r="F43" s="388">
        <f t="shared" si="9"/>
        <v>0</v>
      </c>
      <c r="G43" s="388">
        <f t="shared" si="9"/>
        <v>0</v>
      </c>
      <c r="H43" s="388">
        <f t="shared" si="9"/>
        <v>0</v>
      </c>
      <c r="I43" s="388">
        <f t="shared" si="9"/>
        <v>0</v>
      </c>
      <c r="J43" s="388">
        <f t="shared" si="9"/>
        <v>0.2</v>
      </c>
      <c r="K43" s="388">
        <f t="shared" si="9"/>
        <v>0.2</v>
      </c>
      <c r="L43" s="388">
        <f t="shared" si="9"/>
        <v>0</v>
      </c>
      <c r="M43" s="388">
        <f t="shared" si="9"/>
        <v>0</v>
      </c>
      <c r="N43" s="1666">
        <f>IF(N41=0,0,$N$21)</f>
        <v>0.75</v>
      </c>
      <c r="Q43" s="386" t="s">
        <v>584</v>
      </c>
      <c r="R43" s="714">
        <f>+R36</f>
        <v>0.2</v>
      </c>
    </row>
    <row r="44" spans="2:19" ht="8.1" customHeight="1">
      <c r="B44" s="5"/>
      <c r="C44" s="5"/>
      <c r="D44" s="5"/>
      <c r="E44" s="5"/>
      <c r="F44" s="5"/>
      <c r="G44" s="5"/>
      <c r="H44" s="5"/>
      <c r="I44" s="5"/>
      <c r="J44" s="5"/>
      <c r="K44" s="5"/>
      <c r="L44" s="5"/>
      <c r="M44" s="5"/>
      <c r="N44" s="5"/>
    </row>
    <row r="45" spans="2:19" ht="12.75" customHeight="1">
      <c r="B45" s="41" t="s">
        <v>160</v>
      </c>
      <c r="D45" s="387">
        <f>D42*(1+D43)^(YEARFRAC(D41,D$15,3))</f>
        <v>0</v>
      </c>
      <c r="E45" s="387">
        <f t="shared" ref="E45:M45" si="10">E42*(1+E43)^(YEARFRAC(E41,E$15,3))</f>
        <v>129664.75281146783</v>
      </c>
      <c r="F45" s="387">
        <f t="shared" si="10"/>
        <v>0</v>
      </c>
      <c r="G45" s="387">
        <f t="shared" si="10"/>
        <v>0</v>
      </c>
      <c r="H45" s="387">
        <f t="shared" si="10"/>
        <v>0</v>
      </c>
      <c r="I45" s="387">
        <f t="shared" si="10"/>
        <v>0</v>
      </c>
      <c r="J45" s="387">
        <f t="shared" si="10"/>
        <v>129664.75281146783</v>
      </c>
      <c r="K45" s="387">
        <f t="shared" si="10"/>
        <v>129664.75281146783</v>
      </c>
      <c r="L45" s="387">
        <f t="shared" si="10"/>
        <v>0</v>
      </c>
      <c r="M45" s="387">
        <f t="shared" si="10"/>
        <v>0</v>
      </c>
      <c r="N45" s="387">
        <f>+N42*N43</f>
        <v>56250</v>
      </c>
    </row>
    <row r="46" spans="2:19" ht="8.1" customHeight="1"/>
    <row r="47" spans="2:19" ht="15" customHeight="1" thickBot="1">
      <c r="B47" s="439" t="s">
        <v>306</v>
      </c>
      <c r="C47" s="175"/>
      <c r="D47" s="176">
        <f>D45+D38</f>
        <v>36000</v>
      </c>
      <c r="E47" s="176">
        <f t="shared" ref="E47:N47" si="11">E45+E38</f>
        <v>191903.83416097239</v>
      </c>
      <c r="F47" s="176">
        <f t="shared" si="11"/>
        <v>0</v>
      </c>
      <c r="G47" s="176">
        <f t="shared" si="11"/>
        <v>0</v>
      </c>
      <c r="H47" s="176">
        <f t="shared" si="11"/>
        <v>36000</v>
      </c>
      <c r="I47" s="176">
        <f t="shared" si="11"/>
        <v>36000</v>
      </c>
      <c r="J47" s="176">
        <f t="shared" si="11"/>
        <v>191903.83416097239</v>
      </c>
      <c r="K47" s="176">
        <f t="shared" si="11"/>
        <v>191903.83416097239</v>
      </c>
      <c r="L47" s="176">
        <f t="shared" si="11"/>
        <v>0</v>
      </c>
      <c r="M47" s="176">
        <f t="shared" si="11"/>
        <v>22500</v>
      </c>
      <c r="N47" s="176">
        <f t="shared" si="11"/>
        <v>78750</v>
      </c>
    </row>
    <row r="48" spans="2:19" ht="12.75" customHeight="1"/>
    <row r="49" spans="2:21" ht="12.75" customHeight="1">
      <c r="B49" s="1023" t="s">
        <v>357</v>
      </c>
      <c r="C49" s="1221"/>
      <c r="D49" s="1221"/>
      <c r="E49" s="1221"/>
      <c r="F49" s="1221"/>
      <c r="G49" s="1221"/>
      <c r="H49" s="1221"/>
      <c r="I49" s="1221"/>
      <c r="J49" s="1221"/>
      <c r="K49" s="1221"/>
      <c r="L49" s="1221"/>
      <c r="M49" s="1221"/>
      <c r="N49" s="1222"/>
    </row>
    <row r="50" spans="2:21" ht="8.1" customHeight="1"/>
    <row r="51" spans="2:21" ht="12.75" customHeight="1">
      <c r="B51" s="405" t="s">
        <v>349</v>
      </c>
      <c r="D51" s="406">
        <f>D23</f>
        <v>450000</v>
      </c>
      <c r="E51" s="406">
        <f t="shared" ref="E51:N51" si="12">E23</f>
        <v>750000</v>
      </c>
      <c r="F51" s="406">
        <f t="shared" si="12"/>
        <v>450000</v>
      </c>
      <c r="G51" s="406">
        <f t="shared" si="12"/>
        <v>225000</v>
      </c>
      <c r="H51" s="406">
        <f t="shared" si="12"/>
        <v>1000000</v>
      </c>
      <c r="I51" s="406">
        <f t="shared" si="12"/>
        <v>500000</v>
      </c>
      <c r="J51" s="406">
        <f t="shared" si="12"/>
        <v>2000000</v>
      </c>
      <c r="K51" s="406">
        <f t="shared" si="12"/>
        <v>1000000</v>
      </c>
      <c r="L51" s="406">
        <f t="shared" si="12"/>
        <v>55099.987999999998</v>
      </c>
      <c r="M51" s="406">
        <f t="shared" si="12"/>
        <v>105149.98199999999</v>
      </c>
      <c r="N51" s="406">
        <f t="shared" si="12"/>
        <v>161399.98199999999</v>
      </c>
    </row>
    <row r="52" spans="2:21" ht="12.75" customHeight="1">
      <c r="B52" s="2" t="s">
        <v>281</v>
      </c>
      <c r="D52" s="406">
        <f>-MIN(D47,D51)</f>
        <v>-36000</v>
      </c>
      <c r="E52" s="406">
        <f t="shared" ref="E52:M52" si="13">-MIN(E47,E51)</f>
        <v>-191903.83416097239</v>
      </c>
      <c r="F52" s="406">
        <f t="shared" si="13"/>
        <v>0</v>
      </c>
      <c r="G52" s="406">
        <f t="shared" si="13"/>
        <v>0</v>
      </c>
      <c r="H52" s="406">
        <f t="shared" si="13"/>
        <v>-36000</v>
      </c>
      <c r="I52" s="406">
        <f t="shared" si="13"/>
        <v>-36000</v>
      </c>
      <c r="J52" s="406">
        <f t="shared" si="13"/>
        <v>-191903.83416097239</v>
      </c>
      <c r="K52" s="406">
        <f t="shared" si="13"/>
        <v>-191903.83416097239</v>
      </c>
      <c r="L52" s="406">
        <f t="shared" si="13"/>
        <v>0</v>
      </c>
      <c r="M52" s="406">
        <f t="shared" si="13"/>
        <v>-22500</v>
      </c>
      <c r="N52" s="406">
        <f>-MIN(N47,N51)</f>
        <v>-78750</v>
      </c>
    </row>
    <row r="53" spans="2:21" ht="8.1" customHeight="1">
      <c r="B53" s="5"/>
      <c r="C53" s="5"/>
      <c r="D53" s="5"/>
      <c r="E53" s="5"/>
      <c r="F53" s="5"/>
      <c r="G53" s="5"/>
      <c r="H53" s="5"/>
      <c r="I53" s="5"/>
      <c r="J53" s="5"/>
      <c r="K53" s="5"/>
      <c r="L53" s="5"/>
      <c r="M53" s="5"/>
      <c r="N53" s="5"/>
    </row>
    <row r="54" spans="2:21" ht="12.75" customHeight="1">
      <c r="B54" s="1" t="s">
        <v>358</v>
      </c>
      <c r="D54" s="38">
        <f t="shared" ref="D54:N54" si="14">SUM(D51:D52)</f>
        <v>414000</v>
      </c>
      <c r="E54" s="38">
        <f t="shared" si="14"/>
        <v>558096.16583902761</v>
      </c>
      <c r="F54" s="38">
        <f t="shared" si="14"/>
        <v>450000</v>
      </c>
      <c r="G54" s="38">
        <f t="shared" si="14"/>
        <v>225000</v>
      </c>
      <c r="H54" s="38">
        <f t="shared" si="14"/>
        <v>964000</v>
      </c>
      <c r="I54" s="38">
        <f t="shared" si="14"/>
        <v>464000</v>
      </c>
      <c r="J54" s="38">
        <f t="shared" si="14"/>
        <v>1808096.1658390276</v>
      </c>
      <c r="K54" s="38">
        <f t="shared" si="14"/>
        <v>808096.16583902761</v>
      </c>
      <c r="L54" s="38">
        <f t="shared" si="14"/>
        <v>55099.987999999998</v>
      </c>
      <c r="M54" s="38">
        <f t="shared" si="14"/>
        <v>82649.981999999989</v>
      </c>
      <c r="N54" s="38">
        <f t="shared" si="14"/>
        <v>82649.981999999989</v>
      </c>
    </row>
    <row r="55" spans="2:21" ht="8.1" customHeight="1"/>
    <row r="56" spans="2:21" s="78" customFormat="1" ht="12.75" customHeight="1">
      <c r="B56" s="165" t="s">
        <v>1184</v>
      </c>
      <c r="D56" s="274">
        <f>-'Hist BS'!$G$55</f>
        <v>0</v>
      </c>
      <c r="E56" s="274">
        <f>-'Hist BS'!$G$55</f>
        <v>0</v>
      </c>
      <c r="F56" s="274">
        <f>-'Hist BS'!$G$55</f>
        <v>0</v>
      </c>
      <c r="G56" s="274">
        <f>-'Hist BS'!$G$55</f>
        <v>0</v>
      </c>
      <c r="H56" s="274">
        <f>-'Hist BS'!$G$55</f>
        <v>0</v>
      </c>
      <c r="I56" s="274">
        <f>-'Hist BS'!$G$55</f>
        <v>0</v>
      </c>
      <c r="J56" s="274">
        <f>-'Hist BS'!$G$55</f>
        <v>0</v>
      </c>
      <c r="K56" s="274">
        <f>-'Hist BS'!$G$55</f>
        <v>0</v>
      </c>
      <c r="L56" s="274">
        <f>-'Hist BS'!$G$55</f>
        <v>0</v>
      </c>
      <c r="M56" s="274">
        <f>-'Hist BS'!$G$55</f>
        <v>0</v>
      </c>
      <c r="N56" s="274">
        <f>-'Hist BS'!$G$55</f>
        <v>0</v>
      </c>
    </row>
    <row r="57" spans="2:21" ht="8.1" customHeight="1">
      <c r="B57" s="5"/>
      <c r="C57" s="5"/>
      <c r="D57" s="5"/>
      <c r="E57" s="5"/>
      <c r="F57" s="5"/>
      <c r="G57" s="5"/>
      <c r="H57" s="5"/>
      <c r="I57" s="5"/>
      <c r="J57" s="5"/>
      <c r="K57" s="5"/>
      <c r="L57" s="5"/>
      <c r="M57" s="5"/>
    </row>
    <row r="58" spans="2:21" ht="12.75" customHeight="1">
      <c r="B58" s="1" t="s">
        <v>368</v>
      </c>
      <c r="D58" s="38">
        <f>MAX(SUM(D54:D56),0)</f>
        <v>414000</v>
      </c>
      <c r="E58" s="38">
        <f t="shared" ref="E58:N58" si="15">MAX(SUM(E54:E56),0)</f>
        <v>558096.16583902761</v>
      </c>
      <c r="F58" s="38">
        <f t="shared" si="15"/>
        <v>450000</v>
      </c>
      <c r="G58" s="38">
        <f t="shared" si="15"/>
        <v>225000</v>
      </c>
      <c r="H58" s="38">
        <f t="shared" si="15"/>
        <v>964000</v>
      </c>
      <c r="I58" s="38">
        <f t="shared" si="15"/>
        <v>464000</v>
      </c>
      <c r="J58" s="38">
        <f t="shared" si="15"/>
        <v>1808096.1658390276</v>
      </c>
      <c r="K58" s="38">
        <f t="shared" si="15"/>
        <v>808096.16583902761</v>
      </c>
      <c r="L58" s="38">
        <f t="shared" si="15"/>
        <v>55099.987999999998</v>
      </c>
      <c r="M58" s="38">
        <f t="shared" si="15"/>
        <v>82649.981999999989</v>
      </c>
      <c r="N58" s="1658">
        <f t="shared" si="15"/>
        <v>82649.981999999989</v>
      </c>
    </row>
    <row r="59" spans="2:21" ht="8.1" customHeight="1"/>
    <row r="60" spans="2:21" ht="12.75" customHeight="1">
      <c r="B60" s="1" t="s">
        <v>359</v>
      </c>
      <c r="Q60" s="1" t="s">
        <v>326</v>
      </c>
      <c r="U60" s="173" t="s">
        <v>1258</v>
      </c>
    </row>
    <row r="61" spans="2:21" ht="12.75" customHeight="1">
      <c r="B61" s="2" t="str">
        <f>'Cap Table'!D7</f>
        <v>Series A</v>
      </c>
      <c r="D61" s="1659"/>
      <c r="E61" s="1659"/>
      <c r="F61" s="406">
        <f>IF(F$58&lt;$U$61,F$58*$R61,INDEX('PWERM Waterfall n Allocation'!$D19:$K19,0,MATCH(F$58,'PWERM Waterfall n Allocation'!$D$45:$K$45,1)))</f>
        <v>0</v>
      </c>
      <c r="G61" s="406">
        <f>IF(G$58&lt;$U$61,G$58*$R61,INDEX('PWERM Waterfall n Allocation'!$D19:$K19,0,MATCH(G$58,'PWERM Waterfall n Allocation'!$D$45:$K$45,1)))</f>
        <v>0</v>
      </c>
      <c r="H61" s="406">
        <f>IF(H$58&lt;$U$61,H$58*$R61,INDEX('PWERM Waterfall n Allocation'!$D19:$K19,0,MATCH(H$58,'PWERM Waterfall n Allocation'!$D$45:$K$45,1)))</f>
        <v>0</v>
      </c>
      <c r="I61" s="406">
        <f>IF(I$58&lt;$U$61,I$58*$R61,INDEX('PWERM Waterfall n Allocation'!$D19:$K19,0,MATCH(I$58,'PWERM Waterfall n Allocation'!$D$45:$K$45,1)))</f>
        <v>0</v>
      </c>
      <c r="J61" s="406">
        <f>IF(J$58&lt;$U$61,J$58*$R61,INDEX('PWERM Waterfall n Allocation'!$D19:$K19,0,MATCH(J$58,'PWERM Waterfall n Allocation'!$D$45:$K$45,1)))</f>
        <v>0</v>
      </c>
      <c r="K61" s="406">
        <f>IF(K$58&lt;$U$61,K$58*$R61,INDEX('PWERM Waterfall n Allocation'!$D19:$K19,0,MATCH(K$58,'PWERM Waterfall n Allocation'!$D$45:$K$45,1)))</f>
        <v>0</v>
      </c>
      <c r="L61" s="406">
        <f>IF(L$58&lt;$U$61,L$58*$R61,INDEX('PWERM Waterfall n Allocation'!$D19:$K19,0,MATCH(L$58,'PWERM Waterfall n Allocation'!$D$45:$K$45,1)))</f>
        <v>22025</v>
      </c>
      <c r="M61" s="406">
        <f>IF(M$58&lt;$U$61,M$58*$R61,INDEX('PWERM Waterfall n Allocation'!$D19:$K19,0,MATCH(M$58,'PWERM Waterfall n Allocation'!$D$45:$K$45,1)))</f>
        <v>33037.5</v>
      </c>
      <c r="N61" s="406">
        <f>IF(N$58&lt;$U$61,N$58*$R61,INDEX('PWERM Waterfall n Allocation'!$D19:$K19,0,MATCH(N$58,'PWERM Waterfall n Allocation'!$D$45:$K$45,1)))</f>
        <v>33037.5</v>
      </c>
      <c r="Q61" s="454">
        <f t="array" ref="Q61:Q64">TRANSPOSE('Econ Rights'!D16:G16)</f>
        <v>44050</v>
      </c>
      <c r="R61" s="412">
        <f>+Q61/$Q$66</f>
        <v>0.39972785475016803</v>
      </c>
      <c r="U61" s="454">
        <f>+'PWERM Waterfall n Allocation'!D45</f>
        <v>110199.976</v>
      </c>
    </row>
    <row r="62" spans="2:21" ht="12.75" customHeight="1">
      <c r="B62" s="2" t="str">
        <f>'Cap Table'!E7</f>
        <v>Series B Tranche I</v>
      </c>
      <c r="D62" s="1659"/>
      <c r="E62" s="1659"/>
      <c r="F62" s="406">
        <f>IF(F$58&lt;$U$61,F$58*$R62,INDEX('PWERM Waterfall n Allocation'!$D20:$K20,0,MATCH(F$58,'PWERM Waterfall n Allocation'!$D$45:$K$45,1)))</f>
        <v>0</v>
      </c>
      <c r="G62" s="406">
        <f>IF(G$58&lt;$U$61,G$58*$R62,INDEX('PWERM Waterfall n Allocation'!$D20:$K20,0,MATCH(G$58,'PWERM Waterfall n Allocation'!$D$45:$K$45,1)))</f>
        <v>0</v>
      </c>
      <c r="H62" s="406">
        <f>IF(H$58&lt;$U$61,H$58*$R62,INDEX('PWERM Waterfall n Allocation'!$D20:$K20,0,MATCH(H$58,'PWERM Waterfall n Allocation'!$D$45:$K$45,1)))</f>
        <v>0</v>
      </c>
      <c r="I62" s="406">
        <f>IF(I$58&lt;$U$61,I$58*$R62,INDEX('PWERM Waterfall n Allocation'!$D20:$K20,0,MATCH(I$58,'PWERM Waterfall n Allocation'!$D$45:$K$45,1)))</f>
        <v>0</v>
      </c>
      <c r="J62" s="406">
        <f>IF(J$58&lt;$U$61,J$58*$R62,INDEX('PWERM Waterfall n Allocation'!$D20:$K20,0,MATCH(J$58,'PWERM Waterfall n Allocation'!$D$45:$K$45,1)))</f>
        <v>0</v>
      </c>
      <c r="K62" s="406">
        <f>IF(K$58&lt;$U$61,K$58*$R62,INDEX('PWERM Waterfall n Allocation'!$D20:$K20,0,MATCH(K$58,'PWERM Waterfall n Allocation'!$D$45:$K$45,1)))</f>
        <v>0</v>
      </c>
      <c r="L62" s="406">
        <f>IF(L$58&lt;$U$61,L$58*$R62,INDEX('PWERM Waterfall n Allocation'!$D20:$K20,0,MATCH(L$58,'PWERM Waterfall n Allocation'!$D$45:$K$45,1)))</f>
        <v>11024.995999999999</v>
      </c>
      <c r="M62" s="406">
        <f>IF(M$58&lt;$U$61,M$58*$R62,INDEX('PWERM Waterfall n Allocation'!$D20:$K20,0,MATCH(M$58,'PWERM Waterfall n Allocation'!$D$45:$K$45,1)))</f>
        <v>16537.493999999999</v>
      </c>
      <c r="N62" s="406">
        <f>IF(N$58&lt;$U$61,N$58*$R62,INDEX('PWERM Waterfall n Allocation'!$D20:$K20,0,MATCH(N$58,'PWERM Waterfall n Allocation'!$D$45:$K$45,1)))</f>
        <v>16537.493999999999</v>
      </c>
      <c r="Q62" s="454">
        <v>22049.991999999998</v>
      </c>
      <c r="R62" s="412">
        <f>+Q62/$Q$66</f>
        <v>0.20009071508327733</v>
      </c>
    </row>
    <row r="63" spans="2:21" ht="12.75" customHeight="1">
      <c r="B63" s="2" t="str">
        <f>'Cap Table'!F7</f>
        <v>Series B Tranche II</v>
      </c>
      <c r="D63" s="1659"/>
      <c r="E63" s="1659"/>
      <c r="F63" s="406">
        <f>IF(F$58&lt;$U$61,F$58*$R63,INDEX('PWERM Waterfall n Allocation'!$D21:$K21,0,MATCH(F$58,'PWERM Waterfall n Allocation'!$D$45:$K$45,1)))</f>
        <v>0</v>
      </c>
      <c r="G63" s="406">
        <f>IF(G$58&lt;$U$61,G$58*$R63,INDEX('PWERM Waterfall n Allocation'!$D21:$K21,0,MATCH(G$58,'PWERM Waterfall n Allocation'!$D$45:$K$45,1)))</f>
        <v>0</v>
      </c>
      <c r="H63" s="406">
        <f>IF(H$58&lt;$U$61,H$58*$R63,INDEX('PWERM Waterfall n Allocation'!$D21:$K21,0,MATCH(H$58,'PWERM Waterfall n Allocation'!$D$45:$K$45,1)))</f>
        <v>0</v>
      </c>
      <c r="I63" s="406">
        <f>IF(I$58&lt;$U$61,I$58*$R63,INDEX('PWERM Waterfall n Allocation'!$D21:$K21,0,MATCH(I$58,'PWERM Waterfall n Allocation'!$D$45:$K$45,1)))</f>
        <v>0</v>
      </c>
      <c r="J63" s="406">
        <f>IF(J$58&lt;$U$61,J$58*$R63,INDEX('PWERM Waterfall n Allocation'!$D21:$K21,0,MATCH(J$58,'PWERM Waterfall n Allocation'!$D$45:$K$45,1)))</f>
        <v>0</v>
      </c>
      <c r="K63" s="406">
        <f>IF(K$58&lt;$U$61,K$58*$R63,INDEX('PWERM Waterfall n Allocation'!$D21:$K21,0,MATCH(K$58,'PWERM Waterfall n Allocation'!$D$45:$K$45,1)))</f>
        <v>0</v>
      </c>
      <c r="L63" s="406">
        <f>IF(L$58&lt;$U$61,L$58*$R63,INDEX('PWERM Waterfall n Allocation'!$D21:$K21,0,MATCH(L$58,'PWERM Waterfall n Allocation'!$D$45:$K$45,1)))</f>
        <v>11024.995999999999</v>
      </c>
      <c r="M63" s="406">
        <f>IF(M$58&lt;$U$61,M$58*$R63,INDEX('PWERM Waterfall n Allocation'!$D21:$K21,0,MATCH(M$58,'PWERM Waterfall n Allocation'!$D$45:$K$45,1)))</f>
        <v>16537.493999999999</v>
      </c>
      <c r="N63" s="406">
        <f>IF(N$58&lt;$U$61,N$58*$R63,INDEX('PWERM Waterfall n Allocation'!$D21:$K21,0,MATCH(N$58,'PWERM Waterfall n Allocation'!$D$45:$K$45,1)))</f>
        <v>16537.493999999999</v>
      </c>
      <c r="Q63" s="454">
        <v>22049.991999999998</v>
      </c>
      <c r="R63" s="412">
        <f>+Q63/$Q$66</f>
        <v>0.20009071508327733</v>
      </c>
    </row>
    <row r="64" spans="2:21" ht="12.75" customHeight="1">
      <c r="B64" s="2" t="str">
        <f>'Cap Table'!G7</f>
        <v>Series B Tranche III</v>
      </c>
      <c r="D64" s="1659"/>
      <c r="E64" s="1659"/>
      <c r="F64" s="406">
        <f>IF(F$58&lt;$U$61,F$58*$R64,INDEX('PWERM Waterfall n Allocation'!$D22:$K22,0,MATCH(F$58,'PWERM Waterfall n Allocation'!$D$45:$K$45,1)))</f>
        <v>0</v>
      </c>
      <c r="G64" s="406">
        <f>IF(G$58&lt;$U$61,G$58*$R64,INDEX('PWERM Waterfall n Allocation'!$D22:$K22,0,MATCH(G$58,'PWERM Waterfall n Allocation'!$D$45:$K$45,1)))</f>
        <v>0</v>
      </c>
      <c r="H64" s="406">
        <f>IF(H$58&lt;$U$61,H$58*$R64,INDEX('PWERM Waterfall n Allocation'!$D22:$K22,0,MATCH(H$58,'PWERM Waterfall n Allocation'!$D$45:$K$45,1)))</f>
        <v>0</v>
      </c>
      <c r="I64" s="406">
        <f>IF(I$58&lt;$U$61,I$58*$R64,INDEX('PWERM Waterfall n Allocation'!$D22:$K22,0,MATCH(I$58,'PWERM Waterfall n Allocation'!$D$45:$K$45,1)))</f>
        <v>0</v>
      </c>
      <c r="J64" s="406">
        <f>IF(J$58&lt;$U$61,J$58*$R64,INDEX('PWERM Waterfall n Allocation'!$D22:$K22,0,MATCH(J$58,'PWERM Waterfall n Allocation'!$D$45:$K$45,1)))</f>
        <v>0</v>
      </c>
      <c r="K64" s="406">
        <f>IF(K$58&lt;$U$61,K$58*$R64,INDEX('PWERM Waterfall n Allocation'!$D22:$K22,0,MATCH(K$58,'PWERM Waterfall n Allocation'!$D$45:$K$45,1)))</f>
        <v>0</v>
      </c>
      <c r="L64" s="406">
        <f>IF(L$58&lt;$U$61,L$58*$R64,INDEX('PWERM Waterfall n Allocation'!$D22:$K22,0,MATCH(L$58,'PWERM Waterfall n Allocation'!$D$45:$K$45,1)))</f>
        <v>11024.995999999999</v>
      </c>
      <c r="M64" s="406">
        <f>IF(M$58&lt;$U$61,M$58*$R64,INDEX('PWERM Waterfall n Allocation'!$D22:$K22,0,MATCH(M$58,'PWERM Waterfall n Allocation'!$D$45:$K$45,1)))</f>
        <v>16537.493999999999</v>
      </c>
      <c r="N64" s="406">
        <f>IF(N$58&lt;$U$61,N$58*$R64,INDEX('PWERM Waterfall n Allocation'!$D22:$K22,0,MATCH(N$58,'PWERM Waterfall n Allocation'!$D$45:$K$45,1)))</f>
        <v>16537.493999999999</v>
      </c>
      <c r="Q64" s="454">
        <v>22049.991999999998</v>
      </c>
      <c r="R64" s="412">
        <f>+Q64/$Q$66</f>
        <v>0.20009071508327733</v>
      </c>
    </row>
    <row r="65" spans="2:18" ht="8.1" customHeight="1">
      <c r="B65" s="5"/>
      <c r="C65" s="5"/>
      <c r="D65" s="5"/>
      <c r="E65" s="5"/>
      <c r="F65" s="5"/>
      <c r="G65" s="5"/>
      <c r="H65" s="5"/>
      <c r="I65" s="5"/>
      <c r="J65" s="5"/>
      <c r="K65" s="5"/>
      <c r="L65" s="5"/>
      <c r="M65" s="5"/>
      <c r="N65" s="5"/>
      <c r="R65" s="412"/>
    </row>
    <row r="66" spans="2:18" ht="12.75" customHeight="1">
      <c r="B66" s="1" t="s">
        <v>160</v>
      </c>
      <c r="D66" s="38">
        <f t="shared" ref="D66:N66" si="16">SUM(D61:D64)</f>
        <v>0</v>
      </c>
      <c r="E66" s="38">
        <f t="shared" si="16"/>
        <v>0</v>
      </c>
      <c r="F66" s="38">
        <f t="shared" si="16"/>
        <v>0</v>
      </c>
      <c r="G66" s="38">
        <f t="shared" si="16"/>
        <v>0</v>
      </c>
      <c r="H66" s="38">
        <f t="shared" si="16"/>
        <v>0</v>
      </c>
      <c r="I66" s="38">
        <f t="shared" si="16"/>
        <v>0</v>
      </c>
      <c r="J66" s="38">
        <f t="shared" si="16"/>
        <v>0</v>
      </c>
      <c r="K66" s="38">
        <f t="shared" si="16"/>
        <v>0</v>
      </c>
      <c r="L66" s="38">
        <f t="shared" si="16"/>
        <v>55099.987999999998</v>
      </c>
      <c r="M66" s="38">
        <f t="shared" si="16"/>
        <v>82649.981999999989</v>
      </c>
      <c r="N66" s="38">
        <f t="shared" si="16"/>
        <v>82649.981999999989</v>
      </c>
      <c r="Q66" s="885">
        <f>SUM(Q61:Q64)</f>
        <v>110199.976</v>
      </c>
      <c r="R66" s="886">
        <f>SUM(R61:R64)</f>
        <v>1</v>
      </c>
    </row>
    <row r="67" spans="2:18" ht="8.1" customHeight="1"/>
    <row r="68" spans="2:18" ht="12.75" customHeight="1">
      <c r="B68" s="1" t="s">
        <v>360</v>
      </c>
      <c r="C68" s="1"/>
      <c r="D68" s="38">
        <f t="shared" ref="D68:N68" si="17">D58-D66</f>
        <v>414000</v>
      </c>
      <c r="E68" s="38">
        <f t="shared" si="17"/>
        <v>558096.16583902761</v>
      </c>
      <c r="F68" s="38">
        <f t="shared" si="17"/>
        <v>450000</v>
      </c>
      <c r="G68" s="38">
        <f t="shared" si="17"/>
        <v>225000</v>
      </c>
      <c r="H68" s="38">
        <f t="shared" si="17"/>
        <v>964000</v>
      </c>
      <c r="I68" s="38">
        <f t="shared" si="17"/>
        <v>464000</v>
      </c>
      <c r="J68" s="38">
        <f t="shared" si="17"/>
        <v>1808096.1658390276</v>
      </c>
      <c r="K68" s="38">
        <f t="shared" si="17"/>
        <v>808096.16583902761</v>
      </c>
      <c r="L68" s="38">
        <f t="shared" si="17"/>
        <v>0</v>
      </c>
      <c r="M68" s="38">
        <f t="shared" si="17"/>
        <v>0</v>
      </c>
      <c r="N68" s="38">
        <f t="shared" si="17"/>
        <v>0</v>
      </c>
    </row>
    <row r="69" spans="2:18" ht="8.1" customHeight="1"/>
    <row r="70" spans="2:18" ht="12.75" customHeight="1">
      <c r="B70" s="1" t="s">
        <v>361</v>
      </c>
      <c r="Q70" s="454" t="s">
        <v>262</v>
      </c>
      <c r="R70" s="41" t="s">
        <v>2089</v>
      </c>
    </row>
    <row r="71" spans="2:18" ht="12.75" customHeight="1">
      <c r="B71" s="165" t="str">
        <f>+$B61</f>
        <v>Series A</v>
      </c>
      <c r="D71" s="406">
        <f>$Q71</f>
        <v>44050</v>
      </c>
      <c r="E71" s="406">
        <f>$Q71</f>
        <v>44050</v>
      </c>
      <c r="F71" s="406">
        <f>IF(F$58&gt;$R71,$Q71,0)</f>
        <v>44050</v>
      </c>
      <c r="G71" s="406">
        <f t="shared" ref="G71:N79" si="18">IF(G$58&gt;$R71,$Q71,0)</f>
        <v>44050</v>
      </c>
      <c r="H71" s="406">
        <f t="shared" si="18"/>
        <v>44050</v>
      </c>
      <c r="I71" s="406">
        <f t="shared" si="18"/>
        <v>44050</v>
      </c>
      <c r="J71" s="406">
        <f t="shared" si="18"/>
        <v>44050</v>
      </c>
      <c r="K71" s="406">
        <f t="shared" si="18"/>
        <v>44050</v>
      </c>
      <c r="L71" s="406">
        <f t="shared" si="18"/>
        <v>0</v>
      </c>
      <c r="M71" s="406">
        <f t="shared" si="18"/>
        <v>0</v>
      </c>
      <c r="N71" s="406">
        <f t="shared" si="18"/>
        <v>0</v>
      </c>
      <c r="Q71" s="454">
        <f>'PWERM Waterfall n Allocation'!O27</f>
        <v>44050</v>
      </c>
      <c r="R71" s="454">
        <f>'PWERM Waterfall n Allocation'!J45</f>
        <v>128858.96843360824</v>
      </c>
    </row>
    <row r="72" spans="2:18" ht="12.75" customHeight="1">
      <c r="B72" s="165" t="str">
        <f>+$B62</f>
        <v>Series B Tranche I</v>
      </c>
      <c r="D72" s="406">
        <f t="shared" ref="D72:E79" si="19">$Q72</f>
        <v>11024.995999999999</v>
      </c>
      <c r="E72" s="406">
        <f t="shared" si="19"/>
        <v>11024.995999999999</v>
      </c>
      <c r="F72" s="406">
        <f t="shared" ref="F72:F79" si="20">IF(F$58&gt;$R72,$Q72,0)</f>
        <v>11024.995999999999</v>
      </c>
      <c r="G72" s="406">
        <f t="shared" si="18"/>
        <v>11024.995999999999</v>
      </c>
      <c r="H72" s="406">
        <f t="shared" si="18"/>
        <v>11024.995999999999</v>
      </c>
      <c r="I72" s="406">
        <f t="shared" si="18"/>
        <v>11024.995999999999</v>
      </c>
      <c r="J72" s="406">
        <f t="shared" si="18"/>
        <v>11024.995999999999</v>
      </c>
      <c r="K72" s="406">
        <f t="shared" si="18"/>
        <v>11024.995999999999</v>
      </c>
      <c r="L72" s="406">
        <f t="shared" si="18"/>
        <v>0</v>
      </c>
      <c r="M72" s="406">
        <f t="shared" si="18"/>
        <v>0</v>
      </c>
      <c r="N72" s="406">
        <f t="shared" si="18"/>
        <v>0</v>
      </c>
      <c r="Q72" s="454">
        <f>'PWERM Waterfall n Allocation'!O28</f>
        <v>11024.995999999999</v>
      </c>
      <c r="R72" s="454">
        <f>'PWERM Waterfall n Allocation'!K45</f>
        <v>192999.76740268039</v>
      </c>
    </row>
    <row r="73" spans="2:18" ht="12.75" customHeight="1">
      <c r="B73" s="165" t="str">
        <f>+$B63</f>
        <v>Series B Tranche II</v>
      </c>
      <c r="D73" s="406">
        <f t="shared" si="19"/>
        <v>11024.995999999999</v>
      </c>
      <c r="E73" s="406">
        <f t="shared" si="19"/>
        <v>11024.995999999999</v>
      </c>
      <c r="F73" s="406">
        <f t="shared" si="20"/>
        <v>11024.995999999999</v>
      </c>
      <c r="G73" s="406">
        <f t="shared" si="18"/>
        <v>11024.995999999999</v>
      </c>
      <c r="H73" s="406">
        <f t="shared" si="18"/>
        <v>11024.995999999999</v>
      </c>
      <c r="I73" s="406">
        <f t="shared" si="18"/>
        <v>11024.995999999999</v>
      </c>
      <c r="J73" s="406">
        <f t="shared" si="18"/>
        <v>11024.995999999999</v>
      </c>
      <c r="K73" s="406">
        <f t="shared" si="18"/>
        <v>11024.995999999999</v>
      </c>
      <c r="L73" s="406">
        <f t="shared" si="18"/>
        <v>0</v>
      </c>
      <c r="M73" s="406">
        <f t="shared" si="18"/>
        <v>0</v>
      </c>
      <c r="N73" s="406">
        <f t="shared" si="18"/>
        <v>0</v>
      </c>
      <c r="Q73" s="454">
        <f>'PWERM Waterfall n Allocation'!O29</f>
        <v>11024.995999999999</v>
      </c>
      <c r="R73" s="454">
        <f>R72</f>
        <v>192999.76740268039</v>
      </c>
    </row>
    <row r="74" spans="2:18" ht="12.75" customHeight="1">
      <c r="B74" s="165" t="str">
        <f>+$B64</f>
        <v>Series B Tranche III</v>
      </c>
      <c r="D74" s="406">
        <f t="shared" si="19"/>
        <v>11024.995999999999</v>
      </c>
      <c r="E74" s="406">
        <f t="shared" si="19"/>
        <v>11024.995999999999</v>
      </c>
      <c r="F74" s="406">
        <f t="shared" si="20"/>
        <v>11024.995999999999</v>
      </c>
      <c r="G74" s="406">
        <f t="shared" si="18"/>
        <v>11024.995999999999</v>
      </c>
      <c r="H74" s="406">
        <f t="shared" si="18"/>
        <v>11024.995999999999</v>
      </c>
      <c r="I74" s="406">
        <f t="shared" si="18"/>
        <v>11024.995999999999</v>
      </c>
      <c r="J74" s="406">
        <f t="shared" si="18"/>
        <v>11024.995999999999</v>
      </c>
      <c r="K74" s="406">
        <f t="shared" si="18"/>
        <v>11024.995999999999</v>
      </c>
      <c r="L74" s="406">
        <f t="shared" si="18"/>
        <v>0</v>
      </c>
      <c r="M74" s="406">
        <f t="shared" si="18"/>
        <v>0</v>
      </c>
      <c r="N74" s="406">
        <f t="shared" si="18"/>
        <v>0</v>
      </c>
      <c r="Q74" s="454">
        <f>'PWERM Waterfall n Allocation'!O30</f>
        <v>11024.995999999999</v>
      </c>
      <c r="R74" s="454">
        <f>R73</f>
        <v>192999.76740268039</v>
      </c>
    </row>
    <row r="75" spans="2:18" ht="12.75" customHeight="1">
      <c r="B75" s="329" t="str">
        <f>'PWERM Waterfall n Allocation'!B31</f>
        <v>Options at $0.11 Strike Price</v>
      </c>
      <c r="D75" s="406">
        <f t="shared" si="19"/>
        <v>190</v>
      </c>
      <c r="E75" s="406">
        <f t="shared" si="19"/>
        <v>190</v>
      </c>
      <c r="F75" s="406">
        <f t="shared" si="20"/>
        <v>190</v>
      </c>
      <c r="G75" s="406">
        <f t="shared" si="18"/>
        <v>190</v>
      </c>
      <c r="H75" s="406">
        <f t="shared" si="18"/>
        <v>190</v>
      </c>
      <c r="I75" s="406">
        <f t="shared" si="18"/>
        <v>190</v>
      </c>
      <c r="J75" s="406">
        <f t="shared" si="18"/>
        <v>190</v>
      </c>
      <c r="K75" s="406">
        <f t="shared" si="18"/>
        <v>190</v>
      </c>
      <c r="L75" s="406">
        <f t="shared" si="18"/>
        <v>0</v>
      </c>
      <c r="M75" s="406">
        <f t="shared" si="18"/>
        <v>0</v>
      </c>
      <c r="N75" s="406">
        <f t="shared" si="18"/>
        <v>0</v>
      </c>
      <c r="Q75" s="454">
        <f>'PWERM Waterfall n Allocation'!O31</f>
        <v>190</v>
      </c>
      <c r="R75" s="454">
        <f t="array" ref="R75:R78">TRANSPOSE('PWERM Waterfall n Allocation'!F45:I45)</f>
        <v>111995.95105999999</v>
      </c>
    </row>
    <row r="76" spans="2:18" ht="12.75" customHeight="1">
      <c r="B76" s="329" t="str">
        <f>'PWERM Waterfall n Allocation'!B32</f>
        <v>Options at $0.13 Strike Price</v>
      </c>
      <c r="D76" s="406">
        <f t="shared" si="19"/>
        <v>620.404</v>
      </c>
      <c r="E76" s="406">
        <f t="shared" si="19"/>
        <v>620.404</v>
      </c>
      <c r="F76" s="406">
        <f t="shared" si="20"/>
        <v>620.404</v>
      </c>
      <c r="G76" s="406">
        <f t="shared" si="18"/>
        <v>620.404</v>
      </c>
      <c r="H76" s="406">
        <f t="shared" si="18"/>
        <v>620.404</v>
      </c>
      <c r="I76" s="406">
        <f t="shared" si="18"/>
        <v>620.404</v>
      </c>
      <c r="J76" s="406">
        <f t="shared" si="18"/>
        <v>620.404</v>
      </c>
      <c r="K76" s="406">
        <f t="shared" si="18"/>
        <v>620.404</v>
      </c>
      <c r="L76" s="406">
        <f t="shared" si="18"/>
        <v>0</v>
      </c>
      <c r="M76" s="406">
        <f t="shared" si="18"/>
        <v>0</v>
      </c>
      <c r="N76" s="406">
        <f t="shared" si="18"/>
        <v>0</v>
      </c>
      <c r="Q76" s="454">
        <f>'PWERM Waterfall n Allocation'!O32</f>
        <v>620.404</v>
      </c>
      <c r="R76" s="454">
        <v>112326.29197999999</v>
      </c>
    </row>
    <row r="77" spans="2:18" ht="12.75" customHeight="1">
      <c r="B77" s="329" t="str">
        <f>'PWERM Waterfall n Allocation'!B33</f>
        <v>Options at $0.40 Strike Price</v>
      </c>
      <c r="D77" s="406">
        <f t="shared" si="19"/>
        <v>826</v>
      </c>
      <c r="E77" s="406">
        <f t="shared" si="19"/>
        <v>826</v>
      </c>
      <c r="F77" s="406">
        <f t="shared" si="20"/>
        <v>826</v>
      </c>
      <c r="G77" s="406">
        <f t="shared" si="18"/>
        <v>826</v>
      </c>
      <c r="H77" s="406">
        <f t="shared" si="18"/>
        <v>826</v>
      </c>
      <c r="I77" s="406">
        <f t="shared" si="18"/>
        <v>826</v>
      </c>
      <c r="J77" s="406">
        <f t="shared" si="18"/>
        <v>826</v>
      </c>
      <c r="K77" s="406">
        <f t="shared" si="18"/>
        <v>826</v>
      </c>
      <c r="L77" s="406">
        <f t="shared" si="18"/>
        <v>0</v>
      </c>
      <c r="M77" s="406">
        <f t="shared" si="18"/>
        <v>0</v>
      </c>
      <c r="N77" s="406">
        <f t="shared" si="18"/>
        <v>0</v>
      </c>
      <c r="Q77" s="454">
        <f>'PWERM Waterfall n Allocation'!O33</f>
        <v>826</v>
      </c>
      <c r="R77" s="454">
        <v>116953.40347999999</v>
      </c>
    </row>
    <row r="78" spans="2:18" ht="12.75" customHeight="1">
      <c r="B78" s="329" t="str">
        <f>'PWERM Waterfall n Allocation'!B34</f>
        <v>Expected Options Grant</v>
      </c>
      <c r="D78" s="406">
        <f t="shared" si="19"/>
        <v>2127.3489690721649</v>
      </c>
      <c r="E78" s="406">
        <f t="shared" si="19"/>
        <v>2127.3489690721649</v>
      </c>
      <c r="F78" s="406">
        <f t="shared" si="20"/>
        <v>2127.3489690721649</v>
      </c>
      <c r="G78" s="406">
        <f t="shared" si="18"/>
        <v>2127.3489690721649</v>
      </c>
      <c r="H78" s="406">
        <f t="shared" si="18"/>
        <v>2127.3489690721649</v>
      </c>
      <c r="I78" s="406">
        <f t="shared" si="18"/>
        <v>2127.3489690721649</v>
      </c>
      <c r="J78" s="406">
        <f t="shared" si="18"/>
        <v>2127.3489690721649</v>
      </c>
      <c r="K78" s="406">
        <f t="shared" si="18"/>
        <v>2127.3489690721649</v>
      </c>
      <c r="L78" s="406">
        <f t="shared" si="18"/>
        <v>0</v>
      </c>
      <c r="M78" s="406">
        <f t="shared" si="18"/>
        <v>0</v>
      </c>
      <c r="N78" s="406">
        <f t="shared" si="18"/>
        <v>0</v>
      </c>
      <c r="Q78" s="454">
        <f>'PWERM Waterfall n Allocation'!O34</f>
        <v>2127.3489690721649</v>
      </c>
      <c r="R78" s="454">
        <v>118210.84497999999</v>
      </c>
    </row>
    <row r="79" spans="2:18" ht="12.75" customHeight="1">
      <c r="B79" s="329" t="str">
        <f>'PWERM Waterfall n Allocation'!B35</f>
        <v>Common</v>
      </c>
      <c r="D79" s="406">
        <f t="shared" si="19"/>
        <v>16327.046</v>
      </c>
      <c r="E79" s="406">
        <f t="shared" si="19"/>
        <v>16327.046</v>
      </c>
      <c r="F79" s="406">
        <f t="shared" si="20"/>
        <v>16327.046</v>
      </c>
      <c r="G79" s="406">
        <f t="shared" si="18"/>
        <v>16327.046</v>
      </c>
      <c r="H79" s="406">
        <f t="shared" si="18"/>
        <v>16327.046</v>
      </c>
      <c r="I79" s="406">
        <f t="shared" si="18"/>
        <v>16327.046</v>
      </c>
      <c r="J79" s="406">
        <f t="shared" si="18"/>
        <v>16327.046</v>
      </c>
      <c r="K79" s="406">
        <f t="shared" si="18"/>
        <v>16327.046</v>
      </c>
      <c r="L79" s="406">
        <f t="shared" si="18"/>
        <v>0</v>
      </c>
      <c r="M79" s="406">
        <f t="shared" si="18"/>
        <v>0</v>
      </c>
      <c r="N79" s="406">
        <f t="shared" si="18"/>
        <v>0</v>
      </c>
      <c r="Q79" s="454">
        <f>'PWERM Waterfall n Allocation'!O35</f>
        <v>16327.046</v>
      </c>
      <c r="R79" s="454">
        <f>'PWERM Waterfall n Allocation'!E45</f>
        <v>110199.976</v>
      </c>
    </row>
    <row r="80" spans="2:18" ht="8.1" customHeight="1">
      <c r="B80" s="5"/>
      <c r="C80" s="5"/>
      <c r="D80" s="5"/>
      <c r="E80" s="5"/>
      <c r="F80" s="5"/>
      <c r="G80" s="5"/>
      <c r="H80" s="5"/>
      <c r="I80" s="5"/>
      <c r="J80" s="5"/>
      <c r="K80" s="5"/>
      <c r="L80" s="5"/>
      <c r="M80" s="5"/>
      <c r="N80" s="5"/>
    </row>
    <row r="81" spans="2:18" ht="12.75" customHeight="1">
      <c r="B81" s="178" t="s">
        <v>160</v>
      </c>
      <c r="D81" s="38">
        <f t="shared" ref="D81:N81" si="21">SUM(D71:D79)</f>
        <v>97215.786969072156</v>
      </c>
      <c r="E81" s="38">
        <f t="shared" si="21"/>
        <v>97215.786969072156</v>
      </c>
      <c r="F81" s="38">
        <f t="shared" si="21"/>
        <v>97215.786969072156</v>
      </c>
      <c r="G81" s="38">
        <f t="shared" si="21"/>
        <v>97215.786969072156</v>
      </c>
      <c r="H81" s="38">
        <f t="shared" si="21"/>
        <v>97215.786969072156</v>
      </c>
      <c r="I81" s="38">
        <f t="shared" si="21"/>
        <v>97215.786969072156</v>
      </c>
      <c r="J81" s="38">
        <f t="shared" si="21"/>
        <v>97215.786969072156</v>
      </c>
      <c r="K81" s="38">
        <f t="shared" si="21"/>
        <v>97215.786969072156</v>
      </c>
      <c r="L81" s="38">
        <f t="shared" si="21"/>
        <v>0</v>
      </c>
      <c r="M81" s="38">
        <f t="shared" si="21"/>
        <v>0</v>
      </c>
      <c r="N81" s="38">
        <f t="shared" si="21"/>
        <v>0</v>
      </c>
    </row>
    <row r="82" spans="2:18" ht="8.1" customHeight="1"/>
    <row r="83" spans="2:18" ht="12.75" customHeight="1">
      <c r="B83" s="2" t="s">
        <v>369</v>
      </c>
      <c r="D83" s="406">
        <f t="shared" ref="D83:N83" si="22">SUMPRODUCT(D75:D78,$R$91:$R$94)</f>
        <v>1431.8065354639175</v>
      </c>
      <c r="E83" s="406">
        <f t="shared" si="22"/>
        <v>1431.8065354639175</v>
      </c>
      <c r="F83" s="406">
        <f t="shared" si="22"/>
        <v>1431.8065354639175</v>
      </c>
      <c r="G83" s="406">
        <f t="shared" si="22"/>
        <v>1431.8065354639175</v>
      </c>
      <c r="H83" s="406">
        <f t="shared" si="22"/>
        <v>1431.8065354639175</v>
      </c>
      <c r="I83" s="406">
        <f t="shared" si="22"/>
        <v>1431.8065354639175</v>
      </c>
      <c r="J83" s="406">
        <f t="shared" si="22"/>
        <v>1431.8065354639175</v>
      </c>
      <c r="K83" s="406">
        <f t="shared" si="22"/>
        <v>1431.8065354639175</v>
      </c>
      <c r="L83" s="406">
        <f t="shared" si="22"/>
        <v>0</v>
      </c>
      <c r="M83" s="406">
        <f t="shared" si="22"/>
        <v>0</v>
      </c>
      <c r="N83" s="406">
        <f t="shared" si="22"/>
        <v>0</v>
      </c>
    </row>
    <row r="84" spans="2:18" ht="8.1" customHeight="1"/>
    <row r="85" spans="2:18" ht="12.75" customHeight="1">
      <c r="B85" s="1023" t="s">
        <v>526</v>
      </c>
      <c r="C85" s="1221"/>
      <c r="D85" s="1221"/>
      <c r="E85" s="1221"/>
      <c r="F85" s="1221"/>
      <c r="G85" s="1221"/>
      <c r="H85" s="1221"/>
      <c r="I85" s="1221"/>
      <c r="J85" s="1221"/>
      <c r="K85" s="1221"/>
      <c r="L85" s="1221"/>
      <c r="M85" s="1221"/>
      <c r="N85" s="2507"/>
    </row>
    <row r="86" spans="2:18" ht="8.1" customHeight="1"/>
    <row r="87" spans="2:18" ht="12.75" customHeight="1">
      <c r="B87" s="2" t="str">
        <f t="shared" ref="B87:B95" si="23">+B71</f>
        <v>Series A</v>
      </c>
      <c r="D87" s="274">
        <f>D61+IF(D71&gt;0,(D$68+D$83)*(D71/D$81),0)</f>
        <v>188238.6765403545</v>
      </c>
      <c r="E87" s="274">
        <f t="shared" ref="E87:N87" si="24">E61+IF(E71&gt;0,(E$68+E$83)*(E71/E$81),0)</f>
        <v>253530.91253519879</v>
      </c>
      <c r="F87" s="274">
        <f t="shared" si="24"/>
        <v>204550.84197604141</v>
      </c>
      <c r="G87" s="274">
        <f t="shared" si="24"/>
        <v>102599.80800299828</v>
      </c>
      <c r="H87" s="274">
        <f t="shared" si="24"/>
        <v>437452.31514112663</v>
      </c>
      <c r="I87" s="274">
        <f t="shared" si="24"/>
        <v>210894.46186769742</v>
      </c>
      <c r="J87" s="274">
        <f t="shared" si="24"/>
        <v>819925.54571877187</v>
      </c>
      <c r="K87" s="274">
        <f t="shared" si="24"/>
        <v>366809.83917191339</v>
      </c>
      <c r="L87" s="274">
        <f t="shared" si="24"/>
        <v>22025</v>
      </c>
      <c r="M87" s="274">
        <f t="shared" si="24"/>
        <v>33037.5</v>
      </c>
      <c r="N87" s="274">
        <f t="shared" si="24"/>
        <v>33037.5</v>
      </c>
    </row>
    <row r="88" spans="2:18" ht="12.75" customHeight="1">
      <c r="B88" s="2" t="str">
        <f t="shared" si="23"/>
        <v>Series B Tranche I</v>
      </c>
      <c r="D88" s="274">
        <f t="shared" ref="D88:N88" si="25">D62+IF(D72&gt;0,(D$68+D$83)*(D72/D$81),0)</f>
        <v>47113.068238426837</v>
      </c>
      <c r="E88" s="274">
        <f t="shared" si="25"/>
        <v>63454.649184492991</v>
      </c>
      <c r="F88" s="274">
        <f t="shared" si="25"/>
        <v>51195.736993927094</v>
      </c>
      <c r="G88" s="274">
        <f t="shared" si="25"/>
        <v>25679.05727205049</v>
      </c>
      <c r="H88" s="274">
        <f t="shared" si="25"/>
        <v>109487.17422523633</v>
      </c>
      <c r="I88" s="274">
        <f t="shared" si="25"/>
        <v>52783.441509954973</v>
      </c>
      <c r="J88" s="274">
        <f t="shared" si="25"/>
        <v>205213.98097269639</v>
      </c>
      <c r="K88" s="274">
        <f t="shared" si="25"/>
        <v>91806.515542133668</v>
      </c>
      <c r="L88" s="274">
        <f t="shared" si="25"/>
        <v>11024.995999999999</v>
      </c>
      <c r="M88" s="274">
        <f t="shared" si="25"/>
        <v>16537.493999999999</v>
      </c>
      <c r="N88" s="274">
        <f t="shared" si="25"/>
        <v>16537.493999999999</v>
      </c>
    </row>
    <row r="89" spans="2:18" ht="12.75" customHeight="1">
      <c r="B89" s="2" t="str">
        <f t="shared" si="23"/>
        <v>Series B Tranche II</v>
      </c>
      <c r="D89" s="274">
        <f t="shared" ref="D89:N89" si="26">D63+IF(D73&gt;0,(D$68+D$83)*(D73/D$81),0)</f>
        <v>47113.068238426837</v>
      </c>
      <c r="E89" s="274">
        <f t="shared" si="26"/>
        <v>63454.649184492991</v>
      </c>
      <c r="F89" s="274">
        <f t="shared" si="26"/>
        <v>51195.736993927094</v>
      </c>
      <c r="G89" s="274">
        <f t="shared" si="26"/>
        <v>25679.05727205049</v>
      </c>
      <c r="H89" s="274">
        <f t="shared" si="26"/>
        <v>109487.17422523633</v>
      </c>
      <c r="I89" s="274">
        <f t="shared" si="26"/>
        <v>52783.441509954973</v>
      </c>
      <c r="J89" s="274">
        <f t="shared" si="26"/>
        <v>205213.98097269639</v>
      </c>
      <c r="K89" s="274">
        <f t="shared" si="26"/>
        <v>91806.515542133668</v>
      </c>
      <c r="L89" s="274">
        <f t="shared" si="26"/>
        <v>11024.995999999999</v>
      </c>
      <c r="M89" s="274">
        <f t="shared" si="26"/>
        <v>16537.493999999999</v>
      </c>
      <c r="N89" s="274">
        <f t="shared" si="26"/>
        <v>16537.493999999999</v>
      </c>
    </row>
    <row r="90" spans="2:18" ht="12.75" customHeight="1">
      <c r="B90" s="2" t="str">
        <f t="shared" si="23"/>
        <v>Series B Tranche III</v>
      </c>
      <c r="D90" s="274">
        <f t="shared" ref="D90:N90" si="27">D64+IF(D74&gt;0,(D$68+D$83)*(D74/D$81),0)</f>
        <v>47113.068238426837</v>
      </c>
      <c r="E90" s="274">
        <f t="shared" si="27"/>
        <v>63454.649184492991</v>
      </c>
      <c r="F90" s="274">
        <f t="shared" si="27"/>
        <v>51195.736993927094</v>
      </c>
      <c r="G90" s="274">
        <f t="shared" si="27"/>
        <v>25679.05727205049</v>
      </c>
      <c r="H90" s="274">
        <f t="shared" si="27"/>
        <v>109487.17422523633</v>
      </c>
      <c r="I90" s="274">
        <f t="shared" si="27"/>
        <v>52783.441509954973</v>
      </c>
      <c r="J90" s="274">
        <f t="shared" si="27"/>
        <v>205213.98097269639</v>
      </c>
      <c r="K90" s="274">
        <f t="shared" si="27"/>
        <v>91806.515542133668</v>
      </c>
      <c r="L90" s="274">
        <f t="shared" si="27"/>
        <v>11024.995999999999</v>
      </c>
      <c r="M90" s="274">
        <f t="shared" si="27"/>
        <v>16537.493999999999</v>
      </c>
      <c r="N90" s="274">
        <f t="shared" si="27"/>
        <v>16537.493999999999</v>
      </c>
      <c r="R90" s="333" t="s">
        <v>82</v>
      </c>
    </row>
    <row r="91" spans="2:18" ht="12.75" customHeight="1">
      <c r="B91" s="2" t="str">
        <f t="shared" si="23"/>
        <v>Options at $0.11 Strike Price</v>
      </c>
      <c r="D91" s="274">
        <f>IF(D72&gt;0,(D$68+D$83)*(D75/D$81)-(D75*$R91),0)</f>
        <v>791.02618712071194</v>
      </c>
      <c r="E91" s="274">
        <f t="shared" ref="E91:N91" si="28">IF(E72&gt;0,(E$68+E$83)*(E75/E$81)-(E75*$R91),0)</f>
        <v>1072.6499065082353</v>
      </c>
      <c r="F91" s="274">
        <f t="shared" si="28"/>
        <v>861.38512997611519</v>
      </c>
      <c r="G91" s="274">
        <f t="shared" si="28"/>
        <v>421.64173712984513</v>
      </c>
      <c r="H91" s="274">
        <f t="shared" si="28"/>
        <v>1865.9544807449277</v>
      </c>
      <c r="I91" s="274">
        <f t="shared" si="28"/>
        <v>888.74694108654978</v>
      </c>
      <c r="J91" s="274">
        <f t="shared" si="28"/>
        <v>3515.6687556541806</v>
      </c>
      <c r="K91" s="274">
        <f t="shared" si="28"/>
        <v>1561.2536763374244</v>
      </c>
      <c r="L91" s="274">
        <f t="shared" si="28"/>
        <v>0</v>
      </c>
      <c r="M91" s="274">
        <f t="shared" si="28"/>
        <v>0</v>
      </c>
      <c r="N91" s="274">
        <f t="shared" si="28"/>
        <v>0</v>
      </c>
      <c r="R91" s="1667">
        <f>'PWERM Waterfall n Allocation'!Q31</f>
        <v>0.11</v>
      </c>
    </row>
    <row r="92" spans="2:18" ht="12.75" customHeight="1">
      <c r="B92" s="2" t="str">
        <f t="shared" si="23"/>
        <v>Options at $0.13 Strike Price</v>
      </c>
      <c r="D92" s="274">
        <f t="shared" ref="D92:N92" si="29">IF(D73&gt;0,(D$68+D$83)*(D76/D$81)-(D76*$R92),0)</f>
        <v>2570.5172389180952</v>
      </c>
      <c r="E92" s="274">
        <f t="shared" si="29"/>
        <v>3490.0987231438698</v>
      </c>
      <c r="F92" s="274">
        <f t="shared" si="29"/>
        <v>2800.2591840931668</v>
      </c>
      <c r="G92" s="274">
        <f t="shared" si="29"/>
        <v>1364.3720267489705</v>
      </c>
      <c r="H92" s="274">
        <f t="shared" si="29"/>
        <v>6080.4636235372427</v>
      </c>
      <c r="I92" s="274">
        <f t="shared" si="29"/>
        <v>2889.6032738834724</v>
      </c>
      <c r="J92" s="274">
        <f t="shared" si="29"/>
        <v>11467.249597278296</v>
      </c>
      <c r="K92" s="274">
        <f t="shared" si="29"/>
        <v>5085.5288979707557</v>
      </c>
      <c r="L92" s="274">
        <f t="shared" si="29"/>
        <v>0</v>
      </c>
      <c r="M92" s="274">
        <f t="shared" si="29"/>
        <v>0</v>
      </c>
      <c r="N92" s="274">
        <f t="shared" si="29"/>
        <v>0</v>
      </c>
      <c r="R92" s="1668">
        <f>'PWERM Waterfall n Allocation'!Q32</f>
        <v>0.13</v>
      </c>
    </row>
    <row r="93" spans="2:18" ht="12.75" customHeight="1">
      <c r="B93" s="2" t="str">
        <f t="shared" si="23"/>
        <v>Options at $0.40 Strike Price</v>
      </c>
      <c r="D93" s="274">
        <f t="shared" ref="D93:N93" si="30">IF(D74&gt;0,(D$68+D$83)*(D77/D$81)-(D77*$R93),0)</f>
        <v>3199.3422661142522</v>
      </c>
      <c r="E93" s="274">
        <f t="shared" si="30"/>
        <v>4423.6643303989604</v>
      </c>
      <c r="F93" s="274">
        <f t="shared" si="30"/>
        <v>3505.2185124224789</v>
      </c>
      <c r="G93" s="274">
        <f t="shared" si="30"/>
        <v>1593.4919729960629</v>
      </c>
      <c r="H93" s="274">
        <f t="shared" si="30"/>
        <v>7872.4515847121584</v>
      </c>
      <c r="I93" s="274">
        <f t="shared" si="30"/>
        <v>3624.1703859867894</v>
      </c>
      <c r="J93" s="274">
        <f t="shared" si="30"/>
        <v>15044.367327212383</v>
      </c>
      <c r="K93" s="274">
        <f t="shared" si="30"/>
        <v>6547.8049297616453</v>
      </c>
      <c r="L93" s="274">
        <f t="shared" si="30"/>
        <v>0</v>
      </c>
      <c r="M93" s="274">
        <f t="shared" si="30"/>
        <v>0</v>
      </c>
      <c r="N93" s="274">
        <f t="shared" si="30"/>
        <v>0</v>
      </c>
      <c r="R93" s="1668">
        <f>'PWERM Waterfall n Allocation'!Q33</f>
        <v>0.4</v>
      </c>
    </row>
    <row r="94" spans="2:18" ht="12.75" customHeight="1">
      <c r="B94" s="2" t="str">
        <f t="shared" si="23"/>
        <v>Expected Options Grant</v>
      </c>
      <c r="D94" s="274">
        <f t="shared" ref="D94:N94" si="31">IF(D75&gt;0,(D$68+D$83)*(D78/D$81)-(D78*$R94),0)</f>
        <v>8090.9372326094508</v>
      </c>
      <c r="E94" s="274">
        <f t="shared" si="31"/>
        <v>11244.157912111119</v>
      </c>
      <c r="F94" s="274">
        <f t="shared" si="31"/>
        <v>8878.7163091802358</v>
      </c>
      <c r="G94" s="274">
        <f t="shared" si="31"/>
        <v>3955.0970806128234</v>
      </c>
      <c r="H94" s="274">
        <f t="shared" si="31"/>
        <v>20126.450902440909</v>
      </c>
      <c r="I94" s="274">
        <f t="shared" si="31"/>
        <v>9185.0748389577639</v>
      </c>
      <c r="J94" s="274">
        <f t="shared" si="31"/>
        <v>38597.598070818975</v>
      </c>
      <c r="K94" s="274">
        <f t="shared" si="31"/>
        <v>16714.845943852692</v>
      </c>
      <c r="L94" s="274">
        <f t="shared" si="31"/>
        <v>0</v>
      </c>
      <c r="M94" s="274">
        <f t="shared" si="31"/>
        <v>0</v>
      </c>
      <c r="N94" s="274">
        <f t="shared" si="31"/>
        <v>0</v>
      </c>
      <c r="R94" s="1669">
        <f>'PWERM Waterfall n Allocation'!Q34</f>
        <v>0.47</v>
      </c>
    </row>
    <row r="95" spans="2:18" ht="12.75" customHeight="1">
      <c r="B95" s="2" t="str">
        <f t="shared" si="23"/>
        <v>Common</v>
      </c>
      <c r="D95" s="274">
        <f t="shared" ref="D95:N95" si="32">IF(D76&gt;0,(D$68+D$83)*(D79/D$81)-(D79*$R95),0)</f>
        <v>69770.295819602485</v>
      </c>
      <c r="E95" s="274">
        <f t="shared" si="32"/>
        <v>93970.734878187679</v>
      </c>
      <c r="F95" s="274">
        <f t="shared" si="32"/>
        <v>75816.367906505315</v>
      </c>
      <c r="G95" s="274">
        <f t="shared" si="32"/>
        <v>38028.417363362569</v>
      </c>
      <c r="H95" s="274">
        <f t="shared" si="32"/>
        <v>162140.8415917292</v>
      </c>
      <c r="I95" s="274">
        <f t="shared" si="32"/>
        <v>78167.618162523082</v>
      </c>
      <c r="J95" s="274">
        <f t="shared" si="32"/>
        <v>303903.79345120298</v>
      </c>
      <c r="K95" s="274">
        <f t="shared" si="32"/>
        <v>135957.34659279074</v>
      </c>
      <c r="L95" s="274">
        <f t="shared" si="32"/>
        <v>0</v>
      </c>
      <c r="M95" s="274">
        <f t="shared" si="32"/>
        <v>0</v>
      </c>
      <c r="N95" s="274">
        <f t="shared" si="32"/>
        <v>0</v>
      </c>
    </row>
    <row r="96" spans="2:18" ht="8.1" customHeight="1">
      <c r="B96" s="5"/>
      <c r="C96" s="5"/>
      <c r="D96" s="5"/>
      <c r="E96" s="5"/>
      <c r="F96" s="5"/>
      <c r="G96" s="5"/>
      <c r="H96" s="5"/>
      <c r="I96" s="5"/>
      <c r="J96" s="5"/>
      <c r="K96" s="5"/>
      <c r="L96" s="5"/>
      <c r="M96" s="5"/>
      <c r="N96" s="5"/>
    </row>
    <row r="97" spans="2:24" ht="12.75" customHeight="1">
      <c r="B97" s="1" t="str">
        <f>B81</f>
        <v>Total</v>
      </c>
      <c r="D97" s="38">
        <f t="shared" ref="D97:N97" si="33">SUM(D87:D95)</f>
        <v>414000</v>
      </c>
      <c r="E97" s="38">
        <f t="shared" si="33"/>
        <v>558096.16583902761</v>
      </c>
      <c r="F97" s="38">
        <f t="shared" si="33"/>
        <v>449999.99999999994</v>
      </c>
      <c r="G97" s="38">
        <f t="shared" si="33"/>
        <v>225000.00000000006</v>
      </c>
      <c r="H97" s="38">
        <f t="shared" si="33"/>
        <v>963999.99999999988</v>
      </c>
      <c r="I97" s="38">
        <f t="shared" si="33"/>
        <v>464000</v>
      </c>
      <c r="J97" s="38">
        <f t="shared" si="33"/>
        <v>1808096.1658390276</v>
      </c>
      <c r="K97" s="38">
        <f t="shared" si="33"/>
        <v>808096.16583902785</v>
      </c>
      <c r="L97" s="38">
        <f t="shared" si="33"/>
        <v>55099.987999999998</v>
      </c>
      <c r="M97" s="38">
        <f t="shared" si="33"/>
        <v>82649.981999999989</v>
      </c>
      <c r="N97" s="38">
        <f t="shared" si="33"/>
        <v>82649.981999999989</v>
      </c>
      <c r="O97" s="16"/>
    </row>
    <row r="98" spans="2:24" ht="8.1" customHeight="1">
      <c r="B98" s="39"/>
      <c r="D98" s="441" t="str">
        <f t="shared" ref="D98:N98" si="34">IF(ABS(D97-D58)&lt;0.1,"","Check")</f>
        <v/>
      </c>
      <c r="E98" s="441" t="str">
        <f t="shared" si="34"/>
        <v/>
      </c>
      <c r="F98" s="441" t="str">
        <f t="shared" si="34"/>
        <v/>
      </c>
      <c r="G98" s="441" t="str">
        <f t="shared" si="34"/>
        <v/>
      </c>
      <c r="H98" s="441" t="str">
        <f t="shared" si="34"/>
        <v/>
      </c>
      <c r="I98" s="441" t="str">
        <f t="shared" si="34"/>
        <v/>
      </c>
      <c r="J98" s="441" t="str">
        <f t="shared" si="34"/>
        <v/>
      </c>
      <c r="K98" s="441" t="str">
        <f t="shared" si="34"/>
        <v/>
      </c>
      <c r="L98" s="441" t="str">
        <f t="shared" si="34"/>
        <v/>
      </c>
      <c r="M98" s="441" t="str">
        <f t="shared" si="34"/>
        <v/>
      </c>
      <c r="N98" s="441" t="str">
        <f t="shared" si="34"/>
        <v/>
      </c>
      <c r="Q98" s="1225" t="str">
        <f>IF(COUNTIF($D$98:$N$98,$Q$99)&gt;0,$Q$99,"")</f>
        <v/>
      </c>
    </row>
    <row r="99" spans="2:24" ht="12.75" customHeight="1">
      <c r="B99" s="1023" t="s">
        <v>362</v>
      </c>
      <c r="C99" s="1221"/>
      <c r="D99" s="1221"/>
      <c r="E99" s="1221"/>
      <c r="F99" s="1221"/>
      <c r="G99" s="1221"/>
      <c r="H99" s="1221"/>
      <c r="I99" s="1221"/>
      <c r="J99" s="1221"/>
      <c r="K99" s="1221"/>
      <c r="L99" s="1221"/>
      <c r="M99" s="1221"/>
      <c r="N99" s="2507"/>
      <c r="Q99" s="16" t="s">
        <v>110</v>
      </c>
    </row>
    <row r="100" spans="2:24" ht="8.1" customHeight="1"/>
    <row r="101" spans="2:24" ht="12.75" customHeight="1">
      <c r="B101" s="405" t="s">
        <v>363</v>
      </c>
      <c r="D101" s="406">
        <f>D95</f>
        <v>69770.295819602485</v>
      </c>
      <c r="E101" s="406">
        <f t="shared" ref="E101:N101" si="35">E95</f>
        <v>93970.734878187679</v>
      </c>
      <c r="F101" s="406">
        <f t="shared" si="35"/>
        <v>75816.367906505315</v>
      </c>
      <c r="G101" s="406">
        <f t="shared" si="35"/>
        <v>38028.417363362569</v>
      </c>
      <c r="H101" s="406">
        <f t="shared" si="35"/>
        <v>162140.8415917292</v>
      </c>
      <c r="I101" s="406">
        <f t="shared" si="35"/>
        <v>78167.618162523082</v>
      </c>
      <c r="J101" s="406">
        <f t="shared" si="35"/>
        <v>303903.79345120298</v>
      </c>
      <c r="K101" s="406">
        <f t="shared" si="35"/>
        <v>135957.34659279074</v>
      </c>
      <c r="L101" s="406">
        <f t="shared" si="35"/>
        <v>0</v>
      </c>
      <c r="M101" s="406">
        <f t="shared" si="35"/>
        <v>0</v>
      </c>
      <c r="N101" s="406">
        <f t="shared" si="35"/>
        <v>0</v>
      </c>
    </row>
    <row r="102" spans="2:24" ht="12.75" customHeight="1">
      <c r="B102" s="405" t="s">
        <v>262</v>
      </c>
      <c r="D102" s="406">
        <f>D79</f>
        <v>16327.046</v>
      </c>
      <c r="E102" s="406">
        <f t="shared" ref="E102:N102" si="36">E79</f>
        <v>16327.046</v>
      </c>
      <c r="F102" s="406">
        <f t="shared" si="36"/>
        <v>16327.046</v>
      </c>
      <c r="G102" s="406">
        <f t="shared" si="36"/>
        <v>16327.046</v>
      </c>
      <c r="H102" s="406">
        <f t="shared" si="36"/>
        <v>16327.046</v>
      </c>
      <c r="I102" s="406">
        <f t="shared" si="36"/>
        <v>16327.046</v>
      </c>
      <c r="J102" s="406">
        <f t="shared" si="36"/>
        <v>16327.046</v>
      </c>
      <c r="K102" s="406">
        <f t="shared" si="36"/>
        <v>16327.046</v>
      </c>
      <c r="L102" s="406">
        <f t="shared" si="36"/>
        <v>0</v>
      </c>
      <c r="M102" s="406">
        <f t="shared" si="36"/>
        <v>0</v>
      </c>
      <c r="N102" s="406">
        <f t="shared" si="36"/>
        <v>0</v>
      </c>
    </row>
    <row r="103" spans="2:24" ht="8.1" customHeight="1">
      <c r="B103" s="5"/>
      <c r="C103" s="5"/>
      <c r="D103" s="5"/>
      <c r="E103" s="5"/>
      <c r="F103" s="5"/>
      <c r="G103" s="5"/>
      <c r="H103" s="5"/>
      <c r="I103" s="5"/>
      <c r="J103" s="5"/>
      <c r="K103" s="5"/>
      <c r="L103" s="5"/>
      <c r="M103" s="5"/>
      <c r="N103" s="5"/>
    </row>
    <row r="104" spans="2:24" ht="12.75" customHeight="1">
      <c r="B104" s="1" t="s">
        <v>364</v>
      </c>
      <c r="C104" s="1"/>
      <c r="D104" s="179">
        <f>IFERROR(D101/D102,0)</f>
        <v>4.2732957216879575</v>
      </c>
      <c r="E104" s="179">
        <f t="shared" ref="E104:M104" si="37">IFERROR(E101/E102,0)</f>
        <v>5.7555258237275551</v>
      </c>
      <c r="F104" s="179">
        <f t="shared" si="37"/>
        <v>4.6436059472427109</v>
      </c>
      <c r="G104" s="179">
        <f t="shared" si="37"/>
        <v>2.3291670375255</v>
      </c>
      <c r="H104" s="179">
        <f t="shared" si="37"/>
        <v>9.9308130565522514</v>
      </c>
      <c r="I104" s="179">
        <f t="shared" si="37"/>
        <v>4.7876154794028922</v>
      </c>
      <c r="J104" s="179">
        <f t="shared" si="37"/>
        <v>18.613519766600948</v>
      </c>
      <c r="K104" s="179">
        <f t="shared" si="37"/>
        <v>8.3271246123022333</v>
      </c>
      <c r="L104" s="179">
        <f t="shared" si="37"/>
        <v>0</v>
      </c>
      <c r="M104" s="179">
        <f t="shared" si="37"/>
        <v>0</v>
      </c>
      <c r="N104" s="179">
        <f>IFERROR(N101/N102,0)</f>
        <v>0</v>
      </c>
    </row>
    <row r="105" spans="2:24" ht="8.1" customHeight="1"/>
    <row r="106" spans="2:24" ht="12.75" customHeight="1">
      <c r="B106" s="78" t="s">
        <v>2100</v>
      </c>
      <c r="C106" s="450"/>
      <c r="D106" s="1687">
        <f>'PWERM DLOM'!D54</f>
        <v>0.36</v>
      </c>
      <c r="E106" s="1687">
        <f>'PWERM DLOM'!E54</f>
        <v>0.48</v>
      </c>
      <c r="F106" s="1687">
        <f>'PWERM DLOM'!F54</f>
        <v>0.36</v>
      </c>
      <c r="G106" s="45">
        <f>F106</f>
        <v>0.36</v>
      </c>
      <c r="H106" s="1687">
        <f>'PWERM DLOM'!G54</f>
        <v>0.4</v>
      </c>
      <c r="I106" s="45">
        <f>H106</f>
        <v>0.4</v>
      </c>
      <c r="J106" s="1687">
        <f>'PWERM DLOM'!H54</f>
        <v>0.53</v>
      </c>
      <c r="K106" s="45">
        <f>J106</f>
        <v>0.53</v>
      </c>
      <c r="L106" s="963"/>
      <c r="M106" s="963"/>
      <c r="N106" s="963"/>
      <c r="Q106" s="515"/>
    </row>
    <row r="107" spans="2:24" ht="28.5" customHeight="1">
      <c r="B107" s="6" t="s">
        <v>2956</v>
      </c>
      <c r="D107" s="1687">
        <f>'Non-Diversification Risk'!D18</f>
        <v>0.4</v>
      </c>
      <c r="E107" s="180">
        <f>D107</f>
        <v>0.4</v>
      </c>
      <c r="F107" s="180">
        <f t="shared" ref="F107:K107" si="38">E107</f>
        <v>0.4</v>
      </c>
      <c r="G107" s="180">
        <f t="shared" si="38"/>
        <v>0.4</v>
      </c>
      <c r="H107" s="180">
        <f t="shared" si="38"/>
        <v>0.4</v>
      </c>
      <c r="I107" s="180">
        <f t="shared" si="38"/>
        <v>0.4</v>
      </c>
      <c r="J107" s="180">
        <f t="shared" si="38"/>
        <v>0.4</v>
      </c>
      <c r="K107" s="180">
        <f t="shared" si="38"/>
        <v>0.4</v>
      </c>
      <c r="L107" s="963"/>
      <c r="M107" s="963"/>
      <c r="N107" s="963"/>
    </row>
    <row r="108" spans="2:24" ht="8.1" customHeight="1"/>
    <row r="109" spans="2:24" ht="12.75" customHeight="1">
      <c r="B109" s="81" t="s">
        <v>1358</v>
      </c>
      <c r="C109" s="450"/>
      <c r="D109" s="179">
        <f>IFERROR(D104*(1-D106)*(1-D107),0)</f>
        <v>1.6409455571281757</v>
      </c>
      <c r="E109" s="179">
        <f t="shared" ref="E109:N109" si="39">IFERROR(E104*(1-E106)*(1-E107),0)</f>
        <v>1.7957240570029971</v>
      </c>
      <c r="F109" s="179">
        <f t="shared" si="39"/>
        <v>1.7831446837412011</v>
      </c>
      <c r="G109" s="179">
        <f t="shared" si="39"/>
        <v>0.89440014240979204</v>
      </c>
      <c r="H109" s="179">
        <f t="shared" si="39"/>
        <v>3.5750927003588102</v>
      </c>
      <c r="I109" s="179">
        <f t="shared" si="39"/>
        <v>1.7235415725850411</v>
      </c>
      <c r="J109" s="179">
        <f t="shared" si="39"/>
        <v>5.2490125741814673</v>
      </c>
      <c r="K109" s="179">
        <f t="shared" si="39"/>
        <v>2.3482491406692296</v>
      </c>
      <c r="L109" s="179">
        <f t="shared" si="39"/>
        <v>0</v>
      </c>
      <c r="M109" s="179">
        <f t="shared" si="39"/>
        <v>0</v>
      </c>
      <c r="N109" s="179">
        <f t="shared" si="39"/>
        <v>0</v>
      </c>
      <c r="Q109" s="412">
        <f>1-D109/D104</f>
        <v>0.61599999999999999</v>
      </c>
      <c r="R109" s="412">
        <f t="shared" ref="R109:V109" si="40">1-E109/E104</f>
        <v>0.68799999999999994</v>
      </c>
      <c r="S109" s="412">
        <f t="shared" si="40"/>
        <v>0.61599999999999999</v>
      </c>
      <c r="T109" s="412">
        <f t="shared" si="40"/>
        <v>0.61599999999999999</v>
      </c>
      <c r="U109" s="412">
        <f t="shared" si="40"/>
        <v>0.64</v>
      </c>
      <c r="V109" s="412">
        <f t="shared" si="40"/>
        <v>0.64</v>
      </c>
      <c r="W109" s="412">
        <f t="shared" ref="W109" si="41">1-J109/J104</f>
        <v>0.71799999999999997</v>
      </c>
      <c r="X109" s="412">
        <f t="shared" ref="X109" si="42">1-K109/K104</f>
        <v>0.71799999999999997</v>
      </c>
    </row>
    <row r="110" spans="2:24" ht="8.1" customHeight="1"/>
    <row r="111" spans="2:24" ht="12.75" customHeight="1">
      <c r="B111" s="78" t="s">
        <v>2115</v>
      </c>
      <c r="C111" s="450">
        <f>'WACC PWERM'!J15</f>
        <v>0.3</v>
      </c>
      <c r="D111" s="44">
        <f t="shared" ref="D111:N111" si="43">1/(1+$C111)^IF(AND(D$8=$Q$8,$S$26=1),D$28+D$13,D$13)</f>
        <v>0.45483907695733766</v>
      </c>
      <c r="E111" s="44">
        <f t="shared" si="43"/>
        <v>0.20687858592740296</v>
      </c>
      <c r="F111" s="44">
        <f t="shared" si="43"/>
        <v>0.59129080004453904</v>
      </c>
      <c r="G111" s="44">
        <f t="shared" si="43"/>
        <v>0.59129080004453904</v>
      </c>
      <c r="H111" s="44">
        <f t="shared" si="43"/>
        <v>0.45483907695733766</v>
      </c>
      <c r="I111" s="44">
        <f t="shared" si="43"/>
        <v>0.45483907695733766</v>
      </c>
      <c r="J111" s="44">
        <f t="shared" si="43"/>
        <v>0.20687858592740296</v>
      </c>
      <c r="K111" s="44">
        <f t="shared" si="43"/>
        <v>0.20687858592740296</v>
      </c>
      <c r="L111" s="44">
        <f t="shared" si="43"/>
        <v>0.59129080004453904</v>
      </c>
      <c r="M111" s="44">
        <f t="shared" si="43"/>
        <v>0.45483907695733766</v>
      </c>
      <c r="N111" s="44">
        <f t="shared" si="43"/>
        <v>0.20687858592740296</v>
      </c>
    </row>
    <row r="112" spans="2:24" ht="8.1" customHeight="1">
      <c r="B112" s="5"/>
      <c r="C112" s="5"/>
      <c r="D112" s="5"/>
      <c r="E112" s="5"/>
      <c r="F112" s="5"/>
      <c r="G112" s="5"/>
      <c r="H112" s="5"/>
      <c r="I112" s="5"/>
      <c r="J112" s="5"/>
      <c r="K112" s="5"/>
      <c r="L112" s="5"/>
      <c r="M112" s="5"/>
      <c r="N112" s="5"/>
    </row>
    <row r="113" spans="2:14 16384:16384" ht="12.75" customHeight="1">
      <c r="B113" s="1" t="s">
        <v>365</v>
      </c>
      <c r="D113" s="179">
        <f>D109*D111</f>
        <v>0.74636616254142363</v>
      </c>
      <c r="E113" s="179">
        <f t="shared" ref="E113:M113" si="44">E109*E111</f>
        <v>0.37149685362859919</v>
      </c>
      <c r="F113" s="179">
        <f t="shared" si="44"/>
        <v>1.0543570466445014</v>
      </c>
      <c r="G113" s="179">
        <f t="shared" si="44"/>
        <v>0.52885057576543559</v>
      </c>
      <c r="H113" s="179">
        <f t="shared" si="44"/>
        <v>1.626091863868117</v>
      </c>
      <c r="I113" s="179">
        <f t="shared" si="44"/>
        <v>0.7839340579721783</v>
      </c>
      <c r="J113" s="179">
        <f t="shared" si="44"/>
        <v>1.0859082988618194</v>
      </c>
      <c r="K113" s="179">
        <f t="shared" si="44"/>
        <v>0.48580246162688939</v>
      </c>
      <c r="L113" s="179">
        <f t="shared" si="44"/>
        <v>0</v>
      </c>
      <c r="M113" s="179">
        <f t="shared" si="44"/>
        <v>0</v>
      </c>
      <c r="N113" s="179">
        <f>N109*N111</f>
        <v>0</v>
      </c>
    </row>
    <row r="114" spans="2:14 16384:16384" ht="8.1" customHeight="1"/>
    <row r="115" spans="2:14 16384:16384" ht="12.75" customHeight="1">
      <c r="B115" s="405" t="s">
        <v>2116</v>
      </c>
      <c r="C115" s="578">
        <f>SUM(D115:N115)</f>
        <v>1</v>
      </c>
      <c r="D115" s="1722">
        <f t="array" ref="D115:N115">TRANSPOSE('Exit Probability'!F34:F44)</f>
        <v>5.3404E-2</v>
      </c>
      <c r="E115" s="1722">
        <v>3.2047080000000006E-2</v>
      </c>
      <c r="F115" s="1722">
        <v>9.0999999999999998E-2</v>
      </c>
      <c r="G115" s="1722">
        <v>8.7999999999999995E-2</v>
      </c>
      <c r="H115" s="1722">
        <v>5.6784000000000001E-2</v>
      </c>
      <c r="I115" s="1722">
        <v>0.156832</v>
      </c>
      <c r="J115" s="1722">
        <v>1.533168E-2</v>
      </c>
      <c r="K115" s="1722">
        <v>0.11285664000000001</v>
      </c>
      <c r="L115" s="1722">
        <v>0.10500000000000001</v>
      </c>
      <c r="M115" s="1722">
        <v>0.18196000000000001</v>
      </c>
      <c r="N115" s="1722">
        <v>0.10678460000000002</v>
      </c>
    </row>
    <row r="116" spans="2:14 16384:16384" ht="12.75" customHeight="1">
      <c r="B116" s="405" t="s">
        <v>772</v>
      </c>
      <c r="C116" s="578">
        <f>SUM(D116:N116)</f>
        <v>1</v>
      </c>
      <c r="D116" s="1723">
        <f>MROUND(D115,0.5%)</f>
        <v>5.5E-2</v>
      </c>
      <c r="E116" s="1723">
        <f t="shared" ref="E116:M116" si="45">MROUND(E115,0.5%)</f>
        <v>0.03</v>
      </c>
      <c r="F116" s="1723">
        <f t="shared" si="45"/>
        <v>0.09</v>
      </c>
      <c r="G116" s="1723">
        <f t="shared" si="45"/>
        <v>0.09</v>
      </c>
      <c r="H116" s="1723">
        <f t="shared" si="45"/>
        <v>5.5E-2</v>
      </c>
      <c r="I116" s="1723">
        <f t="shared" si="45"/>
        <v>0.155</v>
      </c>
      <c r="J116" s="1723">
        <f t="shared" si="45"/>
        <v>1.4999999999999999E-2</v>
      </c>
      <c r="K116" s="1723">
        <f t="shared" si="45"/>
        <v>0.115</v>
      </c>
      <c r="L116" s="1723">
        <f t="shared" si="45"/>
        <v>0.105</v>
      </c>
      <c r="M116" s="1723">
        <f t="shared" si="45"/>
        <v>0.18</v>
      </c>
      <c r="N116" s="1723">
        <f>100%-SUM(D116:M116)</f>
        <v>0.1100000000000001</v>
      </c>
    </row>
    <row r="117" spans="2:14 16384:16384" ht="8.1" customHeight="1"/>
    <row r="118" spans="2:14 16384:16384" ht="12.75" customHeight="1">
      <c r="B118" s="181" t="s">
        <v>366</v>
      </c>
      <c r="D118" s="907"/>
      <c r="E118" s="78"/>
      <c r="F118" s="78"/>
      <c r="G118" s="78"/>
    </row>
    <row r="119" spans="2:14 16384:16384" ht="12.75" customHeight="1">
      <c r="B119" s="182">
        <f>SUMPRODUCT(D113:N113,D116:N116)</f>
        <v>0.47778446963398424</v>
      </c>
    </row>
    <row r="120" spans="2:14 16384:16384" ht="8.1" customHeight="1"/>
    <row r="121" spans="2:14 16384:16384" ht="12.75" customHeight="1">
      <c r="B121" s="1023" t="s">
        <v>367</v>
      </c>
      <c r="C121" s="1221"/>
      <c r="D121" s="1221"/>
      <c r="E121" s="1221"/>
      <c r="F121" s="1221"/>
      <c r="G121" s="1221"/>
      <c r="H121" s="1221"/>
      <c r="I121" s="1221"/>
      <c r="J121" s="1221"/>
      <c r="K121" s="1221"/>
      <c r="L121" s="1221"/>
      <c r="M121" s="1221"/>
      <c r="N121" s="2507"/>
    </row>
    <row r="122" spans="2:14 16384:16384" ht="8.1" customHeight="1"/>
    <row r="123" spans="2:14 16384:16384" ht="12.75" customHeight="1">
      <c r="B123" s="1" t="s">
        <v>370</v>
      </c>
    </row>
    <row r="124" spans="2:14 16384:16384" ht="12.75" customHeight="1">
      <c r="B124" s="2" t="s">
        <v>371</v>
      </c>
      <c r="D124" s="274">
        <f>MIN(SUM(D87:D90),SUM($Q$61:$Q$64))</f>
        <v>110199.976</v>
      </c>
      <c r="E124" s="274">
        <f t="shared" ref="E124:N124" si="46">MIN(SUM(E87:E90),SUM($Q$61:$Q$64))</f>
        <v>110199.976</v>
      </c>
      <c r="F124" s="274">
        <f t="shared" si="46"/>
        <v>110199.976</v>
      </c>
      <c r="G124" s="274">
        <f t="shared" si="46"/>
        <v>110199.976</v>
      </c>
      <c r="H124" s="274">
        <f t="shared" si="46"/>
        <v>110199.976</v>
      </c>
      <c r="I124" s="274">
        <f t="shared" si="46"/>
        <v>110199.976</v>
      </c>
      <c r="J124" s="274">
        <f t="shared" si="46"/>
        <v>110199.976</v>
      </c>
      <c r="K124" s="274">
        <f t="shared" si="46"/>
        <v>110199.976</v>
      </c>
      <c r="L124" s="274">
        <f t="shared" si="46"/>
        <v>55099.987999999998</v>
      </c>
      <c r="M124" s="274">
        <f t="shared" si="46"/>
        <v>82649.981999999989</v>
      </c>
      <c r="N124" s="274">
        <f t="shared" si="46"/>
        <v>82649.981999999989</v>
      </c>
      <c r="XFD124" s="177"/>
    </row>
    <row r="125" spans="2:14 16384:16384" ht="8.1" customHeight="1"/>
    <row r="126" spans="2:14 16384:16384" ht="12.75" customHeight="1">
      <c r="B126" s="165" t="s">
        <v>167</v>
      </c>
      <c r="C126" s="450">
        <f>'WACC PWERM'!J11</f>
        <v>0.125</v>
      </c>
      <c r="D126" s="44">
        <f>1/(1+$C126)^IF(AND(D$8=$Q$8,$S$26=1),D$27+D$13,D$13)</f>
        <v>0.70210536037240634</v>
      </c>
      <c r="E126" s="44">
        <f>1/(1+$C126)^IF(AND(E$8=$Q$8,$S$26=1),E$27+E$13,E$13)</f>
        <v>0.49295193706366663</v>
      </c>
      <c r="F126" s="44">
        <f>1/(1+$C126)^IF(AND(F$8=$Q$8,$S$26=1),F$27+F$13,F$13)</f>
        <v>0.7898685304189571</v>
      </c>
      <c r="G126" s="44">
        <f>1/(1+$C126)^IF(AND(G$8=$Q$8,$S$26=1),G$27+G$13,G$13)</f>
        <v>0.7898685304189571</v>
      </c>
      <c r="H126" s="44">
        <f>1/(1+$C126)^IF(AND(H$8=$Q$8,$S$26=1),H$27+H$13,H$13)</f>
        <v>0.70210536037240634</v>
      </c>
      <c r="I126" s="44">
        <f>1/(1+$C126)^IF(AND(I$8=$Q$8,$S$26=1),I$27+I$13,I$13)</f>
        <v>0.70210536037240634</v>
      </c>
      <c r="J126" s="44">
        <f>1/(1+$C126)^IF(AND(J$8=$Q$8,$S$26=1),J$27+J$13,J$13)</f>
        <v>0.49295193706366663</v>
      </c>
      <c r="K126" s="44">
        <f>1/(1+$C126)^IF(AND(K$8=$Q$8,$S$26=1),K$27+K$13,K$13)</f>
        <v>0.49295193706366663</v>
      </c>
      <c r="L126" s="44">
        <f>1/(1+$C126)^IF(AND(L$8=$Q$8,$S$26=1),L$27+L$13,L$13)</f>
        <v>0.7898685304189571</v>
      </c>
      <c r="M126" s="44">
        <f>1/(1+$C126)^IF(AND(M$8=$Q$8,$S$26=1),M$27+M$13,M$13)</f>
        <v>0.70210536037240634</v>
      </c>
      <c r="N126" s="44">
        <f>1/(1+$C126)^IF(AND(N$8=$Q$8,$S$26=1),N$27+N$13,N$13)</f>
        <v>0.49295193706366663</v>
      </c>
    </row>
    <row r="127" spans="2:14 16384:16384" ht="8.1" customHeight="1"/>
    <row r="128" spans="2:14 16384:16384" ht="12.75" customHeight="1">
      <c r="B128" s="2" t="s">
        <v>168</v>
      </c>
      <c r="D128" s="406">
        <f>D124*D126</f>
        <v>77371.993862510528</v>
      </c>
      <c r="E128" s="406">
        <f t="shared" ref="E128:M128" si="47">E124*E126</f>
        <v>54323.29163356957</v>
      </c>
      <c r="F128" s="406">
        <f t="shared" si="47"/>
        <v>87043.493095324346</v>
      </c>
      <c r="G128" s="406">
        <f t="shared" si="47"/>
        <v>87043.493095324346</v>
      </c>
      <c r="H128" s="406">
        <f t="shared" si="47"/>
        <v>77371.993862510528</v>
      </c>
      <c r="I128" s="406">
        <f t="shared" si="47"/>
        <v>77371.993862510528</v>
      </c>
      <c r="J128" s="406">
        <f t="shared" si="47"/>
        <v>54323.29163356957</v>
      </c>
      <c r="K128" s="406">
        <f t="shared" si="47"/>
        <v>54323.29163356957</v>
      </c>
      <c r="L128" s="406">
        <f t="shared" si="47"/>
        <v>43521.746547662173</v>
      </c>
      <c r="M128" s="406">
        <f t="shared" si="47"/>
        <v>58028.995396882892</v>
      </c>
      <c r="N128" s="406">
        <f>N124*N126</f>
        <v>40742.468725177176</v>
      </c>
    </row>
    <row r="129" spans="2:14" ht="8.1" customHeight="1"/>
    <row r="130" spans="2:14" ht="12.75" customHeight="1">
      <c r="B130" s="2" t="s">
        <v>372</v>
      </c>
      <c r="D130" s="406">
        <f>D128*D$116</f>
        <v>4255.4596624380792</v>
      </c>
      <c r="E130" s="406">
        <f t="shared" ref="E130:M130" si="48">E128*E$116</f>
        <v>1629.6987490070871</v>
      </c>
      <c r="F130" s="406">
        <f t="shared" si="48"/>
        <v>7833.9143785791912</v>
      </c>
      <c r="G130" s="406">
        <f t="shared" si="48"/>
        <v>7833.9143785791912</v>
      </c>
      <c r="H130" s="406">
        <f t="shared" si="48"/>
        <v>4255.4596624380792</v>
      </c>
      <c r="I130" s="406">
        <f t="shared" si="48"/>
        <v>11992.659048689131</v>
      </c>
      <c r="J130" s="406">
        <f t="shared" si="48"/>
        <v>814.84937450354357</v>
      </c>
      <c r="K130" s="406">
        <f t="shared" si="48"/>
        <v>6247.1785378605009</v>
      </c>
      <c r="L130" s="406">
        <f t="shared" si="48"/>
        <v>4569.783387504528</v>
      </c>
      <c r="M130" s="406">
        <f t="shared" si="48"/>
        <v>10445.219171438921</v>
      </c>
      <c r="N130" s="406">
        <f>N128*N$116</f>
        <v>4481.6715597694929</v>
      </c>
    </row>
    <row r="131" spans="2:14" ht="12.75" customHeight="1">
      <c r="B131" s="400">
        <f>SUM(D130:N130)</f>
        <v>64359.807910807736</v>
      </c>
    </row>
    <row r="132" spans="2:14" ht="8.1" customHeight="1"/>
    <row r="133" spans="2:14" ht="8.1" customHeight="1"/>
    <row r="134" spans="2:14" ht="12.75" customHeight="1">
      <c r="B134" s="1" t="s">
        <v>373</v>
      </c>
    </row>
    <row r="135" spans="2:14" ht="12.75" customHeight="1">
      <c r="B135" s="2" t="s">
        <v>371</v>
      </c>
      <c r="D135" s="274">
        <f>SUM(D87:D90)-D124</f>
        <v>219377.90525563501</v>
      </c>
      <c r="E135" s="274">
        <f t="shared" ref="E135:N135" si="49">SUM(E87:E90)-E124</f>
        <v>333694.88408867782</v>
      </c>
      <c r="F135" s="274">
        <f t="shared" si="49"/>
        <v>247938.07695782269</v>
      </c>
      <c r="G135" s="274">
        <f t="shared" si="49"/>
        <v>69437.003819149773</v>
      </c>
      <c r="H135" s="274">
        <f t="shared" si="49"/>
        <v>655713.86181683547</v>
      </c>
      <c r="I135" s="274">
        <f t="shared" si="49"/>
        <v>259044.81039756237</v>
      </c>
      <c r="J135" s="274">
        <f t="shared" si="49"/>
        <v>1325367.5126368608</v>
      </c>
      <c r="K135" s="274">
        <f t="shared" si="49"/>
        <v>532029.40979831445</v>
      </c>
      <c r="L135" s="274">
        <f t="shared" si="49"/>
        <v>0</v>
      </c>
      <c r="M135" s="274">
        <f t="shared" si="49"/>
        <v>0</v>
      </c>
      <c r="N135" s="274">
        <f t="shared" si="49"/>
        <v>0</v>
      </c>
    </row>
    <row r="136" spans="2:14" ht="8.1" customHeight="1"/>
    <row r="137" spans="2:14" ht="12.75" customHeight="1">
      <c r="B137" s="164" t="s">
        <v>167</v>
      </c>
      <c r="C137" s="450">
        <f>'WACC PWERM'!J13</f>
        <v>0.25</v>
      </c>
      <c r="D137" s="44">
        <f t="shared" ref="D137:N137" si="50">1/(1+$C137)^IF(AND(D$8=$Q$8,$S$26=1),D$27+D$13,D$13)</f>
        <v>0.51168708333685531</v>
      </c>
      <c r="E137" s="44">
        <f t="shared" si="50"/>
        <v>0.26182367125377792</v>
      </c>
      <c r="F137" s="44">
        <f t="shared" si="50"/>
        <v>0.63960885417106905</v>
      </c>
      <c r="G137" s="44">
        <f t="shared" si="50"/>
        <v>0.63960885417106905</v>
      </c>
      <c r="H137" s="44">
        <f t="shared" si="50"/>
        <v>0.51168708333685531</v>
      </c>
      <c r="I137" s="44">
        <f t="shared" si="50"/>
        <v>0.51168708333685531</v>
      </c>
      <c r="J137" s="44">
        <f t="shared" si="50"/>
        <v>0.26182367125377792</v>
      </c>
      <c r="K137" s="44">
        <f t="shared" si="50"/>
        <v>0.26182367125377792</v>
      </c>
      <c r="L137" s="44">
        <f t="shared" si="50"/>
        <v>0.63960885417106905</v>
      </c>
      <c r="M137" s="44">
        <f t="shared" si="50"/>
        <v>0.51168708333685531</v>
      </c>
      <c r="N137" s="44">
        <f t="shared" si="50"/>
        <v>0.26182367125377792</v>
      </c>
    </row>
    <row r="138" spans="2:14" ht="8.1" customHeight="1"/>
    <row r="139" spans="2:14" ht="12.75" customHeight="1">
      <c r="B139" s="2" t="s">
        <v>168</v>
      </c>
      <c r="D139" s="406">
        <f>D135*D137</f>
        <v>112252.84048880485</v>
      </c>
      <c r="E139" s="406">
        <f t="shared" ref="E139:M139" si="51">E135*E137</f>
        <v>87369.219630701511</v>
      </c>
      <c r="F139" s="406">
        <f t="shared" si="51"/>
        <v>158583.38930837132</v>
      </c>
      <c r="G139" s="406">
        <f t="shared" si="51"/>
        <v>44412.522449838529</v>
      </c>
      <c r="H139" s="406">
        <f t="shared" si="51"/>
        <v>335520.31345660234</v>
      </c>
      <c r="I139" s="406">
        <f t="shared" si="51"/>
        <v>132549.88348587739</v>
      </c>
      <c r="J139" s="406">
        <f t="shared" si="51"/>
        <v>347012.58791907079</v>
      </c>
      <c r="K139" s="406">
        <f t="shared" si="51"/>
        <v>139297.89328837537</v>
      </c>
      <c r="L139" s="406">
        <f t="shared" si="51"/>
        <v>0</v>
      </c>
      <c r="M139" s="406">
        <f t="shared" si="51"/>
        <v>0</v>
      </c>
      <c r="N139" s="406">
        <f>N135*N137</f>
        <v>0</v>
      </c>
    </row>
    <row r="140" spans="2:14" ht="8.1" customHeight="1"/>
    <row r="141" spans="2:14" ht="12.75" customHeight="1">
      <c r="B141" s="2" t="s">
        <v>372</v>
      </c>
      <c r="D141" s="406">
        <f>D139*D$116</f>
        <v>6173.9062268842672</v>
      </c>
      <c r="E141" s="406">
        <f t="shared" ref="E141:M141" si="52">E139*E$116</f>
        <v>2621.0765889210452</v>
      </c>
      <c r="F141" s="406">
        <f t="shared" si="52"/>
        <v>14272.505037753419</v>
      </c>
      <c r="G141" s="406">
        <f t="shared" si="52"/>
        <v>3997.1270204854673</v>
      </c>
      <c r="H141" s="406">
        <f t="shared" si="52"/>
        <v>18453.61724011313</v>
      </c>
      <c r="I141" s="406">
        <f t="shared" si="52"/>
        <v>20545.231940310994</v>
      </c>
      <c r="J141" s="406">
        <f t="shared" si="52"/>
        <v>5205.1888187860613</v>
      </c>
      <c r="K141" s="406">
        <f t="shared" si="52"/>
        <v>16019.257728163169</v>
      </c>
      <c r="L141" s="406">
        <f t="shared" si="52"/>
        <v>0</v>
      </c>
      <c r="M141" s="406">
        <f t="shared" si="52"/>
        <v>0</v>
      </c>
      <c r="N141" s="406">
        <f>N139*N$116</f>
        <v>0</v>
      </c>
    </row>
    <row r="142" spans="2:14" ht="12.75" customHeight="1">
      <c r="B142" s="401">
        <f>SUM(D141:N141)</f>
        <v>87287.910601417549</v>
      </c>
    </row>
    <row r="143" spans="2:14" ht="8.1" customHeight="1"/>
    <row r="144" spans="2:14" ht="12.75" customHeight="1">
      <c r="B144" s="3214" t="s">
        <v>2918</v>
      </c>
      <c r="C144" s="3215"/>
      <c r="D144" s="3215"/>
      <c r="E144" s="3215"/>
      <c r="F144" s="3215"/>
      <c r="G144" s="3215"/>
      <c r="H144" s="3215"/>
      <c r="I144" s="3215"/>
      <c r="J144" s="3215"/>
      <c r="K144" s="3215"/>
      <c r="L144" s="3215"/>
      <c r="M144" s="3215"/>
      <c r="N144" s="3216"/>
    </row>
    <row r="145" spans="2:14" ht="8.1" customHeight="1"/>
    <row r="146" spans="2:14" ht="12.75" customHeight="1">
      <c r="B146" s="1" t="s">
        <v>374</v>
      </c>
    </row>
    <row r="147" spans="2:14" ht="12.75" customHeight="1">
      <c r="B147" s="2" t="s">
        <v>371</v>
      </c>
      <c r="D147" s="274">
        <f>MIN(SUM(D88:D90),SUM($Q$62:$Q$64))</f>
        <v>66149.975999999995</v>
      </c>
      <c r="E147" s="274">
        <f t="shared" ref="E147:N147" si="53">MIN(SUM(E88:E90),SUM($Q$62:$Q$64))</f>
        <v>66149.975999999995</v>
      </c>
      <c r="F147" s="274">
        <f t="shared" si="53"/>
        <v>66149.975999999995</v>
      </c>
      <c r="G147" s="274">
        <f t="shared" si="53"/>
        <v>66149.975999999995</v>
      </c>
      <c r="H147" s="274">
        <f t="shared" si="53"/>
        <v>66149.975999999995</v>
      </c>
      <c r="I147" s="274">
        <f t="shared" si="53"/>
        <v>66149.975999999995</v>
      </c>
      <c r="J147" s="274">
        <f t="shared" si="53"/>
        <v>66149.975999999995</v>
      </c>
      <c r="K147" s="274">
        <f t="shared" si="53"/>
        <v>66149.975999999995</v>
      </c>
      <c r="L147" s="274">
        <f t="shared" si="53"/>
        <v>33074.987999999998</v>
      </c>
      <c r="M147" s="274">
        <f t="shared" si="53"/>
        <v>49612.481999999996</v>
      </c>
      <c r="N147" s="274">
        <f t="shared" si="53"/>
        <v>49612.481999999996</v>
      </c>
    </row>
    <row r="148" spans="2:14" ht="8.1" customHeight="1"/>
    <row r="149" spans="2:14" ht="12.75" customHeight="1">
      <c r="B149" s="165" t="s">
        <v>167</v>
      </c>
      <c r="C149" s="354">
        <f>C126</f>
        <v>0.125</v>
      </c>
      <c r="D149" s="44">
        <f>+D126</f>
        <v>0.70210536037240634</v>
      </c>
      <c r="E149" s="44">
        <f t="shared" ref="E149:M149" si="54">+E126</f>
        <v>0.49295193706366663</v>
      </c>
      <c r="F149" s="44">
        <f t="shared" si="54"/>
        <v>0.7898685304189571</v>
      </c>
      <c r="G149" s="44">
        <f t="shared" si="54"/>
        <v>0.7898685304189571</v>
      </c>
      <c r="H149" s="44">
        <f t="shared" si="54"/>
        <v>0.70210536037240634</v>
      </c>
      <c r="I149" s="44">
        <f t="shared" si="54"/>
        <v>0.70210536037240634</v>
      </c>
      <c r="J149" s="44">
        <f t="shared" si="54"/>
        <v>0.49295193706366663</v>
      </c>
      <c r="K149" s="44">
        <f t="shared" si="54"/>
        <v>0.49295193706366663</v>
      </c>
      <c r="L149" s="44">
        <f t="shared" si="54"/>
        <v>0.7898685304189571</v>
      </c>
      <c r="M149" s="44">
        <f t="shared" si="54"/>
        <v>0.70210536037240634</v>
      </c>
      <c r="N149" s="44">
        <f>+N126</f>
        <v>0.49295193706366663</v>
      </c>
    </row>
    <row r="150" spans="2:14" ht="8.1" customHeight="1">
      <c r="B150" s="2"/>
    </row>
    <row r="151" spans="2:14" ht="12.75" customHeight="1">
      <c r="B151" s="2" t="s">
        <v>168</v>
      </c>
      <c r="D151" s="406">
        <f>D147*D149</f>
        <v>46444.252738106028</v>
      </c>
      <c r="E151" s="406">
        <f t="shared" ref="E151:M151" si="55">E147*E149</f>
        <v>32608.758805915055</v>
      </c>
      <c r="F151" s="406">
        <f t="shared" si="55"/>
        <v>52249.784330369279</v>
      </c>
      <c r="G151" s="406">
        <f t="shared" si="55"/>
        <v>52249.784330369279</v>
      </c>
      <c r="H151" s="406">
        <f t="shared" si="55"/>
        <v>46444.252738106028</v>
      </c>
      <c r="I151" s="406">
        <f t="shared" si="55"/>
        <v>46444.252738106028</v>
      </c>
      <c r="J151" s="406">
        <f t="shared" si="55"/>
        <v>32608.758805915055</v>
      </c>
      <c r="K151" s="406">
        <f t="shared" si="55"/>
        <v>32608.758805915055</v>
      </c>
      <c r="L151" s="406">
        <f t="shared" si="55"/>
        <v>26124.892165184639</v>
      </c>
      <c r="M151" s="406">
        <f t="shared" si="55"/>
        <v>34833.189553579519</v>
      </c>
      <c r="N151" s="406">
        <f>N147*N149</f>
        <v>24456.56910443629</v>
      </c>
    </row>
    <row r="152" spans="2:14" ht="8.1" customHeight="1"/>
    <row r="153" spans="2:14" ht="12.75" customHeight="1">
      <c r="B153" s="2" t="s">
        <v>372</v>
      </c>
      <c r="D153" s="406">
        <f>D151*D$116</f>
        <v>2554.4339005958313</v>
      </c>
      <c r="E153" s="406">
        <f t="shared" ref="E153:M153" si="56">E151*E$116</f>
        <v>978.26276417745157</v>
      </c>
      <c r="F153" s="406">
        <f t="shared" si="56"/>
        <v>4702.4805897332353</v>
      </c>
      <c r="G153" s="406">
        <f t="shared" si="56"/>
        <v>4702.4805897332353</v>
      </c>
      <c r="H153" s="406">
        <f t="shared" si="56"/>
        <v>2554.4339005958313</v>
      </c>
      <c r="I153" s="406">
        <f t="shared" si="56"/>
        <v>7198.8591744064342</v>
      </c>
      <c r="J153" s="406">
        <f t="shared" si="56"/>
        <v>489.13138208872579</v>
      </c>
      <c r="K153" s="406">
        <f t="shared" si="56"/>
        <v>3750.0072626802316</v>
      </c>
      <c r="L153" s="406">
        <f t="shared" si="56"/>
        <v>2743.1136773443868</v>
      </c>
      <c r="M153" s="406">
        <f t="shared" si="56"/>
        <v>6269.9741196443129</v>
      </c>
      <c r="N153" s="406">
        <f>N151*N$116</f>
        <v>2690.2226014879943</v>
      </c>
    </row>
    <row r="154" spans="2:14" ht="12.75" customHeight="1">
      <c r="B154" s="401">
        <f>SUM(D153:N153)</f>
        <v>38633.399962487667</v>
      </c>
    </row>
    <row r="155" spans="2:14" ht="8.1" customHeight="1"/>
    <row r="156" spans="2:14" ht="8.1" customHeight="1"/>
    <row r="157" spans="2:14" ht="12.75" customHeight="1">
      <c r="B157" s="1" t="s">
        <v>375</v>
      </c>
    </row>
    <row r="158" spans="2:14" ht="12.75" customHeight="1">
      <c r="B158" s="2" t="s">
        <v>371</v>
      </c>
      <c r="D158" s="274">
        <f>SUM(D88:D90)-D147</f>
        <v>75189.228715280507</v>
      </c>
      <c r="E158" s="274">
        <f t="shared" ref="E158:N158" si="57">SUM(E88:E90)-E147</f>
        <v>124213.97155347897</v>
      </c>
      <c r="F158" s="274">
        <f t="shared" si="57"/>
        <v>87437.234981781279</v>
      </c>
      <c r="G158" s="274">
        <f t="shared" si="57"/>
        <v>10887.195816151478</v>
      </c>
      <c r="H158" s="274">
        <f t="shared" si="57"/>
        <v>262311.54667570896</v>
      </c>
      <c r="I158" s="274">
        <f t="shared" si="57"/>
        <v>92200.348529864918</v>
      </c>
      <c r="J158" s="274">
        <f t="shared" si="57"/>
        <v>549491.96691808919</v>
      </c>
      <c r="K158" s="274">
        <f t="shared" si="57"/>
        <v>209269.57062640102</v>
      </c>
      <c r="L158" s="274">
        <f t="shared" si="57"/>
        <v>0</v>
      </c>
      <c r="M158" s="274">
        <f t="shared" si="57"/>
        <v>0</v>
      </c>
      <c r="N158" s="274">
        <f t="shared" si="57"/>
        <v>0</v>
      </c>
    </row>
    <row r="159" spans="2:14" ht="8.1" customHeight="1"/>
    <row r="160" spans="2:14" ht="12.75" customHeight="1">
      <c r="B160" s="165" t="s">
        <v>167</v>
      </c>
      <c r="C160" s="354">
        <f>C137</f>
        <v>0.25</v>
      </c>
      <c r="D160" s="44">
        <f>+D137</f>
        <v>0.51168708333685531</v>
      </c>
      <c r="E160" s="44">
        <f t="shared" ref="E160:M160" si="58">+E137</f>
        <v>0.26182367125377792</v>
      </c>
      <c r="F160" s="44">
        <f t="shared" si="58"/>
        <v>0.63960885417106905</v>
      </c>
      <c r="G160" s="44">
        <f t="shared" si="58"/>
        <v>0.63960885417106905</v>
      </c>
      <c r="H160" s="44">
        <f t="shared" si="58"/>
        <v>0.51168708333685531</v>
      </c>
      <c r="I160" s="44">
        <f t="shared" si="58"/>
        <v>0.51168708333685531</v>
      </c>
      <c r="J160" s="44">
        <f t="shared" si="58"/>
        <v>0.26182367125377792</v>
      </c>
      <c r="K160" s="44">
        <f t="shared" si="58"/>
        <v>0.26182367125377792</v>
      </c>
      <c r="L160" s="44">
        <f t="shared" si="58"/>
        <v>0.63960885417106905</v>
      </c>
      <c r="M160" s="44">
        <f t="shared" si="58"/>
        <v>0.51168708333685531</v>
      </c>
      <c r="N160" s="44">
        <f>+N137</f>
        <v>0.26182367125377792</v>
      </c>
    </row>
    <row r="161" spans="2:14" ht="8.1" customHeight="1"/>
    <row r="162" spans="2:14" ht="12.75" customHeight="1">
      <c r="B162" s="2" t="s">
        <v>168</v>
      </c>
      <c r="D162" s="406">
        <f>D158*D160</f>
        <v>38473.357139669613</v>
      </c>
      <c r="E162" s="406">
        <f t="shared" ref="E162:M162" si="59">E158*E160</f>
        <v>32522.158053144201</v>
      </c>
      <c r="F162" s="406">
        <f t="shared" si="59"/>
        <v>55925.629678583638</v>
      </c>
      <c r="G162" s="406">
        <f t="shared" si="59"/>
        <v>6963.5468411047032</v>
      </c>
      <c r="H162" s="406">
        <f t="shared" si="59"/>
        <v>134221.43024407289</v>
      </c>
      <c r="I162" s="406">
        <f t="shared" si="59"/>
        <v>47177.727421888092</v>
      </c>
      <c r="J162" s="406">
        <f t="shared" si="59"/>
        <v>143870.00410295359</v>
      </c>
      <c r="K162" s="406">
        <f t="shared" si="59"/>
        <v>54791.727263106084</v>
      </c>
      <c r="L162" s="406">
        <f t="shared" si="59"/>
        <v>0</v>
      </c>
      <c r="M162" s="406">
        <f t="shared" si="59"/>
        <v>0</v>
      </c>
      <c r="N162" s="406">
        <f>N158*N160</f>
        <v>0</v>
      </c>
    </row>
    <row r="163" spans="2:14" ht="8.1" customHeight="1"/>
    <row r="164" spans="2:14" ht="12.75" customHeight="1">
      <c r="B164" s="2" t="s">
        <v>372</v>
      </c>
      <c r="D164" s="406">
        <f>D162*D$116</f>
        <v>2116.0346426818287</v>
      </c>
      <c r="E164" s="406">
        <f t="shared" ref="E164:M164" si="60">E162*E$116</f>
        <v>975.66474159432596</v>
      </c>
      <c r="F164" s="406">
        <f t="shared" si="60"/>
        <v>5033.306671072527</v>
      </c>
      <c r="G164" s="406">
        <f t="shared" si="60"/>
        <v>626.71921569942322</v>
      </c>
      <c r="H164" s="406">
        <f t="shared" si="60"/>
        <v>7382.1786634240088</v>
      </c>
      <c r="I164" s="406">
        <f t="shared" si="60"/>
        <v>7312.5477503926541</v>
      </c>
      <c r="J164" s="406">
        <f t="shared" si="60"/>
        <v>2158.0500615443038</v>
      </c>
      <c r="K164" s="406">
        <f t="shared" si="60"/>
        <v>6301.0486352571997</v>
      </c>
      <c r="L164" s="406">
        <f t="shared" si="60"/>
        <v>0</v>
      </c>
      <c r="M164" s="406">
        <f t="shared" si="60"/>
        <v>0</v>
      </c>
      <c r="N164" s="406">
        <f>N162*N$116</f>
        <v>0</v>
      </c>
    </row>
    <row r="165" spans="2:14" ht="12.75" customHeight="1">
      <c r="B165" s="401">
        <f>SUM(D164:N164)</f>
        <v>31905.550381666275</v>
      </c>
      <c r="D165" s="406"/>
      <c r="E165" s="406"/>
      <c r="F165" s="406"/>
      <c r="G165" s="406"/>
      <c r="H165" s="406"/>
      <c r="I165" s="406"/>
      <c r="J165" s="406"/>
      <c r="K165" s="406"/>
      <c r="L165" s="406"/>
      <c r="M165" s="406"/>
      <c r="N165" s="406"/>
    </row>
    <row r="166" spans="2:14" ht="8.1" customHeight="1"/>
    <row r="167" spans="2:14" ht="12.75" customHeight="1">
      <c r="B167" s="184"/>
      <c r="C167" s="185"/>
      <c r="D167" s="186" t="s">
        <v>264</v>
      </c>
      <c r="E167" s="186" t="s">
        <v>262</v>
      </c>
      <c r="F167" s="187" t="s">
        <v>376</v>
      </c>
    </row>
    <row r="168" spans="2:14" ht="12.75" customHeight="1">
      <c r="B168" s="188" t="s">
        <v>377</v>
      </c>
      <c r="C168" s="111"/>
      <c r="D168" s="402">
        <f>B165+B154</f>
        <v>70538.950344153942</v>
      </c>
      <c r="E168" s="1733">
        <f>SUM('Cap Table'!E11:G11)</f>
        <v>33074.987999999998</v>
      </c>
      <c r="F168" s="189">
        <f>D168/E168</f>
        <v>2.1326976851557422</v>
      </c>
      <c r="G168" s="1735"/>
      <c r="H168" s="907"/>
      <c r="I168" s="907"/>
      <c r="J168" s="907"/>
    </row>
    <row r="169" spans="2:14" ht="12.75" customHeight="1">
      <c r="B169" s="49"/>
      <c r="C169" s="49"/>
      <c r="D169" s="1724"/>
      <c r="E169" s="136"/>
      <c r="F169" s="1725"/>
      <c r="G169" s="907"/>
      <c r="H169" s="907"/>
      <c r="I169" s="907"/>
      <c r="J169" s="907"/>
    </row>
    <row r="170" spans="2:14" ht="12.75" customHeight="1">
      <c r="B170" s="1023" t="s">
        <v>2112</v>
      </c>
      <c r="C170" s="1221"/>
      <c r="D170" s="1221"/>
      <c r="E170" s="1221"/>
      <c r="F170" s="1221"/>
      <c r="G170" s="1221"/>
      <c r="H170" s="1221"/>
      <c r="I170" s="1221"/>
      <c r="J170" s="1221"/>
      <c r="K170" s="1221"/>
      <c r="L170" s="1726"/>
      <c r="M170" s="1726"/>
      <c r="N170" s="1727"/>
    </row>
    <row r="171" spans="2:14" ht="12.75" customHeight="1">
      <c r="L171" s="78"/>
      <c r="M171" s="78"/>
      <c r="N171" s="78"/>
    </row>
    <row r="172" spans="2:14" ht="12.75" customHeight="1">
      <c r="B172" s="1" t="s">
        <v>374</v>
      </c>
      <c r="L172" s="78"/>
      <c r="M172" s="78"/>
      <c r="N172" s="78"/>
    </row>
    <row r="173" spans="2:14" ht="12.75" customHeight="1">
      <c r="B173" s="2" t="s">
        <v>371</v>
      </c>
      <c r="D173" s="274">
        <f>MIN(D87,$Q$61)</f>
        <v>44050</v>
      </c>
      <c r="E173" s="274">
        <f t="shared" ref="E173:N173" si="61">MIN(E87,$Q$61)</f>
        <v>44050</v>
      </c>
      <c r="F173" s="274">
        <f t="shared" si="61"/>
        <v>44050</v>
      </c>
      <c r="G173" s="274">
        <f t="shared" si="61"/>
        <v>44050</v>
      </c>
      <c r="H173" s="274">
        <f t="shared" si="61"/>
        <v>44050</v>
      </c>
      <c r="I173" s="274">
        <f t="shared" si="61"/>
        <v>44050</v>
      </c>
      <c r="J173" s="274">
        <f t="shared" si="61"/>
        <v>44050</v>
      </c>
      <c r="K173" s="274">
        <f t="shared" si="61"/>
        <v>44050</v>
      </c>
      <c r="L173" s="274">
        <f t="shared" si="61"/>
        <v>22025</v>
      </c>
      <c r="M173" s="274">
        <f t="shared" si="61"/>
        <v>33037.5</v>
      </c>
      <c r="N173" s="274">
        <f t="shared" si="61"/>
        <v>33037.5</v>
      </c>
    </row>
    <row r="174" spans="2:14" ht="12.75" customHeight="1"/>
    <row r="175" spans="2:14" ht="12.75" customHeight="1">
      <c r="B175" s="165" t="s">
        <v>167</v>
      </c>
      <c r="C175" s="354">
        <f>C149</f>
        <v>0.125</v>
      </c>
      <c r="D175" s="44">
        <f>D149</f>
        <v>0.70210536037240634</v>
      </c>
      <c r="E175" s="44">
        <f t="shared" ref="E175:N175" si="62">E149</f>
        <v>0.49295193706366663</v>
      </c>
      <c r="F175" s="44">
        <f t="shared" si="62"/>
        <v>0.7898685304189571</v>
      </c>
      <c r="G175" s="44">
        <f t="shared" si="62"/>
        <v>0.7898685304189571</v>
      </c>
      <c r="H175" s="44">
        <f t="shared" si="62"/>
        <v>0.70210536037240634</v>
      </c>
      <c r="I175" s="44">
        <f t="shared" si="62"/>
        <v>0.70210536037240634</v>
      </c>
      <c r="J175" s="44">
        <f t="shared" si="62"/>
        <v>0.49295193706366663</v>
      </c>
      <c r="K175" s="44">
        <f t="shared" si="62"/>
        <v>0.49295193706366663</v>
      </c>
      <c r="L175" s="44">
        <f t="shared" si="62"/>
        <v>0.7898685304189571</v>
      </c>
      <c r="M175" s="44">
        <f t="shared" si="62"/>
        <v>0.70210536037240634</v>
      </c>
      <c r="N175" s="44">
        <f t="shared" si="62"/>
        <v>0.49295193706366663</v>
      </c>
    </row>
    <row r="176" spans="2:14" ht="12.75" customHeight="1">
      <c r="B176" s="2"/>
    </row>
    <row r="177" spans="2:14" ht="12.75" customHeight="1">
      <c r="B177" s="2" t="s">
        <v>168</v>
      </c>
      <c r="D177" s="406">
        <f t="shared" ref="D177:N177" si="63">D173*D175</f>
        <v>30927.7411244045</v>
      </c>
      <c r="E177" s="406">
        <f t="shared" si="63"/>
        <v>21714.532827654515</v>
      </c>
      <c r="F177" s="406">
        <f t="shared" si="63"/>
        <v>34793.708764955059</v>
      </c>
      <c r="G177" s="406">
        <f t="shared" si="63"/>
        <v>34793.708764955059</v>
      </c>
      <c r="H177" s="406">
        <f t="shared" si="63"/>
        <v>30927.7411244045</v>
      </c>
      <c r="I177" s="406">
        <f>I173*I175</f>
        <v>30927.7411244045</v>
      </c>
      <c r="J177" s="406">
        <f t="shared" si="63"/>
        <v>21714.532827654515</v>
      </c>
      <c r="K177" s="406">
        <f t="shared" si="63"/>
        <v>21714.532827654515</v>
      </c>
      <c r="L177" s="406">
        <f t="shared" si="63"/>
        <v>17396.85438247753</v>
      </c>
      <c r="M177" s="406">
        <f t="shared" si="63"/>
        <v>23195.805843303373</v>
      </c>
      <c r="N177" s="406">
        <f t="shared" si="63"/>
        <v>16285.899620740887</v>
      </c>
    </row>
    <row r="178" spans="2:14" ht="12.75" customHeight="1"/>
    <row r="179" spans="2:14" ht="12.75" customHeight="1">
      <c r="B179" s="2" t="s">
        <v>372</v>
      </c>
      <c r="D179" s="406">
        <f>D177*D$116</f>
        <v>1701.0257618422474</v>
      </c>
      <c r="E179" s="406">
        <f t="shared" ref="E179:N179" si="64">E177*E$116</f>
        <v>651.43598482963546</v>
      </c>
      <c r="F179" s="406">
        <f t="shared" si="64"/>
        <v>3131.4337888459554</v>
      </c>
      <c r="G179" s="406">
        <f t="shared" si="64"/>
        <v>3131.4337888459554</v>
      </c>
      <c r="H179" s="406">
        <f t="shared" si="64"/>
        <v>1701.0257618422474</v>
      </c>
      <c r="I179" s="406">
        <f t="shared" si="64"/>
        <v>4793.7998742826976</v>
      </c>
      <c r="J179" s="406">
        <f t="shared" si="64"/>
        <v>325.71799241481773</v>
      </c>
      <c r="K179" s="406">
        <f t="shared" si="64"/>
        <v>2497.1712751802693</v>
      </c>
      <c r="L179" s="406">
        <f t="shared" si="64"/>
        <v>1826.6697101601405</v>
      </c>
      <c r="M179" s="406">
        <f t="shared" si="64"/>
        <v>4175.2450517946072</v>
      </c>
      <c r="N179" s="406">
        <f t="shared" si="64"/>
        <v>1791.4489582814992</v>
      </c>
    </row>
    <row r="180" spans="2:14" ht="12.75" customHeight="1">
      <c r="B180" s="1728">
        <f>SUM(D179:N179)</f>
        <v>25726.407948320077</v>
      </c>
      <c r="L180" s="78"/>
      <c r="M180" s="78"/>
      <c r="N180" s="78"/>
    </row>
    <row r="181" spans="2:14" ht="12.75" customHeight="1">
      <c r="L181" s="78"/>
      <c r="M181" s="78"/>
      <c r="N181" s="78"/>
    </row>
    <row r="182" spans="2:14" ht="12.75" customHeight="1">
      <c r="L182" s="78"/>
      <c r="M182" s="78"/>
      <c r="N182" s="78"/>
    </row>
    <row r="183" spans="2:14" ht="12.75" customHeight="1">
      <c r="B183" s="1" t="s">
        <v>375</v>
      </c>
      <c r="L183" s="78"/>
      <c r="M183" s="78"/>
      <c r="N183" s="78"/>
    </row>
    <row r="184" spans="2:14" ht="12.75" customHeight="1">
      <c r="B184" s="2" t="s">
        <v>371</v>
      </c>
      <c r="D184" s="274">
        <f>D87-D173</f>
        <v>144188.6765403545</v>
      </c>
      <c r="E184" s="274">
        <f t="shared" ref="E184:N184" si="65">E87-E173</f>
        <v>209480.91253519879</v>
      </c>
      <c r="F184" s="274">
        <f t="shared" si="65"/>
        <v>160500.84197604141</v>
      </c>
      <c r="G184" s="274">
        <f t="shared" si="65"/>
        <v>58549.808002998281</v>
      </c>
      <c r="H184" s="274">
        <f t="shared" si="65"/>
        <v>393402.31514112663</v>
      </c>
      <c r="I184" s="274">
        <f t="shared" si="65"/>
        <v>166844.46186769742</v>
      </c>
      <c r="J184" s="274">
        <f t="shared" si="65"/>
        <v>775875.54571877187</v>
      </c>
      <c r="K184" s="274">
        <f t="shared" si="65"/>
        <v>322759.83917191339</v>
      </c>
      <c r="L184" s="274">
        <f t="shared" si="65"/>
        <v>0</v>
      </c>
      <c r="M184" s="274">
        <f t="shared" si="65"/>
        <v>0</v>
      </c>
      <c r="N184" s="274">
        <f t="shared" si="65"/>
        <v>0</v>
      </c>
    </row>
    <row r="185" spans="2:14" ht="12.75" customHeight="1"/>
    <row r="186" spans="2:14" ht="12.75" customHeight="1">
      <c r="B186" s="165" t="s">
        <v>167</v>
      </c>
      <c r="C186" s="354">
        <f>C160</f>
        <v>0.25</v>
      </c>
      <c r="D186" s="44">
        <f>D160</f>
        <v>0.51168708333685531</v>
      </c>
      <c r="E186" s="44">
        <f t="shared" ref="E186:N186" si="66">E160</f>
        <v>0.26182367125377792</v>
      </c>
      <c r="F186" s="44">
        <f t="shared" si="66"/>
        <v>0.63960885417106905</v>
      </c>
      <c r="G186" s="44">
        <f t="shared" si="66"/>
        <v>0.63960885417106905</v>
      </c>
      <c r="H186" s="44">
        <f t="shared" si="66"/>
        <v>0.51168708333685531</v>
      </c>
      <c r="I186" s="44">
        <f t="shared" si="66"/>
        <v>0.51168708333685531</v>
      </c>
      <c r="J186" s="44">
        <f t="shared" si="66"/>
        <v>0.26182367125377792</v>
      </c>
      <c r="K186" s="44">
        <f t="shared" si="66"/>
        <v>0.26182367125377792</v>
      </c>
      <c r="L186" s="44">
        <f t="shared" si="66"/>
        <v>0.63960885417106905</v>
      </c>
      <c r="M186" s="44">
        <f t="shared" si="66"/>
        <v>0.51168708333685531</v>
      </c>
      <c r="N186" s="44">
        <f t="shared" si="66"/>
        <v>0.26182367125377792</v>
      </c>
    </row>
    <row r="187" spans="2:14" ht="12.75" customHeight="1"/>
    <row r="188" spans="2:14" ht="12.75" customHeight="1">
      <c r="B188" s="2" t="s">
        <v>168</v>
      </c>
      <c r="D188" s="406">
        <f t="shared" ref="D188:N188" si="67">D184*D186</f>
        <v>73779.483349135247</v>
      </c>
      <c r="E188" s="406">
        <f t="shared" si="67"/>
        <v>54847.061577557295</v>
      </c>
      <c r="F188" s="406">
        <f t="shared" si="67"/>
        <v>102657.75962978767</v>
      </c>
      <c r="G188" s="406">
        <f t="shared" si="67"/>
        <v>37448.975608733817</v>
      </c>
      <c r="H188" s="406">
        <f t="shared" si="67"/>
        <v>201298.88321252947</v>
      </c>
      <c r="I188" s="406">
        <f t="shared" si="67"/>
        <v>85372.15606398927</v>
      </c>
      <c r="J188" s="406">
        <f t="shared" si="67"/>
        <v>203142.58381611726</v>
      </c>
      <c r="K188" s="406">
        <f t="shared" si="67"/>
        <v>84506.166025269282</v>
      </c>
      <c r="L188" s="406">
        <f t="shared" si="67"/>
        <v>0</v>
      </c>
      <c r="M188" s="406">
        <f t="shared" si="67"/>
        <v>0</v>
      </c>
      <c r="N188" s="406">
        <f t="shared" si="67"/>
        <v>0</v>
      </c>
    </row>
    <row r="189" spans="2:14" ht="12.75" customHeight="1"/>
    <row r="190" spans="2:14" ht="12.75" customHeight="1">
      <c r="B190" s="2" t="s">
        <v>372</v>
      </c>
      <c r="D190" s="406">
        <f>D188*D$116</f>
        <v>4057.8715842024385</v>
      </c>
      <c r="E190" s="406">
        <f t="shared" ref="E190:N190" si="68">E188*E$116</f>
        <v>1645.4118473267188</v>
      </c>
      <c r="F190" s="406">
        <f t="shared" si="68"/>
        <v>9239.1983666808901</v>
      </c>
      <c r="G190" s="406">
        <f t="shared" si="68"/>
        <v>3370.4078047860435</v>
      </c>
      <c r="H190" s="406">
        <f t="shared" si="68"/>
        <v>11071.438576689121</v>
      </c>
      <c r="I190" s="406">
        <f t="shared" si="68"/>
        <v>13232.684189918336</v>
      </c>
      <c r="J190" s="406">
        <f t="shared" si="68"/>
        <v>3047.1387572417589</v>
      </c>
      <c r="K190" s="406">
        <f t="shared" si="68"/>
        <v>9718.2090929059686</v>
      </c>
      <c r="L190" s="406">
        <f t="shared" si="68"/>
        <v>0</v>
      </c>
      <c r="M190" s="406">
        <f t="shared" si="68"/>
        <v>0</v>
      </c>
      <c r="N190" s="406">
        <f t="shared" si="68"/>
        <v>0</v>
      </c>
    </row>
    <row r="191" spans="2:14" ht="12.75" customHeight="1">
      <c r="B191" s="1728">
        <f>SUM(D190:N190)</f>
        <v>55382.360219751274</v>
      </c>
      <c r="D191" s="406"/>
      <c r="E191" s="406"/>
      <c r="F191" s="406"/>
      <c r="G191" s="406"/>
      <c r="H191" s="406"/>
      <c r="I191" s="406"/>
      <c r="J191" s="406"/>
      <c r="K191" s="406"/>
      <c r="L191" s="274"/>
      <c r="M191" s="274"/>
      <c r="N191" s="274"/>
    </row>
    <row r="192" spans="2:14" ht="12.75" customHeight="1">
      <c r="L192" s="78"/>
      <c r="M192" s="78"/>
      <c r="N192" s="78"/>
    </row>
    <row r="193" spans="2:14" ht="12.75" customHeight="1">
      <c r="B193" s="1729"/>
      <c r="C193" s="1223"/>
      <c r="D193" s="1730" t="s">
        <v>264</v>
      </c>
      <c r="E193" s="1730" t="s">
        <v>262</v>
      </c>
      <c r="F193" s="1731" t="s">
        <v>376</v>
      </c>
      <c r="L193" s="78"/>
      <c r="M193" s="78"/>
      <c r="N193" s="78"/>
    </row>
    <row r="194" spans="2:14" ht="12.75" customHeight="1">
      <c r="B194" s="1732" t="s">
        <v>2112</v>
      </c>
      <c r="C194" s="111"/>
      <c r="D194" s="402">
        <f>B191+B180</f>
        <v>81108.768168071343</v>
      </c>
      <c r="E194" s="1733">
        <f>'Cap Table'!D20</f>
        <v>44050</v>
      </c>
      <c r="F194" s="1734">
        <f>D194/E194</f>
        <v>1.8412887211820963</v>
      </c>
      <c r="G194" s="1735"/>
      <c r="K194" s="907"/>
      <c r="L194" s="78"/>
      <c r="M194" s="78"/>
      <c r="N194" s="78"/>
    </row>
    <row r="195" spans="2:14" ht="8.1" customHeight="1"/>
    <row r="196" spans="2:14" ht="12.75" hidden="1" customHeight="1" outlineLevel="1">
      <c r="B196" s="1023" t="s">
        <v>280</v>
      </c>
      <c r="C196" s="1221"/>
      <c r="D196" s="1221"/>
      <c r="E196" s="1221"/>
      <c r="F196" s="1221"/>
      <c r="G196" s="1221"/>
      <c r="H196" s="1221"/>
      <c r="I196" s="1221"/>
      <c r="J196" s="1221"/>
      <c r="K196" s="1221"/>
      <c r="L196" s="1221"/>
      <c r="M196" s="1221"/>
      <c r="N196" s="1221"/>
    </row>
    <row r="197" spans="2:14" ht="8.1" hidden="1" customHeight="1" outlineLevel="1"/>
    <row r="198" spans="2:14" ht="12.75" hidden="1" customHeight="1" outlineLevel="1">
      <c r="B198" s="2" t="s">
        <v>371</v>
      </c>
      <c r="D198" s="274">
        <f t="shared" ref="D198:N198" si="69">D54</f>
        <v>414000</v>
      </c>
      <c r="E198" s="274">
        <f t="shared" si="69"/>
        <v>558096.16583902761</v>
      </c>
      <c r="F198" s="274">
        <f t="shared" si="69"/>
        <v>450000</v>
      </c>
      <c r="G198" s="274">
        <f t="shared" si="69"/>
        <v>225000</v>
      </c>
      <c r="H198" s="274">
        <f t="shared" si="69"/>
        <v>964000</v>
      </c>
      <c r="I198" s="274">
        <f t="shared" si="69"/>
        <v>464000</v>
      </c>
      <c r="J198" s="274">
        <f t="shared" si="69"/>
        <v>1808096.1658390276</v>
      </c>
      <c r="K198" s="274">
        <f t="shared" si="69"/>
        <v>808096.16583902761</v>
      </c>
      <c r="L198" s="274">
        <f t="shared" si="69"/>
        <v>55099.987999999998</v>
      </c>
      <c r="M198" s="274">
        <f t="shared" si="69"/>
        <v>82649.981999999989</v>
      </c>
      <c r="N198" s="274">
        <f t="shared" si="69"/>
        <v>82649.981999999989</v>
      </c>
    </row>
    <row r="199" spans="2:14" ht="8.1" hidden="1" customHeight="1" outlineLevel="1"/>
    <row r="200" spans="2:14" ht="12.75" hidden="1" customHeight="1" outlineLevel="1">
      <c r="B200" s="165" t="s">
        <v>167</v>
      </c>
      <c r="C200" s="450">
        <f>'WACC PWERM'!J23</f>
        <v>0.2</v>
      </c>
      <c r="D200" s="44">
        <f>1/(1+$C200)^D$13</f>
        <v>0.57841470695625186</v>
      </c>
      <c r="E200" s="44">
        <f t="shared" ref="E200:N200" si="70">1/(1+$C200)^E$13</f>
        <v>0.33456357322328673</v>
      </c>
      <c r="F200" s="44">
        <f t="shared" si="70"/>
        <v>0.69409764834750221</v>
      </c>
      <c r="G200" s="44">
        <f t="shared" si="70"/>
        <v>0.69409764834750221</v>
      </c>
      <c r="H200" s="44">
        <f t="shared" si="70"/>
        <v>0.57841470695625186</v>
      </c>
      <c r="I200" s="44">
        <f t="shared" si="70"/>
        <v>0.57841470695625186</v>
      </c>
      <c r="J200" s="44">
        <f t="shared" si="70"/>
        <v>0.33456357322328673</v>
      </c>
      <c r="K200" s="44">
        <f t="shared" si="70"/>
        <v>0.33456357322328673</v>
      </c>
      <c r="L200" s="44">
        <f t="shared" si="70"/>
        <v>0.69409764834750221</v>
      </c>
      <c r="M200" s="44">
        <f t="shared" si="70"/>
        <v>0.57841470695625186</v>
      </c>
      <c r="N200" s="44">
        <f t="shared" si="70"/>
        <v>0.33456357322328673</v>
      </c>
    </row>
    <row r="201" spans="2:14" ht="8.1" hidden="1" customHeight="1" outlineLevel="1"/>
    <row r="202" spans="2:14" ht="12.75" hidden="1" customHeight="1" outlineLevel="1">
      <c r="B202" s="2" t="s">
        <v>168</v>
      </c>
      <c r="D202" s="406">
        <f>D198*D200</f>
        <v>239463.68867988826</v>
      </c>
      <c r="E202" s="406">
        <f t="shared" ref="E202:M202" si="71">E198*E200</f>
        <v>186718.64744532108</v>
      </c>
      <c r="F202" s="406">
        <f t="shared" si="71"/>
        <v>312343.94175637601</v>
      </c>
      <c r="G202" s="406">
        <f t="shared" si="71"/>
        <v>156171.970878188</v>
      </c>
      <c r="H202" s="406">
        <f t="shared" si="71"/>
        <v>557591.77750582679</v>
      </c>
      <c r="I202" s="406">
        <f t="shared" si="71"/>
        <v>268384.42402770085</v>
      </c>
      <c r="J202" s="406">
        <f t="shared" si="71"/>
        <v>604923.11397442955</v>
      </c>
      <c r="K202" s="406">
        <f t="shared" si="71"/>
        <v>270359.54075114278</v>
      </c>
      <c r="L202" s="406">
        <f t="shared" si="71"/>
        <v>38244.772094775588</v>
      </c>
      <c r="M202" s="406">
        <f t="shared" si="71"/>
        <v>47805.965118469481</v>
      </c>
      <c r="N202" s="406">
        <f>N198*N200</f>
        <v>27651.673304760327</v>
      </c>
    </row>
    <row r="203" spans="2:14" ht="8.1" hidden="1" customHeight="1" outlineLevel="1"/>
    <row r="204" spans="2:14" ht="12.75" hidden="1" customHeight="1" outlineLevel="1">
      <c r="B204" s="2" t="s">
        <v>372</v>
      </c>
      <c r="D204" s="406">
        <f>D202*D$116</f>
        <v>13170.502877393854</v>
      </c>
      <c r="E204" s="406">
        <f t="shared" ref="E204:M204" si="72">E202*E$116</f>
        <v>5601.5594233596321</v>
      </c>
      <c r="F204" s="406">
        <f t="shared" si="72"/>
        <v>28110.95475807384</v>
      </c>
      <c r="G204" s="406">
        <f t="shared" si="72"/>
        <v>14055.47737903692</v>
      </c>
      <c r="H204" s="406">
        <f t="shared" si="72"/>
        <v>30667.547762820472</v>
      </c>
      <c r="I204" s="406">
        <f t="shared" si="72"/>
        <v>41599.585724293633</v>
      </c>
      <c r="J204" s="406">
        <f t="shared" si="72"/>
        <v>9073.8467096164422</v>
      </c>
      <c r="K204" s="406">
        <f t="shared" si="72"/>
        <v>31091.347186381419</v>
      </c>
      <c r="L204" s="406">
        <f t="shared" si="72"/>
        <v>4015.7010699514367</v>
      </c>
      <c r="M204" s="406">
        <f t="shared" si="72"/>
        <v>8605.0737213245066</v>
      </c>
      <c r="N204" s="406">
        <f>N202*N$116</f>
        <v>3041.6840635236385</v>
      </c>
    </row>
    <row r="205" spans="2:14" ht="12.75" hidden="1" customHeight="1" outlineLevel="1">
      <c r="B205" s="401">
        <f>ROUND(SUM(D204:M204),-1)</f>
        <v>185990</v>
      </c>
    </row>
    <row r="206" spans="2:14" ht="12.75" customHeight="1" collapsed="1">
      <c r="B206" s="1736"/>
    </row>
    <row r="207" spans="2:14" ht="12.75" customHeight="1">
      <c r="B207" s="1023" t="s">
        <v>2957</v>
      </c>
      <c r="C207" s="1221"/>
      <c r="D207" s="1221"/>
      <c r="E207" s="1221"/>
      <c r="F207" s="1221"/>
      <c r="G207" s="1221"/>
      <c r="H207" s="1221"/>
      <c r="I207" s="1221"/>
      <c r="J207" s="1221"/>
      <c r="K207" s="1221"/>
      <c r="L207" s="1726"/>
      <c r="M207" s="1726"/>
      <c r="N207" s="1727"/>
    </row>
    <row r="208" spans="2:14" ht="12.75" customHeight="1">
      <c r="L208" s="78"/>
      <c r="M208" s="78"/>
      <c r="N208" s="78"/>
    </row>
    <row r="209" spans="1:14" ht="12.75" customHeight="1">
      <c r="B209" s="2" t="s">
        <v>371</v>
      </c>
      <c r="D209" s="274">
        <f>D58</f>
        <v>414000</v>
      </c>
      <c r="E209" s="274">
        <f t="shared" ref="E209:N209" si="73">E58</f>
        <v>558096.16583902761</v>
      </c>
      <c r="F209" s="274">
        <f t="shared" si="73"/>
        <v>450000</v>
      </c>
      <c r="G209" s="274">
        <f t="shared" si="73"/>
        <v>225000</v>
      </c>
      <c r="H209" s="274">
        <f t="shared" si="73"/>
        <v>964000</v>
      </c>
      <c r="I209" s="274">
        <f t="shared" si="73"/>
        <v>464000</v>
      </c>
      <c r="J209" s="274">
        <f t="shared" si="73"/>
        <v>1808096.1658390276</v>
      </c>
      <c r="K209" s="274">
        <f t="shared" si="73"/>
        <v>808096.16583902761</v>
      </c>
      <c r="L209" s="274">
        <f t="shared" si="73"/>
        <v>55099.987999999998</v>
      </c>
      <c r="M209" s="274">
        <f t="shared" si="73"/>
        <v>82649.981999999989</v>
      </c>
      <c r="N209" s="274">
        <f t="shared" si="73"/>
        <v>82649.981999999989</v>
      </c>
    </row>
    <row r="210" spans="1:14" ht="12.75" customHeight="1"/>
    <row r="211" spans="1:14" ht="12.75" customHeight="1">
      <c r="B211" s="1737" t="s">
        <v>2113</v>
      </c>
      <c r="C211" s="450"/>
      <c r="D211" s="407">
        <f>-D89</f>
        <v>-47113.068238426837</v>
      </c>
      <c r="E211" s="407">
        <f t="shared" ref="E211:N211" si="74">-E89</f>
        <v>-63454.649184492991</v>
      </c>
      <c r="F211" s="407">
        <f t="shared" si="74"/>
        <v>-51195.736993927094</v>
      </c>
      <c r="G211" s="407">
        <f t="shared" si="74"/>
        <v>-25679.05727205049</v>
      </c>
      <c r="H211" s="407">
        <f t="shared" si="74"/>
        <v>-109487.17422523633</v>
      </c>
      <c r="I211" s="407">
        <f t="shared" si="74"/>
        <v>-52783.441509954973</v>
      </c>
      <c r="J211" s="407">
        <f t="shared" si="74"/>
        <v>-205213.98097269639</v>
      </c>
      <c r="K211" s="407">
        <f t="shared" si="74"/>
        <v>-91806.515542133668</v>
      </c>
      <c r="L211" s="407">
        <f t="shared" si="74"/>
        <v>-11024.995999999999</v>
      </c>
      <c r="M211" s="407">
        <f t="shared" si="74"/>
        <v>-16537.493999999999</v>
      </c>
      <c r="N211" s="407">
        <f t="shared" si="74"/>
        <v>-16537.493999999999</v>
      </c>
    </row>
    <row r="212" spans="1:14" ht="12.75" customHeight="1">
      <c r="D212" s="882"/>
      <c r="E212" s="882"/>
      <c r="F212" s="882"/>
      <c r="G212" s="882"/>
      <c r="H212" s="882"/>
      <c r="I212" s="882"/>
      <c r="J212" s="882"/>
      <c r="K212" s="882"/>
      <c r="L212" s="882"/>
      <c r="M212" s="882"/>
    </row>
    <row r="213" spans="1:14" ht="12.75" customHeight="1">
      <c r="B213" s="1737" t="s">
        <v>2114</v>
      </c>
      <c r="C213" s="450"/>
      <c r="D213" s="407">
        <f>-D90</f>
        <v>-47113.068238426837</v>
      </c>
      <c r="E213" s="407">
        <f t="shared" ref="E213:N213" si="75">-E90</f>
        <v>-63454.649184492991</v>
      </c>
      <c r="F213" s="407">
        <f t="shared" si="75"/>
        <v>-51195.736993927094</v>
      </c>
      <c r="G213" s="407">
        <f t="shared" si="75"/>
        <v>-25679.05727205049</v>
      </c>
      <c r="H213" s="407">
        <f t="shared" si="75"/>
        <v>-109487.17422523633</v>
      </c>
      <c r="I213" s="407">
        <f t="shared" si="75"/>
        <v>-52783.441509954973</v>
      </c>
      <c r="J213" s="407">
        <f t="shared" si="75"/>
        <v>-205213.98097269639</v>
      </c>
      <c r="K213" s="407">
        <f t="shared" si="75"/>
        <v>-91806.515542133668</v>
      </c>
      <c r="L213" s="407">
        <f t="shared" si="75"/>
        <v>-11024.995999999999</v>
      </c>
      <c r="M213" s="407">
        <f t="shared" si="75"/>
        <v>-16537.493999999999</v>
      </c>
      <c r="N213" s="407">
        <f t="shared" si="75"/>
        <v>-16537.493999999999</v>
      </c>
    </row>
    <row r="214" spans="1:14" ht="12.75" customHeight="1">
      <c r="D214" s="882"/>
      <c r="E214" s="882"/>
      <c r="F214" s="882"/>
      <c r="G214" s="882"/>
      <c r="H214" s="882"/>
      <c r="I214" s="882"/>
      <c r="J214" s="882"/>
      <c r="K214" s="882"/>
      <c r="L214" s="882"/>
      <c r="M214" s="882"/>
    </row>
    <row r="215" spans="1:14" ht="25.5" customHeight="1">
      <c r="B215" s="2457" t="s">
        <v>2958</v>
      </c>
      <c r="C215" s="2508"/>
      <c r="D215" s="2509">
        <f>D209+D211+D213</f>
        <v>319773.86352314637</v>
      </c>
      <c r="E215" s="2509">
        <f t="shared" ref="E215:N215" si="76">E209+E211+E213</f>
        <v>431186.86747004162</v>
      </c>
      <c r="F215" s="2509">
        <f>F209+F211+F213</f>
        <v>347608.5260121458</v>
      </c>
      <c r="G215" s="2509">
        <f>G209+G211+G213</f>
        <v>173641.885455899</v>
      </c>
      <c r="H215" s="2509">
        <f t="shared" si="76"/>
        <v>745025.65154952742</v>
      </c>
      <c r="I215" s="2509">
        <f t="shared" si="76"/>
        <v>358433.11698009004</v>
      </c>
      <c r="J215" s="2509">
        <f t="shared" si="76"/>
        <v>1397668.203893635</v>
      </c>
      <c r="K215" s="2509">
        <f t="shared" si="76"/>
        <v>624483.13475476019</v>
      </c>
      <c r="L215" s="2509">
        <f t="shared" si="76"/>
        <v>33049.995999999999</v>
      </c>
      <c r="M215" s="2509">
        <f t="shared" si="76"/>
        <v>49574.993999999984</v>
      </c>
      <c r="N215" s="2509">
        <f t="shared" si="76"/>
        <v>49574.993999999984</v>
      </c>
    </row>
    <row r="216" spans="1:14" ht="12.75" customHeight="1">
      <c r="D216" s="78"/>
      <c r="E216" s="78"/>
      <c r="F216" s="78"/>
      <c r="G216" s="78"/>
      <c r="H216" s="78"/>
      <c r="I216" s="78"/>
      <c r="J216" s="78"/>
      <c r="K216" s="78"/>
      <c r="L216" s="78"/>
      <c r="M216" s="78"/>
    </row>
    <row r="217" spans="1:14" ht="12.75" customHeight="1">
      <c r="B217" s="165" t="s">
        <v>167</v>
      </c>
      <c r="C217" s="450">
        <f>'WACC PWERM'!J23</f>
        <v>0.2</v>
      </c>
      <c r="D217" s="44">
        <f t="shared" ref="D217:N217" si="77">1/(1+$C217)^IF(AND(D$7=$Q$8,$S$26=1),D$29+D$13,D$13)</f>
        <v>0.57841470695625186</v>
      </c>
      <c r="E217" s="44">
        <f t="shared" si="77"/>
        <v>0.33456357322328673</v>
      </c>
      <c r="F217" s="44">
        <f t="shared" si="77"/>
        <v>0.69409764834750221</v>
      </c>
      <c r="G217" s="44">
        <f t="shared" si="77"/>
        <v>0.69409764834750221</v>
      </c>
      <c r="H217" s="44">
        <f t="shared" si="77"/>
        <v>0.57841470695625186</v>
      </c>
      <c r="I217" s="44">
        <f t="shared" si="77"/>
        <v>0.57841470695625186</v>
      </c>
      <c r="J217" s="44">
        <f t="shared" si="77"/>
        <v>0.33456357322328673</v>
      </c>
      <c r="K217" s="44">
        <f t="shared" si="77"/>
        <v>0.33456357322328673</v>
      </c>
      <c r="L217" s="44">
        <f t="shared" si="77"/>
        <v>0.69409764834750221</v>
      </c>
      <c r="M217" s="44">
        <f t="shared" si="77"/>
        <v>0.57841470695625186</v>
      </c>
      <c r="N217" s="44">
        <f t="shared" si="77"/>
        <v>0.33456357322328673</v>
      </c>
    </row>
    <row r="218" spans="1:14" ht="12.75" customHeight="1"/>
    <row r="219" spans="1:14" ht="12.75" customHeight="1">
      <c r="B219" s="2" t="s">
        <v>168</v>
      </c>
      <c r="D219" s="406">
        <f>D215*D217</f>
        <v>184961.9055620092</v>
      </c>
      <c r="E219" s="406">
        <f>E215*E217</f>
        <v>144259.41910773289</v>
      </c>
      <c r="F219" s="406">
        <f>F215*F217</f>
        <v>241274.26045057195</v>
      </c>
      <c r="G219" s="406">
        <f>G215*G217</f>
        <v>120524.42434956584</v>
      </c>
      <c r="H219" s="406">
        <f t="shared" ref="H219:N219" si="78">H215*H217</f>
        <v>430933.79391591053</v>
      </c>
      <c r="I219" s="406">
        <f t="shared" si="78"/>
        <v>207322.98632145472</v>
      </c>
      <c r="J219" s="406">
        <f t="shared" si="78"/>
        <v>467608.86847522779</v>
      </c>
      <c r="K219" s="406">
        <f t="shared" si="78"/>
        <v>208929.30898123185</v>
      </c>
      <c r="L219" s="406">
        <f t="shared" si="78"/>
        <v>22939.924501494355</v>
      </c>
      <c r="M219" s="406">
        <f t="shared" si="78"/>
        <v>28674.905626867934</v>
      </c>
      <c r="N219" s="406">
        <f t="shared" si="78"/>
        <v>16585.987135162995</v>
      </c>
    </row>
    <row r="220" spans="1:14" ht="12.75" customHeight="1"/>
    <row r="221" spans="1:14" ht="12.75" customHeight="1">
      <c r="B221" s="2" t="s">
        <v>372</v>
      </c>
      <c r="D221" s="406">
        <f>D219*D$116</f>
        <v>10172.904805910506</v>
      </c>
      <c r="E221" s="406">
        <f t="shared" ref="E221:N221" si="79">E219*E$116</f>
        <v>4327.7825732319861</v>
      </c>
      <c r="F221" s="406">
        <f t="shared" si="79"/>
        <v>21714.683440551475</v>
      </c>
      <c r="G221" s="406">
        <f t="shared" si="79"/>
        <v>10847.198191460926</v>
      </c>
      <c r="H221" s="406">
        <f t="shared" si="79"/>
        <v>23701.358665375079</v>
      </c>
      <c r="I221" s="406">
        <f t="shared" si="79"/>
        <v>32135.06287982548</v>
      </c>
      <c r="J221" s="406">
        <f t="shared" si="79"/>
        <v>7014.1330271284169</v>
      </c>
      <c r="K221" s="406">
        <f t="shared" si="79"/>
        <v>24026.870532841665</v>
      </c>
      <c r="L221" s="406">
        <f t="shared" si="79"/>
        <v>2408.6920726569074</v>
      </c>
      <c r="M221" s="406">
        <f t="shared" si="79"/>
        <v>5161.4830128362282</v>
      </c>
      <c r="N221" s="406">
        <f t="shared" si="79"/>
        <v>1824.4585848679312</v>
      </c>
    </row>
    <row r="222" spans="1:14" ht="12.75" customHeight="1">
      <c r="B222" s="1728">
        <f>ROUND(SUM(D221:N221),-1)</f>
        <v>143330</v>
      </c>
    </row>
    <row r="223" spans="1:14" ht="12.75" customHeight="1">
      <c r="B223" s="1736"/>
    </row>
    <row r="224" spans="1:14" ht="12.75" customHeight="1">
      <c r="A224" s="78"/>
      <c r="B224" s="910" t="s">
        <v>86</v>
      </c>
    </row>
    <row r="225" spans="1:14" ht="26.25" customHeight="1">
      <c r="A225" s="1721" t="s">
        <v>210</v>
      </c>
      <c r="B225" s="3224" t="s">
        <v>2099</v>
      </c>
      <c r="C225" s="3224"/>
      <c r="D225" s="3224"/>
      <c r="E225" s="3224"/>
      <c r="F225" s="3224"/>
      <c r="G225" s="3224"/>
      <c r="H225" s="3224"/>
      <c r="I225" s="3224"/>
      <c r="J225" s="3224"/>
      <c r="K225" s="3224"/>
      <c r="L225" s="3224"/>
      <c r="M225" s="3224"/>
      <c r="N225" s="3224"/>
    </row>
    <row r="226" spans="1:14">
      <c r="A226" s="1721" t="s">
        <v>209</v>
      </c>
      <c r="B226" s="3224" t="str">
        <f>"Refer to "&amp;'PWERM DLOM'!B3 &amp; " for details regarding Discount for Lack of Marketability."</f>
        <v>Refer to Exhibit H.1 for details regarding Discount for Lack of Marketability.</v>
      </c>
      <c r="C226" s="3224"/>
      <c r="D226" s="3224"/>
      <c r="E226" s="3224"/>
      <c r="F226" s="3224"/>
      <c r="G226" s="3224"/>
      <c r="H226" s="3224"/>
      <c r="I226" s="3224"/>
      <c r="J226" s="3224"/>
      <c r="K226" s="3224"/>
      <c r="L226" s="3224"/>
      <c r="M226" s="3224"/>
      <c r="N226" s="3224"/>
    </row>
    <row r="227" spans="1:14">
      <c r="A227" s="1721" t="s">
        <v>246</v>
      </c>
      <c r="B227" s="3224" t="str">
        <f>"Refer to "&amp;'Non-Diversification Risk'!B3 &amp; " for details regarding Non-Diversification Risk / Additional Adjustment Factor."</f>
        <v>Refer to Exhibit H.9 for details regarding Non-Diversification Risk / Additional Adjustment Factor.</v>
      </c>
      <c r="C227" s="3224"/>
      <c r="D227" s="3224"/>
      <c r="E227" s="3224"/>
      <c r="F227" s="3224"/>
      <c r="G227" s="3224"/>
      <c r="H227" s="3224"/>
      <c r="I227" s="3224"/>
      <c r="J227" s="3224"/>
      <c r="K227" s="3224"/>
      <c r="L227" s="3224"/>
      <c r="M227" s="3224"/>
      <c r="N227" s="3224"/>
    </row>
    <row r="228" spans="1:14">
      <c r="A228" s="1721" t="s">
        <v>247</v>
      </c>
      <c r="B228" s="3224" t="str">
        <f>"Refer to "&amp;'WACC PWERM'!B3 &amp; " for details regarding discount rate."</f>
        <v>Refer to Exhibit D.1 for details regarding discount rate.</v>
      </c>
      <c r="C228" s="3224"/>
      <c r="D228" s="3224"/>
      <c r="E228" s="3224"/>
      <c r="F228" s="3224"/>
      <c r="G228" s="3224"/>
      <c r="H228" s="3224"/>
      <c r="I228" s="3224"/>
      <c r="J228" s="3224"/>
      <c r="K228" s="3224"/>
      <c r="L228" s="3224"/>
      <c r="M228" s="3224"/>
      <c r="N228" s="3224"/>
    </row>
    <row r="229" spans="1:14">
      <c r="A229" s="1721" t="s">
        <v>248</v>
      </c>
      <c r="B229" s="3224" t="str">
        <f>"Refer to "&amp;'Exit Probability'!B3 &amp; " for details regarding probabilities."</f>
        <v>Refer to Exhibit B.2 for details regarding probabilities.</v>
      </c>
      <c r="C229" s="3224"/>
      <c r="D229" s="3224"/>
      <c r="E229" s="3224"/>
      <c r="F229" s="3224"/>
      <c r="G229" s="3224"/>
      <c r="H229" s="3224"/>
      <c r="I229" s="3224"/>
      <c r="J229" s="3224"/>
      <c r="K229" s="3224"/>
      <c r="L229" s="3224"/>
      <c r="M229" s="3224"/>
      <c r="N229" s="3224"/>
    </row>
    <row r="230" spans="1:14" ht="12.75" customHeight="1">
      <c r="A230" s="1721" t="s">
        <v>273</v>
      </c>
      <c r="B230" s="3224" t="s">
        <v>2919</v>
      </c>
      <c r="C230" s="3224"/>
      <c r="D230" s="3224"/>
      <c r="E230" s="3224"/>
      <c r="F230" s="3224"/>
      <c r="G230" s="3224"/>
      <c r="H230" s="3224"/>
      <c r="I230" s="3224"/>
      <c r="J230" s="3224"/>
      <c r="K230" s="3224"/>
      <c r="L230" s="3224"/>
      <c r="M230" s="3224"/>
      <c r="N230" s="3224"/>
    </row>
    <row r="231" spans="1:14" ht="12.75" customHeight="1">
      <c r="B231" s="49"/>
      <c r="C231" s="49"/>
      <c r="D231" s="49"/>
      <c r="E231" s="49"/>
      <c r="F231" s="49"/>
      <c r="G231" s="49"/>
      <c r="H231" s="49"/>
      <c r="I231" s="49"/>
      <c r="J231" s="49"/>
      <c r="K231" s="49"/>
      <c r="L231" s="49"/>
      <c r="M231" s="49"/>
      <c r="N231" s="16"/>
    </row>
    <row r="232" spans="1:14">
      <c r="B232" s="1" t="s">
        <v>769</v>
      </c>
    </row>
    <row r="233" spans="1:14">
      <c r="B233" s="405" t="s">
        <v>770</v>
      </c>
      <c r="D233" s="406">
        <f>SUM(D91:D94)*IF($Q$31=1,(1-D106)*(1-D107),1)</f>
        <v>5626.300003108804</v>
      </c>
      <c r="E233" s="406">
        <f t="shared" ref="E233:M233" si="80">SUM(E91:E94)*IF($Q$31=1,(1-E106)*(1-E107),1)</f>
        <v>6311.9381121146016</v>
      </c>
      <c r="F233" s="406">
        <f t="shared" si="80"/>
        <v>6161.502388098047</v>
      </c>
      <c r="G233" s="406">
        <f t="shared" si="80"/>
        <v>2816.4874819152774</v>
      </c>
      <c r="H233" s="406">
        <f t="shared" si="80"/>
        <v>12940.315412916685</v>
      </c>
      <c r="I233" s="406">
        <f t="shared" si="80"/>
        <v>5971.5343583692475</v>
      </c>
      <c r="J233" s="406">
        <f t="shared" si="80"/>
        <v>19352.217217771802</v>
      </c>
      <c r="K233" s="406">
        <f t="shared" si="80"/>
        <v>8434.4602323141498</v>
      </c>
      <c r="L233" s="406">
        <f t="shared" si="80"/>
        <v>0</v>
      </c>
      <c r="M233" s="406">
        <f t="shared" si="80"/>
        <v>0</v>
      </c>
      <c r="N233" s="406"/>
    </row>
    <row r="234" spans="1:14">
      <c r="B234" s="405" t="s">
        <v>771</v>
      </c>
      <c r="D234" s="406">
        <f>SUMPRODUCT(D233:N233,D116:N116,D111:N111)</f>
        <v>1663.1250809828007</v>
      </c>
      <c r="E234" s="406"/>
      <c r="F234" s="406"/>
      <c r="G234" s="406"/>
    </row>
    <row r="235" spans="1:14">
      <c r="B235" s="405" t="s">
        <v>773</v>
      </c>
      <c r="D235" s="406">
        <f>+D234/B119</f>
        <v>3480.910717455653</v>
      </c>
      <c r="E235" s="406"/>
      <c r="F235" s="406"/>
      <c r="G235" s="406"/>
    </row>
  </sheetData>
  <mergeCells count="6">
    <mergeCell ref="B230:N230"/>
    <mergeCell ref="B225:N225"/>
    <mergeCell ref="B226:N226"/>
    <mergeCell ref="B227:N227"/>
    <mergeCell ref="B228:N228"/>
    <mergeCell ref="B229:N229"/>
  </mergeCells>
  <conditionalFormatting sqref="B4:H4">
    <cfRule type="cellIs" dxfId="661" priority="48" stopIfTrue="1" operator="equal">
      <formula>"input"</formula>
    </cfRule>
  </conditionalFormatting>
  <conditionalFormatting sqref="I4">
    <cfRule type="cellIs" dxfId="660" priority="46" stopIfTrue="1" operator="equal">
      <formula>"input"</formula>
    </cfRule>
  </conditionalFormatting>
  <conditionalFormatting sqref="I4">
    <cfRule type="cellIs" dxfId="659" priority="47" stopIfTrue="1" operator="equal">
      <formula>"input"</formula>
    </cfRule>
  </conditionalFormatting>
  <conditionalFormatting sqref="J4:L4">
    <cfRule type="cellIs" dxfId="658" priority="44" stopIfTrue="1" operator="equal">
      <formula>"input"</formula>
    </cfRule>
  </conditionalFormatting>
  <conditionalFormatting sqref="J4:L4">
    <cfRule type="cellIs" dxfId="657" priority="45" stopIfTrue="1" operator="equal">
      <formula>"input"</formula>
    </cfRule>
  </conditionalFormatting>
  <conditionalFormatting sqref="M4:N4">
    <cfRule type="cellIs" dxfId="656" priority="42" stopIfTrue="1" operator="equal">
      <formula>"input"</formula>
    </cfRule>
  </conditionalFormatting>
  <conditionalFormatting sqref="M4:N4">
    <cfRule type="cellIs" dxfId="655" priority="43" stopIfTrue="1" operator="equal">
      <formula>"input"</formula>
    </cfRule>
  </conditionalFormatting>
  <conditionalFormatting sqref="D34:M35 D36:L36">
    <cfRule type="cellIs" dxfId="654" priority="38" operator="equal">
      <formula>0</formula>
    </cfRule>
    <cfRule type="cellIs" dxfId="653" priority="39" operator="equal">
      <formula>0</formula>
    </cfRule>
  </conditionalFormatting>
  <conditionalFormatting sqref="D38">
    <cfRule type="cellIs" dxfId="652" priority="36" operator="equal">
      <formula>0</formula>
    </cfRule>
    <cfRule type="cellIs" dxfId="651" priority="37" operator="equal">
      <formula>0</formula>
    </cfRule>
  </conditionalFormatting>
  <conditionalFormatting sqref="E38:N38">
    <cfRule type="cellIs" dxfId="650" priority="34" operator="equal">
      <formula>0</formula>
    </cfRule>
    <cfRule type="cellIs" dxfId="649" priority="35" operator="equal">
      <formula>0</formula>
    </cfRule>
  </conditionalFormatting>
  <conditionalFormatting sqref="D41:M43">
    <cfRule type="cellIs" dxfId="648" priority="32" operator="equal">
      <formula>0</formula>
    </cfRule>
    <cfRule type="cellIs" dxfId="647" priority="33" operator="equal">
      <formula>0</formula>
    </cfRule>
  </conditionalFormatting>
  <conditionalFormatting sqref="D45:M45">
    <cfRule type="cellIs" dxfId="646" priority="30" operator="equal">
      <formula>0</formula>
    </cfRule>
    <cfRule type="cellIs" dxfId="645" priority="31" operator="equal">
      <formula>0</formula>
    </cfRule>
  </conditionalFormatting>
  <conditionalFormatting sqref="N38">
    <cfRule type="cellIs" dxfId="644" priority="17" operator="equal">
      <formula>0</formula>
    </cfRule>
    <cfRule type="cellIs" dxfId="643" priority="18" operator="equal">
      <formula>0</formula>
    </cfRule>
  </conditionalFormatting>
  <conditionalFormatting sqref="N41:N42">
    <cfRule type="cellIs" dxfId="642" priority="15" operator="equal">
      <formula>0</formula>
    </cfRule>
    <cfRule type="cellIs" dxfId="641" priority="16" operator="equal">
      <formula>0</formula>
    </cfRule>
  </conditionalFormatting>
  <conditionalFormatting sqref="D106:M106">
    <cfRule type="cellIs" dxfId="640" priority="21" operator="equal">
      <formula>0</formula>
    </cfRule>
  </conditionalFormatting>
  <conditionalFormatting sqref="N34:N35">
    <cfRule type="cellIs" dxfId="639" priority="19" operator="equal">
      <formula>0</formula>
    </cfRule>
    <cfRule type="cellIs" dxfId="638" priority="20" operator="equal">
      <formula>0</formula>
    </cfRule>
  </conditionalFormatting>
  <conditionalFormatting sqref="N45">
    <cfRule type="cellIs" dxfId="637" priority="13" operator="equal">
      <formula>0</formula>
    </cfRule>
    <cfRule type="cellIs" dxfId="636" priority="14" operator="equal">
      <formula>0</formula>
    </cfRule>
  </conditionalFormatting>
  <conditionalFormatting sqref="N106">
    <cfRule type="cellIs" dxfId="635" priority="10" operator="equal">
      <formula>0</formula>
    </cfRule>
  </conditionalFormatting>
  <conditionalFormatting sqref="N43">
    <cfRule type="cellIs" dxfId="634" priority="8" operator="equal">
      <formula>0</formula>
    </cfRule>
    <cfRule type="cellIs" dxfId="633" priority="9" operator="equal">
      <formula>0</formula>
    </cfRule>
  </conditionalFormatting>
  <conditionalFormatting sqref="M36">
    <cfRule type="cellIs" dxfId="632" priority="6" operator="equal">
      <formula>0</formula>
    </cfRule>
    <cfRule type="cellIs" dxfId="631" priority="7" operator="equal">
      <formula>0</formula>
    </cfRule>
  </conditionalFormatting>
  <conditionalFormatting sqref="N36">
    <cfRule type="cellIs" dxfId="630" priority="4" operator="equal">
      <formula>0</formula>
    </cfRule>
    <cfRule type="cellIs" dxfId="629" priority="5" operator="equal">
      <formula>0</formula>
    </cfRule>
  </conditionalFormatting>
  <conditionalFormatting sqref="D107">
    <cfRule type="cellIs" dxfId="628" priority="3" operator="equal">
      <formula>0</formula>
    </cfRule>
  </conditionalFormatting>
  <conditionalFormatting sqref="L107:M107">
    <cfRule type="cellIs" dxfId="627" priority="2" operator="equal">
      <formula>0</formula>
    </cfRule>
  </conditionalFormatting>
  <conditionalFormatting sqref="N107">
    <cfRule type="cellIs" dxfId="626" priority="1" operator="equal">
      <formula>0</formula>
    </cfRule>
  </conditionalFormatting>
  <dataValidations count="4">
    <dataValidation type="list" allowBlank="1" showInputMessage="1" showErrorMessage="1" sqref="D8:N8">
      <formula1>$Q$8:$R$8</formula1>
    </dataValidation>
    <dataValidation type="list" allowBlank="1" showInputMessage="1" showErrorMessage="1" sqref="Q31">
      <formula1>$T$110:$T$111</formula1>
    </dataValidation>
    <dataValidation type="list" allowBlank="1" showInputMessage="1" showErrorMessage="1" sqref="S26">
      <formula1>$T$105:$T$106</formula1>
    </dataValidation>
    <dataValidation type="list" allowBlank="1" showInputMessage="1" showErrorMessage="1" sqref="S15">
      <formula1>$S$8:$S$9</formula1>
    </dataValidation>
  </dataValidations>
  <pageMargins left="0.5" right="0.5" top="0.5" bottom="0.5" header="0.5" footer="0.5"/>
  <pageSetup scale="71" fitToWidth="0" fitToHeight="0" orientation="landscape" r:id="rId1"/>
  <rowBreaks count="4" manualBreakCount="4">
    <brk id="53" max="14" man="1"/>
    <brk id="97" max="14" man="1"/>
    <brk id="143" max="14" man="1"/>
    <brk id="205" max="14" man="1"/>
  </rowBreaks>
  <legacy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60"/>
  <sheetViews>
    <sheetView showGridLines="0" view="pageBreakPreview" zoomScale="85" zoomScaleNormal="100" zoomScaleSheetLayoutView="85" workbookViewId="0">
      <selection activeCell="E34" sqref="E34"/>
    </sheetView>
  </sheetViews>
  <sheetFormatPr defaultRowHeight="12.75"/>
  <cols>
    <col min="1" max="1" width="4.5" style="16" customWidth="1"/>
    <col min="2" max="2" width="42.1640625" style="16" customWidth="1"/>
    <col min="3" max="8" width="24.6640625" style="16" customWidth="1"/>
    <col min="9" max="9" width="4.5" style="16" customWidth="1"/>
    <col min="10" max="11" width="15.33203125" style="16" customWidth="1"/>
    <col min="12" max="12" width="17.83203125" style="16" customWidth="1"/>
    <col min="13" max="14" width="9.33203125" style="16"/>
    <col min="15" max="15" width="17.83203125" style="16" customWidth="1"/>
    <col min="16" max="16384" width="9.33203125" style="16"/>
  </cols>
  <sheetData>
    <row r="1" spans="2:13" s="405" customFormat="1" ht="13.5" thickBot="1"/>
    <row r="2" spans="2:13" s="405" customFormat="1" ht="16.5" thickTop="1">
      <c r="B2" s="10" t="str">
        <f>'MASTER PubCo Inputs'!$C$5</f>
        <v>Kallyope, Inc.</v>
      </c>
      <c r="C2" s="10"/>
      <c r="D2" s="10"/>
      <c r="E2" s="10"/>
      <c r="F2" s="10"/>
      <c r="G2" s="10"/>
      <c r="H2" s="10"/>
    </row>
    <row r="3" spans="2:13" s="405" customFormat="1" ht="15.75">
      <c r="B3" s="11" t="str">
        <f>VLOOKUP(B4,Outline!$E$8:$G$69,COLUMNS(Outline!$E$8:$G$8),FALSE)</f>
        <v>Exhibit B.2</v>
      </c>
      <c r="C3" s="11"/>
      <c r="D3" s="11"/>
      <c r="E3" s="11"/>
      <c r="F3" s="11"/>
      <c r="G3" s="11"/>
      <c r="H3" s="11"/>
    </row>
    <row r="4" spans="2:13" s="405" customFormat="1" ht="16.5" thickBot="1">
      <c r="B4" s="12" t="s">
        <v>536</v>
      </c>
      <c r="C4" s="12"/>
      <c r="D4" s="12"/>
      <c r="E4" s="12"/>
      <c r="F4" s="12"/>
      <c r="G4" s="13"/>
      <c r="H4" s="13" t="str">
        <f>'MASTER PubCo Inputs'!C21</f>
        <v>(in thousands of USD)</v>
      </c>
    </row>
    <row r="5" spans="2:13" s="405" customFormat="1" ht="13.5" thickTop="1">
      <c r="C5" s="1128"/>
      <c r="L5" s="16"/>
      <c r="M5" s="16"/>
    </row>
    <row r="6" spans="2:13" s="405" customFormat="1" ht="55.5" customHeight="1">
      <c r="B6" s="720"/>
      <c r="C6" s="1129" t="s">
        <v>1263</v>
      </c>
      <c r="D6" s="1130" t="s">
        <v>1691</v>
      </c>
      <c r="E6" s="1130" t="s">
        <v>1259</v>
      </c>
      <c r="F6" s="1130" t="s">
        <v>1260</v>
      </c>
      <c r="G6" s="1130" t="s">
        <v>507</v>
      </c>
      <c r="H6" s="1131" t="s">
        <v>1261</v>
      </c>
      <c r="J6" s="344"/>
      <c r="K6" s="344"/>
      <c r="L6" s="1132"/>
      <c r="M6" s="1133"/>
    </row>
    <row r="7" spans="2:13" s="405" customFormat="1">
      <c r="B7" s="720"/>
      <c r="C7" s="720"/>
      <c r="D7" s="720"/>
      <c r="E7" s="720"/>
      <c r="F7" s="720"/>
      <c r="G7" s="720"/>
      <c r="H7" s="720"/>
      <c r="J7" s="345"/>
      <c r="K7" s="345"/>
      <c r="L7" s="345"/>
      <c r="M7" s="203"/>
    </row>
    <row r="8" spans="2:13" s="405" customFormat="1">
      <c r="B8" s="1134" t="s">
        <v>1692</v>
      </c>
      <c r="C8" s="1135">
        <f>PoTS!B78</f>
        <v>0.65</v>
      </c>
      <c r="D8" s="1135">
        <f>PoTS!B82</f>
        <v>0.7</v>
      </c>
      <c r="E8" s="720"/>
      <c r="F8" s="720"/>
      <c r="G8" s="720"/>
      <c r="H8" s="720"/>
      <c r="J8" s="346"/>
      <c r="K8" s="346"/>
      <c r="L8" s="203"/>
      <c r="M8" s="1124"/>
    </row>
    <row r="9" spans="2:13" s="405" customFormat="1">
      <c r="B9" s="1136" t="s">
        <v>1264</v>
      </c>
      <c r="C9" s="887"/>
      <c r="D9" s="887"/>
      <c r="E9" s="1137">
        <f>C8*D8</f>
        <v>0.45499999999999996</v>
      </c>
      <c r="F9" s="1138" t="s">
        <v>13</v>
      </c>
      <c r="G9" s="889">
        <v>0.2</v>
      </c>
      <c r="H9" s="890">
        <f>+SUM(E9:F9)*IFERROR((1-G9),1)</f>
        <v>0.36399999999999999</v>
      </c>
      <c r="J9" s="1139"/>
      <c r="K9" s="346"/>
      <c r="L9" s="203"/>
      <c r="M9" s="1124"/>
    </row>
    <row r="10" spans="2:13" s="405" customFormat="1">
      <c r="B10" s="1136" t="s">
        <v>1265</v>
      </c>
      <c r="C10" s="887"/>
      <c r="D10" s="887"/>
      <c r="E10" s="1140">
        <f>C8*(1-D8)</f>
        <v>0.19500000000000003</v>
      </c>
      <c r="F10" s="1141" t="str">
        <f>F9</f>
        <v>n/a</v>
      </c>
      <c r="G10" s="891">
        <f>G9</f>
        <v>0.2</v>
      </c>
      <c r="H10" s="891">
        <f>+SUM(E10:F10)*(1-G10)</f>
        <v>0.15600000000000003</v>
      </c>
      <c r="J10" s="1139"/>
      <c r="K10" s="346"/>
      <c r="L10" s="203"/>
      <c r="M10" s="1124"/>
    </row>
    <row r="11" spans="2:13" s="405" customFormat="1">
      <c r="B11" s="1136" t="s">
        <v>1266</v>
      </c>
      <c r="C11" s="887"/>
      <c r="D11" s="887"/>
      <c r="E11" s="1140">
        <f>D8*(1-C8)</f>
        <v>0.24499999999999997</v>
      </c>
      <c r="F11" s="1141" t="str">
        <f>F10</f>
        <v>n/a</v>
      </c>
      <c r="G11" s="891">
        <f>G10</f>
        <v>0.2</v>
      </c>
      <c r="H11" s="891">
        <f>+SUM(E11:F11)*(1-G11)</f>
        <v>0.19599999999999998</v>
      </c>
      <c r="J11" s="1139"/>
      <c r="K11" s="312"/>
      <c r="L11" s="203"/>
      <c r="M11" s="1142"/>
    </row>
    <row r="12" spans="2:13" s="405" customFormat="1">
      <c r="B12" s="1136" t="s">
        <v>1262</v>
      </c>
      <c r="C12" s="887"/>
      <c r="D12" s="887"/>
      <c r="E12" s="1140">
        <f>(1-C8)*(1-D8)</f>
        <v>0.10500000000000001</v>
      </c>
      <c r="F12" s="1141" t="str">
        <f>F11</f>
        <v>n/a</v>
      </c>
      <c r="G12" s="891">
        <v>0</v>
      </c>
      <c r="H12" s="1140">
        <f>+SUM(E12:F12)*IFERROR((G12),1)</f>
        <v>0</v>
      </c>
      <c r="J12" s="1139"/>
      <c r="L12" s="203"/>
      <c r="M12" s="203"/>
    </row>
    <row r="13" spans="2:13" s="405" customFormat="1">
      <c r="B13" s="1143"/>
      <c r="C13" s="887"/>
      <c r="D13" s="887"/>
      <c r="E13" s="720"/>
      <c r="F13" s="720"/>
      <c r="G13" s="720"/>
      <c r="H13" s="720"/>
      <c r="L13" s="78"/>
      <c r="M13" s="78"/>
    </row>
    <row r="14" spans="2:13" s="405" customFormat="1">
      <c r="B14" s="1134" t="s">
        <v>1267</v>
      </c>
      <c r="C14" s="1135">
        <f>PoTS!C78</f>
        <v>0.6</v>
      </c>
      <c r="D14" s="1144">
        <f>PoTS!C82</f>
        <v>0.65</v>
      </c>
      <c r="E14" s="720"/>
      <c r="F14" s="720"/>
      <c r="G14" s="720"/>
      <c r="H14" s="720"/>
      <c r="L14" s="78"/>
      <c r="M14" s="78"/>
    </row>
    <row r="15" spans="2:13" s="405" customFormat="1">
      <c r="B15" s="1136" t="str">
        <f>B9</f>
        <v>Both Candidates are Successful</v>
      </c>
      <c r="C15" s="887"/>
      <c r="D15" s="887"/>
      <c r="E15" s="1140">
        <f>H9*C14*D14</f>
        <v>0.14196</v>
      </c>
      <c r="F15" s="1141" t="str">
        <f>+F9</f>
        <v>n/a</v>
      </c>
      <c r="G15" s="1145">
        <v>0.5</v>
      </c>
      <c r="H15" s="1146">
        <f>+SUM(E15:F15)*IFERROR((1-G15),1)</f>
        <v>7.0980000000000001E-2</v>
      </c>
      <c r="J15" s="1139"/>
      <c r="L15" s="78"/>
      <c r="M15" s="78"/>
    </row>
    <row r="16" spans="2:13" s="405" customFormat="1">
      <c r="B16" s="1136" t="str">
        <f>B10</f>
        <v>Only Lead Candidate is Successful</v>
      </c>
      <c r="C16" s="887"/>
      <c r="D16" s="887"/>
      <c r="E16" s="1140">
        <f>H9*C14*(1-D14)</f>
        <v>7.6439999999999994E-2</v>
      </c>
      <c r="F16" s="1141">
        <f>H10*C14</f>
        <v>9.3600000000000017E-2</v>
      </c>
      <c r="G16" s="1140">
        <f>G15</f>
        <v>0.5</v>
      </c>
      <c r="H16" s="1140">
        <f>+SUM(E16:F16)*IFERROR((1-G16),1)</f>
        <v>8.5020000000000012E-2</v>
      </c>
      <c r="J16" s="1139"/>
    </row>
    <row r="17" spans="2:16" s="405" customFormat="1">
      <c r="B17" s="1136" t="str">
        <f>B11</f>
        <v>Only Second Indication is Successful</v>
      </c>
      <c r="C17" s="887"/>
      <c r="D17" s="887"/>
      <c r="E17" s="1140">
        <f>H9*D14*(1-C14)</f>
        <v>9.4640000000000002E-2</v>
      </c>
      <c r="F17" s="1140">
        <f>H11*D14</f>
        <v>0.12739999999999999</v>
      </c>
      <c r="G17" s="1146">
        <f>G16</f>
        <v>0.5</v>
      </c>
      <c r="H17" s="1140">
        <f>+SUM(E17:F17)*(1-G17)</f>
        <v>0.11101999999999999</v>
      </c>
      <c r="J17" s="1139"/>
    </row>
    <row r="18" spans="2:16" s="405" customFormat="1">
      <c r="B18" s="1136" t="str">
        <f>B12</f>
        <v>Both Candidates Fail</v>
      </c>
      <c r="C18" s="887"/>
      <c r="D18" s="887"/>
      <c r="E18" s="1140">
        <f>H9*(1-C14)*(1-D14)</f>
        <v>5.0959999999999998E-2</v>
      </c>
      <c r="F18" s="1140">
        <f>+H10*(1-C14)+H11*(1-D14)</f>
        <v>0.13100000000000001</v>
      </c>
      <c r="G18" s="1141">
        <f>G12</f>
        <v>0</v>
      </c>
      <c r="H18" s="1140">
        <f>+SUM(E18:F18)*IFERROR((G18),1)</f>
        <v>0</v>
      </c>
      <c r="J18" s="1139"/>
    </row>
    <row r="19" spans="2:16" s="405" customFormat="1">
      <c r="B19" s="1143"/>
      <c r="C19" s="887"/>
      <c r="D19" s="887"/>
      <c r="E19" s="720"/>
      <c r="F19" s="720"/>
      <c r="G19" s="720"/>
      <c r="H19" s="720"/>
    </row>
    <row r="20" spans="2:16" s="405" customFormat="1">
      <c r="B20" s="1134" t="s">
        <v>1268</v>
      </c>
      <c r="C20" s="1135">
        <f>PoTS!D78</f>
        <v>0.45</v>
      </c>
      <c r="D20" s="1144">
        <f>PoTS!D82</f>
        <v>0.6</v>
      </c>
      <c r="E20" s="720"/>
      <c r="F20" s="720"/>
      <c r="G20" s="720"/>
      <c r="H20" s="720"/>
    </row>
    <row r="21" spans="2:16" s="405" customFormat="1">
      <c r="B21" s="1136" t="str">
        <f>B9</f>
        <v>Both Candidates are Successful</v>
      </c>
      <c r="C21" s="888"/>
      <c r="D21" s="720"/>
      <c r="E21" s="1140">
        <f>H15*C20*D20</f>
        <v>1.91646E-2</v>
      </c>
      <c r="F21" s="1141" t="str">
        <f>+F9</f>
        <v>n/a</v>
      </c>
      <c r="G21" s="1145">
        <v>1</v>
      </c>
      <c r="H21" s="1140">
        <f>+SUM(E21:F21)*IFERROR((1-G21),1)</f>
        <v>0</v>
      </c>
      <c r="J21" s="1139"/>
    </row>
    <row r="22" spans="2:16" s="405" customFormat="1">
      <c r="B22" s="1136" t="str">
        <f>B10</f>
        <v>Only Lead Candidate is Successful</v>
      </c>
      <c r="C22" s="888"/>
      <c r="D22" s="720"/>
      <c r="E22" s="1140">
        <f>H15*C20*(1-D20)</f>
        <v>1.2776400000000002E-2</v>
      </c>
      <c r="F22" s="1140">
        <f>+H16*C20</f>
        <v>3.8259000000000008E-2</v>
      </c>
      <c r="G22" s="1146">
        <f>G21</f>
        <v>1</v>
      </c>
      <c r="H22" s="1140">
        <f>+SUM(E22:F22)*IFERROR((1-G22),1)</f>
        <v>0</v>
      </c>
      <c r="J22" s="1139"/>
      <c r="O22" s="1147" t="s">
        <v>634</v>
      </c>
      <c r="P22" s="1147"/>
    </row>
    <row r="23" spans="2:16" s="405" customFormat="1">
      <c r="B23" s="1136" t="str">
        <f>B11</f>
        <v>Only Second Indication is Successful</v>
      </c>
      <c r="C23" s="888"/>
      <c r="D23" s="720"/>
      <c r="E23" s="1140">
        <f>H15*D20*(1-C20)</f>
        <v>2.3423400000000004E-2</v>
      </c>
      <c r="F23" s="1140">
        <f>+H17*D20</f>
        <v>6.6611999999999991E-2</v>
      </c>
      <c r="G23" s="1140">
        <f>+G21</f>
        <v>1</v>
      </c>
      <c r="H23" s="1140">
        <f>+SUM(E23:F23)*IFERROR((1-G23),1)</f>
        <v>0</v>
      </c>
      <c r="J23" s="1139"/>
      <c r="L23" s="1148" t="s">
        <v>1693</v>
      </c>
      <c r="M23" s="1149"/>
      <c r="O23" s="1148" t="s">
        <v>1693</v>
      </c>
      <c r="P23" s="1149"/>
    </row>
    <row r="24" spans="2:16" s="405" customFormat="1">
      <c r="B24" s="1136" t="str">
        <f>B12</f>
        <v>Both Candidates Fail</v>
      </c>
      <c r="C24" s="1150"/>
      <c r="E24" s="1140">
        <f>H15*(1-C20)*(1-D20)</f>
        <v>1.5615600000000002E-2</v>
      </c>
      <c r="F24" s="1140">
        <f>+H16*(1-C20)+H17*(1-D20)</f>
        <v>9.1169000000000014E-2</v>
      </c>
      <c r="G24" s="1141">
        <f>G12</f>
        <v>0</v>
      </c>
      <c r="H24" s="1140">
        <f>+SUM(E24:F24)*IFERROR((G24),1)</f>
        <v>0</v>
      </c>
      <c r="J24" s="1139"/>
      <c r="L24" s="411"/>
      <c r="O24" s="411"/>
    </row>
    <row r="25" spans="2:16" s="405" customFormat="1">
      <c r="L25" s="1151"/>
      <c r="M25" s="1152"/>
      <c r="O25" s="1151"/>
      <c r="P25" s="1153"/>
    </row>
    <row r="26" spans="2:16" s="78" customFormat="1" ht="33.75" customHeight="1">
      <c r="B26" s="1154" t="s">
        <v>1694</v>
      </c>
      <c r="C26" s="1155" t="s">
        <v>755</v>
      </c>
      <c r="D26" s="1155" t="s">
        <v>508</v>
      </c>
      <c r="E26" s="1156" t="s">
        <v>1695</v>
      </c>
      <c r="F26" s="350"/>
      <c r="G26" s="350"/>
      <c r="L26" s="362" t="s">
        <v>1189</v>
      </c>
      <c r="M26" s="814">
        <f>SUMIF($K$33:$K$44,L26,$F$33:$F$44)</f>
        <v>0.28400000000000003</v>
      </c>
      <c r="O26" s="362" t="s">
        <v>1189</v>
      </c>
      <c r="P26" s="1157">
        <v>0.28400000000000003</v>
      </c>
    </row>
    <row r="27" spans="2:16" s="78" customFormat="1">
      <c r="B27" s="897" t="str">
        <f>B8</f>
        <v>Lead - IND / Second - Preclinical</v>
      </c>
      <c r="C27" s="1158">
        <v>0</v>
      </c>
      <c r="D27" s="1159">
        <f>1-C27</f>
        <v>1</v>
      </c>
      <c r="E27" s="1160">
        <v>44012</v>
      </c>
      <c r="F27" s="350"/>
      <c r="G27" s="350"/>
      <c r="L27" s="362" t="s">
        <v>517</v>
      </c>
      <c r="M27" s="814">
        <f>SUMIF($K$33:$K$44,L27,$F$33:$F$44)</f>
        <v>0.44898000000000005</v>
      </c>
      <c r="O27" s="362" t="s">
        <v>517</v>
      </c>
      <c r="P27" s="1157">
        <v>0.44898000000000005</v>
      </c>
    </row>
    <row r="28" spans="2:16" s="78" customFormat="1">
      <c r="B28" s="897" t="str">
        <f>B14</f>
        <v>Lead - Phase I / Second - IND</v>
      </c>
      <c r="C28" s="1158">
        <v>0.2</v>
      </c>
      <c r="D28" s="1159">
        <f>1-C28</f>
        <v>0.8</v>
      </c>
      <c r="E28" s="1160">
        <v>44377</v>
      </c>
      <c r="F28" s="895"/>
      <c r="G28" s="895"/>
      <c r="L28" s="362" t="s">
        <v>510</v>
      </c>
      <c r="M28" s="815">
        <f>SUMIF($K$33:$K$44,L28,$F$33:$F$44)</f>
        <v>0.26702000000000004</v>
      </c>
      <c r="O28" s="362" t="s">
        <v>510</v>
      </c>
      <c r="P28" s="1161">
        <v>0.26702000000000004</v>
      </c>
    </row>
    <row r="29" spans="2:16" s="78" customFormat="1">
      <c r="B29" s="897" t="str">
        <f>B20</f>
        <v>Lead - Phase II / Second - Phase I</v>
      </c>
      <c r="C29" s="1158">
        <v>0.2</v>
      </c>
      <c r="D29" s="1159">
        <f>1-C29</f>
        <v>0.8</v>
      </c>
      <c r="E29" s="1160">
        <v>45473</v>
      </c>
      <c r="L29" s="906"/>
      <c r="M29" s="816">
        <f>SUM(M26:M28)</f>
        <v>1</v>
      </c>
      <c r="O29" s="906"/>
      <c r="P29" s="816">
        <f>SUM(P25:P28)</f>
        <v>1</v>
      </c>
    </row>
    <row r="30" spans="2:16" s="78" customFormat="1">
      <c r="B30" s="897"/>
      <c r="C30" s="1162"/>
      <c r="D30" s="1162"/>
      <c r="E30" s="1163"/>
      <c r="L30"/>
      <c r="M30"/>
      <c r="O30"/>
      <c r="P30"/>
    </row>
    <row r="31" spans="2:16" s="78" customFormat="1" ht="13.5">
      <c r="B31" s="809" t="s">
        <v>512</v>
      </c>
      <c r="C31" s="810"/>
      <c r="D31" s="810"/>
      <c r="E31" s="810"/>
      <c r="F31" s="810"/>
      <c r="G31" s="895"/>
    </row>
    <row r="32" spans="2:16" s="78" customFormat="1" ht="25.5">
      <c r="B32" s="1015" t="s">
        <v>513</v>
      </c>
      <c r="C32" s="1121" t="s">
        <v>1689</v>
      </c>
      <c r="D32" s="1121" t="s">
        <v>1690</v>
      </c>
      <c r="E32" s="1121" t="s">
        <v>515</v>
      </c>
      <c r="F32" s="1121" t="s">
        <v>516</v>
      </c>
      <c r="G32" s="1122" t="s">
        <v>349</v>
      </c>
      <c r="J32" s="817" t="s">
        <v>1188</v>
      </c>
      <c r="K32" s="817"/>
      <c r="L32" s="1148" t="s">
        <v>1187</v>
      </c>
      <c r="M32" s="1149"/>
      <c r="O32" s="1148" t="s">
        <v>1187</v>
      </c>
      <c r="P32" s="1149"/>
    </row>
    <row r="33" spans="1:16" s="405" customFormat="1" ht="5.0999999999999996" customHeight="1">
      <c r="B33" s="362"/>
      <c r="C33" s="16"/>
      <c r="D33" s="16"/>
      <c r="E33" s="16"/>
      <c r="F33" s="16"/>
      <c r="G33" s="204"/>
      <c r="J33" s="345"/>
      <c r="K33" s="345"/>
      <c r="L33" s="411"/>
      <c r="O33" s="411"/>
    </row>
    <row r="34" spans="1:16" s="78" customFormat="1">
      <c r="B34" s="845" t="str">
        <f>"IPO - "&amp;C34</f>
        <v>IPO - Phase I</v>
      </c>
      <c r="C34" s="345" t="s">
        <v>517</v>
      </c>
      <c r="D34" s="345" t="s">
        <v>1189</v>
      </c>
      <c r="E34" s="1123">
        <f>E43</f>
        <v>44377</v>
      </c>
      <c r="F34" s="1124">
        <f>SUMPRODUCT(E15:F17)*G15*C28</f>
        <v>5.3404E-2</v>
      </c>
      <c r="G34" s="1164">
        <f t="array" ref="G34:G44">TRANSPOSE(PWERM!D23:N23)</f>
        <v>450000</v>
      </c>
      <c r="J34" s="203" t="str">
        <f>IFERROR(LEFT(B34,SEARCH("-",B34)-2),B34)</f>
        <v>IPO</v>
      </c>
      <c r="K34" s="203" t="s">
        <v>517</v>
      </c>
      <c r="L34" s="1151" t="s">
        <v>867</v>
      </c>
      <c r="M34" s="1166">
        <f>SUMIF($J$33:$J$44,L34,$F$33:$F$44)</f>
        <v>8.5451080000000013E-2</v>
      </c>
      <c r="O34" s="1151" t="s">
        <v>867</v>
      </c>
      <c r="P34" s="1153">
        <v>8.5451080000000013E-2</v>
      </c>
    </row>
    <row r="35" spans="1:16" s="78" customFormat="1">
      <c r="B35" s="845" t="str">
        <f>"IPO - "&amp;C35</f>
        <v>IPO - Phase II</v>
      </c>
      <c r="C35" s="345" t="s">
        <v>510</v>
      </c>
      <c r="D35" s="345" t="s">
        <v>517</v>
      </c>
      <c r="E35" s="1125">
        <f>E44</f>
        <v>45473</v>
      </c>
      <c r="F35" s="1124">
        <f>SUMPRODUCT(E21:F23)*G21*C29</f>
        <v>3.2047080000000006E-2</v>
      </c>
      <c r="G35" s="1164">
        <v>750000</v>
      </c>
      <c r="J35" s="203" t="s">
        <v>867</v>
      </c>
      <c r="K35" s="203" t="s">
        <v>510</v>
      </c>
      <c r="L35" s="362" t="s">
        <v>768</v>
      </c>
      <c r="M35" s="814">
        <f>SUMIF($J$33:$J$44,L35,$F$33:$F$44)</f>
        <v>0.52080431999999999</v>
      </c>
      <c r="O35" s="362" t="s">
        <v>768</v>
      </c>
      <c r="P35" s="1157">
        <v>0.52080431999999999</v>
      </c>
    </row>
    <row r="36" spans="1:16" s="78" customFormat="1">
      <c r="B36" s="845" t="str">
        <f>"M&amp;A - "&amp;C36&amp;" (High)"</f>
        <v>M&amp;A - IND (High)</v>
      </c>
      <c r="C36" s="345" t="s">
        <v>1189</v>
      </c>
      <c r="D36" s="345" t="s">
        <v>781</v>
      </c>
      <c r="E36" s="1125">
        <f>E42</f>
        <v>44012</v>
      </c>
      <c r="F36" s="1124">
        <f>E9*G9*D27</f>
        <v>9.0999999999999998E-2</v>
      </c>
      <c r="G36" s="1164">
        <v>450000</v>
      </c>
      <c r="J36" s="203" t="str">
        <f t="shared" ref="J36:J44" si="0">IFERROR(LEFT(B36,SEARCH("-",B36)-2),B36)</f>
        <v>M&amp;A</v>
      </c>
      <c r="K36" s="203" t="s">
        <v>1189</v>
      </c>
      <c r="L36" s="362" t="s">
        <v>1696</v>
      </c>
      <c r="M36" s="815">
        <f>SUMIF($J$33:$J$44,L36,$F$33:$F$44)</f>
        <v>0.3937446</v>
      </c>
      <c r="O36" s="362" t="s">
        <v>1696</v>
      </c>
      <c r="P36" s="1161">
        <v>0.3937446</v>
      </c>
    </row>
    <row r="37" spans="1:16" s="78" customFormat="1">
      <c r="B37" s="845" t="str">
        <f>"M&amp;A - "&amp;C37&amp;" (Low)"</f>
        <v>M&amp;A - IND (Low)</v>
      </c>
      <c r="C37" s="345" t="s">
        <v>1189</v>
      </c>
      <c r="D37" s="345" t="str">
        <f>D36</f>
        <v>Preclinical</v>
      </c>
      <c r="E37" s="1125">
        <f>E36</f>
        <v>44012</v>
      </c>
      <c r="F37" s="1124">
        <f>D27*(SUM(E10:F10)*G10+SUM(E11:F11)*G11)</f>
        <v>8.7999999999999995E-2</v>
      </c>
      <c r="G37" s="1164">
        <v>225000</v>
      </c>
      <c r="J37" s="203" t="str">
        <f t="shared" si="0"/>
        <v>M&amp;A</v>
      </c>
      <c r="K37" s="203" t="s">
        <v>1189</v>
      </c>
      <c r="L37" s="906"/>
      <c r="M37" s="816">
        <f>SUM(M34:M36)</f>
        <v>1</v>
      </c>
      <c r="O37" s="906"/>
      <c r="P37" s="816">
        <f>SUM(P34:P36)</f>
        <v>1</v>
      </c>
    </row>
    <row r="38" spans="1:16" s="78" customFormat="1">
      <c r="B38" s="845" t="str">
        <f>"M&amp;A - "&amp;C38&amp;" (High)"</f>
        <v>M&amp;A - Phase I (High)</v>
      </c>
      <c r="C38" s="345" t="s">
        <v>517</v>
      </c>
      <c r="D38" s="345" t="s">
        <v>1189</v>
      </c>
      <c r="E38" s="1125">
        <f>E43</f>
        <v>44377</v>
      </c>
      <c r="F38" s="1124">
        <f>E15*G15*D28</f>
        <v>5.6784000000000001E-2</v>
      </c>
      <c r="G38" s="1164">
        <v>1000000</v>
      </c>
      <c r="J38" s="203" t="str">
        <f t="shared" si="0"/>
        <v>M&amp;A</v>
      </c>
      <c r="K38" s="203" t="s">
        <v>517</v>
      </c>
    </row>
    <row r="39" spans="1:16" s="78" customFormat="1">
      <c r="B39" s="845" t="str">
        <f>"M&amp;A - "&amp;C39&amp;" (Low)"</f>
        <v>M&amp;A - Phase I (Low)</v>
      </c>
      <c r="C39" s="345" t="s">
        <v>517</v>
      </c>
      <c r="D39" s="345" t="s">
        <v>1189</v>
      </c>
      <c r="E39" s="1125">
        <f>E38</f>
        <v>44377</v>
      </c>
      <c r="F39" s="1124">
        <f>D28*(SUM(E16:F16)*G16+SUM(E17:F17)*G17)</f>
        <v>0.156832</v>
      </c>
      <c r="G39" s="1164">
        <v>500000</v>
      </c>
      <c r="J39" s="203" t="str">
        <f t="shared" si="0"/>
        <v>M&amp;A</v>
      </c>
      <c r="K39" s="203" t="s">
        <v>517</v>
      </c>
    </row>
    <row r="40" spans="1:16" s="78" customFormat="1">
      <c r="B40" s="845" t="str">
        <f>"M&amp;A - "&amp;C40&amp;" (High)"</f>
        <v>M&amp;A - Phase II (High)</v>
      </c>
      <c r="C40" s="345" t="s">
        <v>510</v>
      </c>
      <c r="D40" s="345" t="s">
        <v>517</v>
      </c>
      <c r="E40" s="1123">
        <f>E44</f>
        <v>45473</v>
      </c>
      <c r="F40" s="1124">
        <f>E21*G21*D29</f>
        <v>1.533168E-2</v>
      </c>
      <c r="G40" s="1164">
        <v>2000000</v>
      </c>
      <c r="J40" s="203" t="str">
        <f>IFERROR(LEFT(B40,SEARCH("-",B40)-2),B40)</f>
        <v>M&amp;A</v>
      </c>
      <c r="K40" s="203" t="s">
        <v>510</v>
      </c>
    </row>
    <row r="41" spans="1:16" s="78" customFormat="1">
      <c r="B41" s="845" t="str">
        <f>"M&amp;A - "&amp;C41&amp;" (Low)"</f>
        <v>M&amp;A - Phase II (Low)</v>
      </c>
      <c r="C41" s="345" t="s">
        <v>510</v>
      </c>
      <c r="D41" s="345" t="s">
        <v>517</v>
      </c>
      <c r="E41" s="1125">
        <f>E40</f>
        <v>45473</v>
      </c>
      <c r="F41" s="1124">
        <f>D29*(SUM(E22:F22)*G22+SUM(E23:F23)*G23)</f>
        <v>0.11285664000000001</v>
      </c>
      <c r="G41" s="1164">
        <v>1000000</v>
      </c>
      <c r="J41" s="203" t="str">
        <f t="shared" si="0"/>
        <v>M&amp;A</v>
      </c>
      <c r="K41" s="203" t="s">
        <v>510</v>
      </c>
    </row>
    <row r="42" spans="1:16" s="78" customFormat="1">
      <c r="B42" s="845" t="str">
        <f>"Low Sale - "&amp;C42</f>
        <v>Low Sale - IND</v>
      </c>
      <c r="C42" s="345" t="s">
        <v>1189</v>
      </c>
      <c r="D42" s="345" t="str">
        <f>D37</f>
        <v>Preclinical</v>
      </c>
      <c r="E42" s="1123">
        <v>44012</v>
      </c>
      <c r="F42" s="1124">
        <f>SUM(E12:F12)</f>
        <v>0.10500000000000001</v>
      </c>
      <c r="G42" s="1164">
        <v>55099.987999999998</v>
      </c>
      <c r="J42" s="203" t="str">
        <f t="shared" si="0"/>
        <v>Low Sale</v>
      </c>
      <c r="K42" s="203" t="s">
        <v>1189</v>
      </c>
      <c r="L42" s="1167"/>
    </row>
    <row r="43" spans="1:16" s="78" customFormat="1">
      <c r="B43" s="845" t="str">
        <f>"Low Sale - "&amp;C43</f>
        <v>Low Sale - Phase I</v>
      </c>
      <c r="C43" s="345" t="s">
        <v>517</v>
      </c>
      <c r="D43" s="345" t="s">
        <v>1189</v>
      </c>
      <c r="E43" s="1123">
        <v>44377</v>
      </c>
      <c r="F43" s="1124">
        <f>SUM(E18:F18)</f>
        <v>0.18196000000000001</v>
      </c>
      <c r="G43" s="1164">
        <v>105149.98199999999</v>
      </c>
      <c r="J43" s="203" t="str">
        <f t="shared" si="0"/>
        <v>Low Sale</v>
      </c>
      <c r="K43" s="203" t="s">
        <v>517</v>
      </c>
    </row>
    <row r="44" spans="1:16" s="78" customFormat="1">
      <c r="B44" s="1120" t="str">
        <f>"Low Sale - "&amp;C44</f>
        <v>Low Sale - Phase II</v>
      </c>
      <c r="C44" s="708" t="s">
        <v>510</v>
      </c>
      <c r="D44" s="708" t="s">
        <v>517</v>
      </c>
      <c r="E44" s="1126">
        <v>45473</v>
      </c>
      <c r="F44" s="1127">
        <f>SUM(E24:F24)</f>
        <v>0.10678460000000002</v>
      </c>
      <c r="G44" s="1165">
        <v>161399.98199999999</v>
      </c>
      <c r="J44" s="203" t="str">
        <f t="shared" si="0"/>
        <v>Low Sale</v>
      </c>
      <c r="K44" s="203" t="s">
        <v>510</v>
      </c>
    </row>
    <row r="45" spans="1:16" s="78" customFormat="1">
      <c r="B45" s="1168" t="s">
        <v>160</v>
      </c>
      <c r="C45" s="350"/>
      <c r="E45" s="350"/>
      <c r="F45" s="1169">
        <f>SUM(F34:F44)</f>
        <v>1</v>
      </c>
      <c r="G45" s="811"/>
    </row>
    <row r="46" spans="1:16" s="78" customFormat="1">
      <c r="B46" s="352"/>
      <c r="C46" s="350"/>
      <c r="D46" s="350"/>
      <c r="E46" s="350"/>
      <c r="F46" s="350"/>
      <c r="G46" s="350"/>
    </row>
    <row r="47" spans="1:16" s="78" customFormat="1">
      <c r="B47" s="910" t="s">
        <v>86</v>
      </c>
      <c r="C47" s="203"/>
      <c r="D47" s="345"/>
      <c r="E47" s="203"/>
      <c r="F47" s="345"/>
      <c r="G47" s="203"/>
    </row>
    <row r="48" spans="1:16" s="78" customFormat="1">
      <c r="A48" s="719" t="s">
        <v>210</v>
      </c>
      <c r="B48" s="960" t="str">
        <f>"The probabilities of technical success are based on published success rates and guidance from Management. Refer to "&amp;PoTS!B3&amp;" for futher details."</f>
        <v>The probabilities of technical success are based on published success rates and guidance from Management. Refer to Exhibit B.3 for futher details.</v>
      </c>
      <c r="C48" s="203"/>
      <c r="D48" s="345"/>
      <c r="E48" s="203"/>
      <c r="F48" s="345"/>
      <c r="G48" s="203"/>
    </row>
    <row r="49" spans="2:7" s="78" customFormat="1"/>
    <row r="50" spans="2:7" s="203" customFormat="1"/>
    <row r="51" spans="2:7" s="203" customFormat="1">
      <c r="B51" s="1046"/>
    </row>
    <row r="52" spans="2:7" s="203" customFormat="1"/>
    <row r="53" spans="2:7" s="203" customFormat="1" ht="13.5">
      <c r="B53" s="1170"/>
      <c r="G53" s="312"/>
    </row>
    <row r="54" spans="2:7" s="203" customFormat="1">
      <c r="B54" s="1171"/>
      <c r="C54" s="1172"/>
      <c r="D54" s="1172"/>
      <c r="E54" s="1172"/>
      <c r="F54" s="1172"/>
      <c r="G54" s="1172"/>
    </row>
    <row r="55" spans="2:7" s="203" customFormat="1">
      <c r="B55" s="1171"/>
      <c r="C55" s="1171"/>
      <c r="D55" s="1171"/>
      <c r="E55" s="1171"/>
      <c r="F55" s="1171"/>
      <c r="G55" s="1171"/>
    </row>
    <row r="56" spans="2:7" s="203" customFormat="1">
      <c r="B56" s="1173"/>
      <c r="C56" s="1174"/>
      <c r="D56" s="1171"/>
      <c r="E56" s="1171"/>
      <c r="F56" s="1171"/>
      <c r="G56" s="1171"/>
    </row>
    <row r="57" spans="2:7" s="203" customFormat="1">
      <c r="B57" s="1175"/>
      <c r="C57" s="1174"/>
      <c r="D57" s="1176"/>
      <c r="E57" s="1177"/>
      <c r="F57" s="1174"/>
      <c r="G57" s="1176"/>
    </row>
    <row r="58" spans="2:7" s="203" customFormat="1">
      <c r="B58" s="1175"/>
      <c r="C58" s="1174"/>
      <c r="D58" s="1176"/>
      <c r="E58" s="1178"/>
      <c r="F58" s="1176"/>
      <c r="G58" s="1176"/>
    </row>
    <row r="59" spans="2:7" s="203" customFormat="1">
      <c r="B59" s="1175"/>
      <c r="C59" s="1174"/>
      <c r="D59" s="1176"/>
      <c r="E59" s="1178"/>
      <c r="F59" s="1178"/>
      <c r="G59" s="1174"/>
    </row>
    <row r="60" spans="2:7" s="203" customFormat="1">
      <c r="B60" s="1173"/>
      <c r="C60" s="1174"/>
      <c r="D60" s="1171"/>
      <c r="E60" s="1171"/>
      <c r="F60" s="1171"/>
      <c r="G60" s="1171"/>
    </row>
    <row r="61" spans="2:7" s="203" customFormat="1">
      <c r="B61" s="1173"/>
      <c r="C61" s="1174"/>
      <c r="D61" s="1171"/>
      <c r="E61" s="1171"/>
      <c r="F61" s="1171"/>
      <c r="G61" s="1171"/>
    </row>
    <row r="62" spans="2:7" s="203" customFormat="1">
      <c r="B62" s="1175"/>
      <c r="C62" s="1179"/>
      <c r="D62" s="1176"/>
      <c r="E62" s="1180"/>
      <c r="F62" s="1174"/>
      <c r="G62" s="1176"/>
    </row>
    <row r="63" spans="2:7">
      <c r="B63" s="1175"/>
      <c r="C63" s="1181"/>
      <c r="D63" s="1176"/>
      <c r="E63" s="1176"/>
      <c r="F63" s="1176"/>
      <c r="G63" s="1176"/>
    </row>
    <row r="64" spans="2:7">
      <c r="B64" s="1175"/>
      <c r="C64" s="1181"/>
      <c r="D64" s="1176"/>
      <c r="E64" s="1176"/>
      <c r="F64" s="1178"/>
      <c r="G64" s="1174"/>
    </row>
    <row r="65" spans="2:8">
      <c r="B65" s="1182"/>
      <c r="C65" s="1181"/>
      <c r="D65" s="1171"/>
      <c r="E65" s="1171"/>
      <c r="F65" s="1171"/>
      <c r="G65" s="1171"/>
    </row>
    <row r="66" spans="2:8">
      <c r="B66" s="1173"/>
      <c r="C66" s="1174"/>
      <c r="D66" s="1171"/>
      <c r="E66" s="1171"/>
      <c r="F66" s="1171"/>
      <c r="G66" s="1171"/>
    </row>
    <row r="67" spans="2:8">
      <c r="B67" s="1175"/>
      <c r="C67" s="1183"/>
      <c r="D67" s="1176"/>
      <c r="E67" s="1178"/>
      <c r="F67" s="1174"/>
      <c r="G67" s="1176"/>
    </row>
    <row r="68" spans="2:8">
      <c r="B68" s="1175"/>
      <c r="C68" s="1183"/>
      <c r="D68" s="1176"/>
      <c r="E68" s="1176"/>
      <c r="F68" s="1176"/>
      <c r="G68" s="1176"/>
    </row>
    <row r="69" spans="2:8">
      <c r="B69" s="1175"/>
      <c r="C69" s="1183"/>
      <c r="D69" s="1176"/>
      <c r="E69" s="1176"/>
      <c r="F69" s="1178"/>
      <c r="G69" s="1184"/>
    </row>
    <row r="74" spans="2:8" ht="13.5">
      <c r="B74" s="1170"/>
      <c r="G74" s="312"/>
    </row>
    <row r="75" spans="2:8">
      <c r="B75" s="1171"/>
      <c r="C75" s="1185"/>
      <c r="D75" s="1185"/>
      <c r="E75" s="1185"/>
      <c r="F75" s="1185"/>
      <c r="G75" s="1185"/>
      <c r="H75" s="1186"/>
    </row>
    <row r="76" spans="2:8">
      <c r="B76" s="1171"/>
      <c r="C76" s="1171"/>
      <c r="D76" s="1171"/>
      <c r="E76" s="1171"/>
      <c r="F76" s="1171"/>
      <c r="G76" s="1171"/>
      <c r="H76" s="1171"/>
    </row>
    <row r="77" spans="2:8">
      <c r="B77" s="1187"/>
      <c r="C77" s="1188"/>
      <c r="D77" s="1188"/>
      <c r="E77" s="1171"/>
      <c r="F77" s="1171"/>
      <c r="G77" s="1171"/>
      <c r="H77" s="1171"/>
    </row>
    <row r="78" spans="2:8">
      <c r="B78" s="1189"/>
      <c r="C78" s="1181"/>
      <c r="D78" s="1171"/>
      <c r="E78" s="1190"/>
      <c r="F78" s="1191"/>
      <c r="G78" s="1192"/>
      <c r="H78" s="1193"/>
    </row>
    <row r="79" spans="2:8">
      <c r="B79" s="1189"/>
      <c r="C79" s="1181"/>
      <c r="D79" s="1171"/>
      <c r="E79" s="1190"/>
      <c r="F79" s="1194"/>
      <c r="G79" s="1195"/>
      <c r="H79" s="1195"/>
    </row>
    <row r="80" spans="2:8">
      <c r="B80" s="1189"/>
      <c r="C80" s="1181"/>
      <c r="D80" s="1171"/>
      <c r="E80" s="1190"/>
      <c r="F80" s="1194"/>
      <c r="G80" s="1195"/>
      <c r="H80" s="1195"/>
    </row>
    <row r="81" spans="2:8">
      <c r="B81" s="1189"/>
      <c r="C81" s="1181"/>
      <c r="D81" s="1171"/>
      <c r="E81" s="1190"/>
      <c r="F81" s="1194"/>
      <c r="G81" s="1195"/>
      <c r="H81" s="1195"/>
    </row>
    <row r="82" spans="2:8">
      <c r="B82" s="1196"/>
      <c r="C82" s="1181"/>
      <c r="D82" s="1171"/>
      <c r="E82" s="1171"/>
      <c r="F82" s="1171"/>
      <c r="G82" s="1171"/>
      <c r="H82" s="1171"/>
    </row>
    <row r="83" spans="2:8">
      <c r="B83" s="1187"/>
      <c r="C83" s="1188"/>
      <c r="D83" s="1197"/>
      <c r="E83" s="1171"/>
      <c r="F83" s="1171"/>
      <c r="G83" s="1171"/>
      <c r="H83" s="1171"/>
    </row>
    <row r="84" spans="2:8">
      <c r="B84" s="1189"/>
      <c r="C84" s="1181"/>
      <c r="D84" s="1171"/>
      <c r="E84" s="1190"/>
      <c r="F84" s="1194"/>
      <c r="G84" s="1188"/>
      <c r="H84" s="1198"/>
    </row>
    <row r="85" spans="2:8">
      <c r="B85" s="1189"/>
      <c r="C85" s="1181"/>
      <c r="D85" s="1171"/>
      <c r="E85" s="1190"/>
      <c r="F85" s="1194"/>
      <c r="G85" s="1190"/>
      <c r="H85" s="1190"/>
    </row>
    <row r="86" spans="2:8">
      <c r="B86" s="1189"/>
      <c r="C86" s="1181"/>
      <c r="D86" s="1171"/>
      <c r="E86" s="1190"/>
      <c r="F86" s="1190"/>
      <c r="G86" s="1190"/>
      <c r="H86" s="1190"/>
    </row>
    <row r="87" spans="2:8">
      <c r="B87" s="1189"/>
      <c r="C87" s="1181"/>
      <c r="D87" s="1171"/>
      <c r="E87" s="1190"/>
      <c r="F87" s="1190"/>
      <c r="G87" s="1194"/>
      <c r="H87" s="1194"/>
    </row>
    <row r="88" spans="2:8">
      <c r="B88" s="1196"/>
      <c r="C88" s="1181"/>
      <c r="D88" s="1171"/>
      <c r="E88" s="1171"/>
      <c r="F88" s="1171"/>
      <c r="G88" s="1171"/>
      <c r="H88" s="1171"/>
    </row>
    <row r="89" spans="2:8">
      <c r="B89" s="1187"/>
      <c r="C89" s="1188"/>
      <c r="D89" s="1197"/>
      <c r="E89" s="1171"/>
      <c r="F89" s="1171"/>
      <c r="G89" s="1171"/>
      <c r="H89" s="1171"/>
    </row>
    <row r="90" spans="2:8">
      <c r="B90" s="1189"/>
      <c r="C90" s="1181"/>
      <c r="D90" s="1171"/>
      <c r="E90" s="1190"/>
      <c r="F90" s="1194"/>
      <c r="G90" s="1188"/>
      <c r="H90" s="1190"/>
    </row>
    <row r="91" spans="2:8">
      <c r="B91" s="1189"/>
      <c r="C91" s="1181"/>
      <c r="D91" s="1171"/>
      <c r="E91" s="1190"/>
      <c r="F91" s="1190"/>
      <c r="G91" s="1198"/>
      <c r="H91" s="1190"/>
    </row>
    <row r="92" spans="2:8">
      <c r="B92" s="1189"/>
      <c r="C92" s="1181"/>
      <c r="D92" s="1171"/>
      <c r="E92" s="1190"/>
      <c r="F92" s="1190"/>
      <c r="G92" s="1190"/>
      <c r="H92" s="1190"/>
    </row>
    <row r="93" spans="2:8">
      <c r="B93" s="1189"/>
      <c r="C93" s="1181"/>
      <c r="E93" s="1190"/>
      <c r="F93" s="1190"/>
      <c r="G93" s="1194"/>
      <c r="H93" s="1190"/>
    </row>
    <row r="98" spans="2:8" ht="13.5">
      <c r="B98" s="905"/>
      <c r="G98" s="312"/>
    </row>
    <row r="99" spans="2:8">
      <c r="B99" s="1199"/>
      <c r="C99" s="1200"/>
      <c r="D99" s="1200"/>
      <c r="E99" s="1200"/>
      <c r="F99" s="1200"/>
      <c r="G99" s="1200"/>
    </row>
    <row r="101" spans="2:8">
      <c r="C101" s="1201"/>
      <c r="D101" s="1202"/>
      <c r="E101" s="1202"/>
      <c r="F101" s="1202"/>
      <c r="G101" s="1203"/>
    </row>
    <row r="102" spans="2:8">
      <c r="B102" s="471"/>
      <c r="C102" s="1201"/>
      <c r="D102" s="1204"/>
      <c r="E102" s="1204"/>
      <c r="F102" s="1205"/>
      <c r="G102" s="1203"/>
      <c r="H102" s="1206"/>
    </row>
    <row r="103" spans="2:8">
      <c r="B103" s="312"/>
      <c r="C103" s="312"/>
      <c r="D103" s="312"/>
      <c r="E103" s="312"/>
      <c r="F103" s="347"/>
      <c r="G103" s="312"/>
      <c r="H103" s="347"/>
    </row>
    <row r="104" spans="2:8">
      <c r="B104" s="1199"/>
      <c r="C104" s="1200"/>
      <c r="D104" s="1200"/>
      <c r="E104" s="1207"/>
      <c r="G104" s="312"/>
      <c r="H104" s="347"/>
    </row>
    <row r="105" spans="2:8">
      <c r="B105" s="893"/>
      <c r="C105" s="894"/>
      <c r="D105" s="894"/>
      <c r="E105" s="347"/>
      <c r="F105" s="203"/>
      <c r="G105" s="312"/>
      <c r="H105" s="347"/>
    </row>
    <row r="106" spans="2:8">
      <c r="B106" s="1208"/>
      <c r="C106" s="1209"/>
      <c r="D106" s="1209"/>
      <c r="F106" s="347"/>
      <c r="G106" s="312"/>
      <c r="H106" s="347"/>
    </row>
    <row r="107" spans="2:8">
      <c r="C107" s="1201"/>
      <c r="D107" s="348"/>
      <c r="F107" s="347"/>
      <c r="G107" s="312"/>
      <c r="H107" s="347"/>
    </row>
    <row r="108" spans="2:8">
      <c r="B108" s="471"/>
      <c r="C108" s="1201"/>
      <c r="D108" s="348"/>
      <c r="F108" s="347"/>
      <c r="G108" s="312"/>
      <c r="H108" s="347"/>
    </row>
    <row r="109" spans="2:8">
      <c r="B109" s="471"/>
      <c r="C109" s="348"/>
      <c r="D109" s="1202"/>
      <c r="F109" s="347"/>
      <c r="G109" s="312"/>
      <c r="H109" s="347"/>
    </row>
    <row r="110" spans="2:8">
      <c r="B110" s="312"/>
      <c r="C110" s="312"/>
      <c r="D110" s="312"/>
      <c r="E110" s="312"/>
      <c r="F110" s="347"/>
      <c r="G110" s="312"/>
      <c r="H110" s="347"/>
    </row>
    <row r="111" spans="2:8" ht="13.5">
      <c r="B111" s="900"/>
      <c r="C111" s="895"/>
      <c r="D111" s="895"/>
      <c r="E111" s="895"/>
      <c r="F111" s="895"/>
      <c r="G111" s="895"/>
      <c r="H111" s="895"/>
    </row>
    <row r="112" spans="2:8">
      <c r="B112" s="1199"/>
      <c r="C112" s="1200"/>
      <c r="D112" s="1200"/>
      <c r="E112" s="1200"/>
      <c r="F112" s="1200"/>
      <c r="G112" s="1200"/>
      <c r="H112" s="203"/>
    </row>
    <row r="114" spans="2:8">
      <c r="B114" s="897"/>
      <c r="C114" s="348"/>
      <c r="D114" s="348"/>
      <c r="E114" s="349"/>
      <c r="F114" s="349"/>
      <c r="G114" s="896"/>
      <c r="H114" s="203"/>
    </row>
    <row r="115" spans="2:8">
      <c r="B115" s="897"/>
      <c r="C115" s="348"/>
      <c r="D115" s="348"/>
      <c r="E115" s="349"/>
      <c r="F115" s="349"/>
      <c r="G115" s="896"/>
      <c r="H115" s="203"/>
    </row>
    <row r="116" spans="2:8">
      <c r="B116" s="312"/>
      <c r="C116" s="350"/>
      <c r="D116" s="350"/>
      <c r="E116" s="351"/>
      <c r="F116" s="350"/>
      <c r="G116" s="350"/>
      <c r="H116" s="203"/>
    </row>
    <row r="117" spans="2:8">
      <c r="B117" s="312"/>
      <c r="C117" s="312"/>
      <c r="D117" s="347"/>
      <c r="E117" s="312"/>
      <c r="F117" s="347"/>
      <c r="G117" s="312"/>
      <c r="H117" s="203"/>
    </row>
    <row r="118" spans="2:8" ht="13.5">
      <c r="B118" s="900"/>
      <c r="C118" s="895"/>
      <c r="D118" s="895"/>
      <c r="E118" s="895"/>
      <c r="F118" s="895"/>
      <c r="G118" s="895"/>
      <c r="H118" s="895"/>
    </row>
    <row r="119" spans="2:8">
      <c r="B119" s="1199"/>
      <c r="C119" s="1200"/>
      <c r="D119" s="1200"/>
      <c r="E119" s="1200"/>
      <c r="F119" s="1200"/>
      <c r="G119" s="1200"/>
      <c r="H119" s="203"/>
    </row>
    <row r="121" spans="2:8">
      <c r="B121" s="897"/>
      <c r="C121" s="348"/>
      <c r="D121" s="348"/>
      <c r="E121" s="348"/>
      <c r="F121" s="348"/>
      <c r="G121" s="896"/>
      <c r="H121" s="203"/>
    </row>
    <row r="122" spans="2:8">
      <c r="B122" s="897"/>
      <c r="C122" s="348"/>
      <c r="D122" s="348"/>
      <c r="E122" s="349"/>
      <c r="F122" s="349"/>
      <c r="G122" s="896"/>
      <c r="H122" s="203"/>
    </row>
    <row r="123" spans="2:8">
      <c r="B123" s="312"/>
      <c r="C123" s="350"/>
      <c r="D123" s="350"/>
      <c r="E123" s="351"/>
      <c r="F123" s="350"/>
      <c r="G123" s="350"/>
      <c r="H123" s="203"/>
    </row>
    <row r="124" spans="2:8">
      <c r="B124" s="312"/>
      <c r="C124" s="312"/>
      <c r="D124" s="347"/>
      <c r="E124" s="312"/>
      <c r="F124" s="347"/>
      <c r="G124" s="312"/>
      <c r="H124" s="203"/>
    </row>
    <row r="125" spans="2:8" ht="13.5">
      <c r="B125" s="1210"/>
      <c r="C125" s="1056"/>
      <c r="D125" s="895"/>
      <c r="E125" s="1210"/>
      <c r="F125" s="1056"/>
      <c r="G125" s="1056"/>
      <c r="H125" s="895"/>
    </row>
    <row r="126" spans="2:8">
      <c r="B126" s="1211"/>
      <c r="C126" s="1212"/>
      <c r="D126" s="203"/>
      <c r="E126" s="1211"/>
      <c r="F126" s="1212"/>
      <c r="G126" s="1212"/>
      <c r="H126" s="203"/>
    </row>
    <row r="128" spans="2:8">
      <c r="B128" s="1213"/>
      <c r="C128" s="1213"/>
      <c r="D128" s="203"/>
      <c r="E128" s="1213"/>
      <c r="F128" s="1213"/>
      <c r="G128" s="1213"/>
      <c r="H128" s="203"/>
    </row>
    <row r="129" spans="2:12">
      <c r="B129" s="355"/>
      <c r="C129" s="346"/>
      <c r="D129" s="203"/>
      <c r="E129" s="1213"/>
      <c r="F129" s="1213"/>
      <c r="G129" s="1213"/>
      <c r="H129" s="817"/>
    </row>
    <row r="130" spans="2:12">
      <c r="B130" s="355"/>
      <c r="C130" s="346"/>
      <c r="D130" s="203"/>
      <c r="E130" s="1124"/>
      <c r="F130" s="1124"/>
      <c r="G130" s="1124"/>
      <c r="H130" s="897"/>
    </row>
    <row r="131" spans="2:12">
      <c r="B131" s="355"/>
      <c r="C131" s="346"/>
      <c r="D131" s="203"/>
      <c r="E131" s="846"/>
      <c r="F131" s="846"/>
      <c r="G131" s="846"/>
      <c r="H131" s="897"/>
      <c r="L131" s="904"/>
    </row>
    <row r="132" spans="2:12">
      <c r="B132" s="203"/>
      <c r="C132" s="346"/>
      <c r="D132" s="203"/>
      <c r="E132" s="898"/>
      <c r="F132" s="898"/>
      <c r="G132" s="898"/>
      <c r="H132" s="471"/>
    </row>
    <row r="133" spans="2:12">
      <c r="B133" s="203"/>
      <c r="C133" s="346"/>
      <c r="D133" s="203"/>
      <c r="E133" s="203"/>
      <c r="F133" s="203"/>
      <c r="G133" s="203"/>
      <c r="H133" s="471"/>
    </row>
    <row r="134" spans="2:12">
      <c r="B134" s="355"/>
      <c r="C134" s="346"/>
      <c r="D134" s="203"/>
      <c r="E134" s="898"/>
      <c r="F134" s="898"/>
      <c r="G134" s="898"/>
      <c r="H134" s="817"/>
    </row>
    <row r="135" spans="2:12">
      <c r="B135" s="1214"/>
      <c r="C135" s="1215"/>
      <c r="D135" s="203"/>
      <c r="E135" s="1215"/>
      <c r="F135" s="203"/>
      <c r="G135" s="1215"/>
      <c r="H135" s="203"/>
    </row>
    <row r="136" spans="2:12">
      <c r="B136" s="897"/>
      <c r="C136" s="899"/>
      <c r="D136" s="203"/>
      <c r="E136" s="899"/>
      <c r="F136" s="203"/>
      <c r="G136" s="899"/>
      <c r="H136" s="203"/>
    </row>
    <row r="137" spans="2:12">
      <c r="B137" s="897"/>
      <c r="C137" s="1216"/>
      <c r="D137" s="203"/>
      <c r="E137" s="899"/>
      <c r="F137" s="203"/>
      <c r="G137" s="899"/>
      <c r="H137" s="203"/>
    </row>
    <row r="138" spans="2:12">
      <c r="B138" s="897"/>
      <c r="C138" s="1217"/>
      <c r="D138" s="203"/>
      <c r="E138" s="899"/>
      <c r="F138" s="203"/>
      <c r="G138" s="899"/>
      <c r="H138" s="203"/>
    </row>
    <row r="139" spans="2:12">
      <c r="B139" s="938"/>
      <c r="C139" s="938"/>
      <c r="D139" s="938"/>
      <c r="E139" s="938"/>
      <c r="F139" s="938"/>
      <c r="G139" s="938"/>
      <c r="H139" s="938"/>
    </row>
    <row r="140" spans="2:12" ht="13.5">
      <c r="B140" s="900"/>
      <c r="C140" s="203"/>
      <c r="D140" s="203"/>
      <c r="E140" s="203"/>
      <c r="F140" s="203"/>
      <c r="G140" s="203"/>
      <c r="H140" s="203"/>
    </row>
    <row r="141" spans="2:12">
      <c r="B141" s="203"/>
      <c r="C141" s="901"/>
      <c r="D141" s="351"/>
      <c r="E141" s="901"/>
      <c r="F141" s="1056"/>
      <c r="G141" s="901"/>
      <c r="H141" s="203"/>
    </row>
    <row r="142" spans="2:12">
      <c r="B142" s="1214"/>
      <c r="C142" s="1215"/>
      <c r="D142" s="203"/>
      <c r="E142" s="1215"/>
      <c r="F142" s="203"/>
      <c r="G142" s="1215"/>
      <c r="H142" s="203"/>
    </row>
    <row r="143" spans="2:12">
      <c r="B143" s="471"/>
      <c r="C143" s="203"/>
      <c r="D143" s="203"/>
      <c r="E143" s="901"/>
      <c r="F143" s="312"/>
      <c r="G143" s="901"/>
      <c r="H143" s="203"/>
    </row>
    <row r="144" spans="2:12">
      <c r="B144" s="471"/>
      <c r="C144" s="203"/>
      <c r="D144" s="203"/>
      <c r="E144" s="901"/>
      <c r="F144" s="312"/>
      <c r="G144" s="901"/>
      <c r="H144" s="203"/>
    </row>
    <row r="145" spans="2:8" ht="13.5">
      <c r="B145" s="817"/>
      <c r="C145" s="203"/>
      <c r="D145" s="1170"/>
      <c r="E145" s="1218"/>
      <c r="F145" s="902"/>
      <c r="G145" s="1218"/>
      <c r="H145" s="203"/>
    </row>
    <row r="146" spans="2:8">
      <c r="B146" s="471"/>
      <c r="C146" s="203"/>
      <c r="D146" s="903"/>
      <c r="E146" s="899"/>
      <c r="F146" s="903"/>
      <c r="G146" s="899"/>
      <c r="H146" s="203"/>
    </row>
    <row r="147" spans="2:8">
      <c r="B147" s="203"/>
      <c r="C147" s="203"/>
      <c r="D147" s="903"/>
      <c r="E147" s="899"/>
      <c r="F147" s="903"/>
      <c r="G147" s="904"/>
      <c r="H147" s="203"/>
    </row>
    <row r="148" spans="2:8">
      <c r="E148" s="904"/>
      <c r="G148" s="904"/>
      <c r="H148" s="203"/>
    </row>
    <row r="149" spans="2:8">
      <c r="E149" s="904"/>
      <c r="G149" s="904"/>
      <c r="H149" s="203"/>
    </row>
    <row r="150" spans="2:8">
      <c r="E150" s="901"/>
      <c r="F150" s="26"/>
      <c r="G150" s="901"/>
      <c r="H150" s="203"/>
    </row>
    <row r="151" spans="2:8" ht="13.5">
      <c r="D151" s="1170"/>
      <c r="E151" s="1218"/>
      <c r="F151" s="905"/>
      <c r="G151" s="1218"/>
      <c r="H151" s="203"/>
    </row>
    <row r="152" spans="2:8">
      <c r="D152" s="903"/>
      <c r="E152" s="899"/>
      <c r="F152" s="903"/>
      <c r="G152" s="899"/>
      <c r="H152" s="203"/>
    </row>
    <row r="153" spans="2:8">
      <c r="D153" s="903"/>
      <c r="E153" s="899"/>
      <c r="F153" s="903"/>
      <c r="G153" s="899"/>
      <c r="H153" s="203"/>
    </row>
    <row r="154" spans="2:8">
      <c r="E154" s="904"/>
      <c r="G154" s="904"/>
      <c r="H154" s="203"/>
    </row>
    <row r="155" spans="2:8">
      <c r="E155" s="904"/>
      <c r="G155" s="904"/>
      <c r="H155" s="203"/>
    </row>
    <row r="156" spans="2:8">
      <c r="B156" s="26"/>
      <c r="C156" s="26"/>
      <c r="D156" s="26"/>
      <c r="E156" s="901"/>
      <c r="F156" s="26"/>
      <c r="G156" s="901"/>
      <c r="H156" s="312"/>
    </row>
    <row r="157" spans="2:8" ht="13.5">
      <c r="D157" s="1170"/>
      <c r="E157" s="1218"/>
      <c r="F157" s="905"/>
      <c r="G157" s="1218"/>
      <c r="H157" s="203"/>
    </row>
    <row r="158" spans="2:8">
      <c r="D158" s="903"/>
      <c r="E158" s="899"/>
      <c r="F158" s="903"/>
      <c r="G158" s="899"/>
      <c r="H158" s="203"/>
    </row>
    <row r="159" spans="2:8">
      <c r="D159" s="903"/>
      <c r="E159" s="899"/>
      <c r="F159" s="903"/>
      <c r="G159" s="899"/>
      <c r="H159" s="203"/>
    </row>
    <row r="160" spans="2:8">
      <c r="E160" s="899"/>
      <c r="G160" s="899"/>
      <c r="H160" s="203"/>
    </row>
  </sheetData>
  <conditionalFormatting sqref="B4:F4">
    <cfRule type="cellIs" dxfId="625" priority="5" stopIfTrue="1" operator="equal">
      <formula>"input"</formula>
    </cfRule>
  </conditionalFormatting>
  <conditionalFormatting sqref="G4">
    <cfRule type="cellIs" dxfId="624" priority="3" stopIfTrue="1" operator="equal">
      <formula>"input"</formula>
    </cfRule>
  </conditionalFormatting>
  <conditionalFormatting sqref="G4">
    <cfRule type="cellIs" dxfId="623" priority="4" stopIfTrue="1" operator="equal">
      <formula>"input"</formula>
    </cfRule>
  </conditionalFormatting>
  <conditionalFormatting sqref="H4">
    <cfRule type="cellIs" dxfId="622" priority="1" stopIfTrue="1" operator="equal">
      <formula>"input"</formula>
    </cfRule>
  </conditionalFormatting>
  <conditionalFormatting sqref="H4">
    <cfRule type="cellIs" dxfId="621" priority="2" stopIfTrue="1" operator="equal">
      <formula>"input"</formula>
    </cfRule>
  </conditionalFormatting>
  <pageMargins left="0.5" right="0.5" top="0.5" bottom="0.5" header="0.5" footer="0.5"/>
  <pageSetup scale="78" fitToWidth="0" fitToHeight="0" orientation="landscape" r:id="rId1"/>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92"/>
  <sheetViews>
    <sheetView showGridLines="0" view="pageBreakPreview" zoomScaleNormal="100" zoomScaleSheetLayoutView="100" workbookViewId="0"/>
  </sheetViews>
  <sheetFormatPr defaultRowHeight="12.75" outlineLevelRow="1"/>
  <cols>
    <col min="1" max="1" width="4.5" style="405" customWidth="1"/>
    <col min="2" max="6" width="28.1640625" style="405" customWidth="1"/>
    <col min="7" max="7" width="4.5" style="405" customWidth="1"/>
    <col min="8" max="8" width="27.5" style="405" hidden="1" customWidth="1"/>
    <col min="9" max="9" width="1.6640625" style="405" hidden="1" customWidth="1"/>
    <col min="10" max="10" width="0.1640625" style="405" hidden="1" customWidth="1"/>
    <col min="11" max="16384" width="9.33203125" style="405"/>
  </cols>
  <sheetData>
    <row r="1" spans="2:6" ht="13.5" thickBot="1"/>
    <row r="2" spans="2:6" ht="16.5" thickTop="1">
      <c r="B2" s="10" t="str">
        <f>'MASTER PubCo Inputs'!$C$5</f>
        <v>Kallyope, Inc.</v>
      </c>
      <c r="C2" s="10"/>
      <c r="D2" s="10"/>
      <c r="E2" s="10"/>
      <c r="F2" s="10"/>
    </row>
    <row r="3" spans="2:6" ht="15.75">
      <c r="B3" s="11" t="str">
        <f>VLOOKUP(B4,Outline!$E$8:$G$69,COLUMNS(Outline!$E$8:$G$8),FALSE)</f>
        <v>Exhibit B.3</v>
      </c>
      <c r="C3" s="11"/>
      <c r="D3" s="11"/>
      <c r="E3" s="11"/>
      <c r="F3" s="11"/>
    </row>
    <row r="4" spans="2:6" ht="16.5" thickBot="1">
      <c r="B4" s="12" t="s">
        <v>537</v>
      </c>
      <c r="C4" s="12"/>
      <c r="D4" s="12"/>
      <c r="E4" s="12"/>
      <c r="F4" s="12"/>
    </row>
    <row r="5" spans="2:6" ht="13.5" thickTop="1"/>
    <row r="6" spans="2:6" s="720" customFormat="1" ht="15" customHeight="1">
      <c r="B6" s="721" t="s">
        <v>778</v>
      </c>
      <c r="F6" s="722"/>
    </row>
    <row r="7" spans="2:6" s="720" customFormat="1" ht="12.75" customHeight="1">
      <c r="B7" s="1978" t="s">
        <v>517</v>
      </c>
      <c r="C7" s="1979" t="s">
        <v>510</v>
      </c>
      <c r="D7" s="1979" t="s">
        <v>518</v>
      </c>
      <c r="E7" s="1979" t="s">
        <v>519</v>
      </c>
      <c r="F7" s="1980" t="s">
        <v>520</v>
      </c>
    </row>
    <row r="8" spans="2:6" s="720" customFormat="1" ht="12.75" customHeight="1">
      <c r="B8" s="723">
        <v>0.67</v>
      </c>
      <c r="C8" s="723">
        <v>0.41</v>
      </c>
      <c r="D8" s="723">
        <v>0.65</v>
      </c>
      <c r="E8" s="723">
        <v>0.83</v>
      </c>
      <c r="F8" s="724">
        <f>PRODUCT(B8:E8)</f>
        <v>0.14820065000000002</v>
      </c>
    </row>
    <row r="9" spans="2:6" s="720" customFormat="1" ht="12.75" customHeight="1">
      <c r="B9" s="725"/>
      <c r="C9" s="725"/>
      <c r="D9" s="726"/>
      <c r="E9" s="725"/>
      <c r="F9" s="726"/>
    </row>
    <row r="10" spans="2:6" s="720" customFormat="1" ht="15" customHeight="1">
      <c r="B10" s="727" t="s">
        <v>619</v>
      </c>
      <c r="C10" s="728"/>
      <c r="F10" s="722"/>
    </row>
    <row r="11" spans="2:6" s="720" customFormat="1" ht="12.75" customHeight="1">
      <c r="B11" s="1978" t="s">
        <v>521</v>
      </c>
      <c r="C11" s="1979"/>
      <c r="D11" s="1980"/>
      <c r="F11" s="722"/>
    </row>
    <row r="12" spans="2:6" s="720" customFormat="1" ht="12.75" customHeight="1">
      <c r="B12" s="1981" t="s">
        <v>522</v>
      </c>
      <c r="C12" s="1982" t="s">
        <v>523</v>
      </c>
      <c r="D12" s="1982" t="s">
        <v>779</v>
      </c>
      <c r="F12" s="722"/>
    </row>
    <row r="13" spans="2:6" s="720" customFormat="1" ht="12.75" customHeight="1">
      <c r="B13" s="729">
        <v>0.19</v>
      </c>
      <c r="C13" s="729">
        <v>0.09</v>
      </c>
      <c r="D13" s="729">
        <v>0.14499999999999999</v>
      </c>
      <c r="F13" s="722"/>
    </row>
    <row r="14" spans="2:6" s="720" customFormat="1" ht="12.75" customHeight="1">
      <c r="B14" s="729"/>
      <c r="C14" s="729"/>
      <c r="D14" s="729"/>
      <c r="F14" s="722"/>
    </row>
    <row r="15" spans="2:6" s="720" customFormat="1" ht="15" customHeight="1">
      <c r="B15" s="730" t="s">
        <v>2548</v>
      </c>
      <c r="F15" s="722"/>
    </row>
    <row r="16" spans="2:6" s="720" customFormat="1" ht="12.75" customHeight="1">
      <c r="B16" s="1978" t="s">
        <v>517</v>
      </c>
      <c r="C16" s="1979" t="s">
        <v>510</v>
      </c>
      <c r="D16" s="1979" t="s">
        <v>518</v>
      </c>
      <c r="E16" s="1979" t="s">
        <v>519</v>
      </c>
      <c r="F16" s="1980" t="s">
        <v>520</v>
      </c>
    </row>
    <row r="17" spans="2:6" s="720" customFormat="1" ht="12.75" customHeight="1">
      <c r="B17" s="723">
        <v>0.54</v>
      </c>
      <c r="C17" s="723">
        <v>0.23</v>
      </c>
      <c r="D17" s="723">
        <v>0.37</v>
      </c>
      <c r="E17" s="723">
        <v>0.72</v>
      </c>
      <c r="F17" s="724">
        <f>PRODUCT(B17:E17)</f>
        <v>3.3086880000000006E-2</v>
      </c>
    </row>
    <row r="18" spans="2:6" s="720" customFormat="1">
      <c r="B18" s="1983"/>
      <c r="C18" s="1983"/>
      <c r="D18" s="1984"/>
      <c r="F18" s="722"/>
    </row>
    <row r="19" spans="2:6" s="720" customFormat="1" ht="12.75" customHeight="1">
      <c r="B19" s="727" t="s">
        <v>2549</v>
      </c>
      <c r="C19" s="729"/>
      <c r="D19" s="729"/>
      <c r="F19" s="722"/>
    </row>
    <row r="20" spans="2:6" s="720" customFormat="1" ht="12.75" customHeight="1">
      <c r="B20" s="1985" t="s">
        <v>2550</v>
      </c>
      <c r="C20" s="1980" t="s">
        <v>2551</v>
      </c>
      <c r="D20" s="729"/>
      <c r="F20" s="722"/>
    </row>
    <row r="21" spans="2:6" s="720" customFormat="1" ht="12.75" customHeight="1">
      <c r="B21" s="723">
        <v>0.12</v>
      </c>
      <c r="C21" s="723">
        <v>0.04</v>
      </c>
      <c r="D21" s="729"/>
      <c r="F21" s="722"/>
    </row>
    <row r="22" spans="2:6" s="720" customFormat="1">
      <c r="B22" s="1983"/>
      <c r="C22" s="1983"/>
      <c r="D22" s="1984"/>
      <c r="F22" s="722"/>
    </row>
    <row r="23" spans="2:6" s="720" customFormat="1" ht="15" customHeight="1">
      <c r="B23" s="730" t="s">
        <v>2552</v>
      </c>
      <c r="F23" s="722"/>
    </row>
    <row r="24" spans="2:6" s="720" customFormat="1" ht="12.75" customHeight="1">
      <c r="B24" s="1978" t="s">
        <v>517</v>
      </c>
      <c r="C24" s="1979" t="s">
        <v>510</v>
      </c>
      <c r="D24" s="1979" t="s">
        <v>518</v>
      </c>
      <c r="E24" s="1979" t="s">
        <v>519</v>
      </c>
      <c r="F24" s="1980" t="s">
        <v>520</v>
      </c>
    </row>
    <row r="25" spans="2:6" s="720" customFormat="1" ht="12.75" customHeight="1">
      <c r="B25" s="723">
        <v>0.65400000000000003</v>
      </c>
      <c r="C25" s="723">
        <v>0.28999999999999998</v>
      </c>
      <c r="D25" s="723">
        <v>0.39800000000000002</v>
      </c>
      <c r="E25" s="723">
        <v>0.76100000000000001</v>
      </c>
      <c r="F25" s="724">
        <f>PRODUCT(B25:E25)</f>
        <v>5.7443841480000001E-2</v>
      </c>
    </row>
    <row r="26" spans="2:6" s="720" customFormat="1" ht="12.75" customHeight="1">
      <c r="B26" s="729"/>
      <c r="C26" s="729"/>
      <c r="D26" s="729"/>
      <c r="F26" s="722"/>
    </row>
    <row r="27" spans="2:6" s="720" customFormat="1" ht="16.5" customHeight="1">
      <c r="B27" s="727" t="s">
        <v>2553</v>
      </c>
      <c r="C27" s="729"/>
      <c r="D27" s="729"/>
      <c r="F27" s="722"/>
    </row>
    <row r="28" spans="2:6" s="720" customFormat="1" ht="12.75" customHeight="1">
      <c r="B28" s="1985" t="s">
        <v>780</v>
      </c>
      <c r="C28" s="1980" t="s">
        <v>781</v>
      </c>
      <c r="D28" s="729"/>
      <c r="F28" s="722"/>
    </row>
    <row r="29" spans="2:6" s="720" customFormat="1" ht="12.75" customHeight="1">
      <c r="B29" s="723">
        <v>0.7</v>
      </c>
      <c r="C29" s="723">
        <v>0.65</v>
      </c>
      <c r="D29" s="729"/>
      <c r="F29" s="722"/>
    </row>
    <row r="30" spans="2:6" s="720" customFormat="1" ht="12.75" customHeight="1">
      <c r="B30" s="729"/>
      <c r="C30" s="729"/>
      <c r="D30" s="729"/>
      <c r="F30" s="722"/>
    </row>
    <row r="31" spans="2:6" s="720" customFormat="1" ht="12.75" customHeight="1">
      <c r="B31" s="727" t="s">
        <v>2554</v>
      </c>
      <c r="C31" s="729"/>
      <c r="D31" s="729"/>
      <c r="F31" s="722"/>
    </row>
    <row r="32" spans="2:6" s="720" customFormat="1" ht="12.75" customHeight="1">
      <c r="B32" s="1986" t="s">
        <v>856</v>
      </c>
      <c r="C32" s="729"/>
      <c r="D32" s="729"/>
      <c r="F32" s="722"/>
    </row>
    <row r="33" spans="2:9" s="720" customFormat="1" ht="12.75" customHeight="1">
      <c r="B33" s="723">
        <v>0.6</v>
      </c>
      <c r="C33" s="1987"/>
      <c r="D33" s="729"/>
      <c r="F33" s="722"/>
    </row>
    <row r="34" spans="2:9" s="720" customFormat="1" ht="12.75" customHeight="1">
      <c r="B34" s="723"/>
      <c r="C34" s="723"/>
      <c r="D34" s="729"/>
      <c r="F34" s="722"/>
    </row>
    <row r="35" spans="2:9" s="720" customFormat="1" ht="12.75" customHeight="1">
      <c r="B35" s="1988" t="s">
        <v>2555</v>
      </c>
      <c r="C35" s="1989"/>
      <c r="D35" s="1989"/>
      <c r="E35" s="1990"/>
      <c r="F35" s="1991"/>
    </row>
    <row r="36" spans="2:9" s="720" customFormat="1" ht="12.75" customHeight="1">
      <c r="C36" s="729"/>
      <c r="D36" s="729"/>
      <c r="F36" s="722"/>
    </row>
    <row r="37" spans="2:9" s="720" customFormat="1" ht="12.75" customHeight="1">
      <c r="B37" s="730" t="s">
        <v>2556</v>
      </c>
      <c r="C37" s="731"/>
      <c r="D37" s="731"/>
      <c r="E37" s="731"/>
      <c r="F37" s="732"/>
    </row>
    <row r="38" spans="2:9" s="720" customFormat="1" ht="12.75" customHeight="1">
      <c r="B38" s="1978" t="s">
        <v>517</v>
      </c>
      <c r="C38" s="1979" t="s">
        <v>510</v>
      </c>
      <c r="D38" s="1992" t="s">
        <v>518</v>
      </c>
      <c r="E38" s="1979" t="s">
        <v>519</v>
      </c>
      <c r="F38" s="1993" t="s">
        <v>524</v>
      </c>
    </row>
    <row r="39" spans="2:9" s="720" customFormat="1" ht="12.75" customHeight="1">
      <c r="B39" s="733">
        <v>0.47799999999999998</v>
      </c>
      <c r="C39" s="733">
        <v>0.52</v>
      </c>
      <c r="D39" s="733">
        <v>0.78900000000000003</v>
      </c>
      <c r="E39" s="734">
        <v>0.92800000000000005</v>
      </c>
      <c r="F39" s="736">
        <f>PRODUCT(B39:E39)</f>
        <v>0.18199364352000003</v>
      </c>
    </row>
    <row r="40" spans="2:9" s="720" customFormat="1" ht="12.75" customHeight="1">
      <c r="B40" s="731"/>
      <c r="C40" s="731"/>
      <c r="D40" s="731"/>
      <c r="E40" s="731"/>
      <c r="F40" s="732"/>
    </row>
    <row r="41" spans="2:9" s="720" customFormat="1" ht="12.75" customHeight="1">
      <c r="B41" s="730" t="s">
        <v>2557</v>
      </c>
      <c r="F41" s="722"/>
    </row>
    <row r="42" spans="2:9" s="720" customFormat="1" ht="12.75" customHeight="1">
      <c r="B42" s="1978" t="s">
        <v>517</v>
      </c>
      <c r="C42" s="1979" t="s">
        <v>510</v>
      </c>
      <c r="D42" s="1979" t="s">
        <v>518</v>
      </c>
      <c r="E42" s="1979" t="s">
        <v>519</v>
      </c>
      <c r="F42" s="1980" t="s">
        <v>520</v>
      </c>
    </row>
    <row r="43" spans="2:9" s="720" customFormat="1" ht="12.75" customHeight="1">
      <c r="B43" s="723">
        <v>0.61099999999999999</v>
      </c>
      <c r="C43" s="723">
        <v>0.45200000000000001</v>
      </c>
      <c r="D43" s="723">
        <v>0.71399999999999997</v>
      </c>
      <c r="E43" s="723">
        <v>0.77800000000000002</v>
      </c>
      <c r="F43" s="724">
        <f>PRODUCT(B43:E43)</f>
        <v>0.15341133662400003</v>
      </c>
      <c r="I43" s="731"/>
    </row>
    <row r="44" spans="2:9" s="720" customFormat="1" ht="12.75" customHeight="1">
      <c r="B44" s="731"/>
      <c r="C44" s="731"/>
      <c r="D44" s="731"/>
      <c r="E44" s="731"/>
      <c r="F44" s="732"/>
    </row>
    <row r="45" spans="2:9" s="720" customFormat="1" ht="12.75" customHeight="1">
      <c r="B45" s="730" t="s">
        <v>2558</v>
      </c>
      <c r="F45" s="722"/>
    </row>
    <row r="46" spans="2:9" s="720" customFormat="1" ht="12.75" customHeight="1">
      <c r="B46" s="1978" t="s">
        <v>517</v>
      </c>
      <c r="C46" s="1979" t="s">
        <v>510</v>
      </c>
      <c r="D46" s="1979" t="s">
        <v>518</v>
      </c>
      <c r="E46" s="1979" t="s">
        <v>519</v>
      </c>
      <c r="F46" s="1980" t="s">
        <v>520</v>
      </c>
    </row>
    <row r="47" spans="2:9" s="720" customFormat="1" ht="12.75" customHeight="1">
      <c r="B47" s="723">
        <v>0.58899999999999997</v>
      </c>
      <c r="C47" s="723">
        <v>0.40100000000000002</v>
      </c>
      <c r="D47" s="723">
        <v>0.65</v>
      </c>
      <c r="E47" s="723">
        <v>0.86</v>
      </c>
      <c r="F47" s="724">
        <f>PRODUCT(B47:E47)</f>
        <v>0.13202965100000003</v>
      </c>
      <c r="I47" s="731"/>
    </row>
    <row r="48" spans="2:9" s="720" customFormat="1" ht="12.75" customHeight="1">
      <c r="B48" s="731"/>
      <c r="C48" s="731"/>
      <c r="D48" s="731"/>
      <c r="E48" s="731"/>
      <c r="F48" s="732"/>
    </row>
    <row r="49" spans="2:9" s="720" customFormat="1" ht="12.75" customHeight="1">
      <c r="B49" s="730" t="s">
        <v>2559</v>
      </c>
      <c r="F49" s="722"/>
    </row>
    <row r="50" spans="2:9" s="720" customFormat="1" ht="12.75" customHeight="1">
      <c r="B50" s="1978" t="s">
        <v>517</v>
      </c>
      <c r="C50" s="1979" t="s">
        <v>510</v>
      </c>
      <c r="D50" s="1979" t="s">
        <v>518</v>
      </c>
      <c r="E50" s="1979" t="s">
        <v>519</v>
      </c>
      <c r="F50" s="1980" t="s">
        <v>520</v>
      </c>
    </row>
    <row r="51" spans="2:9" s="720" customFormat="1" ht="12.75" customHeight="1">
      <c r="B51" s="723">
        <v>0.58299999999999996</v>
      </c>
      <c r="C51" s="723">
        <v>0.33800000000000002</v>
      </c>
      <c r="D51" s="723">
        <v>0.67400000000000004</v>
      </c>
      <c r="E51" s="723">
        <v>0.86899999999999999</v>
      </c>
      <c r="F51" s="724">
        <f>PRODUCT(B51:E51)</f>
        <v>0.115415710124</v>
      </c>
      <c r="I51" s="731"/>
    </row>
    <row r="52" spans="2:9" s="720" customFormat="1" ht="12.75" customHeight="1">
      <c r="B52" s="733"/>
      <c r="C52" s="733"/>
      <c r="D52" s="733"/>
      <c r="E52" s="734"/>
      <c r="F52" s="736"/>
      <c r="I52" s="731"/>
    </row>
    <row r="53" spans="2:9" s="720" customFormat="1" ht="12.75" customHeight="1">
      <c r="B53" s="1988" t="s">
        <v>2561</v>
      </c>
      <c r="C53" s="1994"/>
      <c r="D53" s="1994"/>
      <c r="E53" s="1995"/>
      <c r="F53" s="1996"/>
    </row>
    <row r="54" spans="2:9" s="720" customFormat="1" ht="12.75" customHeight="1">
      <c r="C54" s="729"/>
      <c r="D54" s="729"/>
      <c r="F54" s="722"/>
    </row>
    <row r="55" spans="2:9" s="720" customFormat="1" ht="12.75" customHeight="1">
      <c r="B55" s="730" t="s">
        <v>2562</v>
      </c>
      <c r="C55" s="731"/>
      <c r="D55" s="731"/>
      <c r="E55" s="731"/>
      <c r="F55" s="732"/>
    </row>
    <row r="56" spans="2:9" s="720" customFormat="1" ht="12.75" customHeight="1">
      <c r="B56" s="1978" t="s">
        <v>517</v>
      </c>
      <c r="C56" s="1979" t="s">
        <v>510</v>
      </c>
      <c r="D56" s="1992" t="s">
        <v>518</v>
      </c>
      <c r="E56" s="1979" t="s">
        <v>519</v>
      </c>
      <c r="F56" s="1993" t="s">
        <v>524</v>
      </c>
    </row>
    <row r="57" spans="2:9" s="720" customFormat="1" ht="12.75" customHeight="1">
      <c r="B57" s="733">
        <v>0.66800000000000004</v>
      </c>
      <c r="C57" s="733">
        <v>0.49099999999999999</v>
      </c>
      <c r="D57" s="733">
        <v>0.71</v>
      </c>
      <c r="E57" s="734">
        <v>0.85899999999999999</v>
      </c>
      <c r="F57" s="736">
        <f>PRODUCT(B57:E57)</f>
        <v>0.20003660131999998</v>
      </c>
    </row>
    <row r="58" spans="2:9" s="720" customFormat="1" ht="12.75" customHeight="1">
      <c r="B58" s="731"/>
      <c r="C58" s="731"/>
      <c r="D58" s="731"/>
      <c r="E58" s="731"/>
      <c r="F58" s="732"/>
    </row>
    <row r="59" spans="2:9" s="720" customFormat="1" ht="12.75" hidden="1" customHeight="1" outlineLevel="1">
      <c r="B59" s="730" t="s">
        <v>2563</v>
      </c>
      <c r="C59" s="731"/>
      <c r="D59" s="731"/>
      <c r="E59" s="731"/>
      <c r="F59" s="732"/>
    </row>
    <row r="60" spans="2:9" s="720" customFormat="1" ht="12.75" hidden="1" customHeight="1" outlineLevel="1">
      <c r="B60" s="1997" t="s">
        <v>517</v>
      </c>
      <c r="C60" s="1998" t="s">
        <v>510</v>
      </c>
      <c r="D60" s="1998" t="s">
        <v>518</v>
      </c>
      <c r="E60" s="1980" t="s">
        <v>2560</v>
      </c>
      <c r="F60" s="722"/>
    </row>
    <row r="61" spans="2:9" s="720" customFormat="1" ht="12.75" hidden="1" customHeight="1" outlineLevel="1">
      <c r="B61" s="360">
        <v>0.89</v>
      </c>
      <c r="C61" s="735">
        <v>0.77</v>
      </c>
      <c r="D61" s="360">
        <v>0.71</v>
      </c>
      <c r="E61" s="354">
        <f>PRODUCT(B61:D61)</f>
        <v>0.48656299999999997</v>
      </c>
      <c r="F61" s="722"/>
      <c r="I61" s="731"/>
    </row>
    <row r="62" spans="2:9" s="720" customFormat="1" ht="12.75" hidden="1" customHeight="1" outlineLevel="1">
      <c r="B62" s="733"/>
      <c r="C62" s="733"/>
      <c r="D62" s="733"/>
      <c r="E62" s="734"/>
      <c r="F62" s="736"/>
      <c r="I62" s="731"/>
    </row>
    <row r="63" spans="2:9" s="720" customFormat="1" ht="12.75" customHeight="1" collapsed="1">
      <c r="B63" s="730" t="s">
        <v>2564</v>
      </c>
      <c r="C63" s="731"/>
      <c r="D63" s="731"/>
      <c r="E63" s="731"/>
      <c r="F63" s="732"/>
    </row>
    <row r="64" spans="2:9" s="720" customFormat="1" ht="12.75" customHeight="1">
      <c r="B64" s="1978" t="s">
        <v>517</v>
      </c>
      <c r="C64" s="1979" t="s">
        <v>510</v>
      </c>
      <c r="D64" s="1992" t="s">
        <v>518</v>
      </c>
      <c r="E64" s="1979" t="s">
        <v>519</v>
      </c>
      <c r="F64" s="1993" t="s">
        <v>524</v>
      </c>
    </row>
    <row r="65" spans="2:14" s="720" customFormat="1" ht="12.75" customHeight="1">
      <c r="B65" s="733">
        <v>0.75600000000000001</v>
      </c>
      <c r="C65" s="733">
        <v>0.35699999999999998</v>
      </c>
      <c r="D65" s="733">
        <v>0.60599999999999998</v>
      </c>
      <c r="E65" s="734">
        <v>0.92300000000000004</v>
      </c>
      <c r="F65" s="736">
        <f>PRODUCT(B65:E65)</f>
        <v>0.15096085149599997</v>
      </c>
    </row>
    <row r="66" spans="2:14" s="720" customFormat="1" ht="12.75" customHeight="1">
      <c r="B66" s="733"/>
      <c r="C66" s="733"/>
      <c r="D66" s="733"/>
      <c r="E66" s="734"/>
      <c r="F66" s="736"/>
    </row>
    <row r="67" spans="2:14" s="720" customFormat="1" ht="12.75" customHeight="1">
      <c r="B67" s="727" t="s">
        <v>2565</v>
      </c>
      <c r="C67" s="723"/>
      <c r="D67" s="356"/>
      <c r="E67" s="356"/>
      <c r="F67" s="356"/>
    </row>
    <row r="68" spans="2:14" s="720" customFormat="1" ht="12.75" customHeight="1">
      <c r="B68" s="1986" t="s">
        <v>520</v>
      </c>
      <c r="C68" s="723"/>
      <c r="D68"/>
      <c r="E68"/>
      <c r="F68"/>
    </row>
    <row r="69" spans="2:14" s="720" customFormat="1" ht="12.75" customHeight="1">
      <c r="B69" s="723">
        <v>0.109</v>
      </c>
      <c r="C69" s="723"/>
      <c r="D69"/>
      <c r="E69"/>
      <c r="F69"/>
    </row>
    <row r="70" spans="2:14" s="720" customFormat="1" ht="12.75" customHeight="1">
      <c r="B70" s="733"/>
      <c r="C70" s="733"/>
      <c r="D70" s="733"/>
      <c r="E70" s="734"/>
      <c r="F70" s="736"/>
    </row>
    <row r="71" spans="2:14" s="720" customFormat="1" ht="12.75" customHeight="1">
      <c r="B71" s="723"/>
      <c r="C71" s="723"/>
      <c r="D71" s="729"/>
      <c r="F71" s="722"/>
    </row>
    <row r="72" spans="2:14" s="720" customFormat="1" ht="12.75" customHeight="1">
      <c r="B72" s="730" t="s">
        <v>2566</v>
      </c>
      <c r="C72" s="355"/>
      <c r="D72" s="355"/>
      <c r="E72" s="361"/>
      <c r="F72" s="359"/>
    </row>
    <row r="73" spans="2:14" s="720" customFormat="1" ht="12.75" customHeight="1">
      <c r="B73" s="1985" t="s">
        <v>517</v>
      </c>
      <c r="C73" s="1993" t="s">
        <v>510</v>
      </c>
      <c r="D73" s="355"/>
      <c r="E73" s="361"/>
      <c r="F73" s="359"/>
    </row>
    <row r="74" spans="2:14" s="720" customFormat="1" ht="12.75" customHeight="1">
      <c r="B74" s="1999">
        <f>MROUND(AVERAGE(B39,B43,B47,B51,B57,B65),5%)</f>
        <v>0.60000000000000009</v>
      </c>
      <c r="C74" s="1999">
        <f>MROUND(AVERAGE(C39,C43,C47,C51,C57,C65,),5%)</f>
        <v>0.35000000000000003</v>
      </c>
      <c r="D74" s="1999"/>
      <c r="E74" s="1999"/>
      <c r="F74" s="359"/>
    </row>
    <row r="75" spans="2:14" s="1984" customFormat="1" ht="12.75" customHeight="1">
      <c r="B75" s="733"/>
      <c r="C75" s="733"/>
      <c r="D75" s="355"/>
      <c r="E75" s="355"/>
      <c r="F75" s="346"/>
    </row>
    <row r="76" spans="2:14" s="720" customFormat="1" ht="12.75" customHeight="1">
      <c r="B76" s="730" t="s">
        <v>2567</v>
      </c>
      <c r="C76" s="731"/>
      <c r="D76" s="731"/>
      <c r="E76" s="731"/>
      <c r="F76" s="736"/>
    </row>
    <row r="77" spans="2:14" s="720" customFormat="1" ht="12.75" customHeight="1">
      <c r="B77" s="1978" t="s">
        <v>1189</v>
      </c>
      <c r="C77" s="1979" t="s">
        <v>517</v>
      </c>
      <c r="D77" s="1993" t="s">
        <v>510</v>
      </c>
      <c r="E77" s="2000"/>
      <c r="F77" s="736"/>
      <c r="L77" s="2001"/>
      <c r="M77" s="2001"/>
      <c r="N77" s="2001"/>
    </row>
    <row r="78" spans="2:14" s="720" customFormat="1" ht="12.75" customHeight="1">
      <c r="B78" s="733">
        <v>0.65</v>
      </c>
      <c r="C78" s="733">
        <v>0.6</v>
      </c>
      <c r="D78" s="733">
        <v>0.45</v>
      </c>
      <c r="E78" s="733"/>
      <c r="F78" s="818"/>
      <c r="L78" s="1999"/>
      <c r="M78" s="1999"/>
      <c r="N78" s="381"/>
    </row>
    <row r="79" spans="2:14" s="720" customFormat="1" ht="12.75" customHeight="1">
      <c r="B79" s="1999"/>
      <c r="E79" s="1999"/>
      <c r="F79" s="818"/>
    </row>
    <row r="80" spans="2:14" s="720" customFormat="1" ht="12.75" customHeight="1">
      <c r="B80" s="730" t="s">
        <v>2568</v>
      </c>
      <c r="C80" s="731"/>
      <c r="D80" s="731"/>
      <c r="E80" s="731"/>
      <c r="F80" s="818"/>
    </row>
    <row r="81" spans="1:10" s="720" customFormat="1" ht="12.75" customHeight="1">
      <c r="B81" s="1978" t="s">
        <v>781</v>
      </c>
      <c r="C81" s="1992" t="s">
        <v>1189</v>
      </c>
      <c r="D81" s="1980" t="s">
        <v>517</v>
      </c>
      <c r="E81" s="2002"/>
      <c r="F81" s="818"/>
    </row>
    <row r="82" spans="1:10" s="720" customFormat="1" ht="12.75" customHeight="1">
      <c r="B82" s="733">
        <v>0.7</v>
      </c>
      <c r="C82" s="1999">
        <f>+C29</f>
        <v>0.65</v>
      </c>
      <c r="D82" s="1999">
        <f>C78</f>
        <v>0.6</v>
      </c>
      <c r="E82" s="1999"/>
      <c r="F82" s="818"/>
    </row>
    <row r="83" spans="1:10" s="720" customFormat="1" ht="12.75" customHeight="1">
      <c r="B83" s="733"/>
      <c r="C83" s="733"/>
      <c r="D83" s="733"/>
      <c r="E83" s="733"/>
      <c r="F83" s="736"/>
    </row>
    <row r="84" spans="1:10" s="720" customFormat="1" ht="12.75" customHeight="1">
      <c r="B84" s="737" t="s">
        <v>86</v>
      </c>
      <c r="F84" s="722"/>
    </row>
    <row r="85" spans="1:10" s="720" customFormat="1" ht="12.75" customHeight="1">
      <c r="A85" s="762" t="s">
        <v>210</v>
      </c>
      <c r="B85" s="3226" t="s">
        <v>782</v>
      </c>
      <c r="C85" s="3226"/>
      <c r="D85" s="3226"/>
      <c r="E85" s="3226"/>
      <c r="F85" s="3226"/>
      <c r="G85" s="3226"/>
      <c r="H85" s="3226"/>
      <c r="I85" s="3226"/>
      <c r="J85" s="3226"/>
    </row>
    <row r="86" spans="1:10" s="720" customFormat="1" ht="12.75" customHeight="1">
      <c r="A86" s="762" t="s">
        <v>209</v>
      </c>
      <c r="B86" s="3225" t="s">
        <v>2569</v>
      </c>
      <c r="C86" s="3225"/>
      <c r="D86" s="3225"/>
      <c r="E86" s="3225"/>
      <c r="F86" s="3225"/>
      <c r="G86" s="3225"/>
      <c r="H86" s="3225"/>
      <c r="I86" s="3225"/>
      <c r="J86" s="2003"/>
    </row>
    <row r="87" spans="1:10" s="720" customFormat="1" ht="12.75" customHeight="1">
      <c r="A87" s="762" t="s">
        <v>246</v>
      </c>
      <c r="B87" s="3225" t="s">
        <v>2570</v>
      </c>
      <c r="C87" s="3225"/>
      <c r="D87" s="3225"/>
      <c r="E87" s="3225"/>
      <c r="F87" s="3225"/>
      <c r="G87" s="3225"/>
      <c r="H87" s="3225"/>
      <c r="I87" s="3225"/>
      <c r="J87" s="2003"/>
    </row>
    <row r="88" spans="1:10" s="720" customFormat="1">
      <c r="A88" s="762" t="s">
        <v>247</v>
      </c>
      <c r="B88" s="3227" t="s">
        <v>2571</v>
      </c>
      <c r="C88" s="3225"/>
      <c r="D88" s="3225"/>
      <c r="E88" s="3225"/>
      <c r="F88" s="3225"/>
      <c r="G88" s="3225"/>
      <c r="H88" s="3225"/>
      <c r="I88" s="3225"/>
    </row>
    <row r="89" spans="1:10" s="720" customFormat="1">
      <c r="A89" s="763" t="s">
        <v>248</v>
      </c>
      <c r="B89" s="3225" t="s">
        <v>784</v>
      </c>
      <c r="C89" s="3225"/>
      <c r="D89" s="3225"/>
      <c r="E89" s="3225"/>
      <c r="F89" s="3225"/>
      <c r="G89" s="3225"/>
      <c r="H89" s="3225"/>
      <c r="I89" s="3225"/>
      <c r="J89" s="2004"/>
    </row>
    <row r="90" spans="1:10" s="720" customFormat="1" ht="12.75" customHeight="1">
      <c r="A90" s="762" t="s">
        <v>273</v>
      </c>
      <c r="B90" s="3225" t="s">
        <v>783</v>
      </c>
      <c r="C90" s="3225"/>
      <c r="D90" s="3225"/>
      <c r="E90" s="3225"/>
      <c r="F90" s="3225"/>
      <c r="G90" s="3225"/>
      <c r="H90" s="3225"/>
      <c r="I90" s="3225"/>
      <c r="J90" s="2003"/>
    </row>
    <row r="91" spans="1:10" s="720" customFormat="1">
      <c r="A91" s="762" t="s">
        <v>274</v>
      </c>
      <c r="B91" s="3225" t="s">
        <v>2572</v>
      </c>
      <c r="C91" s="3225"/>
      <c r="D91" s="3225"/>
      <c r="E91" s="3225"/>
      <c r="F91" s="3225"/>
      <c r="G91" s="3225"/>
      <c r="H91" s="3225"/>
      <c r="I91" s="3225"/>
      <c r="J91" s="2003"/>
    </row>
    <row r="92" spans="1:10" s="720" customFormat="1">
      <c r="A92" s="762" t="s">
        <v>275</v>
      </c>
      <c r="B92" s="3225" t="s">
        <v>2573</v>
      </c>
      <c r="C92" s="3225"/>
      <c r="D92" s="3225"/>
      <c r="E92" s="3225"/>
      <c r="F92" s="3225"/>
      <c r="G92" s="3225"/>
      <c r="H92" s="3225"/>
      <c r="I92" s="3225"/>
      <c r="J92" s="2003"/>
    </row>
  </sheetData>
  <mergeCells count="8">
    <mergeCell ref="B91:I91"/>
    <mergeCell ref="B92:I92"/>
    <mergeCell ref="B85:J85"/>
    <mergeCell ref="B86:I86"/>
    <mergeCell ref="B87:I87"/>
    <mergeCell ref="B88:I88"/>
    <mergeCell ref="B89:I89"/>
    <mergeCell ref="B90:I90"/>
  </mergeCells>
  <conditionalFormatting sqref="B4:F4">
    <cfRule type="cellIs" dxfId="620" priority="1" stopIfTrue="1" operator="equal">
      <formula>"input"</formula>
    </cfRule>
  </conditionalFormatting>
  <pageMargins left="0.5" right="0.5" top="0.5" bottom="0.5" header="0.5" footer="0.5"/>
  <pageSetup fitToWidth="0" fitToHeight="0" orientation="landscape" r:id="rId1"/>
  <rowBreaks count="2" manualBreakCount="2">
    <brk id="33" max="6" man="1"/>
    <brk id="70" max="6"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3" tint="-0.499984740745262"/>
    <pageSetUpPr fitToPage="1"/>
  </sheetPr>
  <dimension ref="B6:G30"/>
  <sheetViews>
    <sheetView showGridLines="0" view="pageBreakPreview" zoomScale="80" zoomScaleNormal="100" zoomScaleSheetLayoutView="80" workbookViewId="0"/>
  </sheetViews>
  <sheetFormatPr defaultColWidth="9.33203125" defaultRowHeight="15"/>
  <cols>
    <col min="1" max="1" width="4.5" style="291" customWidth="1"/>
    <col min="2" max="2" width="2.83203125" style="291" customWidth="1"/>
    <col min="3" max="3" width="13.83203125" style="291" customWidth="1"/>
    <col min="4" max="4" width="110.83203125" style="292" customWidth="1"/>
    <col min="5" max="5" width="13.83203125" style="291" customWidth="1"/>
    <col min="6" max="6" width="2.83203125" style="291" customWidth="1"/>
    <col min="7" max="7" width="4.5" style="291" customWidth="1"/>
    <col min="8" max="8" width="2.83203125" style="291" customWidth="1"/>
    <col min="9" max="9" width="9.33203125" style="291"/>
    <col min="10" max="10" width="16.33203125" style="291" bestFit="1" customWidth="1"/>
    <col min="11" max="11" width="19" style="291" bestFit="1" customWidth="1"/>
    <col min="12" max="16384" width="9.33203125" style="291"/>
  </cols>
  <sheetData>
    <row r="6" spans="2:7">
      <c r="C6" s="282"/>
      <c r="D6" s="283"/>
      <c r="E6" s="282"/>
      <c r="F6" s="282"/>
      <c r="G6" s="282"/>
    </row>
    <row r="7" spans="2:7" ht="15.75" thickBot="1">
      <c r="C7" s="282"/>
      <c r="D7" s="283"/>
      <c r="E7" s="282"/>
      <c r="F7" s="282"/>
      <c r="G7" s="282"/>
    </row>
    <row r="8" spans="2:7" ht="15.75" thickTop="1">
      <c r="B8" s="294"/>
      <c r="C8" s="294"/>
      <c r="D8" s="295"/>
      <c r="E8" s="294"/>
      <c r="F8" s="294"/>
      <c r="G8" s="282"/>
    </row>
    <row r="9" spans="2:7" s="296" customFormat="1" ht="40.5">
      <c r="B9" s="298"/>
      <c r="C9" s="298"/>
      <c r="D9" s="299" t="s">
        <v>1612</v>
      </c>
      <c r="E9" s="298"/>
      <c r="F9" s="298"/>
      <c r="G9" s="282"/>
    </row>
    <row r="10" spans="2:7" ht="15.75" thickBot="1">
      <c r="B10" s="301"/>
      <c r="C10" s="301"/>
      <c r="D10" s="302"/>
      <c r="E10" s="301"/>
      <c r="F10" s="301"/>
      <c r="G10" s="282"/>
    </row>
    <row r="11" spans="2:7" ht="15.75" thickTop="1">
      <c r="G11" s="282"/>
    </row>
    <row r="12" spans="2:7">
      <c r="G12" s="282"/>
    </row>
    <row r="13" spans="2:7" ht="18.75">
      <c r="D13" s="287"/>
      <c r="G13" s="282"/>
    </row>
    <row r="14" spans="2:7" ht="18.75">
      <c r="D14" s="288"/>
    </row>
    <row r="27" spans="4:4" ht="23.25">
      <c r="D27" s="867" t="s">
        <v>776</v>
      </c>
    </row>
    <row r="29" spans="4:4" ht="18.75">
      <c r="D29" s="289" t="s">
        <v>575</v>
      </c>
    </row>
    <row r="30" spans="4:4" ht="37.5">
      <c r="D30" s="290" t="s">
        <v>394</v>
      </c>
    </row>
  </sheetData>
  <pageMargins left="0.5" right="0.5" top="0.5" bottom="0.5" header="0.5" footer="0.5"/>
  <pageSetup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L33"/>
  <sheetViews>
    <sheetView showGridLines="0" view="pageBreakPreview" zoomScaleNormal="100" zoomScaleSheetLayoutView="100" workbookViewId="0"/>
  </sheetViews>
  <sheetFormatPr defaultRowHeight="12.75"/>
  <cols>
    <col min="1" max="1" width="4.5" style="405" customWidth="1"/>
    <col min="2" max="2" width="50" style="405" customWidth="1"/>
    <col min="3" max="3" width="3.5" style="405" customWidth="1"/>
    <col min="4" max="6" width="30.83203125" style="405" customWidth="1"/>
    <col min="7" max="7" width="4.5" style="405" customWidth="1"/>
    <col min="8" max="8" width="11.83203125" style="405" customWidth="1"/>
    <col min="9" max="9" width="14.83203125" style="405" bestFit="1" customWidth="1"/>
    <col min="10" max="11" width="11.33203125" style="405" customWidth="1"/>
    <col min="12" max="16384" width="9.33203125" style="405"/>
  </cols>
  <sheetData>
    <row r="1" spans="1:12" s="34" customFormat="1" ht="10.7" customHeight="1" thickBot="1"/>
    <row r="2" spans="1:12" s="203" customFormat="1" ht="16.5" customHeight="1" thickTop="1">
      <c r="A2" s="34"/>
      <c r="B2" s="10" t="str">
        <f>'MASTER PubCo Inputs'!$C$5</f>
        <v>Kallyope, Inc.</v>
      </c>
      <c r="C2" s="10"/>
      <c r="D2" s="10"/>
      <c r="E2" s="10"/>
      <c r="F2" s="10"/>
      <c r="G2" s="252"/>
      <c r="H2" s="252"/>
    </row>
    <row r="3" spans="1:12" s="203" customFormat="1" ht="15.75" customHeight="1">
      <c r="A3" s="34"/>
      <c r="B3" s="11" t="str">
        <f>VLOOKUP(B4,Outline!$E$8:$G$69,COLUMNS(Outline!$E$8:$G$8),FALSE)</f>
        <v>Exhibit C.1</v>
      </c>
      <c r="C3" s="11"/>
      <c r="D3" s="11"/>
      <c r="E3" s="11"/>
      <c r="F3" s="11"/>
      <c r="G3" s="252"/>
      <c r="H3" s="252"/>
    </row>
    <row r="4" spans="1:12" s="203" customFormat="1" ht="16.5" customHeight="1" thickBot="1">
      <c r="A4" s="34"/>
      <c r="B4" s="12" t="s">
        <v>1611</v>
      </c>
      <c r="C4" s="12"/>
      <c r="D4" s="12"/>
      <c r="E4" s="12"/>
      <c r="F4" s="13" t="str">
        <f>+'MASTER PubCo Inputs'!$C$21</f>
        <v>(in thousands of USD)</v>
      </c>
      <c r="G4" s="252"/>
      <c r="H4" s="252"/>
    </row>
    <row r="5" spans="1:12" ht="12.75" customHeight="1" thickTop="1">
      <c r="I5" s="1046"/>
      <c r="J5" s="203"/>
      <c r="K5" s="203"/>
      <c r="L5" s="203"/>
    </row>
    <row r="6" spans="1:12" ht="12.75" customHeight="1">
      <c r="D6" s="1047"/>
      <c r="E6" s="1047" t="s">
        <v>158</v>
      </c>
      <c r="F6" s="1048"/>
      <c r="H6" s="1049"/>
      <c r="I6" s="1050"/>
      <c r="J6" s="1051"/>
      <c r="K6" s="1052"/>
      <c r="L6" s="899"/>
    </row>
    <row r="7" spans="1:12">
      <c r="D7" s="1053" t="s">
        <v>1639</v>
      </c>
      <c r="E7" s="1054" t="s">
        <v>157</v>
      </c>
      <c r="F7" s="1055"/>
      <c r="G7" s="351"/>
      <c r="H7" s="1056"/>
      <c r="I7" s="897"/>
      <c r="J7" s="1057"/>
      <c r="K7" s="1052"/>
      <c r="L7" s="203"/>
    </row>
    <row r="8" spans="1:12" ht="12.75" customHeight="1">
      <c r="D8" s="1058">
        <v>2018</v>
      </c>
      <c r="E8" s="1058">
        <f>D8+1</f>
        <v>2019</v>
      </c>
      <c r="F8" s="1059">
        <f>E8+1</f>
        <v>2020</v>
      </c>
      <c r="G8" s="1060"/>
      <c r="H8" s="1061">
        <f>F8+1</f>
        <v>2021</v>
      </c>
      <c r="I8" s="1061">
        <f>+H8+1</f>
        <v>2022</v>
      </c>
      <c r="J8" s="1061">
        <f>+I8+1</f>
        <v>2023</v>
      </c>
      <c r="K8" s="1061">
        <f>+J8+1</f>
        <v>2024</v>
      </c>
      <c r="L8" s="203"/>
    </row>
    <row r="9" spans="1:12" ht="12.75" customHeight="1">
      <c r="G9" s="203"/>
      <c r="H9" s="203"/>
    </row>
    <row r="10" spans="1:12" ht="12.75" customHeight="1">
      <c r="B10" s="1" t="s">
        <v>161</v>
      </c>
      <c r="D10" s="407"/>
      <c r="E10" s="407"/>
      <c r="F10" s="407"/>
      <c r="G10" s="203"/>
      <c r="H10" s="203"/>
    </row>
    <row r="11" spans="1:12" ht="12.75" customHeight="1">
      <c r="B11" s="2" t="s">
        <v>1632</v>
      </c>
      <c r="D11" s="407">
        <f>-SUM('FS Monthly'!H7:M7)/1000</f>
        <v>-1461.0916984266667</v>
      </c>
      <c r="E11" s="407">
        <f>-'FS Monthly'!AB7/1000</f>
        <v>-3251.3418870096662</v>
      </c>
      <c r="F11" s="407">
        <f>-'FS Monthly'!AP7/1000</f>
        <v>-3392.5518236199559</v>
      </c>
      <c r="G11" s="1062"/>
      <c r="H11" s="1062"/>
    </row>
    <row r="12" spans="1:12" ht="12.75" customHeight="1">
      <c r="B12" s="2" t="s">
        <v>163</v>
      </c>
      <c r="D12" s="407">
        <f>-SUM('FS Monthly'!H6:M6)/1000</f>
        <v>-9336.9400910808854</v>
      </c>
      <c r="E12" s="407">
        <f>-'FS Monthly'!AB6/1000</f>
        <v>-21179.219365771452</v>
      </c>
      <c r="F12" s="407">
        <f>-'FS Monthly'!AP6/1000</f>
        <v>-24996.69267341126</v>
      </c>
      <c r="G12" s="1062"/>
      <c r="H12" s="1062"/>
    </row>
    <row r="13" spans="1:12" ht="12.75" customHeight="1">
      <c r="B13" s="5"/>
      <c r="C13" s="5"/>
      <c r="D13" s="657"/>
      <c r="E13" s="657"/>
      <c r="F13" s="657"/>
      <c r="G13" s="203"/>
      <c r="H13" s="203"/>
      <c r="I13" s="996"/>
    </row>
    <row r="14" spans="1:12" ht="12.75" customHeight="1">
      <c r="B14" s="41" t="s">
        <v>160</v>
      </c>
      <c r="D14" s="1063">
        <f>SUM(D11:D12)</f>
        <v>-10798.031789507551</v>
      </c>
      <c r="E14" s="1063">
        <f>SUM(E11:E12)</f>
        <v>-24430.561252781117</v>
      </c>
      <c r="F14" s="1063">
        <f>SUM(F11:F12)</f>
        <v>-28389.244497031217</v>
      </c>
      <c r="G14" s="311"/>
      <c r="H14" s="311"/>
    </row>
    <row r="15" spans="1:12" ht="12.75" customHeight="1">
      <c r="B15" s="41"/>
      <c r="D15" s="1063"/>
      <c r="E15" s="1063"/>
      <c r="F15" s="1063"/>
      <c r="G15" s="311"/>
      <c r="H15" s="311"/>
    </row>
    <row r="16" spans="1:12" ht="12.75" customHeight="1">
      <c r="B16" s="2" t="s">
        <v>172</v>
      </c>
      <c r="D16" s="407">
        <f>SUM('FS Monthly'!H12:M12)/1000</f>
        <v>85.592396895164427</v>
      </c>
      <c r="E16" s="407">
        <f>'FS Monthly'!AB12/1000</f>
        <v>197.49675155542303</v>
      </c>
      <c r="F16" s="407">
        <f>'FS Monthly'!AP12/1000</f>
        <v>171.59778191173518</v>
      </c>
      <c r="G16" s="203"/>
      <c r="H16" s="203"/>
    </row>
    <row r="17" spans="1:11" ht="12.75" customHeight="1">
      <c r="B17" s="1064" t="s">
        <v>1633</v>
      </c>
      <c r="C17" s="1065"/>
      <c r="D17" s="1066">
        <f>D14+D16</f>
        <v>-10712.439392612387</v>
      </c>
      <c r="E17" s="1066">
        <f>E14+E16</f>
        <v>-24233.064501225694</v>
      </c>
      <c r="F17" s="1066">
        <f>F14+F16</f>
        <v>-28217.646715119481</v>
      </c>
      <c r="G17" s="1067"/>
      <c r="H17" s="1067"/>
    </row>
    <row r="18" spans="1:11" s="16" customFormat="1" ht="12.75" customHeight="1">
      <c r="D18" s="655"/>
      <c r="E18" s="655"/>
      <c r="F18" s="655"/>
      <c r="G18" s="203"/>
      <c r="H18" s="203"/>
    </row>
    <row r="19" spans="1:11" s="16" customFormat="1" ht="12.75" customHeight="1"/>
    <row r="20" spans="1:11">
      <c r="B20" s="2082" t="s">
        <v>1634</v>
      </c>
      <c r="C20" s="2083"/>
      <c r="D20" s="2520" t="s">
        <v>2925</v>
      </c>
      <c r="E20" s="2520" t="s">
        <v>170</v>
      </c>
      <c r="F20" s="2520" t="s">
        <v>170</v>
      </c>
      <c r="G20" s="2520"/>
      <c r="H20" s="2520" t="s">
        <v>170</v>
      </c>
      <c r="I20" s="2520" t="s">
        <v>170</v>
      </c>
      <c r="J20" s="2520" t="s">
        <v>170</v>
      </c>
      <c r="K20" s="2521" t="s">
        <v>170</v>
      </c>
    </row>
    <row r="21" spans="1:11">
      <c r="B21" s="362"/>
      <c r="C21" s="16"/>
      <c r="D21" s="16">
        <v>2018</v>
      </c>
      <c r="E21" s="16">
        <f>D21+1</f>
        <v>2019</v>
      </c>
      <c r="F21" s="16">
        <f t="shared" ref="F21:K21" si="0">E21+1</f>
        <v>2020</v>
      </c>
      <c r="G21" s="16"/>
      <c r="H21" s="16">
        <f>F21+1</f>
        <v>2021</v>
      </c>
      <c r="I21" s="16">
        <f t="shared" si="0"/>
        <v>2022</v>
      </c>
      <c r="J21" s="16">
        <f t="shared" si="0"/>
        <v>2023</v>
      </c>
      <c r="K21" s="204">
        <f t="shared" si="0"/>
        <v>2024</v>
      </c>
    </row>
    <row r="22" spans="1:11" ht="12.75" customHeight="1">
      <c r="B22" s="362" t="s">
        <v>1635</v>
      </c>
      <c r="C22" s="16"/>
      <c r="D22" s="2084">
        <f>'Hist BS'!G13</f>
        <v>34922.264000000003</v>
      </c>
      <c r="E22" s="655">
        <f>D27</f>
        <v>46259.816607387613</v>
      </c>
      <c r="F22" s="655">
        <f>E27</f>
        <v>44076.744106161917</v>
      </c>
      <c r="G22" s="311"/>
      <c r="H22" s="2085">
        <f>F27</f>
        <v>45859.097391042436</v>
      </c>
      <c r="I22" s="2085">
        <f>H27</f>
        <v>90859.097391042436</v>
      </c>
      <c r="J22" s="2085">
        <f>I27</f>
        <v>55859.097391042436</v>
      </c>
      <c r="K22" s="2086">
        <f>J27</f>
        <v>20859.097391042436</v>
      </c>
    </row>
    <row r="23" spans="1:11" ht="3" customHeight="1">
      <c r="B23" s="362"/>
      <c r="C23" s="16"/>
      <c r="D23" s="655"/>
      <c r="E23" s="655"/>
      <c r="F23" s="655"/>
      <c r="G23" s="311"/>
      <c r="H23" s="2085"/>
      <c r="I23" s="2085"/>
      <c r="J23" s="2085"/>
      <c r="K23" s="2086"/>
    </row>
    <row r="24" spans="1:11" ht="12.75" customHeight="1">
      <c r="B24" s="2087" t="s">
        <v>1636</v>
      </c>
      <c r="C24" s="16"/>
      <c r="D24" s="2088">
        <f>D17</f>
        <v>-10712.439392612387</v>
      </c>
      <c r="E24" s="2088">
        <f>E17</f>
        <v>-24233.064501225694</v>
      </c>
      <c r="F24" s="2088">
        <f>F17</f>
        <v>-28217.646715119481</v>
      </c>
      <c r="G24" s="1070"/>
      <c r="H24" s="928">
        <v>-30000</v>
      </c>
      <c r="I24" s="928">
        <v>-35000</v>
      </c>
      <c r="J24" s="928">
        <v>-35000</v>
      </c>
      <c r="K24" s="2089">
        <f>-35000/2</f>
        <v>-17500</v>
      </c>
    </row>
    <row r="25" spans="1:11" ht="12.75" customHeight="1">
      <c r="B25" s="2087" t="s">
        <v>1637</v>
      </c>
      <c r="C25" s="16"/>
      <c r="D25" s="909">
        <f>'Econ Rights'!F13</f>
        <v>22049.991999999998</v>
      </c>
      <c r="E25" s="909">
        <f>'Econ Rights'!G16</f>
        <v>22049.991999999998</v>
      </c>
      <c r="F25" s="909">
        <f>PWERM!R35</f>
        <v>30000</v>
      </c>
      <c r="G25" s="203"/>
      <c r="H25" s="909">
        <f>PWERM!R42</f>
        <v>75000</v>
      </c>
      <c r="I25" s="909"/>
      <c r="J25" s="16"/>
      <c r="K25" s="204"/>
    </row>
    <row r="26" spans="1:11" ht="3" customHeight="1">
      <c r="B26" s="362"/>
      <c r="C26" s="16"/>
      <c r="D26" s="655"/>
      <c r="E26" s="655"/>
      <c r="F26" s="655"/>
      <c r="G26" s="203"/>
      <c r="H26" s="16"/>
      <c r="I26" s="16"/>
      <c r="J26" s="16"/>
      <c r="K26" s="204"/>
    </row>
    <row r="27" spans="1:11" s="1" customFormat="1" ht="12.75" customHeight="1">
      <c r="B27" s="2082" t="s">
        <v>1638</v>
      </c>
      <c r="C27" s="2083"/>
      <c r="D27" s="2090">
        <f>D22+D24+D25</f>
        <v>46259.816607387613</v>
      </c>
      <c r="E27" s="2090">
        <f>E22+E24+E25</f>
        <v>44076.744106161917</v>
      </c>
      <c r="F27" s="2090">
        <f>F22+F24+F25</f>
        <v>45859.097391042436</v>
      </c>
      <c r="G27" s="2522"/>
      <c r="H27" s="2090">
        <f>H22+H24+H25</f>
        <v>90859.097391042436</v>
      </c>
      <c r="I27" s="2090">
        <f>I22+I24+I25</f>
        <v>55859.097391042436</v>
      </c>
      <c r="J27" s="2090">
        <f>J22+J24+J25</f>
        <v>20859.097391042436</v>
      </c>
      <c r="K27" s="2091">
        <f>K22+K24+K25</f>
        <v>3359.0973910424364</v>
      </c>
    </row>
    <row r="29" spans="1:11">
      <c r="C29" s="2510" t="s">
        <v>2920</v>
      </c>
      <c r="D29" s="2514"/>
      <c r="E29" s="2511" t="s">
        <v>2921</v>
      </c>
      <c r="F29" s="2512" t="s">
        <v>2922</v>
      </c>
    </row>
    <row r="30" spans="1:11">
      <c r="B30" s="8"/>
      <c r="C30" s="362" t="str">
        <f>'Econ Rights'!F7</f>
        <v>Series B Tranche II</v>
      </c>
      <c r="D30" s="16"/>
      <c r="E30" s="2033">
        <f>'Econ Rights'!F10</f>
        <v>43470</v>
      </c>
      <c r="F30" s="1164">
        <f>'Econ Rights'!F13</f>
        <v>22049.991999999998</v>
      </c>
      <c r="G30" s="405" t="s">
        <v>2923</v>
      </c>
    </row>
    <row r="31" spans="1:11">
      <c r="A31" s="718"/>
      <c r="B31" s="1072"/>
      <c r="C31" s="362" t="str">
        <f>'Econ Rights'!G7</f>
        <v>Series B Tranche III</v>
      </c>
      <c r="D31" s="16"/>
      <c r="E31" s="2033">
        <f>'Econ Rights'!G10</f>
        <v>43835</v>
      </c>
      <c r="F31" s="1164">
        <f>'Econ Rights'!G13</f>
        <v>22049.991999999998</v>
      </c>
      <c r="G31" s="405" t="s">
        <v>2924</v>
      </c>
    </row>
    <row r="32" spans="1:11">
      <c r="C32" s="362" t="str">
        <f>PWERM!B33</f>
        <v>Series C</v>
      </c>
      <c r="D32" s="16"/>
      <c r="E32" s="2033">
        <f>PWERM!R34</f>
        <v>44012</v>
      </c>
      <c r="F32" s="1164">
        <f>PWERM!R35</f>
        <v>30000</v>
      </c>
    </row>
    <row r="33" spans="3:6">
      <c r="C33" s="906" t="str">
        <f>PWERM!B40</f>
        <v>Series D</v>
      </c>
      <c r="D33" s="5"/>
      <c r="E33" s="2513">
        <f>PWERM!R41</f>
        <v>44377</v>
      </c>
      <c r="F33" s="1165">
        <f>PWERM!R42</f>
        <v>75000</v>
      </c>
    </row>
  </sheetData>
  <conditionalFormatting sqref="B4:E4">
    <cfRule type="cellIs" dxfId="619" priority="5" stopIfTrue="1" operator="equal">
      <formula>"input"</formula>
    </cfRule>
  </conditionalFormatting>
  <conditionalFormatting sqref="G4:H4">
    <cfRule type="cellIs" dxfId="618" priority="6" stopIfTrue="1" operator="equal">
      <formula>"input"</formula>
    </cfRule>
  </conditionalFormatting>
  <conditionalFormatting sqref="F4">
    <cfRule type="cellIs" dxfId="617" priority="2" stopIfTrue="1" operator="equal">
      <formula>"input"</formula>
    </cfRule>
  </conditionalFormatting>
  <conditionalFormatting sqref="F4">
    <cfRule type="cellIs" dxfId="616" priority="1" stopIfTrue="1" operator="equal">
      <formula>"input"</formula>
    </cfRule>
  </conditionalFormatting>
  <pageMargins left="0.5" right="0.5" top="0.5" bottom="0.5" header="0.5" footer="0.5"/>
  <pageSetup scale="98" fitToWidth="0" fitToHeight="0" orientation="landscape" r:id="rId1"/>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V41"/>
  <sheetViews>
    <sheetView showGridLines="0" view="pageBreakPreview" zoomScale="85" zoomScaleNormal="100" zoomScaleSheetLayoutView="85" workbookViewId="0"/>
  </sheetViews>
  <sheetFormatPr defaultRowHeight="12.75"/>
  <cols>
    <col min="1" max="1" width="4.5" style="405" customWidth="1"/>
    <col min="2" max="2" width="53.5" style="405" customWidth="1"/>
    <col min="3" max="3" width="1.83203125" style="405" customWidth="1"/>
    <col min="4" max="5" width="29" style="405" customWidth="1"/>
    <col min="6" max="6" width="1.83203125" style="405" customWidth="1"/>
    <col min="7" max="7" width="29.1640625" style="405" customWidth="1"/>
    <col min="8" max="8" width="4.5" style="405" customWidth="1"/>
    <col min="9" max="10" width="9.33203125" style="405"/>
    <col min="11" max="11" width="38.33203125" style="405" customWidth="1"/>
    <col min="12" max="17" width="9.33203125" style="405" hidden="1" customWidth="1"/>
    <col min="18" max="20" width="16.1640625" style="405" customWidth="1"/>
    <col min="21" max="21" width="9.33203125" style="405" hidden="1" customWidth="1"/>
    <col min="22" max="22" width="13.5" style="405" hidden="1" customWidth="1"/>
    <col min="23" max="16384" width="9.33203125" style="405"/>
  </cols>
  <sheetData>
    <row r="1" spans="1:22" s="34" customFormat="1" ht="10.7" customHeight="1" thickBot="1"/>
    <row r="2" spans="1:22" ht="16.5" customHeight="1" thickTop="1">
      <c r="A2" s="34"/>
      <c r="B2" s="10" t="str">
        <f>'MASTER PubCo Inputs'!$C$5</f>
        <v>Kallyope, Inc.</v>
      </c>
      <c r="C2" s="10"/>
      <c r="D2" s="10"/>
      <c r="E2" s="10"/>
      <c r="F2" s="10"/>
      <c r="G2" s="10"/>
      <c r="H2" s="34"/>
    </row>
    <row r="3" spans="1:22" ht="15.75" customHeight="1">
      <c r="A3" s="34"/>
      <c r="B3" s="11" t="str">
        <f>VLOOKUP(B4,Outline!$E$8:$G$69,COLUMNS(Outline!$E$8:$G$8),FALSE)</f>
        <v>Exhibit C.2</v>
      </c>
      <c r="C3" s="11"/>
      <c r="D3" s="11"/>
      <c r="E3" s="11"/>
      <c r="F3" s="11"/>
      <c r="G3" s="11"/>
      <c r="H3" s="34"/>
    </row>
    <row r="4" spans="1:22" ht="16.5" customHeight="1" thickBot="1">
      <c r="A4" s="34"/>
      <c r="B4" s="12" t="s">
        <v>155</v>
      </c>
      <c r="C4" s="12"/>
      <c r="D4" s="12"/>
      <c r="E4" s="12"/>
      <c r="F4" s="12"/>
      <c r="G4" s="13" t="str">
        <f>+'MASTER PubCo Inputs'!$C$21</f>
        <v>(in thousands of USD)</v>
      </c>
      <c r="H4" s="34"/>
    </row>
    <row r="5" spans="1:22" s="16" customFormat="1" ht="12.75" customHeight="1" thickTop="1">
      <c r="B5" s="405"/>
      <c r="C5" s="405"/>
      <c r="D5" s="405"/>
      <c r="E5" s="405"/>
      <c r="F5" s="405"/>
      <c r="G5" s="405"/>
    </row>
    <row r="6" spans="1:22" s="16" customFormat="1" ht="12.75" customHeight="1">
      <c r="B6" s="405"/>
      <c r="C6" s="405"/>
      <c r="D6" s="405"/>
      <c r="E6" s="405"/>
      <c r="F6" s="405"/>
      <c r="G6" s="2151"/>
    </row>
    <row r="7" spans="1:22" ht="12.75" customHeight="1">
      <c r="G7" s="2152"/>
    </row>
    <row r="8" spans="1:22" ht="12.75" customHeight="1">
      <c r="C8" s="1009"/>
      <c r="D8" s="1016" t="s">
        <v>621</v>
      </c>
      <c r="E8" s="1017"/>
      <c r="F8" s="444"/>
      <c r="G8" s="1018" t="s">
        <v>1616</v>
      </c>
    </row>
    <row r="9" spans="1:22" ht="12.75" customHeight="1">
      <c r="B9" s="1023"/>
      <c r="C9" s="1024"/>
      <c r="D9" s="1020">
        <f>E9-1</f>
        <v>2016</v>
      </c>
      <c r="E9" s="1020">
        <f>YEAR('MASTER PubCo Inputs'!C7)</f>
        <v>2017</v>
      </c>
      <c r="F9" s="1021"/>
      <c r="G9" s="2153">
        <f>'MASTER PubCo Inputs'!$C$6</f>
        <v>43281</v>
      </c>
      <c r="R9" s="405" t="s">
        <v>1624</v>
      </c>
      <c r="S9" s="405" t="s">
        <v>1626</v>
      </c>
      <c r="T9" s="405" t="s">
        <v>1627</v>
      </c>
    </row>
    <row r="10" spans="1:22" ht="12.75" customHeight="1">
      <c r="D10" s="173"/>
      <c r="E10" s="173"/>
      <c r="F10" s="353"/>
      <c r="G10" s="173"/>
      <c r="K10" s="2147"/>
      <c r="L10" s="2148"/>
      <c r="M10" s="2148"/>
      <c r="N10" s="2148"/>
      <c r="O10" s="2148"/>
      <c r="P10" s="2148"/>
      <c r="Q10" s="2148"/>
      <c r="R10" s="2149">
        <v>2016</v>
      </c>
      <c r="S10" s="2149">
        <v>2017</v>
      </c>
      <c r="T10" s="2150" t="s">
        <v>2819</v>
      </c>
      <c r="U10" s="1027"/>
      <c r="V10" s="1027"/>
    </row>
    <row r="11" spans="1:22" ht="12.75" customHeight="1">
      <c r="B11" s="405" t="s">
        <v>169</v>
      </c>
      <c r="D11" s="500" t="s">
        <v>170</v>
      </c>
      <c r="E11" s="500" t="s">
        <v>170</v>
      </c>
      <c r="F11" s="500"/>
      <c r="G11" s="500" t="s">
        <v>2925</v>
      </c>
      <c r="K11" s="1036" t="s">
        <v>1617</v>
      </c>
      <c r="L11" s="1028"/>
      <c r="M11" s="1028"/>
      <c r="N11" s="1028"/>
      <c r="O11" s="1028"/>
      <c r="P11" s="1028"/>
      <c r="Q11" s="1028"/>
      <c r="R11" s="1029"/>
      <c r="S11" s="1029"/>
      <c r="T11" s="1035"/>
      <c r="U11" s="1029"/>
      <c r="V11" s="1029"/>
    </row>
    <row r="12" spans="1:22" ht="12.75" customHeight="1">
      <c r="D12" s="499"/>
      <c r="E12" s="499"/>
      <c r="F12" s="499"/>
      <c r="G12" s="499"/>
      <c r="K12" s="1036" t="s">
        <v>1618</v>
      </c>
      <c r="L12" s="1028"/>
      <c r="M12" s="1028"/>
      <c r="N12" s="1028"/>
      <c r="O12" s="1028"/>
      <c r="P12" s="1028"/>
      <c r="Q12" s="1028"/>
      <c r="R12" s="1011">
        <v>5425106</v>
      </c>
      <c r="S12" s="1011">
        <v>11551683</v>
      </c>
      <c r="T12" s="2515">
        <v>7779445</v>
      </c>
      <c r="U12" s="1030"/>
      <c r="V12" s="1030"/>
    </row>
    <row r="13" spans="1:22" ht="12.75" customHeight="1">
      <c r="B13" s="405" t="s">
        <v>161</v>
      </c>
      <c r="D13" s="499"/>
      <c r="E13" s="499"/>
      <c r="F13" s="499"/>
      <c r="G13" s="499"/>
      <c r="K13" s="1036" t="s">
        <v>1619</v>
      </c>
      <c r="L13" s="1028"/>
      <c r="M13" s="1028"/>
      <c r="N13" s="1028"/>
      <c r="O13" s="1028"/>
      <c r="P13" s="1028"/>
      <c r="Q13" s="1028"/>
      <c r="R13" s="1011">
        <v>1683842</v>
      </c>
      <c r="S13" s="1011">
        <v>2610206</v>
      </c>
      <c r="T13" s="2515">
        <v>1801301</v>
      </c>
      <c r="U13" s="1031"/>
      <c r="V13" s="1031"/>
    </row>
    <row r="14" spans="1:22" ht="12.75" customHeight="1">
      <c r="B14" s="2" t="s">
        <v>162</v>
      </c>
      <c r="D14" s="42">
        <f>(-R13/1000)-D16</f>
        <v>-1363.2820000000002</v>
      </c>
      <c r="E14" s="42">
        <f>(-S13/1000)-E16</f>
        <v>-2118.252</v>
      </c>
      <c r="F14" s="499"/>
      <c r="G14" s="42">
        <f>(-T13/1000)-G16</f>
        <v>-1513.934</v>
      </c>
      <c r="K14" s="1036" t="s">
        <v>1620</v>
      </c>
      <c r="L14" s="1028"/>
      <c r="M14" s="1028"/>
      <c r="N14" s="1028"/>
      <c r="O14" s="1028"/>
      <c r="P14" s="1028"/>
      <c r="Q14" s="1028"/>
      <c r="R14" s="1011">
        <v>7108948</v>
      </c>
      <c r="S14" s="1011" t="s">
        <v>1625</v>
      </c>
      <c r="T14" s="2515">
        <f>T13+T12</f>
        <v>9580746</v>
      </c>
      <c r="U14" s="1031"/>
      <c r="V14" s="1031"/>
    </row>
    <row r="15" spans="1:22" ht="12.75" customHeight="1">
      <c r="B15" s="2" t="s">
        <v>163</v>
      </c>
      <c r="D15" s="42">
        <f>-R12/1000</f>
        <v>-5425.1059999999998</v>
      </c>
      <c r="E15" s="42">
        <f>-S12/1000</f>
        <v>-11551.683000000001</v>
      </c>
      <c r="F15" s="499"/>
      <c r="G15" s="42">
        <f>-T12/1000</f>
        <v>-7779.4449999999997</v>
      </c>
      <c r="K15" s="1037" t="s">
        <v>1621</v>
      </c>
      <c r="L15" s="1032"/>
      <c r="M15" s="1032"/>
      <c r="N15" s="1032"/>
      <c r="O15" s="1032"/>
      <c r="P15" s="1032"/>
      <c r="Q15" s="1032"/>
      <c r="R15" s="1011"/>
      <c r="S15" s="1011"/>
      <c r="T15" s="2515"/>
      <c r="U15" s="1029"/>
      <c r="V15" s="1029"/>
    </row>
    <row r="16" spans="1:22" ht="12.75" customHeight="1">
      <c r="B16" s="2" t="s">
        <v>164</v>
      </c>
      <c r="D16" s="42">
        <v>-320.56</v>
      </c>
      <c r="E16" s="42">
        <f>-491954/1000</f>
        <v>-491.95400000000001</v>
      </c>
      <c r="F16" s="499"/>
      <c r="G16" s="42">
        <f>-287367/1000</f>
        <v>-287.36700000000002</v>
      </c>
      <c r="K16" s="1036" t="s">
        <v>1622</v>
      </c>
      <c r="L16" s="1028"/>
      <c r="M16" s="1028"/>
      <c r="N16" s="1028"/>
      <c r="O16" s="1028"/>
      <c r="P16" s="1028"/>
      <c r="Q16" s="1028"/>
      <c r="R16" s="1011">
        <v>16108</v>
      </c>
      <c r="S16" s="1011">
        <v>121217</v>
      </c>
      <c r="T16" s="2515">
        <v>256839</v>
      </c>
      <c r="U16" s="1031"/>
      <c r="V16" s="1031"/>
    </row>
    <row r="17" spans="2:22" ht="12.75" customHeight="1">
      <c r="B17" s="5"/>
      <c r="C17" s="5"/>
      <c r="D17" s="848"/>
      <c r="E17" s="848"/>
      <c r="F17" s="499"/>
      <c r="G17" s="848"/>
      <c r="K17" s="1036" t="s">
        <v>1623</v>
      </c>
      <c r="L17" s="1028"/>
      <c r="M17" s="1028"/>
      <c r="N17" s="1028"/>
      <c r="O17" s="1028"/>
      <c r="P17" s="1028"/>
      <c r="Q17" s="1028"/>
      <c r="R17" s="1011">
        <v>3616000</v>
      </c>
      <c r="S17" s="1011">
        <v>-2496000</v>
      </c>
      <c r="T17" s="2515">
        <v>0</v>
      </c>
      <c r="U17" s="1031"/>
      <c r="V17" s="1031"/>
    </row>
    <row r="18" spans="2:22" ht="12.75" customHeight="1">
      <c r="B18" s="17" t="s">
        <v>160</v>
      </c>
      <c r="D18" s="387">
        <f>SUM(D14:D16)</f>
        <v>-7108.9480000000003</v>
      </c>
      <c r="E18" s="387">
        <f>SUM(E14:E16)</f>
        <v>-14161.889000000001</v>
      </c>
      <c r="F18" s="1022"/>
      <c r="G18" s="387">
        <f>SUM(G14:G16)</f>
        <v>-9580.7459999999992</v>
      </c>
      <c r="K18" s="2145" t="s">
        <v>2818</v>
      </c>
      <c r="L18" s="2146"/>
      <c r="M18" s="2146"/>
      <c r="N18" s="2146"/>
      <c r="O18" s="2146"/>
      <c r="P18" s="2146"/>
      <c r="Q18" s="2146"/>
      <c r="R18" s="62">
        <v>0</v>
      </c>
      <c r="S18" s="62">
        <v>0</v>
      </c>
      <c r="T18" s="2516">
        <v>0</v>
      </c>
      <c r="U18" s="1031"/>
      <c r="V18" s="1031"/>
    </row>
    <row r="19" spans="2:22" ht="12.75" customHeight="1">
      <c r="D19" s="499"/>
      <c r="E19" s="499"/>
      <c r="F19" s="499"/>
      <c r="G19" s="499"/>
      <c r="K19" s="1028"/>
      <c r="L19" s="1028"/>
      <c r="M19" s="1028"/>
      <c r="N19" s="1028"/>
      <c r="O19" s="1028"/>
      <c r="P19" s="1028"/>
      <c r="Q19" s="1028"/>
      <c r="R19" s="1034"/>
      <c r="S19" s="1034"/>
      <c r="T19" s="405" t="s">
        <v>2817</v>
      </c>
      <c r="U19" s="1033"/>
      <c r="V19" s="1033"/>
    </row>
    <row r="20" spans="2:22" ht="12.75" customHeight="1">
      <c r="B20" s="405" t="s">
        <v>171</v>
      </c>
      <c r="D20" s="387">
        <f>D18</f>
        <v>-7108.9480000000003</v>
      </c>
      <c r="E20" s="387">
        <f>E18</f>
        <v>-14161.889000000001</v>
      </c>
      <c r="F20" s="499"/>
      <c r="G20" s="387">
        <f>G18</f>
        <v>-9580.7459999999992</v>
      </c>
      <c r="K20" s="1032"/>
      <c r="L20" s="1032"/>
      <c r="M20" s="1032"/>
      <c r="N20" s="1032"/>
      <c r="O20" s="1032"/>
      <c r="P20" s="1032"/>
      <c r="Q20" s="1032"/>
      <c r="R20" s="1034"/>
      <c r="S20" s="1034"/>
      <c r="T20" s="1034"/>
      <c r="U20" s="1026"/>
      <c r="V20" s="1026"/>
    </row>
    <row r="21" spans="2:22" ht="12.75" customHeight="1">
      <c r="D21" s="499"/>
      <c r="E21" s="499"/>
      <c r="F21" s="499"/>
      <c r="G21" s="499"/>
    </row>
    <row r="22" spans="2:22" ht="12.75" customHeight="1">
      <c r="B22" s="2" t="s">
        <v>172</v>
      </c>
      <c r="D22" s="42">
        <f>R16/1000</f>
        <v>16.108000000000001</v>
      </c>
      <c r="E22" s="42">
        <f>S16/1000</f>
        <v>121.217</v>
      </c>
      <c r="F22" s="499"/>
      <c r="G22" s="42">
        <f>T16/1000</f>
        <v>256.839</v>
      </c>
    </row>
    <row r="23" spans="2:22" ht="12.75" customHeight="1">
      <c r="B23" s="2" t="s">
        <v>173</v>
      </c>
      <c r="D23" s="42">
        <f>R17/1000</f>
        <v>3616</v>
      </c>
      <c r="E23" s="42">
        <f>S17/1000</f>
        <v>-2496</v>
      </c>
      <c r="F23" s="499"/>
      <c r="G23" s="42">
        <f>T18/1000</f>
        <v>0</v>
      </c>
    </row>
    <row r="24" spans="2:22" ht="12.75" customHeight="1">
      <c r="B24" s="5"/>
      <c r="C24" s="5"/>
      <c r="D24" s="848"/>
      <c r="E24" s="848"/>
      <c r="F24" s="499"/>
      <c r="G24" s="848"/>
    </row>
    <row r="25" spans="2:22" ht="12.75" customHeight="1">
      <c r="B25" s="17" t="s">
        <v>174</v>
      </c>
      <c r="D25" s="387">
        <f>SUM(D20:D23)</f>
        <v>-3476.84</v>
      </c>
      <c r="E25" s="387">
        <f>SUM(E20:E23)</f>
        <v>-16536.671999999999</v>
      </c>
      <c r="F25" s="1022"/>
      <c r="G25" s="387">
        <f>SUM(G20:G23)</f>
        <v>-9323.9069999999992</v>
      </c>
    </row>
    <row r="26" spans="2:22" ht="12.75" customHeight="1">
      <c r="D26" s="499"/>
      <c r="E26" s="499"/>
      <c r="F26" s="499"/>
      <c r="G26" s="499"/>
    </row>
    <row r="27" spans="2:22" ht="12.75" customHeight="1">
      <c r="B27" s="1038" t="s">
        <v>175</v>
      </c>
      <c r="C27" s="1038"/>
      <c r="D27" s="1039">
        <f>D25</f>
        <v>-3476.84</v>
      </c>
      <c r="E27" s="1039">
        <f>E25</f>
        <v>-16536.671999999999</v>
      </c>
      <c r="F27" s="1022"/>
      <c r="G27" s="1039">
        <f>G25</f>
        <v>-9323.9069999999992</v>
      </c>
      <c r="H27" s="16"/>
    </row>
    <row r="28" spans="2:22" ht="12.75" customHeight="1">
      <c r="D28" s="850"/>
      <c r="E28" s="499"/>
      <c r="F28" s="499"/>
      <c r="G28" s="499"/>
    </row>
    <row r="29" spans="2:22" ht="12.75" customHeight="1">
      <c r="B29" s="1" t="s">
        <v>176</v>
      </c>
      <c r="D29" s="499"/>
      <c r="E29" s="499"/>
      <c r="F29" s="499"/>
      <c r="G29" s="499"/>
    </row>
    <row r="30" spans="2:22" ht="12.75" customHeight="1">
      <c r="B30" s="2" t="s">
        <v>177</v>
      </c>
      <c r="D30" s="1025">
        <v>-1160.298</v>
      </c>
      <c r="E30" s="42">
        <f>-696733/1000</f>
        <v>-696.73299999999995</v>
      </c>
      <c r="F30" s="499"/>
      <c r="G30" s="42">
        <f>-2977/1000</f>
        <v>-2.9769999999999999</v>
      </c>
      <c r="R30" s="405" t="s">
        <v>2820</v>
      </c>
      <c r="S30" s="405" t="s">
        <v>1626</v>
      </c>
      <c r="T30" s="405" t="s">
        <v>1628</v>
      </c>
    </row>
    <row r="31" spans="2:22" ht="12.75" customHeight="1">
      <c r="D31" s="499"/>
      <c r="E31" s="499"/>
      <c r="F31" s="499"/>
      <c r="G31" s="499"/>
    </row>
    <row r="32" spans="2:22" ht="12.75" customHeight="1">
      <c r="B32" s="2" t="s">
        <v>165</v>
      </c>
      <c r="D32" s="387">
        <f>D20-D16</f>
        <v>-6788.3879999999999</v>
      </c>
      <c r="E32" s="387">
        <f>E20-E16</f>
        <v>-13669.935000000001</v>
      </c>
      <c r="F32" s="499"/>
      <c r="G32" s="387">
        <f>G20-G16</f>
        <v>-9293.378999999999</v>
      </c>
    </row>
    <row r="33" spans="2:2" ht="12.75" customHeight="1"/>
    <row r="34" spans="2:2" ht="12.75" customHeight="1">
      <c r="B34" s="8" t="s">
        <v>86</v>
      </c>
    </row>
    <row r="35" spans="2:2" ht="12.75" customHeight="1">
      <c r="B35" s="9" t="s">
        <v>178</v>
      </c>
    </row>
    <row r="36" spans="2:2" ht="12.75" customHeight="1">
      <c r="B36" s="9" t="s">
        <v>478</v>
      </c>
    </row>
    <row r="37" spans="2:2" ht="12.75" customHeight="1"/>
    <row r="38" spans="2:2" ht="12.75" customHeight="1"/>
    <row r="39" spans="2:2" ht="12.75" customHeight="1"/>
    <row r="40" spans="2:2" ht="12.75" customHeight="1"/>
    <row r="41" spans="2:2" ht="12.75" customHeight="1"/>
  </sheetData>
  <conditionalFormatting sqref="B4:F4">
    <cfRule type="cellIs" dxfId="615" priority="4" stopIfTrue="1" operator="equal">
      <formula>"input"</formula>
    </cfRule>
  </conditionalFormatting>
  <conditionalFormatting sqref="G4">
    <cfRule type="cellIs" dxfId="614" priority="2" stopIfTrue="1" operator="equal">
      <formula>"input"</formula>
    </cfRule>
  </conditionalFormatting>
  <conditionalFormatting sqref="G4">
    <cfRule type="cellIs" dxfId="613" priority="1" stopIfTrue="1" operator="equal">
      <formula>"input"</formula>
    </cfRule>
  </conditionalFormatting>
  <pageMargins left="0.5" right="0.5" top="0.5" bottom="0.5" header="0.5" footer="0.5"/>
  <pageSetup fitToWidth="0" fitToHeight="0" orientation="landscape" r:id="rId1"/>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63"/>
  <sheetViews>
    <sheetView showGridLines="0" view="pageBreakPreview" zoomScale="85" zoomScaleNormal="100" zoomScaleSheetLayoutView="85" workbookViewId="0"/>
  </sheetViews>
  <sheetFormatPr defaultRowHeight="12.75"/>
  <cols>
    <col min="1" max="1" width="4.5" style="405" customWidth="1"/>
    <col min="2" max="2" width="64.5" style="405" customWidth="1"/>
    <col min="3" max="3" width="2.83203125" style="405" customWidth="1"/>
    <col min="4" max="5" width="23.5" style="405" customWidth="1"/>
    <col min="6" max="6" width="2.83203125" style="405" customWidth="1"/>
    <col min="7" max="7" width="26.1640625" style="405" customWidth="1"/>
    <col min="8" max="9" width="4.5" style="405" customWidth="1"/>
    <col min="10" max="10" width="64.5" style="405" customWidth="1"/>
    <col min="11" max="11" width="2.83203125" style="405" customWidth="1"/>
    <col min="12" max="13" width="23.5" style="405" customWidth="1"/>
    <col min="14" max="14" width="2.83203125" style="405" customWidth="1"/>
    <col min="15" max="15" width="25.83203125" style="405" customWidth="1"/>
    <col min="16" max="16" width="4.5" style="405" customWidth="1"/>
    <col min="17" max="16384" width="9.33203125" style="405"/>
  </cols>
  <sheetData>
    <row r="1" spans="1:20" s="34" customFormat="1" ht="10.7" customHeight="1" thickBot="1">
      <c r="H1" s="405"/>
      <c r="L1" s="405"/>
      <c r="M1" s="405"/>
      <c r="N1" s="405"/>
      <c r="O1" s="405"/>
    </row>
    <row r="2" spans="1:20" ht="16.5" customHeight="1" thickTop="1">
      <c r="A2" s="34"/>
      <c r="B2" s="10" t="str">
        <f>'MASTER PubCo Inputs'!$C$5</f>
        <v>Kallyope, Inc.</v>
      </c>
      <c r="C2" s="10"/>
      <c r="D2" s="10"/>
      <c r="E2" s="10"/>
      <c r="F2" s="10"/>
      <c r="G2" s="10"/>
      <c r="I2" s="34"/>
      <c r="J2" s="10" t="str">
        <f>'MASTER PubCo Inputs'!$C$5</f>
        <v>Kallyope, Inc.</v>
      </c>
      <c r="K2" s="10"/>
      <c r="L2" s="10"/>
      <c r="M2" s="10"/>
      <c r="N2" s="10"/>
      <c r="O2" s="10"/>
    </row>
    <row r="3" spans="1:20" ht="15.75" customHeight="1">
      <c r="A3" s="34"/>
      <c r="B3" s="11" t="str">
        <f>VLOOKUP(B4,Outline!$E$8:$G$69,COLUMNS(Outline!$E$8:$G$8),FALSE)</f>
        <v>Exhibit C.3</v>
      </c>
      <c r="C3" s="11"/>
      <c r="D3" s="11"/>
      <c r="E3" s="11"/>
      <c r="F3" s="11"/>
      <c r="G3" s="11"/>
      <c r="I3" s="34"/>
      <c r="J3" s="11" t="str">
        <f>B3</f>
        <v>Exhibit C.3</v>
      </c>
      <c r="K3" s="11"/>
      <c r="L3" s="11"/>
      <c r="M3" s="11"/>
      <c r="N3" s="11"/>
      <c r="O3" s="11"/>
    </row>
    <row r="4" spans="1:20" ht="16.5" customHeight="1" thickBot="1">
      <c r="A4" s="34"/>
      <c r="B4" s="12" t="s">
        <v>156</v>
      </c>
      <c r="C4" s="12"/>
      <c r="D4" s="12"/>
      <c r="E4" s="12"/>
      <c r="F4" s="12"/>
      <c r="G4" s="13" t="str">
        <f>+'MASTER PubCo Inputs'!$C$21</f>
        <v>(in thousands of USD)</v>
      </c>
      <c r="I4" s="34"/>
      <c r="J4" s="12" t="s">
        <v>623</v>
      </c>
      <c r="K4" s="12"/>
      <c r="L4" s="12"/>
      <c r="M4" s="12"/>
      <c r="N4" s="12"/>
      <c r="O4" s="12"/>
    </row>
    <row r="5" spans="1:20" s="16" customFormat="1" ht="12.75" customHeight="1" thickTop="1">
      <c r="B5" s="405"/>
      <c r="C5" s="405"/>
      <c r="D5" s="405"/>
      <c r="E5" s="405"/>
      <c r="F5" s="405"/>
      <c r="G5" s="405"/>
      <c r="H5" s="405"/>
      <c r="J5" s="405"/>
      <c r="K5" s="405"/>
    </row>
    <row r="6" spans="1:20" s="16" customFormat="1" ht="12.75" customHeight="1">
      <c r="B6" s="405"/>
      <c r="C6" s="405"/>
      <c r="D6" s="405"/>
      <c r="E6" s="405"/>
      <c r="F6" s="405"/>
      <c r="G6" s="2151"/>
      <c r="H6" s="405"/>
      <c r="J6" s="405"/>
      <c r="K6" s="405"/>
    </row>
    <row r="7" spans="1:20" ht="12.75" customHeight="1">
      <c r="D7" s="1040"/>
      <c r="E7" s="1041" t="s">
        <v>622</v>
      </c>
      <c r="F7" s="445"/>
      <c r="G7" s="2517" t="s">
        <v>180</v>
      </c>
      <c r="L7" s="1040"/>
      <c r="M7" s="1041" t="s">
        <v>622</v>
      </c>
      <c r="N7" s="445"/>
      <c r="O7" s="2517" t="s">
        <v>180</v>
      </c>
    </row>
    <row r="8" spans="1:20" ht="12.75" customHeight="1">
      <c r="B8" s="49"/>
      <c r="D8" s="1019">
        <f>'Hist IS'!D9</f>
        <v>2016</v>
      </c>
      <c r="E8" s="1042">
        <f>'Hist IS'!E9</f>
        <v>2017</v>
      </c>
      <c r="F8" s="586"/>
      <c r="G8" s="587">
        <f>'Hist IS'!G9</f>
        <v>43281</v>
      </c>
      <c r="J8" s="49"/>
      <c r="L8" s="1019">
        <f>+D8</f>
        <v>2016</v>
      </c>
      <c r="M8" s="1042">
        <f>+E8</f>
        <v>2017</v>
      </c>
      <c r="N8" s="586"/>
      <c r="O8" s="587">
        <f>+G8</f>
        <v>43281</v>
      </c>
      <c r="R8" s="1">
        <v>2016</v>
      </c>
      <c r="S8" s="405">
        <v>2017</v>
      </c>
      <c r="T8" s="405">
        <v>2018</v>
      </c>
    </row>
    <row r="9" spans="1:20" ht="12.75" customHeight="1">
      <c r="L9" s="173"/>
      <c r="M9" s="173"/>
      <c r="N9" s="173"/>
      <c r="O9" s="173"/>
      <c r="R9" s="405" t="s">
        <v>1630</v>
      </c>
      <c r="S9" s="405" t="s">
        <v>1631</v>
      </c>
      <c r="T9" s="405" t="s">
        <v>2821</v>
      </c>
    </row>
    <row r="10" spans="1:20" ht="12.75" customHeight="1">
      <c r="B10" s="63" t="s">
        <v>181</v>
      </c>
      <c r="C10" s="64"/>
      <c r="D10" s="64"/>
      <c r="E10" s="64"/>
      <c r="F10" s="64"/>
      <c r="G10" s="65"/>
      <c r="J10" s="63" t="s">
        <v>181</v>
      </c>
      <c r="K10" s="64"/>
      <c r="L10" s="116"/>
      <c r="M10" s="116"/>
      <c r="N10" s="116"/>
      <c r="O10" s="194"/>
    </row>
    <row r="11" spans="1:20" ht="12.75" customHeight="1"/>
    <row r="12" spans="1:20" ht="12.75" customHeight="1">
      <c r="B12" s="405" t="s">
        <v>182</v>
      </c>
      <c r="J12" s="405" t="str">
        <f>B12</f>
        <v>Current Assets</v>
      </c>
    </row>
    <row r="13" spans="1:20" ht="12.75" customHeight="1">
      <c r="B13" s="2" t="s">
        <v>183</v>
      </c>
      <c r="D13" s="387">
        <f>19291430/1000</f>
        <v>19291.43</v>
      </c>
      <c r="E13" s="387">
        <f>22446256/1000</f>
        <v>22446.256000000001</v>
      </c>
      <c r="F13" s="387"/>
      <c r="G13" s="387">
        <f>34922264/1000</f>
        <v>34922.264000000003</v>
      </c>
      <c r="J13" s="2" t="str">
        <f>B13</f>
        <v>Cash &amp; Equivalents</v>
      </c>
      <c r="L13" s="56">
        <f t="shared" ref="L13:M15" si="0">IF(ISERROR(D13/D$22), "n/a", D13/D$22)</f>
        <v>0.90147458908609701</v>
      </c>
      <c r="M13" s="56">
        <f t="shared" si="0"/>
        <v>0.8887193595560493</v>
      </c>
      <c r="O13" s="56">
        <f>IF(ISERROR(G13/G$22), "n/a", G13/G$22)</f>
        <v>0.81305589995274008</v>
      </c>
    </row>
    <row r="14" spans="1:20" ht="12.75" customHeight="1">
      <c r="B14" s="2" t="s">
        <v>185</v>
      </c>
      <c r="D14" s="387">
        <f>156138/1000</f>
        <v>156.13800000000001</v>
      </c>
      <c r="E14" s="387">
        <f>653528/1000</f>
        <v>653.52800000000002</v>
      </c>
      <c r="F14" s="387"/>
      <c r="G14" s="387">
        <f>612039/1000</f>
        <v>612.03899999999999</v>
      </c>
      <c r="J14" s="2" t="str">
        <f>B14</f>
        <v>Other Current Assets</v>
      </c>
      <c r="L14" s="56">
        <f t="shared" si="0"/>
        <v>7.2962159565529879E-3</v>
      </c>
      <c r="M14" s="56">
        <f t="shared" si="0"/>
        <v>2.5875272277565833E-2</v>
      </c>
      <c r="O14" s="56">
        <f>IF(ISERROR(G14/G$22), "n/a", G14/G$22)</f>
        <v>1.4249417504866668E-2</v>
      </c>
    </row>
    <row r="15" spans="1:20" ht="12.75" customHeight="1">
      <c r="B15" s="2" t="s">
        <v>2822</v>
      </c>
      <c r="D15" s="387">
        <v>0</v>
      </c>
      <c r="E15" s="387">
        <v>0</v>
      </c>
      <c r="F15" s="387"/>
      <c r="G15" s="387">
        <f>5500000/1000</f>
        <v>5500</v>
      </c>
      <c r="J15" s="2" t="str">
        <f>B15</f>
        <v>Account Receivables</v>
      </c>
      <c r="L15" s="56">
        <f t="shared" si="0"/>
        <v>0</v>
      </c>
      <c r="M15" s="56">
        <f t="shared" si="0"/>
        <v>0</v>
      </c>
      <c r="O15" s="56">
        <f>IF(ISERROR(G15/G$22), "n/a", G15/G$22)</f>
        <v>0.12805033057822568</v>
      </c>
    </row>
    <row r="16" spans="1:20" ht="12.75" customHeight="1">
      <c r="B16" s="57"/>
      <c r="C16" s="5"/>
      <c r="D16" s="848"/>
      <c r="E16" s="849"/>
      <c r="F16" s="849"/>
      <c r="G16" s="849"/>
      <c r="J16" s="57"/>
      <c r="K16" s="5"/>
      <c r="L16" s="5"/>
      <c r="M16" s="5"/>
      <c r="O16" s="5"/>
    </row>
    <row r="17" spans="2:15" ht="12.75" customHeight="1">
      <c r="B17" s="17" t="s">
        <v>188</v>
      </c>
      <c r="D17" s="1043">
        <f>SUM(D13:D15)</f>
        <v>19447.567999999999</v>
      </c>
      <c r="E17" s="1043">
        <f>SUM(E13:E15)</f>
        <v>23099.784</v>
      </c>
      <c r="F17" s="1022"/>
      <c r="G17" s="1043">
        <f>SUM(G13:G15)</f>
        <v>41034.303</v>
      </c>
      <c r="J17" s="17" t="str">
        <f>B17</f>
        <v>Total Current Assets</v>
      </c>
      <c r="L17" s="56">
        <f>IF(ISERROR(D17/D$22), "n/a", D17/D$22)</f>
        <v>0.90877080504264995</v>
      </c>
      <c r="M17" s="56">
        <f>IF(ISERROR(E17/E$22), "n/a", E17/E$22)</f>
        <v>0.91459463183361511</v>
      </c>
      <c r="N17" s="1014"/>
      <c r="O17" s="56">
        <f>IF(ISERROR(G17/G$22), "n/a", G17/G$22)</f>
        <v>0.95535564803583239</v>
      </c>
    </row>
    <row r="18" spans="2:15" ht="12.75" customHeight="1">
      <c r="D18" s="499"/>
      <c r="E18" s="499"/>
      <c r="F18" s="499"/>
      <c r="G18" s="499"/>
    </row>
    <row r="19" spans="2:15" ht="12.75" customHeight="1">
      <c r="B19" s="53" t="s">
        <v>186</v>
      </c>
      <c r="D19" s="387">
        <f>1722765/1000</f>
        <v>1722.7650000000001</v>
      </c>
      <c r="E19" s="387">
        <f>1927544/1000</f>
        <v>1927.5440000000001</v>
      </c>
      <c r="F19" s="387"/>
      <c r="G19" s="387">
        <f>1688031/1000</f>
        <v>1688.0309999999999</v>
      </c>
      <c r="J19" s="53" t="str">
        <f>B19</f>
        <v>Net Fixed Assets</v>
      </c>
      <c r="L19" s="56">
        <f>IF(ISERROR(D19/D$22), "n/a", D19/D$22)</f>
        <v>8.0503564042007772E-2</v>
      </c>
      <c r="M19" s="56">
        <f>IF(ISERROR(E19/E$22), "n/a", E19/E$22)</f>
        <v>7.6317657127144306E-2</v>
      </c>
      <c r="O19" s="56">
        <f>IF(ISERROR(G19/G$22), "n/a", G19/G$22)</f>
        <v>3.9300532286598709E-2</v>
      </c>
    </row>
    <row r="20" spans="2:15" ht="12.75" customHeight="1">
      <c r="B20" s="53" t="s">
        <v>187</v>
      </c>
      <c r="D20" s="387">
        <f>229527/1000</f>
        <v>229.52699999999999</v>
      </c>
      <c r="E20" s="387">
        <f>229527/1000</f>
        <v>229.52699999999999</v>
      </c>
      <c r="F20" s="387"/>
      <c r="G20" s="387">
        <f>(217327+12200)/1000</f>
        <v>229.52699999999999</v>
      </c>
      <c r="J20" s="53" t="str">
        <f>B20</f>
        <v>Other Assets</v>
      </c>
      <c r="L20" s="56">
        <f>IF(ISERROR(D20/D$22), "n/a", D20/D$22)</f>
        <v>1.0725630915342437E-2</v>
      </c>
      <c r="M20" s="56">
        <f>IF(ISERROR(E20/E$22), "n/a", E20/E$22)</f>
        <v>9.0877110392406334E-3</v>
      </c>
      <c r="O20" s="56">
        <f>IF(ISERROR(G20/G$22), "n/a", G20/G$22)</f>
        <v>5.3438196775688011E-3</v>
      </c>
    </row>
    <row r="21" spans="2:15" ht="12.75" customHeight="1">
      <c r="B21" s="5"/>
      <c r="C21" s="5"/>
      <c r="D21" s="848"/>
      <c r="E21" s="848"/>
      <c r="F21" s="849"/>
      <c r="G21" s="848"/>
      <c r="J21" s="5"/>
      <c r="K21" s="5"/>
      <c r="L21" s="5"/>
      <c r="M21" s="5"/>
      <c r="O21" s="5"/>
    </row>
    <row r="22" spans="2:15" ht="12.75" customHeight="1">
      <c r="B22" s="41" t="s">
        <v>189</v>
      </c>
      <c r="C22" s="1"/>
      <c r="D22" s="851">
        <f>SUM(D17:D20)</f>
        <v>21399.859999999997</v>
      </c>
      <c r="E22" s="851">
        <f>SUM(E17:E20)</f>
        <v>25256.855</v>
      </c>
      <c r="F22" s="1044"/>
      <c r="G22" s="851">
        <f>SUM(G17:G20)</f>
        <v>42951.861000000004</v>
      </c>
      <c r="J22" s="41" t="str">
        <f>B22</f>
        <v>Total Assets</v>
      </c>
      <c r="K22" s="1"/>
      <c r="L22" s="442">
        <f>IF(ISERROR(D22/D$22), "n/a", D22/D$22)</f>
        <v>1</v>
      </c>
      <c r="M22" s="442">
        <f>IF(ISERROR(E22/E$22), "n/a", E22/E$22)</f>
        <v>1</v>
      </c>
      <c r="N22" s="1038"/>
      <c r="O22" s="442">
        <f>IF(ISERROR(G22/G$22), "n/a", G22/G$22)</f>
        <v>1</v>
      </c>
    </row>
    <row r="23" spans="2:15" ht="12.75" customHeight="1">
      <c r="D23" s="499"/>
      <c r="E23" s="499"/>
      <c r="F23" s="499"/>
      <c r="G23" s="499"/>
    </row>
    <row r="24" spans="2:15" ht="12.75" customHeight="1">
      <c r="B24" s="63" t="s">
        <v>190</v>
      </c>
      <c r="C24" s="64"/>
      <c r="D24" s="107"/>
      <c r="E24" s="107"/>
      <c r="F24" s="107"/>
      <c r="G24" s="174"/>
      <c r="J24" s="63" t="s">
        <v>190</v>
      </c>
      <c r="K24" s="64"/>
      <c r="L24" s="116"/>
      <c r="M24" s="116"/>
      <c r="N24" s="116"/>
      <c r="O24" s="194"/>
    </row>
    <row r="25" spans="2:15" ht="12.75" customHeight="1">
      <c r="D25" s="499"/>
      <c r="E25" s="499"/>
      <c r="F25" s="499"/>
      <c r="G25" s="499"/>
    </row>
    <row r="26" spans="2:15" ht="12.75" customHeight="1">
      <c r="B26" s="405" t="s">
        <v>191</v>
      </c>
      <c r="D26" s="499"/>
      <c r="E26" s="499"/>
      <c r="F26" s="499"/>
      <c r="G26" s="499"/>
      <c r="J26" s="405" t="str">
        <f>B26</f>
        <v>Current Liabilities</v>
      </c>
    </row>
    <row r="27" spans="2:15" ht="12.75" customHeight="1">
      <c r="B27" s="2" t="s">
        <v>192</v>
      </c>
      <c r="D27" s="387">
        <f>407634/1000</f>
        <v>407.63400000000001</v>
      </c>
      <c r="E27" s="387">
        <f>1091251/1000</f>
        <v>1091.251</v>
      </c>
      <c r="F27" s="387"/>
      <c r="G27" s="387">
        <f>739463/1000</f>
        <v>739.46299999999997</v>
      </c>
      <c r="J27" s="2" t="str">
        <f>B27</f>
        <v>Accounts Payable</v>
      </c>
      <c r="L27" s="56">
        <f t="shared" ref="L27:O29" si="1">IF(ISERROR(D27/D$22), "n/a", D27/D$22)</f>
        <v>1.904844237298749E-2</v>
      </c>
      <c r="M27" s="56">
        <f t="shared" si="1"/>
        <v>4.3206131563094455E-2</v>
      </c>
      <c r="O27" s="56">
        <f t="shared" si="1"/>
        <v>1.7216087563702999E-2</v>
      </c>
    </row>
    <row r="28" spans="2:15" ht="12.75" customHeight="1">
      <c r="B28" s="2" t="s">
        <v>193</v>
      </c>
      <c r="D28" s="387">
        <f>220106/1000</f>
        <v>220.10599999999999</v>
      </c>
      <c r="E28" s="387">
        <f>675368/1000</f>
        <v>675.36800000000005</v>
      </c>
      <c r="F28" s="387"/>
      <c r="G28" s="387">
        <f>755611/1000</f>
        <v>755.61099999999999</v>
      </c>
      <c r="J28" s="2" t="str">
        <f>B28</f>
        <v>Accrued Expenses</v>
      </c>
      <c r="L28" s="56">
        <f t="shared" si="1"/>
        <v>1.0285394390430592E-2</v>
      </c>
      <c r="M28" s="56">
        <f t="shared" si="1"/>
        <v>2.6739988015134903E-2</v>
      </c>
      <c r="O28" s="56">
        <f t="shared" si="1"/>
        <v>1.7592043334280671E-2</v>
      </c>
    </row>
    <row r="29" spans="2:15" ht="12.75" customHeight="1">
      <c r="B29" s="2" t="s">
        <v>194</v>
      </c>
      <c r="D29" s="407">
        <f>(2144000+123218)/1000</f>
        <v>2267.2179999999998</v>
      </c>
      <c r="E29" s="387">
        <f>163189/1000</f>
        <v>163.18899999999999</v>
      </c>
      <c r="F29" s="387"/>
      <c r="G29" s="387">
        <f>(193901+5312500+281908)/1000</f>
        <v>5788.3090000000002</v>
      </c>
      <c r="J29" s="2" t="str">
        <f>B29</f>
        <v>Other Current Liabilities</v>
      </c>
      <c r="L29" s="56">
        <f t="shared" si="1"/>
        <v>0.10594545945627683</v>
      </c>
      <c r="M29" s="56">
        <f t="shared" si="1"/>
        <v>6.4611765795860171E-3</v>
      </c>
      <c r="O29" s="56">
        <f t="shared" si="1"/>
        <v>0.13476270562525799</v>
      </c>
    </row>
    <row r="30" spans="2:15" ht="12.75" customHeight="1">
      <c r="B30" s="5"/>
      <c r="C30" s="5"/>
      <c r="D30" s="848"/>
      <c r="E30" s="848"/>
      <c r="F30" s="849"/>
      <c r="G30" s="848"/>
      <c r="J30" s="5"/>
      <c r="K30" s="5"/>
      <c r="L30" s="5"/>
      <c r="M30" s="5"/>
      <c r="O30" s="5"/>
    </row>
    <row r="31" spans="2:15" ht="12.75" customHeight="1">
      <c r="B31" s="17" t="s">
        <v>195</v>
      </c>
      <c r="D31" s="387">
        <f>SUM(D27:D29)</f>
        <v>2894.9579999999996</v>
      </c>
      <c r="E31" s="387">
        <f>SUM(E27:E29)</f>
        <v>1929.8080000000002</v>
      </c>
      <c r="F31" s="1022"/>
      <c r="G31" s="387">
        <f>SUM(G27:G29)</f>
        <v>7283.3829999999998</v>
      </c>
      <c r="J31" s="17" t="str">
        <f>B31</f>
        <v>Total Current Liabilities</v>
      </c>
      <c r="L31" s="56">
        <f>IF(ISERROR(D31/D$22), "n/a", D31/D$22)</f>
        <v>0.13527929621969489</v>
      </c>
      <c r="M31" s="56">
        <f>IF(ISERROR(E31/E$22), "n/a", E31/E$22)</f>
        <v>7.6407296157815385E-2</v>
      </c>
      <c r="N31" s="1014"/>
      <c r="O31" s="56">
        <f>IF(ISERROR(G31/G$22), "n/a", G31/G$22)</f>
        <v>0.16957083652324165</v>
      </c>
    </row>
    <row r="32" spans="2:15" ht="12.75" customHeight="1">
      <c r="D32" s="499"/>
      <c r="E32" s="499"/>
      <c r="F32" s="499"/>
      <c r="G32" s="499"/>
    </row>
    <row r="33" spans="2:15" ht="12.75" customHeight="1">
      <c r="B33" s="2" t="s">
        <v>1629</v>
      </c>
      <c r="D33" s="407">
        <f>(225599+140172)/1000</f>
        <v>365.77100000000002</v>
      </c>
      <c r="E33" s="387">
        <f>(190857+191125)/1000</f>
        <v>381.98200000000003</v>
      </c>
      <c r="F33" s="387"/>
      <c r="G33" s="387">
        <v>0</v>
      </c>
      <c r="J33" s="2" t="str">
        <f>B33</f>
        <v>Other  Liabilities</v>
      </c>
      <c r="L33" s="56">
        <f>IF(ISERROR(D33/D$22), "n/a", D33/D$22)</f>
        <v>1.7092214621964821E-2</v>
      </c>
      <c r="M33" s="56">
        <f>IF(ISERROR(E33/E$22), "n/a", E33/E$22)</f>
        <v>1.512389408736757E-2</v>
      </c>
      <c r="O33" s="56">
        <f>IF(ISERROR(G33/G$22), "n/a", G33/G$22)</f>
        <v>0</v>
      </c>
    </row>
    <row r="34" spans="2:15" ht="12.75" customHeight="1">
      <c r="B34" s="5"/>
      <c r="C34" s="5"/>
      <c r="D34" s="848"/>
      <c r="E34" s="848"/>
      <c r="F34" s="849"/>
      <c r="G34" s="848"/>
      <c r="J34" s="5"/>
      <c r="K34" s="5"/>
      <c r="L34" s="5"/>
      <c r="M34" s="5"/>
      <c r="O34" s="5"/>
    </row>
    <row r="35" spans="2:15" ht="12.75" customHeight="1">
      <c r="B35" s="17" t="s">
        <v>196</v>
      </c>
      <c r="D35" s="387">
        <f>SUM(D31:D33)</f>
        <v>3260.7289999999998</v>
      </c>
      <c r="E35" s="387">
        <f>SUM(E31:E33)</f>
        <v>2311.7900000000004</v>
      </c>
      <c r="F35" s="1022"/>
      <c r="G35" s="387">
        <f>SUM(G31:G33)</f>
        <v>7283.3829999999998</v>
      </c>
      <c r="J35" s="17" t="str">
        <f>B35</f>
        <v>Total Liabilities</v>
      </c>
      <c r="L35" s="56">
        <f>IF(ISERROR(D35/D$22), "n/a", D35/D$22)</f>
        <v>0.15237151084165973</v>
      </c>
      <c r="M35" s="56">
        <f>IF(ISERROR(E35/E$22), "n/a", E35/E$22)</f>
        <v>9.1531190245182956E-2</v>
      </c>
      <c r="N35" s="1014"/>
      <c r="O35" s="56">
        <f>IF(ISERROR(G35/G$22), "n/a", G35/G$22)</f>
        <v>0.16957083652324165</v>
      </c>
    </row>
    <row r="36" spans="2:15" ht="12.75" customHeight="1">
      <c r="D36" s="499"/>
      <c r="E36" s="499"/>
      <c r="F36" s="499"/>
      <c r="G36" s="499"/>
    </row>
    <row r="37" spans="2:15" ht="12.75" customHeight="1">
      <c r="B37" s="405" t="s">
        <v>200</v>
      </c>
      <c r="D37" s="499"/>
      <c r="E37" s="499"/>
      <c r="F37" s="499"/>
      <c r="G37" s="499"/>
      <c r="J37" s="405" t="str">
        <f>B37</f>
        <v>Shareholders' Equity</v>
      </c>
    </row>
    <row r="38" spans="2:15" ht="12.75" customHeight="1">
      <c r="B38" s="2" t="s">
        <v>197</v>
      </c>
      <c r="D38" s="407">
        <f>(5282+623871)/1000</f>
        <v>629.15300000000002</v>
      </c>
      <c r="E38" s="387">
        <f>(9221+1322538)/1000</f>
        <v>1331.759</v>
      </c>
      <c r="F38" s="387"/>
      <c r="G38" s="387">
        <f>1403660/1000</f>
        <v>1403.66</v>
      </c>
      <c r="J38" s="2" t="str">
        <f>B38</f>
        <v>Common</v>
      </c>
      <c r="L38" s="56">
        <f>IF(ISERROR(D38/D$22), "n/a", D38/D$22)</f>
        <v>2.9399865232763209E-2</v>
      </c>
      <c r="M38" s="56">
        <f t="shared" ref="M38:O40" si="2">IF(ISERROR(E38/E$22), "n/a", E38/E$22)</f>
        <v>5.2728615657016684E-2</v>
      </c>
      <c r="O38" s="56">
        <f t="shared" si="2"/>
        <v>3.2679841276260412E-2</v>
      </c>
    </row>
    <row r="39" spans="2:15" ht="12.75" customHeight="1">
      <c r="B39" s="2" t="s">
        <v>198</v>
      </c>
      <c r="D39" s="407">
        <f>22224900/1000</f>
        <v>22224.9</v>
      </c>
      <c r="E39" s="387">
        <f>42864900/1000</f>
        <v>42864.9</v>
      </c>
      <c r="F39" s="387"/>
      <c r="G39" s="387">
        <f>(42864900+21975420)/1000</f>
        <v>64840.32</v>
      </c>
      <c r="J39" s="2" t="str">
        <f>B39</f>
        <v xml:space="preserve">Preferred </v>
      </c>
      <c r="L39" s="56">
        <f>IF(ISERROR(D39/D$22), "n/a", D39/D$22)</f>
        <v>1.0385535232473486</v>
      </c>
      <c r="M39" s="56">
        <f t="shared" si="2"/>
        <v>1.6971590485038617</v>
      </c>
      <c r="O39" s="56">
        <f t="shared" si="2"/>
        <v>1.5096044383268978</v>
      </c>
    </row>
    <row r="40" spans="2:15" ht="12.75" customHeight="1">
      <c r="B40" s="2" t="s">
        <v>199</v>
      </c>
      <c r="D40" s="407">
        <f>(-4714922/1000)</f>
        <v>-4714.9219999999996</v>
      </c>
      <c r="E40" s="387">
        <f>-21251594/1000</f>
        <v>-21251.594000000001</v>
      </c>
      <c r="F40" s="387"/>
      <c r="G40" s="387">
        <f>-30575501/1000</f>
        <v>-30575.501</v>
      </c>
      <c r="J40" s="2" t="str">
        <f>B40</f>
        <v>Retained Earnings</v>
      </c>
      <c r="L40" s="56">
        <f>IF(ISERROR(D40/D$22), "n/a", D40/D$22)</f>
        <v>-0.22032489932177127</v>
      </c>
      <c r="M40" s="56">
        <f t="shared" si="2"/>
        <v>-0.84141885440606135</v>
      </c>
      <c r="O40" s="56">
        <f t="shared" si="2"/>
        <v>-0.71185509284452186</v>
      </c>
    </row>
    <row r="41" spans="2:15" ht="12.75" customHeight="1">
      <c r="B41" s="5"/>
      <c r="C41" s="5"/>
      <c r="D41" s="848"/>
      <c r="E41" s="848"/>
      <c r="F41" s="849"/>
      <c r="G41" s="848"/>
      <c r="J41" s="5"/>
      <c r="K41" s="5"/>
      <c r="L41" s="5"/>
      <c r="M41" s="5"/>
      <c r="O41" s="5"/>
    </row>
    <row r="42" spans="2:15" ht="12.75" customHeight="1">
      <c r="B42" s="17" t="s">
        <v>202</v>
      </c>
      <c r="D42" s="387">
        <f>SUM(D38:D40)</f>
        <v>18139.131000000001</v>
      </c>
      <c r="E42" s="387">
        <f>SUM(E38:E40)</f>
        <v>22945.064999999999</v>
      </c>
      <c r="F42" s="1022"/>
      <c r="G42" s="387">
        <f>SUM(G38:G40)</f>
        <v>35668.478999999992</v>
      </c>
      <c r="J42" s="17" t="str">
        <f>B42</f>
        <v>Total Shareholders' Equity</v>
      </c>
      <c r="L42" s="56">
        <f>IF(ISERROR(D42/D$22), "n/a", D42/D$22)</f>
        <v>0.84762848915834044</v>
      </c>
      <c r="M42" s="56">
        <f>IF(ISERROR(E42/E$22), "n/a", E42/E$22)</f>
        <v>0.90846880975481703</v>
      </c>
      <c r="N42" s="1014"/>
      <c r="O42" s="56">
        <f>IF(ISERROR(G42/G$22), "n/a", G42/G$22)</f>
        <v>0.83042918675863631</v>
      </c>
    </row>
    <row r="43" spans="2:15" ht="12.75" customHeight="1">
      <c r="D43" s="499"/>
      <c r="E43" s="499"/>
      <c r="F43" s="849"/>
      <c r="G43" s="499"/>
      <c r="L43" s="5"/>
      <c r="M43" s="5"/>
      <c r="O43" s="5"/>
    </row>
    <row r="44" spans="2:15" ht="12.75" customHeight="1">
      <c r="B44" s="992" t="s">
        <v>201</v>
      </c>
      <c r="C44" s="992"/>
      <c r="D44" s="993">
        <f>D42+D35</f>
        <v>21399.86</v>
      </c>
      <c r="E44" s="993">
        <f>E42+E35</f>
        <v>25256.855</v>
      </c>
      <c r="F44" s="1044"/>
      <c r="G44" s="993">
        <f>G42+G35</f>
        <v>42951.861999999994</v>
      </c>
      <c r="J44" s="992" t="str">
        <f>B44</f>
        <v>Total Liabilities &amp; Shareholders' Equity</v>
      </c>
      <c r="K44" s="992"/>
      <c r="L44" s="442">
        <f>IF(ISERROR(D44/D$22), "n/a", D44/D$22)</f>
        <v>1.0000000000000002</v>
      </c>
      <c r="M44" s="442">
        <f>IF(ISERROR(E44/E$22), "n/a", E44/E$22)</f>
        <v>1</v>
      </c>
      <c r="N44" s="1038"/>
      <c r="O44" s="442">
        <f>IF(ISERROR(G44/G$22), "n/a", G44/G$22)</f>
        <v>1.000000023281878</v>
      </c>
    </row>
    <row r="45" spans="2:15" ht="12.75" customHeight="1">
      <c r="B45" s="26"/>
      <c r="C45" s="26"/>
      <c r="D45" s="1045"/>
      <c r="E45" s="1045"/>
      <c r="F45" s="1010"/>
      <c r="G45" s="1045"/>
      <c r="J45" s="26"/>
      <c r="K45" s="26"/>
      <c r="L45" s="442"/>
      <c r="M45" s="442"/>
      <c r="N45" s="26"/>
      <c r="O45" s="442"/>
    </row>
    <row r="46" spans="2:15" ht="12.75" customHeight="1">
      <c r="B46" s="26"/>
      <c r="C46" s="26"/>
      <c r="D46" s="1045"/>
      <c r="E46" s="1045"/>
      <c r="F46" s="1010"/>
      <c r="G46" s="1045"/>
      <c r="J46" s="26"/>
      <c r="K46" s="26"/>
      <c r="L46" s="442"/>
      <c r="M46" s="442"/>
      <c r="N46" s="26"/>
      <c r="O46" s="442"/>
    </row>
    <row r="47" spans="2:15" ht="12.75" customHeight="1"/>
    <row r="48" spans="2:15" ht="12.75" customHeight="1">
      <c r="B48" s="29" t="s">
        <v>204</v>
      </c>
      <c r="C48" s="30"/>
      <c r="D48" s="30"/>
      <c r="E48" s="30"/>
      <c r="F48" s="30"/>
      <c r="G48" s="31"/>
    </row>
    <row r="49" spans="1:15" ht="12.75" customHeight="1"/>
    <row r="50" spans="1:15" ht="12.75" customHeight="1">
      <c r="B50" s="405" t="s">
        <v>207</v>
      </c>
      <c r="D50" s="274">
        <f>D13</f>
        <v>19291.43</v>
      </c>
      <c r="E50" s="274">
        <f>E13</f>
        <v>22446.256000000001</v>
      </c>
      <c r="F50" s="274"/>
      <c r="G50" s="274">
        <f>G13</f>
        <v>34922.264000000003</v>
      </c>
    </row>
    <row r="51" spans="1:15" ht="12.75" customHeight="1">
      <c r="B51" s="59" t="s">
        <v>206</v>
      </c>
      <c r="C51" s="440" t="s">
        <v>210</v>
      </c>
      <c r="D51" s="852">
        <f>-D50</f>
        <v>-19291.43</v>
      </c>
      <c r="E51" s="852">
        <f>-E50</f>
        <v>-22446.256000000001</v>
      </c>
      <c r="F51" s="852">
        <f>-F50</f>
        <v>0</v>
      </c>
      <c r="G51" s="852">
        <f>-G50</f>
        <v>-34922.264000000003</v>
      </c>
    </row>
    <row r="52" spans="1:15" s="21" customFormat="1" ht="12.75" customHeight="1">
      <c r="B52" s="60"/>
      <c r="C52" s="61"/>
      <c r="D52" s="62"/>
      <c r="E52" s="62"/>
      <c r="F52" s="1011"/>
      <c r="G52" s="62"/>
      <c r="J52" s="405"/>
      <c r="K52" s="405"/>
      <c r="L52" s="405"/>
      <c r="M52" s="405"/>
      <c r="N52" s="405"/>
      <c r="O52" s="405"/>
    </row>
    <row r="53" spans="1:15" ht="12.75" customHeight="1">
      <c r="B53" s="1" t="s">
        <v>205</v>
      </c>
      <c r="C53" s="1"/>
      <c r="D53" s="38">
        <f>SUM(D50:D51)</f>
        <v>0</v>
      </c>
      <c r="E53" s="38">
        <f>SUM(E50:E51)</f>
        <v>0</v>
      </c>
      <c r="F53" s="1038"/>
      <c r="G53" s="38">
        <f>SUM(G50:G51)</f>
        <v>0</v>
      </c>
    </row>
    <row r="54" spans="1:15" ht="12.75" customHeight="1"/>
    <row r="55" spans="1:15" ht="12.75" customHeight="1">
      <c r="B55" s="1" t="s">
        <v>208</v>
      </c>
      <c r="C55" s="1"/>
      <c r="D55" s="38">
        <v>0</v>
      </c>
      <c r="E55" s="38">
        <v>0</v>
      </c>
      <c r="F55" s="1"/>
      <c r="G55" s="38">
        <v>0</v>
      </c>
    </row>
    <row r="56" spans="1:15" ht="12.75" customHeight="1"/>
    <row r="57" spans="1:15" ht="12.75" customHeight="1">
      <c r="B57" s="8" t="s">
        <v>86</v>
      </c>
    </row>
    <row r="58" spans="1:15" ht="12.75" customHeight="1">
      <c r="B58" s="9" t="s">
        <v>612</v>
      </c>
    </row>
    <row r="59" spans="1:15" ht="12.75" customHeight="1">
      <c r="B59" s="9" t="s">
        <v>179</v>
      </c>
    </row>
    <row r="60" spans="1:15" ht="12.75" customHeight="1"/>
    <row r="61" spans="1:15" ht="12.75" customHeight="1"/>
    <row r="62" spans="1:15">
      <c r="A62" s="405">
        <v>0</v>
      </c>
      <c r="B62" s="878" t="s">
        <v>203</v>
      </c>
      <c r="C62" s="20"/>
      <c r="D62" s="879">
        <f>D44-D22</f>
        <v>0</v>
      </c>
      <c r="E62" s="879">
        <f>E44-E22</f>
        <v>0</v>
      </c>
      <c r="F62" s="20"/>
      <c r="G62" s="880">
        <f>G44-G22</f>
        <v>9.9999998928979039E-4</v>
      </c>
      <c r="J62" s="26"/>
      <c r="K62" s="26"/>
    </row>
    <row r="63" spans="1:15">
      <c r="B63" s="958" t="s">
        <v>1351</v>
      </c>
    </row>
  </sheetData>
  <conditionalFormatting sqref="B4:F4 J4:O4">
    <cfRule type="cellIs" dxfId="612" priority="3" stopIfTrue="1" operator="equal">
      <formula>"input"</formula>
    </cfRule>
  </conditionalFormatting>
  <conditionalFormatting sqref="G4">
    <cfRule type="cellIs" dxfId="611" priority="2" stopIfTrue="1" operator="equal">
      <formula>"input"</formula>
    </cfRule>
  </conditionalFormatting>
  <conditionalFormatting sqref="G4">
    <cfRule type="cellIs" dxfId="610" priority="1" stopIfTrue="1" operator="equal">
      <formula>"input"</formula>
    </cfRule>
  </conditionalFormatting>
  <pageMargins left="0.5" right="0.5" top="0.5" bottom="0.5" header="0.5" footer="0.5"/>
  <pageSetup scale="97" fitToWidth="0" fitToHeight="0" orientation="landscape" r:id="rId1"/>
  <colBreaks count="1" manualBreakCount="1">
    <brk id="8" max="42" man="1"/>
  </colBreaks>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499984740745262"/>
    <pageSetUpPr fitToPage="1"/>
  </sheetPr>
  <dimension ref="B6:F30"/>
  <sheetViews>
    <sheetView showGridLines="0" view="pageBreakPreview" zoomScale="60" zoomScaleNormal="100" workbookViewId="0"/>
  </sheetViews>
  <sheetFormatPr defaultColWidth="9.33203125" defaultRowHeight="15"/>
  <cols>
    <col min="1" max="1" width="4.5" style="291" customWidth="1"/>
    <col min="2" max="2" width="3.83203125" style="291" customWidth="1"/>
    <col min="3" max="3" width="15.83203125" style="291" customWidth="1"/>
    <col min="4" max="4" width="105.33203125" style="292" customWidth="1"/>
    <col min="5" max="5" width="15.83203125" style="291" customWidth="1"/>
    <col min="6" max="6" width="3.83203125" style="291" customWidth="1"/>
    <col min="7" max="7" width="4.5" style="291" customWidth="1"/>
    <col min="8" max="8" width="9.33203125" style="291"/>
    <col min="9" max="9" width="16.33203125" style="291" bestFit="1" customWidth="1"/>
    <col min="10" max="10" width="19" style="291" bestFit="1" customWidth="1"/>
    <col min="11" max="16384" width="9.33203125" style="291"/>
  </cols>
  <sheetData>
    <row r="6" spans="2:6">
      <c r="B6" s="293"/>
      <c r="C6" s="282"/>
      <c r="D6" s="283"/>
      <c r="E6" s="282"/>
      <c r="F6" s="282"/>
    </row>
    <row r="7" spans="2:6" ht="15.75" thickBot="1">
      <c r="B7" s="293"/>
      <c r="C7" s="282"/>
      <c r="D7" s="283"/>
      <c r="E7" s="282"/>
      <c r="F7" s="282"/>
    </row>
    <row r="8" spans="2:6" ht="15.75" thickTop="1">
      <c r="B8" s="14"/>
      <c r="C8" s="294"/>
      <c r="D8" s="295"/>
      <c r="E8" s="294"/>
      <c r="F8" s="294"/>
    </row>
    <row r="9" spans="2:6" s="296" customFormat="1" ht="40.5">
      <c r="B9" s="297"/>
      <c r="C9" s="298"/>
      <c r="D9" s="299" t="s">
        <v>404</v>
      </c>
      <c r="E9" s="298"/>
      <c r="F9" s="298"/>
    </row>
    <row r="10" spans="2:6" ht="15.75" thickBot="1">
      <c r="B10" s="286"/>
      <c r="C10" s="301"/>
      <c r="D10" s="302"/>
      <c r="E10" s="301"/>
      <c r="F10" s="301"/>
    </row>
    <row r="11" spans="2:6" ht="15.75" thickTop="1"/>
    <row r="13" spans="2:6" ht="18.75">
      <c r="D13" s="287"/>
    </row>
    <row r="14" spans="2:6" ht="18.75">
      <c r="D14" s="288"/>
    </row>
    <row r="27" spans="4:4" ht="23.25">
      <c r="D27" s="867" t="s">
        <v>776</v>
      </c>
    </row>
    <row r="29" spans="4:4" ht="18.75">
      <c r="D29" s="289" t="s">
        <v>575</v>
      </c>
    </row>
    <row r="30" spans="4:4" ht="37.5">
      <c r="D30" s="290" t="s">
        <v>394</v>
      </c>
    </row>
  </sheetData>
  <pageMargins left="0.5" right="0.5" top="0.5" bottom="0.5" header="0.5" footer="0.5"/>
  <pageSetup scale="9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S38"/>
  <sheetViews>
    <sheetView showGridLines="0" view="pageBreakPreview" topLeftCell="A11" zoomScaleNormal="130" zoomScaleSheetLayoutView="100" workbookViewId="0">
      <selection activeCell="B12" sqref="B12"/>
    </sheetView>
  </sheetViews>
  <sheetFormatPr defaultRowHeight="12.75" outlineLevelRow="1"/>
  <cols>
    <col min="1" max="1" width="4.5" style="173" customWidth="1"/>
    <col min="2" max="2" width="71.1640625" style="405" customWidth="1"/>
    <col min="3" max="3" width="4" style="405" customWidth="1"/>
    <col min="4" max="4" width="11.83203125" style="411" customWidth="1"/>
    <col min="5" max="5" width="2.83203125" style="405" customWidth="1"/>
    <col min="6" max="6" width="11.83203125" style="411" customWidth="1"/>
    <col min="7" max="7" width="2.83203125" style="405" customWidth="1"/>
    <col min="8" max="8" width="11.83203125" style="411" customWidth="1"/>
    <col min="9" max="9" width="2.83203125" style="405" customWidth="1"/>
    <col min="10" max="10" width="11.83203125" style="411" customWidth="1"/>
    <col min="11" max="11" width="2.83203125" style="405" customWidth="1"/>
    <col min="12" max="12" width="11.5" style="405" bestFit="1" customWidth="1"/>
    <col min="13" max="13" width="2.83203125" style="405" customWidth="1"/>
    <col min="14" max="14" width="5.83203125" style="405" customWidth="1"/>
    <col min="15" max="15" width="4.5" style="405" customWidth="1"/>
    <col min="16" max="16384" width="9.33203125" style="405"/>
  </cols>
  <sheetData>
    <row r="1" spans="1:19" ht="10.7" customHeight="1" thickBot="1">
      <c r="D1" s="405"/>
      <c r="F1" s="405"/>
      <c r="H1" s="405"/>
      <c r="J1" s="405"/>
    </row>
    <row r="2" spans="1:19" ht="16.5" customHeight="1" thickTop="1">
      <c r="B2" s="10" t="str">
        <f>'MASTER PubCo Inputs'!$C$5</f>
        <v>Kallyope, Inc.</v>
      </c>
      <c r="C2" s="10"/>
      <c r="D2" s="10"/>
      <c r="E2" s="10"/>
      <c r="F2" s="10"/>
      <c r="G2" s="10"/>
      <c r="H2" s="10"/>
      <c r="I2" s="10"/>
      <c r="J2" s="10"/>
      <c r="K2" s="10"/>
      <c r="L2" s="10"/>
      <c r="M2" s="10"/>
      <c r="N2" s="10"/>
    </row>
    <row r="3" spans="1:19" ht="15.75" customHeight="1">
      <c r="B3" s="11" t="str">
        <f>VLOOKUP(B4,Outline!$E$8:$G$69,COLUMNS(Outline!$E$8:$G$8),FALSE)</f>
        <v>Exhibit D.1</v>
      </c>
      <c r="C3" s="11"/>
      <c r="D3" s="11"/>
      <c r="E3" s="11"/>
      <c r="F3" s="11"/>
      <c r="G3" s="11"/>
      <c r="H3" s="11"/>
      <c r="I3" s="11"/>
      <c r="J3" s="11"/>
      <c r="K3" s="11"/>
      <c r="L3" s="11"/>
      <c r="M3" s="11"/>
      <c r="N3" s="11"/>
    </row>
    <row r="4" spans="1:19" ht="16.5" customHeight="1" thickBot="1">
      <c r="B4" s="12" t="s">
        <v>605</v>
      </c>
      <c r="C4" s="461" t="s">
        <v>210</v>
      </c>
      <c r="D4" s="12"/>
      <c r="E4" s="12"/>
      <c r="F4" s="12"/>
      <c r="G4" s="12"/>
      <c r="H4" s="12"/>
      <c r="I4" s="12"/>
      <c r="J4" s="13"/>
      <c r="K4" s="13"/>
      <c r="L4" s="13"/>
      <c r="M4" s="13"/>
      <c r="N4" s="13" t="str">
        <f>+'MASTER PubCo Inputs'!$C$20</f>
        <v>(in thousands of USD and shares, except price per share)</v>
      </c>
    </row>
    <row r="5" spans="1:19" s="16" customFormat="1" ht="12.75" customHeight="1" thickTop="1">
      <c r="A5" s="324"/>
      <c r="B5" s="405"/>
      <c r="C5" s="173"/>
      <c r="D5" s="405"/>
      <c r="E5" s="405"/>
      <c r="F5" s="405"/>
      <c r="G5" s="405"/>
      <c r="H5" s="405"/>
      <c r="I5" s="405"/>
      <c r="J5" s="405"/>
      <c r="K5" s="405"/>
      <c r="L5" s="405"/>
      <c r="M5" s="405"/>
      <c r="N5" s="405"/>
      <c r="O5" s="405"/>
      <c r="P5" s="405"/>
      <c r="Q5" s="405"/>
      <c r="R5" s="405"/>
      <c r="S5" s="405"/>
    </row>
    <row r="6" spans="1:19" s="16" customFormat="1" ht="12.75" customHeight="1">
      <c r="A6" s="324"/>
      <c r="B6" s="405"/>
      <c r="D6" s="405"/>
      <c r="E6" s="405"/>
      <c r="F6" s="405"/>
      <c r="G6" s="405"/>
      <c r="H6" s="405"/>
      <c r="I6" s="405"/>
      <c r="J6" s="405"/>
      <c r="L6" s="405"/>
      <c r="M6" s="405"/>
      <c r="N6" s="405"/>
      <c r="O6" s="405"/>
    </row>
    <row r="7" spans="1:19" ht="12.75" customHeight="1">
      <c r="B7" s="1706" t="s">
        <v>266</v>
      </c>
      <c r="C7" s="457"/>
      <c r="D7" s="1707" t="s">
        <v>262</v>
      </c>
      <c r="E7" s="1708"/>
      <c r="F7" s="1708" t="s">
        <v>263</v>
      </c>
      <c r="G7" s="1708"/>
      <c r="H7" s="1708" t="s">
        <v>264</v>
      </c>
      <c r="I7" s="1708"/>
      <c r="J7" s="1709" t="s">
        <v>265</v>
      </c>
      <c r="K7" s="458"/>
      <c r="L7" s="1710" t="s">
        <v>70</v>
      </c>
      <c r="M7" s="1710"/>
      <c r="N7" s="1711"/>
    </row>
    <row r="8" spans="1:19" ht="12.75" customHeight="1">
      <c r="D8" s="173"/>
      <c r="E8" s="173"/>
      <c r="F8" s="173"/>
      <c r="G8" s="173"/>
      <c r="H8" s="173"/>
      <c r="I8" s="173"/>
      <c r="J8" s="173"/>
    </row>
    <row r="9" spans="1:19" ht="12.75" hidden="1" customHeight="1" outlineLevel="1">
      <c r="B9" s="405" t="s">
        <v>95</v>
      </c>
      <c r="D9" s="853"/>
      <c r="E9" s="854"/>
      <c r="F9" s="853"/>
      <c r="G9" s="173"/>
      <c r="H9" s="452"/>
      <c r="I9" s="173"/>
      <c r="J9" s="855">
        <v>0.05</v>
      </c>
      <c r="L9" s="394" t="str">
        <f>'Hist BS'!B3</f>
        <v>Exhibit C.3</v>
      </c>
      <c r="M9" s="3" t="s">
        <v>209</v>
      </c>
      <c r="N9" s="3" t="s">
        <v>246</v>
      </c>
    </row>
    <row r="10" spans="1:19" ht="12.75" hidden="1" customHeight="1" outlineLevel="1">
      <c r="D10" s="854"/>
      <c r="E10" s="854"/>
      <c r="F10" s="854"/>
      <c r="G10" s="173"/>
      <c r="H10" s="856"/>
      <c r="I10" s="173"/>
      <c r="J10" s="173"/>
      <c r="L10" s="78"/>
    </row>
    <row r="11" spans="1:19" ht="12.75" customHeight="1" collapsed="1">
      <c r="B11" s="405" t="s">
        <v>267</v>
      </c>
      <c r="D11" s="853"/>
      <c r="E11" s="854"/>
      <c r="F11" s="853"/>
      <c r="G11" s="173"/>
      <c r="H11" s="452">
        <f>PWERM!B131</f>
        <v>64359.807910807736</v>
      </c>
      <c r="I11" s="173"/>
      <c r="J11" s="855">
        <v>0.125</v>
      </c>
      <c r="L11" s="433" t="str">
        <f>PWERM!$B$3</f>
        <v>Exhibit B.1</v>
      </c>
      <c r="M11" s="3" t="s">
        <v>209</v>
      </c>
      <c r="N11" s="3" t="s">
        <v>246</v>
      </c>
      <c r="P11" s="106"/>
    </row>
    <row r="12" spans="1:19" ht="12.75" customHeight="1">
      <c r="D12" s="854"/>
      <c r="E12" s="854"/>
      <c r="F12" s="854"/>
      <c r="G12" s="173"/>
      <c r="H12" s="856"/>
      <c r="I12" s="173"/>
      <c r="J12" s="173"/>
      <c r="L12" s="78"/>
    </row>
    <row r="13" spans="1:19" ht="12.75" customHeight="1">
      <c r="B13" s="405" t="s">
        <v>268</v>
      </c>
      <c r="D13" s="853"/>
      <c r="E13" s="854"/>
      <c r="F13" s="853"/>
      <c r="G13" s="173"/>
      <c r="H13" s="452">
        <f>PWERM!B142</f>
        <v>87287.910601417549</v>
      </c>
      <c r="I13" s="173"/>
      <c r="J13" s="855">
        <v>0.25</v>
      </c>
      <c r="L13" s="433" t="str">
        <f>PWERM!$B$3</f>
        <v>Exhibit B.1</v>
      </c>
      <c r="M13" s="3" t="s">
        <v>247</v>
      </c>
      <c r="N13" s="3" t="s">
        <v>248</v>
      </c>
      <c r="P13" s="106"/>
      <c r="Q13" s="180">
        <v>0.3</v>
      </c>
    </row>
    <row r="14" spans="1:19" ht="12.75" customHeight="1">
      <c r="D14" s="854"/>
      <c r="E14" s="854"/>
      <c r="F14" s="854"/>
      <c r="G14" s="173"/>
      <c r="H14" s="173"/>
      <c r="I14" s="173"/>
      <c r="J14" s="173"/>
      <c r="L14" s="78"/>
    </row>
    <row r="15" spans="1:19" ht="12.75" customHeight="1">
      <c r="B15" s="405" t="s">
        <v>1218</v>
      </c>
      <c r="D15" s="452">
        <f>'Cap Table'!H11</f>
        <v>16327.046</v>
      </c>
      <c r="E15" s="173"/>
      <c r="F15" s="861">
        <f>'Val Summ'!M11</f>
        <v>0.47</v>
      </c>
      <c r="G15" s="173"/>
      <c r="H15" s="92">
        <f>+D15*F15</f>
        <v>7673.71162</v>
      </c>
      <c r="I15" s="173"/>
      <c r="J15" s="892">
        <v>0.3</v>
      </c>
      <c r="L15" s="434" t="str">
        <f>'Cap Table'!B3</f>
        <v>Exhibit G.1</v>
      </c>
      <c r="M15" s="3" t="s">
        <v>273</v>
      </c>
      <c r="N15" s="28" t="s">
        <v>274</v>
      </c>
      <c r="P15" s="51"/>
      <c r="Q15" s="180">
        <v>0.55000000000000004</v>
      </c>
    </row>
    <row r="16" spans="1:19" ht="12.75" customHeight="1">
      <c r="D16" s="452"/>
      <c r="E16" s="173"/>
      <c r="F16" s="995"/>
      <c r="G16" s="173"/>
      <c r="H16" s="92"/>
      <c r="I16" s="173"/>
      <c r="J16" s="855"/>
      <c r="L16" s="434"/>
      <c r="M16" s="3"/>
      <c r="N16" s="3"/>
      <c r="P16" s="51"/>
    </row>
    <row r="17" spans="1:17" ht="12.75" customHeight="1">
      <c r="B17" s="405" t="s">
        <v>769</v>
      </c>
      <c r="D17" s="452">
        <f>PWERM!D235</f>
        <v>3480.910717455653</v>
      </c>
      <c r="E17" s="173"/>
      <c r="F17" s="167">
        <f>+F15</f>
        <v>0.47</v>
      </c>
      <c r="G17" s="173"/>
      <c r="H17" s="92">
        <f>+D17*F17</f>
        <v>1636.0280372041568</v>
      </c>
      <c r="I17" s="173"/>
      <c r="J17" s="56">
        <f>+J15</f>
        <v>0.3</v>
      </c>
      <c r="L17" s="433" t="str">
        <f>PWERM!$B$3</f>
        <v>Exhibit B.1</v>
      </c>
      <c r="M17" s="3"/>
      <c r="N17" s="3"/>
      <c r="P17" s="51"/>
    </row>
    <row r="18" spans="1:17" ht="12.75" customHeight="1">
      <c r="D18" s="173"/>
      <c r="E18" s="173"/>
      <c r="F18" s="173"/>
      <c r="G18" s="173"/>
      <c r="H18" s="173"/>
      <c r="I18" s="173"/>
      <c r="J18" s="173"/>
    </row>
    <row r="19" spans="1:17" ht="12.75" customHeight="1">
      <c r="B19" s="1712" t="s">
        <v>269</v>
      </c>
      <c r="C19" s="1713"/>
      <c r="D19" s="1714"/>
      <c r="E19" s="1714"/>
      <c r="F19" s="1714"/>
      <c r="G19" s="1714"/>
      <c r="H19" s="1715">
        <f>SUM(H9:H17)</f>
        <v>160957.45816942942</v>
      </c>
      <c r="I19" s="1716"/>
      <c r="J19" s="1717">
        <f>IF(ISERROR(SUMPRODUCT(J9:J17,H9:H17)/H19), "n/a", SUMPRODUCT(J9:J17,H9:H17)/H19)</f>
        <v>0.20290998570558738</v>
      </c>
    </row>
    <row r="20" spans="1:17" ht="12.75" customHeight="1">
      <c r="D20" s="173"/>
      <c r="E20" s="173"/>
      <c r="F20" s="173"/>
      <c r="G20" s="173"/>
      <c r="H20" s="173"/>
      <c r="I20" s="173"/>
      <c r="J20" s="173"/>
    </row>
    <row r="21" spans="1:17" ht="12.75" customHeight="1">
      <c r="B21" s="8" t="s">
        <v>270</v>
      </c>
      <c r="D21" s="173"/>
      <c r="E21" s="173"/>
      <c r="F21" s="173"/>
      <c r="G21" s="173"/>
      <c r="H21" s="173"/>
      <c r="I21" s="173"/>
      <c r="J21" s="40">
        <f>IF(ISERROR(SUMPRODUCT(H11:H13,J11:J13/SUM(H11:H13))), "n/a", SUMPRODUCT(H11:H13,J11:J13/SUM(H11:H13)))</f>
        <v>0.19694957452853201</v>
      </c>
      <c r="M21" s="3"/>
      <c r="P21" s="1718">
        <v>0.2</v>
      </c>
    </row>
    <row r="22" spans="1:17" ht="12.75" customHeight="1">
      <c r="D22" s="173"/>
      <c r="E22" s="173"/>
      <c r="F22" s="173"/>
      <c r="G22" s="173"/>
      <c r="H22" s="173"/>
      <c r="I22" s="173"/>
      <c r="J22" s="173"/>
    </row>
    <row r="23" spans="1:17" ht="12.75" customHeight="1">
      <c r="B23" s="1233" t="s">
        <v>271</v>
      </c>
      <c r="C23" s="1234"/>
      <c r="D23" s="1719"/>
      <c r="E23" s="1719"/>
      <c r="F23" s="1719"/>
      <c r="G23" s="1719"/>
      <c r="H23" s="1719"/>
      <c r="I23" s="1719"/>
      <c r="J23" s="1720">
        <v>0.2</v>
      </c>
    </row>
    <row r="24" spans="1:17" ht="12.75" customHeight="1"/>
    <row r="25" spans="1:17" ht="12.75" customHeight="1">
      <c r="B25" s="8" t="s">
        <v>86</v>
      </c>
    </row>
    <row r="26" spans="1:17" ht="27" customHeight="1">
      <c r="A26" s="752" t="str">
        <f>C4</f>
        <v>(1)</v>
      </c>
      <c r="B26" s="3228" t="s">
        <v>777</v>
      </c>
      <c r="C26" s="3228"/>
      <c r="D26" s="3228"/>
      <c r="E26" s="3228"/>
      <c r="F26" s="3228"/>
      <c r="G26" s="3228"/>
      <c r="H26" s="3228"/>
      <c r="I26" s="3228"/>
      <c r="J26" s="3228"/>
      <c r="K26" s="3228"/>
      <c r="L26" s="3228"/>
      <c r="M26" s="3228"/>
      <c r="N26" s="3228"/>
      <c r="P26" s="389"/>
      <c r="Q26" s="25"/>
    </row>
    <row r="27" spans="1:17" ht="12.75" customHeight="1">
      <c r="A27" s="752" t="str">
        <f>M11</f>
        <v>(2)</v>
      </c>
      <c r="B27" s="390" t="s">
        <v>597</v>
      </c>
      <c r="C27" s="391"/>
      <c r="D27" s="392"/>
      <c r="E27" s="391"/>
      <c r="F27" s="392"/>
      <c r="G27" s="391"/>
      <c r="H27" s="392"/>
      <c r="I27" s="391"/>
      <c r="J27" s="392"/>
      <c r="K27" s="391"/>
      <c r="L27" s="391"/>
      <c r="M27" s="391"/>
      <c r="N27" s="391"/>
    </row>
    <row r="28" spans="1:17" ht="12.75" customHeight="1">
      <c r="A28" s="752" t="str">
        <f>N11</f>
        <v>(3)</v>
      </c>
      <c r="B28" s="390" t="s">
        <v>598</v>
      </c>
      <c r="C28" s="391"/>
      <c r="D28" s="392"/>
      <c r="E28" s="391"/>
      <c r="F28" s="392"/>
      <c r="G28" s="391"/>
      <c r="H28" s="392"/>
      <c r="I28" s="391"/>
      <c r="J28" s="392"/>
      <c r="K28" s="391"/>
      <c r="L28" s="391"/>
      <c r="M28" s="391"/>
      <c r="N28" s="391"/>
    </row>
    <row r="29" spans="1:17">
      <c r="A29" s="752" t="str">
        <f>M13</f>
        <v>(4)</v>
      </c>
      <c r="B29" s="3228" t="s">
        <v>599</v>
      </c>
      <c r="C29" s="3228"/>
      <c r="D29" s="3228"/>
      <c r="E29" s="3228"/>
      <c r="F29" s="3228"/>
      <c r="G29" s="3228"/>
      <c r="H29" s="3228"/>
      <c r="I29" s="3228"/>
      <c r="J29" s="3228"/>
      <c r="K29" s="3228"/>
      <c r="L29" s="3228"/>
      <c r="M29" s="3228"/>
      <c r="N29" s="3228"/>
    </row>
    <row r="30" spans="1:17" ht="27" customHeight="1">
      <c r="A30" s="752" t="str">
        <f>N13</f>
        <v>(5)</v>
      </c>
      <c r="B30" s="3228" t="s">
        <v>2111</v>
      </c>
      <c r="C30" s="3228"/>
      <c r="D30" s="3228"/>
      <c r="E30" s="3228"/>
      <c r="F30" s="3228"/>
      <c r="G30" s="3228"/>
      <c r="H30" s="3228"/>
      <c r="I30" s="3228"/>
      <c r="J30" s="3228"/>
      <c r="K30" s="3228"/>
      <c r="L30" s="3228"/>
      <c r="M30" s="3228"/>
      <c r="N30" s="3228"/>
      <c r="P30" s="389"/>
    </row>
    <row r="31" spans="1:17" ht="12.75" customHeight="1">
      <c r="A31" s="752" t="str">
        <f>M15</f>
        <v>(6)</v>
      </c>
      <c r="B31" s="390" t="s">
        <v>600</v>
      </c>
      <c r="C31" s="391"/>
      <c r="D31" s="392"/>
      <c r="E31" s="391"/>
      <c r="F31" s="392"/>
      <c r="G31" s="391"/>
      <c r="H31" s="392"/>
      <c r="I31" s="391"/>
      <c r="J31" s="392"/>
      <c r="K31" s="391"/>
      <c r="L31" s="391"/>
      <c r="M31" s="391"/>
      <c r="N31" s="391"/>
    </row>
    <row r="32" spans="1:17" ht="26.25" customHeight="1">
      <c r="A32" s="1721" t="str">
        <f>N15</f>
        <v>(7)</v>
      </c>
      <c r="B32" s="3229" t="s">
        <v>601</v>
      </c>
      <c r="C32" s="3229"/>
      <c r="D32" s="3229"/>
      <c r="E32" s="3229"/>
      <c r="F32" s="3229"/>
      <c r="G32" s="3229"/>
      <c r="H32" s="3229"/>
      <c r="I32" s="3229"/>
      <c r="J32" s="3229"/>
      <c r="K32" s="3229"/>
      <c r="L32" s="3229"/>
      <c r="M32" s="3229"/>
      <c r="N32" s="3229"/>
    </row>
    <row r="33" spans="1:17" ht="12.75" customHeight="1">
      <c r="A33" s="751"/>
      <c r="B33" s="506"/>
      <c r="C33" s="506"/>
      <c r="D33" s="506"/>
      <c r="E33" s="506"/>
      <c r="F33" s="506"/>
      <c r="G33" s="506"/>
      <c r="H33" s="506"/>
      <c r="I33" s="506"/>
      <c r="J33" s="506"/>
      <c r="K33" s="506"/>
      <c r="L33" s="506"/>
      <c r="M33" s="506"/>
      <c r="N33" s="506"/>
    </row>
    <row r="34" spans="1:17" ht="12.75" customHeight="1"/>
    <row r="35" spans="1:17" ht="12.75" hidden="1" customHeight="1" outlineLevel="1">
      <c r="A35" s="752" t="str">
        <f>M9</f>
        <v>(2)</v>
      </c>
      <c r="B35" s="390" t="s">
        <v>595</v>
      </c>
      <c r="C35" s="391"/>
      <c r="D35" s="392"/>
      <c r="E35" s="391"/>
      <c r="F35" s="392"/>
      <c r="G35" s="391"/>
      <c r="H35" s="392"/>
      <c r="I35" s="391"/>
      <c r="J35" s="392"/>
      <c r="K35" s="391"/>
      <c r="L35" s="391"/>
      <c r="M35" s="391"/>
      <c r="N35" s="391"/>
      <c r="P35" s="389"/>
      <c r="Q35" s="25"/>
    </row>
    <row r="36" spans="1:17" ht="12.75" hidden="1" customHeight="1" outlineLevel="1">
      <c r="A36" s="752" t="str">
        <f>N9</f>
        <v>(3)</v>
      </c>
      <c r="B36" s="390" t="s">
        <v>596</v>
      </c>
      <c r="C36" s="391"/>
      <c r="D36" s="392"/>
      <c r="E36" s="391"/>
      <c r="F36" s="392"/>
      <c r="G36" s="391"/>
      <c r="H36" s="392"/>
      <c r="I36" s="391"/>
      <c r="J36" s="392"/>
      <c r="K36" s="391"/>
      <c r="L36" s="391"/>
      <c r="M36" s="391"/>
      <c r="N36" s="391"/>
    </row>
    <row r="37" spans="1:17" ht="12.75" customHeight="1" collapsed="1"/>
    <row r="38" spans="1:17" ht="12.75" customHeight="1"/>
  </sheetData>
  <mergeCells count="4">
    <mergeCell ref="B26:N26"/>
    <mergeCell ref="B29:N29"/>
    <mergeCell ref="B30:N30"/>
    <mergeCell ref="B32:N32"/>
  </mergeCells>
  <conditionalFormatting sqref="C4:I4">
    <cfRule type="cellIs" dxfId="609" priority="10" stopIfTrue="1" operator="equal">
      <formula>"input"</formula>
    </cfRule>
  </conditionalFormatting>
  <conditionalFormatting sqref="J4">
    <cfRule type="cellIs" dxfId="608" priority="8" stopIfTrue="1" operator="equal">
      <formula>"input"</formula>
    </cfRule>
  </conditionalFormatting>
  <conditionalFormatting sqref="J4">
    <cfRule type="cellIs" dxfId="607" priority="9" stopIfTrue="1" operator="equal">
      <formula>"input"</formula>
    </cfRule>
  </conditionalFormatting>
  <conditionalFormatting sqref="K4:M4">
    <cfRule type="cellIs" dxfId="606" priority="6" stopIfTrue="1" operator="equal">
      <formula>"input"</formula>
    </cfRule>
  </conditionalFormatting>
  <conditionalFormatting sqref="K4:M4">
    <cfRule type="cellIs" dxfId="605" priority="7" stopIfTrue="1" operator="equal">
      <formula>"input"</formula>
    </cfRule>
  </conditionalFormatting>
  <conditionalFormatting sqref="B4">
    <cfRule type="cellIs" dxfId="604" priority="3" stopIfTrue="1" operator="equal">
      <formula>"input"</formula>
    </cfRule>
  </conditionalFormatting>
  <conditionalFormatting sqref="N4">
    <cfRule type="cellIs" dxfId="603" priority="1" stopIfTrue="1" operator="equal">
      <formula>"input"</formula>
    </cfRule>
  </conditionalFormatting>
  <conditionalFormatting sqref="N4">
    <cfRule type="cellIs" dxfId="602" priority="2" stopIfTrue="1" operator="equal">
      <formula>"input"</formula>
    </cfRule>
  </conditionalFormatting>
  <pageMargins left="0.5" right="0.5" top="0.5" bottom="0.5" header="0.5" footer="0.5"/>
  <pageSetup scale="92" fitToWidth="0" fitToHeight="0" orientation="landscape" r:id="rId1"/>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32"/>
  <sheetViews>
    <sheetView showGridLines="0" view="pageBreakPreview" zoomScaleNormal="100" zoomScaleSheetLayoutView="100" workbookViewId="0"/>
  </sheetViews>
  <sheetFormatPr defaultRowHeight="12.75" outlineLevelRow="1"/>
  <cols>
    <col min="1" max="1" width="4.5" style="405" customWidth="1"/>
    <col min="2" max="2" width="46" style="405" customWidth="1"/>
    <col min="3" max="3" width="2.83203125" style="405" customWidth="1"/>
    <col min="4" max="4" width="30.83203125" style="405" customWidth="1"/>
    <col min="5" max="5" width="2.83203125" style="405" customWidth="1"/>
    <col min="6" max="6" width="30.83203125" style="405" customWidth="1"/>
    <col min="7" max="7" width="1.83203125" style="405" customWidth="1"/>
    <col min="8" max="8" width="28.6640625" style="405" customWidth="1"/>
    <col min="9" max="9" width="4.5" style="405" customWidth="1"/>
    <col min="10" max="16384" width="9.33203125" style="405"/>
  </cols>
  <sheetData>
    <row r="1" spans="1:10" ht="10.7" customHeight="1" thickBot="1"/>
    <row r="2" spans="1:10" ht="16.5" customHeight="1" thickTop="1">
      <c r="B2" s="10" t="str">
        <f>'MASTER PubCo Inputs'!$C$5</f>
        <v>Kallyope, Inc.</v>
      </c>
      <c r="C2" s="10"/>
      <c r="D2" s="10"/>
      <c r="E2" s="10"/>
      <c r="F2" s="10"/>
      <c r="G2" s="10"/>
      <c r="H2" s="10"/>
    </row>
    <row r="3" spans="1:10" ht="15.75" customHeight="1">
      <c r="B3" s="11" t="str">
        <f>VLOOKUP(B4,Outline!$E$8:$G$69,COLUMNS(Outline!$E$8:$G$8),FALSE)</f>
        <v>Exhibit D.2</v>
      </c>
      <c r="C3" s="11"/>
      <c r="D3" s="11"/>
      <c r="E3" s="11"/>
      <c r="F3" s="11"/>
      <c r="G3" s="11"/>
      <c r="H3" s="11"/>
    </row>
    <row r="4" spans="1:10" ht="16.5" customHeight="1" thickBot="1">
      <c r="B4" s="12" t="s">
        <v>606</v>
      </c>
      <c r="C4" s="12"/>
      <c r="D4" s="1012" t="s">
        <v>210</v>
      </c>
      <c r="E4" s="460"/>
      <c r="F4" s="12"/>
      <c r="G4" s="12"/>
      <c r="H4" s="13"/>
    </row>
    <row r="5" spans="1:10" s="16" customFormat="1" ht="12.75" customHeight="1" thickTop="1">
      <c r="B5" s="15"/>
      <c r="C5" s="405"/>
      <c r="D5" s="405"/>
      <c r="E5" s="405"/>
      <c r="F5" s="405"/>
      <c r="G5" s="405"/>
      <c r="H5" s="405"/>
      <c r="I5" s="405"/>
      <c r="J5" s="405"/>
    </row>
    <row r="6" spans="1:10" s="16" customFormat="1" ht="12.75" customHeight="1">
      <c r="B6" s="405"/>
      <c r="C6" s="405"/>
      <c r="D6" s="405"/>
      <c r="E6" s="405"/>
      <c r="F6" s="405"/>
      <c r="G6" s="405"/>
      <c r="H6" s="405"/>
      <c r="I6" s="405"/>
    </row>
    <row r="7" spans="1:10" ht="12.75" customHeight="1">
      <c r="A7" s="16"/>
      <c r="B7" s="459" t="s">
        <v>220</v>
      </c>
      <c r="C7" s="409"/>
      <c r="D7" s="409" t="s">
        <v>624</v>
      </c>
      <c r="E7" s="409"/>
      <c r="F7" s="409" t="s">
        <v>625</v>
      </c>
      <c r="G7" s="409"/>
      <c r="H7" s="415" t="s">
        <v>626</v>
      </c>
    </row>
    <row r="8" spans="1:10" ht="12.75" customHeight="1"/>
    <row r="9" spans="1:10" ht="12.75" customHeight="1">
      <c r="B9" s="405" t="s">
        <v>221</v>
      </c>
      <c r="D9" s="411" t="s">
        <v>211</v>
      </c>
      <c r="E9" s="411"/>
      <c r="F9" s="411" t="s">
        <v>211</v>
      </c>
      <c r="G9" s="411"/>
      <c r="H9" s="411" t="s">
        <v>212</v>
      </c>
    </row>
    <row r="10" spans="1:10" ht="12.75" customHeight="1">
      <c r="B10" s="405" t="s">
        <v>222</v>
      </c>
      <c r="D10" s="411" t="s">
        <v>213</v>
      </c>
      <c r="E10" s="411"/>
      <c r="F10" s="411" t="s">
        <v>213</v>
      </c>
      <c r="G10" s="411"/>
      <c r="H10" s="411" t="s">
        <v>213</v>
      </c>
    </row>
    <row r="11" spans="1:10" ht="12.75" customHeight="1">
      <c r="B11" s="405" t="s">
        <v>223</v>
      </c>
      <c r="D11" s="411" t="s">
        <v>214</v>
      </c>
      <c r="E11" s="411"/>
      <c r="F11" s="411" t="s">
        <v>215</v>
      </c>
      <c r="G11" s="411"/>
      <c r="H11" s="411" t="s">
        <v>216</v>
      </c>
    </row>
    <row r="12" spans="1:10" ht="12.75" customHeight="1">
      <c r="B12" s="405" t="s">
        <v>224</v>
      </c>
      <c r="D12" s="411" t="s">
        <v>217</v>
      </c>
      <c r="E12" s="411"/>
      <c r="F12" s="411" t="s">
        <v>218</v>
      </c>
      <c r="G12" s="411"/>
      <c r="H12" s="411" t="s">
        <v>219</v>
      </c>
    </row>
    <row r="13" spans="1:10" ht="12.75" customHeight="1"/>
    <row r="14" spans="1:10" ht="12.75" customHeight="1"/>
    <row r="15" spans="1:10" ht="12.75" hidden="1" customHeight="1" outlineLevel="1">
      <c r="B15" s="29" t="s">
        <v>243</v>
      </c>
      <c r="C15" s="30"/>
      <c r="D15" s="30"/>
      <c r="E15" s="30"/>
      <c r="F15" s="30"/>
      <c r="G15" s="30"/>
      <c r="H15" s="713">
        <v>0.21</v>
      </c>
    </row>
    <row r="16" spans="1:10" ht="12.75" hidden="1" customHeight="1" outlineLevel="1">
      <c r="B16" s="26"/>
      <c r="C16" s="26"/>
      <c r="D16" s="26"/>
      <c r="E16" s="26"/>
      <c r="F16" s="26"/>
      <c r="G16" s="26"/>
      <c r="H16" s="27"/>
    </row>
    <row r="17" spans="1:2" ht="12.75" customHeight="1" collapsed="1">
      <c r="B17" s="8" t="s">
        <v>86</v>
      </c>
    </row>
    <row r="18" spans="1:2" ht="12.75" customHeight="1">
      <c r="A18" s="718" t="s">
        <v>210</v>
      </c>
      <c r="B18" s="753" t="s">
        <v>827</v>
      </c>
    </row>
    <row r="19" spans="1:2" ht="12.75" customHeight="1">
      <c r="A19" s="718" t="s">
        <v>209</v>
      </c>
      <c r="B19" s="17" t="s">
        <v>828</v>
      </c>
    </row>
    <row r="20" spans="1:2" ht="12.75" customHeight="1">
      <c r="A20" s="718" t="s">
        <v>246</v>
      </c>
      <c r="B20" s="17" t="s">
        <v>829</v>
      </c>
    </row>
    <row r="21" spans="1:2" ht="12.75" customHeight="1">
      <c r="A21" s="173"/>
      <c r="B21" s="17" t="s">
        <v>734</v>
      </c>
    </row>
    <row r="22" spans="1:2" ht="12.75" customHeight="1">
      <c r="A22" s="718" t="s">
        <v>247</v>
      </c>
      <c r="B22" s="17" t="s">
        <v>830</v>
      </c>
    </row>
    <row r="23" spans="1:2" ht="12.75" customHeight="1">
      <c r="A23" s="173"/>
      <c r="B23" s="17" t="s">
        <v>735</v>
      </c>
    </row>
    <row r="24" spans="1:2" ht="12.75" customHeight="1">
      <c r="A24" s="718" t="s">
        <v>248</v>
      </c>
      <c r="B24" s="17" t="s">
        <v>831</v>
      </c>
    </row>
    <row r="25" spans="1:2" ht="12.75" customHeight="1">
      <c r="A25" s="173"/>
      <c r="B25" s="17" t="s">
        <v>736</v>
      </c>
    </row>
    <row r="26" spans="1:2" ht="12.75" customHeight="1">
      <c r="A26" s="718" t="s">
        <v>273</v>
      </c>
      <c r="B26" s="17" t="s">
        <v>832</v>
      </c>
    </row>
    <row r="27" spans="1:2" ht="12.75" customHeight="1">
      <c r="A27" s="173"/>
      <c r="B27" s="17" t="s">
        <v>737</v>
      </c>
    </row>
    <row r="28" spans="1:2" ht="12.75" customHeight="1">
      <c r="A28" s="718" t="s">
        <v>274</v>
      </c>
      <c r="B28" s="17" t="s">
        <v>833</v>
      </c>
    </row>
    <row r="29" spans="1:2" ht="12.75" customHeight="1">
      <c r="A29" s="718" t="s">
        <v>275</v>
      </c>
      <c r="B29" s="17" t="s">
        <v>834</v>
      </c>
    </row>
    <row r="30" spans="1:2" ht="12.75" customHeight="1">
      <c r="B30" s="17" t="s">
        <v>738</v>
      </c>
    </row>
    <row r="31" spans="1:2" ht="12.75" customHeight="1"/>
    <row r="32" spans="1:2" ht="12.75" customHeight="1"/>
  </sheetData>
  <conditionalFormatting sqref="B4:G4">
    <cfRule type="cellIs" dxfId="601" priority="5" stopIfTrue="1" operator="equal">
      <formula>"input"</formula>
    </cfRule>
  </conditionalFormatting>
  <conditionalFormatting sqref="H4">
    <cfRule type="cellIs" dxfId="600" priority="1" stopIfTrue="1" operator="equal">
      <formula>"input"</formula>
    </cfRule>
  </conditionalFormatting>
  <conditionalFormatting sqref="H4">
    <cfRule type="cellIs" dxfId="599" priority="2" stopIfTrue="1" operator="equal">
      <formula>"input"</formula>
    </cfRule>
  </conditionalFormatting>
  <pageMargins left="0.5" right="0.5" top="0.5" bottom="0.5" header="0.5" footer="0.5"/>
  <pageSetup orientation="landscape" r:id="rId1"/>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tint="-0.499984740745262"/>
    <pageSetUpPr fitToPage="1"/>
  </sheetPr>
  <dimension ref="B6:F30"/>
  <sheetViews>
    <sheetView showGridLines="0" view="pageBreakPreview" zoomScale="60" zoomScaleNormal="100" workbookViewId="0"/>
  </sheetViews>
  <sheetFormatPr defaultColWidth="9.33203125" defaultRowHeight="15"/>
  <cols>
    <col min="1" max="1" width="4.5" style="291" customWidth="1"/>
    <col min="2" max="2" width="3.83203125" style="291" customWidth="1"/>
    <col min="3" max="3" width="15.83203125" style="291" customWidth="1"/>
    <col min="4" max="4" width="107.1640625" style="292" customWidth="1"/>
    <col min="5" max="5" width="15.83203125" style="291" customWidth="1"/>
    <col min="6" max="6" width="3.83203125" style="291" customWidth="1"/>
    <col min="7" max="7" width="4.5" style="291" customWidth="1"/>
    <col min="8" max="8" width="9.33203125" style="291"/>
    <col min="9" max="9" width="16.33203125" style="291" bestFit="1" customWidth="1"/>
    <col min="10" max="10" width="19" style="291" bestFit="1" customWidth="1"/>
    <col min="11" max="16384" width="9.33203125" style="291"/>
  </cols>
  <sheetData>
    <row r="6" spans="2:6">
      <c r="B6" s="293"/>
      <c r="C6" s="282"/>
      <c r="D6" s="283"/>
      <c r="E6" s="282"/>
      <c r="F6" s="282"/>
    </row>
    <row r="7" spans="2:6" ht="15.75" thickBot="1">
      <c r="B7" s="293"/>
      <c r="C7" s="282"/>
      <c r="D7" s="283"/>
      <c r="E7" s="282"/>
      <c r="F7" s="282"/>
    </row>
    <row r="8" spans="2:6" ht="15.75" thickTop="1">
      <c r="B8" s="14"/>
      <c r="C8" s="294"/>
      <c r="D8" s="295"/>
      <c r="E8" s="294"/>
      <c r="F8" s="294"/>
    </row>
    <row r="9" spans="2:6" s="296" customFormat="1" ht="40.5">
      <c r="B9" s="297"/>
      <c r="C9" s="298"/>
      <c r="D9" s="299" t="s">
        <v>1613</v>
      </c>
      <c r="E9" s="298"/>
      <c r="F9" s="298"/>
    </row>
    <row r="10" spans="2:6" ht="15.75" thickBot="1">
      <c r="B10" s="286"/>
      <c r="C10" s="301"/>
      <c r="D10" s="302"/>
      <c r="E10" s="301"/>
      <c r="F10" s="301"/>
    </row>
    <row r="11" spans="2:6" ht="15.75" thickTop="1"/>
    <row r="13" spans="2:6" ht="18.75">
      <c r="D13" s="287"/>
    </row>
    <row r="14" spans="2:6" ht="18.75">
      <c r="D14" s="288"/>
    </row>
    <row r="27" spans="4:4" ht="23.25">
      <c r="D27" s="867" t="s">
        <v>776</v>
      </c>
    </row>
    <row r="29" spans="4:4" ht="18.75">
      <c r="D29" s="289" t="s">
        <v>575</v>
      </c>
    </row>
    <row r="30" spans="4:4" ht="37.5">
      <c r="D30" s="290" t="s">
        <v>394</v>
      </c>
    </row>
  </sheetData>
  <pageMargins left="0.5" right="0.5" top="0.5" bottom="0.5" header="0.5" footer="0.5"/>
  <pageSetup scale="98"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L62"/>
  <sheetViews>
    <sheetView showGridLines="0" view="pageBreakPreview" zoomScaleNormal="100" zoomScaleSheetLayoutView="100" workbookViewId="0">
      <pane ySplit="8" topLeftCell="A12" activePane="bottomLeft" state="frozen"/>
      <selection pane="bottomLeft" activeCell="B25" sqref="B12:B25"/>
    </sheetView>
  </sheetViews>
  <sheetFormatPr defaultRowHeight="12.75" outlineLevelRow="1" outlineLevelCol="1"/>
  <cols>
    <col min="1" max="1" width="4.5" style="405" customWidth="1"/>
    <col min="2" max="2" width="37.5" style="405" customWidth="1"/>
    <col min="3" max="3" width="11.83203125" style="405" customWidth="1"/>
    <col min="4" max="4" width="2.83203125" style="405" customWidth="1"/>
    <col min="5" max="5" width="30.5" style="405" customWidth="1"/>
    <col min="6" max="6" width="15.83203125" style="405" customWidth="1"/>
    <col min="7" max="7" width="2.83203125" style="405" customWidth="1"/>
    <col min="8" max="9" width="15.1640625" style="405" hidden="1" customWidth="1" outlineLevel="1"/>
    <col min="10" max="10" width="11.83203125" style="405" customWidth="1" collapsed="1"/>
    <col min="11" max="11" width="2.83203125" style="405" customWidth="1"/>
    <col min="12" max="13" width="18.83203125" style="405" hidden="1" customWidth="1" outlineLevel="1"/>
    <col min="14" max="14" width="15.1640625" style="405" customWidth="1" collapsed="1"/>
    <col min="15" max="16" width="15.1640625" style="405" customWidth="1"/>
    <col min="17" max="17" width="2.83203125" style="405" customWidth="1"/>
    <col min="18" max="19" width="12.83203125" style="405" hidden="1" customWidth="1" outlineLevel="1"/>
    <col min="20" max="20" width="12.1640625" style="405" customWidth="1" collapsed="1"/>
    <col min="21" max="21" width="2.83203125" style="405" customWidth="1"/>
    <col min="22" max="23" width="12.83203125" style="405" hidden="1" customWidth="1" outlineLevel="1"/>
    <col min="24" max="24" width="11" style="405" customWidth="1" collapsed="1"/>
    <col min="25" max="26" width="11" style="405" customWidth="1"/>
    <col min="27" max="27" width="4.5" style="405" customWidth="1"/>
    <col min="28" max="32" width="13.6640625" style="405" customWidth="1"/>
    <col min="33" max="33" width="13.6640625" style="435" customWidth="1"/>
    <col min="34" max="35" width="13.6640625" style="405" customWidth="1"/>
    <col min="36" max="36" width="1.83203125" style="405" customWidth="1"/>
    <col min="37" max="37" width="15.33203125" style="405" bestFit="1" customWidth="1"/>
    <col min="38" max="38" width="12.5" style="405" customWidth="1"/>
    <col min="39" max="39" width="1.83203125" style="405" customWidth="1"/>
    <col min="40" max="16384" width="9.33203125" style="405"/>
  </cols>
  <sheetData>
    <row r="1" spans="2:38" ht="10.7" customHeight="1" thickBot="1">
      <c r="AB1" s="579"/>
      <c r="AC1" s="652" t="s">
        <v>765</v>
      </c>
      <c r="AD1" s="652" t="s">
        <v>766</v>
      </c>
      <c r="AE1" s="653" t="s">
        <v>110</v>
      </c>
    </row>
    <row r="2" spans="2:38"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Z2" s="10"/>
      <c r="AB2" s="654" t="str">
        <f>+C8</f>
        <v>Enterprise Value</v>
      </c>
      <c r="AC2" s="655">
        <f>SUM('GPC Linked'!H13:H42)</f>
        <v>4704.4453499999991</v>
      </c>
      <c r="AD2" s="655">
        <f>+SUM('Capital IQ Sheet-GPC'!H13:H42)</f>
        <v>4704.4453499999991</v>
      </c>
      <c r="AE2" s="204" t="b">
        <f>AC2=AD2</f>
        <v>1</v>
      </c>
      <c r="AK2" s="303" t="s">
        <v>87</v>
      </c>
      <c r="AL2" s="304">
        <f>'MASTER PubCo Inputs'!$C$6</f>
        <v>43281</v>
      </c>
    </row>
    <row r="3" spans="2:38" ht="15.75" customHeight="1">
      <c r="B3" s="11" t="str">
        <f>VLOOKUP(B4,Outline!$E$8:$G$69,COLUMNS(Outline!$E$8:$G$8),FALSE)</f>
        <v>Exhibit E.1</v>
      </c>
      <c r="C3" s="11"/>
      <c r="D3" s="11"/>
      <c r="E3" s="11"/>
      <c r="F3" s="11"/>
      <c r="G3" s="11"/>
      <c r="H3" s="11"/>
      <c r="I3" s="11"/>
      <c r="J3" s="11"/>
      <c r="K3" s="11"/>
      <c r="L3" s="11"/>
      <c r="M3" s="11"/>
      <c r="N3" s="11"/>
      <c r="O3" s="11"/>
      <c r="P3" s="11"/>
      <c r="Q3" s="11"/>
      <c r="R3" s="11"/>
      <c r="S3" s="11"/>
      <c r="T3" s="11"/>
      <c r="U3" s="11"/>
      <c r="V3" s="11"/>
      <c r="W3" s="11"/>
      <c r="X3" s="11"/>
      <c r="Y3" s="11"/>
      <c r="Z3" s="11"/>
      <c r="AB3" s="654" t="str">
        <f>+J8</f>
        <v>LTM</v>
      </c>
      <c r="AC3" s="655">
        <f>+SUM('GPC Linked'!Q13:Q42)</f>
        <v>263.57053000000002</v>
      </c>
      <c r="AD3" s="655">
        <f>+SUM('Capital IQ Sheet-GPC'!Q13:Q42)</f>
        <v>263.57053000000002</v>
      </c>
      <c r="AE3" s="204" t="b">
        <f>AC3=AD3</f>
        <v>1</v>
      </c>
      <c r="AK3" s="201" t="s">
        <v>398</v>
      </c>
      <c r="AL3" s="305" t="s">
        <v>400</v>
      </c>
    </row>
    <row r="4" spans="2:38" ht="16.5" customHeight="1" thickBot="1">
      <c r="B4" s="12" t="s">
        <v>636</v>
      </c>
      <c r="C4" s="12"/>
      <c r="D4" s="12"/>
      <c r="E4" s="12"/>
      <c r="F4" s="12"/>
      <c r="G4" s="12"/>
      <c r="H4" s="12"/>
      <c r="I4" s="12"/>
      <c r="J4" s="12"/>
      <c r="K4" s="12"/>
      <c r="L4" s="12"/>
      <c r="M4" s="13"/>
      <c r="N4" s="13"/>
      <c r="O4" s="13"/>
      <c r="P4" s="13"/>
      <c r="Q4" s="13"/>
      <c r="R4" s="13"/>
      <c r="S4" s="13"/>
      <c r="T4" s="13"/>
      <c r="U4" s="13"/>
      <c r="V4" s="13"/>
      <c r="W4" s="13"/>
      <c r="X4" s="13"/>
      <c r="Y4" s="13"/>
      <c r="Z4" s="13" t="str">
        <f>+'MASTER PubCo Inputs'!$C$24</f>
        <v>(in millions of USD)</v>
      </c>
      <c r="AB4" s="656">
        <f>+N8</f>
        <v>2018</v>
      </c>
      <c r="AC4" s="657">
        <f>+SUM('GPC Linked'!T13:T42)</f>
        <v>369.89898999999997</v>
      </c>
      <c r="AD4" s="657">
        <f>+SUM('Capital IQ Sheet-GPC'!T13:T42)</f>
        <v>369.89898999999997</v>
      </c>
      <c r="AE4" s="448" t="b">
        <f>AC4=AD4</f>
        <v>1</v>
      </c>
      <c r="AK4" s="201" t="s">
        <v>399</v>
      </c>
      <c r="AL4" s="305" t="s">
        <v>401</v>
      </c>
    </row>
    <row r="5" spans="2:38" ht="13.5" thickTop="1">
      <c r="B5" s="15"/>
      <c r="C5" s="15"/>
      <c r="AK5" s="82" t="s">
        <v>89</v>
      </c>
      <c r="AL5" s="306" t="s">
        <v>90</v>
      </c>
    </row>
    <row r="6" spans="2:38">
      <c r="H6" s="465" t="s">
        <v>278</v>
      </c>
      <c r="I6" s="466"/>
      <c r="J6" s="46"/>
      <c r="L6" s="465" t="s">
        <v>278</v>
      </c>
      <c r="M6" s="467"/>
      <c r="N6" s="465" t="s">
        <v>278</v>
      </c>
      <c r="O6" s="467"/>
      <c r="P6" s="468"/>
      <c r="R6" s="463" t="s">
        <v>278</v>
      </c>
      <c r="S6" s="472"/>
      <c r="T6" s="443"/>
      <c r="U6" s="471"/>
      <c r="V6" s="463" t="s">
        <v>278</v>
      </c>
      <c r="W6" s="464"/>
      <c r="X6" s="465" t="s">
        <v>278</v>
      </c>
      <c r="Y6" s="467"/>
      <c r="Z6" s="468"/>
      <c r="AB6" s="754" t="s">
        <v>835</v>
      </c>
      <c r="AC6" s="755">
        <v>100</v>
      </c>
      <c r="AD6" s="754" t="s">
        <v>836</v>
      </c>
      <c r="AE6" s="755">
        <v>0</v>
      </c>
    </row>
    <row r="7" spans="2:38" ht="16.5" customHeight="1">
      <c r="H7" s="414" t="s">
        <v>630</v>
      </c>
      <c r="I7" s="414"/>
      <c r="J7" s="408" t="s">
        <v>629</v>
      </c>
      <c r="K7" s="445"/>
      <c r="L7" s="414" t="s">
        <v>628</v>
      </c>
      <c r="M7" s="409"/>
      <c r="N7" s="414" t="s">
        <v>628</v>
      </c>
      <c r="O7" s="409"/>
      <c r="P7" s="415"/>
      <c r="R7" s="414" t="s">
        <v>279</v>
      </c>
      <c r="S7" s="409"/>
      <c r="T7" s="408" t="s">
        <v>279</v>
      </c>
      <c r="U7" s="445"/>
      <c r="V7" s="414" t="s">
        <v>279</v>
      </c>
      <c r="W7" s="409"/>
      <c r="X7" s="414" t="s">
        <v>279</v>
      </c>
      <c r="Y7" s="409"/>
      <c r="Z7" s="415"/>
      <c r="AB7" s="357" t="s">
        <v>91</v>
      </c>
      <c r="AC7" s="364"/>
      <c r="AD7" s="364"/>
      <c r="AE7" s="364"/>
      <c r="AF7" s="364"/>
      <c r="AG7" s="501"/>
      <c r="AH7" s="364"/>
      <c r="AI7" s="365"/>
    </row>
    <row r="8" spans="2:38" s="6" customFormat="1" ht="53.25" customHeight="1">
      <c r="B8" s="475" t="s">
        <v>633</v>
      </c>
      <c r="C8" s="594" t="s">
        <v>145</v>
      </c>
      <c r="D8" s="330"/>
      <c r="E8" s="991" t="s">
        <v>1545</v>
      </c>
      <c r="F8" s="990" t="s">
        <v>1546</v>
      </c>
      <c r="G8" s="330"/>
      <c r="H8" s="596" t="s">
        <v>290</v>
      </c>
      <c r="I8" s="597" t="s">
        <v>276</v>
      </c>
      <c r="J8" s="598" t="s">
        <v>277</v>
      </c>
      <c r="K8" s="599"/>
      <c r="L8" s="600">
        <f>M8-1</f>
        <v>2016</v>
      </c>
      <c r="M8" s="601">
        <f>N8-1</f>
        <v>2017</v>
      </c>
      <c r="N8" s="602">
        <f>YEAR($AL$2)</f>
        <v>2018</v>
      </c>
      <c r="O8" s="603">
        <f>N8+1</f>
        <v>2019</v>
      </c>
      <c r="P8" s="604">
        <f>O8+1</f>
        <v>2020</v>
      </c>
      <c r="Q8" s="330"/>
      <c r="R8" s="596" t="str">
        <f>H8</f>
        <v>LTM-2</v>
      </c>
      <c r="S8" s="597" t="str">
        <f>I8</f>
        <v>LTM-1</v>
      </c>
      <c r="T8" s="598" t="str">
        <f>J8</f>
        <v>LTM</v>
      </c>
      <c r="U8" s="599"/>
      <c r="V8" s="602">
        <f>L8</f>
        <v>2016</v>
      </c>
      <c r="W8" s="601">
        <f>M8</f>
        <v>2017</v>
      </c>
      <c r="X8" s="602">
        <f>N8</f>
        <v>2018</v>
      </c>
      <c r="Y8" s="603">
        <f>O8</f>
        <v>2019</v>
      </c>
      <c r="Z8" s="604">
        <f>P8</f>
        <v>2020</v>
      </c>
      <c r="AB8" s="376" t="s">
        <v>94</v>
      </c>
      <c r="AC8" s="377" t="s">
        <v>95</v>
      </c>
      <c r="AD8" s="377" t="s">
        <v>96</v>
      </c>
      <c r="AE8" s="377" t="s">
        <v>97</v>
      </c>
      <c r="AF8" s="377" t="s">
        <v>98</v>
      </c>
      <c r="AG8" s="502" t="s">
        <v>99</v>
      </c>
      <c r="AH8" s="377" t="s">
        <v>100</v>
      </c>
      <c r="AI8" s="378" t="s">
        <v>101</v>
      </c>
      <c r="AK8" s="87" t="s">
        <v>108</v>
      </c>
    </row>
    <row r="9" spans="2:38" ht="12.75" customHeight="1">
      <c r="H9" s="16"/>
      <c r="I9" s="16"/>
      <c r="J9" s="16"/>
      <c r="K9" s="16"/>
      <c r="L9" s="16"/>
      <c r="M9" s="16"/>
      <c r="N9" s="16"/>
      <c r="O9" s="16"/>
      <c r="P9" s="16"/>
      <c r="U9" s="471"/>
    </row>
    <row r="10" spans="2:38" ht="12.75" customHeight="1">
      <c r="B10" s="310" t="s">
        <v>402</v>
      </c>
      <c r="C10" s="49"/>
      <c r="D10" s="49"/>
      <c r="E10" s="49"/>
      <c r="F10" s="49"/>
      <c r="G10" s="49"/>
      <c r="H10" s="49"/>
      <c r="I10" s="49"/>
      <c r="J10" s="49"/>
      <c r="K10" s="49"/>
      <c r="L10" s="49"/>
      <c r="M10" s="49"/>
      <c r="N10" s="49"/>
      <c r="O10" s="49"/>
      <c r="P10" s="49"/>
      <c r="Q10" s="58"/>
      <c r="R10" s="49"/>
      <c r="S10" s="49"/>
      <c r="T10" s="49"/>
      <c r="U10" s="49"/>
      <c r="V10" s="49"/>
      <c r="W10" s="49"/>
      <c r="X10" s="49"/>
      <c r="Y10" s="49"/>
      <c r="Z10" s="49"/>
      <c r="AK10" s="95"/>
    </row>
    <row r="11" spans="2:38" s="58" customFormat="1" ht="12.75" customHeight="1">
      <c r="B11" s="49"/>
      <c r="C11" s="49"/>
      <c r="D11" s="49"/>
      <c r="E11" s="49"/>
      <c r="F11" s="49"/>
      <c r="G11" s="49"/>
      <c r="H11" s="49"/>
      <c r="I11" s="49"/>
      <c r="J11" s="49"/>
      <c r="K11" s="49"/>
      <c r="L11" s="49"/>
      <c r="M11" s="49"/>
      <c r="N11" s="49"/>
      <c r="O11" s="49"/>
      <c r="P11" s="49"/>
      <c r="R11" s="49"/>
      <c r="S11" s="49"/>
      <c r="T11" s="49"/>
      <c r="U11" s="49"/>
      <c r="V11" s="49"/>
      <c r="W11" s="49"/>
      <c r="X11" s="49"/>
      <c r="Y11" s="49"/>
      <c r="Z11" s="49"/>
      <c r="AB11" s="405"/>
      <c r="AC11" s="405"/>
      <c r="AD11" s="405"/>
      <c r="AE11" s="405"/>
      <c r="AF11" s="405"/>
      <c r="AG11" s="435"/>
      <c r="AH11" s="405"/>
      <c r="AI11" s="405"/>
    </row>
    <row r="12" spans="2:38" ht="12.75" customHeight="1">
      <c r="B12" s="1936" t="str">
        <f>'Capital IQ Sheet-GPC'!C13</f>
        <v>ACADIA Pharmaceuticals Inc.</v>
      </c>
      <c r="C12" s="152">
        <f>'Beta Calc'!R10</f>
        <v>1608.0295500000002</v>
      </c>
      <c r="D12" s="1936"/>
      <c r="E12" s="1936" t="s">
        <v>2783</v>
      </c>
      <c r="F12" s="1936" t="s">
        <v>861</v>
      </c>
      <c r="G12" s="1936"/>
      <c r="H12" s="152">
        <f>'Capital IQ Sheet-GPC'!O13</f>
        <v>6.0999999999999999E-2</v>
      </c>
      <c r="I12" s="152">
        <f>'Capital IQ Sheet-GPC'!P13</f>
        <v>32.613</v>
      </c>
      <c r="J12" s="152">
        <f>'Capital IQ Sheet-GPC'!Q13</f>
        <v>158.483</v>
      </c>
      <c r="K12" s="2135"/>
      <c r="L12" s="152">
        <f>'Capital IQ Sheet-GPC'!R13</f>
        <v>17.331</v>
      </c>
      <c r="M12" s="152">
        <f>'Capital IQ Sheet-GPC'!S13</f>
        <v>124.901</v>
      </c>
      <c r="N12" s="152">
        <f>'Capital IQ Sheet-GPC'!T13</f>
        <v>261.38290999999998</v>
      </c>
      <c r="O12" s="152">
        <f>'Capital IQ Sheet-GPC'!U13</f>
        <v>415.07722999999999</v>
      </c>
      <c r="P12" s="152">
        <f>'Capital IQ Sheet-GPC'!V13</f>
        <v>788.02</v>
      </c>
      <c r="Q12" s="1936"/>
      <c r="R12" s="154">
        <f>IF(ISERROR($C12/H12), "n/a", $C12/H12)</f>
        <v>26361.140163934429</v>
      </c>
      <c r="S12" s="154">
        <f>IF(ISERROR($C12/I12), "n/a", $C12/I12)</f>
        <v>49.306397755496285</v>
      </c>
      <c r="T12" s="154">
        <f>IFERROR(IF(($C12/J12)&gt;$AC$6, "NM", IF(($C12/J12)&lt;$AE$6, "NM", $C12/J12)),"n/a")</f>
        <v>10.146385101241144</v>
      </c>
      <c r="U12" s="1936"/>
      <c r="V12" s="154">
        <f>IFERROR(IF(($C12/L12)&gt;$AC$6, "NM", IF(($C12/L12)&lt;$AE$6, "NM", $C12/L12)),"n/a")</f>
        <v>92.783425653453364</v>
      </c>
      <c r="W12" s="154">
        <f>IFERROR(IF(($C12/M12)&gt;$AC$6, "NM", IF(($C12/M12)&lt;$AE$6, "NM", $C12/M12)),"n/a")</f>
        <v>12.874432950897113</v>
      </c>
      <c r="X12" s="154">
        <f>IFERROR(IF(($C12/N12)&gt;$AC$6, "NM", IF(($C12/N12)&lt;$AE$6, "NM", $C12/N12)),"n/a")</f>
        <v>6.1520072218952659</v>
      </c>
      <c r="Y12" s="154">
        <f>IFERROR(IF(($C12/O12)&gt;$AC$6, "NM", IF(($C12/O12)&lt;$AE$6, "NM", $C12/O12)),"n/a")</f>
        <v>3.874049053473736</v>
      </c>
      <c r="Z12" s="154">
        <f>IFERROR(IF(($C12/P12)&gt;$AC$6, "NM", IF(($C12/P12)&lt;$AE$6, "NM", $C12/P12)),"n/a")</f>
        <v>2.0405948453084952</v>
      </c>
      <c r="AA12" s="1936"/>
      <c r="AB12" s="406">
        <f>'Beta Calc'!K10</f>
        <v>1906.0925500000001</v>
      </c>
      <c r="AC12" s="406">
        <f>'Beta Calc'!L10</f>
        <v>0</v>
      </c>
      <c r="AD12" s="406">
        <f>'Beta Calc'!M10</f>
        <v>0</v>
      </c>
      <c r="AE12" s="406">
        <f>'Beta Calc'!N10</f>
        <v>0</v>
      </c>
      <c r="AF12" s="406">
        <f>SUM(AC12:AE12)</f>
        <v>0</v>
      </c>
      <c r="AG12" s="503">
        <f>SUM(AB12:AE12)</f>
        <v>1906.0925500000001</v>
      </c>
      <c r="AH12" s="406">
        <f>'Beta Calc'!Q10</f>
        <v>298.06299999999999</v>
      </c>
      <c r="AI12" s="92">
        <f>IF(ISERROR(AG12-AH12), "n/a", AG12-AH12)</f>
        <v>1608.0295500000002</v>
      </c>
      <c r="AK12" s="93" t="str">
        <f>IF('MASTER PubCo Inputs'!C28="","",'MASTER PubCo Inputs'!C28)</f>
        <v>IQ683713</v>
      </c>
      <c r="AL12" s="405" t="str">
        <f>'Capital IQ Sheet-GPC'!AP13</f>
        <v>ACADIA Pharmaceuticals Inc., a biopharmaceutical company, focuses on the development and commercialization of small molecule drugs that address unmet medical needs in central nervous system disorders. The company offers NUPLAZID (pimavanserin) for the treatment of hallucinations and delusions associated with Parkinson’s disease psychosis. It is also developing pimavanserin as a treatment for dementia-related psychosis and as an adjunctive treatment for schizophrenia that are in phase III clinical trials; and pimavanserin as an adjunctive treatment for major depressive disorder. ACADIA Pharmaceuticals Inc. was founded in 1993 and is headquartered in San Diego, California.</v>
      </c>
    </row>
    <row r="13" spans="2:38" ht="12.75" customHeight="1">
      <c r="B13" s="1936" t="str">
        <f>'Capital IQ Sheet-GPC'!C14</f>
        <v>Rhythm Pharmaceuticals, Inc.</v>
      </c>
      <c r="C13" s="152">
        <f>'Beta Calc'!R11</f>
        <v>930.20021999999994</v>
      </c>
      <c r="D13" s="1936"/>
      <c r="E13" s="1936" t="s">
        <v>2784</v>
      </c>
      <c r="F13" s="2323" t="s">
        <v>1205</v>
      </c>
      <c r="G13" s="1936"/>
      <c r="H13" s="152">
        <f>'Capital IQ Sheet-GPC'!O14</f>
        <v>0</v>
      </c>
      <c r="I13" s="152">
        <f>'Capital IQ Sheet-GPC'!P14</f>
        <v>0</v>
      </c>
      <c r="J13" s="152">
        <f>'Capital IQ Sheet-GPC'!Q14</f>
        <v>0</v>
      </c>
      <c r="K13" s="2135"/>
      <c r="L13" s="152">
        <f>'Capital IQ Sheet-GPC'!R14</f>
        <v>0</v>
      </c>
      <c r="M13" s="152">
        <f>'Capital IQ Sheet-GPC'!S14</f>
        <v>0</v>
      </c>
      <c r="N13" s="152" t="str">
        <f>'Capital IQ Sheet-GPC'!T14</f>
        <v>n/a</v>
      </c>
      <c r="O13" s="152">
        <f>'Capital IQ Sheet-GPC'!U14</f>
        <v>0.67901999999999996</v>
      </c>
      <c r="P13" s="152">
        <f>'Capital IQ Sheet-GPC'!V14</f>
        <v>44</v>
      </c>
      <c r="Q13" s="1936"/>
      <c r="R13" s="154" t="str">
        <f t="shared" ref="R13:R25" si="0">IF(ISERROR($C13/H13), "n/a", $C13/H13)</f>
        <v>n/a</v>
      </c>
      <c r="S13" s="154" t="str">
        <f t="shared" ref="S13:S25" si="1">IF(ISERROR($C13/I13), "n/a", $C13/I13)</f>
        <v>n/a</v>
      </c>
      <c r="T13" s="154" t="str">
        <f t="shared" ref="T13:T25" si="2">IFERROR(IF(($C13/J13)&gt;$AC$6, "NM", IF(($C13/J13)&lt;$AE$6, "NM", $C13/J13)),"n/a")</f>
        <v>n/a</v>
      </c>
      <c r="U13" s="1936"/>
      <c r="V13" s="154" t="str">
        <f t="shared" ref="V13:V25" si="3">IFERROR(IF(($C13/L13)&gt;$AC$6, "NM", IF(($C13/L13)&lt;$AE$6, "NM", $C13/L13)),"n/a")</f>
        <v>n/a</v>
      </c>
      <c r="W13" s="154" t="str">
        <f t="shared" ref="W13:W25" si="4">IFERROR(IF(($C13/M13)&gt;$AC$6, "NM", IF(($C13/M13)&lt;$AE$6, "NM", $C13/M13)),"n/a")</f>
        <v>n/a</v>
      </c>
      <c r="X13" s="154" t="str">
        <f t="shared" ref="X13:X25" si="5">IFERROR(IF(($C13/N13)&gt;$AC$6, "NM", IF(($C13/N13)&lt;$AE$6, "NM", $C13/N13)),"n/a")</f>
        <v>n/a</v>
      </c>
      <c r="Y13" s="154" t="str">
        <f t="shared" ref="Y13:Y25" si="6">IFERROR(IF(($C13/O13)&gt;$AC$6, "NM", IF(($C13/O13)&lt;$AE$6, "NM", $C13/O13)),"n/a")</f>
        <v>NM</v>
      </c>
      <c r="Z13" s="154">
        <f t="shared" ref="Z13:Z25" si="7">IFERROR(IF(($C13/P13)&gt;$AC$6, "NM", IF(($C13/P13)&lt;$AE$6, "NM", $C13/P13)),"n/a")</f>
        <v>21.140914090909089</v>
      </c>
      <c r="AA13" s="2136" t="s">
        <v>210</v>
      </c>
      <c r="AB13" s="406">
        <f>'Beta Calc'!K11</f>
        <v>1066.6532199999999</v>
      </c>
      <c r="AC13" s="406">
        <f>'Beta Calc'!L11</f>
        <v>0</v>
      </c>
      <c r="AD13" s="406">
        <f>'Beta Calc'!M11</f>
        <v>0</v>
      </c>
      <c r="AE13" s="406">
        <f>'Beta Calc'!N11</f>
        <v>0</v>
      </c>
      <c r="AF13" s="406">
        <f t="shared" ref="AF13:AF25" si="8">SUM(AC13:AE13)</f>
        <v>0</v>
      </c>
      <c r="AG13" s="503">
        <f t="shared" ref="AG13:AG25" si="9">SUM(AB13:AE13)</f>
        <v>1066.6532199999999</v>
      </c>
      <c r="AH13" s="406">
        <f>'Beta Calc'!Q11</f>
        <v>136.453</v>
      </c>
      <c r="AI13" s="92">
        <f t="shared" ref="AI13:AI25" si="10">IF(ISERROR(AG13-AH13), "n/a", AG13-AH13)</f>
        <v>930.20021999999994</v>
      </c>
      <c r="AK13" s="93" t="str">
        <f>IF('MASTER PubCo Inputs'!C29="","",'MASTER PubCo Inputs'!C29)</f>
        <v>IQ309184792</v>
      </c>
      <c r="AL13" s="405" t="str">
        <f>'Capital IQ Sheet-GPC'!AP14</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row>
    <row r="14" spans="2:38" ht="12.75" customHeight="1">
      <c r="B14" s="1936" t="str">
        <f>'Capital IQ Sheet-GPC'!C15</f>
        <v>Assembly Biosciences, Inc.</v>
      </c>
      <c r="C14" s="152">
        <f>'Beta Calc'!R12</f>
        <v>696.63466999999991</v>
      </c>
      <c r="D14" s="1936"/>
      <c r="E14" s="1936" t="s">
        <v>2786</v>
      </c>
      <c r="F14" s="2137"/>
      <c r="G14" s="1936"/>
      <c r="H14" s="152">
        <f>'Capital IQ Sheet-GPC'!O15</f>
        <v>0</v>
      </c>
      <c r="I14" s="152">
        <f>'Capital IQ Sheet-GPC'!P15</f>
        <v>0.68437000000000003</v>
      </c>
      <c r="J14" s="152">
        <f>'Capital IQ Sheet-GPC'!Q15</f>
        <v>11.89944</v>
      </c>
      <c r="K14" s="2135"/>
      <c r="L14" s="152">
        <f>'Capital IQ Sheet-GPC'!R15</f>
        <v>0</v>
      </c>
      <c r="M14" s="152">
        <f>'Capital IQ Sheet-GPC'!S15</f>
        <v>9.0187500000000007</v>
      </c>
      <c r="N14" s="152">
        <f>'Capital IQ Sheet-GPC'!T15</f>
        <v>10.15503</v>
      </c>
      <c r="O14" s="152">
        <f>'Capital IQ Sheet-GPC'!U15</f>
        <v>11.85</v>
      </c>
      <c r="P14" s="152">
        <f>'Capital IQ Sheet-GPC'!V15</f>
        <v>17.3</v>
      </c>
      <c r="Q14" s="1936"/>
      <c r="R14" s="154" t="str">
        <f t="shared" si="0"/>
        <v>n/a</v>
      </c>
      <c r="S14" s="154">
        <f t="shared" si="1"/>
        <v>1017.9211099259171</v>
      </c>
      <c r="T14" s="154">
        <f t="shared" si="2"/>
        <v>58.543483558890159</v>
      </c>
      <c r="U14" s="1936"/>
      <c r="V14" s="154" t="str">
        <f t="shared" si="3"/>
        <v>n/a</v>
      </c>
      <c r="W14" s="154">
        <f t="shared" si="4"/>
        <v>77.242929452529438</v>
      </c>
      <c r="X14" s="154">
        <f t="shared" si="5"/>
        <v>68.599961792333445</v>
      </c>
      <c r="Y14" s="154">
        <f t="shared" si="6"/>
        <v>58.787735864978899</v>
      </c>
      <c r="Z14" s="154">
        <f t="shared" si="7"/>
        <v>40.26789999999999</v>
      </c>
      <c r="AA14" s="1936"/>
      <c r="AB14" s="406">
        <f>'Beta Calc'!K12</f>
        <v>805.79364999999996</v>
      </c>
      <c r="AC14" s="406">
        <f>'Beta Calc'!L12</f>
        <v>0</v>
      </c>
      <c r="AD14" s="406">
        <f>'Beta Calc'!M12</f>
        <v>0</v>
      </c>
      <c r="AE14" s="406">
        <f>'Beta Calc'!N12</f>
        <v>0</v>
      </c>
      <c r="AF14" s="406">
        <f t="shared" si="8"/>
        <v>0</v>
      </c>
      <c r="AG14" s="503">
        <f t="shared" si="9"/>
        <v>805.79364999999996</v>
      </c>
      <c r="AH14" s="406">
        <f>'Beta Calc'!Q12</f>
        <v>109.15898</v>
      </c>
      <c r="AI14" s="92">
        <f t="shared" si="10"/>
        <v>696.63466999999991</v>
      </c>
      <c r="AK14" s="93" t="str">
        <f>IF('MASTER PubCo Inputs'!C30="","",'MASTER PubCo Inputs'!C30)</f>
        <v>IQ99715344</v>
      </c>
      <c r="AL14" s="405" t="str">
        <f>'Capital IQ Sheet-GPC'!AP15</f>
        <v>Assembly Biosciences, Inc. operates as a clinical stage biotechnology company. It develops oral therapeutic candidates for the treatment of hepatitis B virus (HBV) infection and novel class of oral synthetic live biotherapeutic candidates to treat disorders associated with the microbiome in the United States. It is involved in the development of core protein allosteric modulators that modulate the HBV core protein at various points in the viral lifecycle. The company also develops microbiome program, a platform that includes the identification and selection process to strain isolation and growth under current good manufacturing practice conditions; and a patent pending delivery system, GEMICEL, which allows for targeted oral delivery of live biologic and conventional therapies to the lower gastrointestinal tract. In addition, it engages in the development of product candidates for various disease indications, such as ulcerative colitis, Crohn’s disease, irritable bowel syndrome, non-alcoholic steatohepatitis, immuno-oncology, and clostridium difficile infections by using its microbiome platform. It has a collaboration agreement with Allergan Pharmaceuticals International Limited for the development and commercialization of selected microbiome gastrointestinal programs. The company was formerly known as Ventrus Biosciences, Inc. and changed its name to Assembly Biosciences, Inc. in June 2014. Assembly Biosciences, Inc. was founded in 2005 and is headquartered in Carmel, Indiana.</v>
      </c>
    </row>
    <row r="15" spans="2:38" ht="12.75" customHeight="1">
      <c r="B15" s="1936" t="str">
        <f>'Capital IQ Sheet-GPC'!C16</f>
        <v>Voyager Therapeutics, Inc.</v>
      </c>
      <c r="C15" s="152">
        <f>'Beta Calc'!R13</f>
        <v>413.35426000000007</v>
      </c>
      <c r="D15" s="1936"/>
      <c r="E15" s="1936" t="s">
        <v>2783</v>
      </c>
      <c r="F15" s="2323" t="s">
        <v>509</v>
      </c>
      <c r="G15" s="1936"/>
      <c r="H15" s="152">
        <f>'Capital IQ Sheet-GPC'!O16</f>
        <v>19.588000000000001</v>
      </c>
      <c r="I15" s="152">
        <f>'Capital IQ Sheet-GPC'!P16</f>
        <v>10.853999999999999</v>
      </c>
      <c r="J15" s="152">
        <f>'Capital IQ Sheet-GPC'!Q16</f>
        <v>9.6129999999999995</v>
      </c>
      <c r="K15" s="2135"/>
      <c r="L15" s="152">
        <f>'Capital IQ Sheet-GPC'!R16</f>
        <v>14.22</v>
      </c>
      <c r="M15" s="152">
        <f>'Capital IQ Sheet-GPC'!S16</f>
        <v>10.135</v>
      </c>
      <c r="N15" s="152">
        <f>'Capital IQ Sheet-GPC'!T16</f>
        <v>9.1322500000000009</v>
      </c>
      <c r="O15" s="152">
        <f>'Capital IQ Sheet-GPC'!U16</f>
        <v>19.754439999999999</v>
      </c>
      <c r="P15" s="152">
        <f>'Capital IQ Sheet-GPC'!V16</f>
        <v>11.54833</v>
      </c>
      <c r="Q15" s="1936"/>
      <c r="R15" s="154">
        <f t="shared" si="0"/>
        <v>21.102422911986935</v>
      </c>
      <c r="S15" s="154">
        <f t="shared" si="1"/>
        <v>38.083126957803586</v>
      </c>
      <c r="T15" s="154">
        <f t="shared" si="2"/>
        <v>42.9995069177156</v>
      </c>
      <c r="U15" s="1936"/>
      <c r="V15" s="154">
        <f t="shared" si="3"/>
        <v>29.068513361462731</v>
      </c>
      <c r="W15" s="154">
        <f t="shared" si="4"/>
        <v>40.784830784410467</v>
      </c>
      <c r="X15" s="154">
        <f t="shared" si="5"/>
        <v>45.263134495879989</v>
      </c>
      <c r="Y15" s="154">
        <f t="shared" si="6"/>
        <v>20.924625552534017</v>
      </c>
      <c r="Z15" s="154">
        <f t="shared" si="7"/>
        <v>35.793422945135795</v>
      </c>
      <c r="AA15" s="1936"/>
      <c r="AB15" s="406">
        <f>'Beta Calc'!K13</f>
        <v>631.55226000000005</v>
      </c>
      <c r="AC15" s="406">
        <f>'Beta Calc'!L13</f>
        <v>0</v>
      </c>
      <c r="AD15" s="406">
        <f>'Beta Calc'!M13</f>
        <v>0</v>
      </c>
      <c r="AE15" s="406">
        <f>'Beta Calc'!N13</f>
        <v>0</v>
      </c>
      <c r="AF15" s="406">
        <f t="shared" si="8"/>
        <v>0</v>
      </c>
      <c r="AG15" s="503">
        <f t="shared" si="9"/>
        <v>631.55226000000005</v>
      </c>
      <c r="AH15" s="406">
        <f>'Beta Calc'!Q13</f>
        <v>218.19800000000001</v>
      </c>
      <c r="AI15" s="92">
        <f t="shared" si="10"/>
        <v>413.35426000000007</v>
      </c>
      <c r="AK15" s="93" t="str">
        <f>IF('MASTER PubCo Inputs'!C31="","",'MASTER PubCo Inputs'!C31)</f>
        <v>IQ256887902</v>
      </c>
      <c r="AL15" s="405" t="str">
        <f>'Capital IQ Sheet-GPC'!AP16</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Voyager Therapeutics, Inc. was founded in 2013 and is headquartered in Cambridge, Massachusetts.</v>
      </c>
    </row>
    <row r="16" spans="2:38" ht="12.75" customHeight="1">
      <c r="B16" s="1936" t="str">
        <f>'Capital IQ Sheet-GPC'!C17</f>
        <v>Zafgen, Inc.</v>
      </c>
      <c r="C16" s="152">
        <f>'Beta Calc'!R14</f>
        <v>294.85737000000006</v>
      </c>
      <c r="D16" s="1936"/>
      <c r="E16" s="1936" t="s">
        <v>2959</v>
      </c>
      <c r="F16" s="1936" t="s">
        <v>510</v>
      </c>
      <c r="G16" s="1936"/>
      <c r="H16" s="152">
        <f>'Capital IQ Sheet-GPC'!O17</f>
        <v>0</v>
      </c>
      <c r="I16" s="152">
        <f>'Capital IQ Sheet-GPC'!P17</f>
        <v>0</v>
      </c>
      <c r="J16" s="152">
        <f>'Capital IQ Sheet-GPC'!Q17</f>
        <v>0</v>
      </c>
      <c r="K16" s="2135"/>
      <c r="L16" s="152">
        <f>'Capital IQ Sheet-GPC'!R17</f>
        <v>0</v>
      </c>
      <c r="M16" s="152">
        <f>'Capital IQ Sheet-GPC'!S17</f>
        <v>0</v>
      </c>
      <c r="N16" s="152" t="str">
        <f>'Capital IQ Sheet-GPC'!T17</f>
        <v>n/a</v>
      </c>
      <c r="O16" s="152">
        <f>'Capital IQ Sheet-GPC'!U17</f>
        <v>3.3333300000000001</v>
      </c>
      <c r="P16" s="152" t="str">
        <f>'Capital IQ Sheet-GPC'!V17</f>
        <v>n/a</v>
      </c>
      <c r="Q16" s="1936"/>
      <c r="R16" s="154" t="str">
        <f t="shared" si="0"/>
        <v>n/a</v>
      </c>
      <c r="S16" s="154" t="str">
        <f t="shared" si="1"/>
        <v>n/a</v>
      </c>
      <c r="T16" s="154" t="str">
        <f t="shared" si="2"/>
        <v>n/a</v>
      </c>
      <c r="U16" s="1936"/>
      <c r="V16" s="154" t="str">
        <f t="shared" si="3"/>
        <v>n/a</v>
      </c>
      <c r="W16" s="154" t="str">
        <f t="shared" si="4"/>
        <v>n/a</v>
      </c>
      <c r="X16" s="154" t="str">
        <f t="shared" si="5"/>
        <v>n/a</v>
      </c>
      <c r="Y16" s="154">
        <f t="shared" si="6"/>
        <v>88.45729945729947</v>
      </c>
      <c r="Z16" s="154" t="str">
        <f t="shared" si="7"/>
        <v>n/a</v>
      </c>
      <c r="AA16" s="1936"/>
      <c r="AB16" s="406">
        <f>'Beta Calc'!K14</f>
        <v>363.76737000000003</v>
      </c>
      <c r="AC16" s="406">
        <f>'Beta Calc'!L14</f>
        <v>20.16</v>
      </c>
      <c r="AD16" s="406">
        <f>'Beta Calc'!M14</f>
        <v>0</v>
      </c>
      <c r="AE16" s="406">
        <f>'Beta Calc'!N14</f>
        <v>0</v>
      </c>
      <c r="AF16" s="406">
        <f t="shared" si="8"/>
        <v>20.16</v>
      </c>
      <c r="AG16" s="503">
        <f t="shared" si="9"/>
        <v>383.92737000000005</v>
      </c>
      <c r="AH16" s="406">
        <f>'Beta Calc'!Q14</f>
        <v>89.07</v>
      </c>
      <c r="AI16" s="92">
        <f t="shared" si="10"/>
        <v>294.85737000000006</v>
      </c>
      <c r="AK16" s="93" t="str">
        <f>IF('MASTER PubCo Inputs'!C32="","",'MASTER PubCo Inputs'!C32)</f>
        <v>IQ29016215</v>
      </c>
      <c r="AL16" s="405" t="str">
        <f>'Capital IQ Sheet-GPC'!AP17</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row>
    <row r="17" spans="2:38" ht="12.75" customHeight="1">
      <c r="B17" s="1936" t="str">
        <f>'Capital IQ Sheet-GPC'!C18</f>
        <v>Seres Therapeutics, Inc.</v>
      </c>
      <c r="C17" s="152">
        <f>'Beta Calc'!R15</f>
        <v>227.41895</v>
      </c>
      <c r="D17" s="1936"/>
      <c r="E17" s="1936" t="s">
        <v>2786</v>
      </c>
      <c r="F17" s="1936" t="s">
        <v>518</v>
      </c>
      <c r="G17" s="1936"/>
      <c r="H17" s="152">
        <f>'Capital IQ Sheet-GPC'!O18</f>
        <v>2.71</v>
      </c>
      <c r="I17" s="152">
        <f>'Capital IQ Sheet-GPC'!P18</f>
        <v>22.071000000000002</v>
      </c>
      <c r="J17" s="152">
        <f>'Capital IQ Sheet-GPC'!Q18</f>
        <v>33.055999999999997</v>
      </c>
      <c r="K17" s="2135"/>
      <c r="L17" s="152">
        <f>'Capital IQ Sheet-GPC'!R18</f>
        <v>21.765999999999998</v>
      </c>
      <c r="M17" s="152">
        <f>'Capital IQ Sheet-GPC'!S18</f>
        <v>32.1</v>
      </c>
      <c r="N17" s="152">
        <f>'Capital IQ Sheet-GPC'!T18</f>
        <v>29.106300000000001</v>
      </c>
      <c r="O17" s="152">
        <f>'Capital IQ Sheet-GPC'!U18</f>
        <v>16.6995</v>
      </c>
      <c r="P17" s="152">
        <f>'Capital IQ Sheet-GPC'!V18</f>
        <v>101.8246</v>
      </c>
      <c r="Q17" s="1936"/>
      <c r="R17" s="154">
        <f t="shared" si="0"/>
        <v>83.918431734317338</v>
      </c>
      <c r="S17" s="154">
        <f t="shared" si="1"/>
        <v>10.303971274523128</v>
      </c>
      <c r="T17" s="154">
        <f t="shared" si="2"/>
        <v>6.8798085067763797</v>
      </c>
      <c r="U17" s="1936"/>
      <c r="V17" s="154">
        <f t="shared" si="3"/>
        <v>10.448357530092807</v>
      </c>
      <c r="W17" s="154">
        <f t="shared" si="4"/>
        <v>7.0847024922118376</v>
      </c>
      <c r="X17" s="154">
        <f t="shared" si="5"/>
        <v>7.8133926332099923</v>
      </c>
      <c r="Y17" s="154">
        <f t="shared" si="6"/>
        <v>13.618308931405132</v>
      </c>
      <c r="Z17" s="154">
        <f t="shared" si="7"/>
        <v>2.2334381868428648</v>
      </c>
      <c r="AA17" s="1936"/>
      <c r="AB17" s="406">
        <f>'Beta Calc'!K15</f>
        <v>349.61295000000001</v>
      </c>
      <c r="AC17" s="406">
        <f>'Beta Calc'!L15</f>
        <v>0</v>
      </c>
      <c r="AD17" s="406">
        <f>'Beta Calc'!M15</f>
        <v>0</v>
      </c>
      <c r="AE17" s="406">
        <f>'Beta Calc'!N15</f>
        <v>0</v>
      </c>
      <c r="AF17" s="406">
        <f t="shared" si="8"/>
        <v>0</v>
      </c>
      <c r="AG17" s="503">
        <f t="shared" si="9"/>
        <v>349.61295000000001</v>
      </c>
      <c r="AH17" s="406">
        <f>'Beta Calc'!Q15</f>
        <v>122.194</v>
      </c>
      <c r="AI17" s="92">
        <f t="shared" si="10"/>
        <v>227.41895</v>
      </c>
      <c r="AK17" s="93" t="str">
        <f>IF('MASTER PubCo Inputs'!C33="","",'MASTER PubCo Inputs'!C33)</f>
        <v>IQ222388947</v>
      </c>
      <c r="AL17" s="405" t="str">
        <f>'Capital IQ Sheet-GPC'!AP18</f>
        <v>Seres Therapeutics, Inc., a microbiome therapeutics platform company, engages in developing biological drugs designed to restore health by repairing the function of a dysbiotic microbiome. Its lead product candidate is SER-109, a bacterial spore ecology, which is in Phase III clinical study to treat multiply recurrent Clostridium difficile infection (CDI). The company is also developing SER-287 that is in Phase Ib clinical study in patients with mild-to-moderate ulcerative colitis; and SER-262, a multi-strain Ecobiotic microbiome therapeutic candidate, which is in Phase Ib study in patients with primary CDI. In addition, its product candidates in pre-clinical development comprise SER-301, an Ecobiotic microbiome therapeutic candidate for the treatment of inflammatory bowel disease; SER-401 for use with checkpoint inhibitors in patients with solid tumors; and SER-155, an Ecobiotic microbiome therapeutic candidate for the prevention of transplant-related mortality. Seres Therapeutics, Inc. has a strategic collaboration with Nestle Health Science and Memorial Sloan Kettering Cancer Center. The company was formerly known as Seres Health, Inc. and changed its name to Seres Therapeutics, Inc. in May 2015. Seres Therapeutics, Inc. was founded in 2010 and is headquartered in Cambridge, Massachusetts.</v>
      </c>
    </row>
    <row r="18" spans="2:38" ht="12.75" customHeight="1">
      <c r="B18" s="1936" t="str">
        <f>'Capital IQ Sheet-GPC'!C19</f>
        <v>CohBar, Inc.</v>
      </c>
      <c r="C18" s="152">
        <f>'Beta Calc'!R16</f>
        <v>204.76295000000002</v>
      </c>
      <c r="D18" s="1936"/>
      <c r="E18" s="1936" t="s">
        <v>2416</v>
      </c>
      <c r="F18" s="1936" t="s">
        <v>781</v>
      </c>
      <c r="G18" s="1936"/>
      <c r="H18" s="152">
        <f>'Capital IQ Sheet-GPC'!O19</f>
        <v>0</v>
      </c>
      <c r="I18" s="152">
        <f>'Capital IQ Sheet-GPC'!P19</f>
        <v>0</v>
      </c>
      <c r="J18" s="152">
        <f>'Capital IQ Sheet-GPC'!Q19</f>
        <v>0</v>
      </c>
      <c r="K18" s="2135"/>
      <c r="L18" s="152">
        <f>'Capital IQ Sheet-GPC'!R19</f>
        <v>0</v>
      </c>
      <c r="M18" s="152">
        <f>'Capital IQ Sheet-GPC'!S19</f>
        <v>0</v>
      </c>
      <c r="N18" s="152" t="str">
        <f>'Capital IQ Sheet-GPC'!T19</f>
        <v>n/a</v>
      </c>
      <c r="O18" s="152" t="str">
        <f>'Capital IQ Sheet-GPC'!U19</f>
        <v>n/a</v>
      </c>
      <c r="P18" s="152" t="str">
        <f>'Capital IQ Sheet-GPC'!V19</f>
        <v>n/a</v>
      </c>
      <c r="Q18" s="1936"/>
      <c r="R18" s="154" t="str">
        <f t="shared" si="0"/>
        <v>n/a</v>
      </c>
      <c r="S18" s="154" t="str">
        <f t="shared" si="1"/>
        <v>n/a</v>
      </c>
      <c r="T18" s="154" t="str">
        <f t="shared" si="2"/>
        <v>n/a</v>
      </c>
      <c r="U18" s="1936"/>
      <c r="V18" s="154" t="str">
        <f t="shared" si="3"/>
        <v>n/a</v>
      </c>
      <c r="W18" s="154" t="str">
        <f t="shared" si="4"/>
        <v>n/a</v>
      </c>
      <c r="X18" s="154" t="str">
        <f t="shared" si="5"/>
        <v>n/a</v>
      </c>
      <c r="Y18" s="154" t="str">
        <f t="shared" si="6"/>
        <v>n/a</v>
      </c>
      <c r="Z18" s="154" t="str">
        <f t="shared" si="7"/>
        <v>n/a</v>
      </c>
      <c r="AA18" s="1936"/>
      <c r="AB18" s="406">
        <f>'Beta Calc'!K16</f>
        <v>211.81835000000001</v>
      </c>
      <c r="AC18" s="406">
        <f>'Beta Calc'!L16</f>
        <v>1.40126</v>
      </c>
      <c r="AD18" s="406">
        <f>'Beta Calc'!M16</f>
        <v>0</v>
      </c>
      <c r="AE18" s="406">
        <f>'Beta Calc'!N16</f>
        <v>0</v>
      </c>
      <c r="AF18" s="406">
        <f t="shared" si="8"/>
        <v>1.40126</v>
      </c>
      <c r="AG18" s="503">
        <f t="shared" si="9"/>
        <v>213.21961000000002</v>
      </c>
      <c r="AH18" s="406">
        <f>'Beta Calc'!Q16</f>
        <v>8.4566599999999994</v>
      </c>
      <c r="AI18" s="92">
        <f t="shared" si="10"/>
        <v>204.76295000000002</v>
      </c>
      <c r="AK18" s="93" t="str">
        <f>IF('MASTER PubCo Inputs'!C34="","",'MASTER PubCo Inputs'!C34)</f>
        <v>IQ134282175</v>
      </c>
      <c r="AL18" s="405" t="str">
        <f>'Capital IQ Sheet-GPC'!AP19</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row>
    <row r="19" spans="2:38" ht="12.75" customHeight="1">
      <c r="B19" s="1936" t="str">
        <f>'Capital IQ Sheet-GPC'!C20</f>
        <v>VIVUS, Inc.</v>
      </c>
      <c r="C19" s="152">
        <f>'Beta Calc'!R17</f>
        <v>102.15014000000002</v>
      </c>
      <c r="D19" s="1936"/>
      <c r="E19" s="1936" t="s">
        <v>2416</v>
      </c>
      <c r="F19" s="1936" t="s">
        <v>861</v>
      </c>
      <c r="G19" s="1936"/>
      <c r="H19" s="152">
        <f>'Capital IQ Sheet-GPC'!O20</f>
        <v>78.587999999999994</v>
      </c>
      <c r="I19" s="152">
        <f>'Capital IQ Sheet-GPC'!P20</f>
        <v>135.946</v>
      </c>
      <c r="J19" s="152">
        <f>'Capital IQ Sheet-GPC'!Q20</f>
        <v>50.261000000000003</v>
      </c>
      <c r="K19" s="2135"/>
      <c r="L19" s="152">
        <f>'Capital IQ Sheet-GPC'!R20</f>
        <v>124.258</v>
      </c>
      <c r="M19" s="152">
        <f>'Capital IQ Sheet-GPC'!S20</f>
        <v>65.373000000000005</v>
      </c>
      <c r="N19" s="152">
        <f>'Capital IQ Sheet-GPC'!T20</f>
        <v>59.9</v>
      </c>
      <c r="O19" s="152">
        <f>'Capital IQ Sheet-GPC'!U20</f>
        <v>60</v>
      </c>
      <c r="P19" s="152" t="str">
        <f>'Capital IQ Sheet-GPC'!V20</f>
        <v>n/a</v>
      </c>
      <c r="Q19" s="1936"/>
      <c r="R19" s="154">
        <f t="shared" si="0"/>
        <v>1.2998185473609207</v>
      </c>
      <c r="S19" s="154">
        <f t="shared" si="1"/>
        <v>0.75140232151001152</v>
      </c>
      <c r="T19" s="154">
        <f t="shared" si="2"/>
        <v>2.032393704860628</v>
      </c>
      <c r="U19" s="1936"/>
      <c r="V19" s="154">
        <f t="shared" si="3"/>
        <v>0.82208099277310132</v>
      </c>
      <c r="W19" s="154">
        <f t="shared" si="4"/>
        <v>1.5625738454713722</v>
      </c>
      <c r="X19" s="154">
        <f t="shared" si="5"/>
        <v>1.7053445742904845</v>
      </c>
      <c r="Y19" s="154">
        <f t="shared" si="6"/>
        <v>1.7025023333333338</v>
      </c>
      <c r="Z19" s="154" t="str">
        <f t="shared" si="7"/>
        <v>n/a</v>
      </c>
      <c r="AA19" s="1936"/>
      <c r="AB19" s="406">
        <f>'Beta Calc'!K17</f>
        <v>74.768140000000002</v>
      </c>
      <c r="AC19" s="406">
        <f>'Beta Calc'!L17</f>
        <v>236.50700000000001</v>
      </c>
      <c r="AD19" s="406">
        <f>'Beta Calc'!M17</f>
        <v>0</v>
      </c>
      <c r="AE19" s="406">
        <f>'Beta Calc'!N17</f>
        <v>0</v>
      </c>
      <c r="AF19" s="406">
        <f t="shared" si="8"/>
        <v>236.50700000000001</v>
      </c>
      <c r="AG19" s="503">
        <f t="shared" si="9"/>
        <v>311.27514000000002</v>
      </c>
      <c r="AH19" s="406">
        <f>'Beta Calc'!Q17</f>
        <v>209.125</v>
      </c>
      <c r="AI19" s="92">
        <f t="shared" si="10"/>
        <v>102.15014000000002</v>
      </c>
      <c r="AK19" s="93" t="str">
        <f>IF('MASTER PubCo Inputs'!C35="","",'MASTER PubCo Inputs'!C35)</f>
        <v>IQ36398</v>
      </c>
      <c r="AL19" s="405" t="str">
        <f>'Capital IQ Sheet-GPC'!AP20</f>
        <v>VIVUS, Inc., a biopharmaceutical company, develops and commercializes novel therapeutic products to address unmet medical needs in human health in the United States and the European Union. The company offers Qsymia for the treatment of obesity as an adjunct to a reduced-calorie diet and increased physical activity for chronic weight management in adult patients with an initial body mass index of 30 or greater, or obese patients, or 27 or greater, or overweight patients in the presence of at least one weight-related comorbidity, such as hypertension, type 2 diabetes mellitus or high cholesterol; and STENDRA, an oral phosphodiesterase type 5 inhibitor for the treatment of erectile dysfunction. It is also involved in developing Qsymia, which has been completed Phase II studies for the treatment of various diseases, including obstructive sleep apnea and diabetes, nonalcoholic steatohepatitis and fatty liver disease, hyperlipidemia, and hypertension, as well as Tacrolimus that has been completed Phase IIa studies for the treatment of pulmonary arterial hypertension. The company has development, license and clinical trial, and commercial supply agreement with Mitsubishi Tanabe Pharma Corporation for the development and commercialization of avanafil, a PDE5 inhibitor compound for the oral and local treatment of male and female sexual dysfunction. It also has license and commercialization agreements with Berlin Chemie AG to commercialize and promote STENDRA. VIVUS, Inc. was founded in 1991 and is headquartered in Campbell, California.</v>
      </c>
    </row>
    <row r="20" spans="2:38" ht="12.75" customHeight="1">
      <c r="B20" s="1936" t="str">
        <f>'Capital IQ Sheet-GPC'!C21</f>
        <v>Anavex Life Sciences Corp.</v>
      </c>
      <c r="C20" s="152">
        <f>'Beta Calc'!R18</f>
        <v>91.352779999999996</v>
      </c>
      <c r="D20" s="1936"/>
      <c r="E20" s="1936" t="s">
        <v>2783</v>
      </c>
      <c r="F20" s="1936" t="s">
        <v>1049</v>
      </c>
      <c r="G20" s="1936"/>
      <c r="H20" s="152">
        <f>'Capital IQ Sheet-GPC'!O21</f>
        <v>0</v>
      </c>
      <c r="I20" s="152">
        <f>'Capital IQ Sheet-GPC'!P21</f>
        <v>0</v>
      </c>
      <c r="J20" s="152">
        <f>'Capital IQ Sheet-GPC'!Q21</f>
        <v>0</v>
      </c>
      <c r="K20" s="2135"/>
      <c r="L20" s="152">
        <f>'Capital IQ Sheet-GPC'!R21</f>
        <v>0</v>
      </c>
      <c r="M20" s="152">
        <f>'Capital IQ Sheet-GPC'!S21</f>
        <v>0</v>
      </c>
      <c r="N20" s="152" t="str">
        <f>'Capital IQ Sheet-GPC'!T21</f>
        <v>n/a</v>
      </c>
      <c r="O20" s="152">
        <f>'Capital IQ Sheet-GPC'!U21</f>
        <v>6.5</v>
      </c>
      <c r="P20" s="152">
        <f>'Capital IQ Sheet-GPC'!V21</f>
        <v>31.1892</v>
      </c>
      <c r="Q20" s="1936"/>
      <c r="R20" s="154" t="str">
        <f t="shared" si="0"/>
        <v>n/a</v>
      </c>
      <c r="S20" s="154" t="str">
        <f t="shared" si="1"/>
        <v>n/a</v>
      </c>
      <c r="T20" s="154" t="str">
        <f t="shared" si="2"/>
        <v>n/a</v>
      </c>
      <c r="U20" s="1936"/>
      <c r="V20" s="154" t="str">
        <f t="shared" si="3"/>
        <v>n/a</v>
      </c>
      <c r="W20" s="154" t="str">
        <f t="shared" si="4"/>
        <v>n/a</v>
      </c>
      <c r="X20" s="154" t="str">
        <f t="shared" si="5"/>
        <v>n/a</v>
      </c>
      <c r="Y20" s="154">
        <f t="shared" si="6"/>
        <v>14.054273846153846</v>
      </c>
      <c r="Z20" s="154">
        <f t="shared" si="7"/>
        <v>2.9289875982711964</v>
      </c>
      <c r="AA20" s="1936"/>
      <c r="AB20" s="406">
        <f>'Beta Calc'!K18</f>
        <v>117.00936</v>
      </c>
      <c r="AC20" s="406">
        <f>'Beta Calc'!L18</f>
        <v>0</v>
      </c>
      <c r="AD20" s="406">
        <f>'Beta Calc'!M18</f>
        <v>0</v>
      </c>
      <c r="AE20" s="406">
        <f>'Beta Calc'!N18</f>
        <v>0</v>
      </c>
      <c r="AF20" s="406">
        <f t="shared" si="8"/>
        <v>0</v>
      </c>
      <c r="AG20" s="503">
        <f t="shared" si="9"/>
        <v>117.00936</v>
      </c>
      <c r="AH20" s="406">
        <f>'Beta Calc'!Q18</f>
        <v>25.656580000000002</v>
      </c>
      <c r="AI20" s="92">
        <f t="shared" si="10"/>
        <v>91.352779999999996</v>
      </c>
      <c r="AK20" s="93" t="str">
        <f>IF('MASTER PubCo Inputs'!C36="","",'MASTER PubCo Inputs'!C36)</f>
        <v>IQ13580387</v>
      </c>
      <c r="AL20" s="405" t="str">
        <f>'Capital IQ Sheet-GPC'!AP21</f>
        <v>Anavex Life Sciences Corp., a clinical stage biopharmaceutical company, engages in the development of drug candidates for the treatment of Alzheimer’s disease, other central nervous system diseases, pain, and various cancers. The company’s lead drug candidates include ANAVEX 2-73, which has completed Phase IIa clinical trials for the treatment of Alzheimer’s disease; and in preclinical clinical trials to treat Parkinson’s disease, epilepsy, Rett syndrome, Angelman syndrome, multiple sclerosis, and Fragile X syndrome. Its preclinical drug candidates include ANAVEX 3-71 to treat Alzheimer’s disease; ANAVEX 1-41, a sigma-1 agonist; ANAVEX 1037 for the treatment of prostate cancer; and ANAVEX 1066, a mixed sigma-1/sigma-2 ligand for the treatment of neuropathic and visceral pain. The company was founded in 2006 and is based in New York, New York.</v>
      </c>
    </row>
    <row r="21" spans="2:38" ht="12.75" customHeight="1">
      <c r="B21" s="1936" t="str">
        <f>'Capital IQ Sheet-GPC'!C22</f>
        <v>OptiBiotix Health plc</v>
      </c>
      <c r="C21" s="152">
        <f>'Beta Calc'!R19</f>
        <v>71.230959999999996</v>
      </c>
      <c r="D21" s="1936"/>
      <c r="E21" s="1936" t="s">
        <v>2416</v>
      </c>
      <c r="F21" s="1936" t="s">
        <v>861</v>
      </c>
      <c r="G21" s="1936"/>
      <c r="H21" s="152">
        <f>'Capital IQ Sheet-GPC'!O22</f>
        <v>4.2450000000000002E-2</v>
      </c>
      <c r="I21" s="152">
        <f>'Capital IQ Sheet-GPC'!P22</f>
        <v>0.35974</v>
      </c>
      <c r="J21" s="152">
        <f>'Capital IQ Sheet-GPC'!Q22</f>
        <v>0.25808999999999999</v>
      </c>
      <c r="K21" s="2135"/>
      <c r="L21" s="152">
        <f>'Capital IQ Sheet-GPC'!R22</f>
        <v>0.35974</v>
      </c>
      <c r="M21" s="152">
        <f>'Capital IQ Sheet-GPC'!S22</f>
        <v>0.25808999999999999</v>
      </c>
      <c r="N21" s="152" t="str">
        <f>'Capital IQ Sheet-GPC'!T22</f>
        <v>n/a</v>
      </c>
      <c r="O21" s="152" t="str">
        <f>'Capital IQ Sheet-GPC'!U22</f>
        <v>n/a</v>
      </c>
      <c r="P21" s="152" t="str">
        <f>'Capital IQ Sheet-GPC'!V22</f>
        <v>n/a</v>
      </c>
      <c r="Q21" s="1936"/>
      <c r="R21" s="154">
        <f t="shared" si="0"/>
        <v>1677.9967020023555</v>
      </c>
      <c r="S21" s="154">
        <f t="shared" si="1"/>
        <v>198.00678267637738</v>
      </c>
      <c r="T21" s="154" t="str">
        <f t="shared" si="2"/>
        <v>NM</v>
      </c>
      <c r="U21" s="1936"/>
      <c r="V21" s="154" t="str">
        <f t="shared" si="3"/>
        <v>NM</v>
      </c>
      <c r="W21" s="154" t="str">
        <f t="shared" si="4"/>
        <v>NM</v>
      </c>
      <c r="X21" s="154" t="str">
        <f t="shared" si="5"/>
        <v>n/a</v>
      </c>
      <c r="Y21" s="154" t="str">
        <f t="shared" si="6"/>
        <v>n/a</v>
      </c>
      <c r="Z21" s="154" t="str">
        <f t="shared" si="7"/>
        <v>n/a</v>
      </c>
      <c r="AA21" s="1936"/>
      <c r="AB21" s="406">
        <f>'Beta Calc'!K19</f>
        <v>72.915899999999993</v>
      </c>
      <c r="AC21" s="406">
        <f>'Beta Calc'!L19</f>
        <v>0</v>
      </c>
      <c r="AD21" s="406">
        <f>'Beta Calc'!M19</f>
        <v>0</v>
      </c>
      <c r="AE21" s="406">
        <f>'Beta Calc'!N19</f>
        <v>0</v>
      </c>
      <c r="AF21" s="406">
        <f t="shared" si="8"/>
        <v>0</v>
      </c>
      <c r="AG21" s="503">
        <f t="shared" si="9"/>
        <v>72.915899999999993</v>
      </c>
      <c r="AH21" s="406">
        <f>'Beta Calc'!Q19</f>
        <v>1.6849400000000001</v>
      </c>
      <c r="AI21" s="92">
        <f t="shared" si="10"/>
        <v>71.230959999999996</v>
      </c>
      <c r="AK21" s="93" t="str">
        <f>IF('MASTER PubCo Inputs'!C37="","",'MASTER PubCo Inputs'!C37)</f>
        <v>IQ129358643</v>
      </c>
      <c r="AL21" s="405" t="str">
        <f>'Capital IQ Sheet-GPC'!AP22</f>
        <v>Optibiotix Health Plc, a life sciences company, engages in the research and development of microbiome modulators primarily in the United Kingdom. The company is developing microbial strains, compounds, and formulations, which modulates the human microbiome and impacts lipid and cholesterol management, energy harvest, and appetite suppression activities. Its products include Slimbiome, a natural ingredient, which supports scientifically substantiated weight loss claims; CholBiome, a food supplement that combines natural ingredients and maintains healthy cholesterol levels from within; CardioBiome, a non-pharmaceutical approach for the maintenance of cardiovascular and heart health; and Sweetbiotix, a sweet calorie free natural healthy sugar. Optibiotix Health Plc was founded in 2012 and is based in York, the United Kingdom.</v>
      </c>
    </row>
    <row r="22" spans="2:38" ht="12.75" customHeight="1">
      <c r="B22" s="1936" t="str">
        <f>'Capital IQ Sheet-GPC'!C23</f>
        <v>Soleno Therapeutics, Inc.</v>
      </c>
      <c r="C22" s="152">
        <f>'Beta Calc'!R20</f>
        <v>31.392000000000003</v>
      </c>
      <c r="D22" s="1936"/>
      <c r="E22" s="149" t="s">
        <v>2797</v>
      </c>
      <c r="F22" s="2323" t="s">
        <v>518</v>
      </c>
      <c r="G22" s="1936"/>
      <c r="H22" s="152">
        <f>'Capital IQ Sheet-GPC'!O23</f>
        <v>1.03247</v>
      </c>
      <c r="I22" s="152">
        <f>'Capital IQ Sheet-GPC'!P23</f>
        <v>-0.44700000000000001</v>
      </c>
      <c r="J22" s="152">
        <f>'Capital IQ Sheet-GPC'!Q23</f>
        <v>0</v>
      </c>
      <c r="K22" s="2135"/>
      <c r="L22" s="152">
        <f>'Capital IQ Sheet-GPC'!R23</f>
        <v>0</v>
      </c>
      <c r="M22" s="152">
        <f>'Capital IQ Sheet-GPC'!S23</f>
        <v>0</v>
      </c>
      <c r="N22" s="152">
        <f>'Capital IQ Sheet-GPC'!T23</f>
        <v>0.2225</v>
      </c>
      <c r="O22" s="152">
        <f>'Capital IQ Sheet-GPC'!U23</f>
        <v>0.75</v>
      </c>
      <c r="P22" s="152">
        <f>'Capital IQ Sheet-GPC'!V23</f>
        <v>1.25</v>
      </c>
      <c r="Q22" s="1936"/>
      <c r="R22" s="154">
        <f t="shared" si="0"/>
        <v>30.404757523221015</v>
      </c>
      <c r="S22" s="154">
        <f t="shared" si="1"/>
        <v>-70.228187919463096</v>
      </c>
      <c r="T22" s="154" t="str">
        <f t="shared" si="2"/>
        <v>n/a</v>
      </c>
      <c r="U22" s="1936"/>
      <c r="V22" s="154" t="str">
        <f t="shared" si="3"/>
        <v>n/a</v>
      </c>
      <c r="W22" s="154" t="str">
        <f t="shared" si="4"/>
        <v>n/a</v>
      </c>
      <c r="X22" s="154" t="str">
        <f t="shared" si="5"/>
        <v>NM</v>
      </c>
      <c r="Y22" s="154">
        <f t="shared" si="6"/>
        <v>41.856000000000002</v>
      </c>
      <c r="Z22" s="154">
        <f t="shared" si="7"/>
        <v>25.113600000000002</v>
      </c>
      <c r="AA22" s="1936"/>
      <c r="AB22" s="406">
        <f>'Beta Calc'!K20</f>
        <v>46.258000000000003</v>
      </c>
      <c r="AC22" s="406">
        <f>'Beta Calc'!L20</f>
        <v>0</v>
      </c>
      <c r="AD22" s="406">
        <f>'Beta Calc'!M20</f>
        <v>0</v>
      </c>
      <c r="AE22" s="406">
        <f>'Beta Calc'!N20</f>
        <v>0</v>
      </c>
      <c r="AF22" s="406">
        <f t="shared" si="8"/>
        <v>0</v>
      </c>
      <c r="AG22" s="503">
        <f t="shared" si="9"/>
        <v>46.258000000000003</v>
      </c>
      <c r="AH22" s="406">
        <f>'Beta Calc'!Q20</f>
        <v>14.866</v>
      </c>
      <c r="AI22" s="92">
        <f t="shared" si="10"/>
        <v>31.392000000000003</v>
      </c>
      <c r="AK22" s="93" t="str">
        <f>IF('MASTER PubCo Inputs'!C38="","",'MASTER PubCo Inputs'!C38)</f>
        <v>IQ2520553</v>
      </c>
      <c r="AL22" s="405" t="str">
        <f>'Capital IQ Sheet-GPC'!AP23</f>
        <v>Soleno Therapeutics, Inc. focuses on the development and commercialization of novel therapeutics for the treatment of rare diseases. Its lead candidate, diazoxide choline controlled-release (DCCR), a tablet for the treatment of Prader-Willi Syndrome (PWS), is entering into late-stage clinical development. The company was formerly known as Capnia, Inc. and changed its name to Soleno Therapeutics, Inc. in May 2017. Soleno Therapeutics, Inc. was founded in 1999 and is based in Redwood City, California.</v>
      </c>
    </row>
    <row r="23" spans="2:38" ht="12.75" customHeight="1">
      <c r="B23" s="1936" t="str">
        <f>'Capital IQ Sheet-GPC'!C24</f>
        <v>Synthetic Biologics, Inc.</v>
      </c>
      <c r="C23" s="152">
        <f>'Beta Calc'!R21</f>
        <v>29.879480000000001</v>
      </c>
      <c r="D23" s="1936"/>
      <c r="E23" s="149" t="s">
        <v>2926</v>
      </c>
      <c r="F23" s="1936" t="s">
        <v>510</v>
      </c>
      <c r="G23" s="1936"/>
      <c r="H23" s="152">
        <f>'Capital IQ Sheet-GPC'!O24</f>
        <v>0</v>
      </c>
      <c r="I23" s="152">
        <f>'Capital IQ Sheet-GPC'!P24</f>
        <v>0</v>
      </c>
      <c r="J23" s="152">
        <f>'Capital IQ Sheet-GPC'!Q24</f>
        <v>0</v>
      </c>
      <c r="K23" s="2135"/>
      <c r="L23" s="152">
        <f>'Capital IQ Sheet-GPC'!R24</f>
        <v>0</v>
      </c>
      <c r="M23" s="152">
        <f>'Capital IQ Sheet-GPC'!S24</f>
        <v>0</v>
      </c>
      <c r="N23" s="152" t="str">
        <f>'Capital IQ Sheet-GPC'!T24</f>
        <v>n/a</v>
      </c>
      <c r="O23" s="152">
        <f>'Capital IQ Sheet-GPC'!U24</f>
        <v>40</v>
      </c>
      <c r="P23" s="152" t="str">
        <f>'Capital IQ Sheet-GPC'!V24</f>
        <v>n/a</v>
      </c>
      <c r="Q23" s="1936"/>
      <c r="R23" s="154" t="str">
        <f t="shared" si="0"/>
        <v>n/a</v>
      </c>
      <c r="S23" s="154" t="str">
        <f t="shared" si="1"/>
        <v>n/a</v>
      </c>
      <c r="T23" s="154" t="str">
        <f t="shared" si="2"/>
        <v>n/a</v>
      </c>
      <c r="U23" s="1936"/>
      <c r="V23" s="154" t="str">
        <f t="shared" si="3"/>
        <v>n/a</v>
      </c>
      <c r="W23" s="154" t="str">
        <f t="shared" si="4"/>
        <v>n/a</v>
      </c>
      <c r="X23" s="154" t="str">
        <f t="shared" si="5"/>
        <v>n/a</v>
      </c>
      <c r="Y23" s="154">
        <f t="shared" si="6"/>
        <v>0.74698700000000007</v>
      </c>
      <c r="Z23" s="154" t="str">
        <f t="shared" si="7"/>
        <v>n/a</v>
      </c>
      <c r="AA23" s="1936"/>
      <c r="AB23" s="406">
        <f>'Beta Calc'!K21</f>
        <v>30.72748</v>
      </c>
      <c r="AC23" s="406">
        <f>'Beta Calc'!L21</f>
        <v>0</v>
      </c>
      <c r="AD23" s="406">
        <f>'Beta Calc'!M21</f>
        <v>12.112</v>
      </c>
      <c r="AE23" s="406">
        <f>'Beta Calc'!N21</f>
        <v>-1.923</v>
      </c>
      <c r="AF23" s="406">
        <f t="shared" si="8"/>
        <v>10.189</v>
      </c>
      <c r="AG23" s="503">
        <f t="shared" si="9"/>
        <v>40.91648</v>
      </c>
      <c r="AH23" s="406">
        <f>'Beta Calc'!Q21</f>
        <v>11.037000000000001</v>
      </c>
      <c r="AI23" s="92">
        <f t="shared" si="10"/>
        <v>29.879480000000001</v>
      </c>
      <c r="AK23" s="93" t="str">
        <f>IF('MASTER PubCo Inputs'!C39="","",'MASTER PubCo Inputs'!C39)</f>
        <v>IQ24424557</v>
      </c>
      <c r="AL23" s="405" t="str">
        <f>'Capital IQ Sheet-GPC'!AP24</f>
        <v>Synthetic Biologics, Inc., a late-stage clinical company, develops therapeutics designed to preserve the microbiome to protect and restore the health of patients. Its lead product candidates are in Phase III development, such as SYN-004 that is designed to protect the gut microbiome from the effects of commonly used intravenous (IV) beta-lactam antibiotics for the prevention of C. difficile infection, overgrowth of pathogenic organisms, and the emergence of antimicrobial resistance; and SYN-010 which is intended to reduce the impact of methane-producing organisms in the gut microbiome to treat an underlying cause of irritable bowel syndrome with constipation. The company’s preclinical products include an oral formulation of the enzyme intestinal alkaline phosphatase to treat local GI disorders and systemic diseases; monoclonal antibody therapies for the prevention and treatment of pertussis; and novel discovery stage biotherapeutics for the treatment of phenylketonuria. Synthetic Biologics, Inc. has collaborations with Intrexon Corporation, The University of Texas at Austin, and Cedars-Sinai Medical Center. The company was formerly known as Adeona Pharmaceuticals, Inc. and changed its name to Synthetic Biologics, Inc. in February 2012. Synthetic Biologics, Inc. was founded in 2001 and is headquartered in Rockville, Maryland.</v>
      </c>
    </row>
    <row r="24" spans="2:38" ht="14.25" customHeight="1">
      <c r="B24" s="1936" t="str">
        <f>'Capital IQ Sheet-GPC'!C25</f>
        <v>Nexus BioPharma, Inc.</v>
      </c>
      <c r="C24" s="152">
        <f>'Beta Calc'!R22</f>
        <v>4.2106600000000007</v>
      </c>
      <c r="D24" s="1936"/>
      <c r="E24" s="1936" t="s">
        <v>2416</v>
      </c>
      <c r="F24" s="1936" t="s">
        <v>781</v>
      </c>
      <c r="G24" s="1936"/>
      <c r="H24" s="152">
        <f>'Capital IQ Sheet-GPC'!O25</f>
        <v>0</v>
      </c>
      <c r="I24" s="152">
        <f>'Capital IQ Sheet-GPC'!P25</f>
        <v>0</v>
      </c>
      <c r="J24" s="152">
        <f>'Capital IQ Sheet-GPC'!Q25</f>
        <v>0</v>
      </c>
      <c r="K24" s="2135"/>
      <c r="L24" s="152">
        <f>'Capital IQ Sheet-GPC'!R25</f>
        <v>0</v>
      </c>
      <c r="M24" s="152">
        <f>'Capital IQ Sheet-GPC'!S25</f>
        <v>0</v>
      </c>
      <c r="N24" s="152" t="str">
        <f>'Capital IQ Sheet-GPC'!T25</f>
        <v>n/a</v>
      </c>
      <c r="O24" s="152" t="str">
        <f>'Capital IQ Sheet-GPC'!U25</f>
        <v>n/a</v>
      </c>
      <c r="P24" s="152" t="str">
        <f>'Capital IQ Sheet-GPC'!V25</f>
        <v>n/a</v>
      </c>
      <c r="Q24" s="1936"/>
      <c r="R24" s="154" t="str">
        <f t="shared" si="0"/>
        <v>n/a</v>
      </c>
      <c r="S24" s="154" t="str">
        <f t="shared" si="1"/>
        <v>n/a</v>
      </c>
      <c r="T24" s="154" t="str">
        <f t="shared" si="2"/>
        <v>n/a</v>
      </c>
      <c r="U24" s="1936"/>
      <c r="V24" s="154" t="str">
        <f t="shared" si="3"/>
        <v>n/a</v>
      </c>
      <c r="W24" s="154" t="str">
        <f t="shared" si="4"/>
        <v>n/a</v>
      </c>
      <c r="X24" s="154" t="str">
        <f t="shared" si="5"/>
        <v>n/a</v>
      </c>
      <c r="Y24" s="154" t="str">
        <f t="shared" si="6"/>
        <v>n/a</v>
      </c>
      <c r="Z24" s="154" t="str">
        <f t="shared" si="7"/>
        <v>n/a</v>
      </c>
      <c r="AA24" s="2136" t="s">
        <v>209</v>
      </c>
      <c r="AB24" s="406">
        <f>'Beta Calc'!K22</f>
        <v>3.8515700000000002</v>
      </c>
      <c r="AC24" s="406">
        <f>'Beta Calc'!L22</f>
        <v>0.36752000000000001</v>
      </c>
      <c r="AD24" s="406">
        <f>'Beta Calc'!M22</f>
        <v>0</v>
      </c>
      <c r="AE24" s="406">
        <f>'Beta Calc'!N22</f>
        <v>0</v>
      </c>
      <c r="AF24" s="406">
        <f t="shared" si="8"/>
        <v>0.36752000000000001</v>
      </c>
      <c r="AG24" s="503">
        <f t="shared" si="9"/>
        <v>4.2190900000000005</v>
      </c>
      <c r="AH24" s="406">
        <f>'Beta Calc'!Q22</f>
        <v>8.43E-3</v>
      </c>
      <c r="AI24" s="92">
        <f t="shared" si="10"/>
        <v>4.2106600000000007</v>
      </c>
      <c r="AK24" s="93" t="str">
        <f>IF('MASTER PubCo Inputs'!C40="","",'MASTER PubCo Inputs'!C40)</f>
        <v>IQ340704541</v>
      </c>
      <c r="AL24" s="405" t="str">
        <f>'Capital IQ Sheet-GPC'!AP25</f>
        <v>Nexus BioPharma, Inc., a life science company, focuses on the development and commercialization of a pharmaceutical preparation to treat obesity and the symptoms of type 2 diabetes. The company is headquartered in Houston, Texas.</v>
      </c>
    </row>
    <row r="25" spans="2:38" ht="12.75" customHeight="1">
      <c r="B25" s="1936" t="str">
        <f>'Capital IQ Sheet-GPC'!C26</f>
        <v>Ritter Pharmaceuticals, Inc.</v>
      </c>
      <c r="C25" s="152">
        <f>'Beta Calc'!R23</f>
        <v>-1.0675899999999992</v>
      </c>
      <c r="D25" s="1936"/>
      <c r="E25" s="149" t="s">
        <v>2927</v>
      </c>
      <c r="F25" s="1936" t="s">
        <v>781</v>
      </c>
      <c r="G25" s="1936"/>
      <c r="H25" s="152">
        <f>'Capital IQ Sheet-GPC'!O26</f>
        <v>0</v>
      </c>
      <c r="I25" s="152">
        <f>'Capital IQ Sheet-GPC'!P26</f>
        <v>0</v>
      </c>
      <c r="J25" s="152">
        <f>'Capital IQ Sheet-GPC'!Q26</f>
        <v>0</v>
      </c>
      <c r="K25" s="2135"/>
      <c r="L25" s="152">
        <f>'Capital IQ Sheet-GPC'!R26</f>
        <v>0</v>
      </c>
      <c r="M25" s="152">
        <f>'Capital IQ Sheet-GPC'!S26</f>
        <v>0</v>
      </c>
      <c r="N25" s="152" t="str">
        <f>'Capital IQ Sheet-GPC'!T26</f>
        <v>n/a</v>
      </c>
      <c r="O25" s="152" t="str">
        <f>'Capital IQ Sheet-GPC'!U26</f>
        <v>n/a</v>
      </c>
      <c r="P25" s="152">
        <f>'Capital IQ Sheet-GPC'!V26</f>
        <v>1</v>
      </c>
      <c r="Q25" s="1936"/>
      <c r="R25" s="154" t="str">
        <f t="shared" si="0"/>
        <v>n/a</v>
      </c>
      <c r="S25" s="154" t="str">
        <f t="shared" si="1"/>
        <v>n/a</v>
      </c>
      <c r="T25" s="154" t="str">
        <f t="shared" si="2"/>
        <v>n/a</v>
      </c>
      <c r="U25" s="1936"/>
      <c r="V25" s="154" t="str">
        <f t="shared" si="3"/>
        <v>n/a</v>
      </c>
      <c r="W25" s="154" t="str">
        <f t="shared" si="4"/>
        <v>n/a</v>
      </c>
      <c r="X25" s="154" t="str">
        <f t="shared" si="5"/>
        <v>n/a</v>
      </c>
      <c r="Y25" s="154" t="str">
        <f t="shared" si="6"/>
        <v>n/a</v>
      </c>
      <c r="Z25" s="154" t="str">
        <f t="shared" si="7"/>
        <v>NM</v>
      </c>
      <c r="AA25" s="2136" t="s">
        <v>246</v>
      </c>
      <c r="AB25" s="406">
        <f>'Beta Calc'!K23</f>
        <v>12.90047</v>
      </c>
      <c r="AC25" s="406">
        <f>'Beta Calc'!L23</f>
        <v>0</v>
      </c>
      <c r="AD25" s="406">
        <f>'Beta Calc'!M23</f>
        <v>4.9489799999999997</v>
      </c>
      <c r="AE25" s="406">
        <f>'Beta Calc'!N23</f>
        <v>0</v>
      </c>
      <c r="AF25" s="406">
        <f t="shared" si="8"/>
        <v>4.9489799999999997</v>
      </c>
      <c r="AG25" s="503">
        <f t="shared" si="9"/>
        <v>17.849450000000001</v>
      </c>
      <c r="AH25" s="406">
        <f>'Beta Calc'!Q23</f>
        <v>18.91704</v>
      </c>
      <c r="AI25" s="92">
        <f t="shared" si="10"/>
        <v>-1.0675899999999992</v>
      </c>
      <c r="AK25" s="93" t="str">
        <f>IF('MASTER PubCo Inputs'!C41="","",'MASTER PubCo Inputs'!C41)</f>
        <v>IQ62102047</v>
      </c>
      <c r="AL25" s="405" t="str">
        <f>'Capital IQ Sheet-GPC'!AP26</f>
        <v>Ritter Pharmaceuticals, Inc. develops and sells novel therapeutic products that modulate the human gut microbiome to treat gastrointestinal diseases. Its lead product candidate is RP-G28, a novel microbiome modulator, which has completed Phase 2b clinical trial for the reduction of symptoms associated with lactose intolerance. The company’s product, RP-G28 is designed to stimulate the growth of lactose-metabolizing bacteria in the colon, thereby adapting the gut microbiome to assist in digesting the lactose that reaches the large intestine. The company was formerly known as Ritter Natural Sciences, LLC and changed its name to Ritter Pharmaceuticals, Inc. in September 2008. Ritter Pharmaceuticals, Inc. was founded in 2004 and is headquartered in Los Angeles, California.</v>
      </c>
    </row>
    <row r="26" spans="2:38" ht="29.25" hidden="1" customHeight="1" outlineLevel="1">
      <c r="B26" s="1936"/>
      <c r="C26" s="152"/>
      <c r="D26" s="1936"/>
      <c r="G26" s="1936"/>
      <c r="H26" s="152"/>
      <c r="I26" s="152"/>
      <c r="J26" s="152"/>
      <c r="K26" s="2135"/>
      <c r="L26" s="152"/>
      <c r="M26" s="152"/>
      <c r="N26" s="152"/>
      <c r="O26" s="152"/>
      <c r="P26" s="152"/>
      <c r="Q26" s="1936"/>
      <c r="R26" s="154"/>
      <c r="S26" s="154"/>
      <c r="T26" s="154"/>
      <c r="U26" s="1936"/>
      <c r="V26" s="154"/>
      <c r="W26" s="154"/>
      <c r="X26" s="154"/>
      <c r="Y26" s="154"/>
      <c r="Z26" s="154"/>
      <c r="AA26" s="2324"/>
      <c r="AB26" s="406"/>
      <c r="AC26" s="406"/>
      <c r="AD26" s="406"/>
      <c r="AE26" s="406"/>
      <c r="AF26" s="406"/>
      <c r="AG26" s="503"/>
      <c r="AH26" s="406"/>
      <c r="AI26" s="92"/>
      <c r="AK26" s="93"/>
    </row>
    <row r="27" spans="2:38" ht="12.75" hidden="1" customHeight="1" outlineLevel="1">
      <c r="C27" s="92"/>
      <c r="E27" s="6"/>
      <c r="H27" s="92"/>
      <c r="I27" s="92"/>
      <c r="J27" s="92"/>
      <c r="K27" s="406"/>
      <c r="L27" s="92"/>
      <c r="M27" s="92"/>
      <c r="N27" s="92"/>
      <c r="O27" s="92"/>
      <c r="P27" s="92"/>
      <c r="R27" s="90"/>
      <c r="S27" s="90"/>
      <c r="T27" s="90"/>
      <c r="V27" s="90"/>
      <c r="W27" s="90"/>
      <c r="X27" s="90"/>
      <c r="Y27" s="90"/>
      <c r="Z27" s="90"/>
      <c r="AB27" s="406"/>
      <c r="AC27" s="406"/>
      <c r="AD27" s="406"/>
      <c r="AE27" s="406"/>
      <c r="AF27" s="406"/>
      <c r="AG27" s="503"/>
      <c r="AH27" s="406"/>
      <c r="AI27" s="92"/>
      <c r="AK27" s="93"/>
    </row>
    <row r="28" spans="2:38" ht="12.75" hidden="1" customHeight="1" outlineLevel="1">
      <c r="C28" s="92"/>
      <c r="E28" s="6"/>
      <c r="H28" s="92"/>
      <c r="I28" s="92"/>
      <c r="J28" s="92"/>
      <c r="K28" s="406"/>
      <c r="L28" s="92"/>
      <c r="M28" s="92"/>
      <c r="N28" s="92"/>
      <c r="O28" s="92"/>
      <c r="P28" s="92"/>
      <c r="R28" s="90"/>
      <c r="S28" s="90"/>
      <c r="T28" s="90"/>
      <c r="V28" s="90"/>
      <c r="W28" s="90"/>
      <c r="X28" s="90"/>
      <c r="Y28" s="90"/>
      <c r="Z28" s="90"/>
      <c r="AB28" s="406"/>
      <c r="AC28" s="406"/>
      <c r="AD28" s="406"/>
      <c r="AE28" s="406"/>
      <c r="AF28" s="406"/>
      <c r="AG28" s="503"/>
      <c r="AH28" s="406"/>
      <c r="AI28" s="92"/>
      <c r="AK28" s="93"/>
    </row>
    <row r="29" spans="2:38" ht="12.75" hidden="1" customHeight="1" outlineLevel="1">
      <c r="C29" s="92"/>
      <c r="E29" s="6"/>
      <c r="H29" s="92"/>
      <c r="I29" s="92"/>
      <c r="J29" s="92"/>
      <c r="K29" s="406"/>
      <c r="L29" s="92"/>
      <c r="M29" s="92"/>
      <c r="N29" s="92"/>
      <c r="O29" s="92"/>
      <c r="P29" s="92"/>
      <c r="R29" s="90"/>
      <c r="S29" s="90"/>
      <c r="T29" s="90"/>
      <c r="V29" s="90"/>
      <c r="W29" s="90"/>
      <c r="X29" s="90"/>
      <c r="Y29" s="90"/>
      <c r="Z29" s="90"/>
      <c r="AB29" s="406"/>
      <c r="AC29" s="406"/>
      <c r="AD29" s="406"/>
      <c r="AE29" s="406"/>
      <c r="AF29" s="406"/>
      <c r="AG29" s="503"/>
      <c r="AH29" s="406"/>
      <c r="AI29" s="92"/>
      <c r="AK29" s="93"/>
    </row>
    <row r="30" spans="2:38" ht="12.75" hidden="1" customHeight="1" outlineLevel="1">
      <c r="C30" s="92"/>
      <c r="E30" s="6"/>
      <c r="H30" s="92"/>
      <c r="I30" s="92"/>
      <c r="J30" s="92"/>
      <c r="K30" s="406"/>
      <c r="L30" s="92"/>
      <c r="M30" s="92"/>
      <c r="N30" s="92"/>
      <c r="O30" s="92"/>
      <c r="P30" s="92"/>
      <c r="R30" s="90"/>
      <c r="S30" s="90"/>
      <c r="T30" s="90"/>
      <c r="V30" s="90"/>
      <c r="W30" s="90"/>
      <c r="X30" s="90"/>
      <c r="Y30" s="90"/>
      <c r="Z30" s="90"/>
      <c r="AB30" s="406"/>
      <c r="AC30" s="406"/>
      <c r="AD30" s="406"/>
      <c r="AE30" s="406"/>
      <c r="AF30" s="406"/>
      <c r="AG30" s="503"/>
      <c r="AH30" s="406"/>
      <c r="AI30" s="92"/>
      <c r="AK30" s="93"/>
    </row>
    <row r="31" spans="2:38" ht="12.75" hidden="1" customHeight="1" outlineLevel="1">
      <c r="C31" s="92"/>
      <c r="E31" s="6"/>
      <c r="H31" s="92"/>
      <c r="I31" s="92"/>
      <c r="J31" s="92"/>
      <c r="K31" s="406"/>
      <c r="L31" s="92"/>
      <c r="M31" s="92"/>
      <c r="N31" s="92"/>
      <c r="O31" s="92"/>
      <c r="P31" s="92"/>
      <c r="R31" s="90"/>
      <c r="S31" s="90"/>
      <c r="T31" s="90"/>
      <c r="V31" s="90"/>
      <c r="W31" s="90"/>
      <c r="X31" s="90"/>
      <c r="Y31" s="90"/>
      <c r="Z31" s="90"/>
      <c r="AB31" s="406"/>
      <c r="AC31" s="406"/>
      <c r="AD31" s="406"/>
      <c r="AE31" s="406"/>
      <c r="AF31" s="406"/>
      <c r="AG31" s="503"/>
      <c r="AH31" s="406"/>
      <c r="AI31" s="92"/>
      <c r="AK31" s="93"/>
    </row>
    <row r="32" spans="2:38" ht="12.75" hidden="1" customHeight="1" outlineLevel="1">
      <c r="C32" s="92"/>
      <c r="E32" s="6"/>
      <c r="H32" s="92"/>
      <c r="I32" s="92"/>
      <c r="J32" s="92"/>
      <c r="K32" s="406"/>
      <c r="L32" s="92"/>
      <c r="M32" s="92"/>
      <c r="N32" s="92"/>
      <c r="O32" s="92"/>
      <c r="P32" s="92"/>
      <c r="R32" s="90"/>
      <c r="S32" s="90"/>
      <c r="T32" s="90"/>
      <c r="V32" s="90"/>
      <c r="W32" s="90"/>
      <c r="X32" s="90"/>
      <c r="Y32" s="90"/>
      <c r="Z32" s="90"/>
      <c r="AB32" s="406"/>
      <c r="AC32" s="406"/>
      <c r="AD32" s="406"/>
      <c r="AE32" s="406"/>
      <c r="AF32" s="406"/>
      <c r="AG32" s="503"/>
      <c r="AH32" s="406"/>
      <c r="AI32" s="92"/>
      <c r="AK32" s="93"/>
    </row>
    <row r="33" spans="2:37" ht="12.75" hidden="1" customHeight="1" outlineLevel="1">
      <c r="C33" s="92"/>
      <c r="E33" s="6"/>
      <c r="H33" s="92"/>
      <c r="I33" s="92"/>
      <c r="J33" s="92"/>
      <c r="K33" s="406"/>
      <c r="L33" s="92"/>
      <c r="M33" s="92"/>
      <c r="N33" s="92"/>
      <c r="O33" s="92"/>
      <c r="P33" s="92"/>
      <c r="R33" s="90"/>
      <c r="S33" s="90"/>
      <c r="T33" s="90"/>
      <c r="V33" s="90"/>
      <c r="W33" s="90"/>
      <c r="X33" s="90"/>
      <c r="Y33" s="90"/>
      <c r="Z33" s="90"/>
      <c r="AB33" s="406"/>
      <c r="AC33" s="406"/>
      <c r="AD33" s="406"/>
      <c r="AE33" s="406"/>
      <c r="AF33" s="406"/>
      <c r="AG33" s="503"/>
      <c r="AH33" s="406"/>
      <c r="AI33" s="92"/>
      <c r="AK33" s="93"/>
    </row>
    <row r="34" spans="2:37" ht="12.75" hidden="1" customHeight="1" outlineLevel="1">
      <c r="C34" s="92"/>
      <c r="E34" s="6"/>
      <c r="H34" s="92"/>
      <c r="I34" s="92"/>
      <c r="J34" s="92"/>
      <c r="K34" s="406"/>
      <c r="L34" s="92"/>
      <c r="M34" s="92"/>
      <c r="N34" s="92"/>
      <c r="O34" s="92"/>
      <c r="P34" s="92"/>
      <c r="R34" s="90"/>
      <c r="S34" s="90"/>
      <c r="T34" s="90"/>
      <c r="V34" s="90"/>
      <c r="W34" s="90"/>
      <c r="X34" s="90"/>
      <c r="Y34" s="90"/>
      <c r="Z34" s="90"/>
      <c r="AB34" s="406"/>
      <c r="AC34" s="406"/>
      <c r="AD34" s="406"/>
      <c r="AE34" s="406"/>
      <c r="AF34" s="406"/>
      <c r="AG34" s="503"/>
      <c r="AH34" s="406"/>
      <c r="AI34" s="92"/>
      <c r="AK34" s="93"/>
    </row>
    <row r="35" spans="2:37" ht="12.75" hidden="1" customHeight="1" outlineLevel="1">
      <c r="C35" s="92"/>
      <c r="E35" s="6"/>
      <c r="H35" s="92"/>
      <c r="I35" s="92"/>
      <c r="J35" s="92"/>
      <c r="K35" s="406"/>
      <c r="L35" s="92"/>
      <c r="M35" s="92"/>
      <c r="N35" s="92"/>
      <c r="O35" s="92"/>
      <c r="P35" s="92"/>
      <c r="R35" s="90"/>
      <c r="S35" s="90"/>
      <c r="T35" s="90"/>
      <c r="V35" s="90"/>
      <c r="W35" s="90"/>
      <c r="X35" s="90"/>
      <c r="Y35" s="90"/>
      <c r="Z35" s="90"/>
      <c r="AB35" s="406"/>
      <c r="AC35" s="406"/>
      <c r="AD35" s="406"/>
      <c r="AE35" s="406"/>
      <c r="AF35" s="406"/>
      <c r="AG35" s="503"/>
      <c r="AH35" s="406"/>
      <c r="AI35" s="92"/>
      <c r="AK35" s="93"/>
    </row>
    <row r="36" spans="2:37" ht="12.75" hidden="1" customHeight="1" outlineLevel="1">
      <c r="C36" s="92"/>
      <c r="E36" s="6"/>
      <c r="H36" s="92"/>
      <c r="I36" s="92"/>
      <c r="J36" s="92"/>
      <c r="K36" s="406"/>
      <c r="L36" s="92"/>
      <c r="M36" s="92"/>
      <c r="N36" s="92"/>
      <c r="O36" s="92"/>
      <c r="P36" s="92"/>
      <c r="R36" s="90"/>
      <c r="S36" s="90"/>
      <c r="T36" s="90"/>
      <c r="V36" s="90"/>
      <c r="W36" s="90"/>
      <c r="X36" s="90"/>
      <c r="Y36" s="90"/>
      <c r="Z36" s="90"/>
      <c r="AB36" s="406"/>
      <c r="AC36" s="406"/>
      <c r="AD36" s="406"/>
      <c r="AE36" s="406"/>
      <c r="AF36" s="406"/>
      <c r="AG36" s="503"/>
      <c r="AH36" s="406"/>
      <c r="AI36" s="92"/>
      <c r="AK36" s="93"/>
    </row>
    <row r="37" spans="2:37" ht="12.75" hidden="1" customHeight="1" outlineLevel="1">
      <c r="C37" s="92"/>
      <c r="E37" s="6"/>
      <c r="H37" s="92"/>
      <c r="I37" s="92"/>
      <c r="J37" s="92"/>
      <c r="K37" s="406"/>
      <c r="L37" s="92"/>
      <c r="M37" s="92"/>
      <c r="N37" s="92"/>
      <c r="O37" s="92"/>
      <c r="P37" s="92"/>
      <c r="R37" s="90"/>
      <c r="S37" s="90"/>
      <c r="T37" s="90"/>
      <c r="V37" s="90"/>
      <c r="W37" s="90"/>
      <c r="X37" s="90"/>
      <c r="Y37" s="90"/>
      <c r="Z37" s="90"/>
      <c r="AB37" s="406"/>
      <c r="AC37" s="406"/>
      <c r="AD37" s="406"/>
      <c r="AE37" s="406"/>
      <c r="AF37" s="406"/>
      <c r="AG37" s="503"/>
      <c r="AH37" s="406"/>
      <c r="AI37" s="92"/>
      <c r="AK37" s="93"/>
    </row>
    <row r="38" spans="2:37" ht="12.75" hidden="1" customHeight="1" outlineLevel="1">
      <c r="C38" s="92"/>
      <c r="E38" s="6"/>
      <c r="H38" s="92"/>
      <c r="I38" s="92"/>
      <c r="J38" s="92"/>
      <c r="K38" s="406"/>
      <c r="L38" s="92"/>
      <c r="M38" s="92"/>
      <c r="N38" s="92"/>
      <c r="O38" s="92"/>
      <c r="P38" s="92"/>
      <c r="R38" s="90"/>
      <c r="S38" s="90"/>
      <c r="T38" s="90"/>
      <c r="V38" s="90"/>
      <c r="W38" s="90"/>
      <c r="X38" s="90"/>
      <c r="Y38" s="90"/>
      <c r="Z38" s="90"/>
      <c r="AB38" s="406"/>
      <c r="AC38" s="406"/>
      <c r="AD38" s="406"/>
      <c r="AE38" s="406"/>
      <c r="AF38" s="406"/>
      <c r="AG38" s="503"/>
      <c r="AH38" s="406"/>
      <c r="AI38" s="92"/>
      <c r="AK38" s="93"/>
    </row>
    <row r="39" spans="2:37" ht="12.75" hidden="1" customHeight="1" outlineLevel="1">
      <c r="C39" s="92"/>
      <c r="E39" s="6"/>
      <c r="H39" s="92"/>
      <c r="I39" s="92"/>
      <c r="J39" s="92"/>
      <c r="K39" s="406"/>
      <c r="L39" s="92"/>
      <c r="M39" s="92"/>
      <c r="N39" s="92"/>
      <c r="O39" s="92"/>
      <c r="P39" s="92"/>
      <c r="R39" s="90"/>
      <c r="S39" s="90"/>
      <c r="T39" s="90"/>
      <c r="V39" s="90"/>
      <c r="W39" s="90"/>
      <c r="X39" s="90"/>
      <c r="Y39" s="90"/>
      <c r="Z39" s="90"/>
      <c r="AB39" s="406"/>
      <c r="AC39" s="406"/>
      <c r="AD39" s="406"/>
      <c r="AE39" s="406"/>
      <c r="AF39" s="406"/>
      <c r="AG39" s="503"/>
      <c r="AH39" s="406"/>
      <c r="AI39" s="92"/>
      <c r="AK39" s="93"/>
    </row>
    <row r="40" spans="2:37" ht="12.75" hidden="1" customHeight="1" outlineLevel="1">
      <c r="C40" s="92"/>
      <c r="E40" s="6"/>
      <c r="H40" s="92"/>
      <c r="I40" s="92"/>
      <c r="J40" s="92"/>
      <c r="K40" s="406"/>
      <c r="L40" s="92"/>
      <c r="M40" s="92"/>
      <c r="N40" s="92"/>
      <c r="O40" s="92"/>
      <c r="P40" s="92"/>
      <c r="R40" s="90"/>
      <c r="S40" s="90"/>
      <c r="T40" s="90"/>
      <c r="V40" s="90"/>
      <c r="W40" s="90"/>
      <c r="X40" s="90"/>
      <c r="Y40" s="90"/>
      <c r="Z40" s="90"/>
      <c r="AB40" s="406"/>
      <c r="AC40" s="406"/>
      <c r="AD40" s="406"/>
      <c r="AE40" s="406"/>
      <c r="AF40" s="406"/>
      <c r="AG40" s="503"/>
      <c r="AH40" s="406"/>
      <c r="AI40" s="92"/>
      <c r="AK40" s="93"/>
    </row>
    <row r="41" spans="2:37" ht="5.25" hidden="1" customHeight="1" outlineLevel="1">
      <c r="C41" s="92"/>
      <c r="E41" s="6"/>
      <c r="H41" s="92"/>
      <c r="I41" s="92"/>
      <c r="J41" s="92"/>
      <c r="K41" s="406"/>
      <c r="L41" s="92"/>
      <c r="M41" s="92"/>
      <c r="N41" s="92"/>
      <c r="O41" s="92"/>
      <c r="P41" s="92"/>
      <c r="R41" s="90"/>
      <c r="S41" s="90"/>
      <c r="T41" s="90"/>
      <c r="V41" s="90"/>
      <c r="W41" s="90"/>
      <c r="X41" s="90"/>
      <c r="Y41" s="90"/>
      <c r="Z41" s="90"/>
      <c r="AB41" s="406"/>
      <c r="AC41" s="406"/>
      <c r="AD41" s="406"/>
      <c r="AE41" s="406"/>
      <c r="AF41" s="406"/>
      <c r="AG41" s="503"/>
      <c r="AH41" s="406"/>
      <c r="AI41" s="92"/>
      <c r="AK41" s="93"/>
    </row>
    <row r="42" spans="2:37" ht="12.75" customHeight="1" collapsed="1">
      <c r="C42" s="406"/>
      <c r="E42" s="6"/>
      <c r="H42" s="406"/>
      <c r="I42" s="406"/>
      <c r="J42" s="406"/>
      <c r="K42" s="406"/>
      <c r="L42" s="406"/>
      <c r="M42" s="406"/>
      <c r="N42" s="406"/>
      <c r="O42" s="406"/>
      <c r="P42" s="406"/>
    </row>
    <row r="43" spans="2:37" ht="12.75" customHeight="1">
      <c r="B43" s="73" t="s">
        <v>111</v>
      </c>
      <c r="C43" s="129">
        <f>MAX(C12:C41)</f>
        <v>1608.0295500000002</v>
      </c>
      <c r="D43" s="74"/>
      <c r="E43" s="989"/>
      <c r="F43" s="989"/>
      <c r="G43" s="989"/>
      <c r="H43" s="129">
        <f>MAX(H12:H41)</f>
        <v>78.587999999999994</v>
      </c>
      <c r="I43" s="129">
        <f>MAX(I12:I41)</f>
        <v>135.946</v>
      </c>
      <c r="J43" s="129">
        <f>MAX(J12:J41)</f>
        <v>158.483</v>
      </c>
      <c r="K43" s="129"/>
      <c r="L43" s="129">
        <f>MAX(L12:L41)</f>
        <v>124.258</v>
      </c>
      <c r="M43" s="129">
        <f>MAX(M12:M41)</f>
        <v>124.901</v>
      </c>
      <c r="N43" s="129">
        <f>MAX(N12:N41)</f>
        <v>261.38290999999998</v>
      </c>
      <c r="O43" s="129">
        <f>MAX(O12:O41)</f>
        <v>415.07722999999999</v>
      </c>
      <c r="P43" s="129">
        <f>MAX(P12:P41)</f>
        <v>788.02</v>
      </c>
      <c r="Q43" s="130"/>
      <c r="R43" s="98">
        <f>MAX(R12:R41)</f>
        <v>26361.140163934429</v>
      </c>
      <c r="S43" s="98">
        <f>MAX(S12:S41)</f>
        <v>1017.9211099259171</v>
      </c>
      <c r="T43" s="98">
        <f>MAX(T12:T41)</f>
        <v>58.543483558890159</v>
      </c>
      <c r="U43" s="130"/>
      <c r="V43" s="98">
        <f>MAX(V12:V41)</f>
        <v>92.783425653453364</v>
      </c>
      <c r="W43" s="98">
        <f>MAX(W12:W41)</f>
        <v>77.242929452529438</v>
      </c>
      <c r="X43" s="98">
        <f>MAX(X12:X41)</f>
        <v>68.599961792333445</v>
      </c>
      <c r="Y43" s="98">
        <f>MAX(Y12:Y41)</f>
        <v>88.45729945729947</v>
      </c>
      <c r="Z43" s="131">
        <f>MAX(Z12:Z41)</f>
        <v>40.26789999999999</v>
      </c>
      <c r="AA43" s="49"/>
      <c r="AB43" s="49"/>
    </row>
    <row r="44" spans="2:37" ht="12.75" customHeight="1">
      <c r="B44" s="99" t="s">
        <v>115</v>
      </c>
      <c r="C44" s="101">
        <f>QUARTILE(C12:C41,3)</f>
        <v>383.73003750000009</v>
      </c>
      <c r="D44" s="79"/>
      <c r="E44" s="79"/>
      <c r="F44" s="79"/>
      <c r="G44" s="79"/>
      <c r="H44" s="101">
        <f>QUARTILE(H12:H41,3)</f>
        <v>0.78960249999999998</v>
      </c>
      <c r="I44" s="101">
        <f>QUARTILE(I12:I41,3)</f>
        <v>8.3115924999999997</v>
      </c>
      <c r="J44" s="101">
        <f>QUARTILE(J12:J41,3)</f>
        <v>11.327830000000001</v>
      </c>
      <c r="K44" s="101"/>
      <c r="L44" s="101">
        <f>QUARTILE(L12:L41,3)</f>
        <v>10.754935000000001</v>
      </c>
      <c r="M44" s="101">
        <f>QUARTILE(M12:M41,3)</f>
        <v>9.8559374999999996</v>
      </c>
      <c r="N44" s="101">
        <f>QUARTILE(N12:N41,3)</f>
        <v>52.201574999999998</v>
      </c>
      <c r="O44" s="101">
        <f>QUARTILE(O12:O41,3)</f>
        <v>34.938609999999997</v>
      </c>
      <c r="P44" s="101">
        <f>QUARTILE(P12:P41,3)</f>
        <v>58.456150000000001</v>
      </c>
      <c r="Q44" s="132"/>
      <c r="R44" s="100">
        <f>QUARTILE(R12:R41,3)</f>
        <v>1279.477134435346</v>
      </c>
      <c r="S44" s="100">
        <f>QUARTILE(S12:S41,3)</f>
        <v>123.65659021593683</v>
      </c>
      <c r="T44" s="100">
        <f>QUARTILE(T12:T41,3)</f>
        <v>42.9995069177156</v>
      </c>
      <c r="U44" s="132"/>
      <c r="V44" s="100">
        <f>QUARTILE(V12:V41,3)</f>
        <v>44.997241434460392</v>
      </c>
      <c r="W44" s="100">
        <f>QUARTILE(W12:W41,3)</f>
        <v>40.784830784410467</v>
      </c>
      <c r="X44" s="100">
        <f>QUARTILE(X12:X41,3)</f>
        <v>45.263134495879989</v>
      </c>
      <c r="Y44" s="100">
        <f>QUARTILE(Y12:Y41,3)</f>
        <v>41.856000000000002</v>
      </c>
      <c r="Z44" s="133">
        <f>QUARTILE(Z12:Z41,3)</f>
        <v>30.453511472567897</v>
      </c>
      <c r="AA44" s="49"/>
      <c r="AB44" s="49"/>
    </row>
    <row r="45" spans="2:37" ht="12.75" customHeight="1">
      <c r="B45" s="99" t="s">
        <v>113</v>
      </c>
      <c r="C45" s="101">
        <f>AVERAGE(C12:C41)</f>
        <v>336.02902857142857</v>
      </c>
      <c r="D45" s="79"/>
      <c r="E45" s="79"/>
      <c r="F45" s="79"/>
      <c r="G45" s="79"/>
      <c r="H45" s="101">
        <f>AVERAGE(H12:H41)</f>
        <v>7.2872800000000009</v>
      </c>
      <c r="I45" s="101">
        <f>AVERAGE(I12:I41)</f>
        <v>14.434364999999998</v>
      </c>
      <c r="J45" s="101">
        <f>AVERAGE(J12:J41)</f>
        <v>18.826466428571429</v>
      </c>
      <c r="K45" s="101"/>
      <c r="L45" s="101">
        <f>AVERAGE(L12:L41)</f>
        <v>12.709624285714284</v>
      </c>
      <c r="M45" s="101">
        <f>AVERAGE(M12:M41)</f>
        <v>17.270417142857141</v>
      </c>
      <c r="N45" s="101">
        <f>AVERAGE(N12:N41)</f>
        <v>61.649831666666664</v>
      </c>
      <c r="O45" s="101">
        <f>AVERAGE(O12:O41)</f>
        <v>57.464351999999998</v>
      </c>
      <c r="P45" s="101">
        <f>AVERAGE(P12:P41)</f>
        <v>124.51651625</v>
      </c>
      <c r="Q45" s="132"/>
      <c r="R45" s="100">
        <f>AVERAGE(R12:R41)</f>
        <v>4695.9770494422783</v>
      </c>
      <c r="S45" s="100">
        <f>AVERAGE(S12:S41)</f>
        <v>177.73494328459495</v>
      </c>
      <c r="T45" s="100">
        <f>AVERAGE(T12:T41)</f>
        <v>24.120315557896781</v>
      </c>
      <c r="U45" s="132"/>
      <c r="V45" s="100">
        <f>AVERAGE(V12:V41)</f>
        <v>33.2805943844455</v>
      </c>
      <c r="W45" s="100">
        <f>AVERAGE(W12:W41)</f>
        <v>27.909893905104049</v>
      </c>
      <c r="X45" s="100">
        <f>AVERAGE(X12:X41)</f>
        <v>25.906768143521834</v>
      </c>
      <c r="Y45" s="100">
        <f>AVERAGE(Y12:Y41)</f>
        <v>27.113531337686492</v>
      </c>
      <c r="Z45" s="133">
        <f>AVERAGE(Z12:Z41)</f>
        <v>18.502693952352491</v>
      </c>
      <c r="AA45" s="49"/>
      <c r="AB45" s="49"/>
    </row>
    <row r="46" spans="2:37" ht="12.75" customHeight="1">
      <c r="B46" s="99" t="s">
        <v>44</v>
      </c>
      <c r="C46" s="101">
        <f>MEDIAN(C12:C41)</f>
        <v>153.45654500000001</v>
      </c>
      <c r="D46" s="79"/>
      <c r="E46" s="79"/>
      <c r="F46" s="79"/>
      <c r="G46" s="79"/>
      <c r="H46" s="101">
        <f>MEDIAN(H12:H41)</f>
        <v>0</v>
      </c>
      <c r="I46" s="101">
        <f>MEDIAN(I12:I41)</f>
        <v>0</v>
      </c>
      <c r="J46" s="101">
        <f>MEDIAN(J12:J41)</f>
        <v>0</v>
      </c>
      <c r="K46" s="101"/>
      <c r="L46" s="101">
        <f>MEDIAN(L12:L41)</f>
        <v>0</v>
      </c>
      <c r="M46" s="101">
        <f>MEDIAN(M12:M41)</f>
        <v>0</v>
      </c>
      <c r="N46" s="101">
        <f>MEDIAN(N12:N41)</f>
        <v>19.630665</v>
      </c>
      <c r="O46" s="101">
        <f>MEDIAN(O12:O41)</f>
        <v>14.274750000000001</v>
      </c>
      <c r="P46" s="101">
        <f>MEDIAN(P12:P41)</f>
        <v>24.244599999999998</v>
      </c>
      <c r="Q46" s="132"/>
      <c r="R46" s="100">
        <f>MEDIAN(R12:R41)</f>
        <v>57.16159462876918</v>
      </c>
      <c r="S46" s="100">
        <f>MEDIAN(S12:S41)</f>
        <v>38.083126957803586</v>
      </c>
      <c r="T46" s="100">
        <f>MEDIAN(T12:T41)</f>
        <v>10.146385101241144</v>
      </c>
      <c r="U46" s="132"/>
      <c r="V46" s="100">
        <f>MEDIAN(V12:V41)</f>
        <v>19.758435445777771</v>
      </c>
      <c r="W46" s="100">
        <f>MEDIAN(W12:W41)</f>
        <v>12.874432950897113</v>
      </c>
      <c r="X46" s="100">
        <f>MEDIAN(X12:X41)</f>
        <v>7.8133926332099923</v>
      </c>
      <c r="Y46" s="100">
        <f>MEDIAN(Y12:Y41)</f>
        <v>14.054273846153846</v>
      </c>
      <c r="Z46" s="133">
        <f>MEDIAN(Z12:Z41)</f>
        <v>21.140914090909089</v>
      </c>
      <c r="AA46" s="49"/>
      <c r="AB46" s="49"/>
    </row>
    <row r="47" spans="2:37" ht="12.75" customHeight="1">
      <c r="B47" s="99" t="s">
        <v>114</v>
      </c>
      <c r="C47" s="101">
        <f>QUARTILE(C12:C41,1)</f>
        <v>41.351739999999999</v>
      </c>
      <c r="D47" s="79"/>
      <c r="E47" s="79"/>
      <c r="F47" s="79"/>
      <c r="G47" s="79"/>
      <c r="H47" s="101">
        <f>QUARTILE(H12:H41,1)</f>
        <v>0</v>
      </c>
      <c r="I47" s="101">
        <f>QUARTILE(I12:I41,1)</f>
        <v>0</v>
      </c>
      <c r="J47" s="101">
        <f>QUARTILE(J12:J41,1)</f>
        <v>0</v>
      </c>
      <c r="K47" s="101"/>
      <c r="L47" s="101">
        <f>QUARTILE(L12:L41,1)</f>
        <v>0</v>
      </c>
      <c r="M47" s="101">
        <f>QUARTILE(M12:M41,1)</f>
        <v>0</v>
      </c>
      <c r="N47" s="101">
        <f>QUARTILE(N12:N41,1)</f>
        <v>9.3879450000000002</v>
      </c>
      <c r="O47" s="101">
        <f>QUARTILE(O12:O41,1)</f>
        <v>4.1249975000000001</v>
      </c>
      <c r="P47" s="101">
        <f>QUARTILE(P12:P41,1)</f>
        <v>8.9737475</v>
      </c>
      <c r="Q47" s="132"/>
      <c r="R47" s="100">
        <f>QUARTILE(R12:R41,1)</f>
        <v>23.428006564795453</v>
      </c>
      <c r="S47" s="100">
        <f>QUARTILE(S12:S41,1)</f>
        <v>5.5276867980165694</v>
      </c>
      <c r="T47" s="100">
        <f>QUARTILE(T12:T41,1)</f>
        <v>6.8798085067763797</v>
      </c>
      <c r="U47" s="132"/>
      <c r="V47" s="100">
        <f>QUARTILE(V12:V41,1)</f>
        <v>8.0417883957628806</v>
      </c>
      <c r="W47" s="100">
        <f>QUARTILE(W12:W41,1)</f>
        <v>7.0847024922118376</v>
      </c>
      <c r="X47" s="100">
        <f>QUARTILE(X12:X41,1)</f>
        <v>6.1520072218952659</v>
      </c>
      <c r="Y47" s="100">
        <f>QUARTILE(Y12:Y41,1)</f>
        <v>3.874049053473736</v>
      </c>
      <c r="Z47" s="133">
        <f>QUARTILE(Z12:Z41,1)</f>
        <v>2.5812128925570308</v>
      </c>
      <c r="AA47" s="49"/>
      <c r="AB47" s="49"/>
    </row>
    <row r="48" spans="2:37" ht="12.75" customHeight="1">
      <c r="B48" s="103" t="s">
        <v>112</v>
      </c>
      <c r="C48" s="75">
        <f>MIN(C12:C41)</f>
        <v>-1.0675899999999992</v>
      </c>
      <c r="D48" s="72"/>
      <c r="E48" s="72"/>
      <c r="F48" s="72"/>
      <c r="G48" s="72"/>
      <c r="H48" s="75">
        <f>MIN(H12:H41)</f>
        <v>0</v>
      </c>
      <c r="I48" s="75">
        <f>MIN(I12:I41)</f>
        <v>-0.44700000000000001</v>
      </c>
      <c r="J48" s="75">
        <f>MIN(J12:J41)</f>
        <v>0</v>
      </c>
      <c r="K48" s="75"/>
      <c r="L48" s="75">
        <f>MIN(L12:L41)</f>
        <v>0</v>
      </c>
      <c r="M48" s="75">
        <f>MIN(M12:M41)</f>
        <v>0</v>
      </c>
      <c r="N48" s="75">
        <f>MIN(N12:N41)</f>
        <v>0.2225</v>
      </c>
      <c r="O48" s="75">
        <f>MIN(O12:O41)</f>
        <v>0.67901999999999996</v>
      </c>
      <c r="P48" s="75">
        <f>MIN(P12:P41)</f>
        <v>1</v>
      </c>
      <c r="Q48" s="134"/>
      <c r="R48" s="105">
        <f>MIN(R12:R41)</f>
        <v>1.2998185473609207</v>
      </c>
      <c r="S48" s="105">
        <f>MIN(S12:S41)</f>
        <v>-70.228187919463096</v>
      </c>
      <c r="T48" s="105">
        <f>MIN(T12:T41)</f>
        <v>2.032393704860628</v>
      </c>
      <c r="U48" s="134"/>
      <c r="V48" s="105">
        <f>MIN(V12:V41)</f>
        <v>0.82208099277310132</v>
      </c>
      <c r="W48" s="105">
        <f>MIN(W12:W41)</f>
        <v>1.5625738454713722</v>
      </c>
      <c r="X48" s="105">
        <f>MIN(X12:X41)</f>
        <v>1.7053445742904845</v>
      </c>
      <c r="Y48" s="105">
        <f>MIN(Y12:Y41)</f>
        <v>0.74698700000000007</v>
      </c>
      <c r="Z48" s="135">
        <f>MIN(Z12:Z41)</f>
        <v>2.0405948453084952</v>
      </c>
      <c r="AA48" s="49"/>
      <c r="AB48" s="49"/>
    </row>
    <row r="49" spans="1:26" ht="12.75" customHeight="1">
      <c r="C49" s="406"/>
      <c r="H49" s="406"/>
      <c r="I49" s="406"/>
      <c r="J49" s="406"/>
      <c r="K49" s="406"/>
      <c r="L49" s="406"/>
      <c r="M49" s="406"/>
      <c r="N49" s="406"/>
      <c r="O49" s="406"/>
      <c r="P49" s="406"/>
    </row>
    <row r="50" spans="1:26" ht="12.75" customHeight="1">
      <c r="B50" s="8" t="s">
        <v>116</v>
      </c>
      <c r="C50" s="406"/>
      <c r="H50" s="406"/>
      <c r="I50" s="406"/>
      <c r="J50" s="406"/>
      <c r="K50" s="406"/>
      <c r="L50" s="406"/>
      <c r="M50" s="406"/>
      <c r="N50" s="406"/>
      <c r="O50" s="406"/>
      <c r="P50" s="406"/>
    </row>
    <row r="51" spans="1:26" ht="12.75" customHeight="1">
      <c r="C51" s="406"/>
      <c r="H51" s="406"/>
      <c r="I51" s="406"/>
      <c r="J51" s="406"/>
      <c r="K51" s="406"/>
      <c r="L51" s="406"/>
      <c r="M51" s="406"/>
      <c r="N51" s="406"/>
      <c r="O51" s="406"/>
      <c r="P51" s="406"/>
    </row>
    <row r="52" spans="1:26" ht="12.75" customHeight="1">
      <c r="B52" s="8" t="s">
        <v>86</v>
      </c>
    </row>
    <row r="53" spans="1:26" ht="27.75" customHeight="1">
      <c r="A53" s="2135" t="str">
        <f>AA13</f>
        <v>(1)</v>
      </c>
      <c r="B53" s="3230" t="s">
        <v>2798</v>
      </c>
      <c r="C53" s="3230"/>
      <c r="D53" s="3230"/>
      <c r="E53" s="3230"/>
      <c r="F53" s="3230"/>
      <c r="G53" s="3230"/>
      <c r="H53" s="3230"/>
      <c r="I53" s="3230"/>
      <c r="J53" s="3230"/>
      <c r="K53" s="3230"/>
      <c r="L53" s="3230"/>
      <c r="M53" s="3230"/>
      <c r="N53" s="3230"/>
      <c r="O53" s="3230"/>
      <c r="P53" s="3230"/>
      <c r="Q53" s="3230"/>
      <c r="R53" s="3230"/>
      <c r="S53" s="3230"/>
      <c r="T53" s="3230"/>
      <c r="U53" s="3230"/>
      <c r="V53" s="3230"/>
      <c r="W53" s="3230"/>
      <c r="X53" s="3230"/>
      <c r="Y53" s="3230"/>
      <c r="Z53" s="3230"/>
    </row>
    <row r="54" spans="1:26" ht="26.25" customHeight="1">
      <c r="A54" s="2135" t="str">
        <f>AA24</f>
        <v>(2)</v>
      </c>
      <c r="B54" s="3230" t="s">
        <v>2874</v>
      </c>
      <c r="C54" s="3230"/>
      <c r="D54" s="3230"/>
      <c r="E54" s="3230"/>
      <c r="F54" s="3230"/>
      <c r="G54" s="3230"/>
      <c r="H54" s="3230"/>
      <c r="I54" s="3230"/>
      <c r="J54" s="3230"/>
      <c r="K54" s="3230"/>
      <c r="L54" s="3230"/>
      <c r="M54" s="3230"/>
      <c r="N54" s="3230"/>
      <c r="O54" s="3230"/>
      <c r="P54" s="3230"/>
      <c r="Q54" s="3230"/>
      <c r="R54" s="3230"/>
      <c r="S54" s="3230"/>
      <c r="T54" s="3230"/>
      <c r="U54" s="3230"/>
      <c r="V54" s="3230"/>
      <c r="W54" s="3230"/>
      <c r="X54" s="3230"/>
      <c r="Y54" s="3230"/>
      <c r="Z54" s="3230"/>
    </row>
    <row r="55" spans="1:26" ht="12.75" customHeight="1">
      <c r="A55" s="406" t="str">
        <f>AA25</f>
        <v>(3)</v>
      </c>
      <c r="B55" s="3230" t="s">
        <v>2928</v>
      </c>
      <c r="C55" s="3230"/>
      <c r="D55" s="3230"/>
      <c r="E55" s="3230"/>
      <c r="F55" s="3230"/>
      <c r="G55" s="3230"/>
      <c r="H55" s="3230"/>
      <c r="I55" s="3230"/>
      <c r="J55" s="3230"/>
      <c r="K55" s="3230"/>
      <c r="L55" s="3230"/>
      <c r="M55" s="3230"/>
      <c r="N55" s="3230"/>
      <c r="O55" s="3230"/>
      <c r="P55" s="3230"/>
      <c r="Q55" s="3230"/>
      <c r="R55" s="3230"/>
      <c r="S55" s="3230"/>
      <c r="T55" s="3230"/>
      <c r="U55" s="3230"/>
      <c r="V55" s="3230"/>
      <c r="W55" s="3230"/>
      <c r="X55" s="3230"/>
      <c r="Y55" s="3230"/>
      <c r="Z55" s="3230"/>
    </row>
    <row r="62" spans="1:26">
      <c r="B62" s="405" t="s">
        <v>1047</v>
      </c>
    </row>
  </sheetData>
  <mergeCells count="3">
    <mergeCell ref="B53:Z53"/>
    <mergeCell ref="B54:Z54"/>
    <mergeCell ref="B55:Z55"/>
  </mergeCells>
  <conditionalFormatting sqref="B12:C41">
    <cfRule type="cellIs" dxfId="598" priority="24" operator="equal">
      <formula>"(Invalid Identifier)"</formula>
    </cfRule>
  </conditionalFormatting>
  <conditionalFormatting sqref="B4:L4">
    <cfRule type="cellIs" dxfId="597" priority="21" stopIfTrue="1" operator="equal">
      <formula>"input"</formula>
    </cfRule>
  </conditionalFormatting>
  <conditionalFormatting sqref="M4">
    <cfRule type="cellIs" dxfId="596" priority="19" stopIfTrue="1" operator="equal">
      <formula>"input"</formula>
    </cfRule>
  </conditionalFormatting>
  <conditionalFormatting sqref="M4">
    <cfRule type="cellIs" dxfId="595" priority="20" stopIfTrue="1" operator="equal">
      <formula>"input"</formula>
    </cfRule>
  </conditionalFormatting>
  <conditionalFormatting sqref="N4:P4">
    <cfRule type="cellIs" dxfId="594" priority="17" stopIfTrue="1" operator="equal">
      <formula>"input"</formula>
    </cfRule>
  </conditionalFormatting>
  <conditionalFormatting sqref="N4:P4">
    <cfRule type="cellIs" dxfId="593" priority="18" stopIfTrue="1" operator="equal">
      <formula>"input"</formula>
    </cfRule>
  </conditionalFormatting>
  <conditionalFormatting sqref="Q4">
    <cfRule type="cellIs" dxfId="592" priority="15" stopIfTrue="1" operator="equal">
      <formula>"input"</formula>
    </cfRule>
  </conditionalFormatting>
  <conditionalFormatting sqref="Q4">
    <cfRule type="cellIs" dxfId="591" priority="16" stopIfTrue="1" operator="equal">
      <formula>"input"</formula>
    </cfRule>
  </conditionalFormatting>
  <conditionalFormatting sqref="R4:Y4">
    <cfRule type="cellIs" dxfId="590" priority="13" stopIfTrue="1" operator="equal">
      <formula>"input"</formula>
    </cfRule>
  </conditionalFormatting>
  <conditionalFormatting sqref="R4:Y4">
    <cfRule type="cellIs" dxfId="589" priority="14" stopIfTrue="1" operator="equal">
      <formula>"input"</formula>
    </cfRule>
  </conditionalFormatting>
  <conditionalFormatting sqref="Z4">
    <cfRule type="cellIs" dxfId="588" priority="6" stopIfTrue="1" operator="equal">
      <formula>"input"</formula>
    </cfRule>
  </conditionalFormatting>
  <conditionalFormatting sqref="Z4">
    <cfRule type="cellIs" dxfId="587" priority="7" stopIfTrue="1" operator="equal">
      <formula>"input"</formula>
    </cfRule>
  </conditionalFormatting>
  <conditionalFormatting sqref="F14">
    <cfRule type="containsBlanks" dxfId="586" priority="5">
      <formula>LEN(TRIM(F14))=0</formula>
    </cfRule>
  </conditionalFormatting>
  <conditionalFormatting sqref="F13">
    <cfRule type="containsBlanks" dxfId="585" priority="3">
      <formula>LEN(TRIM(F13))=0</formula>
    </cfRule>
  </conditionalFormatting>
  <conditionalFormatting sqref="F15">
    <cfRule type="containsBlanks" dxfId="584" priority="2">
      <formula>LEN(TRIM(F15))=0</formula>
    </cfRule>
  </conditionalFormatting>
  <conditionalFormatting sqref="F22">
    <cfRule type="containsBlanks" dxfId="583" priority="1">
      <formula>LEN(TRIM(F22))=0</formula>
    </cfRule>
  </conditionalFormatting>
  <pageMargins left="0.5" right="0.5" top="0.5" bottom="0.5" header="0.5" footer="0.5"/>
  <pageSetup scale="70" fitToWidth="0" fitToHeight="0" orientation="landscape" r:id="rId1"/>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B1:T31"/>
  <sheetViews>
    <sheetView showGridLines="0" view="pageBreakPreview" zoomScale="85" zoomScaleNormal="100" zoomScaleSheetLayoutView="85" workbookViewId="0"/>
  </sheetViews>
  <sheetFormatPr defaultRowHeight="12.75"/>
  <cols>
    <col min="1" max="1" width="4.5" style="405" customWidth="1"/>
    <col min="2" max="2" width="36.1640625" style="405" customWidth="1"/>
    <col min="3" max="3" width="2.83203125" style="405" customWidth="1"/>
    <col min="4" max="4" width="104.83203125" style="405" customWidth="1"/>
    <col min="5" max="5" width="4.5" style="405" customWidth="1"/>
    <col min="6" max="16384" width="9.33203125" style="405"/>
  </cols>
  <sheetData>
    <row r="1" spans="2:20" ht="10.7" customHeight="1" thickBot="1"/>
    <row r="2" spans="2:20" ht="16.5" customHeight="1" thickTop="1">
      <c r="B2" s="10" t="str">
        <f>'MASTER PubCo Inputs'!$C$5</f>
        <v>Kallyope, Inc.</v>
      </c>
      <c r="C2" s="10"/>
      <c r="D2" s="10"/>
    </row>
    <row r="3" spans="2:20" ht="15.75" customHeight="1">
      <c r="B3" s="11" t="str">
        <f>VLOOKUP(B4,Outline!$E$8:$G$69,COLUMNS(Outline!$E$8:$G$8),FALSE)</f>
        <v>Exhibit E.2</v>
      </c>
      <c r="C3" s="11"/>
      <c r="D3" s="11"/>
    </row>
    <row r="4" spans="2:20" ht="16.5" customHeight="1" thickBot="1">
      <c r="B4" s="12" t="s">
        <v>640</v>
      </c>
      <c r="C4" s="12"/>
      <c r="D4" s="12"/>
    </row>
    <row r="5" spans="2:20" s="16" customFormat="1" ht="13.5" thickTop="1">
      <c r="D5" s="405"/>
      <c r="E5" s="405"/>
      <c r="F5" s="405"/>
      <c r="G5" s="405"/>
      <c r="H5" s="405"/>
      <c r="I5" s="405"/>
      <c r="J5" s="405"/>
      <c r="K5" s="405"/>
      <c r="L5" s="405"/>
      <c r="M5" s="405"/>
      <c r="N5" s="405"/>
      <c r="O5" s="405"/>
      <c r="P5" s="405"/>
      <c r="Q5" s="405"/>
      <c r="R5" s="405"/>
      <c r="S5" s="405"/>
      <c r="T5" s="405"/>
    </row>
    <row r="7" spans="2:20" ht="12.75" customHeight="1">
      <c r="B7" s="2131" t="s">
        <v>397</v>
      </c>
      <c r="D7" s="2132" t="s">
        <v>126</v>
      </c>
    </row>
    <row r="8" spans="2:20" ht="12.75" customHeight="1"/>
    <row r="9" spans="2:20" ht="84" customHeight="1">
      <c r="B9" s="2133" t="str">
        <f>'Comp.1'!$B12</f>
        <v>ACADIA Pharmaceuticals Inc.</v>
      </c>
      <c r="C9" s="2134"/>
      <c r="D9" s="2133" t="str">
        <f>'Capital IQ Sheet-GPC'!AP13</f>
        <v>ACADIA Pharmaceuticals Inc., a biopharmaceutical company, focuses on the development and commercialization of small molecule drugs that address unmet medical needs in central nervous system disorders. The company offers NUPLAZID (pimavanserin) for the treatment of hallucinations and delusions associated with Parkinson’s disease psychosis. It is also developing pimavanserin as a treatment for dementia-related psychosis and as an adjunctive treatment for schizophrenia that are in phase III clinical trials; and pimavanserin as an adjunctive treatment for major depressive disorder. ACADIA Pharmaceuticals Inc. was founded in 1993 and is headquartered in San Diego, California.</v>
      </c>
    </row>
    <row r="10" spans="2:20" ht="99" customHeight="1">
      <c r="B10" s="2133" t="str">
        <f>'Comp.1'!$B13</f>
        <v>Rhythm Pharmaceuticals, Inc.</v>
      </c>
      <c r="C10" s="2134"/>
      <c r="D10" s="2133" t="str">
        <f>'Capital IQ Sheet-GPC'!AP14</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row>
    <row r="11" spans="2:20" ht="171" customHeight="1">
      <c r="B11" s="2133" t="str">
        <f>'Comp.1'!$B14</f>
        <v>Assembly Biosciences, Inc.</v>
      </c>
      <c r="C11" s="2134"/>
      <c r="D11" s="2133" t="str">
        <f>'Capital IQ Sheet-GPC'!AP15</f>
        <v>Assembly Biosciences, Inc. operates as a clinical stage biotechnology company. It develops oral therapeutic candidates for the treatment of hepatitis B virus (HBV) infection and novel class of oral synthetic live biotherapeutic candidates to treat disorders associated with the microbiome in the United States. It is involved in the development of core protein allosteric modulators that modulate the HBV core protein at various points in the viral lifecycle. The company also develops microbiome program, a platform that includes the identification and selection process to strain isolation and growth under current good manufacturing practice conditions; and a patent pending delivery system, GEMICEL, which allows for targeted oral delivery of live biologic and conventional therapies to the lower gastrointestinal tract. In addition, it engages in the development of product candidates for various disease indications, such as ulcerative colitis, Crohn’s disease, irritable bowel syndrome, non-alcoholic steatohepatitis, immuno-oncology, and clostridium difficile infections by using its microbiome platform. It has a collaboration agreement with Allergan Pharmaceuticals International Limited for the development and commercialization of selected microbiome gastrointestinal programs. The company was formerly known as Ventrus Biosciences, Inc. and changed its name to Assembly Biosciences, Inc. in June 2014. Assembly Biosciences, Inc. was founded in 2005 and is headquartered in Carmel, Indiana.</v>
      </c>
    </row>
    <row r="12" spans="2:20" ht="108.75" customHeight="1">
      <c r="B12" s="2133" t="str">
        <f>'Comp.1'!$B15</f>
        <v>Voyager Therapeutics, Inc.</v>
      </c>
      <c r="C12" s="2134"/>
      <c r="D12" s="2133" t="str">
        <f>'Capital IQ Sheet-GPC'!AP16</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Voyager Therapeutics, Inc. was founded in 2013 and is headquartered in Cambridge, Massachusetts.</v>
      </c>
    </row>
    <row r="13" spans="2:20" ht="84" customHeight="1">
      <c r="B13" s="2133" t="str">
        <f>'Comp.1'!$B16</f>
        <v>Zafgen, Inc.</v>
      </c>
      <c r="C13" s="2134"/>
      <c r="D13" s="2133" t="str">
        <f>'Capital IQ Sheet-GPC'!AP17</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row>
    <row r="14" spans="2:20" ht="159" customHeight="1">
      <c r="B14" s="2133" t="str">
        <f>'Comp.1'!$B17</f>
        <v>Seres Therapeutics, Inc.</v>
      </c>
      <c r="C14" s="2134"/>
      <c r="D14" s="2133" t="str">
        <f>'Capital IQ Sheet-GPC'!AP18</f>
        <v>Seres Therapeutics, Inc., a microbiome therapeutics platform company, engages in developing biological drugs designed to restore health by repairing the function of a dysbiotic microbiome. Its lead product candidate is SER-109, a bacterial spore ecology, which is in Phase III clinical study to treat multiply recurrent Clostridium difficile infection (CDI). The company is also developing SER-287 that is in Phase Ib clinical study in patients with mild-to-moderate ulcerative colitis; and SER-262, a multi-strain Ecobiotic microbiome therapeutic candidate, which is in Phase Ib study in patients with primary CDI. In addition, its product candidates in pre-clinical development comprise SER-301, an Ecobiotic microbiome therapeutic candidate for the treatment of inflammatory bowel disease; SER-401 for use with checkpoint inhibitors in patients with solid tumors; and SER-155, an Ecobiotic microbiome therapeutic candidate for the prevention of transplant-related mortality. Seres Therapeutics, Inc. has a strategic collaboration with Nestle Health Science and Memorial Sloan Kettering Cancer Center. The company was formerly known as Seres Health, Inc. and changed its name to Seres Therapeutics, Inc. in May 2015. Seres Therapeutics, Inc. was founded in 2010 and is headquartered in Cambridge, Massachusetts.</v>
      </c>
    </row>
    <row r="15" spans="2:20" ht="101.25" customHeight="1">
      <c r="B15" s="2133" t="str">
        <f>'Comp.1'!$B18</f>
        <v>CohBar, Inc.</v>
      </c>
      <c r="C15" s="2134"/>
      <c r="D15" s="2133" t="str">
        <f>'Capital IQ Sheet-GPC'!AP19</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row>
    <row r="16" spans="2:20" ht="187.5" customHeight="1">
      <c r="B16" s="2133" t="str">
        <f>'Comp.1'!$B19</f>
        <v>VIVUS, Inc.</v>
      </c>
      <c r="C16" s="2134"/>
      <c r="D16" s="2133" t="str">
        <f>'Capital IQ Sheet-GPC'!AP20</f>
        <v>VIVUS, Inc., a biopharmaceutical company, develops and commercializes novel therapeutic products to address unmet medical needs in human health in the United States and the European Union. The company offers Qsymia for the treatment of obesity as an adjunct to a reduced-calorie diet and increased physical activity for chronic weight management in adult patients with an initial body mass index of 30 or greater, or obese patients, or 27 or greater, or overweight patients in the presence of at least one weight-related comorbidity, such as hypertension, type 2 diabetes mellitus or high cholesterol; and STENDRA, an oral phosphodiesterase type 5 inhibitor for the treatment of erectile dysfunction. It is also involved in developing Qsymia, which has been completed Phase II studies for the treatment of various diseases, including obstructive sleep apnea and diabetes, nonalcoholic steatohepatitis and fatty liver disease, hyperlipidemia, and hypertension, as well as Tacrolimus that has been completed Phase IIa studies for the treatment of pulmonary arterial hypertension. The company has development, license and clinical trial, and commercial supply agreement with Mitsubishi Tanabe Pharma Corporation for the development and commercialization of avanafil, a PDE5 inhibitor compound for the oral and local treatment of male and female sexual dysfunction. It also has license and commercialization agreements with Berlin Chemie AG to commercialize and promote STENDRA. VIVUS, Inc. was founded in 1991 and is headquartered in Campbell, California.</v>
      </c>
    </row>
    <row r="17" spans="2:4" ht="104.25" customHeight="1">
      <c r="B17" s="2133" t="str">
        <f>'Comp.1'!$B20</f>
        <v>Anavex Life Sciences Corp.</v>
      </c>
      <c r="C17" s="2134"/>
      <c r="D17" s="2133" t="str">
        <f>'Capital IQ Sheet-GPC'!AP21</f>
        <v>Anavex Life Sciences Corp., a clinical stage biopharmaceutical company, engages in the development of drug candidates for the treatment of Alzheimer’s disease, other central nervous system diseases, pain, and various cancers. The company’s lead drug candidates include ANAVEX 2-73, which has completed Phase IIa clinical trials for the treatment of Alzheimer’s disease; and in preclinical clinical trials to treat Parkinson’s disease, epilepsy, Rett syndrome, Angelman syndrome, multiple sclerosis, and Fragile X syndrome. Its preclinical drug candidates include ANAVEX 3-71 to treat Alzheimer’s disease; ANAVEX 1-41, a sigma-1 agonist; ANAVEX 1037 for the treatment of prostate cancer; and ANAVEX 1066, a mixed sigma-1/sigma-2 ligand for the treatment of neuropathic and visceral pain. The company was founded in 2006 and is based in New York, New York.</v>
      </c>
    </row>
    <row r="18" spans="2:4" ht="109.5" customHeight="1">
      <c r="B18" s="2133" t="str">
        <f>'Comp.1'!$B21</f>
        <v>OptiBiotix Health plc</v>
      </c>
      <c r="C18" s="2134"/>
      <c r="D18" s="2133" t="str">
        <f>'Capital IQ Sheet-GPC'!AP22</f>
        <v>Optibiotix Health Plc, a life sciences company, engages in the research and development of microbiome modulators primarily in the United Kingdom. The company is developing microbial strains, compounds, and formulations, which modulates the human microbiome and impacts lipid and cholesterol management, energy harvest, and appetite suppression activities. Its products include Slimbiome, a natural ingredient, which supports scientifically substantiated weight loss claims; CholBiome, a food supplement that combines natural ingredients and maintains healthy cholesterol levels from within; CardioBiome, a non-pharmaceutical approach for the maintenance of cardiovascular and heart health; and Sweetbiotix, a sweet calorie free natural healthy sugar. Optibiotix Health Plc was founded in 2012 and is based in York, the United Kingdom.</v>
      </c>
    </row>
    <row r="19" spans="2:4" ht="68.25" customHeight="1">
      <c r="B19" s="2133" t="str">
        <f>'Comp.1'!$B22</f>
        <v>Soleno Therapeutics, Inc.</v>
      </c>
      <c r="C19" s="2134"/>
      <c r="D19" s="2133" t="str">
        <f>'Capital IQ Sheet-GPC'!AP23</f>
        <v>Soleno Therapeutics, Inc. focuses on the development and commercialization of novel therapeutics for the treatment of rare diseases. Its lead candidate, diazoxide choline controlled-release (DCCR), a tablet for the treatment of Prader-Willi Syndrome (PWS), is entering into late-stage clinical development. The company was formerly known as Capnia, Inc. and changed its name to Soleno Therapeutics, Inc. in May 2017. Soleno Therapeutics, Inc. was founded in 1999 and is based in Redwood City, California.</v>
      </c>
    </row>
    <row r="20" spans="2:4" ht="160.5" customHeight="1">
      <c r="B20" s="2133" t="str">
        <f>'Comp.1'!$B23</f>
        <v>Synthetic Biologics, Inc.</v>
      </c>
      <c r="C20" s="2134"/>
      <c r="D20" s="2133" t="str">
        <f>'Capital IQ Sheet-GPC'!AP24</f>
        <v>Synthetic Biologics, Inc., a late-stage clinical company, develops therapeutics designed to preserve the microbiome to protect and restore the health of patients. Its lead product candidates are in Phase III development, such as SYN-004 that is designed to protect the gut microbiome from the effects of commonly used intravenous (IV) beta-lactam antibiotics for the prevention of C. difficile infection, overgrowth of pathogenic organisms, and the emergence of antimicrobial resistance; and SYN-010 which is intended to reduce the impact of methane-producing organisms in the gut microbiome to treat an underlying cause of irritable bowel syndrome with constipation. The company’s preclinical products include an oral formulation of the enzyme intestinal alkaline phosphatase to treat local GI disorders and systemic diseases; monoclonal antibody therapies for the prevention and treatment of pertussis; and novel discovery stage biotherapeutics for the treatment of phenylketonuria. Synthetic Biologics, Inc. has collaborations with Intrexon Corporation, The University of Texas at Austin, and Cedars-Sinai Medical Center. The company was formerly known as Adeona Pharmaceuticals, Inc. and changed its name to Synthetic Biologics, Inc. in February 2012. Synthetic Biologics, Inc. was founded in 2001 and is headquartered in Rockville, Maryland.</v>
      </c>
    </row>
    <row r="21" spans="2:4" ht="36.75" customHeight="1">
      <c r="B21" s="2133" t="str">
        <f>'Comp.1'!$B24</f>
        <v>Nexus BioPharma, Inc.</v>
      </c>
      <c r="C21" s="2134"/>
      <c r="D21" s="2133" t="str">
        <f>'Capital IQ Sheet-GPC'!AP25</f>
        <v>Nexus BioPharma, Inc., a life science company, focuses on the development and commercialization of a pharmaceutical preparation to treat obesity and the symptoms of type 2 diabetes. The company is headquartered in Houston, Texas.</v>
      </c>
    </row>
    <row r="22" spans="2:4" ht="99" customHeight="1">
      <c r="B22" s="2133" t="str">
        <f>'Comp.1'!$B25</f>
        <v>Ritter Pharmaceuticals, Inc.</v>
      </c>
      <c r="C22" s="2134"/>
      <c r="D22" s="2133" t="str">
        <f>'Capital IQ Sheet-GPC'!AP26</f>
        <v>Ritter Pharmaceuticals, Inc. develops and sells novel therapeutic products that modulate the human gut microbiome to treat gastrointestinal diseases. Its lead product candidate is RP-G28, a novel microbiome modulator, which has completed Phase 2b clinical trial for the reduction of symptoms associated with lactose intolerance. The company’s product, RP-G28 is designed to stimulate the growth of lactose-metabolizing bacteria in the colon, thereby adapting the gut microbiome to assist in digesting the lactose that reaches the large intestine. The company was formerly known as Ritter Natural Sciences, LLC and changed its name to Ritter Pharmaceuticals, Inc. in September 2008. Ritter Pharmaceuticals, Inc. was founded in 2004 and is headquartered in Los Angeles, California.</v>
      </c>
    </row>
    <row r="23" spans="2:4" ht="12.75" customHeight="1">
      <c r="B23" s="3196"/>
      <c r="C23" s="3197"/>
      <c r="D23" s="3196"/>
    </row>
    <row r="24" spans="2:4">
      <c r="B24" s="2018" t="s">
        <v>116</v>
      </c>
      <c r="C24" s="16"/>
      <c r="D24" s="2018"/>
    </row>
    <row r="25" spans="2:4">
      <c r="B25" s="3198"/>
      <c r="C25" s="3199"/>
      <c r="D25" s="3198"/>
    </row>
    <row r="26" spans="2:4">
      <c r="B26" s="2133"/>
      <c r="C26" s="2134"/>
      <c r="D26" s="2133"/>
    </row>
    <row r="27" spans="2:4">
      <c r="B27" s="2133"/>
      <c r="C27" s="2134"/>
      <c r="D27" s="2133"/>
    </row>
    <row r="28" spans="2:4">
      <c r="B28" s="2018"/>
      <c r="C28" s="16"/>
      <c r="D28" s="2018"/>
    </row>
    <row r="29" spans="2:4">
      <c r="D29" s="147"/>
    </row>
    <row r="30" spans="2:4">
      <c r="B30" s="8"/>
      <c r="D30" s="147"/>
    </row>
    <row r="31" spans="2:4">
      <c r="D31" s="147"/>
    </row>
  </sheetData>
  <conditionalFormatting sqref="B4">
    <cfRule type="cellIs" dxfId="582" priority="2" stopIfTrue="1" operator="equal">
      <formula>"input"</formula>
    </cfRule>
  </conditionalFormatting>
  <conditionalFormatting sqref="D4">
    <cfRule type="cellIs" dxfId="581" priority="1" stopIfTrue="1" operator="equal">
      <formula>"input"</formula>
    </cfRule>
  </conditionalFormatting>
  <conditionalFormatting sqref="C4">
    <cfRule type="cellIs" dxfId="580" priority="3" stopIfTrue="1" operator="equal">
      <formula>"input"</formula>
    </cfRule>
  </conditionalFormatting>
  <pageMargins left="0.5" right="0.5" top="0.5" bottom="0.5" header="0.5" footer="0.5"/>
  <pageSetup fitToWidth="0" fitToHeight="0" orientation="landscape" r:id="rId1"/>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3" tint="-0.499984740745262"/>
    <pageSetUpPr fitToPage="1"/>
  </sheetPr>
  <dimension ref="B6:F30"/>
  <sheetViews>
    <sheetView showGridLines="0" view="pageBreakPreview" zoomScale="60" zoomScaleNormal="100" workbookViewId="0"/>
  </sheetViews>
  <sheetFormatPr defaultColWidth="9.33203125" defaultRowHeight="15"/>
  <cols>
    <col min="1" max="1" width="4.5" style="291" customWidth="1"/>
    <col min="2" max="2" width="3.83203125" style="291" customWidth="1"/>
    <col min="3" max="3" width="15.83203125" style="291" customWidth="1"/>
    <col min="4" max="4" width="106" style="292" customWidth="1"/>
    <col min="5" max="5" width="15.83203125" style="291" customWidth="1"/>
    <col min="6" max="6" width="3.83203125" style="291" customWidth="1"/>
    <col min="7" max="7" width="4.5" style="291" customWidth="1"/>
    <col min="8" max="8" width="9.33203125" style="291"/>
    <col min="9" max="9" width="16.33203125" style="291" bestFit="1" customWidth="1"/>
    <col min="10" max="10" width="19" style="291" bestFit="1" customWidth="1"/>
    <col min="11" max="16384" width="9.33203125" style="291"/>
  </cols>
  <sheetData>
    <row r="6" spans="2:6">
      <c r="B6" s="293"/>
      <c r="C6" s="282"/>
      <c r="D6" s="283"/>
      <c r="E6" s="282"/>
      <c r="F6" s="282"/>
    </row>
    <row r="7" spans="2:6" ht="15.75" thickBot="1">
      <c r="B7" s="293"/>
      <c r="C7" s="282"/>
      <c r="D7" s="283"/>
      <c r="E7" s="282"/>
      <c r="F7" s="282"/>
    </row>
    <row r="8" spans="2:6" ht="15.75" thickTop="1">
      <c r="B8" s="14"/>
      <c r="C8" s="294"/>
      <c r="D8" s="295"/>
      <c r="E8" s="294"/>
      <c r="F8" s="294"/>
    </row>
    <row r="9" spans="2:6" s="296" customFormat="1" ht="40.5">
      <c r="B9" s="297"/>
      <c r="C9" s="298"/>
      <c r="D9" s="299" t="s">
        <v>1614</v>
      </c>
      <c r="E9" s="298"/>
      <c r="F9" s="298"/>
    </row>
    <row r="10" spans="2:6" ht="15.75" thickBot="1">
      <c r="B10" s="286"/>
      <c r="C10" s="301"/>
      <c r="D10" s="302"/>
      <c r="E10" s="301"/>
      <c r="F10" s="301"/>
    </row>
    <row r="11" spans="2:6" ht="15.75" thickTop="1"/>
    <row r="13" spans="2:6" ht="18.75">
      <c r="D13" s="287"/>
    </row>
    <row r="14" spans="2:6" ht="18.75">
      <c r="D14" s="288"/>
    </row>
    <row r="27" spans="4:4" ht="23.25">
      <c r="D27" s="867" t="s">
        <v>776</v>
      </c>
    </row>
    <row r="29" spans="4:4" ht="18.75">
      <c r="D29" s="289" t="s">
        <v>575</v>
      </c>
    </row>
    <row r="30" spans="4:4" ht="37.5">
      <c r="D30" s="290" t="s">
        <v>394</v>
      </c>
    </row>
  </sheetData>
  <pageMargins left="0.5" right="0.5" top="0.5" bottom="0.5" header="0.5" footer="0.5"/>
  <pageSetup scale="98"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R57"/>
  <sheetViews>
    <sheetView showGridLines="0" view="pageBreakPreview" zoomScale="85" zoomScaleNormal="100" zoomScaleSheetLayoutView="85" workbookViewId="0"/>
  </sheetViews>
  <sheetFormatPr defaultRowHeight="12.75" outlineLevelRow="1" outlineLevelCol="1"/>
  <cols>
    <col min="1" max="1" width="4.5" style="405" customWidth="1"/>
    <col min="2" max="2" width="10" style="405" customWidth="1"/>
    <col min="3" max="3" width="45.83203125" style="405" customWidth="1"/>
    <col min="4" max="4" width="39.1640625" style="405" customWidth="1"/>
    <col min="5" max="5" width="26.33203125" style="405" hidden="1" customWidth="1" outlineLevel="1"/>
    <col min="6" max="6" width="10.33203125" style="405" bestFit="1" customWidth="1" collapsed="1"/>
    <col min="7" max="7" width="10" style="405" hidden="1" customWidth="1" outlineLevel="1"/>
    <col min="8" max="8" width="2.83203125" style="405" customWidth="1" collapsed="1"/>
    <col min="9" max="9" width="20.5" style="405" customWidth="1"/>
    <col min="10" max="10" width="14.83203125" style="405" customWidth="1"/>
    <col min="11" max="11" width="2.83203125" style="405" customWidth="1"/>
    <col min="12" max="15" width="11.5" style="405" customWidth="1"/>
    <col min="16" max="16" width="2.83203125" style="405" customWidth="1"/>
    <col min="17" max="17" width="13" style="405" customWidth="1"/>
    <col min="18" max="19" width="8" style="405" hidden="1" customWidth="1" outlineLevel="1"/>
    <col min="20" max="20" width="2.83203125" style="405" customWidth="1" collapsed="1"/>
    <col min="21" max="21" width="13" style="405" customWidth="1"/>
    <col min="22" max="23" width="8" style="405" hidden="1" customWidth="1" outlineLevel="1"/>
    <col min="24" max="25" width="11.33203125" style="405" hidden="1" customWidth="1" outlineLevel="1"/>
    <col min="26" max="26" width="2.83203125" style="405" hidden="1" customWidth="1" outlineLevel="1" collapsed="1"/>
    <col min="27" max="29" width="11.33203125" style="405" hidden="1" customWidth="1" outlineLevel="1"/>
    <col min="30" max="30" width="2.83203125" style="405" hidden="1" customWidth="1" outlineLevel="1"/>
    <col min="31" max="33" width="11.33203125" style="405" hidden="1" customWidth="1" outlineLevel="1"/>
    <col min="34" max="34" width="2.83203125" style="78" hidden="1" customWidth="1" outlineLevel="1"/>
    <col min="35" max="35" width="8.1640625" style="405" hidden="1" customWidth="1" outlineLevel="1" collapsed="1"/>
    <col min="36" max="36" width="9.5" style="405" hidden="1" customWidth="1" outlineLevel="1"/>
    <col min="37" max="37" width="4.5" style="405" customWidth="1" collapsed="1"/>
    <col min="38" max="38" width="14.33203125" style="405" bestFit="1" customWidth="1"/>
    <col min="39" max="39" width="10.33203125" style="405" customWidth="1"/>
    <col min="40" max="40" width="9.33203125" style="405"/>
    <col min="41" max="41" width="9.5" style="405" bestFit="1" customWidth="1"/>
    <col min="42" max="42" width="9.6640625" style="405" bestFit="1" customWidth="1"/>
    <col min="43" max="43" width="9.5" style="405" bestFit="1" customWidth="1"/>
    <col min="44" max="44" width="9.6640625" style="405" bestFit="1" customWidth="1"/>
    <col min="45" max="16384" width="9.33203125" style="405"/>
  </cols>
  <sheetData>
    <row r="1" spans="2:44" ht="10.7" customHeight="1" thickBot="1"/>
    <row r="2" spans="2:44"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504"/>
      <c r="AI2" s="10"/>
      <c r="AJ2" s="10"/>
      <c r="AL2" s="303" t="s">
        <v>87</v>
      </c>
      <c r="AM2" s="304">
        <f>+'Comp.1'!$AL$2</f>
        <v>43281</v>
      </c>
      <c r="AO2" s="579"/>
      <c r="AP2" s="652" t="s">
        <v>765</v>
      </c>
      <c r="AQ2" s="652" t="s">
        <v>766</v>
      </c>
      <c r="AR2" s="653" t="s">
        <v>110</v>
      </c>
    </row>
    <row r="3" spans="2:44" ht="15.75" customHeight="1">
      <c r="B3" s="11" t="str">
        <f>VLOOKUP(B4,Outline!$E$8:$G$69,COLUMNS(Outline!$E$8:$G$8),FALSE)</f>
        <v>Exhibit F.1</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252"/>
      <c r="AI3" s="11"/>
      <c r="AJ3" s="11"/>
      <c r="AL3" s="201" t="s">
        <v>398</v>
      </c>
      <c r="AM3" s="308" t="str">
        <f>+'Comp.1'!$AL$3</f>
        <v>F</v>
      </c>
      <c r="AO3" s="654" t="str">
        <f>+L7</f>
        <v>Enterprise Value</v>
      </c>
      <c r="AP3" s="655">
        <f>SUM('STM Linked'!I10:I29)</f>
        <v>14464.464160000001</v>
      </c>
      <c r="AQ3" s="655">
        <f>+SUM('Capital IQ Sheet-STM'!I10:I29)</f>
        <v>14464.464160000001</v>
      </c>
      <c r="AR3" s="204" t="b">
        <f>AP3=AQ3</f>
        <v>1</v>
      </c>
    </row>
    <row r="4" spans="2:44" ht="16.5" customHeight="1" thickBot="1">
      <c r="B4" s="12" t="s">
        <v>641</v>
      </c>
      <c r="C4" s="12"/>
      <c r="D4" s="12"/>
      <c r="E4" s="12"/>
      <c r="F4" s="12"/>
      <c r="G4" s="12"/>
      <c r="H4" s="12"/>
      <c r="I4" s="12"/>
      <c r="J4" s="12"/>
      <c r="K4" s="12"/>
      <c r="L4" s="12"/>
      <c r="M4" s="12"/>
      <c r="N4" s="12"/>
      <c r="O4" s="12"/>
      <c r="P4" s="12"/>
      <c r="Q4" s="13"/>
      <c r="R4" s="13"/>
      <c r="S4" s="13"/>
      <c r="T4" s="13"/>
      <c r="U4" s="13"/>
      <c r="V4" s="13"/>
      <c r="W4" s="13" t="str">
        <f>+'MASTER PubCo Inputs'!$C$24</f>
        <v>(in millions of USD)</v>
      </c>
      <c r="X4" s="13"/>
      <c r="Y4" s="13"/>
      <c r="Z4" s="13"/>
      <c r="AA4" s="13"/>
      <c r="AB4" s="13"/>
      <c r="AC4" s="13"/>
      <c r="AD4" s="13"/>
      <c r="AE4" s="13"/>
      <c r="AF4" s="13"/>
      <c r="AG4" s="13"/>
      <c r="AH4" s="505"/>
      <c r="AI4" s="13"/>
      <c r="AJ4" s="13" t="str">
        <f>+'MASTER PubCo Inputs'!$C$24</f>
        <v>(in millions of USD)</v>
      </c>
      <c r="AL4" s="201" t="s">
        <v>399</v>
      </c>
      <c r="AM4" s="308" t="str">
        <f>+'Comp.1'!$AL$4</f>
        <v>USD</v>
      </c>
      <c r="AO4" s="654" t="str">
        <f>+Q7</f>
        <v>Revenue</v>
      </c>
      <c r="AP4" s="655">
        <f>+SUM('STM Linked'!N10:N29)</f>
        <v>213.66324999999998</v>
      </c>
      <c r="AQ4" s="655">
        <f>+SUM('Capital IQ Sheet-STM'!N10:N29)</f>
        <v>213.66324999999998</v>
      </c>
      <c r="AR4" s="204" t="b">
        <f>AP4=AQ4</f>
        <v>1</v>
      </c>
    </row>
    <row r="5" spans="2:44" s="16" customFormat="1" ht="12.75" customHeight="1" thickTop="1">
      <c r="B5" s="405"/>
      <c r="C5" s="405"/>
      <c r="D5" s="405"/>
      <c r="E5" s="405"/>
      <c r="F5" s="405"/>
      <c r="G5" s="405"/>
      <c r="H5" s="405"/>
      <c r="I5" s="405"/>
      <c r="J5" s="405"/>
      <c r="K5" s="405"/>
      <c r="L5" s="405"/>
      <c r="M5" s="405"/>
      <c r="N5" s="405"/>
      <c r="O5" s="405"/>
      <c r="P5" s="405"/>
      <c r="Q5" s="405"/>
      <c r="R5" s="405"/>
      <c r="S5" s="405"/>
      <c r="T5" s="405"/>
      <c r="U5" s="405"/>
      <c r="V5" s="405"/>
      <c r="W5" s="405"/>
      <c r="X5" s="405"/>
      <c r="Y5" s="405"/>
      <c r="Z5" s="405"/>
      <c r="AA5" s="405"/>
      <c r="AB5" s="405"/>
      <c r="AC5" s="405"/>
      <c r="AD5" s="405"/>
      <c r="AE5" s="405"/>
      <c r="AF5" s="405"/>
      <c r="AG5" s="405"/>
      <c r="AH5" s="78"/>
      <c r="AI5" s="405"/>
      <c r="AJ5" s="405"/>
      <c r="AK5" s="405"/>
      <c r="AL5" s="82" t="s">
        <v>89</v>
      </c>
      <c r="AM5" s="307" t="str">
        <f>+'Comp.1'!$AL$5</f>
        <v>H</v>
      </c>
      <c r="AO5" s="656" t="str">
        <f>+R7</f>
        <v>EBITDA</v>
      </c>
      <c r="AP5" s="657">
        <f>+SUM('STM Linked'!O10:O29)</f>
        <v>-815.14732000000004</v>
      </c>
      <c r="AQ5" s="657">
        <f>+SUM('Capital IQ Sheet-STM'!O10:O29)</f>
        <v>-815.14732000000004</v>
      </c>
      <c r="AR5" s="448" t="b">
        <f>AP5=AQ5</f>
        <v>1</v>
      </c>
    </row>
    <row r="6" spans="2:44" ht="27" customHeight="1">
      <c r="L6" s="35" t="s">
        <v>413</v>
      </c>
      <c r="M6" s="930"/>
      <c r="N6" s="930"/>
      <c r="O6" s="37"/>
      <c r="Q6" s="3204" t="s">
        <v>298</v>
      </c>
      <c r="R6" s="36"/>
      <c r="S6" s="37"/>
      <c r="U6" s="3204" t="s">
        <v>297</v>
      </c>
      <c r="V6" s="364"/>
      <c r="W6" s="415"/>
      <c r="X6" s="364"/>
      <c r="Y6" s="365"/>
      <c r="AA6" s="35" t="s">
        <v>299</v>
      </c>
      <c r="AB6" s="36"/>
      <c r="AC6" s="37"/>
      <c r="AE6" s="35" t="s">
        <v>300</v>
      </c>
      <c r="AF6" s="36"/>
      <c r="AG6" s="37"/>
      <c r="AI6" s="857" t="s">
        <v>303</v>
      </c>
      <c r="AJ6" s="858"/>
    </row>
    <row r="7" spans="2:44" s="6" customFormat="1" ht="42.75" customHeight="1">
      <c r="B7" s="128" t="s">
        <v>292</v>
      </c>
      <c r="C7" s="126" t="s">
        <v>757</v>
      </c>
      <c r="D7" s="126" t="s">
        <v>293</v>
      </c>
      <c r="E7" s="126" t="s">
        <v>417</v>
      </c>
      <c r="F7" s="416" t="s">
        <v>294</v>
      </c>
      <c r="G7" s="127" t="s">
        <v>296</v>
      </c>
      <c r="I7" s="3206" t="s">
        <v>2577</v>
      </c>
      <c r="J7" s="3207" t="s">
        <v>1546</v>
      </c>
      <c r="L7" s="591" t="str">
        <f>'Capital IQ Sheet-STM'!I8</f>
        <v>Enterprise Value</v>
      </c>
      <c r="M7" s="982" t="str">
        <f>'Capital IQ Sheet-STM'!J8</f>
        <v>Upfront Value</v>
      </c>
      <c r="N7" s="982" t="str">
        <f>'Capital IQ Sheet-STM'!K8</f>
        <v>Contingent Payments</v>
      </c>
      <c r="O7" s="594" t="str">
        <f>'Capital IQ Sheet-STM'!L8</f>
        <v>Total Trans. Value</v>
      </c>
      <c r="P7" s="599"/>
      <c r="Q7" s="3203" t="s">
        <v>159</v>
      </c>
      <c r="R7" s="592" t="s">
        <v>165</v>
      </c>
      <c r="S7" s="594" t="s">
        <v>166</v>
      </c>
      <c r="T7" s="330"/>
      <c r="U7" s="3205" t="s">
        <v>159</v>
      </c>
      <c r="V7" s="592" t="s">
        <v>165</v>
      </c>
      <c r="W7" s="610" t="s">
        <v>166</v>
      </c>
      <c r="X7" s="592" t="s">
        <v>415</v>
      </c>
      <c r="Y7" s="594" t="s">
        <v>416</v>
      </c>
      <c r="Z7" s="330"/>
      <c r="AA7" s="591" t="s">
        <v>159</v>
      </c>
      <c r="AB7" s="592" t="s">
        <v>165</v>
      </c>
      <c r="AC7" s="594" t="s">
        <v>166</v>
      </c>
      <c r="AD7" s="330"/>
      <c r="AE7" s="591" t="s">
        <v>159</v>
      </c>
      <c r="AF7" s="592" t="s">
        <v>165</v>
      </c>
      <c r="AG7" s="594" t="s">
        <v>166</v>
      </c>
      <c r="AH7" s="611"/>
      <c r="AI7" s="859" t="s">
        <v>301</v>
      </c>
      <c r="AJ7" s="860" t="s">
        <v>302</v>
      </c>
      <c r="AL7" s="784" t="s">
        <v>835</v>
      </c>
      <c r="AM7" s="785">
        <v>50</v>
      </c>
      <c r="AN7" s="784" t="s">
        <v>836</v>
      </c>
      <c r="AO7" s="785">
        <v>0</v>
      </c>
    </row>
    <row r="8" spans="2:44" ht="12.75" customHeight="1">
      <c r="I8" s="411"/>
      <c r="J8" s="411"/>
      <c r="L8" s="330"/>
      <c r="M8" s="330"/>
      <c r="N8" s="330"/>
      <c r="O8" s="330"/>
      <c r="P8" s="330"/>
      <c r="Q8" s="330"/>
      <c r="R8" s="330"/>
      <c r="S8" s="330"/>
      <c r="T8" s="330"/>
      <c r="U8" s="330"/>
      <c r="V8" s="330"/>
      <c r="W8" s="330"/>
      <c r="X8" s="330"/>
      <c r="Y8" s="330"/>
      <c r="Z8" s="330"/>
      <c r="AA8" s="330"/>
      <c r="AB8" s="330"/>
      <c r="AC8" s="330"/>
      <c r="AD8" s="330"/>
      <c r="AE8" s="330"/>
      <c r="AF8" s="330"/>
      <c r="AG8" s="330"/>
      <c r="AH8" s="611"/>
      <c r="AI8" s="330"/>
      <c r="AJ8" s="330"/>
    </row>
    <row r="9" spans="2:44" s="506" customFormat="1" ht="52.5" customHeight="1">
      <c r="B9" s="508">
        <f>IFERROR('Capital IQ Sheet-STM'!B10,"n/a")</f>
        <v>43308</v>
      </c>
      <c r="C9" s="508" t="str">
        <f>'Capital IQ Sheet-STM'!C10</f>
        <v>Whitebox Advisors, LLC; Whitebox Asymmetric Partners LP; Pernix Ireland Pain Limited; Whitebox Caja Blanca Fund, LP; 1992 Co-Invest Fund; 1992 Tactical Fund; 1992 Multi-Strategy Fund</v>
      </c>
      <c r="D9" s="508" t="str">
        <f>'Capital IQ Sheet-STM'!D10</f>
        <v>Substantially all of the assets of Orexigen Therapeutics, Inc.</v>
      </c>
      <c r="E9" s="508" t="str">
        <f>'Capital IQ Sheet-STM'!E10</f>
        <v>Pharmaceuticals</v>
      </c>
      <c r="F9" s="514">
        <f>IFERROR('Capital IQ Sheet-STM'!F10,"n/a")</f>
        <v>1</v>
      </c>
      <c r="G9" s="508" t="str">
        <f>'Capital IQ Sheet-STM'!G10</f>
        <v>Majority</v>
      </c>
      <c r="I9" s="1738" t="s">
        <v>2416</v>
      </c>
      <c r="J9" s="1738" t="s">
        <v>861</v>
      </c>
      <c r="L9" s="152">
        <f>'Capital IQ Sheet-STM'!I10</f>
        <v>73.5</v>
      </c>
      <c r="M9" s="152">
        <f>'Capital IQ Sheet-STM'!J10</f>
        <v>73.5</v>
      </c>
      <c r="N9" s="152" t="str">
        <f>'Capital IQ Sheet-STM'!K10</f>
        <v>n/a</v>
      </c>
      <c r="O9" s="152">
        <f>'Capital IQ Sheet-STM'!L10</f>
        <v>73.5</v>
      </c>
      <c r="P9" s="509"/>
      <c r="Q9" s="152" t="str">
        <f>'Capital IQ Sheet-STM'!N10</f>
        <v>n/a</v>
      </c>
      <c r="R9" s="152" t="str">
        <f>'Capital IQ Sheet-STM'!O10</f>
        <v>n/a</v>
      </c>
      <c r="S9" s="152" t="str">
        <f>'Capital IQ Sheet-STM'!P10</f>
        <v>n/a</v>
      </c>
      <c r="T9" s="509"/>
      <c r="U9" s="510" t="str">
        <f>IFERROR(IF(($L9/Q9)&gt;$AM$7, "NM", IF(($L9/Q9)&lt;$AO$7, "NM", $L9/Q9)),"n/a")</f>
        <v>n/a</v>
      </c>
      <c r="V9" s="510" t="str">
        <f>IFERROR(IF(($L9/R9)&gt;$AM$7, "NM", IF(($L9/R9)&lt;$AO$7, "NM", $L9/R9)),"n/a")</f>
        <v>n/a</v>
      </c>
      <c r="W9" s="510" t="str">
        <f>IFERROR(IF(($L9/S9)&gt;$AM$7, "NM", IF(($L9/S9)&lt;$AO$7, "NM", $L9/S9)),"n/a")</f>
        <v>n/a</v>
      </c>
      <c r="X9" s="510" t="str">
        <f>'Capital IQ Sheet-STM'!U10</f>
        <v>n/a</v>
      </c>
      <c r="Y9" s="510" t="str">
        <f>'Capital IQ Sheet-STM'!V10</f>
        <v>n/a</v>
      </c>
      <c r="Z9" s="509"/>
      <c r="AA9" s="92" t="str">
        <f>'Capital IQ Sheet-STM'!X10</f>
        <v>n/a</v>
      </c>
      <c r="AB9" s="92" t="str">
        <f>'Capital IQ Sheet-STM'!Y10</f>
        <v>n/a</v>
      </c>
      <c r="AC9" s="92" t="str">
        <f>'Capital IQ Sheet-STM'!Z10</f>
        <v>n/a</v>
      </c>
      <c r="AD9" s="509"/>
      <c r="AE9" s="510" t="str">
        <f>IF(ISERROR($L9/AA9), "n/a", $L9/AA9)</f>
        <v>n/a</v>
      </c>
      <c r="AF9" s="510" t="str">
        <f>IF(ISERROR($L9/AB9), "n/a", $L9/AB9)</f>
        <v>n/a</v>
      </c>
      <c r="AG9" s="508" t="str">
        <f>'Capital IQ Sheet-STM'!AD10</f>
        <v>n/a</v>
      </c>
      <c r="AI9" s="514" t="str">
        <f>IFERROR('Capital IQ Sheet-STM'!AH10,"n/a")</f>
        <v>NM</v>
      </c>
      <c r="AJ9" s="514" t="str">
        <f>IFERROR('Capital IQ Sheet-STM'!AI10,"n/a")</f>
        <v>NM</v>
      </c>
      <c r="AK9" s="2138" t="s">
        <v>210</v>
      </c>
      <c r="AL9" s="511"/>
    </row>
    <row r="10" spans="2:44" s="506" customFormat="1" ht="25.5">
      <c r="B10" s="508">
        <f>IFERROR('Capital IQ Sheet-STM'!B11,"n/a")</f>
        <v>43088</v>
      </c>
      <c r="C10" s="508" t="str">
        <f>'Capital IQ Sheet-STM'!C11</f>
        <v>BiomX Ltd</v>
      </c>
      <c r="D10" s="508" t="str">
        <f>'Capital IQ Sheet-STM'!D11</f>
        <v>Rondinx Ltd</v>
      </c>
      <c r="E10" s="508" t="str">
        <f>'Capital IQ Sheet-STM'!E11</f>
        <v>Biotechnology</v>
      </c>
      <c r="F10" s="514">
        <f>IFERROR('Capital IQ Sheet-STM'!F11,"n/a")</f>
        <v>1</v>
      </c>
      <c r="G10" s="508" t="str">
        <f>'Capital IQ Sheet-STM'!G11</f>
        <v>Majority</v>
      </c>
      <c r="I10" s="1738" t="s">
        <v>3571</v>
      </c>
      <c r="J10" s="1738" t="s">
        <v>13</v>
      </c>
      <c r="L10" s="152" t="str">
        <f>'Capital IQ Sheet-STM'!I11</f>
        <v>n/a</v>
      </c>
      <c r="M10" s="152">
        <f>'Capital IQ Sheet-STM'!J11</f>
        <v>0</v>
      </c>
      <c r="N10" s="152" t="str">
        <f>'Capital IQ Sheet-STM'!K11</f>
        <v>n/a</v>
      </c>
      <c r="O10" s="152" t="str">
        <f>'Capital IQ Sheet-STM'!L11</f>
        <v>n/a</v>
      </c>
      <c r="P10" s="509"/>
      <c r="Q10" s="152" t="str">
        <f>'Capital IQ Sheet-STM'!N11</f>
        <v>n/a</v>
      </c>
      <c r="R10" s="152" t="str">
        <f>'Capital IQ Sheet-STM'!O11</f>
        <v>n/a</v>
      </c>
      <c r="S10" s="152" t="str">
        <f>'Capital IQ Sheet-STM'!P11</f>
        <v>n/a</v>
      </c>
      <c r="T10" s="509"/>
      <c r="U10" s="510" t="str">
        <f t="shared" ref="U10:U25" si="0">IFERROR(IF(($L10/Q10)&gt;$AM$7, "NM", IF(($L10/Q10)&lt;$AO$7, "NM", $L10/Q10)),"n/a")</f>
        <v>n/a</v>
      </c>
      <c r="V10" s="510" t="str">
        <f t="shared" ref="V10:V25" si="1">IFERROR(IF(($L10/R10)&gt;$AM$7, "NM", IF(($L10/R10)&lt;$AO$7, "NM", $L10/R10)),"n/a")</f>
        <v>n/a</v>
      </c>
      <c r="W10" s="510" t="str">
        <f t="shared" ref="W10:W25" si="2">IFERROR(IF(($L10/S10)&gt;$AM$7, "NM", IF(($L10/S10)&lt;$AO$7, "NM", $L10/S10)),"n/a")</f>
        <v>n/a</v>
      </c>
      <c r="X10" s="510" t="str">
        <f>'Capital IQ Sheet-STM'!U11</f>
        <v>n/a</v>
      </c>
      <c r="Y10" s="510" t="str">
        <f>'Capital IQ Sheet-STM'!V11</f>
        <v>n/a</v>
      </c>
      <c r="Z10" s="509"/>
      <c r="AA10" s="92" t="str">
        <f>'Capital IQ Sheet-STM'!X11</f>
        <v>n/a</v>
      </c>
      <c r="AB10" s="92" t="str">
        <f>'Capital IQ Sheet-STM'!Y11</f>
        <v>n/a</v>
      </c>
      <c r="AC10" s="92" t="str">
        <f>'Capital IQ Sheet-STM'!Z11</f>
        <v>n/a</v>
      </c>
      <c r="AD10" s="509"/>
      <c r="AE10" s="510" t="str">
        <f t="shared" ref="AE10:AE25" si="3">IF(ISERROR($L10/AA10), "n/a", $L10/AA10)</f>
        <v>n/a</v>
      </c>
      <c r="AF10" s="510" t="str">
        <f t="shared" ref="AF10:AF25" si="4">IF(ISERROR($L10/AB10), "n/a", $L10/AB10)</f>
        <v>n/a</v>
      </c>
      <c r="AG10" s="508" t="str">
        <f>'Capital IQ Sheet-STM'!AD11</f>
        <v>n/a</v>
      </c>
      <c r="AI10" s="514" t="str">
        <f>IFERROR('Capital IQ Sheet-STM'!AH11,"n/a")</f>
        <v>NM</v>
      </c>
      <c r="AJ10" s="514" t="str">
        <f>IFERROR('Capital IQ Sheet-STM'!AI11,"n/a")</f>
        <v>NM</v>
      </c>
      <c r="AK10" s="2138" t="s">
        <v>209</v>
      </c>
      <c r="AL10" s="511"/>
    </row>
    <row r="11" spans="2:44" s="506" customFormat="1" ht="25.5">
      <c r="B11" s="508">
        <f>IFERROR('Capital IQ Sheet-STM'!B12,"n/a")</f>
        <v>43031</v>
      </c>
      <c r="C11" s="508" t="str">
        <f>'Capital IQ Sheet-STM'!C12</f>
        <v>Finch Therapeutics Group</v>
      </c>
      <c r="D11" s="508" t="str">
        <f>'Capital IQ Sheet-STM'!D12</f>
        <v>Crestovo LLC</v>
      </c>
      <c r="E11" s="508" t="str">
        <f>'Capital IQ Sheet-STM'!E12</f>
        <v>Pharmaceuticals</v>
      </c>
      <c r="F11" s="514">
        <f>IFERROR('Capital IQ Sheet-STM'!F12,"n/a")</f>
        <v>1</v>
      </c>
      <c r="G11" s="508" t="str">
        <f>'Capital IQ Sheet-STM'!G12</f>
        <v>Majority</v>
      </c>
      <c r="I11" s="1738" t="s">
        <v>3570</v>
      </c>
      <c r="J11" s="1738" t="s">
        <v>510</v>
      </c>
      <c r="L11" s="152" t="str">
        <f>'Capital IQ Sheet-STM'!I12</f>
        <v>n/a</v>
      </c>
      <c r="M11" s="152">
        <f>'Capital IQ Sheet-STM'!J12</f>
        <v>0</v>
      </c>
      <c r="N11" s="152" t="str">
        <f>'Capital IQ Sheet-STM'!K12</f>
        <v>n/a</v>
      </c>
      <c r="O11" s="152" t="str">
        <f>'Capital IQ Sheet-STM'!L12</f>
        <v>n/a</v>
      </c>
      <c r="P11" s="509"/>
      <c r="Q11" s="152" t="str">
        <f>'Capital IQ Sheet-STM'!N12</f>
        <v>n/a</v>
      </c>
      <c r="R11" s="152" t="str">
        <f>'Capital IQ Sheet-STM'!O12</f>
        <v>n/a</v>
      </c>
      <c r="S11" s="152" t="str">
        <f>'Capital IQ Sheet-STM'!P12</f>
        <v>n/a</v>
      </c>
      <c r="T11" s="509"/>
      <c r="U11" s="510" t="str">
        <f t="shared" si="0"/>
        <v>n/a</v>
      </c>
      <c r="V11" s="510" t="str">
        <f t="shared" si="1"/>
        <v>n/a</v>
      </c>
      <c r="W11" s="510" t="str">
        <f t="shared" si="2"/>
        <v>n/a</v>
      </c>
      <c r="X11" s="510" t="str">
        <f>'Capital IQ Sheet-STM'!U12</f>
        <v>n/a</v>
      </c>
      <c r="Y11" s="510" t="str">
        <f>'Capital IQ Sheet-STM'!V12</f>
        <v>n/a</v>
      </c>
      <c r="Z11" s="509"/>
      <c r="AA11" s="92" t="str">
        <f>'Capital IQ Sheet-STM'!X12</f>
        <v>n/a</v>
      </c>
      <c r="AB11" s="92" t="str">
        <f>'Capital IQ Sheet-STM'!Y12</f>
        <v>n/a</v>
      </c>
      <c r="AC11" s="92" t="str">
        <f>'Capital IQ Sheet-STM'!Z12</f>
        <v>n/a</v>
      </c>
      <c r="AD11" s="509"/>
      <c r="AE11" s="510" t="str">
        <f t="shared" si="3"/>
        <v>n/a</v>
      </c>
      <c r="AF11" s="510" t="str">
        <f t="shared" si="4"/>
        <v>n/a</v>
      </c>
      <c r="AG11" s="508" t="str">
        <f>'Capital IQ Sheet-STM'!AD12</f>
        <v>n/a</v>
      </c>
      <c r="AI11" s="514" t="str">
        <f>IFERROR('Capital IQ Sheet-STM'!AH12,"n/a")</f>
        <v>NM</v>
      </c>
      <c r="AJ11" s="514" t="str">
        <f>IFERROR('Capital IQ Sheet-STM'!AI12,"n/a")</f>
        <v>NM</v>
      </c>
      <c r="AL11" s="511"/>
    </row>
    <row r="12" spans="2:44" s="506" customFormat="1">
      <c r="B12" s="508">
        <f>IFERROR('Capital IQ Sheet-STM'!B13,"n/a")</f>
        <v>42748</v>
      </c>
      <c r="C12" s="508" t="str">
        <f>'Capital IQ Sheet-STM'!C13</f>
        <v>Yungjin Pharm. Co., Ltd.</v>
      </c>
      <c r="D12" s="508" t="str">
        <f>'Capital IQ Sheet-STM'!D13</f>
        <v>KT&amp;G Life Sciences Corp.</v>
      </c>
      <c r="E12" s="508" t="str">
        <f>'Capital IQ Sheet-STM'!E13</f>
        <v>Biotechnology</v>
      </c>
      <c r="F12" s="514">
        <f>IFERROR('Capital IQ Sheet-STM'!F13,"n/a")</f>
        <v>1</v>
      </c>
      <c r="G12" s="508" t="str">
        <f>'Capital IQ Sheet-STM'!G13</f>
        <v>Majority</v>
      </c>
      <c r="I12" s="1738" t="s">
        <v>2416</v>
      </c>
      <c r="J12" s="1738" t="s">
        <v>13</v>
      </c>
      <c r="L12" s="152">
        <f>'Capital IQ Sheet-STM'!I13</f>
        <v>38.678359999999998</v>
      </c>
      <c r="M12" s="152">
        <f>'Capital IQ Sheet-STM'!J13</f>
        <v>56.641860000000001</v>
      </c>
      <c r="N12" s="152" t="str">
        <f>'Capital IQ Sheet-STM'!K13</f>
        <v>n/a</v>
      </c>
      <c r="O12" s="152">
        <f>'Capital IQ Sheet-STM'!L13</f>
        <v>56.641860000000001</v>
      </c>
      <c r="P12" s="509"/>
      <c r="Q12" s="152">
        <f>'Capital IQ Sheet-STM'!N13</f>
        <v>1.12608</v>
      </c>
      <c r="R12" s="152" t="str">
        <f>'Capital IQ Sheet-STM'!O13</f>
        <v>n/a</v>
      </c>
      <c r="S12" s="152" t="str">
        <f>'Capital IQ Sheet-STM'!P13</f>
        <v>n/a</v>
      </c>
      <c r="T12" s="509"/>
      <c r="U12" s="510">
        <f t="shared" si="0"/>
        <v>34.347790565501562</v>
      </c>
      <c r="V12" s="510" t="str">
        <f t="shared" si="1"/>
        <v>n/a</v>
      </c>
      <c r="W12" s="510" t="str">
        <f t="shared" si="2"/>
        <v>n/a</v>
      </c>
      <c r="X12" s="510" t="str">
        <f>'Capital IQ Sheet-STM'!U13</f>
        <v>n/a</v>
      </c>
      <c r="Y12" s="510" t="str">
        <f>'Capital IQ Sheet-STM'!V13</f>
        <v>NM</v>
      </c>
      <c r="Z12" s="509"/>
      <c r="AA12" s="92" t="str">
        <f>'Capital IQ Sheet-STM'!X13</f>
        <v>n/a</v>
      </c>
      <c r="AB12" s="92" t="str">
        <f>'Capital IQ Sheet-STM'!Y13</f>
        <v>n/a</v>
      </c>
      <c r="AC12" s="92" t="str">
        <f>'Capital IQ Sheet-STM'!Z13</f>
        <v>n/a</v>
      </c>
      <c r="AD12" s="509"/>
      <c r="AE12" s="510" t="str">
        <f t="shared" si="3"/>
        <v>n/a</v>
      </c>
      <c r="AF12" s="510" t="str">
        <f t="shared" si="4"/>
        <v>n/a</v>
      </c>
      <c r="AG12" s="508" t="str">
        <f>'Capital IQ Sheet-STM'!AD13</f>
        <v>n/a</v>
      </c>
      <c r="AI12" s="514" t="str">
        <f>IFERROR('Capital IQ Sheet-STM'!AH13,"n/a")</f>
        <v>NM</v>
      </c>
      <c r="AJ12" s="514" t="str">
        <f>IFERROR('Capital IQ Sheet-STM'!AI13,"n/a")</f>
        <v>NM</v>
      </c>
      <c r="AK12" s="2138" t="s">
        <v>246</v>
      </c>
      <c r="AL12" s="512"/>
    </row>
    <row r="13" spans="2:44" s="506" customFormat="1">
      <c r="B13" s="508">
        <f>IFERROR('Capital IQ Sheet-STM'!B14,"n/a")</f>
        <v>42667</v>
      </c>
      <c r="C13" s="508" t="str">
        <f>'Capital IQ Sheet-STM'!C14</f>
        <v>Allergan plc</v>
      </c>
      <c r="D13" s="508" t="str">
        <f>'Capital IQ Sheet-STM'!D14</f>
        <v>Vitae Pharmaceuticals, Inc.</v>
      </c>
      <c r="E13" s="508" t="str">
        <f>'Capital IQ Sheet-STM'!E14</f>
        <v>Biotechnology</v>
      </c>
      <c r="F13" s="514">
        <f>IFERROR('Capital IQ Sheet-STM'!F14,"n/a")</f>
        <v>0.90961969999999992</v>
      </c>
      <c r="G13" s="508" t="str">
        <f>'Capital IQ Sheet-STM'!G14</f>
        <v>Majority</v>
      </c>
      <c r="I13" s="1738" t="s">
        <v>2391</v>
      </c>
      <c r="J13" s="1738" t="s">
        <v>510</v>
      </c>
      <c r="L13" s="152">
        <f>'Capital IQ Sheet-STM'!I14</f>
        <v>528.23937000000001</v>
      </c>
      <c r="M13" s="152">
        <f>'Capital IQ Sheet-STM'!J14</f>
        <v>550.93940999999995</v>
      </c>
      <c r="N13" s="152" t="str">
        <f>'Capital IQ Sheet-STM'!K14</f>
        <v>n/a</v>
      </c>
      <c r="O13" s="152">
        <f>'Capital IQ Sheet-STM'!L14</f>
        <v>550.93940999999995</v>
      </c>
      <c r="P13" s="509"/>
      <c r="Q13" s="152">
        <f>'Capital IQ Sheet-STM'!N14</f>
        <v>0.32246999999999998</v>
      </c>
      <c r="R13" s="152">
        <f>'Capital IQ Sheet-STM'!O14</f>
        <v>-45.344230000000003</v>
      </c>
      <c r="S13" s="152">
        <f>'Capital IQ Sheet-STM'!P14</f>
        <v>-45.57047</v>
      </c>
      <c r="T13" s="509"/>
      <c r="U13" s="510" t="str">
        <f t="shared" si="0"/>
        <v>NM</v>
      </c>
      <c r="V13" s="510" t="str">
        <f t="shared" si="1"/>
        <v>NM</v>
      </c>
      <c r="W13" s="510" t="str">
        <f t="shared" si="2"/>
        <v>NM</v>
      </c>
      <c r="X13" s="510">
        <f>'Capital IQ Sheet-STM'!U14</f>
        <v>8.2933599999999998</v>
      </c>
      <c r="Y13" s="510" t="str">
        <f>'Capital IQ Sheet-STM'!V14</f>
        <v>NM</v>
      </c>
      <c r="Z13" s="509"/>
      <c r="AA13" s="92">
        <f>'Capital IQ Sheet-STM'!X14</f>
        <v>0.13450000000000001</v>
      </c>
      <c r="AB13" s="92" t="str">
        <f>'Capital IQ Sheet-STM'!Y14</f>
        <v>n/a</v>
      </c>
      <c r="AC13" s="92" t="str">
        <f>'Capital IQ Sheet-STM'!Z14</f>
        <v>NM</v>
      </c>
      <c r="AD13" s="509"/>
      <c r="AE13" s="510">
        <f t="shared" si="3"/>
        <v>3927.4302602230482</v>
      </c>
      <c r="AF13" s="510" t="str">
        <f t="shared" si="4"/>
        <v>n/a</v>
      </c>
      <c r="AG13" s="508" t="str">
        <f>'Capital IQ Sheet-STM'!AD14</f>
        <v>n/a</v>
      </c>
      <c r="AI13" s="514">
        <f>IFERROR('Capital IQ Sheet-STM'!AH14,"n/a")</f>
        <v>1.634881</v>
      </c>
      <c r="AJ13" s="514">
        <f>IFERROR('Capital IQ Sheet-STM'!AI14,"n/a")</f>
        <v>1.3918000000000001</v>
      </c>
      <c r="AL13" s="512"/>
    </row>
    <row r="14" spans="2:44" s="506" customFormat="1">
      <c r="B14" s="508">
        <f>IFERROR('Capital IQ Sheet-STM'!B15,"n/a")</f>
        <v>42613</v>
      </c>
      <c r="C14" s="508" t="str">
        <f>'Capital IQ Sheet-STM'!C15</f>
        <v>Vifor Pharma Ltd.</v>
      </c>
      <c r="D14" s="508" t="str">
        <f>'Capital IQ Sheet-STM'!D15</f>
        <v>Relypsa, Inc.</v>
      </c>
      <c r="E14" s="508" t="str">
        <f>'Capital IQ Sheet-STM'!E15</f>
        <v>Pharmaceuticals</v>
      </c>
      <c r="F14" s="514">
        <f>IFERROR('Capital IQ Sheet-STM'!F15,"n/a")</f>
        <v>1</v>
      </c>
      <c r="G14" s="508" t="str">
        <f>'Capital IQ Sheet-STM'!G15</f>
        <v>Majority</v>
      </c>
      <c r="I14" s="1738" t="s">
        <v>2929</v>
      </c>
      <c r="J14" s="1738" t="s">
        <v>861</v>
      </c>
      <c r="L14" s="152">
        <f>'Capital IQ Sheet-STM'!I15</f>
        <v>1432.2870800000001</v>
      </c>
      <c r="M14" s="152">
        <f>'Capital IQ Sheet-STM'!J15</f>
        <v>1468.1658600000001</v>
      </c>
      <c r="N14" s="152" t="str">
        <f>'Capital IQ Sheet-STM'!K15</f>
        <v>n/a</v>
      </c>
      <c r="O14" s="152">
        <f>'Capital IQ Sheet-STM'!L15</f>
        <v>1690.0130799999999</v>
      </c>
      <c r="P14" s="509"/>
      <c r="Q14" s="152">
        <f>'Capital IQ Sheet-STM'!N15</f>
        <v>36.152999999999999</v>
      </c>
      <c r="R14" s="152">
        <f>'Capital IQ Sheet-STM'!O15</f>
        <v>-228.55799999999999</v>
      </c>
      <c r="S14" s="152">
        <f>'Capital IQ Sheet-STM'!P15</f>
        <v>-230.08199999999999</v>
      </c>
      <c r="T14" s="509"/>
      <c r="U14" s="510">
        <f t="shared" si="0"/>
        <v>39.617378364174485</v>
      </c>
      <c r="V14" s="510" t="str">
        <f t="shared" si="1"/>
        <v>NM</v>
      </c>
      <c r="W14" s="510" t="str">
        <f t="shared" si="2"/>
        <v>NM</v>
      </c>
      <c r="X14" s="510">
        <f>'Capital IQ Sheet-STM'!U15</f>
        <v>13.23626</v>
      </c>
      <c r="Y14" s="510" t="str">
        <f>'Capital IQ Sheet-STM'!V15</f>
        <v>NM</v>
      </c>
      <c r="Z14" s="509"/>
      <c r="AA14" s="92">
        <f>'Capital IQ Sheet-STM'!X15</f>
        <v>32.769599999999997</v>
      </c>
      <c r="AB14" s="92">
        <f>'Capital IQ Sheet-STM'!Y15</f>
        <v>-245.57089999999999</v>
      </c>
      <c r="AC14" s="92" t="str">
        <f>'Capital IQ Sheet-STM'!Z15</f>
        <v>NM</v>
      </c>
      <c r="AD14" s="509"/>
      <c r="AE14" s="510">
        <f t="shared" si="3"/>
        <v>43.707798691470146</v>
      </c>
      <c r="AF14" s="510">
        <f t="shared" si="4"/>
        <v>-5.8324788482674457</v>
      </c>
      <c r="AG14" s="508" t="str">
        <f>'Capital IQ Sheet-STM'!AD15</f>
        <v>n/a</v>
      </c>
      <c r="AI14" s="514">
        <f>IFERROR('Capital IQ Sheet-STM'!AH15,"n/a")</f>
        <v>0.60561999999999994</v>
      </c>
      <c r="AJ14" s="514">
        <f>IFERROR('Capital IQ Sheet-STM'!AI15,"n/a")</f>
        <v>0.88235299999999994</v>
      </c>
      <c r="AL14" s="512"/>
    </row>
    <row r="15" spans="2:44" s="506" customFormat="1">
      <c r="B15" s="508">
        <f>IFERROR('Capital IQ Sheet-STM'!B16,"n/a")</f>
        <v>42613</v>
      </c>
      <c r="C15" s="508" t="str">
        <f>'Capital IQ Sheet-STM'!C16</f>
        <v>OPKO Health, Inc.</v>
      </c>
      <c r="D15" s="508" t="str">
        <f>'Capital IQ Sheet-STM'!D16</f>
        <v>Transition Therapeutics Inc.</v>
      </c>
      <c r="E15" s="508" t="str">
        <f>'Capital IQ Sheet-STM'!E16</f>
        <v>Biotechnology</v>
      </c>
      <c r="F15" s="514">
        <f>IFERROR('Capital IQ Sheet-STM'!F16,"n/a")</f>
        <v>1</v>
      </c>
      <c r="G15" s="508" t="str">
        <f>'Capital IQ Sheet-STM'!G16</f>
        <v>Majority</v>
      </c>
      <c r="I15" s="1738" t="s">
        <v>2416</v>
      </c>
      <c r="J15" s="1738" t="s">
        <v>510</v>
      </c>
      <c r="L15" s="152">
        <f>'Capital IQ Sheet-STM'!I16</f>
        <v>41.130989999999997</v>
      </c>
      <c r="M15" s="152">
        <f>'Capital IQ Sheet-STM'!J16</f>
        <v>59.806919999999998</v>
      </c>
      <c r="N15" s="152" t="str">
        <f>'Capital IQ Sheet-STM'!K16</f>
        <v>n/a</v>
      </c>
      <c r="O15" s="152">
        <f>'Capital IQ Sheet-STM'!L16</f>
        <v>59.806919999999998</v>
      </c>
      <c r="P15" s="509"/>
      <c r="Q15" s="152" t="str">
        <f>'Capital IQ Sheet-STM'!N16</f>
        <v>n/a</v>
      </c>
      <c r="R15" s="152">
        <f>'Capital IQ Sheet-STM'!O16</f>
        <v>-19.4024</v>
      </c>
      <c r="S15" s="152">
        <f>'Capital IQ Sheet-STM'!P16</f>
        <v>-19.957249999999998</v>
      </c>
      <c r="T15" s="509"/>
      <c r="U15" s="510" t="str">
        <f t="shared" si="0"/>
        <v>n/a</v>
      </c>
      <c r="V15" s="510" t="str">
        <f t="shared" si="1"/>
        <v>NM</v>
      </c>
      <c r="W15" s="510" t="str">
        <f t="shared" si="2"/>
        <v>NM</v>
      </c>
      <c r="X15" s="510">
        <f>'Capital IQ Sheet-STM'!U16</f>
        <v>2.87737</v>
      </c>
      <c r="Y15" s="510" t="str">
        <f>'Capital IQ Sheet-STM'!V16</f>
        <v>NM</v>
      </c>
      <c r="Z15" s="509"/>
      <c r="AA15" s="92" t="str">
        <f>'Capital IQ Sheet-STM'!X16</f>
        <v>n/a</v>
      </c>
      <c r="AB15" s="92">
        <f>'Capital IQ Sheet-STM'!Y16</f>
        <v>-11.43661</v>
      </c>
      <c r="AC15" s="92" t="str">
        <f>'Capital IQ Sheet-STM'!Z16</f>
        <v>NM</v>
      </c>
      <c r="AD15" s="509"/>
      <c r="AE15" s="510" t="str">
        <f t="shared" si="3"/>
        <v>n/a</v>
      </c>
      <c r="AF15" s="510">
        <f t="shared" si="4"/>
        <v>-3.5964319846527948</v>
      </c>
      <c r="AG15" s="508" t="str">
        <f>'Capital IQ Sheet-STM'!AD16</f>
        <v>n/a</v>
      </c>
      <c r="AI15" s="514">
        <f>IFERROR('Capital IQ Sheet-STM'!AH16,"n/a")</f>
        <v>1.041612</v>
      </c>
      <c r="AJ15" s="514">
        <f>IFERROR('Capital IQ Sheet-STM'!AI16,"n/a")</f>
        <v>0.92382599999999993</v>
      </c>
      <c r="AK15" s="2138" t="s">
        <v>247</v>
      </c>
      <c r="AL15" s="512"/>
    </row>
    <row r="16" spans="2:44" s="506" customFormat="1">
      <c r="B16" s="508">
        <f>IFERROR('Capital IQ Sheet-STM'!B17,"n/a")</f>
        <v>42583</v>
      </c>
      <c r="C16" s="508" t="str">
        <f>'Capital IQ Sheet-STM'!C17</f>
        <v>Pfizer Inc.</v>
      </c>
      <c r="D16" s="508" t="str">
        <f>'Capital IQ Sheet-STM'!D17</f>
        <v>Bamboo Therapeutics, Inc.</v>
      </c>
      <c r="E16" s="508" t="str">
        <f>'Capital IQ Sheet-STM'!E17</f>
        <v>Pharmaceuticals</v>
      </c>
      <c r="F16" s="514">
        <f>IFERROR('Capital IQ Sheet-STM'!F17,"n/a")</f>
        <v>0.78</v>
      </c>
      <c r="G16" s="508" t="str">
        <f>'Capital IQ Sheet-STM'!G17</f>
        <v>Majority</v>
      </c>
      <c r="I16" s="1738" t="s">
        <v>2785</v>
      </c>
      <c r="J16" s="1738" t="s">
        <v>1205</v>
      </c>
      <c r="L16" s="152">
        <f>'Capital IQ Sheet-STM'!I17</f>
        <v>687.30768999999998</v>
      </c>
      <c r="M16" s="152">
        <f>'Capital IQ Sheet-STM'!J17</f>
        <v>150</v>
      </c>
      <c r="N16" s="152">
        <f>'Capital IQ Sheet-STM'!K17</f>
        <v>495</v>
      </c>
      <c r="O16" s="152">
        <f>'Capital IQ Sheet-STM'!L17</f>
        <v>645</v>
      </c>
      <c r="P16" s="509"/>
      <c r="Q16" s="152" t="str">
        <f>'Capital IQ Sheet-STM'!N17</f>
        <v>n/a</v>
      </c>
      <c r="R16" s="152" t="str">
        <f>'Capital IQ Sheet-STM'!O17</f>
        <v>n/a</v>
      </c>
      <c r="S16" s="152" t="str">
        <f>'Capital IQ Sheet-STM'!P17</f>
        <v>n/a</v>
      </c>
      <c r="T16" s="509"/>
      <c r="U16" s="510" t="str">
        <f t="shared" si="0"/>
        <v>n/a</v>
      </c>
      <c r="V16" s="510" t="str">
        <f t="shared" si="1"/>
        <v>n/a</v>
      </c>
      <c r="W16" s="510" t="str">
        <f t="shared" si="2"/>
        <v>n/a</v>
      </c>
      <c r="X16" s="510" t="str">
        <f>'Capital IQ Sheet-STM'!U17</f>
        <v>n/a</v>
      </c>
      <c r="Y16" s="510" t="str">
        <f>'Capital IQ Sheet-STM'!V17</f>
        <v>n/a</v>
      </c>
      <c r="Z16" s="509"/>
      <c r="AA16" s="92" t="str">
        <f>'Capital IQ Sheet-STM'!X17</f>
        <v>n/a</v>
      </c>
      <c r="AB16" s="92" t="str">
        <f>'Capital IQ Sheet-STM'!Y17</f>
        <v>n/a</v>
      </c>
      <c r="AC16" s="92" t="str">
        <f>'Capital IQ Sheet-STM'!Z17</f>
        <v>n/a</v>
      </c>
      <c r="AD16" s="509"/>
      <c r="AE16" s="510" t="str">
        <f t="shared" si="3"/>
        <v>n/a</v>
      </c>
      <c r="AF16" s="510" t="str">
        <f t="shared" si="4"/>
        <v>n/a</v>
      </c>
      <c r="AG16" s="508" t="str">
        <f>'Capital IQ Sheet-STM'!AD17</f>
        <v>n/a</v>
      </c>
      <c r="AI16" s="514" t="str">
        <f>IFERROR('Capital IQ Sheet-STM'!AH17,"n/a")</f>
        <v>NM</v>
      </c>
      <c r="AJ16" s="514" t="str">
        <f>IFERROR('Capital IQ Sheet-STM'!AI17,"n/a")</f>
        <v>NM</v>
      </c>
      <c r="AL16" s="512"/>
    </row>
    <row r="17" spans="2:38" s="506" customFormat="1">
      <c r="B17" s="508">
        <f>IFERROR('Capital IQ Sheet-STM'!B18,"n/a")</f>
        <v>42563</v>
      </c>
      <c r="C17" s="508" t="str">
        <f>'Capital IQ Sheet-STM'!C18</f>
        <v>Evelo Biosciences, Inc.</v>
      </c>
      <c r="D17" s="508" t="str">
        <f>'Capital IQ Sheet-STM'!D18</f>
        <v>Epiva Biosciences, Inc.</v>
      </c>
      <c r="E17" s="508" t="str">
        <f>'Capital IQ Sheet-STM'!E18</f>
        <v>Biotechnology</v>
      </c>
      <c r="F17" s="514">
        <f>IFERROR('Capital IQ Sheet-STM'!F18,"n/a")</f>
        <v>1</v>
      </c>
      <c r="G17" s="508" t="str">
        <f>'Capital IQ Sheet-STM'!G18</f>
        <v>Majority</v>
      </c>
      <c r="I17" s="1738" t="s">
        <v>2786</v>
      </c>
      <c r="J17" s="1738" t="s">
        <v>13</v>
      </c>
      <c r="L17" s="152" t="str">
        <f>'Capital IQ Sheet-STM'!I18</f>
        <v>n/a</v>
      </c>
      <c r="M17" s="152">
        <f>'Capital IQ Sheet-STM'!J18</f>
        <v>0</v>
      </c>
      <c r="N17" s="152" t="str">
        <f>'Capital IQ Sheet-STM'!K18</f>
        <v>n/a</v>
      </c>
      <c r="O17" s="152" t="str">
        <f>'Capital IQ Sheet-STM'!L18</f>
        <v>n/a</v>
      </c>
      <c r="P17" s="509"/>
      <c r="Q17" s="152" t="str">
        <f>'Capital IQ Sheet-STM'!N18</f>
        <v>n/a</v>
      </c>
      <c r="R17" s="152" t="str">
        <f>'Capital IQ Sheet-STM'!O18</f>
        <v>n/a</v>
      </c>
      <c r="S17" s="152" t="str">
        <f>'Capital IQ Sheet-STM'!P18</f>
        <v>n/a</v>
      </c>
      <c r="T17" s="509"/>
      <c r="U17" s="510" t="str">
        <f t="shared" si="0"/>
        <v>n/a</v>
      </c>
      <c r="V17" s="510" t="str">
        <f t="shared" si="1"/>
        <v>n/a</v>
      </c>
      <c r="W17" s="510" t="str">
        <f t="shared" si="2"/>
        <v>n/a</v>
      </c>
      <c r="X17" s="510" t="str">
        <f>'Capital IQ Sheet-STM'!U18</f>
        <v>n/a</v>
      </c>
      <c r="Y17" s="510" t="str">
        <f>'Capital IQ Sheet-STM'!V18</f>
        <v>n/a</v>
      </c>
      <c r="Z17" s="509"/>
      <c r="AA17" s="92" t="str">
        <f>'Capital IQ Sheet-STM'!X18</f>
        <v>n/a</v>
      </c>
      <c r="AB17" s="92" t="str">
        <f>'Capital IQ Sheet-STM'!Y18</f>
        <v>n/a</v>
      </c>
      <c r="AC17" s="92" t="str">
        <f>'Capital IQ Sheet-STM'!Z18</f>
        <v>n/a</v>
      </c>
      <c r="AD17" s="509"/>
      <c r="AE17" s="510" t="str">
        <f t="shared" si="3"/>
        <v>n/a</v>
      </c>
      <c r="AF17" s="510" t="str">
        <f t="shared" si="4"/>
        <v>n/a</v>
      </c>
      <c r="AG17" s="508" t="str">
        <f>'Capital IQ Sheet-STM'!AD18</f>
        <v>n/a</v>
      </c>
      <c r="AI17" s="514" t="str">
        <f>IFERROR('Capital IQ Sheet-STM'!AH18,"n/a")</f>
        <v>NM</v>
      </c>
      <c r="AJ17" s="514" t="str">
        <f>IFERROR('Capital IQ Sheet-STM'!AI18,"n/a")</f>
        <v>NM</v>
      </c>
      <c r="AL17" s="512"/>
    </row>
    <row r="18" spans="2:38" s="506" customFormat="1" ht="27" customHeight="1">
      <c r="B18" s="508">
        <f>IFERROR('Capital IQ Sheet-STM'!B19,"n/a")</f>
        <v>42530</v>
      </c>
      <c r="C18" s="508" t="str">
        <f>'Capital IQ Sheet-STM'!C19</f>
        <v>Nexus BioPharma Corporation (nka:Nexus BioPharma, Inc.)</v>
      </c>
      <c r="D18" s="508" t="str">
        <f>'Capital IQ Sheet-STM'!D19</f>
        <v>Nexus BioPharma, Inc. Prior to Reverse merger with Nexus BioPharma Corporation</v>
      </c>
      <c r="E18" s="508" t="str">
        <f>'Capital IQ Sheet-STM'!E19</f>
        <v>Pharmaceuticals</v>
      </c>
      <c r="F18" s="514">
        <f>IFERROR('Capital IQ Sheet-STM'!F19,"n/a")</f>
        <v>1</v>
      </c>
      <c r="G18" s="508" t="str">
        <f>'Capital IQ Sheet-STM'!G19</f>
        <v>Majority</v>
      </c>
      <c r="I18" s="1738" t="s">
        <v>2416</v>
      </c>
      <c r="J18" s="1738" t="s">
        <v>781</v>
      </c>
      <c r="L18" s="152" t="str">
        <f>'Capital IQ Sheet-STM'!I19</f>
        <v>n/a</v>
      </c>
      <c r="M18" s="152">
        <f>'Capital IQ Sheet-STM'!J19</f>
        <v>0</v>
      </c>
      <c r="N18" s="152" t="str">
        <f>'Capital IQ Sheet-STM'!K19</f>
        <v>n/a</v>
      </c>
      <c r="O18" s="152" t="str">
        <f>'Capital IQ Sheet-STM'!L19</f>
        <v>n/a</v>
      </c>
      <c r="P18" s="509"/>
      <c r="Q18" s="152" t="str">
        <f>'Capital IQ Sheet-STM'!N19</f>
        <v>n/a</v>
      </c>
      <c r="R18" s="152" t="str">
        <f>'Capital IQ Sheet-STM'!O19</f>
        <v>n/a</v>
      </c>
      <c r="S18" s="152">
        <f>'Capital IQ Sheet-STM'!P19</f>
        <v>-2.8979999999999999E-2</v>
      </c>
      <c r="T18" s="509"/>
      <c r="U18" s="510" t="str">
        <f t="shared" si="0"/>
        <v>n/a</v>
      </c>
      <c r="V18" s="510" t="str">
        <f t="shared" si="1"/>
        <v>n/a</v>
      </c>
      <c r="W18" s="510" t="str">
        <f t="shared" si="2"/>
        <v>n/a</v>
      </c>
      <c r="X18" s="510" t="str">
        <f>'Capital IQ Sheet-STM'!U19</f>
        <v>n/a</v>
      </c>
      <c r="Y18" s="510" t="str">
        <f>'Capital IQ Sheet-STM'!V19</f>
        <v>n/a</v>
      </c>
      <c r="Z18" s="509"/>
      <c r="AA18" s="92" t="str">
        <f>'Capital IQ Sheet-STM'!X19</f>
        <v>n/a</v>
      </c>
      <c r="AB18" s="92" t="str">
        <f>'Capital IQ Sheet-STM'!Y19</f>
        <v>n/a</v>
      </c>
      <c r="AC18" s="92" t="str">
        <f>'Capital IQ Sheet-STM'!Z19</f>
        <v>n/a</v>
      </c>
      <c r="AD18" s="509"/>
      <c r="AE18" s="510" t="str">
        <f t="shared" si="3"/>
        <v>n/a</v>
      </c>
      <c r="AF18" s="510" t="str">
        <f t="shared" si="4"/>
        <v>n/a</v>
      </c>
      <c r="AG18" s="508" t="str">
        <f>'Capital IQ Sheet-STM'!AD19</f>
        <v>n/a</v>
      </c>
      <c r="AI18" s="514" t="str">
        <f>IFERROR('Capital IQ Sheet-STM'!AH19,"n/a")</f>
        <v>NM</v>
      </c>
      <c r="AJ18" s="514" t="str">
        <f>IFERROR('Capital IQ Sheet-STM'!AI19,"n/a")</f>
        <v>NM</v>
      </c>
      <c r="AL18" s="512"/>
    </row>
    <row r="19" spans="2:38" s="506" customFormat="1" ht="25.5">
      <c r="B19" s="508">
        <f>IFERROR('Capital IQ Sheet-STM'!B20,"n/a")</f>
        <v>42478</v>
      </c>
      <c r="C19" s="508" t="str">
        <f>'Capital IQ Sheet-STM'!C20</f>
        <v>Acorda Therapeutics, Inc.</v>
      </c>
      <c r="D19" s="508" t="str">
        <f>'Capital IQ Sheet-STM'!D20</f>
        <v>Biotie Therapies Corp.</v>
      </c>
      <c r="E19" s="508" t="str">
        <f>'Capital IQ Sheet-STM'!E20</f>
        <v>Biotechnology</v>
      </c>
      <c r="F19" s="514">
        <f>IFERROR('Capital IQ Sheet-STM'!F20,"n/a")</f>
        <v>1</v>
      </c>
      <c r="G19" s="508" t="str">
        <f>'Capital IQ Sheet-STM'!G20</f>
        <v>Majority</v>
      </c>
      <c r="I19" s="1738" t="s">
        <v>2787</v>
      </c>
      <c r="J19" s="1738" t="s">
        <v>518</v>
      </c>
      <c r="L19" s="152">
        <f>'Capital IQ Sheet-STM'!I20</f>
        <v>277.68808999999999</v>
      </c>
      <c r="M19" s="152">
        <f>'Capital IQ Sheet-STM'!J20</f>
        <v>315.01560000000001</v>
      </c>
      <c r="N19" s="152" t="str">
        <f>'Capital IQ Sheet-STM'!K20</f>
        <v>n/a</v>
      </c>
      <c r="O19" s="152">
        <f>'Capital IQ Sheet-STM'!L20</f>
        <v>341.63574</v>
      </c>
      <c r="P19" s="509"/>
      <c r="Q19" s="152">
        <f>'Capital IQ Sheet-STM'!N20</f>
        <v>4.0726000000000004</v>
      </c>
      <c r="R19" s="152">
        <f>'Capital IQ Sheet-STM'!O20</f>
        <v>-31.66621</v>
      </c>
      <c r="S19" s="152">
        <f>'Capital IQ Sheet-STM'!P20</f>
        <v>-31.935469999999999</v>
      </c>
      <c r="T19" s="509"/>
      <c r="U19" s="510" t="str">
        <f t="shared" si="0"/>
        <v>NM</v>
      </c>
      <c r="V19" s="510" t="str">
        <f t="shared" si="1"/>
        <v>NM</v>
      </c>
      <c r="W19" s="510" t="str">
        <f t="shared" si="2"/>
        <v>NM</v>
      </c>
      <c r="X19" s="510">
        <f>'Capital IQ Sheet-STM'!U20</f>
        <v>2.7334399999999999</v>
      </c>
      <c r="Y19" s="510" t="str">
        <f>'Capital IQ Sheet-STM'!V20</f>
        <v>NM</v>
      </c>
      <c r="Z19" s="509"/>
      <c r="AA19" s="92">
        <f>'Capital IQ Sheet-STM'!X20</f>
        <v>8.5010100000000008</v>
      </c>
      <c r="AB19" s="92">
        <f>'Capital IQ Sheet-STM'!Y20</f>
        <v>-32.854849999999999</v>
      </c>
      <c r="AC19" s="92" t="str">
        <f>'Capital IQ Sheet-STM'!Z20</f>
        <v>NM</v>
      </c>
      <c r="AD19" s="509"/>
      <c r="AE19" s="510">
        <f t="shared" si="3"/>
        <v>32.665305651916647</v>
      </c>
      <c r="AF19" s="510">
        <f t="shared" si="4"/>
        <v>-8.4519664524415727</v>
      </c>
      <c r="AG19" s="508" t="str">
        <f>'Capital IQ Sheet-STM'!AD20</f>
        <v>n/a</v>
      </c>
      <c r="AI19" s="514">
        <f>IFERROR('Capital IQ Sheet-STM'!AH20,"n/a")</f>
        <v>1.9670570000000001</v>
      </c>
      <c r="AJ19" s="514">
        <f>IFERROR('Capital IQ Sheet-STM'!AI20,"n/a")</f>
        <v>1.9121109999999999</v>
      </c>
      <c r="AL19" s="512"/>
    </row>
    <row r="20" spans="2:38" s="506" customFormat="1">
      <c r="B20" s="508">
        <f>IFERROR('Capital IQ Sheet-STM'!B21,"n/a")</f>
        <v>42410</v>
      </c>
      <c r="C20" s="508" t="str">
        <f>'Capital IQ Sheet-STM'!C21</f>
        <v>4D pharma plc</v>
      </c>
      <c r="D20" s="508" t="str">
        <f>'Capital IQ Sheet-STM'!D21</f>
        <v>Tucana Health Limited</v>
      </c>
      <c r="E20" s="508" t="str">
        <f>'Capital IQ Sheet-STM'!E21</f>
        <v>Biotechnology</v>
      </c>
      <c r="F20" s="514">
        <f>IFERROR('Capital IQ Sheet-STM'!F21,"n/a")</f>
        <v>1</v>
      </c>
      <c r="G20" s="508" t="str">
        <f>'Capital IQ Sheet-STM'!G21</f>
        <v>Majority</v>
      </c>
      <c r="I20" s="1738" t="s">
        <v>2786</v>
      </c>
      <c r="J20" s="1738" t="s">
        <v>13</v>
      </c>
      <c r="L20" s="152">
        <f>'Capital IQ Sheet-STM'!I21</f>
        <v>15.418100000000001</v>
      </c>
      <c r="M20" s="152">
        <f>'Capital IQ Sheet-STM'!J21</f>
        <v>4.4879499999999997</v>
      </c>
      <c r="N20" s="152">
        <f>'Capital IQ Sheet-STM'!K21</f>
        <v>10.930149999999999</v>
      </c>
      <c r="O20" s="152">
        <f>'Capital IQ Sheet-STM'!L21</f>
        <v>15.418100000000001</v>
      </c>
      <c r="P20" s="509"/>
      <c r="Q20" s="152" t="str">
        <f>'Capital IQ Sheet-STM'!N21</f>
        <v>n/a</v>
      </c>
      <c r="R20" s="152" t="str">
        <f>'Capital IQ Sheet-STM'!O21</f>
        <v>n/a</v>
      </c>
      <c r="S20" s="152" t="str">
        <f>'Capital IQ Sheet-STM'!P21</f>
        <v>n/a</v>
      </c>
      <c r="T20" s="509"/>
      <c r="U20" s="510" t="str">
        <f t="shared" si="0"/>
        <v>n/a</v>
      </c>
      <c r="V20" s="510" t="str">
        <f t="shared" si="1"/>
        <v>n/a</v>
      </c>
      <c r="W20" s="510" t="str">
        <f t="shared" si="2"/>
        <v>n/a</v>
      </c>
      <c r="X20" s="510" t="str">
        <f>'Capital IQ Sheet-STM'!U21</f>
        <v>n/a</v>
      </c>
      <c r="Y20" s="510" t="str">
        <f>'Capital IQ Sheet-STM'!V21</f>
        <v>n/a</v>
      </c>
      <c r="Z20" s="509"/>
      <c r="AA20" s="92" t="str">
        <f>'Capital IQ Sheet-STM'!X21</f>
        <v>n/a</v>
      </c>
      <c r="AB20" s="92" t="str">
        <f>'Capital IQ Sheet-STM'!Y21</f>
        <v>n/a</v>
      </c>
      <c r="AC20" s="92" t="str">
        <f>'Capital IQ Sheet-STM'!Z21</f>
        <v>n/a</v>
      </c>
      <c r="AD20" s="509"/>
      <c r="AE20" s="510" t="str">
        <f t="shared" si="3"/>
        <v>n/a</v>
      </c>
      <c r="AF20" s="510" t="str">
        <f t="shared" si="4"/>
        <v>n/a</v>
      </c>
      <c r="AG20" s="508" t="str">
        <f>'Capital IQ Sheet-STM'!AD21</f>
        <v>n/a</v>
      </c>
      <c r="AI20" s="514" t="str">
        <f>IFERROR('Capital IQ Sheet-STM'!AH21,"n/a")</f>
        <v>NM</v>
      </c>
      <c r="AJ20" s="514" t="str">
        <f>IFERROR('Capital IQ Sheet-STM'!AI21,"n/a")</f>
        <v>NM</v>
      </c>
      <c r="AK20" s="2138" t="s">
        <v>248</v>
      </c>
      <c r="AL20" s="512"/>
    </row>
    <row r="21" spans="2:38" s="506" customFormat="1" ht="25.5">
      <c r="B21" s="508">
        <f>IFERROR('Capital IQ Sheet-STM'!B22,"n/a")</f>
        <v>42404</v>
      </c>
      <c r="C21" s="508" t="str">
        <f>'Capital IQ Sheet-STM'!C22</f>
        <v>Vertical / Trigen Holdings LLC</v>
      </c>
      <c r="D21" s="508" t="str">
        <f>'Capital IQ Sheet-STM'!D22</f>
        <v>Osmotica Pharmaceutical Corp.</v>
      </c>
      <c r="E21" s="508" t="str">
        <f>'Capital IQ Sheet-STM'!E22</f>
        <v>Pharmaceuticals</v>
      </c>
      <c r="F21" s="514">
        <f>IFERROR('Capital IQ Sheet-STM'!F22,"n/a")</f>
        <v>1</v>
      </c>
      <c r="G21" s="508" t="str">
        <f>'Capital IQ Sheet-STM'!G22</f>
        <v>Majority</v>
      </c>
      <c r="I21" s="1738" t="s">
        <v>2788</v>
      </c>
      <c r="J21" s="1738" t="s">
        <v>861</v>
      </c>
      <c r="L21" s="152" t="str">
        <f>'Capital IQ Sheet-STM'!I22</f>
        <v>n/a</v>
      </c>
      <c r="M21" s="152">
        <f>'Capital IQ Sheet-STM'!J22</f>
        <v>0</v>
      </c>
      <c r="N21" s="152" t="str">
        <f>'Capital IQ Sheet-STM'!K22</f>
        <v>n/a</v>
      </c>
      <c r="O21" s="152" t="str">
        <f>'Capital IQ Sheet-STM'!L22</f>
        <v>n/a</v>
      </c>
      <c r="P21" s="509"/>
      <c r="Q21" s="152" t="str">
        <f>'Capital IQ Sheet-STM'!N22</f>
        <v>n/a</v>
      </c>
      <c r="R21" s="152" t="str">
        <f>'Capital IQ Sheet-STM'!O22</f>
        <v>n/a</v>
      </c>
      <c r="S21" s="152" t="str">
        <f>'Capital IQ Sheet-STM'!P22</f>
        <v>n/a</v>
      </c>
      <c r="T21" s="509"/>
      <c r="U21" s="510" t="str">
        <f t="shared" si="0"/>
        <v>n/a</v>
      </c>
      <c r="V21" s="510" t="str">
        <f t="shared" si="1"/>
        <v>n/a</v>
      </c>
      <c r="W21" s="510" t="str">
        <f t="shared" si="2"/>
        <v>n/a</v>
      </c>
      <c r="X21" s="510" t="str">
        <f>'Capital IQ Sheet-STM'!U22</f>
        <v>n/a</v>
      </c>
      <c r="Y21" s="510" t="str">
        <f>'Capital IQ Sheet-STM'!V22</f>
        <v>n/a</v>
      </c>
      <c r="Z21" s="509"/>
      <c r="AA21" s="92" t="str">
        <f>'Capital IQ Sheet-STM'!X22</f>
        <v>n/a</v>
      </c>
      <c r="AB21" s="92" t="str">
        <f>'Capital IQ Sheet-STM'!Y22</f>
        <v>n/a</v>
      </c>
      <c r="AC21" s="92" t="str">
        <f>'Capital IQ Sheet-STM'!Z22</f>
        <v>n/a</v>
      </c>
      <c r="AD21" s="509"/>
      <c r="AE21" s="510" t="str">
        <f t="shared" si="3"/>
        <v>n/a</v>
      </c>
      <c r="AF21" s="510" t="str">
        <f t="shared" si="4"/>
        <v>n/a</v>
      </c>
      <c r="AG21" s="508" t="str">
        <f>'Capital IQ Sheet-STM'!AD22</f>
        <v>n/a</v>
      </c>
      <c r="AI21" s="514" t="str">
        <f>IFERROR('Capital IQ Sheet-STM'!AH22,"n/a")</f>
        <v>NM</v>
      </c>
      <c r="AJ21" s="514" t="str">
        <f>IFERROR('Capital IQ Sheet-STM'!AI22,"n/a")</f>
        <v>NM</v>
      </c>
      <c r="AL21" s="512"/>
    </row>
    <row r="22" spans="2:38" s="506" customFormat="1" ht="38.25">
      <c r="B22" s="508">
        <f>IFERROR('Capital IQ Sheet-STM'!B23,"n/a")</f>
        <v>42307</v>
      </c>
      <c r="C22" s="508" t="str">
        <f>'Capital IQ Sheet-STM'!C23</f>
        <v>Novo Nordisk A/S</v>
      </c>
      <c r="D22" s="508" t="str">
        <f>'Capital IQ Sheet-STM'!D23</f>
        <v>Calibrium LLC and MB2 LLC</v>
      </c>
      <c r="E22" s="508" t="str">
        <f>'Capital IQ Sheet-STM'!E23</f>
        <v>Biotechnology</v>
      </c>
      <c r="F22" s="514">
        <f>IFERROR('Capital IQ Sheet-STM'!F23,"n/a")</f>
        <v>1</v>
      </c>
      <c r="G22" s="508" t="str">
        <f>'Capital IQ Sheet-STM'!G23</f>
        <v>Majority</v>
      </c>
      <c r="I22" s="1738" t="s">
        <v>2789</v>
      </c>
      <c r="J22" s="1738" t="s">
        <v>13</v>
      </c>
      <c r="L22" s="152" t="str">
        <f>'Capital IQ Sheet-STM'!I23</f>
        <v>n/a</v>
      </c>
      <c r="M22" s="152">
        <f>'Capital IQ Sheet-STM'!J23</f>
        <v>0</v>
      </c>
      <c r="N22" s="152" t="str">
        <f>'Capital IQ Sheet-STM'!K23</f>
        <v>n/a</v>
      </c>
      <c r="O22" s="152" t="str">
        <f>'Capital IQ Sheet-STM'!L23</f>
        <v>n/a</v>
      </c>
      <c r="P22" s="509"/>
      <c r="Q22" s="152" t="str">
        <f>'Capital IQ Sheet-STM'!N23</f>
        <v>n/a</v>
      </c>
      <c r="R22" s="152" t="str">
        <f>'Capital IQ Sheet-STM'!O23</f>
        <v>n/a</v>
      </c>
      <c r="S22" s="152" t="str">
        <f>'Capital IQ Sheet-STM'!P23</f>
        <v>n/a</v>
      </c>
      <c r="T22" s="509"/>
      <c r="U22" s="510" t="str">
        <f t="shared" si="0"/>
        <v>n/a</v>
      </c>
      <c r="V22" s="510" t="str">
        <f t="shared" si="1"/>
        <v>n/a</v>
      </c>
      <c r="W22" s="510" t="str">
        <f t="shared" si="2"/>
        <v>n/a</v>
      </c>
      <c r="X22" s="510" t="str">
        <f>'Capital IQ Sheet-STM'!U23</f>
        <v>n/a</v>
      </c>
      <c r="Y22" s="510" t="str">
        <f>'Capital IQ Sheet-STM'!V23</f>
        <v>n/a</v>
      </c>
      <c r="Z22" s="509"/>
      <c r="AA22" s="92" t="str">
        <f>'Capital IQ Sheet-STM'!X23</f>
        <v>n/a</v>
      </c>
      <c r="AB22" s="92" t="str">
        <f>'Capital IQ Sheet-STM'!Y23</f>
        <v>n/a</v>
      </c>
      <c r="AC22" s="92" t="str">
        <f>'Capital IQ Sheet-STM'!Z23</f>
        <v>n/a</v>
      </c>
      <c r="AD22" s="509"/>
      <c r="AE22" s="510" t="str">
        <f t="shared" si="3"/>
        <v>n/a</v>
      </c>
      <c r="AF22" s="510" t="str">
        <f t="shared" si="4"/>
        <v>n/a</v>
      </c>
      <c r="AG22" s="508" t="str">
        <f>'Capital IQ Sheet-STM'!AD23</f>
        <v>n/a</v>
      </c>
      <c r="AI22" s="514" t="str">
        <f>IFERROR('Capital IQ Sheet-STM'!AH23,"n/a")</f>
        <v>NM</v>
      </c>
      <c r="AJ22" s="514" t="str">
        <f>IFERROR('Capital IQ Sheet-STM'!AI23,"n/a")</f>
        <v>NM</v>
      </c>
      <c r="AL22" s="512"/>
    </row>
    <row r="23" spans="2:38" s="506" customFormat="1" ht="15" customHeight="1">
      <c r="B23" s="508">
        <f>IFERROR('Capital IQ Sheet-STM'!B24,"n/a")</f>
        <v>42016</v>
      </c>
      <c r="C23" s="508" t="str">
        <f>'Capital IQ Sheet-STM'!C24</f>
        <v>Otsuka America, Inc.</v>
      </c>
      <c r="D23" s="508" t="str">
        <f>'Capital IQ Sheet-STM'!D24</f>
        <v>Avanir Pharmaceuticals, Inc.</v>
      </c>
      <c r="E23" s="508" t="str">
        <f>'Capital IQ Sheet-STM'!E24</f>
        <v>Pharmaceuticals</v>
      </c>
      <c r="F23" s="514">
        <f>IFERROR('Capital IQ Sheet-STM'!F24,"n/a")</f>
        <v>1</v>
      </c>
      <c r="G23" s="508" t="str">
        <f>'Capital IQ Sheet-STM'!G24</f>
        <v>Majority</v>
      </c>
      <c r="I23" s="1738" t="s">
        <v>3572</v>
      </c>
      <c r="J23" s="1738" t="s">
        <v>13</v>
      </c>
      <c r="L23" s="152">
        <f>'Capital IQ Sheet-STM'!I24</f>
        <v>3192.10014</v>
      </c>
      <c r="M23" s="152">
        <f>'Capital IQ Sheet-STM'!J24</f>
        <v>3331.3006700000001</v>
      </c>
      <c r="N23" s="152" t="str">
        <f>'Capital IQ Sheet-STM'!K24</f>
        <v>n/a</v>
      </c>
      <c r="O23" s="152">
        <f>'Capital IQ Sheet-STM'!L24</f>
        <v>3463.9701399999999</v>
      </c>
      <c r="P23" s="509"/>
      <c r="Q23" s="152">
        <f>'Capital IQ Sheet-STM'!N24</f>
        <v>115.029</v>
      </c>
      <c r="R23" s="152">
        <f>'Capital IQ Sheet-STM'!O24</f>
        <v>-44.942</v>
      </c>
      <c r="S23" s="152">
        <f>'Capital IQ Sheet-STM'!P24</f>
        <v>-46.344000000000001</v>
      </c>
      <c r="T23" s="509"/>
      <c r="U23" s="510">
        <f t="shared" si="0"/>
        <v>27.75039459614532</v>
      </c>
      <c r="V23" s="510" t="str">
        <f t="shared" si="1"/>
        <v>NM</v>
      </c>
      <c r="W23" s="510" t="str">
        <f t="shared" si="2"/>
        <v>NM</v>
      </c>
      <c r="X23" s="510">
        <f>'Capital IQ Sheet-STM'!U24</f>
        <v>12.1852</v>
      </c>
      <c r="Y23" s="510" t="str">
        <f>'Capital IQ Sheet-STM'!V24</f>
        <v>NM</v>
      </c>
      <c r="Z23" s="509"/>
      <c r="AA23" s="92">
        <f>'Capital IQ Sheet-STM'!X24</f>
        <v>154.15889999999999</v>
      </c>
      <c r="AB23" s="92">
        <f>'Capital IQ Sheet-STM'!Y24</f>
        <v>-38.380200000000002</v>
      </c>
      <c r="AC23" s="92" t="str">
        <f>'Capital IQ Sheet-STM'!Z24</f>
        <v>NM</v>
      </c>
      <c r="AD23" s="509"/>
      <c r="AE23" s="510">
        <f t="shared" si="3"/>
        <v>20.706557584414526</v>
      </c>
      <c r="AF23" s="510">
        <f t="shared" si="4"/>
        <v>-83.170492597745707</v>
      </c>
      <c r="AG23" s="508" t="str">
        <f>'Capital IQ Sheet-STM'!AD24</f>
        <v>n/a</v>
      </c>
      <c r="AI23" s="514">
        <f>IFERROR('Capital IQ Sheet-STM'!AH24,"n/a")</f>
        <v>0.17565700000000001</v>
      </c>
      <c r="AJ23" s="514">
        <f>IFERROR('Capital IQ Sheet-STM'!AI24,"n/a")</f>
        <v>0.31375599999999998</v>
      </c>
      <c r="AL23" s="512"/>
    </row>
    <row r="24" spans="2:38" s="506" customFormat="1">
      <c r="B24" s="508">
        <f>IFERROR('Capital IQ Sheet-STM'!B25,"n/a")</f>
        <v>41934</v>
      </c>
      <c r="C24" s="508" t="str">
        <f>'Capital IQ Sheet-STM'!C25</f>
        <v>Acorda Therapeutics, Inc.</v>
      </c>
      <c r="D24" s="508" t="str">
        <f>'Capital IQ Sheet-STM'!D25</f>
        <v>Civitas Therapeutics, Inc.</v>
      </c>
      <c r="E24" s="508" t="str">
        <f>'Capital IQ Sheet-STM'!E25</f>
        <v>Biotechnology</v>
      </c>
      <c r="F24" s="514">
        <f>IFERROR('Capital IQ Sheet-STM'!F25,"n/a")</f>
        <v>1</v>
      </c>
      <c r="G24" s="508" t="str">
        <f>'Capital IQ Sheet-STM'!G25</f>
        <v>Majority</v>
      </c>
      <c r="I24" s="1738" t="s">
        <v>2783</v>
      </c>
      <c r="J24" s="1738" t="s">
        <v>518</v>
      </c>
      <c r="L24" s="152">
        <f>'Capital IQ Sheet-STM'!I25</f>
        <v>528.22601999999995</v>
      </c>
      <c r="M24" s="152">
        <f>'Capital IQ Sheet-STM'!J25</f>
        <v>11.51554</v>
      </c>
      <c r="N24" s="152" t="str">
        <f>'Capital IQ Sheet-STM'!K25</f>
        <v>n/a</v>
      </c>
      <c r="O24" s="152">
        <f>'Capital IQ Sheet-STM'!L25</f>
        <v>530.01102000000003</v>
      </c>
      <c r="P24" s="509"/>
      <c r="Q24" s="152">
        <f>'Capital IQ Sheet-STM'!N25</f>
        <v>0</v>
      </c>
      <c r="R24" s="152">
        <f>'Capital IQ Sheet-STM'!O25</f>
        <v>-25.343</v>
      </c>
      <c r="S24" s="152">
        <f>'Capital IQ Sheet-STM'!P25</f>
        <v>-25.855</v>
      </c>
      <c r="T24" s="509"/>
      <c r="U24" s="510" t="str">
        <f t="shared" si="0"/>
        <v>n/a</v>
      </c>
      <c r="V24" s="510" t="str">
        <f t="shared" si="1"/>
        <v>NM</v>
      </c>
      <c r="W24" s="510" t="str">
        <f t="shared" si="2"/>
        <v>NM</v>
      </c>
      <c r="X24" s="510" t="str">
        <f>'Capital IQ Sheet-STM'!U25</f>
        <v>NM</v>
      </c>
      <c r="Y24" s="510" t="str">
        <f>'Capital IQ Sheet-STM'!V25</f>
        <v>NM</v>
      </c>
      <c r="Z24" s="509"/>
      <c r="AA24" s="92" t="str">
        <f>'Capital IQ Sheet-STM'!X25</f>
        <v>n/a</v>
      </c>
      <c r="AB24" s="92" t="str">
        <f>'Capital IQ Sheet-STM'!Y25</f>
        <v>n/a</v>
      </c>
      <c r="AC24" s="92" t="str">
        <f>'Capital IQ Sheet-STM'!Z25</f>
        <v>n/a</v>
      </c>
      <c r="AD24" s="509"/>
      <c r="AE24" s="510" t="str">
        <f t="shared" si="3"/>
        <v>n/a</v>
      </c>
      <c r="AF24" s="510" t="str">
        <f t="shared" si="4"/>
        <v>n/a</v>
      </c>
      <c r="AG24" s="508" t="str">
        <f>'Capital IQ Sheet-STM'!AD25</f>
        <v>n/a</v>
      </c>
      <c r="AI24" s="514" t="str">
        <f>IFERROR('Capital IQ Sheet-STM'!AH25,"n/a")</f>
        <v>NM</v>
      </c>
      <c r="AJ24" s="514" t="str">
        <f>IFERROR('Capital IQ Sheet-STM'!AI25,"n/a")</f>
        <v>NM</v>
      </c>
      <c r="AK24" s="2138" t="s">
        <v>273</v>
      </c>
      <c r="AL24" s="512"/>
    </row>
    <row r="25" spans="2:38" s="506" customFormat="1" ht="15" customHeight="1">
      <c r="B25" s="508">
        <f>IFERROR('Capital IQ Sheet-STM'!B26,"n/a")</f>
        <v>41626</v>
      </c>
      <c r="C25" s="508" t="str">
        <f>'Capital IQ Sheet-STM'!C26</f>
        <v>Perrigo Company (nka:Perrigo Company plc)</v>
      </c>
      <c r="D25" s="508" t="str">
        <f>'Capital IQ Sheet-STM'!D26</f>
        <v>Elan Corporation Limited</v>
      </c>
      <c r="E25" s="508" t="str">
        <f>'Capital IQ Sheet-STM'!E26</f>
        <v>Biotechnology</v>
      </c>
      <c r="F25" s="514">
        <f>IFERROR('Capital IQ Sheet-STM'!F26,"n/a")</f>
        <v>1</v>
      </c>
      <c r="G25" s="508" t="str">
        <f>'Capital IQ Sheet-STM'!G26</f>
        <v>Majority</v>
      </c>
      <c r="I25" s="1738" t="s">
        <v>3572</v>
      </c>
      <c r="J25" s="1738" t="s">
        <v>861</v>
      </c>
      <c r="L25" s="152">
        <f>'Capital IQ Sheet-STM'!I26</f>
        <v>7248.5594799999999</v>
      </c>
      <c r="M25" s="152">
        <f>'Capital IQ Sheet-STM'!J26</f>
        <v>8444.0834400000003</v>
      </c>
      <c r="N25" s="152" t="str">
        <f>'Capital IQ Sheet-STM'!K26</f>
        <v>n/a</v>
      </c>
      <c r="O25" s="152">
        <f>'Capital IQ Sheet-STM'!L26</f>
        <v>8444.0834400000003</v>
      </c>
      <c r="P25" s="509"/>
      <c r="Q25" s="152">
        <f>'Capital IQ Sheet-STM'!N26</f>
        <v>56.7</v>
      </c>
      <c r="R25" s="152">
        <f>'Capital IQ Sheet-STM'!O26</f>
        <v>-406.5</v>
      </c>
      <c r="S25" s="152">
        <f>'Capital IQ Sheet-STM'!P26</f>
        <v>-427</v>
      </c>
      <c r="T25" s="509"/>
      <c r="U25" s="510" t="str">
        <f t="shared" si="0"/>
        <v>NM</v>
      </c>
      <c r="V25" s="510" t="str">
        <f t="shared" si="1"/>
        <v>NM</v>
      </c>
      <c r="W25" s="510" t="str">
        <f t="shared" si="2"/>
        <v>NM</v>
      </c>
      <c r="X25" s="510">
        <f>'Capital IQ Sheet-STM'!U26</f>
        <v>4.1188599999999997</v>
      </c>
      <c r="Y25" s="510" t="str">
        <f>'Capital IQ Sheet-STM'!V26</f>
        <v>NM</v>
      </c>
      <c r="Z25" s="509"/>
      <c r="AA25" s="92">
        <f>'Capital IQ Sheet-STM'!X26</f>
        <v>255.3947</v>
      </c>
      <c r="AB25" s="92">
        <f>'Capital IQ Sheet-STM'!Y26</f>
        <v>84.952200000000005</v>
      </c>
      <c r="AC25" s="92">
        <f>'Capital IQ Sheet-STM'!Z26</f>
        <v>118.99929</v>
      </c>
      <c r="AD25" s="509"/>
      <c r="AE25" s="510">
        <f t="shared" si="3"/>
        <v>28.381792887636273</v>
      </c>
      <c r="AF25" s="510">
        <f t="shared" si="4"/>
        <v>85.325153203801662</v>
      </c>
      <c r="AG25" s="508">
        <f>'Capital IQ Sheet-STM'!AD26</f>
        <v>60.912627966099627</v>
      </c>
      <c r="AI25" s="514">
        <f>IFERROR('Capital IQ Sheet-STM'!AH26,"n/a")</f>
        <v>0.15950799999999998</v>
      </c>
      <c r="AJ25" s="514">
        <f>IFERROR('Capital IQ Sheet-STM'!AI26,"n/a")</f>
        <v>0.16688800000000001</v>
      </c>
      <c r="AL25" s="512"/>
    </row>
    <row r="26" spans="2:38" s="506" customFormat="1" ht="27" customHeight="1">
      <c r="B26" s="508">
        <f>IFERROR('Capital IQ Sheet-STM'!B27,"n/a")</f>
        <v>41135</v>
      </c>
      <c r="C26" s="508" t="str">
        <f>'Capital IQ Sheet-STM'!C27</f>
        <v>Upsher-Smith Laboratories, LLC</v>
      </c>
      <c r="D26" s="508" t="str">
        <f>'Capital IQ Sheet-STM'!D27</f>
        <v>Proximagen Group plc (nka:Proximagen Group Limited)</v>
      </c>
      <c r="E26" s="508" t="str">
        <f>'Capital IQ Sheet-STM'!E27</f>
        <v>Biotechnology</v>
      </c>
      <c r="F26" s="514">
        <f>IFERROR('Capital IQ Sheet-STM'!F27,"n/a")</f>
        <v>0.84129999999999994</v>
      </c>
      <c r="G26" s="508" t="str">
        <f>'Capital IQ Sheet-STM'!G27</f>
        <v>Majority</v>
      </c>
      <c r="I26" s="1738" t="s">
        <v>2790</v>
      </c>
      <c r="J26" s="508" t="s">
        <v>2873</v>
      </c>
      <c r="L26" s="152">
        <f>'Capital IQ Sheet-STM'!I27</f>
        <v>401.32884000000001</v>
      </c>
      <c r="M26" s="152">
        <f>'Capital IQ Sheet-STM'!J27</f>
        <v>264.67173000000003</v>
      </c>
      <c r="N26" s="152">
        <f>'Capital IQ Sheet-STM'!K27</f>
        <v>158.80304000000001</v>
      </c>
      <c r="O26" s="152">
        <f>'Capital IQ Sheet-STM'!L27</f>
        <v>423.47476999999998</v>
      </c>
      <c r="P26" s="509"/>
      <c r="Q26" s="152">
        <f>'Capital IQ Sheet-STM'!N27</f>
        <v>0.2601</v>
      </c>
      <c r="R26" s="152">
        <f>'Capital IQ Sheet-STM'!O27</f>
        <v>-13.39148</v>
      </c>
      <c r="S26" s="152">
        <f>'Capital IQ Sheet-STM'!P27</f>
        <v>-13.53633</v>
      </c>
      <c r="T26" s="509"/>
      <c r="U26" s="510" t="str">
        <f t="shared" ref="U26" si="5">IFERROR(IF(($L26/Q26)&gt;$AM$7, "NM", IF(($L26/Q26)&lt;$AO$7, "NM", $L26/Q26)),"n/a")</f>
        <v>NM</v>
      </c>
      <c r="V26" s="510" t="str">
        <f t="shared" ref="V26" si="6">IFERROR(IF(($L26/R26)&gt;$AM$7, "NM", IF(($L26/R26)&lt;$AO$7, "NM", $L26/R26)),"n/a")</f>
        <v>NM</v>
      </c>
      <c r="W26" s="510" t="str">
        <f t="shared" ref="W26" si="7">IFERROR(IF(($L26/S26)&gt;$AM$7, "NM", IF(($L26/S26)&lt;$AO$7, "NM", $L26/S26)),"n/a")</f>
        <v>NM</v>
      </c>
      <c r="X26" s="510">
        <f>'Capital IQ Sheet-STM'!U27</f>
        <v>4.1382500000000002</v>
      </c>
      <c r="Y26" s="510" t="str">
        <f>'Capital IQ Sheet-STM'!V27</f>
        <v>NM</v>
      </c>
      <c r="Z26" s="509"/>
      <c r="AA26" s="92">
        <f>'Capital IQ Sheet-STM'!X27</f>
        <v>0.57108999999999999</v>
      </c>
      <c r="AB26" s="92">
        <f>'Capital IQ Sheet-STM'!Y27</f>
        <v>-14.913169999999999</v>
      </c>
      <c r="AC26" s="92" t="str">
        <f>'Capital IQ Sheet-STM'!Z27</f>
        <v>NM</v>
      </c>
      <c r="AD26" s="509"/>
      <c r="AE26" s="510">
        <f t="shared" ref="AE26" si="8">IF(ISERROR($L26/AA26), "n/a", $L26/AA26)</f>
        <v>702.74184454289173</v>
      </c>
      <c r="AF26" s="510">
        <f t="shared" ref="AF26" si="9">IF(ISERROR($L26/AB26), "n/a", $L26/AB26)</f>
        <v>-26.91103501133562</v>
      </c>
      <c r="AG26" s="508" t="str">
        <f>'Capital IQ Sheet-STM'!AD27</f>
        <v>n/a</v>
      </c>
      <c r="AI26" s="514">
        <f>IFERROR('Capital IQ Sheet-STM'!AH27,"n/a")</f>
        <v>0.20078199999999999</v>
      </c>
      <c r="AJ26" s="514">
        <f>IFERROR('Capital IQ Sheet-STM'!AI27,"n/a")</f>
        <v>0.14904200000000001</v>
      </c>
      <c r="AL26" s="512"/>
    </row>
    <row r="27" spans="2:38" s="506" customFormat="1" ht="13.5" hidden="1" customHeight="1" outlineLevel="1">
      <c r="B27" s="508"/>
      <c r="C27" s="508"/>
      <c r="D27" s="508"/>
      <c r="E27" s="508"/>
      <c r="F27" s="514"/>
      <c r="G27" s="508"/>
      <c r="I27" s="1738"/>
      <c r="J27" s="1738"/>
      <c r="L27" s="152"/>
      <c r="M27" s="152"/>
      <c r="N27" s="152"/>
      <c r="O27" s="152"/>
      <c r="P27" s="509"/>
      <c r="Q27" s="152"/>
      <c r="R27" s="152"/>
      <c r="S27" s="152"/>
      <c r="T27" s="509"/>
      <c r="U27" s="510"/>
      <c r="V27" s="510"/>
      <c r="W27" s="510"/>
      <c r="X27" s="510"/>
      <c r="Y27" s="510"/>
      <c r="Z27" s="509"/>
      <c r="AA27" s="92"/>
      <c r="AB27" s="92"/>
      <c r="AC27" s="92"/>
      <c r="AD27" s="509"/>
      <c r="AE27" s="510"/>
      <c r="AF27" s="510"/>
      <c r="AG27" s="508"/>
      <c r="AI27" s="514"/>
      <c r="AJ27" s="514"/>
      <c r="AL27" s="512"/>
    </row>
    <row r="28" spans="2:38" s="506" customFormat="1" ht="13.5" hidden="1" customHeight="1" outlineLevel="1">
      <c r="B28" s="508"/>
      <c r="C28" s="508"/>
      <c r="D28" s="508"/>
      <c r="E28" s="508"/>
      <c r="F28" s="514"/>
      <c r="G28" s="508"/>
      <c r="I28" s="1738"/>
      <c r="J28" s="1738"/>
      <c r="L28" s="152"/>
      <c r="M28" s="152"/>
      <c r="N28" s="152"/>
      <c r="O28" s="152"/>
      <c r="P28" s="509"/>
      <c r="Q28" s="152"/>
      <c r="R28" s="152"/>
      <c r="S28" s="152"/>
      <c r="T28" s="509"/>
      <c r="U28" s="510"/>
      <c r="V28" s="510"/>
      <c r="W28" s="510"/>
      <c r="X28" s="510"/>
      <c r="Y28" s="510"/>
      <c r="Z28" s="509"/>
      <c r="AA28" s="92"/>
      <c r="AB28" s="92"/>
      <c r="AC28" s="92"/>
      <c r="AD28" s="509"/>
      <c r="AE28" s="510"/>
      <c r="AF28" s="510"/>
      <c r="AG28" s="508"/>
      <c r="AI28" s="514"/>
      <c r="AJ28" s="514"/>
      <c r="AL28" s="512"/>
    </row>
    <row r="29" spans="2:38" s="506" customFormat="1" ht="13.5" hidden="1" customHeight="1" outlineLevel="1">
      <c r="B29" s="508"/>
      <c r="C29" s="508"/>
      <c r="D29" s="508"/>
      <c r="E29" s="508"/>
      <c r="F29" s="514"/>
      <c r="G29" s="508"/>
      <c r="I29" s="1738"/>
      <c r="J29" s="1738"/>
      <c r="L29" s="152"/>
      <c r="M29" s="152"/>
      <c r="N29" s="152"/>
      <c r="O29" s="152"/>
      <c r="P29" s="509"/>
      <c r="Q29" s="152"/>
      <c r="R29" s="152"/>
      <c r="S29" s="152"/>
      <c r="T29" s="509"/>
      <c r="U29" s="510"/>
      <c r="V29" s="510"/>
      <c r="W29" s="510"/>
      <c r="X29" s="510"/>
      <c r="Y29" s="510"/>
      <c r="Z29" s="509"/>
      <c r="AA29" s="92"/>
      <c r="AB29" s="92"/>
      <c r="AC29" s="92"/>
      <c r="AD29" s="509"/>
      <c r="AE29" s="510"/>
      <c r="AF29" s="510"/>
      <c r="AG29" s="508"/>
      <c r="AI29" s="514"/>
      <c r="AJ29" s="514"/>
      <c r="AL29" s="512"/>
    </row>
    <row r="30" spans="2:38" s="506" customFormat="1" ht="13.5" hidden="1" customHeight="1" outlineLevel="1">
      <c r="B30" s="508"/>
      <c r="C30" s="508"/>
      <c r="D30" s="508"/>
      <c r="E30" s="508"/>
      <c r="F30" s="514"/>
      <c r="G30" s="508"/>
      <c r="I30" s="1738"/>
      <c r="J30" s="1738"/>
      <c r="L30" s="152"/>
      <c r="M30" s="152"/>
      <c r="N30" s="152"/>
      <c r="O30" s="152"/>
      <c r="P30" s="509"/>
      <c r="Q30" s="152"/>
      <c r="R30" s="152"/>
      <c r="S30" s="152"/>
      <c r="T30" s="509"/>
      <c r="U30" s="510"/>
      <c r="V30" s="510"/>
      <c r="W30" s="510"/>
      <c r="X30" s="510"/>
      <c r="Y30" s="510"/>
      <c r="Z30" s="509"/>
      <c r="AA30" s="92"/>
      <c r="AB30" s="92"/>
      <c r="AC30" s="92"/>
      <c r="AD30" s="509"/>
      <c r="AE30" s="510"/>
      <c r="AF30" s="510"/>
      <c r="AG30" s="508"/>
      <c r="AI30" s="514"/>
      <c r="AJ30" s="514"/>
      <c r="AL30" s="512"/>
    </row>
    <row r="31" spans="2:38" s="506" customFormat="1" ht="13.5" hidden="1" customHeight="1" outlineLevel="1">
      <c r="B31" s="508"/>
      <c r="C31" s="508"/>
      <c r="D31" s="508"/>
      <c r="E31" s="508"/>
      <c r="F31" s="514"/>
      <c r="G31" s="508"/>
      <c r="I31" s="1738"/>
      <c r="J31" s="1738"/>
      <c r="L31" s="152"/>
      <c r="M31" s="152"/>
      <c r="N31" s="152"/>
      <c r="O31" s="152"/>
      <c r="P31" s="509"/>
      <c r="Q31" s="152"/>
      <c r="R31" s="152"/>
      <c r="S31" s="152"/>
      <c r="T31" s="509"/>
      <c r="U31" s="510"/>
      <c r="V31" s="510"/>
      <c r="W31" s="510"/>
      <c r="X31" s="510"/>
      <c r="Y31" s="510"/>
      <c r="Z31" s="509"/>
      <c r="AA31" s="92"/>
      <c r="AB31" s="92"/>
      <c r="AC31" s="92"/>
      <c r="AD31" s="509"/>
      <c r="AE31" s="510"/>
      <c r="AF31" s="510"/>
      <c r="AG31" s="508"/>
      <c r="AI31" s="514"/>
      <c r="AJ31" s="514"/>
      <c r="AL31" s="512"/>
    </row>
    <row r="32" spans="2:38" s="506" customFormat="1" ht="13.5" hidden="1" customHeight="1" outlineLevel="1">
      <c r="B32" s="508"/>
      <c r="C32" s="508"/>
      <c r="D32" s="508"/>
      <c r="E32" s="508"/>
      <c r="F32" s="514"/>
      <c r="G32" s="508"/>
      <c r="I32" s="1738"/>
      <c r="J32" s="1738"/>
      <c r="L32" s="152"/>
      <c r="M32" s="152"/>
      <c r="N32" s="152"/>
      <c r="O32" s="152"/>
      <c r="P32" s="509"/>
      <c r="Q32" s="152"/>
      <c r="R32" s="152"/>
      <c r="S32" s="152"/>
      <c r="T32" s="509"/>
      <c r="U32" s="510"/>
      <c r="V32" s="510"/>
      <c r="W32" s="510"/>
      <c r="X32" s="510"/>
      <c r="Y32" s="510"/>
      <c r="Z32" s="509"/>
      <c r="AA32" s="92"/>
      <c r="AB32" s="92"/>
      <c r="AC32" s="92"/>
      <c r="AD32" s="509"/>
      <c r="AE32" s="510"/>
      <c r="AF32" s="510"/>
      <c r="AG32" s="508"/>
      <c r="AI32" s="514"/>
      <c r="AJ32" s="514"/>
      <c r="AL32" s="512"/>
    </row>
    <row r="33" spans="2:38" s="506" customFormat="1" ht="13.5" hidden="1" customHeight="1" outlineLevel="1">
      <c r="B33" s="508"/>
      <c r="C33" s="508"/>
      <c r="D33" s="508"/>
      <c r="E33" s="508"/>
      <c r="F33" s="514"/>
      <c r="G33" s="508"/>
      <c r="I33" s="1738"/>
      <c r="J33" s="1738"/>
      <c r="L33" s="152"/>
      <c r="M33" s="152"/>
      <c r="N33" s="152"/>
      <c r="O33" s="152"/>
      <c r="P33" s="509"/>
      <c r="Q33" s="152"/>
      <c r="R33" s="152"/>
      <c r="S33" s="152"/>
      <c r="T33" s="509"/>
      <c r="U33" s="510"/>
      <c r="V33" s="510"/>
      <c r="W33" s="510"/>
      <c r="X33" s="510"/>
      <c r="Y33" s="510"/>
      <c r="Z33" s="509"/>
      <c r="AA33" s="92"/>
      <c r="AB33" s="92"/>
      <c r="AC33" s="92"/>
      <c r="AD33" s="509"/>
      <c r="AE33" s="510"/>
      <c r="AF33" s="510"/>
      <c r="AG33" s="508"/>
      <c r="AI33" s="514"/>
      <c r="AJ33" s="514"/>
      <c r="AL33" s="512"/>
    </row>
    <row r="34" spans="2:38" s="506" customFormat="1" ht="13.5" hidden="1" customHeight="1" outlineLevel="1">
      <c r="B34" s="508"/>
      <c r="C34" s="508"/>
      <c r="D34" s="508"/>
      <c r="E34" s="508"/>
      <c r="F34" s="514"/>
      <c r="G34" s="508"/>
      <c r="I34" s="1738"/>
      <c r="J34" s="1738"/>
      <c r="L34" s="152"/>
      <c r="M34" s="152"/>
      <c r="N34" s="152"/>
      <c r="O34" s="152"/>
      <c r="P34" s="509"/>
      <c r="Q34" s="152"/>
      <c r="R34" s="152"/>
      <c r="S34" s="152"/>
      <c r="T34" s="509"/>
      <c r="U34" s="510"/>
      <c r="V34" s="510"/>
      <c r="W34" s="510"/>
      <c r="X34" s="510"/>
      <c r="Y34" s="510"/>
      <c r="Z34" s="509"/>
      <c r="AA34" s="92"/>
      <c r="AB34" s="92"/>
      <c r="AC34" s="92"/>
      <c r="AD34" s="509"/>
      <c r="AE34" s="510"/>
      <c r="AF34" s="510"/>
      <c r="AG34" s="508"/>
      <c r="AI34" s="514"/>
      <c r="AJ34" s="514"/>
      <c r="AL34" s="512"/>
    </row>
    <row r="35" spans="2:38" s="506" customFormat="1" ht="13.5" hidden="1" customHeight="1" outlineLevel="1">
      <c r="B35" s="508"/>
      <c r="C35" s="508"/>
      <c r="D35" s="508"/>
      <c r="E35" s="508"/>
      <c r="F35" s="514"/>
      <c r="G35" s="508"/>
      <c r="I35" s="1738"/>
      <c r="J35" s="1738"/>
      <c r="L35" s="152"/>
      <c r="M35" s="152"/>
      <c r="N35" s="152"/>
      <c r="O35" s="152"/>
      <c r="P35" s="509"/>
      <c r="Q35" s="152"/>
      <c r="R35" s="152"/>
      <c r="S35" s="152"/>
      <c r="T35" s="509"/>
      <c r="U35" s="510"/>
      <c r="V35" s="510"/>
      <c r="W35" s="510"/>
      <c r="X35" s="510"/>
      <c r="Y35" s="510"/>
      <c r="Z35" s="509"/>
      <c r="AA35" s="92"/>
      <c r="AB35" s="92"/>
      <c r="AC35" s="92"/>
      <c r="AD35" s="509"/>
      <c r="AE35" s="510"/>
      <c r="AF35" s="510"/>
      <c r="AG35" s="508"/>
      <c r="AI35" s="514"/>
      <c r="AJ35" s="514"/>
      <c r="AL35" s="512"/>
    </row>
    <row r="36" spans="2:38" s="506" customFormat="1" ht="13.5" hidden="1" customHeight="1" outlineLevel="1">
      <c r="B36" s="508"/>
      <c r="C36" s="508"/>
      <c r="D36" s="508"/>
      <c r="E36" s="508"/>
      <c r="F36" s="514"/>
      <c r="G36" s="508"/>
      <c r="I36" s="1738"/>
      <c r="J36" s="1738"/>
      <c r="L36" s="152"/>
      <c r="M36" s="152"/>
      <c r="N36" s="152"/>
      <c r="O36" s="152"/>
      <c r="P36" s="509"/>
      <c r="Q36" s="152"/>
      <c r="R36" s="152"/>
      <c r="S36" s="152"/>
      <c r="T36" s="509"/>
      <c r="U36" s="510"/>
      <c r="V36" s="510"/>
      <c r="W36" s="510"/>
      <c r="X36" s="510"/>
      <c r="Y36" s="510"/>
      <c r="Z36" s="509"/>
      <c r="AA36" s="92"/>
      <c r="AB36" s="92"/>
      <c r="AC36" s="92"/>
      <c r="AD36" s="509"/>
      <c r="AE36" s="510"/>
      <c r="AF36" s="510"/>
      <c r="AG36" s="508"/>
      <c r="AI36" s="514"/>
      <c r="AJ36" s="514"/>
      <c r="AL36" s="512"/>
    </row>
    <row r="37" spans="2:38" s="506" customFormat="1" ht="13.5" hidden="1" customHeight="1" outlineLevel="1">
      <c r="B37" s="508"/>
      <c r="C37" s="508"/>
      <c r="D37" s="508"/>
      <c r="E37" s="508"/>
      <c r="F37" s="514"/>
      <c r="G37" s="508"/>
      <c r="I37" s="1738"/>
      <c r="J37" s="1738"/>
      <c r="L37" s="152"/>
      <c r="M37" s="152"/>
      <c r="N37" s="152"/>
      <c r="O37" s="152"/>
      <c r="P37" s="509"/>
      <c r="Q37" s="152"/>
      <c r="R37" s="152"/>
      <c r="S37" s="152"/>
      <c r="T37" s="509"/>
      <c r="U37" s="510"/>
      <c r="V37" s="510"/>
      <c r="W37" s="510"/>
      <c r="X37" s="510"/>
      <c r="Y37" s="510"/>
      <c r="Z37" s="509"/>
      <c r="AA37" s="92"/>
      <c r="AB37" s="92"/>
      <c r="AC37" s="92"/>
      <c r="AD37" s="509"/>
      <c r="AE37" s="510"/>
      <c r="AF37" s="510"/>
      <c r="AG37" s="508"/>
      <c r="AI37" s="514"/>
      <c r="AJ37" s="514"/>
      <c r="AL37" s="512"/>
    </row>
    <row r="38" spans="2:38" s="506" customFormat="1" ht="13.5" hidden="1" customHeight="1" outlineLevel="1">
      <c r="B38" s="508"/>
      <c r="C38" s="508"/>
      <c r="D38" s="508"/>
      <c r="E38" s="508"/>
      <c r="F38" s="514"/>
      <c r="G38" s="508"/>
      <c r="I38" s="1738"/>
      <c r="J38" s="1738"/>
      <c r="L38" s="152"/>
      <c r="M38" s="152"/>
      <c r="N38" s="152"/>
      <c r="O38" s="152"/>
      <c r="P38" s="509"/>
      <c r="Q38" s="152"/>
      <c r="R38" s="152"/>
      <c r="S38" s="152"/>
      <c r="T38" s="509"/>
      <c r="U38" s="510"/>
      <c r="V38" s="510"/>
      <c r="W38" s="510"/>
      <c r="X38" s="510"/>
      <c r="Y38" s="510"/>
      <c r="Z38" s="509"/>
      <c r="AA38" s="92"/>
      <c r="AB38" s="92"/>
      <c r="AC38" s="92"/>
      <c r="AD38" s="509"/>
      <c r="AE38" s="510"/>
      <c r="AF38" s="510"/>
      <c r="AG38" s="508"/>
      <c r="AI38" s="514"/>
      <c r="AJ38" s="514"/>
      <c r="AL38" s="512"/>
    </row>
    <row r="39" spans="2:38" s="506" customFormat="1" ht="13.5" hidden="1" customHeight="1" outlineLevel="1">
      <c r="B39" s="508"/>
      <c r="C39" s="508"/>
      <c r="D39" s="508"/>
      <c r="E39" s="508"/>
      <c r="F39" s="514"/>
      <c r="G39" s="508"/>
      <c r="I39" s="1738"/>
      <c r="J39" s="1738"/>
      <c r="L39" s="152"/>
      <c r="M39" s="152"/>
      <c r="N39" s="152"/>
      <c r="O39" s="152"/>
      <c r="P39" s="509"/>
      <c r="Q39" s="152"/>
      <c r="R39" s="152"/>
      <c r="S39" s="152"/>
      <c r="T39" s="509"/>
      <c r="U39" s="510"/>
      <c r="V39" s="510"/>
      <c r="W39" s="510"/>
      <c r="X39" s="510"/>
      <c r="Y39" s="510"/>
      <c r="Z39" s="509"/>
      <c r="AA39" s="92"/>
      <c r="AB39" s="92"/>
      <c r="AC39" s="92"/>
      <c r="AD39" s="509"/>
      <c r="AE39" s="510"/>
      <c r="AF39" s="510"/>
      <c r="AG39" s="508"/>
      <c r="AI39" s="514"/>
      <c r="AJ39" s="514"/>
      <c r="AL39" s="512"/>
    </row>
    <row r="40" spans="2:38" s="506" customFormat="1" ht="13.5" hidden="1" customHeight="1" outlineLevel="1">
      <c r="B40" s="508"/>
      <c r="C40" s="508"/>
      <c r="D40" s="508"/>
      <c r="E40" s="508"/>
      <c r="F40" s="514"/>
      <c r="G40" s="508"/>
      <c r="I40" s="1738"/>
      <c r="J40" s="1738"/>
      <c r="L40" s="152"/>
      <c r="M40" s="152"/>
      <c r="N40" s="152"/>
      <c r="O40" s="152"/>
      <c r="P40" s="509"/>
      <c r="Q40" s="152"/>
      <c r="R40" s="152"/>
      <c r="S40" s="152"/>
      <c r="T40" s="509"/>
      <c r="U40" s="510"/>
      <c r="V40" s="510"/>
      <c r="W40" s="510"/>
      <c r="X40" s="510"/>
      <c r="Y40" s="510"/>
      <c r="Z40" s="509"/>
      <c r="AA40" s="92"/>
      <c r="AB40" s="92"/>
      <c r="AC40" s="92"/>
      <c r="AD40" s="509"/>
      <c r="AE40" s="510"/>
      <c r="AF40" s="510"/>
      <c r="AG40" s="508"/>
      <c r="AI40" s="514"/>
      <c r="AJ40" s="514"/>
      <c r="AL40" s="512"/>
    </row>
    <row r="41" spans="2:38" s="506" customFormat="1" ht="13.5" hidden="1" customHeight="1" outlineLevel="1">
      <c r="B41" s="508"/>
      <c r="C41" s="508"/>
      <c r="D41" s="508"/>
      <c r="E41" s="508"/>
      <c r="F41" s="514"/>
      <c r="G41" s="508"/>
      <c r="I41" s="1738"/>
      <c r="J41" s="1738"/>
      <c r="L41" s="152"/>
      <c r="M41" s="152"/>
      <c r="N41" s="152"/>
      <c r="O41" s="152"/>
      <c r="P41" s="509"/>
      <c r="Q41" s="152"/>
      <c r="R41" s="152"/>
      <c r="S41" s="152"/>
      <c r="T41" s="509"/>
      <c r="U41" s="510"/>
      <c r="V41" s="510"/>
      <c r="W41" s="510"/>
      <c r="X41" s="510"/>
      <c r="Y41" s="510"/>
      <c r="Z41" s="509"/>
      <c r="AA41" s="92"/>
      <c r="AB41" s="92"/>
      <c r="AC41" s="92"/>
      <c r="AD41" s="509"/>
      <c r="AE41" s="510"/>
      <c r="AF41" s="510"/>
      <c r="AG41" s="508"/>
      <c r="AI41" s="514"/>
      <c r="AJ41" s="514"/>
      <c r="AL41" s="512"/>
    </row>
    <row r="42" spans="2:38" ht="13.5" customHeight="1" collapsed="1">
      <c r="F42" s="18"/>
      <c r="I42" s="411"/>
      <c r="J42" s="411"/>
    </row>
    <row r="43" spans="2:38" ht="13.5" customHeight="1">
      <c r="B43" s="1950" t="s">
        <v>111</v>
      </c>
      <c r="C43" s="2019"/>
      <c r="D43" s="2019"/>
      <c r="E43" s="2019"/>
      <c r="F43" s="2020"/>
      <c r="G43" s="2019"/>
      <c r="H43" s="2019"/>
      <c r="I43" s="3208"/>
      <c r="J43" s="3208"/>
      <c r="K43" s="2019"/>
      <c r="L43" s="2021">
        <f>MAX(L9:L42)</f>
        <v>7248.5594799999999</v>
      </c>
      <c r="M43" s="2021">
        <f>MAX(M9:M42)</f>
        <v>8444.0834400000003</v>
      </c>
      <c r="N43" s="2021">
        <f>MAX(N9:N42)</f>
        <v>495</v>
      </c>
      <c r="O43" s="2021">
        <f>MAX(O9:O42)</f>
        <v>8444.0834400000003</v>
      </c>
      <c r="P43" s="2019"/>
      <c r="Q43" s="2021">
        <f>MAX(Q9:Q42)</f>
        <v>115.029</v>
      </c>
      <c r="R43" s="2021">
        <f>MAX(R9:R42)</f>
        <v>-13.39148</v>
      </c>
      <c r="S43" s="2021">
        <f>MAX(S9:S42)</f>
        <v>-2.8979999999999999E-2</v>
      </c>
      <c r="T43" s="2019"/>
      <c r="U43" s="3211">
        <f>MAX(U9:U42)</f>
        <v>39.617378364174485</v>
      </c>
      <c r="V43" s="2026">
        <f>IFERROR(MAX(V9:V42),"n/a")</f>
        <v>0</v>
      </c>
      <c r="W43" s="3200">
        <f>IFERROR(MAX(W9:W42),"n/a")</f>
        <v>0</v>
      </c>
      <c r="X43" s="2022">
        <f>MAX(X9:X42)</f>
        <v>13.23626</v>
      </c>
      <c r="Y43" s="2022">
        <f>MAX(Y9:Y42)</f>
        <v>0</v>
      </c>
      <c r="Z43" s="2019"/>
      <c r="AA43" s="2021">
        <f>MAX(AA9:AA42)</f>
        <v>255.3947</v>
      </c>
      <c r="AB43" s="2021">
        <f>MAX(AB9:AB42)</f>
        <v>84.952200000000005</v>
      </c>
      <c r="AC43" s="2021">
        <f>MAX(AC9:AC42)</f>
        <v>118.99929</v>
      </c>
      <c r="AD43" s="2019"/>
      <c r="AE43" s="2022">
        <f>MAX(AE9:AE42)</f>
        <v>3927.4302602230482</v>
      </c>
      <c r="AF43" s="2022">
        <f>MAX(AF9:AF42)</f>
        <v>85.325153203801662</v>
      </c>
      <c r="AG43" s="2022">
        <f>MAX(AG9:AG42)</f>
        <v>60.912627966099627</v>
      </c>
      <c r="AH43" s="2023"/>
      <c r="AI43" s="2024">
        <f>MAX(AI9:AI42)</f>
        <v>1.9670570000000001</v>
      </c>
      <c r="AJ43" s="2025">
        <f>MAX(AJ9:AJ42)</f>
        <v>1.9121109999999999</v>
      </c>
    </row>
    <row r="44" spans="2:38" ht="13.5" customHeight="1">
      <c r="B44" s="366" t="s">
        <v>115</v>
      </c>
      <c r="C44" s="66"/>
      <c r="D44" s="66"/>
      <c r="E44" s="66"/>
      <c r="F44" s="513"/>
      <c r="G44" s="66"/>
      <c r="H44" s="66"/>
      <c r="I44" s="3209"/>
      <c r="J44" s="3209"/>
      <c r="K44" s="66"/>
      <c r="L44" s="101">
        <f>QUARTILE(L9:L42,3)</f>
        <v>873.55253749999997</v>
      </c>
      <c r="M44" s="101">
        <f>QUARTILE(M9:M42,3)</f>
        <v>302.42963250000003</v>
      </c>
      <c r="N44" s="101">
        <f>QUARTILE(N9:N42,3)</f>
        <v>326.90152</v>
      </c>
      <c r="O44" s="101">
        <f>QUARTILE(O9:O42,3)</f>
        <v>906.25326999999993</v>
      </c>
      <c r="P44" s="66"/>
      <c r="Q44" s="101">
        <f>QUARTILE(Q9:Q42,3)</f>
        <v>41.289749999999998</v>
      </c>
      <c r="R44" s="101">
        <f>QUARTILE(R9:R42,3)</f>
        <v>-23.857849999999999</v>
      </c>
      <c r="S44" s="101">
        <f>QUARTILE(S9:S42,3)</f>
        <v>-19.957249999999998</v>
      </c>
      <c r="T44" s="66"/>
      <c r="U44" s="133">
        <f>QUARTILE(U9:U42,3)</f>
        <v>36.982584464838027</v>
      </c>
      <c r="V44" s="2027" t="str">
        <f>IFERROR(QUARTILE(V9:V42,3),"n/a")</f>
        <v>n/a</v>
      </c>
      <c r="W44" s="3201" t="str">
        <f>IFERROR(QUARTILE(W9:W42,3),"n/a")</f>
        <v>n/a</v>
      </c>
      <c r="X44" s="100">
        <f>QUARTILE(X9:X42,3)</f>
        <v>10.239280000000001</v>
      </c>
      <c r="Y44" s="100" t="e">
        <f>QUARTILE(Y9:Y42,3)</f>
        <v>#NUM!</v>
      </c>
      <c r="Z44" s="66"/>
      <c r="AA44" s="101">
        <f>QUARTILE(AA9:AA42,3)</f>
        <v>123.81157499999999</v>
      </c>
      <c r="AB44" s="101">
        <f>QUARTILE(AB9:AB42,3)</f>
        <v>-12.30575</v>
      </c>
      <c r="AC44" s="101">
        <f>QUARTILE(AC9:AC42,3)</f>
        <v>118.99929</v>
      </c>
      <c r="AD44" s="66"/>
      <c r="AE44" s="100">
        <f>QUARTILE(AE9:AE42,3)</f>
        <v>537.98333308003635</v>
      </c>
      <c r="AF44" s="100">
        <f>QUARTILE(AF9:AF42,3)</f>
        <v>-4.1554437005564573</v>
      </c>
      <c r="AG44" s="100">
        <f>QUARTILE(AG9:AG42,3)</f>
        <v>60.912627966099627</v>
      </c>
      <c r="AH44" s="203"/>
      <c r="AI44" s="143">
        <f>QUARTILE(AI9:AI42,3)</f>
        <v>1.3382464999999999</v>
      </c>
      <c r="AJ44" s="144">
        <f>QUARTILE(AJ9:AJ42,3)</f>
        <v>1.157813</v>
      </c>
    </row>
    <row r="45" spans="2:38" ht="13.5" customHeight="1">
      <c r="B45" s="366" t="s">
        <v>113</v>
      </c>
      <c r="C45" s="66"/>
      <c r="D45" s="66"/>
      <c r="E45" s="66"/>
      <c r="F45" s="513"/>
      <c r="G45" s="66"/>
      <c r="H45" s="66"/>
      <c r="I45" s="3209"/>
      <c r="J45" s="3209"/>
      <c r="K45" s="66"/>
      <c r="L45" s="101">
        <f>AVERAGE(L9:L42)</f>
        <v>1205.3720133333334</v>
      </c>
      <c r="M45" s="101">
        <f>AVERAGE(M9:M42)</f>
        <v>818.34049888888899</v>
      </c>
      <c r="N45" s="101">
        <f>AVERAGE(N9:N42)</f>
        <v>221.57773</v>
      </c>
      <c r="O45" s="101">
        <f>AVERAGE(O9:O42)</f>
        <v>1357.87454</v>
      </c>
      <c r="P45" s="66"/>
      <c r="Q45" s="101">
        <f>AVERAGE(Q9:Q42)</f>
        <v>26.707906249999997</v>
      </c>
      <c r="R45" s="101">
        <f>AVERAGE(R9:R42)</f>
        <v>-101.893415</v>
      </c>
      <c r="S45" s="101">
        <f>AVERAGE(S9:S42)</f>
        <v>-93.367722222222213</v>
      </c>
      <c r="T45" s="66"/>
      <c r="U45" s="133">
        <f>AVERAGE(U9:U42)</f>
        <v>33.90518784194046</v>
      </c>
      <c r="V45" s="2027" t="str">
        <f>IFERROR(AVERAGE(V9:V42),"n/a")</f>
        <v>n/a</v>
      </c>
      <c r="W45" s="3201" t="str">
        <f>IFERROR(AVERAGE(W9:W42),"n/a")</f>
        <v>n/a</v>
      </c>
      <c r="X45" s="100">
        <f>AVERAGE(X9:X42)</f>
        <v>6.7975342857142858</v>
      </c>
      <c r="Y45" s="100" t="e">
        <f>AVERAGE(Y9:Y42)</f>
        <v>#DIV/0!</v>
      </c>
      <c r="Z45" s="66"/>
      <c r="AA45" s="101">
        <f>AVERAGE(AA9:AA42)</f>
        <v>75.254966666666675</v>
      </c>
      <c r="AB45" s="101">
        <f>AVERAGE(AB9:AB42)</f>
        <v>-43.033921666666657</v>
      </c>
      <c r="AC45" s="101">
        <f>AVERAGE(AC9:AC42)</f>
        <v>118.99929</v>
      </c>
      <c r="AD45" s="66"/>
      <c r="AE45" s="100">
        <f>AVERAGE(AE9:AE42)</f>
        <v>792.60559326356304</v>
      </c>
      <c r="AF45" s="100">
        <f>AVERAGE(AF9:AF42)</f>
        <v>-7.1062086151069144</v>
      </c>
      <c r="AG45" s="100">
        <f>AVERAGE(AG9:AG42)</f>
        <v>60.912627966099627</v>
      </c>
      <c r="AH45" s="203"/>
      <c r="AI45" s="143">
        <f>AVERAGE(AI9:AI42)</f>
        <v>0.82644528571428566</v>
      </c>
      <c r="AJ45" s="144">
        <f>AVERAGE(AJ9:AJ42)</f>
        <v>0.81996799999999992</v>
      </c>
    </row>
    <row r="46" spans="2:38" ht="13.5" customHeight="1">
      <c r="B46" s="366" t="s">
        <v>44</v>
      </c>
      <c r="C46" s="66"/>
      <c r="D46" s="66"/>
      <c r="E46" s="66"/>
      <c r="F46" s="513"/>
      <c r="G46" s="66"/>
      <c r="H46" s="66"/>
      <c r="I46" s="3209"/>
      <c r="J46" s="3209"/>
      <c r="K46" s="66"/>
      <c r="L46" s="101">
        <f>MEDIAN(L9:L42)</f>
        <v>464.77742999999998</v>
      </c>
      <c r="M46" s="101">
        <f>MEDIAN(M9:M42)</f>
        <v>58.22439</v>
      </c>
      <c r="N46" s="101">
        <f>MEDIAN(N9:N42)</f>
        <v>158.80304000000001</v>
      </c>
      <c r="O46" s="101">
        <f>MEDIAN(O9:O42)</f>
        <v>476.74289499999998</v>
      </c>
      <c r="P46" s="66"/>
      <c r="Q46" s="101">
        <f>MEDIAN(Q9:Q42)</f>
        <v>2.5993400000000002</v>
      </c>
      <c r="R46" s="101">
        <f>MEDIAN(R9:R42)</f>
        <v>-38.304105</v>
      </c>
      <c r="S46" s="101">
        <f>MEDIAN(S9:S42)</f>
        <v>-31.935469999999999</v>
      </c>
      <c r="T46" s="66"/>
      <c r="U46" s="133">
        <f>MEDIAN(U9:U42)</f>
        <v>34.347790565501562</v>
      </c>
      <c r="V46" s="2027" t="str">
        <f>IFERROR(MEDIAN(V9:V42),"n/a")</f>
        <v>n/a</v>
      </c>
      <c r="W46" s="3201" t="str">
        <f>IFERROR(MEDIAN(W9:W42),"n/a")</f>
        <v>n/a</v>
      </c>
      <c r="X46" s="100">
        <f>MEDIAN(X9:X42)</f>
        <v>4.1382500000000002</v>
      </c>
      <c r="Y46" s="100" t="e">
        <f>MEDIAN(Y9:Y42)</f>
        <v>#NUM!</v>
      </c>
      <c r="Z46" s="66"/>
      <c r="AA46" s="101">
        <f>MEDIAN(AA9:AA42)</f>
        <v>20.635304999999999</v>
      </c>
      <c r="AB46" s="101">
        <f>MEDIAN(AB9:AB42)</f>
        <v>-23.88401</v>
      </c>
      <c r="AC46" s="101">
        <f>MEDIAN(AC9:AC42)</f>
        <v>118.99929</v>
      </c>
      <c r="AD46" s="66"/>
      <c r="AE46" s="100">
        <f>MEDIAN(AE9:AE42)</f>
        <v>38.186552171693393</v>
      </c>
      <c r="AF46" s="100">
        <f>MEDIAN(AF9:AF42)</f>
        <v>-7.1422226503545092</v>
      </c>
      <c r="AG46" s="100">
        <f>MEDIAN(AG9:AG42)</f>
        <v>60.912627966099627</v>
      </c>
      <c r="AH46" s="203"/>
      <c r="AI46" s="143">
        <f>MEDIAN(AI9:AI42)</f>
        <v>0.60561999999999994</v>
      </c>
      <c r="AJ46" s="144">
        <f>MEDIAN(AJ9:AJ42)</f>
        <v>0.88235299999999994</v>
      </c>
    </row>
    <row r="47" spans="2:38" ht="13.5" customHeight="1">
      <c r="B47" s="366" t="s">
        <v>114</v>
      </c>
      <c r="C47" s="66"/>
      <c r="D47" s="66"/>
      <c r="E47" s="66"/>
      <c r="F47" s="66"/>
      <c r="G47" s="66"/>
      <c r="H47" s="66"/>
      <c r="I47" s="3209"/>
      <c r="J47" s="3209"/>
      <c r="K47" s="66"/>
      <c r="L47" s="101">
        <f>QUARTILE(L9:L42,1)</f>
        <v>65.407747499999999</v>
      </c>
      <c r="M47" s="101">
        <f>QUARTILE(M9:M42,1)</f>
        <v>0</v>
      </c>
      <c r="N47" s="101">
        <f>QUARTILE(N9:N42,1)</f>
        <v>84.866595000000004</v>
      </c>
      <c r="O47" s="101">
        <f>QUARTILE(O9:O42,1)</f>
        <v>70.076729999999998</v>
      </c>
      <c r="P47" s="66"/>
      <c r="Q47" s="101">
        <f>QUARTILE(Q9:Q42,1)</f>
        <v>0.30687749999999997</v>
      </c>
      <c r="R47" s="101">
        <f>QUARTILE(R9:R42,1)</f>
        <v>-91.147672499999999</v>
      </c>
      <c r="S47" s="101">
        <f>QUARTILE(S9:S42,1)</f>
        <v>-46.344000000000001</v>
      </c>
      <c r="T47" s="66"/>
      <c r="U47" s="133">
        <f>QUARTILE(U9:U42,1)</f>
        <v>31.049092580823441</v>
      </c>
      <c r="V47" s="2027" t="str">
        <f>IFERROR(QUARTILE(V9:V42,1),"n/a")</f>
        <v>n/a</v>
      </c>
      <c r="W47" s="3201" t="str">
        <f>IFERROR(QUARTILE(W9:W42,1),"n/a")</f>
        <v>n/a</v>
      </c>
      <c r="X47" s="100">
        <f>QUARTILE(X9:X42,1)</f>
        <v>3.4981149999999999</v>
      </c>
      <c r="Y47" s="100" t="e">
        <f>QUARTILE(Y9:Y42,1)</f>
        <v>#NUM!</v>
      </c>
      <c r="Z47" s="66"/>
      <c r="AA47" s="101">
        <f>QUARTILE(AA9:AA42,1)</f>
        <v>2.5535700000000001</v>
      </c>
      <c r="AB47" s="101">
        <f>QUARTILE(AB9:AB42,1)</f>
        <v>-36.998862500000001</v>
      </c>
      <c r="AC47" s="101">
        <f>QUARTILE(AC9:AC42,1)</f>
        <v>118.99929</v>
      </c>
      <c r="AD47" s="66"/>
      <c r="AE47" s="100">
        <f>QUARTILE(AE9:AE42,1)</f>
        <v>29.452671078706366</v>
      </c>
      <c r="AF47" s="100">
        <f>QUARTILE(AF9:AF42,1)</f>
        <v>-22.296267871612109</v>
      </c>
      <c r="AG47" s="100">
        <f>QUARTILE(AG9:AG42,1)</f>
        <v>60.912627966099627</v>
      </c>
      <c r="AH47" s="203"/>
      <c r="AI47" s="143">
        <f>QUARTILE(AI9:AI42,1)</f>
        <v>0.18821949999999998</v>
      </c>
      <c r="AJ47" s="144">
        <f>QUARTILE(AJ9:AJ42,1)</f>
        <v>0.24032199999999998</v>
      </c>
    </row>
    <row r="48" spans="2:38" ht="13.5" customHeight="1">
      <c r="B48" s="1959" t="s">
        <v>112</v>
      </c>
      <c r="C48" s="157"/>
      <c r="D48" s="157"/>
      <c r="E48" s="157"/>
      <c r="F48" s="157"/>
      <c r="G48" s="157"/>
      <c r="H48" s="157"/>
      <c r="I48" s="3210"/>
      <c r="J48" s="3210"/>
      <c r="K48" s="157"/>
      <c r="L48" s="75">
        <f>MIN(L9:L42)</f>
        <v>15.418100000000001</v>
      </c>
      <c r="M48" s="75">
        <f>MIN(M9:M42)</f>
        <v>0</v>
      </c>
      <c r="N48" s="75">
        <f>MIN(N9:N42)</f>
        <v>10.930149999999999</v>
      </c>
      <c r="O48" s="75">
        <f>MIN(O9:O42)</f>
        <v>15.418100000000001</v>
      </c>
      <c r="P48" s="157"/>
      <c r="Q48" s="75">
        <f>MIN(Q9:Q42)</f>
        <v>0</v>
      </c>
      <c r="R48" s="75">
        <f>MIN(R9:R42)</f>
        <v>-406.5</v>
      </c>
      <c r="S48" s="75">
        <f>MIN(S9:S42)</f>
        <v>-427</v>
      </c>
      <c r="T48" s="157"/>
      <c r="U48" s="3212">
        <f>MIN(U9:U42)</f>
        <v>27.75039459614532</v>
      </c>
      <c r="V48" s="2028">
        <f>IFERROR(MIN(V9:V42),"n/a")</f>
        <v>0</v>
      </c>
      <c r="W48" s="3202">
        <f>IFERROR(MIN(W9:W42),"n/a")</f>
        <v>0</v>
      </c>
      <c r="X48" s="105">
        <f>MIN(X9:X42)</f>
        <v>2.7334399999999999</v>
      </c>
      <c r="Y48" s="105">
        <f>MIN(Y9:Y42)</f>
        <v>0</v>
      </c>
      <c r="Z48" s="157"/>
      <c r="AA48" s="75">
        <f>MIN(AA9:AA42)</f>
        <v>0.13450000000000001</v>
      </c>
      <c r="AB48" s="75">
        <f>MIN(AB9:AB42)</f>
        <v>-245.57089999999999</v>
      </c>
      <c r="AC48" s="75">
        <f>MIN(AC9:AC42)</f>
        <v>118.99929</v>
      </c>
      <c r="AD48" s="157"/>
      <c r="AE48" s="105">
        <f>MIN(AE9:AE42)</f>
        <v>20.706557584414526</v>
      </c>
      <c r="AF48" s="105">
        <f>MIN(AF9:AF42)</f>
        <v>-83.170492597745707</v>
      </c>
      <c r="AG48" s="105">
        <f>MIN(AG9:AG42)</f>
        <v>60.912627966099627</v>
      </c>
      <c r="AH48" s="507"/>
      <c r="AI48" s="145">
        <f>MIN(AI9:AI42)</f>
        <v>0.15950799999999998</v>
      </c>
      <c r="AJ48" s="418">
        <f>MIN(AJ9:AJ42)</f>
        <v>0.14904200000000001</v>
      </c>
    </row>
    <row r="49" spans="1:36" ht="12.75" customHeight="1"/>
    <row r="50" spans="1:36" ht="12.75" customHeight="1">
      <c r="B50" s="8" t="s">
        <v>116</v>
      </c>
    </row>
    <row r="51" spans="1:36" ht="5.0999999999999996" customHeight="1"/>
    <row r="52" spans="1:36" ht="12.75" customHeight="1">
      <c r="A52" s="153" t="str">
        <f>AK9</f>
        <v>(1)</v>
      </c>
      <c r="B52" s="405" t="s">
        <v>4043</v>
      </c>
    </row>
    <row r="53" spans="1:36" ht="38.25" customHeight="1">
      <c r="A53" s="153" t="str">
        <f>AK10</f>
        <v>(2)</v>
      </c>
      <c r="B53" s="3231" t="s">
        <v>4387</v>
      </c>
      <c r="C53" s="3231"/>
      <c r="D53" s="3231"/>
      <c r="E53" s="3231"/>
      <c r="F53" s="3231"/>
      <c r="G53" s="3231"/>
      <c r="H53" s="3231"/>
      <c r="I53" s="3231"/>
      <c r="J53" s="3231"/>
      <c r="K53" s="3231"/>
      <c r="L53" s="3231"/>
      <c r="M53" s="3231"/>
      <c r="N53" s="3231"/>
      <c r="O53" s="3231"/>
      <c r="P53" s="3231"/>
      <c r="Q53" s="3231"/>
      <c r="R53" s="3231"/>
      <c r="S53" s="3231"/>
      <c r="T53" s="3231"/>
      <c r="U53" s="3231"/>
      <c r="V53" s="3231"/>
      <c r="W53" s="3231"/>
      <c r="X53" s="3231"/>
      <c r="Y53" s="3231"/>
      <c r="Z53" s="3231"/>
      <c r="AA53" s="3231"/>
      <c r="AB53" s="3231"/>
      <c r="AC53" s="3231"/>
      <c r="AD53" s="3231"/>
      <c r="AE53" s="3231"/>
      <c r="AF53" s="3231"/>
      <c r="AG53" s="3231"/>
      <c r="AH53" s="3231"/>
      <c r="AI53" s="3231"/>
      <c r="AJ53" s="3231"/>
    </row>
    <row r="54" spans="1:36" ht="37.5" customHeight="1">
      <c r="A54" s="153" t="str">
        <f>AK12</f>
        <v>(3)</v>
      </c>
      <c r="B54" s="3231" t="s">
        <v>2799</v>
      </c>
      <c r="C54" s="3231"/>
      <c r="D54" s="3231"/>
      <c r="E54" s="3231"/>
      <c r="F54" s="3231"/>
      <c r="G54" s="3231"/>
      <c r="H54" s="3231"/>
      <c r="I54" s="3231"/>
      <c r="J54" s="3231"/>
      <c r="K54" s="3231"/>
      <c r="L54" s="3231"/>
      <c r="M54" s="3231"/>
      <c r="N54" s="3231"/>
      <c r="O54" s="3231"/>
      <c r="P54" s="3231"/>
      <c r="Q54" s="3231"/>
      <c r="R54" s="3231"/>
      <c r="S54" s="3231"/>
      <c r="T54" s="3231"/>
      <c r="U54" s="3231"/>
      <c r="V54" s="3231"/>
      <c r="W54" s="3231"/>
      <c r="X54" s="3231"/>
      <c r="Y54" s="3231"/>
      <c r="Z54" s="3231"/>
      <c r="AA54" s="3231"/>
      <c r="AB54" s="3231"/>
      <c r="AC54" s="3231"/>
      <c r="AD54" s="3231"/>
      <c r="AE54" s="3231"/>
      <c r="AF54" s="3231"/>
      <c r="AG54" s="3231"/>
      <c r="AH54" s="3231"/>
      <c r="AI54" s="3231"/>
      <c r="AJ54" s="3231"/>
    </row>
    <row r="55" spans="1:36" ht="28.5" customHeight="1">
      <c r="A55" s="153" t="str">
        <f>AK15</f>
        <v>(4)</v>
      </c>
      <c r="B55" s="3231" t="s">
        <v>2800</v>
      </c>
      <c r="C55" s="3231"/>
      <c r="D55" s="3231"/>
      <c r="E55" s="3231"/>
      <c r="F55" s="3231"/>
      <c r="G55" s="3231"/>
      <c r="H55" s="3231"/>
      <c r="I55" s="3231"/>
      <c r="J55" s="3231"/>
      <c r="K55" s="3231"/>
      <c r="L55" s="3231"/>
      <c r="M55" s="3231"/>
      <c r="N55" s="3231"/>
      <c r="O55" s="3231"/>
      <c r="P55" s="3231"/>
      <c r="Q55" s="3231"/>
      <c r="R55" s="3231"/>
      <c r="S55" s="3231"/>
      <c r="T55" s="3231"/>
      <c r="U55" s="3231"/>
      <c r="V55" s="3231"/>
      <c r="W55" s="3231"/>
      <c r="X55" s="3231"/>
      <c r="Y55" s="3231"/>
      <c r="Z55" s="3231"/>
      <c r="AA55" s="3231"/>
      <c r="AB55" s="3231"/>
      <c r="AC55" s="3231"/>
      <c r="AD55" s="3231"/>
      <c r="AE55" s="3231"/>
      <c r="AF55" s="3231"/>
      <c r="AG55" s="3231"/>
      <c r="AH55" s="3231"/>
      <c r="AI55" s="3231"/>
      <c r="AJ55" s="3231"/>
    </row>
    <row r="56" spans="1:36" ht="28.5" customHeight="1">
      <c r="A56" s="153" t="str">
        <f>AK20</f>
        <v>(5)</v>
      </c>
      <c r="B56" s="3231" t="s">
        <v>2801</v>
      </c>
      <c r="C56" s="3231"/>
      <c r="D56" s="3231"/>
      <c r="E56" s="3231"/>
      <c r="F56" s="3231"/>
      <c r="G56" s="3231"/>
      <c r="H56" s="3231"/>
      <c r="I56" s="3231"/>
      <c r="J56" s="3231"/>
      <c r="K56" s="3231"/>
      <c r="L56" s="3231"/>
      <c r="M56" s="3231"/>
      <c r="N56" s="3231"/>
      <c r="O56" s="3231"/>
      <c r="P56" s="3231"/>
      <c r="Q56" s="3231"/>
      <c r="R56" s="3231"/>
      <c r="S56" s="3231"/>
      <c r="T56" s="3231"/>
      <c r="U56" s="3231"/>
      <c r="V56" s="3231"/>
      <c r="W56" s="3231"/>
      <c r="X56" s="3231"/>
      <c r="Y56" s="3231"/>
      <c r="Z56" s="3231"/>
      <c r="AA56" s="3231"/>
      <c r="AB56" s="3231"/>
      <c r="AC56" s="3231"/>
      <c r="AD56" s="3231"/>
      <c r="AE56" s="3231"/>
      <c r="AF56" s="3231"/>
      <c r="AG56" s="3231"/>
      <c r="AH56" s="3231"/>
      <c r="AI56" s="3231"/>
      <c r="AJ56" s="3231"/>
    </row>
    <row r="57" spans="1:36" ht="41.25" customHeight="1">
      <c r="A57" s="153" t="str">
        <f>AK24</f>
        <v>(6)</v>
      </c>
      <c r="B57" s="3231" t="s">
        <v>2802</v>
      </c>
      <c r="C57" s="3231"/>
      <c r="D57" s="3231"/>
      <c r="E57" s="3231"/>
      <c r="F57" s="3231"/>
      <c r="G57" s="3231"/>
      <c r="H57" s="3231"/>
      <c r="I57" s="3231"/>
      <c r="J57" s="3231"/>
      <c r="K57" s="3231"/>
      <c r="L57" s="3231"/>
      <c r="M57" s="3231"/>
      <c r="N57" s="3231"/>
      <c r="O57" s="3231"/>
      <c r="P57" s="3231"/>
      <c r="Q57" s="3231"/>
      <c r="R57" s="3231"/>
      <c r="S57" s="3231"/>
      <c r="T57" s="3231"/>
      <c r="U57" s="3231"/>
      <c r="V57" s="3231"/>
      <c r="W57" s="3231"/>
      <c r="X57" s="3231"/>
      <c r="Y57" s="3231"/>
      <c r="Z57" s="3231"/>
      <c r="AA57" s="3231"/>
      <c r="AB57" s="3231"/>
      <c r="AC57" s="3231"/>
      <c r="AD57" s="3231"/>
      <c r="AE57" s="3231"/>
      <c r="AF57" s="3231"/>
      <c r="AG57" s="3231"/>
      <c r="AH57" s="3231"/>
      <c r="AI57" s="3231"/>
      <c r="AJ57" s="3231"/>
    </row>
  </sheetData>
  <mergeCells count="5">
    <mergeCell ref="B57:AJ57"/>
    <mergeCell ref="B53:AJ53"/>
    <mergeCell ref="B54:AJ54"/>
    <mergeCell ref="B55:AJ55"/>
    <mergeCell ref="B56:AJ56"/>
  </mergeCells>
  <conditionalFormatting sqref="U4">
    <cfRule type="cellIs" dxfId="579" priority="11" stopIfTrue="1" operator="equal">
      <formula>"input"</formula>
    </cfRule>
  </conditionalFormatting>
  <conditionalFormatting sqref="B4:P4">
    <cfRule type="cellIs" dxfId="578" priority="17" stopIfTrue="1" operator="equal">
      <formula>"input"</formula>
    </cfRule>
  </conditionalFormatting>
  <conditionalFormatting sqref="Q4">
    <cfRule type="cellIs" dxfId="577" priority="15" stopIfTrue="1" operator="equal">
      <formula>"input"</formula>
    </cfRule>
  </conditionalFormatting>
  <conditionalFormatting sqref="Q4">
    <cfRule type="cellIs" dxfId="576" priority="16" stopIfTrue="1" operator="equal">
      <formula>"input"</formula>
    </cfRule>
  </conditionalFormatting>
  <conditionalFormatting sqref="R4:T4">
    <cfRule type="cellIs" dxfId="575" priority="13" stopIfTrue="1" operator="equal">
      <formula>"input"</formula>
    </cfRule>
  </conditionalFormatting>
  <conditionalFormatting sqref="R4:T4">
    <cfRule type="cellIs" dxfId="574" priority="14" stopIfTrue="1" operator="equal">
      <formula>"input"</formula>
    </cfRule>
  </conditionalFormatting>
  <conditionalFormatting sqref="U4">
    <cfRule type="cellIs" dxfId="573" priority="12" stopIfTrue="1" operator="equal">
      <formula>"input"</formula>
    </cfRule>
  </conditionalFormatting>
  <conditionalFormatting sqref="V4 X4:AI4">
    <cfRule type="cellIs" dxfId="572" priority="9" stopIfTrue="1" operator="equal">
      <formula>"input"</formula>
    </cfRule>
  </conditionalFormatting>
  <conditionalFormatting sqref="V4 X4:AI4">
    <cfRule type="cellIs" dxfId="571" priority="10" stopIfTrue="1" operator="equal">
      <formula>"input"</formula>
    </cfRule>
  </conditionalFormatting>
  <conditionalFormatting sqref="AJ4">
    <cfRule type="cellIs" dxfId="570" priority="3" stopIfTrue="1" operator="equal">
      <formula>"input"</formula>
    </cfRule>
  </conditionalFormatting>
  <conditionalFormatting sqref="AJ4">
    <cfRule type="cellIs" dxfId="569" priority="4" stopIfTrue="1" operator="equal">
      <formula>"input"</formula>
    </cfRule>
  </conditionalFormatting>
  <conditionalFormatting sqref="W4">
    <cfRule type="cellIs" dxfId="568" priority="1" stopIfTrue="1" operator="equal">
      <formula>"input"</formula>
    </cfRule>
  </conditionalFormatting>
  <conditionalFormatting sqref="W4">
    <cfRule type="cellIs" dxfId="567" priority="2" stopIfTrue="1" operator="equal">
      <formula>"input"</formula>
    </cfRule>
  </conditionalFormatting>
  <pageMargins left="0.5" right="0.5" top="0.5" bottom="0.5" header="0.5" footer="0.5"/>
  <pageSetup scale="65" fitToWidth="0" fitToHeight="0" orientation="landscape" r:id="rId1"/>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M30"/>
  <sheetViews>
    <sheetView showGridLines="0" view="pageBreakPreview" zoomScaleNormal="100" zoomScaleSheetLayoutView="100" workbookViewId="0"/>
  </sheetViews>
  <sheetFormatPr defaultRowHeight="12.75"/>
  <cols>
    <col min="1" max="1" width="4.5" style="405" customWidth="1"/>
    <col min="2" max="2" width="37.1640625" style="405" customWidth="1"/>
    <col min="3" max="3" width="2.83203125" style="405" customWidth="1"/>
    <col min="4" max="4" width="103.1640625" style="405" customWidth="1"/>
    <col min="5" max="5" width="4.5" style="405" customWidth="1"/>
    <col min="6" max="16384" width="9.33203125" style="405"/>
  </cols>
  <sheetData>
    <row r="1" spans="2:13" ht="13.5" thickBot="1"/>
    <row r="2" spans="2:13" ht="16.5" thickTop="1">
      <c r="B2" s="10" t="str">
        <f>'MASTER PubCo Inputs'!$C$5</f>
        <v>Kallyope, Inc.</v>
      </c>
      <c r="C2" s="10"/>
      <c r="D2" s="10"/>
    </row>
    <row r="3" spans="2:13" ht="15.75">
      <c r="B3" s="11" t="str">
        <f>VLOOKUP(B4,Outline!$E$8:$G$69,COLUMNS(Outline!$E$8:$G$8),FALSE)</f>
        <v>Exhibit F.2</v>
      </c>
      <c r="C3" s="11"/>
      <c r="D3" s="11"/>
    </row>
    <row r="4" spans="2:13" ht="16.5" thickBot="1">
      <c r="B4" s="12" t="s">
        <v>642</v>
      </c>
      <c r="C4" s="12"/>
      <c r="D4" s="13"/>
    </row>
    <row r="5" spans="2:13" s="16" customFormat="1" ht="13.5" thickTop="1">
      <c r="B5" s="78"/>
      <c r="C5" s="405"/>
      <c r="D5" s="405"/>
      <c r="E5" s="405"/>
      <c r="F5" s="405"/>
      <c r="G5" s="405"/>
      <c r="H5" s="405"/>
      <c r="I5" s="405"/>
      <c r="J5" s="405"/>
      <c r="K5" s="405"/>
      <c r="L5" s="405"/>
      <c r="M5" s="405"/>
    </row>
    <row r="6" spans="2:13">
      <c r="B6" s="2016" t="s">
        <v>643</v>
      </c>
      <c r="C6" s="710"/>
      <c r="D6" s="2012" t="s">
        <v>126</v>
      </c>
    </row>
    <row r="8" spans="2:13" ht="30" customHeight="1">
      <c r="B8" s="2017" t="str">
        <f>Trans.1!D9</f>
        <v>Substantially all of the assets of Orexigen Therapeutics, Inc.</v>
      </c>
      <c r="C8" s="2017"/>
      <c r="D8" s="2421" t="str">
        <f>'Capital IQ Sheet-STM'!AL10</f>
        <v>Substantially all of the assets of Orexigen Therapeutics, Inc. comprises pharmaceutical product manufacturing business. The asset is located in the United States.</v>
      </c>
    </row>
    <row r="9" spans="2:13" ht="45" customHeight="1">
      <c r="B9" s="2017" t="str">
        <f>Trans.1!D10</f>
        <v>Rondinx Ltd</v>
      </c>
      <c r="C9" s="2017"/>
      <c r="D9" s="2421" t="str">
        <f>'Capital IQ Sheet-STM'!AL11</f>
        <v xml:space="preserve">As of December 19, 2017, Rondinx Ltd was acquired by BiomX Ltd. Rondinx Ltd operates as a biotechnology company that develops a platform to discover microbiome-related targets, drugs, and companion diagnostics. The company was founded in 2015 and is based in Tel Aviv, Israel._x000D_
</v>
      </c>
    </row>
    <row r="10" spans="2:13" ht="47.25" customHeight="1">
      <c r="B10" s="2017" t="str">
        <f>Trans.1!D11</f>
        <v>Crestovo LLC</v>
      </c>
      <c r="C10" s="2017"/>
      <c r="D10" s="2017" t="str">
        <f>'Capital IQ Sheet-STM'!AL12</f>
        <v>As of October 23, 2017, Crestovo LLC was acquired by Finch Therapeutics Group. Crestovo LLC a clinical-stage biopharmaceutical company engages in developing of Full-Spectrum Microbiota(FSM) that harnesses the human gut microbiome. The company was founded in 2014 and is based in Cambridge, Massachusetts.</v>
      </c>
    </row>
    <row r="11" spans="2:13" ht="135" customHeight="1">
      <c r="B11" s="2017" t="str">
        <f>Trans.1!D12</f>
        <v>KT&amp;G Life Sciences Corp.</v>
      </c>
      <c r="C11" s="2017"/>
      <c r="D11" s="2017" t="str">
        <f>'Capital IQ Sheet-STM'!AL13</f>
        <v>KT&amp;G Life Sciences Corp. develops therapeutic solutions focusing on hard-to-cure disease areas of degenerative, metabolic, cardiovascular, and cancer diseases. Its medicines act directly on metabolism, anti-aging, innate immunity, immune defense system, and normalizing the body function. The company’s pipeline includes various drug candidate substances, including KT&amp;G101 for the atopic dermatitis indication; MB12066 for non-alcoholic fatty liver disease, metabolic disease, and macular degeneration indications; KL7016 for the dry eye syndrome indication; MB11055 for obesity; MB11040 for anti-cancer and menopause disorders; MB11319 for prostatitis; and dietary supplements for arthritis/moisturization and calcium/ferrous supplement indications. KT&amp;G Life Sciences Corp. was formerly known as MD BioAlpha Co., Ltd. and changed its name to KT&amp;G Life Sciences Corp. in December 2011. The company was founded in 2002 and is based in Suwon, South Korea. As of January 13, 2017, KT&amp;G Life Sciences Corp. operates as a subsidiary of Yungjin Pharm. Co., Ltd..</v>
      </c>
    </row>
    <row r="12" spans="2:13" ht="118.5" customHeight="1">
      <c r="B12" s="2017" t="str">
        <f>Trans.1!D13</f>
        <v>Vitae Pharmaceuticals, Inc.</v>
      </c>
      <c r="C12" s="2017"/>
      <c r="D12" s="2017" t="str">
        <f>'Capital IQ Sheet-STM'!AL14</f>
        <v>Vitae Pharmaceuticals, Inc., a biotechnology company, focuses on discovering and developing novel and small molecule drugs for diseases with unmet medical needs in the United States. Its products include VTP-43742 in Phase I clinical trial for the treatment of autoimmune disorders, including psoriasis, psoriatic arthritis, ankylosing spondylitis, inflammatory bowel disease, and multiple sclerosis; VTP-38543 in Phase IIa for the treatment of atopic dermatitis; and BI 1147560 for the treatment and prevention of Alzheimer's disease. The company’s products also include VTP-34072 that is in Phase II clinical trial for the treatment of type 2 diabetes; and VTP-38443 for the treatment of acute coronary syndrome. Vitae Pharmaceuticals, Inc. was founded in 2001 and is headquartered in Fort Washington, Pennsylvania. As of October 24, 2016, Vitae Pharmaceuticals, Inc. operates as a subsidiary of Allergan plc.</v>
      </c>
    </row>
    <row r="13" spans="2:13" ht="95.25" customHeight="1">
      <c r="B13" s="2017" t="str">
        <f>Trans.1!D14</f>
        <v>Relypsa, Inc.</v>
      </c>
      <c r="C13" s="2017"/>
      <c r="D13" s="2017" t="str">
        <f>'Capital IQ Sheet-STM'!AL15</f>
        <v>Relypsa, Inc., a biopharmaceutical company, focuses on the discovery, development, and commercialization of polymeric medicines for patients with conditions that are overlooked and undertreated and can be addressed in the gastrointestinal tract primarily in the United States. The company offers Veltassa (patiromer), a non-absorbed potassium binding polymer for the treatment of hyperkalemia. It has license agreement with Vifor Fresenius Medical Care Renal Pharma Ltd. for developing and commercializing Veltassa outside the United States and Japan. The company was founded in 2007 and is headquartered in Redwood City, California. As of August 31, 2016, Relypsa, Inc. operates as a subsidiary of Vifor Pharma Ltd.</v>
      </c>
    </row>
    <row r="14" spans="2:13" ht="163.5" customHeight="1">
      <c r="B14" s="2017" t="str">
        <f>Trans.1!D15</f>
        <v>Transition Therapeutics Inc.</v>
      </c>
      <c r="C14" s="2017"/>
      <c r="D14" s="2017" t="str">
        <f>'Capital IQ Sheet-STM'!AL16</f>
        <v>Transition Therapeutics Inc., a biopharmaceutical company, researches and develops therapeutic agents for disease indications primarily in Canada. The company's lead central nervous system drug candidate is ELND005, which has completed a Phase II/III clinical trial for the treatment of agitation/aggression associated with Alzheimer's disease; and has completed Phase IIa clinical trial for the treatment of Down syndrome. Its lead metabolic drug candidate is TT401, which is in Phase II clinical study for the treatment of type 2 diabetes and accompanying obesity. The company is also developing TT701, a selective androgen receptor modulator for the treatment of androgen deficiencies. Transition Therapeutics Inc. has a licensing and collaboration agreement with Eli Lilly to develop and commercialize TT401; and to develop compounds in preclinical models to provide glycemic control and other beneficial effects, including weight loss. The company was formerly known as Transition Therapeutics and Diagnostics Inc. and changed its name to Transition Therapeutics Inc. in December 2000. Transition Therapeutics Inc. was founded in 1987 and is headquartered in Toronto, Canada. As of August 31, 2016, Transition Therapeutics Inc. operates as a subsidiary of Opko Health, Inc.</v>
      </c>
    </row>
    <row r="15" spans="2:13" ht="83.25" customHeight="1">
      <c r="B15" s="2017" t="str">
        <f>Trans.1!D16</f>
        <v>Bamboo Therapeutics, Inc.</v>
      </c>
      <c r="C15" s="2017"/>
      <c r="D15" s="2017" t="str">
        <f>'Capital IQ Sheet-STM'!AL17</f>
        <v>Bamboo Therapeutics, Inc. develops therapies for rare and devastating central nervous system and neuromuscular diseases. It provides multiple research grade and clinical grade lots for pharmaceutical and biotechnology companies, as well as universities and foundations; and represents a community of researchers, clinicians, regulatory scientists, and business professionals committed to providing hope to patients suffering from devastating disease. The company was founded in 2014 and is based in Chapel Hill, North Carolina. As of August 1, 2016, Bamboo Therapeutics, Inc. operates as a subsidiary of Pfizer Inc.</v>
      </c>
    </row>
    <row r="16" spans="2:13" ht="72.75" customHeight="1">
      <c r="B16" s="2017" t="str">
        <f>Trans.1!D17</f>
        <v>Epiva Biosciences, Inc.</v>
      </c>
      <c r="C16" s="2017"/>
      <c r="D16" s="2017" t="str">
        <f>'Capital IQ Sheet-STM'!AL18</f>
        <v>As of July 12, 2016, Epiva Biosciences, Inc. was acquired by Evelo Biosciences. Epiva Biosciences, Inc. develops immunobiotic therapeutics, a class of primed bacterial interventions designed to restore normo-biosis, the microbiome signature normally found in healthy people. It focuses on treating conditions characterized by inflammation and aberrant immune responses by modulating the systemic microbiome, the host immune-bacteria interface. The company was founded in 2015 and is based in Cambridge, Massachusetts.</v>
      </c>
    </row>
    <row r="17" spans="2:4" ht="65.25" customHeight="1">
      <c r="B17" s="2017" t="str">
        <f>Trans.1!D18</f>
        <v>Nexus BioPharma, Inc. Prior to Reverse merger with Nexus BioPharma Corporation</v>
      </c>
      <c r="C17" s="2017"/>
      <c r="D17" s="2017" t="str">
        <f>'Capital IQ Sheet-STM'!AL19</f>
        <v>As of June 9, 2016, Nexus BioPharma, Inc. was acquired by Nexus BioPharma Corporation, in a reverse merger transaction. Nexus BioPharma, Inc., a life science company, develops and commercializes drugs for transformative obesity and diabetes treatments. The company was formerly known as Plata Resources, Inc. and changed its name to Nexus BioPharma, Inc. in May 2016. Nexus BioPharma, Inc. was incorporated in 2007 and is based in Montclair, New Jersey.</v>
      </c>
    </row>
    <row r="18" spans="2:4" ht="145.5" customHeight="1">
      <c r="B18" s="2017" t="str">
        <f>Trans.1!D19</f>
        <v>Biotie Therapies Corp.</v>
      </c>
      <c r="C18" s="2017"/>
      <c r="D18" s="2017" t="str">
        <f>'Capital IQ Sheet-STM'!AL20</f>
        <v>Biotie Therapies Corp., a biopharmaceutical company, primarily focuses on developing and selling therapeutics for central nervous system disorders in Finland and the United States. The company offers Selincro (nalmefene), a dual-acting opioid system modulator that reduces alcohol consumption in alcohol dependent individuals; and Tozadenant (SYN115), an oral, potent and selective adenosine A2a receptor antagonist, which is in Phase III clinical study for the treatment of Parkinson’s disease. It also provides SYN120, an oral, potent, dual antagonist of the 5-HT6 and 5-HT2A receptors that has been completed single and multiple ascending dose Phase I clinical studies and a Phase I positron emission tomography imaging study to determine therapeutic dose for subsequent Phase II studies; and BTT1023, a human monoclonal antibody that binds to vascular adhesion protein 1, which is in Phase II clinical trial received orphan drug designation for the treatment of primary sclerosing cholangitis. Biotie Therapies Corp. is headquartered in Turku, Finland. As of April 18, 2016, Biotie Therapies Corp. operates as a subsidiary of Acorda Therapeutics, Inc.</v>
      </c>
    </row>
    <row r="19" spans="2:4" ht="42.75" customHeight="1">
      <c r="B19" s="2017" t="str">
        <f>Trans.1!D20</f>
        <v>Tucana Health Limited</v>
      </c>
      <c r="C19" s="2017"/>
      <c r="D19" s="2017" t="str">
        <f>'Capital IQ Sheet-STM'!AL21</f>
        <v>Tucana Health Limited investigates the use of microbiome signatures to aid the diagnosis and treatment of diseases. The company was incorporated in 2016 and is based in Dublin, Ireland. As of February 10, 2016, Tucana Health Limited operates as a subsidiary of 4D pharma plc.</v>
      </c>
    </row>
    <row r="20" spans="2:4" ht="115.5" customHeight="1">
      <c r="B20" s="2017" t="str">
        <f>Trans.1!D21</f>
        <v>Osmotica Pharmaceutical Corp.</v>
      </c>
      <c r="C20" s="2017"/>
      <c r="D20" s="2017" t="str">
        <f>'Capital IQ Sheet-STM'!AL22</f>
        <v>Osmotica Pharmaceutical Corp., a specialty pharmaceutical company, develops branded and generic pharmaceutical products. The company provides a portfolio of products in various stages of development focused on the treatment of movement disorders, such as MS and Parkinson's disease. Its products pipeline includes various central nervous system and neurology-based therapeutic drugs, such as nifedipine, oxybutynin, venlafaxine, and desvenlafaxine extended release tablets. Osmotica Pharmaceutical Corp. was formerly known as Osmotica USA Corp. The company was founded in 1986 and is based in Marietta, Georgia. It has principal operations in the United States, Argentina, and Hungary; and manufacturing facilities in the United States and Spain. As of February 4, 2016, Osmotica Pharmaceutical Corp. operates as a subsidiary of Vertical / Trigen Holdings LLC.</v>
      </c>
    </row>
    <row r="21" spans="2:4" ht="89.25" customHeight="1">
      <c r="B21" s="2017" t="str">
        <f>Trans.1!D22</f>
        <v>Calibrium LLC and MB2 LLC</v>
      </c>
      <c r="C21" s="2017"/>
      <c r="D21" s="2017" t="str">
        <f>'Capital IQ Sheet-STM'!AL23</f>
        <v>As of October 30, 2015, Calibrium LLC and MB2 LLC was acquired by Novo Nordisk A/S. Calibrium LLC and MB2 LLC represents the combined operations of Calibrium LLC and MB2 LLC in their sale to Novo Nordisk A/S. Calibrium LLC is a biopharmaceutical company engaging in discovery and early development of novel peptides for the treatment of diabetes and related metabolic diseases. MB2 LLC is a clinical-stage biopharmaceutical company advancing a pipeline of mixed agonist drugs for the treatment of diabetes and obesity. Calibrium LLC is based in Indianapolis, Indiana. MB2 LLC is based in Carmel, Indiana.</v>
      </c>
    </row>
    <row r="22" spans="2:4" ht="186" customHeight="1">
      <c r="B22" s="2017" t="str">
        <f>Trans.1!D23</f>
        <v>Avanir Pharmaceuticals, Inc.</v>
      </c>
      <c r="C22" s="2017"/>
      <c r="D22" s="2017" t="str">
        <f>'Capital IQ Sheet-STM'!AL24</f>
        <v>Avanir Pharmaceuticals, Inc., together with its subsidiaries, engages in acquiring, developing, and commercializing novel therapeutic products for the treatment of central nervous system disorders primarily in the United States. It primarily offers NUEDEXTA, a dual N-methyl-D-aspartate receptor antagonist and sigma-1 agonist for the treatment of pseudobulbar affect; and Docosanol 10% cream, an over-the-counter product for the treatment of cold sores. The company is also involved in Phase II clinical trial of AVP-923 for the treatment of central neuropathic pain in patients with multiple sclerosis, agitation in patients with Alzheimer’s disease, and levodopa-induced-dyskinesia in Parkinson’s disease. In addition, it is developing AVP-786, a Phase II clinical trial product for the treatment of major depressive disorder; and AVP-825, an investigational drug-device combination product consisting of low-dose sumatriptan powder for the acute treatment of migraine. The company has a license agreement with Concert Pharmaceuticals, Inc. to develop and commercialize deuterium-modified dextromethorphan for the potential treatment of neurologic and psychiatric disorders, as well as rights to other deuterium-modified dextromethorphan compounds; and a license agreement with OptiNose AS for the development and commercialization of a novel breath powered intranasal delivery system to treat acute migraine. Avanir Pharmaceuticals, Inc. was founded in 1988 and is headquartered in Aliso Viejo, California.</v>
      </c>
    </row>
    <row r="23" spans="2:4" ht="112.5" customHeight="1">
      <c r="B23" s="2017" t="str">
        <f>Trans.1!D24</f>
        <v>Civitas Therapeutics, Inc.</v>
      </c>
      <c r="C23" s="2017"/>
      <c r="D23" s="2017" t="str">
        <f>'Capital IQ Sheet-STM'!AL25</f>
        <v>Civitas Therapeutics, Inc., a biopharmaceutical company, develops and commercializes transformative therapeutics using its ARCUS technology. Its technology enables the delivery of a precise dose to the lung to potentially enable rapid and predictable L-dopa absorption through a reusable, pocket-size, and breath-actuated inhaler. The company offers CVT-301, a inhaled L-dopa therapy for OFF episodes that provides rapid delivery of L-dopa to the brain to be used in conjunction with a Parkinson’s disease patient’s individually optimized oral L-dopa regimen. Civitas Therapeutics, Inc. was formerly known as Corregidor Therapeutics, Inc. and changed its name to Civitas Therapeutics, Inc. in April 2011. The company was founded in 2009 and is based in Chelsea, Massachusetts. As of October 22, 2014, Civitas Therapeutics, Inc. operates as a subsidiary of Acorda Therapeutics, Inc.</v>
      </c>
    </row>
    <row r="24" spans="2:4" ht="111.75" customHeight="1">
      <c r="B24" s="2017" t="str">
        <f>Trans.1!D25</f>
        <v>Elan Corporation Limited</v>
      </c>
      <c r="C24" s="2017"/>
      <c r="D24" s="2017" t="str">
        <f>'Capital IQ Sheet-STM'!AL26</f>
        <v>As of December 18, 2013, Elan Corporation Limited was acquired by Perrigo Company Public Limited Company. Elan Corporation Limited is a biotechnology company in the United States, Ireland, and internationally. The company develops ELND005, an orally bioavailable small molecule in Phase II clinical trial being investigated for multiple neuropsychiatric indications on the basis of its proposed dual mechanism of action, which includes b-amyloid anti-aggregation and regulation of brain myo-inositol levels. It also develops ELND005 as an adjunctive maintenance treatment in patients with Bipolar I Disorder to delay the time to occurrence of mood episodes; and for the treatment of agitation/aggression in patients with moderate to severe Alzheimer’s disease. Elan Corporation Limited was founded in 1969 and is headquartered in Dublin, Ireland.</v>
      </c>
    </row>
    <row r="25" spans="2:4" ht="108" customHeight="1">
      <c r="B25" s="2017" t="str">
        <f>Trans.1!D26</f>
        <v>Proximagen Group plc (nka:Proximagen Group Limited)</v>
      </c>
      <c r="C25" s="2017"/>
      <c r="D25" s="2017" t="str">
        <f>'Capital IQ Sheet-STM'!AL27</f>
        <v>Proximagen Group Limited, a biotechnology company, focuses on the development and commercialization of novel therapeutics for central nervous system and inflammation diseases. The company develops drug candidate programs comprising 4 programs in clinical development and approximately 10 earlier stage assets being progressed for various therapeutic areas, including epilepsy, parkinson’s diseases, alzheimer’s diseases, inflammation, oncology, and neuropathic pain. It has partnership with GlaxoSmithKline, Upsher-Smith, Lundbeck, and the US National Institutes of Health. It has a drug discovery and development collaboration with Saniona AB (publ). The company was founded in 2003 and is headquartered in London, the United Kingdom. Proximagen Group Limited operates as a subsidiary of ACOVA Inc.</v>
      </c>
    </row>
    <row r="26" spans="2:4">
      <c r="B26" s="405" t="s">
        <v>116</v>
      </c>
      <c r="D26" s="147"/>
    </row>
    <row r="27" spans="2:4">
      <c r="B27" s="8"/>
      <c r="C27" s="8"/>
    </row>
    <row r="30" spans="2:4">
      <c r="B30" s="2017"/>
      <c r="C30" s="2017"/>
      <c r="D30" s="2017"/>
    </row>
  </sheetData>
  <conditionalFormatting sqref="B4:C4">
    <cfRule type="cellIs" dxfId="566" priority="2" stopIfTrue="1" operator="equal">
      <formula>"input"</formula>
    </cfRule>
  </conditionalFormatting>
  <conditionalFormatting sqref="D4">
    <cfRule type="cellIs" dxfId="565" priority="3" stopIfTrue="1" operator="equal">
      <formula>"input"</formula>
    </cfRule>
  </conditionalFormatting>
  <conditionalFormatting sqref="B30:C30 B9:C25">
    <cfRule type="cellIs" dxfId="564" priority="5" operator="equal">
      <formula>"(Invalid Identifier)"</formula>
    </cfRule>
  </conditionalFormatting>
  <conditionalFormatting sqref="D4">
    <cfRule type="cellIs" dxfId="563" priority="4" stopIfTrue="1" operator="equal">
      <formula>"input"</formula>
    </cfRule>
  </conditionalFormatting>
  <conditionalFormatting sqref="B8:C8">
    <cfRule type="cellIs" dxfId="562" priority="1" operator="equal">
      <formula>"(Invalid Identifier)"</formula>
    </cfRule>
  </conditionalFormatting>
  <pageMargins left="0.5" right="0.5" top="0.5" bottom="0.5" header="0.5" footer="0.5"/>
  <pageSetup scale="98" fitToWidth="0" fitToHeight="0" orientation="landscape" r:id="rId1"/>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3" tint="-0.499984740745262"/>
    <pageSetUpPr fitToPage="1"/>
  </sheetPr>
  <dimension ref="B6:F30"/>
  <sheetViews>
    <sheetView showGridLines="0" view="pageBreakPreview" zoomScale="60" zoomScaleNormal="100" workbookViewId="0"/>
  </sheetViews>
  <sheetFormatPr defaultColWidth="9.33203125" defaultRowHeight="15"/>
  <cols>
    <col min="1" max="1" width="4.5" style="291" customWidth="1"/>
    <col min="2" max="2" width="3.83203125" style="291" customWidth="1"/>
    <col min="3" max="3" width="15.83203125" style="291" customWidth="1"/>
    <col min="4" max="4" width="104.5" style="292" customWidth="1"/>
    <col min="5" max="5" width="15.83203125" style="291" customWidth="1"/>
    <col min="6" max="6" width="3.83203125" style="291" customWidth="1"/>
    <col min="7" max="7" width="4.5" style="291" customWidth="1"/>
    <col min="8" max="8" width="9.33203125" style="291"/>
    <col min="9" max="9" width="16.33203125" style="291" bestFit="1" customWidth="1"/>
    <col min="10" max="10" width="19" style="291" bestFit="1" customWidth="1"/>
    <col min="11" max="16384" width="9.33203125" style="291"/>
  </cols>
  <sheetData>
    <row r="6" spans="2:6">
      <c r="B6" s="293"/>
      <c r="C6" s="282"/>
      <c r="D6" s="283"/>
      <c r="E6" s="282"/>
      <c r="F6" s="282"/>
    </row>
    <row r="7" spans="2:6" ht="15.75" thickBot="1">
      <c r="B7" s="293"/>
      <c r="C7" s="282"/>
      <c r="D7" s="283"/>
      <c r="E7" s="282"/>
      <c r="F7" s="282"/>
    </row>
    <row r="8" spans="2:6" ht="15.75" thickTop="1">
      <c r="B8" s="14"/>
      <c r="C8" s="294"/>
      <c r="D8" s="295"/>
      <c r="E8" s="294"/>
      <c r="F8" s="294"/>
    </row>
    <row r="9" spans="2:6" s="296" customFormat="1" ht="40.5">
      <c r="B9" s="297"/>
      <c r="C9" s="298"/>
      <c r="D9" s="299" t="s">
        <v>405</v>
      </c>
      <c r="E9" s="298"/>
      <c r="F9" s="298"/>
    </row>
    <row r="10" spans="2:6" ht="15.75" thickBot="1">
      <c r="B10" s="286"/>
      <c r="C10" s="301"/>
      <c r="D10" s="302"/>
      <c r="E10" s="301"/>
      <c r="F10" s="301"/>
    </row>
    <row r="11" spans="2:6" ht="15.75" thickTop="1"/>
    <row r="13" spans="2:6" ht="18.75">
      <c r="D13" s="287"/>
    </row>
    <row r="14" spans="2:6" ht="18.75">
      <c r="D14" s="288"/>
    </row>
    <row r="27" spans="4:4" ht="23.25">
      <c r="D27" s="867" t="s">
        <v>776</v>
      </c>
    </row>
    <row r="29" spans="4:4" ht="18.75">
      <c r="D29" s="289" t="s">
        <v>575</v>
      </c>
    </row>
    <row r="30" spans="4:4" ht="37.5">
      <c r="D30" s="290" t="s">
        <v>394</v>
      </c>
    </row>
  </sheetData>
  <pageMargins left="0.5" right="0.5" top="0.5" bottom="0.5" header="0.5" footer="0.5"/>
  <pageSetup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Q42"/>
  <sheetViews>
    <sheetView showGridLines="0" view="pageBreakPreview" zoomScaleNormal="100" zoomScaleSheetLayoutView="100" workbookViewId="0"/>
  </sheetViews>
  <sheetFormatPr defaultRowHeight="12.75"/>
  <cols>
    <col min="1" max="1" width="4.5" style="405" customWidth="1"/>
    <col min="2" max="2" width="44.33203125" style="405" customWidth="1"/>
    <col min="3" max="3" width="2.83203125" style="405" customWidth="1"/>
    <col min="4" max="8" width="15.83203125" style="405" customWidth="1"/>
    <col min="9" max="9" width="2.83203125" style="405" customWidth="1"/>
    <col min="10" max="10" width="15.83203125" style="405" customWidth="1"/>
    <col min="11" max="11" width="4.5" style="405" customWidth="1"/>
    <col min="12" max="12" width="13" style="405" bestFit="1" customWidth="1"/>
    <col min="13" max="13" width="20.1640625" style="405" bestFit="1" customWidth="1"/>
    <col min="14" max="14" width="25.1640625" style="405" customWidth="1"/>
    <col min="15" max="15" width="11.5" style="405" bestFit="1" customWidth="1"/>
    <col min="16" max="16384" width="9.33203125" style="405"/>
  </cols>
  <sheetData>
    <row r="1" spans="2:15" ht="10.7" customHeight="1" thickBot="1"/>
    <row r="2" spans="2:15" ht="16.5" customHeight="1" thickTop="1">
      <c r="B2" s="10" t="str">
        <f>'MASTER PubCo Inputs'!$C$5</f>
        <v>Kallyope, Inc.</v>
      </c>
      <c r="C2" s="10"/>
      <c r="D2" s="10"/>
      <c r="E2" s="10"/>
      <c r="F2" s="10"/>
      <c r="G2" s="10"/>
      <c r="H2" s="10"/>
      <c r="I2" s="10"/>
      <c r="J2" s="10"/>
      <c r="M2" s="16"/>
      <c r="N2" s="928"/>
      <c r="O2" s="996"/>
    </row>
    <row r="3" spans="2:15" ht="15.75" customHeight="1">
      <c r="B3" s="11" t="str">
        <f>VLOOKUP(B4,Outline!$E$8:$G$69,COLUMNS(Outline!$E$8:$G$8),FALSE)</f>
        <v>Exhibit G.1</v>
      </c>
      <c r="C3" s="11"/>
      <c r="D3" s="11"/>
      <c r="E3" s="11"/>
      <c r="F3" s="11"/>
      <c r="G3" s="11"/>
      <c r="H3" s="11"/>
      <c r="I3" s="11"/>
      <c r="J3" s="11"/>
      <c r="M3" s="16"/>
      <c r="N3" s="655"/>
    </row>
    <row r="4" spans="2:15" ht="16.5" customHeight="1" thickBot="1">
      <c r="B4" s="12" t="s">
        <v>607</v>
      </c>
      <c r="C4" s="12"/>
      <c r="D4" s="12"/>
      <c r="E4" s="12"/>
      <c r="F4" s="12"/>
      <c r="G4" s="12"/>
      <c r="H4" s="12"/>
      <c r="I4" s="13"/>
      <c r="J4" s="13" t="str">
        <f>'MASTER PubCo Inputs'!$C$19</f>
        <v>(in thousands of USD, except price per share)</v>
      </c>
    </row>
    <row r="5" spans="2:15" s="16" customFormat="1" ht="12.75" customHeight="1" thickTop="1">
      <c r="B5" s="405"/>
      <c r="C5" s="405"/>
      <c r="D5" s="405"/>
      <c r="E5" s="405"/>
      <c r="F5" s="405"/>
      <c r="G5" s="405"/>
      <c r="H5" s="405"/>
      <c r="I5" s="405"/>
      <c r="J5" s="405"/>
      <c r="K5" s="405"/>
      <c r="L5" s="881"/>
      <c r="M5" s="881"/>
      <c r="N5" s="881"/>
    </row>
    <row r="6" spans="2:15" ht="12.75" customHeight="1">
      <c r="F6" s="3" t="s">
        <v>209</v>
      </c>
      <c r="G6" s="3" t="s">
        <v>209</v>
      </c>
      <c r="H6" s="907"/>
    </row>
    <row r="7" spans="2:15" s="6" customFormat="1" ht="25.5">
      <c r="B7" s="1227" t="s">
        <v>644</v>
      </c>
      <c r="D7" s="1228" t="s">
        <v>429</v>
      </c>
      <c r="E7" s="1229" t="s">
        <v>1698</v>
      </c>
      <c r="F7" s="1229" t="s">
        <v>1699</v>
      </c>
      <c r="G7" s="1229" t="s">
        <v>1700</v>
      </c>
      <c r="H7" s="1122" t="s">
        <v>197</v>
      </c>
      <c r="I7" s="330"/>
      <c r="J7" s="1230" t="s">
        <v>160</v>
      </c>
    </row>
    <row r="8" spans="2:15" ht="12.75" customHeight="1"/>
    <row r="9" spans="2:15" ht="12.75" customHeight="1">
      <c r="B9" s="78" t="s">
        <v>1701</v>
      </c>
      <c r="D9" s="1069">
        <f>'Cap Table (3)'!L129/1000</f>
        <v>44050</v>
      </c>
      <c r="E9" s="1231">
        <f>'Cap Table (3)'!O129/1000</f>
        <v>11024.995999999999</v>
      </c>
      <c r="F9" s="1231">
        <v>11024.995999999999</v>
      </c>
      <c r="G9" s="1231">
        <v>11024.995999999999</v>
      </c>
      <c r="H9" s="1069">
        <f>Summary!D31/1000</f>
        <v>16327.046</v>
      </c>
      <c r="J9" s="406">
        <f>SUM(D9:H9)</f>
        <v>93452.034</v>
      </c>
      <c r="L9" s="50"/>
    </row>
    <row r="10" spans="2:15" ht="12.75" customHeight="1">
      <c r="B10" s="5"/>
      <c r="C10" s="5"/>
      <c r="D10" s="5"/>
      <c r="E10" s="5"/>
      <c r="F10" s="5"/>
      <c r="G10" s="5"/>
      <c r="H10" s="5"/>
      <c r="J10" s="5"/>
    </row>
    <row r="11" spans="2:15" ht="12.75" customHeight="1">
      <c r="B11" s="191" t="s">
        <v>160</v>
      </c>
      <c r="D11" s="38">
        <f>SUM(D9:D9)</f>
        <v>44050</v>
      </c>
      <c r="E11" s="38">
        <f>SUM(E9:E9)</f>
        <v>11024.995999999999</v>
      </c>
      <c r="F11" s="38">
        <f>SUM(F9:F9)</f>
        <v>11024.995999999999</v>
      </c>
      <c r="G11" s="38">
        <f>SUM(G9:G9)</f>
        <v>11024.995999999999</v>
      </c>
      <c r="H11" s="38">
        <f>SUM(H9:H9)</f>
        <v>16327.046</v>
      </c>
      <c r="J11" s="38">
        <f>SUM(J9:J9)</f>
        <v>93452.034</v>
      </c>
    </row>
    <row r="12" spans="2:15" ht="12.75" customHeight="1"/>
    <row r="13" spans="2:15" ht="12.75" customHeight="1">
      <c r="B13" s="2" t="s">
        <v>304</v>
      </c>
      <c r="D13" s="43">
        <v>0</v>
      </c>
      <c r="E13" s="43">
        <v>0</v>
      </c>
      <c r="F13" s="43">
        <v>0</v>
      </c>
      <c r="G13" s="43">
        <v>0</v>
      </c>
      <c r="H13" s="1232">
        <f>SUM(D24:D26)</f>
        <v>1636.404</v>
      </c>
      <c r="J13" s="406">
        <f>H13</f>
        <v>1636.404</v>
      </c>
    </row>
    <row r="14" spans="2:15" ht="12.75" customHeight="1">
      <c r="B14" s="2" t="s">
        <v>305</v>
      </c>
      <c r="D14" s="43">
        <v>0</v>
      </c>
      <c r="E14" s="43">
        <v>0</v>
      </c>
      <c r="F14" s="43">
        <v>0</v>
      </c>
      <c r="G14" s="43">
        <v>0</v>
      </c>
      <c r="H14" s="1232">
        <f>+D27</f>
        <v>2127.3489690721649</v>
      </c>
      <c r="J14" s="406">
        <f>H14</f>
        <v>2127.3489690721649</v>
      </c>
    </row>
    <row r="15" spans="2:15" ht="12.75" customHeight="1">
      <c r="B15" s="5"/>
      <c r="C15" s="5"/>
      <c r="D15" s="5"/>
      <c r="E15" s="5"/>
      <c r="F15" s="5"/>
      <c r="G15" s="5"/>
      <c r="H15" s="5"/>
      <c r="J15" s="5"/>
    </row>
    <row r="16" spans="2:15" ht="12.75" customHeight="1">
      <c r="B16" s="191" t="s">
        <v>306</v>
      </c>
      <c r="D16" s="38">
        <f>SUM(D11:D14)</f>
        <v>44050</v>
      </c>
      <c r="E16" s="38">
        <f>SUM(E11:E14)</f>
        <v>11024.995999999999</v>
      </c>
      <c r="F16" s="38">
        <f>SUM(F11:F14)</f>
        <v>11024.995999999999</v>
      </c>
      <c r="G16" s="38">
        <f>SUM(G11:G14)</f>
        <v>11024.995999999999</v>
      </c>
      <c r="H16" s="38">
        <f>SUM(H11:H14)</f>
        <v>20090.798969072166</v>
      </c>
      <c r="J16" s="38">
        <f>SUM(J11:J14)</f>
        <v>97215.786969072156</v>
      </c>
    </row>
    <row r="17" spans="1:17" ht="12.75" customHeight="1"/>
    <row r="18" spans="1:17" ht="12.75" customHeight="1">
      <c r="B18" s="39" t="s">
        <v>307</v>
      </c>
      <c r="D18" s="192">
        <v>1</v>
      </c>
      <c r="E18" s="192">
        <v>1</v>
      </c>
      <c r="F18" s="192">
        <v>1</v>
      </c>
      <c r="G18" s="192">
        <v>1</v>
      </c>
      <c r="H18" s="192">
        <v>1</v>
      </c>
      <c r="J18" s="192">
        <v>1</v>
      </c>
    </row>
    <row r="19" spans="1:17" ht="12.75" customHeight="1"/>
    <row r="20" spans="1:17" ht="12.75" customHeight="1">
      <c r="B20" s="1233" t="s">
        <v>308</v>
      </c>
      <c r="C20" s="1234"/>
      <c r="D20" s="1235">
        <f>D16*D18</f>
        <v>44050</v>
      </c>
      <c r="E20" s="1235">
        <f>E16*E18</f>
        <v>11024.995999999999</v>
      </c>
      <c r="F20" s="1235">
        <f>F16*F18</f>
        <v>11024.995999999999</v>
      </c>
      <c r="G20" s="1235">
        <f>G16*G18</f>
        <v>11024.995999999999</v>
      </c>
      <c r="H20" s="1236">
        <f>H16*H18</f>
        <v>20090.798969072166</v>
      </c>
      <c r="J20" s="1237">
        <f>SUM(D20:H20)</f>
        <v>97215.786969072156</v>
      </c>
    </row>
    <row r="21" spans="1:17" ht="12.75" customHeight="1"/>
    <row r="22" spans="1:17" ht="12.75" customHeight="1">
      <c r="B22" s="1238" t="s">
        <v>1702</v>
      </c>
      <c r="C22" s="1239"/>
      <c r="D22" s="1239"/>
      <c r="E22" s="1240"/>
      <c r="I22" s="167"/>
      <c r="J22" s="406"/>
    </row>
    <row r="23" spans="1:17">
      <c r="B23" s="319"/>
      <c r="C23" s="16"/>
      <c r="D23" s="193" t="s">
        <v>775</v>
      </c>
      <c r="E23" s="322" t="s">
        <v>82</v>
      </c>
      <c r="I23" s="167"/>
    </row>
    <row r="24" spans="1:17">
      <c r="B24" s="711" t="str">
        <f>"Options at " &amp;TEXT(E24,"$0.00") &amp; " Strike Price"</f>
        <v>Options at $0.11 Strike Price</v>
      </c>
      <c r="C24" s="16"/>
      <c r="D24" s="1241">
        <f>Options!I95/1000</f>
        <v>190</v>
      </c>
      <c r="E24" s="1242">
        <f>Options!H95</f>
        <v>0.11</v>
      </c>
      <c r="I24" s="167"/>
      <c r="J24" s="996"/>
      <c r="L24" s="996"/>
    </row>
    <row r="25" spans="1:17" ht="12.75" customHeight="1">
      <c r="B25" s="711" t="str">
        <f>"Options at " &amp;TEXT(E25,"$0.00") &amp; " Strike Price"</f>
        <v>Options at $0.13 Strike Price</v>
      </c>
      <c r="C25" s="16"/>
      <c r="D25" s="1241">
        <f>Options!I96/1000</f>
        <v>620.404</v>
      </c>
      <c r="E25" s="1242">
        <f>Options!H96</f>
        <v>0.13</v>
      </c>
      <c r="I25" s="167"/>
      <c r="L25" s="996"/>
      <c r="M25" s="1243" t="s">
        <v>1703</v>
      </c>
      <c r="N25" s="1244">
        <f>J20*'Econ Rights'!G12</f>
        <v>194431.57393814431</v>
      </c>
      <c r="O25" s="1245"/>
      <c r="P25" s="1246"/>
    </row>
    <row r="26" spans="1:17" ht="12.75" customHeight="1">
      <c r="B26" s="711" t="str">
        <f>"Options at " &amp;TEXT(E26,"$0.00") &amp; " Strike Price"</f>
        <v>Options at $0.40 Strike Price</v>
      </c>
      <c r="D26" s="1241">
        <f>Options!I97/1000</f>
        <v>826</v>
      </c>
      <c r="E26" s="1242">
        <f>Options!H97</f>
        <v>0.4</v>
      </c>
      <c r="I26" s="167"/>
      <c r="L26" s="996"/>
      <c r="M26" s="1" t="s">
        <v>1704</v>
      </c>
      <c r="N26" s="1244">
        <f>N25-SUM(E9:G9)*'Econ Rights'!G12</f>
        <v>128281.59793814432</v>
      </c>
      <c r="O26" s="1244"/>
    </row>
    <row r="27" spans="1:17" ht="12.75" customHeight="1">
      <c r="B27" s="711" t="s">
        <v>464</v>
      </c>
      <c r="C27" s="323" t="s">
        <v>246</v>
      </c>
      <c r="D27" s="1241">
        <f>Options!C91/1000</f>
        <v>2127.3489690721649</v>
      </c>
      <c r="E27" s="1247">
        <f>'Val Summ'!M11</f>
        <v>0.47</v>
      </c>
      <c r="I27" s="167"/>
      <c r="L27" s="996"/>
      <c r="M27" s="1"/>
      <c r="N27" s="1244"/>
      <c r="O27" s="1244"/>
    </row>
    <row r="28" spans="1:17" ht="12.75" customHeight="1">
      <c r="B28" s="320"/>
      <c r="C28" s="5"/>
      <c r="D28" s="321"/>
      <c r="E28" s="171"/>
      <c r="I28" s="167"/>
    </row>
    <row r="29" spans="1:17" ht="12.75" customHeight="1">
      <c r="B29" s="1248" t="s">
        <v>160</v>
      </c>
      <c r="C29" s="16"/>
      <c r="D29" s="1249">
        <f>SUM(D24:D27)</f>
        <v>3763.7529690721649</v>
      </c>
      <c r="E29" s="173"/>
      <c r="F29" s="173"/>
      <c r="G29" s="173"/>
      <c r="I29" s="167"/>
      <c r="M29" s="515" t="s">
        <v>579</v>
      </c>
      <c r="N29" s="1250" t="s">
        <v>151</v>
      </c>
      <c r="O29" s="1222" t="s">
        <v>499</v>
      </c>
      <c r="Q29" s="1251" t="s">
        <v>1705</v>
      </c>
    </row>
    <row r="30" spans="1:17" ht="12.75" customHeight="1">
      <c r="D30" s="173"/>
      <c r="E30" s="173"/>
      <c r="F30" s="173"/>
      <c r="G30" s="173"/>
      <c r="I30" s="167"/>
      <c r="M30" s="712">
        <v>0</v>
      </c>
      <c r="N30" s="405" t="s">
        <v>1706</v>
      </c>
      <c r="O30" s="405" t="str">
        <f t="shared" ref="O30:O36" si="0">N30</f>
        <v>Series A and Series B Receive Liquidation Preference</v>
      </c>
      <c r="P30" s="7">
        <f>M30</f>
        <v>0</v>
      </c>
      <c r="Q30" s="405" t="s">
        <v>323</v>
      </c>
    </row>
    <row r="31" spans="1:17" ht="12.75" customHeight="1">
      <c r="B31" s="8" t="s">
        <v>86</v>
      </c>
      <c r="M31" s="712">
        <v>0</v>
      </c>
      <c r="N31" s="405" t="s">
        <v>1707</v>
      </c>
      <c r="O31" s="405" t="str">
        <f t="shared" si="0"/>
        <v>Common Stock Starts Receiving Value</v>
      </c>
      <c r="P31" s="7">
        <f>M31</f>
        <v>0</v>
      </c>
      <c r="Q31" s="405" t="s">
        <v>324</v>
      </c>
    </row>
    <row r="32" spans="1:17" ht="12.75" customHeight="1">
      <c r="A32" s="718" t="s">
        <v>210</v>
      </c>
      <c r="B32" s="753" t="s">
        <v>841</v>
      </c>
      <c r="M32" s="7">
        <f>+E24</f>
        <v>0.11</v>
      </c>
      <c r="N32" s="405" t="str">
        <f>"Options at "&amp;TEXT(E24,"$0.00") &amp;" Strike Price Exercise"</f>
        <v>Options at $0.11 Strike Price Exercise</v>
      </c>
      <c r="O32" s="405" t="str">
        <f t="shared" si="0"/>
        <v>Options at $0.11 Strike Price Exercise</v>
      </c>
      <c r="P32" s="7">
        <f>P31</f>
        <v>0</v>
      </c>
      <c r="Q32" s="405" t="str">
        <f>N31</f>
        <v>Common Stock Starts Receiving Value</v>
      </c>
    </row>
    <row r="33" spans="1:17" ht="26.1" customHeight="1">
      <c r="A33" s="824" t="str">
        <f>F6</f>
        <v>(2)</v>
      </c>
      <c r="B33" s="3232" t="s">
        <v>2960</v>
      </c>
      <c r="C33" s="3232"/>
      <c r="D33" s="3232"/>
      <c r="E33" s="3232"/>
      <c r="F33" s="3232"/>
      <c r="G33" s="3232"/>
      <c r="H33" s="3232"/>
      <c r="I33" s="3232"/>
      <c r="J33" s="3232"/>
      <c r="M33" s="7">
        <f>+E25</f>
        <v>0.13</v>
      </c>
      <c r="N33" s="405" t="str">
        <f>"Options at "&amp;TEXT(E25,"$0.00") &amp;" Strike Price Exercise"</f>
        <v>Options at $0.13 Strike Price Exercise</v>
      </c>
      <c r="O33" s="405" t="str">
        <f t="shared" si="0"/>
        <v>Options at $0.13 Strike Price Exercise</v>
      </c>
      <c r="P33" s="7">
        <f>M32</f>
        <v>0.11</v>
      </c>
      <c r="Q33" s="405" t="str">
        <f>N32</f>
        <v>Options at $0.11 Strike Price Exercise</v>
      </c>
    </row>
    <row r="34" spans="1:17" ht="12.75" customHeight="1">
      <c r="A34" s="718" t="str">
        <f>C27</f>
        <v>(3)</v>
      </c>
      <c r="B34" s="753" t="s">
        <v>2961</v>
      </c>
      <c r="C34" s="78"/>
      <c r="M34" s="7">
        <f>+E26</f>
        <v>0.4</v>
      </c>
      <c r="N34" s="405" t="str">
        <f>"Options at "&amp;TEXT(E26,"$0.00") &amp;" Strike Price Exercise"</f>
        <v>Options at $0.40 Strike Price Exercise</v>
      </c>
      <c r="O34" s="405" t="str">
        <f t="shared" si="0"/>
        <v>Options at $0.40 Strike Price Exercise</v>
      </c>
      <c r="P34" s="7">
        <f>M33</f>
        <v>0.13</v>
      </c>
      <c r="Q34" s="405" t="str">
        <f>N33</f>
        <v>Options at $0.13 Strike Price Exercise</v>
      </c>
    </row>
    <row r="35" spans="1:17" ht="12.75" customHeight="1">
      <c r="B35" s="873"/>
      <c r="M35" s="1660">
        <f>E27</f>
        <v>0.47</v>
      </c>
      <c r="N35" s="405" t="str">
        <f>"Options Expected to be Granted Exercise at "&amp;TEXT(E27,"$0.00")&amp;" Strike Price"</f>
        <v>Options Expected to be Granted Exercise at $0.47 Strike Price</v>
      </c>
      <c r="O35" s="405" t="str">
        <f t="shared" si="0"/>
        <v>Options Expected to be Granted Exercise at $0.47 Strike Price</v>
      </c>
    </row>
    <row r="36" spans="1:17" ht="12.75" customHeight="1">
      <c r="M36" s="484">
        <f>+'Econ Rights'!D12</f>
        <v>1</v>
      </c>
      <c r="N36" s="405" t="s">
        <v>1708</v>
      </c>
      <c r="O36" s="405" t="str">
        <f t="shared" si="0"/>
        <v>Series A Converts</v>
      </c>
      <c r="P36" s="7">
        <f>M34</f>
        <v>0.4</v>
      </c>
      <c r="Q36" s="405" t="str">
        <f>N34</f>
        <v>Options at $0.40 Strike Price Exercise</v>
      </c>
    </row>
    <row r="37" spans="1:17" ht="12.75" customHeight="1">
      <c r="B37" s="441"/>
      <c r="M37" s="484">
        <f>+'Econ Rights'!E12</f>
        <v>2</v>
      </c>
      <c r="N37" s="405" t="s">
        <v>1709</v>
      </c>
      <c r="O37" s="405" t="s">
        <v>1710</v>
      </c>
      <c r="P37" s="7">
        <f>M36</f>
        <v>1</v>
      </c>
      <c r="Q37" s="405" t="str">
        <f>N36</f>
        <v>Series A Converts</v>
      </c>
    </row>
    <row r="38" spans="1:17" ht="12.75" customHeight="1">
      <c r="P38" s="7">
        <f>M37</f>
        <v>2</v>
      </c>
      <c r="Q38" s="405" t="str">
        <f>N37</f>
        <v>Series B Converts</v>
      </c>
    </row>
    <row r="39" spans="1:17" ht="12.75" customHeight="1">
      <c r="M39" s="1252"/>
    </row>
    <row r="41" spans="1:17">
      <c r="M41" s="1253"/>
      <c r="N41" s="1254"/>
      <c r="O41" s="1255"/>
    </row>
    <row r="42" spans="1:17">
      <c r="M42" s="1253"/>
      <c r="N42" s="1254"/>
      <c r="O42" s="1255"/>
    </row>
  </sheetData>
  <mergeCells count="1">
    <mergeCell ref="B33:J33"/>
  </mergeCells>
  <conditionalFormatting sqref="B4:H4">
    <cfRule type="cellIs" dxfId="561" priority="5" stopIfTrue="1" operator="equal">
      <formula>"input"</formula>
    </cfRule>
  </conditionalFormatting>
  <conditionalFormatting sqref="I4">
    <cfRule type="cellIs" dxfId="560" priority="3" stopIfTrue="1" operator="equal">
      <formula>"input"</formula>
    </cfRule>
  </conditionalFormatting>
  <conditionalFormatting sqref="I4">
    <cfRule type="cellIs" dxfId="559" priority="4" stopIfTrue="1" operator="equal">
      <formula>"input"</formula>
    </cfRule>
  </conditionalFormatting>
  <conditionalFormatting sqref="J4">
    <cfRule type="cellIs" dxfId="558" priority="1" stopIfTrue="1" operator="equal">
      <formula>"input"</formula>
    </cfRule>
  </conditionalFormatting>
  <conditionalFormatting sqref="J4">
    <cfRule type="cellIs" dxfId="557" priority="2" stopIfTrue="1" operator="equal">
      <formula>"input"</formula>
    </cfRule>
  </conditionalFormatting>
  <pageMargins left="0.5" right="0.5" top="0.5" bottom="0.5" header="0.5" footer="0.5"/>
  <pageSetup scale="98" fitToWidth="0" fitToHeight="0" orientation="landscape" r:id="rId1"/>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U52"/>
  <sheetViews>
    <sheetView showGridLines="0" view="pageBreakPreview" zoomScaleNormal="145" zoomScaleSheetLayoutView="100" workbookViewId="0"/>
  </sheetViews>
  <sheetFormatPr defaultRowHeight="12.75"/>
  <cols>
    <col min="1" max="1" width="4.5" style="405" customWidth="1"/>
    <col min="2" max="2" width="46.33203125" style="405" customWidth="1"/>
    <col min="3" max="3" width="2.83203125" style="405" customWidth="1"/>
    <col min="4" max="7" width="23.83203125" style="405" customWidth="1"/>
    <col min="8" max="8" width="4.5" style="405" customWidth="1"/>
    <col min="9" max="9" width="9.33203125" style="405"/>
    <col min="10" max="10" width="13" style="405" bestFit="1" customWidth="1"/>
    <col min="11" max="16384" width="9.33203125" style="405"/>
  </cols>
  <sheetData>
    <row r="1" spans="2:21" ht="10.7" customHeight="1" thickBot="1"/>
    <row r="2" spans="2:21" ht="16.5" customHeight="1" thickTop="1">
      <c r="B2" s="10" t="str">
        <f>'MASTER PubCo Inputs'!$C$5</f>
        <v>Kallyope, Inc.</v>
      </c>
      <c r="C2" s="10"/>
      <c r="D2" s="10"/>
      <c r="E2" s="10"/>
      <c r="F2" s="10"/>
      <c r="G2" s="10"/>
    </row>
    <row r="3" spans="2:21" ht="15.75" customHeight="1">
      <c r="B3" s="11" t="str">
        <f>VLOOKUP(B4,Outline!$E$8:$G$69,COLUMNS(Outline!$E$8:$G$8),FALSE)</f>
        <v>Exhibit G.2</v>
      </c>
      <c r="C3" s="11"/>
      <c r="D3" s="11"/>
      <c r="E3" s="11"/>
      <c r="F3" s="11"/>
      <c r="G3" s="11"/>
    </row>
    <row r="4" spans="2:21" ht="16.5" customHeight="1" thickBot="1">
      <c r="B4" s="12" t="s">
        <v>608</v>
      </c>
      <c r="C4" s="12"/>
      <c r="D4" s="12"/>
      <c r="E4" s="12"/>
      <c r="F4" s="12"/>
      <c r="G4" s="13" t="str">
        <f>'MASTER PubCo Inputs'!$C$19</f>
        <v>(in thousands of USD, except price per share)</v>
      </c>
    </row>
    <row r="5" spans="2:21" s="16" customFormat="1" ht="12.75" customHeight="1" thickTop="1">
      <c r="B5" s="405"/>
      <c r="C5" s="405"/>
      <c r="D5" s="405"/>
      <c r="E5" s="405"/>
      <c r="F5" s="405"/>
      <c r="G5" s="405"/>
      <c r="H5" s="405"/>
    </row>
    <row r="6" spans="2:21" ht="12.75" customHeight="1">
      <c r="D6" s="718" t="s">
        <v>210</v>
      </c>
      <c r="E6" s="718"/>
      <c r="F6" s="718" t="s">
        <v>209</v>
      </c>
      <c r="G6" s="718" t="s">
        <v>209</v>
      </c>
    </row>
    <row r="7" spans="2:21" s="6" customFormat="1">
      <c r="D7" s="1228" t="str">
        <f>'Cap Table'!D7</f>
        <v>Series A</v>
      </c>
      <c r="E7" s="1229" t="str">
        <f>'Cap Table'!E7</f>
        <v>Series B Tranche I</v>
      </c>
      <c r="F7" s="1229" t="str">
        <f>'Cap Table'!F7</f>
        <v>Series B Tranche II</v>
      </c>
      <c r="G7" s="1122" t="str">
        <f>'Cap Table'!G7</f>
        <v>Series B Tranche III</v>
      </c>
    </row>
    <row r="8" spans="2:21" ht="12.75" customHeight="1"/>
    <row r="9" spans="2:21" ht="12.75" customHeight="1">
      <c r="B9" s="1256" t="s">
        <v>1711</v>
      </c>
      <c r="C9" s="1257"/>
      <c r="D9" s="1257"/>
      <c r="E9" s="1257"/>
      <c r="F9" s="1257"/>
      <c r="G9" s="1258"/>
    </row>
    <row r="10" spans="2:21" ht="12.75" customHeight="1">
      <c r="B10" s="2" t="s">
        <v>315</v>
      </c>
      <c r="D10" s="1259" t="s">
        <v>1205</v>
      </c>
      <c r="E10" s="1259">
        <v>43105</v>
      </c>
      <c r="F10" s="1259">
        <v>43470</v>
      </c>
      <c r="G10" s="1259">
        <v>43835</v>
      </c>
      <c r="H10" s="462"/>
      <c r="S10" s="7"/>
      <c r="T10" s="7"/>
    </row>
    <row r="11" spans="2:21" ht="12.75" customHeight="1">
      <c r="B11" s="2" t="s">
        <v>327</v>
      </c>
      <c r="D11" s="403">
        <f>'Cap Table'!D9</f>
        <v>44050</v>
      </c>
      <c r="E11" s="1260">
        <f>'Cap Table'!E9</f>
        <v>11024.995999999999</v>
      </c>
      <c r="F11" s="1260">
        <f>'Cap Table'!F9</f>
        <v>11024.995999999999</v>
      </c>
      <c r="G11" s="1260">
        <f>'Cap Table'!G9</f>
        <v>11024.995999999999</v>
      </c>
    </row>
    <row r="12" spans="2:21" ht="12.75" customHeight="1">
      <c r="B12" s="2" t="s">
        <v>378</v>
      </c>
      <c r="D12" s="1242">
        <v>1</v>
      </c>
      <c r="E12" s="1242">
        <v>2</v>
      </c>
      <c r="F12" s="1242">
        <v>2</v>
      </c>
      <c r="G12" s="1242">
        <v>2</v>
      </c>
      <c r="O12" s="7"/>
      <c r="P12" s="7"/>
      <c r="Q12" s="7"/>
      <c r="R12" s="7"/>
      <c r="S12" s="7"/>
      <c r="T12" s="7"/>
      <c r="U12" s="7"/>
    </row>
    <row r="13" spans="2:21" ht="12.75" customHeight="1">
      <c r="B13" s="2" t="s">
        <v>473</v>
      </c>
      <c r="D13" s="479">
        <f>D11*D12</f>
        <v>44050</v>
      </c>
      <c r="E13" s="479">
        <f>E11*E12</f>
        <v>22049.991999999998</v>
      </c>
      <c r="F13" s="479">
        <f>F11*F12</f>
        <v>22049.991999999998</v>
      </c>
      <c r="G13" s="479">
        <f>G11*G12</f>
        <v>22049.991999999998</v>
      </c>
      <c r="J13" s="50"/>
      <c r="O13" s="7"/>
      <c r="P13" s="7"/>
      <c r="Q13" s="7"/>
      <c r="R13" s="7"/>
      <c r="S13" s="7"/>
      <c r="T13" s="7"/>
      <c r="U13" s="7"/>
    </row>
    <row r="14" spans="2:21" ht="12.75" customHeight="1">
      <c r="B14" s="2"/>
      <c r="D14" s="328"/>
      <c r="E14" s="328"/>
      <c r="F14" s="328"/>
      <c r="G14" s="328"/>
      <c r="O14" s="7"/>
      <c r="P14" s="7"/>
      <c r="Q14" s="7"/>
      <c r="R14" s="7"/>
      <c r="S14" s="7"/>
      <c r="T14" s="7"/>
      <c r="U14" s="7"/>
    </row>
    <row r="15" spans="2:21" ht="12.75" customHeight="1">
      <c r="B15" s="2" t="s">
        <v>475</v>
      </c>
      <c r="D15" s="195">
        <v>1</v>
      </c>
      <c r="E15" s="195">
        <v>1</v>
      </c>
      <c r="F15" s="195">
        <v>1</v>
      </c>
      <c r="G15" s="195">
        <v>1</v>
      </c>
      <c r="O15" s="7"/>
      <c r="P15" s="7"/>
      <c r="Q15" s="7"/>
      <c r="R15" s="7"/>
      <c r="S15" s="7"/>
      <c r="T15" s="7"/>
      <c r="U15" s="7"/>
    </row>
    <row r="16" spans="2:21" ht="12.75" customHeight="1">
      <c r="B16" s="2" t="s">
        <v>474</v>
      </c>
      <c r="D16" s="479">
        <f>D13*D15</f>
        <v>44050</v>
      </c>
      <c r="E16" s="479">
        <f>E13*E15</f>
        <v>22049.991999999998</v>
      </c>
      <c r="F16" s="479">
        <f>F13*F15</f>
        <v>22049.991999999998</v>
      </c>
      <c r="G16" s="479">
        <f>G13*G15</f>
        <v>22049.991999999998</v>
      </c>
      <c r="H16" s="385"/>
      <c r="O16" s="7"/>
      <c r="P16" s="7"/>
      <c r="Q16" s="7"/>
      <c r="R16" s="7"/>
      <c r="S16" s="7"/>
      <c r="T16" s="7"/>
      <c r="U16" s="7"/>
    </row>
    <row r="17" spans="1:21" ht="12.75" customHeight="1">
      <c r="B17" s="2" t="s">
        <v>322</v>
      </c>
      <c r="D17" s="1261">
        <v>1</v>
      </c>
      <c r="E17" s="1261">
        <v>1</v>
      </c>
      <c r="F17" s="1261">
        <v>1</v>
      </c>
      <c r="G17" s="1261">
        <v>1</v>
      </c>
      <c r="O17" s="7"/>
      <c r="P17" s="7"/>
      <c r="Q17" s="7"/>
      <c r="R17" s="7"/>
      <c r="S17" s="7"/>
      <c r="T17" s="7"/>
      <c r="U17" s="7"/>
    </row>
    <row r="18" spans="1:21" ht="12.75" customHeight="1">
      <c r="B18" s="2"/>
      <c r="D18" s="196"/>
      <c r="E18" s="196"/>
      <c r="F18" s="196"/>
      <c r="G18" s="196"/>
      <c r="J18" s="515" t="s">
        <v>1712</v>
      </c>
      <c r="O18" s="7"/>
      <c r="P18" s="7"/>
      <c r="Q18" s="7"/>
      <c r="R18" s="7"/>
      <c r="S18" s="7"/>
      <c r="T18" s="7"/>
      <c r="U18" s="7"/>
    </row>
    <row r="19" spans="1:21" ht="12.75" customHeight="1">
      <c r="B19" s="2" t="s">
        <v>311</v>
      </c>
      <c r="D19" s="197" t="s">
        <v>313</v>
      </c>
      <c r="E19" s="197" t="s">
        <v>313</v>
      </c>
      <c r="F19" s="197" t="s">
        <v>313</v>
      </c>
      <c r="G19" s="197" t="s">
        <v>313</v>
      </c>
    </row>
    <row r="20" spans="1:21" ht="12.75" customHeight="1">
      <c r="B20" s="2" t="s">
        <v>316</v>
      </c>
      <c r="D20" s="195" t="s">
        <v>13</v>
      </c>
      <c r="E20" s="195" t="s">
        <v>13</v>
      </c>
      <c r="F20" s="195" t="s">
        <v>13</v>
      </c>
      <c r="G20" s="195" t="s">
        <v>13</v>
      </c>
      <c r="I20" s="515" t="s">
        <v>579</v>
      </c>
    </row>
    <row r="21" spans="1:21" ht="12.75" customHeight="1">
      <c r="B21" s="2" t="s">
        <v>310</v>
      </c>
      <c r="D21" s="388">
        <f>$K$21/D12</f>
        <v>0.08</v>
      </c>
      <c r="E21" s="1262">
        <v>0.08</v>
      </c>
      <c r="F21" s="1262">
        <v>0.08</v>
      </c>
      <c r="G21" s="1262">
        <v>0.08</v>
      </c>
      <c r="I21" s="1250" t="s">
        <v>1713</v>
      </c>
      <c r="J21" s="1224"/>
      <c r="K21" s="1263">
        <v>0.08</v>
      </c>
      <c r="L21" s="1264"/>
    </row>
    <row r="22" spans="1:21">
      <c r="B22" s="2" t="s">
        <v>466</v>
      </c>
      <c r="D22" s="326" t="s">
        <v>469</v>
      </c>
      <c r="E22" s="326" t="s">
        <v>469</v>
      </c>
      <c r="F22" s="326" t="s">
        <v>469</v>
      </c>
      <c r="G22" s="326" t="s">
        <v>469</v>
      </c>
      <c r="O22" s="7"/>
      <c r="P22" s="7"/>
      <c r="Q22" s="7"/>
      <c r="R22" s="7"/>
      <c r="S22" s="7"/>
      <c r="T22" s="7"/>
      <c r="U22" s="7"/>
    </row>
    <row r="23" spans="1:21">
      <c r="B23" s="2" t="s">
        <v>467</v>
      </c>
      <c r="D23" s="326" t="s">
        <v>470</v>
      </c>
      <c r="E23" s="326" t="s">
        <v>470</v>
      </c>
      <c r="F23" s="326" t="s">
        <v>470</v>
      </c>
      <c r="G23" s="326" t="s">
        <v>470</v>
      </c>
      <c r="P23" s="7"/>
      <c r="Q23" s="7"/>
      <c r="R23" s="7"/>
      <c r="S23" s="7"/>
      <c r="T23" s="7"/>
      <c r="U23" s="7"/>
    </row>
    <row r="24" spans="1:21" ht="12.75" customHeight="1">
      <c r="B24" s="2"/>
      <c r="U24" s="7"/>
    </row>
    <row r="25" spans="1:21" ht="12.75" customHeight="1">
      <c r="B25" s="2" t="s">
        <v>309</v>
      </c>
      <c r="D25" s="197" t="s">
        <v>313</v>
      </c>
      <c r="E25" s="197" t="s">
        <v>313</v>
      </c>
      <c r="F25" s="197" t="s">
        <v>313</v>
      </c>
      <c r="G25" s="197" t="s">
        <v>313</v>
      </c>
    </row>
    <row r="26" spans="1:21" ht="12.75" customHeight="1">
      <c r="B26" s="2" t="s">
        <v>312</v>
      </c>
      <c r="D26" s="197" t="s">
        <v>314</v>
      </c>
      <c r="E26" s="197" t="s">
        <v>314</v>
      </c>
      <c r="F26" s="197" t="s">
        <v>314</v>
      </c>
      <c r="G26" s="197" t="s">
        <v>314</v>
      </c>
    </row>
    <row r="27" spans="1:21" ht="12.75" customHeight="1">
      <c r="B27" s="2"/>
    </row>
    <row r="28" spans="1:21" ht="12.75" customHeight="1">
      <c r="B28" s="8" t="s">
        <v>86</v>
      </c>
    </row>
    <row r="29" spans="1:21" ht="27" customHeight="1">
      <c r="A29" s="824" t="s">
        <v>210</v>
      </c>
      <c r="B29" s="3232" t="s">
        <v>1714</v>
      </c>
      <c r="C29" s="3232"/>
      <c r="D29" s="3232"/>
      <c r="E29" s="3232"/>
      <c r="F29" s="3232"/>
      <c r="G29" s="3232"/>
    </row>
    <row r="30" spans="1:21" ht="27" customHeight="1">
      <c r="A30" s="824" t="s">
        <v>209</v>
      </c>
      <c r="B30" s="3232" t="s">
        <v>2960</v>
      </c>
      <c r="C30" s="3232"/>
      <c r="D30" s="3232"/>
      <c r="E30" s="3232"/>
      <c r="F30" s="3232"/>
      <c r="G30" s="3232"/>
    </row>
    <row r="31" spans="1:21" ht="12.75" customHeight="1">
      <c r="A31" s="718" t="s">
        <v>246</v>
      </c>
      <c r="B31" s="405" t="s">
        <v>841</v>
      </c>
    </row>
    <row r="32" spans="1:21" ht="26.1" customHeight="1">
      <c r="A32" s="153"/>
      <c r="B32" s="3232"/>
      <c r="C32" s="3232"/>
      <c r="D32" s="3232"/>
      <c r="E32" s="3232"/>
      <c r="F32" s="3232"/>
      <c r="G32" s="3232"/>
    </row>
    <row r="33" ht="12.75" customHeight="1"/>
    <row r="34" ht="12.75" customHeight="1"/>
    <row r="35" ht="12.75" customHeight="1"/>
    <row r="36" ht="12.75" customHeight="1"/>
    <row r="37" ht="12.75" customHeight="1"/>
    <row r="38" ht="12.75" customHeight="1"/>
    <row r="51" spans="2:2">
      <c r="B51" s="8"/>
    </row>
    <row r="52" spans="2:2">
      <c r="B52" s="24"/>
    </row>
  </sheetData>
  <mergeCells count="3">
    <mergeCell ref="B29:G29"/>
    <mergeCell ref="B30:G30"/>
    <mergeCell ref="B32:G32"/>
  </mergeCells>
  <conditionalFormatting sqref="B4:E4">
    <cfRule type="cellIs" dxfId="556" priority="6" stopIfTrue="1" operator="equal">
      <formula>"input"</formula>
    </cfRule>
  </conditionalFormatting>
  <conditionalFormatting sqref="F4">
    <cfRule type="cellIs" dxfId="555" priority="4" stopIfTrue="1" operator="equal">
      <formula>"input"</formula>
    </cfRule>
  </conditionalFormatting>
  <conditionalFormatting sqref="F4">
    <cfRule type="cellIs" dxfId="554" priority="5" stopIfTrue="1" operator="equal">
      <formula>"input"</formula>
    </cfRule>
  </conditionalFormatting>
  <conditionalFormatting sqref="F4">
    <cfRule type="cellIs" dxfId="553" priority="3" stopIfTrue="1" operator="equal">
      <formula>"input"</formula>
    </cfRule>
  </conditionalFormatting>
  <conditionalFormatting sqref="G4">
    <cfRule type="cellIs" dxfId="552" priority="1" stopIfTrue="1" operator="equal">
      <formula>"input"</formula>
    </cfRule>
  </conditionalFormatting>
  <conditionalFormatting sqref="G4">
    <cfRule type="cellIs" dxfId="551" priority="2" stopIfTrue="1" operator="equal">
      <formula>"input"</formula>
    </cfRule>
  </conditionalFormatting>
  <pageMargins left="0.5" right="0.5" top="0.5" bottom="0.5" header="0.5" footer="0.5"/>
  <pageSetup fitToWidth="0" fitToHeight="0" orientation="landscape" r:id="rId1"/>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3" tint="-0.499984740745262"/>
    <pageSetUpPr fitToPage="1"/>
  </sheetPr>
  <dimension ref="B6:F30"/>
  <sheetViews>
    <sheetView showGridLines="0" view="pageBreakPreview" zoomScale="60" zoomScaleNormal="100" workbookViewId="0"/>
  </sheetViews>
  <sheetFormatPr defaultColWidth="9.33203125" defaultRowHeight="15"/>
  <cols>
    <col min="1" max="1" width="4.5" style="291" customWidth="1"/>
    <col min="2" max="2" width="3.83203125" style="291" customWidth="1"/>
    <col min="3" max="3" width="15.83203125" style="291" customWidth="1"/>
    <col min="4" max="4" width="105.5" style="292" customWidth="1"/>
    <col min="5" max="5" width="15.83203125" style="291" customWidth="1"/>
    <col min="6" max="6" width="3.83203125" style="291" customWidth="1"/>
    <col min="7" max="7" width="4.5" style="291" customWidth="1"/>
    <col min="8" max="8" width="9.33203125" style="291"/>
    <col min="9" max="9" width="16.33203125" style="291" bestFit="1" customWidth="1"/>
    <col min="10" max="10" width="19" style="291" bestFit="1" customWidth="1"/>
    <col min="11" max="16384" width="9.33203125" style="291"/>
  </cols>
  <sheetData>
    <row r="6" spans="2:6">
      <c r="B6" s="293"/>
      <c r="C6" s="282"/>
      <c r="D6" s="283"/>
      <c r="E6" s="282"/>
      <c r="F6" s="282"/>
    </row>
    <row r="7" spans="2:6" ht="15.75" thickBot="1">
      <c r="B7" s="293"/>
      <c r="C7" s="282"/>
      <c r="D7" s="283"/>
      <c r="E7" s="282"/>
      <c r="F7" s="282"/>
    </row>
    <row r="8" spans="2:6" ht="15.75" thickTop="1">
      <c r="B8" s="14"/>
      <c r="C8" s="294"/>
      <c r="D8" s="295"/>
      <c r="E8" s="294"/>
      <c r="F8" s="294"/>
    </row>
    <row r="9" spans="2:6" s="296" customFormat="1" ht="40.5">
      <c r="B9" s="297"/>
      <c r="C9" s="298"/>
      <c r="D9" s="299" t="s">
        <v>407</v>
      </c>
      <c r="E9" s="298"/>
      <c r="F9" s="298"/>
    </row>
    <row r="10" spans="2:6" ht="15.75" thickBot="1">
      <c r="B10" s="286"/>
      <c r="C10" s="301"/>
      <c r="D10" s="302"/>
      <c r="E10" s="301"/>
      <c r="F10" s="301"/>
    </row>
    <row r="11" spans="2:6" ht="15.75" thickTop="1"/>
    <row r="13" spans="2:6" ht="18.75">
      <c r="D13" s="287"/>
    </row>
    <row r="14" spans="2:6" ht="18.75">
      <c r="D14" s="288"/>
    </row>
    <row r="27" spans="4:4" ht="23.25">
      <c r="D27" s="867" t="s">
        <v>776</v>
      </c>
    </row>
    <row r="29" spans="4:4" ht="18.75">
      <c r="D29" s="289" t="s">
        <v>575</v>
      </c>
    </row>
    <row r="30" spans="4:4" ht="37.5">
      <c r="D30" s="290" t="s">
        <v>394</v>
      </c>
    </row>
  </sheetData>
  <pageMargins left="0.5" right="0.5" top="0.5" bottom="0.5" header="0.5" footer="0.5"/>
  <pageSetup scale="98"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J60"/>
  <sheetViews>
    <sheetView showGridLines="0" view="pageBreakPreview" zoomScaleNormal="100" zoomScaleSheetLayoutView="100" workbookViewId="0">
      <selection activeCell="D54" sqref="D54"/>
    </sheetView>
  </sheetViews>
  <sheetFormatPr defaultRowHeight="12.75" outlineLevelRow="1"/>
  <cols>
    <col min="1" max="1" width="4.5" style="405" customWidth="1"/>
    <col min="2" max="2" width="65.83203125" style="405" customWidth="1"/>
    <col min="3" max="3" width="2.83203125" style="405" customWidth="1"/>
    <col min="4" max="8" width="15.6640625" style="405" customWidth="1"/>
    <col min="9" max="9" width="2.83203125" style="405" customWidth="1"/>
    <col min="10" max="10" width="18" style="405" customWidth="1"/>
    <col min="11" max="11" width="4.5" style="405" customWidth="1"/>
    <col min="12" max="16384" width="9.33203125" style="405"/>
  </cols>
  <sheetData>
    <row r="1" spans="2:10" ht="10.7" customHeight="1" thickBot="1"/>
    <row r="2" spans="2:10" ht="16.5" customHeight="1" thickTop="1">
      <c r="B2" s="10" t="str">
        <f>'MASTER PubCo Inputs'!$C$5</f>
        <v>Kallyope, Inc.</v>
      </c>
      <c r="C2" s="10"/>
      <c r="D2" s="10"/>
      <c r="E2" s="10"/>
      <c r="F2" s="10"/>
      <c r="G2" s="10"/>
      <c r="H2" s="10"/>
      <c r="I2" s="10"/>
      <c r="J2" s="10"/>
    </row>
    <row r="3" spans="2:10" ht="15.75" customHeight="1">
      <c r="B3" s="11" t="str">
        <f>VLOOKUP(B4,Outline!$E$8:$G$69,COLUMNS(Outline!$E$8:$G$8),FALSE)</f>
        <v>Exhibit H.1</v>
      </c>
      <c r="C3" s="11"/>
      <c r="D3" s="11"/>
      <c r="E3" s="11"/>
      <c r="F3" s="11"/>
      <c r="G3" s="11"/>
      <c r="H3" s="11"/>
      <c r="I3" s="11"/>
      <c r="J3" s="11"/>
    </row>
    <row r="4" spans="2:10" ht="16.5" customHeight="1" thickBot="1">
      <c r="B4" s="12" t="s">
        <v>1615</v>
      </c>
      <c r="C4" s="12"/>
      <c r="D4" s="12"/>
      <c r="E4" s="12"/>
      <c r="F4" s="12"/>
      <c r="G4" s="12"/>
      <c r="H4" s="12"/>
      <c r="I4" s="12"/>
      <c r="J4" s="13"/>
    </row>
    <row r="5" spans="2:10" ht="12.75" customHeight="1" thickTop="1">
      <c r="B5" s="907"/>
    </row>
    <row r="6" spans="2:10">
      <c r="B6" s="1015" t="s">
        <v>2090</v>
      </c>
      <c r="C6" s="1670"/>
      <c r="D6" s="1671" t="s">
        <v>2091</v>
      </c>
      <c r="E6" s="1671" t="s">
        <v>2092</v>
      </c>
      <c r="F6" s="1671" t="s">
        <v>2093</v>
      </c>
      <c r="G6" s="1671" t="s">
        <v>2094</v>
      </c>
      <c r="H6" s="1672" t="s">
        <v>2095</v>
      </c>
      <c r="J6" s="1673" t="s">
        <v>70</v>
      </c>
    </row>
    <row r="7" spans="2:10" ht="12.75" customHeight="1">
      <c r="H7" s="16"/>
      <c r="J7" s="961"/>
    </row>
    <row r="8" spans="2:10" ht="12.75" customHeight="1">
      <c r="B8" s="405" t="s">
        <v>1354</v>
      </c>
      <c r="D8" s="962">
        <f>PWERM!D13</f>
        <v>3.0027397260273974</v>
      </c>
      <c r="E8" s="962">
        <f>PWERM!E13</f>
        <v>6.0054794520547947</v>
      </c>
      <c r="F8" s="962">
        <f>PWERM!G13</f>
        <v>2.0027397260273974</v>
      </c>
      <c r="G8" s="962">
        <f>PWERM!H13</f>
        <v>3.0027397260273974</v>
      </c>
      <c r="H8" s="962">
        <f>PWERM!J13</f>
        <v>6.0054794520547947</v>
      </c>
      <c r="J8" s="314" t="str">
        <f>PWERM!B3</f>
        <v>Exhibit B.1</v>
      </c>
    </row>
    <row r="9" spans="2:10" ht="12.75" customHeight="1">
      <c r="B9" s="405" t="s">
        <v>1355</v>
      </c>
      <c r="D9" s="962"/>
      <c r="E9" s="962"/>
      <c r="F9" s="962">
        <f>PWERM!F27</f>
        <v>1</v>
      </c>
      <c r="G9" s="962">
        <f>PWERM!H27</f>
        <v>1</v>
      </c>
      <c r="H9" s="962">
        <f>PWERM!J27</f>
        <v>1</v>
      </c>
      <c r="J9" s="314" t="str">
        <f>J8</f>
        <v>Exhibit B.1</v>
      </c>
    </row>
    <row r="10" spans="2:10" ht="12.75" customHeight="1">
      <c r="B10" s="1064" t="s">
        <v>1356</v>
      </c>
      <c r="C10" s="1065"/>
      <c r="D10" s="1658">
        <f>SUM(D8:D9)</f>
        <v>3.0027397260273974</v>
      </c>
      <c r="E10" s="1658">
        <f>SUM(E8:E9)</f>
        <v>6.0054794520547947</v>
      </c>
      <c r="F10" s="1658">
        <f>SUM(F8:F9)</f>
        <v>3.0027397260273974</v>
      </c>
      <c r="G10" s="1658">
        <f>SUM(G8:G9)</f>
        <v>4.0027397260273974</v>
      </c>
      <c r="H10" s="1658">
        <f>SUM(H8:H9)</f>
        <v>7.0054794520547947</v>
      </c>
      <c r="J10" s="314"/>
    </row>
    <row r="11" spans="2:10" ht="12.75" customHeight="1">
      <c r="H11" s="16"/>
    </row>
    <row r="12" spans="2:10">
      <c r="B12" s="1015" t="s">
        <v>410</v>
      </c>
      <c r="C12" s="1670"/>
      <c r="D12" s="1671" t="str">
        <f>D6</f>
        <v>IPO Phase I</v>
      </c>
      <c r="E12" s="1671" t="str">
        <f>E6</f>
        <v>IPO Phase II</v>
      </c>
      <c r="F12" s="1671" t="str">
        <f>F6</f>
        <v>M&amp;A - IND</v>
      </c>
      <c r="G12" s="1671" t="str">
        <f>G6</f>
        <v>M&amp;A Phase I</v>
      </c>
      <c r="H12" s="1672" t="str">
        <f>H6</f>
        <v>M&amp;A Phase II</v>
      </c>
    </row>
    <row r="13" spans="2:10" ht="12.75" customHeight="1">
      <c r="H13" s="16"/>
    </row>
    <row r="14" spans="2:10" ht="12.75" customHeight="1">
      <c r="B14" s="1151" t="s">
        <v>71</v>
      </c>
      <c r="C14" s="1065"/>
      <c r="D14" s="1674">
        <f>D10</f>
        <v>3.0027397260273974</v>
      </c>
      <c r="E14" s="1674">
        <f>E10</f>
        <v>6.0054794520547947</v>
      </c>
      <c r="F14" s="1674">
        <f>F10</f>
        <v>3.0027397260273974</v>
      </c>
      <c r="G14" s="1674">
        <f>G10</f>
        <v>4.0027397260273974</v>
      </c>
      <c r="H14" s="1675">
        <f>H10</f>
        <v>7.0054794520547947</v>
      </c>
      <c r="J14" s="966"/>
    </row>
    <row r="15" spans="2:10" ht="12.75" customHeight="1">
      <c r="B15" s="362" t="s">
        <v>72</v>
      </c>
      <c r="C15" s="16"/>
      <c r="D15" s="967">
        <f>'Risk-Free Rates'!E35</f>
        <v>2.63013698630137E-2</v>
      </c>
      <c r="E15" s="967">
        <f>'Risk-Free Rates'!E43</f>
        <v>2.7702191780821919E-2</v>
      </c>
      <c r="F15" s="967">
        <f>'Risk-Free Rates'!E51</f>
        <v>2.63013698630137E-2</v>
      </c>
      <c r="G15" s="967">
        <f>'Risk-Free Rates'!E59</f>
        <v>2.6801369863013701E-2</v>
      </c>
      <c r="H15" s="968">
        <f>'Risk-Free Rates'!E67</f>
        <v>2.8100730593607307E-2</v>
      </c>
      <c r="J15" s="944" t="str">
        <f>'Risk-Free Rates'!B3</f>
        <v>Exhibit H.8</v>
      </c>
    </row>
    <row r="16" spans="2:10" ht="12.75" customHeight="1">
      <c r="B16" s="362" t="s">
        <v>73</v>
      </c>
      <c r="C16" s="16"/>
      <c r="D16" s="942">
        <v>0</v>
      </c>
      <c r="E16" s="942">
        <v>0</v>
      </c>
      <c r="F16" s="942">
        <v>0</v>
      </c>
      <c r="G16" s="942">
        <v>0</v>
      </c>
      <c r="H16" s="202">
        <v>0</v>
      </c>
      <c r="J16" s="21"/>
    </row>
    <row r="17" spans="2:10" ht="12.75" customHeight="1">
      <c r="B17" s="932" t="s">
        <v>74</v>
      </c>
      <c r="C17" s="203"/>
      <c r="D17" s="965">
        <f>'Asset Vol_IPO Phase I'!Q49</f>
        <v>0.91043370816821678</v>
      </c>
      <c r="E17" s="965">
        <f>'Asset Vol_IPO Phase II'!Q49</f>
        <v>0.86150000000000004</v>
      </c>
      <c r="F17" s="965">
        <f>'Asset Vol_M&amp;A IND'!Q49</f>
        <v>0.91043370816821678</v>
      </c>
      <c r="G17" s="965">
        <f>'Asset Vol_M&amp;A Phase I'!Q49</f>
        <v>0.879</v>
      </c>
      <c r="H17" s="964">
        <f>'Asset Vol_M&amp;A Phase II'!Q49</f>
        <v>0.89021100922252572</v>
      </c>
      <c r="J17" s="966" t="s">
        <v>210</v>
      </c>
    </row>
    <row r="18" spans="2:10" ht="12.75" customHeight="1">
      <c r="B18" s="362"/>
      <c r="C18" s="16"/>
      <c r="D18" s="16"/>
      <c r="E18" s="16"/>
      <c r="F18" s="16"/>
      <c r="G18" s="16"/>
      <c r="H18" s="204"/>
    </row>
    <row r="19" spans="2:10" ht="12.75" customHeight="1">
      <c r="B19" s="362" t="s">
        <v>75</v>
      </c>
      <c r="C19" s="16"/>
      <c r="D19" s="940">
        <f>D17^2*D14</f>
        <v>2.4889395411450606</v>
      </c>
      <c r="E19" s="940">
        <f>E17^2*E14</f>
        <v>4.4571602520547948</v>
      </c>
      <c r="F19" s="940">
        <f>F17^2*F14</f>
        <v>2.4889395411450606</v>
      </c>
      <c r="G19" s="940">
        <f>G17^2*G14</f>
        <v>3.0926808246575344</v>
      </c>
      <c r="H19" s="205">
        <f>H17^2*H14</f>
        <v>5.5516718188660432</v>
      </c>
    </row>
    <row r="20" spans="2:10" ht="12.75" customHeight="1">
      <c r="B20" s="362" t="s">
        <v>76</v>
      </c>
      <c r="C20" s="16"/>
      <c r="D20" s="940">
        <f>(D17^2*D14+LN(2*(EXP(D19)-D17^2*D14-1))-2*LN(EXP(D19)-1))^0.5</f>
        <v>0.72425596650592416</v>
      </c>
      <c r="E20" s="940">
        <f>(E17^2*E14+LN(2*(EXP(E19)-E17^2*E14-1))-2*LN(EXP(E19)-1))^0.5</f>
        <v>0.80691101714726687</v>
      </c>
      <c r="F20" s="940">
        <f>(F17^2*F14+LN(2*(EXP(F19)-F17^2*F14-1))-2*LN(EXP(F19)-1))^0.5</f>
        <v>0.72425596650592416</v>
      </c>
      <c r="G20" s="940">
        <f>(G17^2*G14+LN(2*(EXP(G19)-G17^2*G14-1))-2*LN(EXP(G19)-1))^0.5</f>
        <v>0.76195304876327052</v>
      </c>
      <c r="H20" s="205">
        <f>(H17^2*H14+LN(2*(EXP(H19)-H17^2*H14-1))-2*LN(EXP(H19)-1))^0.5</f>
        <v>0.82168641324263236</v>
      </c>
    </row>
    <row r="21" spans="2:10" ht="12.75" customHeight="1">
      <c r="B21" s="362" t="s">
        <v>77</v>
      </c>
      <c r="C21" s="16"/>
      <c r="D21" s="940">
        <f>((D15-D16)*D14)/D20+0.5*D20</f>
        <v>0.47117253626868794</v>
      </c>
      <c r="E21" s="940">
        <f>((E15-E16)*E14)/E20+0.5*E20</f>
        <v>0.60963058857783237</v>
      </c>
      <c r="F21" s="940">
        <f>((F15-F16)*F14)/F20+0.5*F20</f>
        <v>0.47117253626868794</v>
      </c>
      <c r="G21" s="940">
        <f>((G15-G16)*G14)/G20+0.5*G20</f>
        <v>0.52177116787937217</v>
      </c>
      <c r="H21" s="205">
        <f>((H15-H16)*H14)/H20+0.5*H20</f>
        <v>0.65042254928608756</v>
      </c>
    </row>
    <row r="22" spans="2:10" ht="12.75" customHeight="1">
      <c r="B22" s="362" t="s">
        <v>78</v>
      </c>
      <c r="C22" s="16"/>
      <c r="D22" s="940">
        <f>((D15-D16)*D14)/D20-0.5*D20</f>
        <v>-0.25308343023723623</v>
      </c>
      <c r="E22" s="940">
        <f>((E15-E16)*E14)/E20-0.5*E20</f>
        <v>-0.19728042856943456</v>
      </c>
      <c r="F22" s="940">
        <f>((F15-F16)*F14)/F20-0.5*F20</f>
        <v>-0.25308343023723623</v>
      </c>
      <c r="G22" s="940">
        <f>((G15-G16)*G14)/G20-0.5*G20</f>
        <v>-0.24018188088389839</v>
      </c>
      <c r="H22" s="205">
        <f>((H15-H16)*H14)/H20-0.5*H20</f>
        <v>-0.17126386395654483</v>
      </c>
    </row>
    <row r="23" spans="2:10" ht="12.75" customHeight="1">
      <c r="B23" s="362"/>
      <c r="C23" s="16"/>
      <c r="D23" s="943"/>
      <c r="E23" s="943"/>
      <c r="F23" s="943"/>
      <c r="G23" s="943"/>
      <c r="H23" s="206"/>
    </row>
    <row r="24" spans="2:10" ht="12.75" customHeight="1">
      <c r="B24" s="933" t="s">
        <v>79</v>
      </c>
      <c r="C24" s="934"/>
      <c r="D24" s="941">
        <f>EXP((D15-D16)*D14)*NORMSDIST(D21)-NORMSDIST(D22)</f>
        <v>0.33712276819483755</v>
      </c>
      <c r="E24" s="941">
        <f>EXP((E15-E16)*E14)*NORMSDIST(E21)-NORMSDIST(E22)</f>
        <v>0.43908497108938149</v>
      </c>
      <c r="F24" s="941">
        <f>EXP((F15-F16)*F14)*NORMSDIST(F21)-NORMSDIST(F22)</f>
        <v>0.33712276819483755</v>
      </c>
      <c r="G24" s="941">
        <f>EXP((G15-G16)*G14)*NORMSDIST(G21)-NORMSDIST(G22)</f>
        <v>0.37315822962890799</v>
      </c>
      <c r="H24" s="935">
        <f>EXP((H15-H16)*H14)*NORMSDIST(H21)-NORMSDIST(H22)</f>
        <v>0.47178413251770179</v>
      </c>
    </row>
    <row r="25" spans="2:10" ht="12.75" customHeight="1">
      <c r="H25" s="16"/>
    </row>
    <row r="26" spans="2:10" hidden="1" outlineLevel="1">
      <c r="B26" s="1015" t="s">
        <v>80</v>
      </c>
      <c r="C26" s="1670"/>
      <c r="D26" s="1671" t="str">
        <f>D12</f>
        <v>IPO Phase I</v>
      </c>
      <c r="E26" s="1671" t="str">
        <f>E12</f>
        <v>IPO Phase II</v>
      </c>
      <c r="F26" s="1671" t="str">
        <f>F12</f>
        <v>M&amp;A - IND</v>
      </c>
      <c r="G26" s="1671" t="str">
        <f>G12</f>
        <v>M&amp;A Phase I</v>
      </c>
      <c r="H26" s="1672" t="str">
        <f>H12</f>
        <v>M&amp;A Phase II</v>
      </c>
    </row>
    <row r="27" spans="2:10" ht="12.75" hidden="1" customHeight="1" outlineLevel="1">
      <c r="H27" s="16"/>
    </row>
    <row r="28" spans="2:10" ht="12.75" hidden="1" customHeight="1" outlineLevel="1">
      <c r="B28" s="1151" t="s">
        <v>81</v>
      </c>
      <c r="C28" s="1065"/>
      <c r="D28" s="1676">
        <v>1</v>
      </c>
      <c r="E28" s="1676">
        <v>1</v>
      </c>
      <c r="F28" s="1676">
        <v>1</v>
      </c>
      <c r="G28" s="1676">
        <v>1</v>
      </c>
      <c r="H28" s="1677">
        <v>1</v>
      </c>
    </row>
    <row r="29" spans="2:10" ht="12.75" hidden="1" customHeight="1" outlineLevel="1">
      <c r="B29" s="932" t="s">
        <v>82</v>
      </c>
      <c r="C29" s="16"/>
      <c r="D29" s="883">
        <v>1</v>
      </c>
      <c r="E29" s="883">
        <v>1</v>
      </c>
      <c r="F29" s="883">
        <v>1</v>
      </c>
      <c r="G29" s="883">
        <v>1</v>
      </c>
      <c r="H29" s="207">
        <v>1</v>
      </c>
    </row>
    <row r="30" spans="2:10" ht="12.75" hidden="1" customHeight="1" outlineLevel="1">
      <c r="B30" s="932" t="s">
        <v>83</v>
      </c>
      <c r="C30" s="16"/>
      <c r="D30" s="48">
        <f t="shared" ref="D30:H31" si="0">D14</f>
        <v>3.0027397260273974</v>
      </c>
      <c r="E30" s="48">
        <f>E14</f>
        <v>6.0054794520547947</v>
      </c>
      <c r="F30" s="48">
        <f>F14</f>
        <v>3.0027397260273974</v>
      </c>
      <c r="G30" s="48">
        <f t="shared" si="0"/>
        <v>4.0027397260273974</v>
      </c>
      <c r="H30" s="47">
        <f t="shared" si="0"/>
        <v>7.0054794520547947</v>
      </c>
      <c r="J30" s="23"/>
    </row>
    <row r="31" spans="2:10" ht="12.75" hidden="1" customHeight="1" outlineLevel="1">
      <c r="B31" s="362" t="s">
        <v>72</v>
      </c>
      <c r="C31" s="16"/>
      <c r="D31" s="939">
        <f t="shared" si="0"/>
        <v>2.63013698630137E-2</v>
      </c>
      <c r="E31" s="939">
        <f>E15</f>
        <v>2.7702191780821919E-2</v>
      </c>
      <c r="F31" s="939">
        <f>F15</f>
        <v>2.63013698630137E-2</v>
      </c>
      <c r="G31" s="939">
        <f t="shared" si="0"/>
        <v>2.6801369863013701E-2</v>
      </c>
      <c r="H31" s="208">
        <f t="shared" si="0"/>
        <v>2.8100730593607307E-2</v>
      </c>
      <c r="J31" s="23" t="str">
        <f>+J15</f>
        <v>Exhibit H.8</v>
      </c>
    </row>
    <row r="32" spans="2:10" ht="12.75" hidden="1" customHeight="1" outlineLevel="1">
      <c r="B32" s="362" t="s">
        <v>74</v>
      </c>
      <c r="C32" s="16"/>
      <c r="D32" s="904">
        <f>D17</f>
        <v>0.91043370816821678</v>
      </c>
      <c r="E32" s="904">
        <f>E17</f>
        <v>0.86150000000000004</v>
      </c>
      <c r="F32" s="904">
        <f>F17</f>
        <v>0.91043370816821678</v>
      </c>
      <c r="G32" s="904">
        <f>G17</f>
        <v>0.879</v>
      </c>
      <c r="H32" s="421">
        <f>H17</f>
        <v>0.89021100922252572</v>
      </c>
      <c r="J32" s="23" t="str">
        <f>+J17</f>
        <v>(1)</v>
      </c>
    </row>
    <row r="33" spans="2:10" ht="12.75" hidden="1" customHeight="1" outlineLevel="1">
      <c r="B33" s="362"/>
      <c r="C33" s="16"/>
      <c r="D33" s="16"/>
      <c r="E33" s="16"/>
      <c r="F33" s="16"/>
      <c r="G33" s="16"/>
      <c r="H33" s="204"/>
    </row>
    <row r="34" spans="2:10" ht="12.75" hidden="1" customHeight="1" outlineLevel="1">
      <c r="B34" s="362" t="s">
        <v>84</v>
      </c>
      <c r="C34" s="16"/>
      <c r="D34" s="940">
        <f>(LN(D28/D29)+(D31+D32^2/2)*D30)/(D32*SQRT(D30))</f>
        <v>0.83887843839025389</v>
      </c>
      <c r="E34" s="940">
        <f>(LN(E28/E29)+(E31+E32^2/2)*E30)/(E32*SQRT(E30))</f>
        <v>1.1344005605109722</v>
      </c>
      <c r="F34" s="940">
        <f>(LN(F28/F29)+(F31+F32^2/2)*F30)/(F32*SQRT(F30))</f>
        <v>0.83887843839025389</v>
      </c>
      <c r="G34" s="940">
        <f>(LN(G28/G29)+(G31+G32^2/2)*G30)/(G32*SQRT(G30))</f>
        <v>0.94030335776492013</v>
      </c>
      <c r="H34" s="205">
        <f>(LN(H28/H29)+(H31+H32^2/2)*H30)/(H32*SQRT(H30))</f>
        <v>1.2616487449571456</v>
      </c>
    </row>
    <row r="35" spans="2:10" ht="12.75" hidden="1" customHeight="1" outlineLevel="1">
      <c r="B35" s="362" t="s">
        <v>85</v>
      </c>
      <c r="C35" s="16"/>
      <c r="D35" s="940">
        <f>D34-D32*SQRT(D30)</f>
        <v>-0.73875889038498155</v>
      </c>
      <c r="E35" s="940">
        <f>E34-E32*SQRT(E30)</f>
        <v>-0.97679821081653939</v>
      </c>
      <c r="F35" s="940">
        <f>F34-F32*SQRT(F30)</f>
        <v>-0.73875889038498155</v>
      </c>
      <c r="G35" s="940">
        <f>G34-G32*SQRT(G30)</f>
        <v>-0.81829859397331617</v>
      </c>
      <c r="H35" s="205">
        <f>H34-H32*SQRT(H30)</f>
        <v>-1.0945498499974573</v>
      </c>
    </row>
    <row r="36" spans="2:10" ht="12.75" hidden="1" customHeight="1" outlineLevel="1">
      <c r="B36" s="362"/>
      <c r="C36" s="16"/>
      <c r="D36" s="16"/>
      <c r="E36" s="16"/>
      <c r="F36" s="16"/>
      <c r="G36" s="16"/>
      <c r="H36" s="204"/>
    </row>
    <row r="37" spans="2:10" ht="12.75" hidden="1" customHeight="1" outlineLevel="1">
      <c r="B37" s="933" t="s">
        <v>79</v>
      </c>
      <c r="C37" s="5"/>
      <c r="D37" s="941">
        <f>D29*EXP(-D31*D30)*NORMSDIST(-D35)-D28*NORMSDIST(-D34)</f>
        <v>0.51073425331406419</v>
      </c>
      <c r="E37" s="941">
        <f>E29*EXP(-E31*E30)*NORMSDIST(-E35)-E28*NORMSDIST(-E34)</f>
        <v>0.57927572937019556</v>
      </c>
      <c r="F37" s="941">
        <f>F29*EXP(-F31*F30)*NORMSDIST(-F35)-F28*NORMSDIST(-F34)</f>
        <v>0.51073425331406419</v>
      </c>
      <c r="G37" s="941">
        <f>G29*EXP(-G31*G30)*NORMSDIST(-G35)-G28*NORMSDIST(-G34)</f>
        <v>0.53916644669132152</v>
      </c>
      <c r="H37" s="935">
        <f>H29*EXP(-H31*H30)*NORMSDIST(-H35)-H28*NORMSDIST(-H34)</f>
        <v>0.60536726956406661</v>
      </c>
    </row>
    <row r="38" spans="2:10" ht="12.75" hidden="1" customHeight="1" outlineLevel="1">
      <c r="H38" s="16"/>
    </row>
    <row r="39" spans="2:10" collapsed="1">
      <c r="B39" s="1015" t="s">
        <v>406</v>
      </c>
      <c r="C39" s="1670"/>
      <c r="D39" s="1671" t="str">
        <f>D12</f>
        <v>IPO Phase I</v>
      </c>
      <c r="E39" s="1671" t="str">
        <f>E12</f>
        <v>IPO Phase II</v>
      </c>
      <c r="F39" s="1671" t="str">
        <f>F12</f>
        <v>M&amp;A - IND</v>
      </c>
      <c r="G39" s="1671" t="str">
        <f>G12</f>
        <v>M&amp;A Phase I</v>
      </c>
      <c r="H39" s="1672" t="str">
        <f>H12</f>
        <v>M&amp;A Phase II</v>
      </c>
    </row>
    <row r="40" spans="2:10" ht="12.75" customHeight="1">
      <c r="H40" s="16"/>
    </row>
    <row r="41" spans="2:10" ht="12.75" customHeight="1">
      <c r="B41" s="1151" t="s">
        <v>83</v>
      </c>
      <c r="C41" s="1065"/>
      <c r="D41" s="1678">
        <f>+D30</f>
        <v>3.0027397260273974</v>
      </c>
      <c r="E41" s="1678">
        <f>+E30</f>
        <v>6.0054794520547947</v>
      </c>
      <c r="F41" s="1678">
        <f>+F30</f>
        <v>3.0027397260273974</v>
      </c>
      <c r="G41" s="1678">
        <f>+G30</f>
        <v>4.0027397260273974</v>
      </c>
      <c r="H41" s="1679">
        <f>+H30</f>
        <v>7.0054794520547947</v>
      </c>
      <c r="J41" s="23"/>
    </row>
    <row r="42" spans="2:10" ht="12.75" customHeight="1">
      <c r="B42" s="362" t="s">
        <v>81</v>
      </c>
      <c r="C42" s="16"/>
      <c r="D42" s="883">
        <f t="shared" ref="D42:H43" si="1">+D28</f>
        <v>1</v>
      </c>
      <c r="E42" s="883">
        <f>+E28</f>
        <v>1</v>
      </c>
      <c r="F42" s="883">
        <f>+F28</f>
        <v>1</v>
      </c>
      <c r="G42" s="883">
        <f t="shared" si="1"/>
        <v>1</v>
      </c>
      <c r="H42" s="207">
        <f t="shared" si="1"/>
        <v>1</v>
      </c>
    </row>
    <row r="43" spans="2:10" ht="12.75" customHeight="1">
      <c r="B43" s="362" t="s">
        <v>82</v>
      </c>
      <c r="C43" s="16"/>
      <c r="D43" s="883">
        <f t="shared" si="1"/>
        <v>1</v>
      </c>
      <c r="E43" s="883">
        <f>+E29</f>
        <v>1</v>
      </c>
      <c r="F43" s="883">
        <f>+F29</f>
        <v>1</v>
      </c>
      <c r="G43" s="883">
        <f t="shared" si="1"/>
        <v>1</v>
      </c>
      <c r="H43" s="207">
        <f t="shared" si="1"/>
        <v>1</v>
      </c>
    </row>
    <row r="44" spans="2:10" ht="12.75" customHeight="1">
      <c r="B44" s="362" t="s">
        <v>73</v>
      </c>
      <c r="C44" s="16"/>
      <c r="D44" s="939">
        <f t="shared" ref="D44:H45" si="2">+D16</f>
        <v>0</v>
      </c>
      <c r="E44" s="939">
        <f>+E16</f>
        <v>0</v>
      </c>
      <c r="F44" s="939">
        <f>+F16</f>
        <v>0</v>
      </c>
      <c r="G44" s="939">
        <f t="shared" si="2"/>
        <v>0</v>
      </c>
      <c r="H44" s="208">
        <f t="shared" si="2"/>
        <v>0</v>
      </c>
    </row>
    <row r="45" spans="2:10" ht="12.75" customHeight="1">
      <c r="B45" s="362" t="s">
        <v>74</v>
      </c>
      <c r="C45" s="16"/>
      <c r="D45" s="904">
        <f t="shared" si="2"/>
        <v>0.91043370816821678</v>
      </c>
      <c r="E45" s="904">
        <f>+E17</f>
        <v>0.86150000000000004</v>
      </c>
      <c r="F45" s="904">
        <f>+F17</f>
        <v>0.91043370816821678</v>
      </c>
      <c r="G45" s="904">
        <f t="shared" si="2"/>
        <v>0.879</v>
      </c>
      <c r="H45" s="421">
        <f t="shared" si="2"/>
        <v>0.89021100922252572</v>
      </c>
      <c r="J45" s="23"/>
    </row>
    <row r="46" spans="2:10" ht="12.75" customHeight="1">
      <c r="B46" s="362"/>
      <c r="C46" s="16"/>
      <c r="D46" s="16"/>
      <c r="E46" s="16"/>
      <c r="F46" s="16"/>
      <c r="G46" s="16"/>
      <c r="H46" s="204"/>
    </row>
    <row r="47" spans="2:10" ht="12.75" customHeight="1">
      <c r="B47" s="362" t="s">
        <v>408</v>
      </c>
      <c r="C47" s="16"/>
      <c r="D47" s="940">
        <f>LN(2*(EXP((D45^2)*D41)-((D45^2)*D41)-1))-2*(LN((D45^2)*D41))</f>
        <v>1.0164816693973233</v>
      </c>
      <c r="E47" s="940">
        <f>LN(2*(EXP((E45^2)*E41)-((E45^2)*E41)-1))-2*(LN((E45^2)*E41))</f>
        <v>2.095915958307466</v>
      </c>
      <c r="F47" s="940">
        <f>LN(2*(EXP((F45^2)*F41)-((F45^2)*F41)-1))-2*(LN((F45^2)*F41))</f>
        <v>1.0164816693973233</v>
      </c>
      <c r="G47" s="940">
        <f>LN(2*(EXP((G45^2)*G41)-((G45^2)*G41)-1))-2*(LN((G45^2)*G41))</f>
        <v>1.3222925522920144</v>
      </c>
      <c r="H47" s="205">
        <f>LN(2*(EXP((H45^2)*H41)-((H45^2)*H41)-1))-2*(LN((H45^2)*H41))</f>
        <v>2.7908651304692205</v>
      </c>
    </row>
    <row r="48" spans="2:10" ht="12.75" customHeight="1">
      <c r="B48" s="362" t="s">
        <v>409</v>
      </c>
      <c r="C48" s="16"/>
      <c r="D48" s="940">
        <f>SQRT(D47)</f>
        <v>1.0082071559939074</v>
      </c>
      <c r="E48" s="940">
        <f>SQRT(E47)</f>
        <v>1.4477278605827359</v>
      </c>
      <c r="F48" s="940">
        <f>SQRT(F47)</f>
        <v>1.0082071559939074</v>
      </c>
      <c r="G48" s="940">
        <f>SQRT(G47)</f>
        <v>1.149909801807087</v>
      </c>
      <c r="H48" s="205">
        <f>SQRT(H47)</f>
        <v>1.6705882588086212</v>
      </c>
    </row>
    <row r="49" spans="1:8" ht="12.75" customHeight="1">
      <c r="B49" s="362"/>
      <c r="C49" s="16"/>
      <c r="D49" s="16"/>
      <c r="E49" s="16"/>
      <c r="F49" s="16"/>
      <c r="G49" s="16"/>
      <c r="H49" s="204"/>
    </row>
    <row r="50" spans="1:8" ht="12.75" customHeight="1">
      <c r="B50" s="933" t="s">
        <v>79</v>
      </c>
      <c r="C50" s="5"/>
      <c r="D50" s="941">
        <f>EXP(-D44*D41)*D43*(2*NORMSDIST(D48/2)-1)</f>
        <v>0.3858114072581591</v>
      </c>
      <c r="E50" s="941">
        <f>EXP(-E44*E41)*E43*(2*NORMSDIST(E48/2)-1)</f>
        <v>0.53085072395342325</v>
      </c>
      <c r="F50" s="941">
        <f>EXP(-F44*F41)*F43*(2*NORMSDIST(F48/2)-1)</f>
        <v>0.3858114072581591</v>
      </c>
      <c r="G50" s="941">
        <f>EXP(-G44*G41)*G43*(2*NORMSDIST(G48/2)-1)</f>
        <v>0.4346782016440025</v>
      </c>
      <c r="H50" s="935">
        <f>EXP(-H44*H41)*H43*(2*NORMSDIST(H48/2)-1)</f>
        <v>0.59644787802510879</v>
      </c>
    </row>
    <row r="51" spans="1:8" ht="12.75" customHeight="1">
      <c r="H51" s="16"/>
    </row>
    <row r="52" spans="1:8" s="78" customFormat="1" ht="12.75" customHeight="1">
      <c r="B52" s="1233" t="s">
        <v>411</v>
      </c>
      <c r="C52" s="1234"/>
      <c r="D52" s="1680">
        <f>(AVERAGE(D50,D24))</f>
        <v>0.36146708772649833</v>
      </c>
      <c r="E52" s="1680">
        <f t="shared" ref="E52:H52" si="3">(AVERAGE(E50,E24))</f>
        <v>0.48496784752140237</v>
      </c>
      <c r="F52" s="1680">
        <f t="shared" si="3"/>
        <v>0.36146708772649833</v>
      </c>
      <c r="G52" s="1680">
        <f t="shared" si="3"/>
        <v>0.40391821563645525</v>
      </c>
      <c r="H52" s="1681">
        <f t="shared" si="3"/>
        <v>0.53411600527140535</v>
      </c>
    </row>
    <row r="53" spans="1:8" s="78" customFormat="1" ht="12.75" customHeight="1">
      <c r="B53" s="312"/>
      <c r="C53" s="312"/>
      <c r="D53" s="1682"/>
      <c r="E53" s="1682"/>
      <c r="F53" s="1682"/>
      <c r="G53" s="1682"/>
      <c r="H53" s="1682"/>
    </row>
    <row r="54" spans="1:8" s="78" customFormat="1" ht="12.75" customHeight="1">
      <c r="B54" s="1233" t="s">
        <v>2096</v>
      </c>
      <c r="C54" s="1234"/>
      <c r="D54" s="1683">
        <f>MROUND(D52,1%)</f>
        <v>0.36</v>
      </c>
      <c r="E54" s="1683">
        <f t="shared" ref="E54:H54" si="4">MROUND(E52,1%)</f>
        <v>0.48</v>
      </c>
      <c r="F54" s="1683">
        <f t="shared" si="4"/>
        <v>0.36</v>
      </c>
      <c r="G54" s="1683">
        <f t="shared" si="4"/>
        <v>0.4</v>
      </c>
      <c r="H54" s="1684">
        <f t="shared" si="4"/>
        <v>0.53</v>
      </c>
    </row>
    <row r="55" spans="1:8" s="78" customFormat="1" ht="12.75" customHeight="1">
      <c r="D55" s="1685"/>
      <c r="E55" s="1685"/>
      <c r="F55" s="1685"/>
    </row>
    <row r="56" spans="1:8" ht="12.75" customHeight="1">
      <c r="B56" s="8" t="s">
        <v>86</v>
      </c>
    </row>
    <row r="57" spans="1:8" ht="12.75" customHeight="1">
      <c r="A57" s="1686" t="str">
        <f>J17</f>
        <v>(1)</v>
      </c>
      <c r="B57" s="1072" t="str">
        <f>"Refer to "&amp;'Asset Vol_IPO Phase I'!B3&amp;" through "&amp;'Asset Vol_M&amp;A Phase II'!B3&amp;"."</f>
        <v>Refer to Exhibit H.2 through Exhibit H.6.</v>
      </c>
    </row>
    <row r="58" spans="1:8" ht="12.75" customHeight="1"/>
    <row r="59" spans="1:8" ht="12.75" customHeight="1"/>
    <row r="60" spans="1:8" ht="12.75" customHeight="1">
      <c r="B60" s="1233" t="s">
        <v>2097</v>
      </c>
      <c r="C60" s="1234"/>
      <c r="D60" s="1683">
        <v>0.4</v>
      </c>
      <c r="E60" s="1683">
        <v>0.5</v>
      </c>
      <c r="F60" s="1683">
        <v>0.4</v>
      </c>
      <c r="G60" s="1683">
        <v>0.4</v>
      </c>
      <c r="H60" s="1684">
        <v>0.5</v>
      </c>
    </row>
  </sheetData>
  <conditionalFormatting sqref="B4:I4">
    <cfRule type="cellIs" dxfId="550" priority="4" stopIfTrue="1" operator="equal">
      <formula>"input"</formula>
    </cfRule>
  </conditionalFormatting>
  <conditionalFormatting sqref="J4">
    <cfRule type="cellIs" dxfId="549" priority="2" stopIfTrue="1" operator="equal">
      <formula>"input"</formula>
    </cfRule>
  </conditionalFormatting>
  <conditionalFormatting sqref="J4">
    <cfRule type="cellIs" dxfId="548" priority="3" stopIfTrue="1" operator="equal">
      <formula>"input"</formula>
    </cfRule>
  </conditionalFormatting>
  <conditionalFormatting sqref="D9:H9">
    <cfRule type="cellIs" dxfId="547" priority="1" operator="equal">
      <formula>0</formula>
    </cfRule>
  </conditionalFormatting>
  <pageMargins left="0.5" right="0.5" top="0.5" bottom="0.5" header="0.5" footer="0.5"/>
  <pageSetup scale="85" fitToWidth="0" fitToHeight="0" orientation="landscape" r:id="rId1"/>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I70"/>
  <sheetViews>
    <sheetView showGridLines="0" view="pageBreakPreview" zoomScale="85" zoomScaleNormal="100" zoomScaleSheetLayoutView="85" workbookViewId="0"/>
  </sheetViews>
  <sheetFormatPr defaultRowHeight="12.75" outlineLevelRow="1" outlineLevelCol="1"/>
  <cols>
    <col min="1" max="1" width="4.5" style="405" customWidth="1"/>
    <col min="2" max="2" width="42.1640625" style="405" customWidth="1"/>
    <col min="3" max="3" width="2.83203125" style="405" customWidth="1"/>
    <col min="4" max="4" width="12.83203125" style="405" customWidth="1"/>
    <col min="5" max="5" width="10.83203125" style="405" hidden="1" customWidth="1" outlineLevel="1"/>
    <col min="6" max="7" width="9.83203125" style="405" hidden="1" customWidth="1" outlineLevel="1"/>
    <col min="8" max="8" width="12.83203125" style="405" customWidth="1" collapsed="1"/>
    <col min="9" max="11" width="12.83203125" style="405" customWidth="1"/>
    <col min="12" max="12" width="2.83203125" style="405" customWidth="1"/>
    <col min="13" max="15" width="12.83203125" style="405" customWidth="1"/>
    <col min="16" max="16" width="2.83203125" style="21" customWidth="1"/>
    <col min="17" max="17" width="12.83203125" style="405" customWidth="1"/>
    <col min="18" max="18" width="2.83203125" style="405" customWidth="1"/>
    <col min="19" max="19" width="11.6640625" style="405" hidden="1" customWidth="1" outlineLevel="1"/>
    <col min="20" max="23" width="8.83203125" style="405" hidden="1" customWidth="1" outlineLevel="1"/>
    <col min="24" max="24" width="12.83203125" style="405" customWidth="1" collapsed="1"/>
    <col min="25" max="25" width="12.83203125" style="405" customWidth="1"/>
    <col min="26" max="26" width="4.5" style="405" customWidth="1"/>
    <col min="27" max="27" width="17.5" style="405" bestFit="1" customWidth="1"/>
    <col min="28" max="28" width="12.33203125" style="405" bestFit="1" customWidth="1"/>
    <col min="29" max="29" width="9.5" style="405" bestFit="1" customWidth="1"/>
    <col min="30" max="30" width="10.1640625" style="405" bestFit="1" customWidth="1"/>
    <col min="31" max="16384" width="9.33203125" style="405"/>
  </cols>
  <sheetData>
    <row r="1" spans="2:35" ht="10.7" customHeight="1" thickBot="1">
      <c r="P1" s="405"/>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AA2" s="303" t="s">
        <v>87</v>
      </c>
      <c r="AB2" s="304">
        <f>+'Comp.1'!$AL$2</f>
        <v>43281</v>
      </c>
    </row>
    <row r="3" spans="2:35" ht="15.75" customHeight="1">
      <c r="B3" s="11" t="str">
        <f>VLOOKUP(B4,Outline!$E$8:$G$69,COLUMNS(Outline!$E$8:$G$8),FALSE)</f>
        <v>Exhibit H.2</v>
      </c>
      <c r="C3" s="11"/>
      <c r="D3" s="11"/>
      <c r="E3" s="11"/>
      <c r="F3" s="11"/>
      <c r="G3" s="11"/>
      <c r="H3" s="11"/>
      <c r="I3" s="11"/>
      <c r="J3" s="11"/>
      <c r="K3" s="11"/>
      <c r="L3" s="11"/>
      <c r="M3" s="11"/>
      <c r="N3" s="11"/>
      <c r="O3" s="11"/>
      <c r="P3" s="11"/>
      <c r="Q3" s="11"/>
      <c r="R3" s="11"/>
      <c r="S3" s="11"/>
      <c r="T3" s="11"/>
      <c r="U3" s="11"/>
      <c r="V3" s="11"/>
      <c r="W3" s="11"/>
      <c r="X3" s="11"/>
      <c r="Y3" s="11"/>
      <c r="AA3" s="201" t="s">
        <v>398</v>
      </c>
      <c r="AB3" s="308" t="str">
        <f>+'Comp.1'!$AL$3</f>
        <v>F</v>
      </c>
    </row>
    <row r="4" spans="2:35" ht="16.5" customHeight="1" thickBot="1">
      <c r="B4" s="12" t="s">
        <v>2263</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201" t="s">
        <v>399</v>
      </c>
      <c r="AB4" s="308" t="str">
        <f>+'Comp.1'!$AL$4</f>
        <v>USD</v>
      </c>
    </row>
    <row r="5" spans="2:35" ht="12.75" customHeight="1" thickTop="1">
      <c r="B5" s="21"/>
      <c r="AA5" s="82" t="s">
        <v>89</v>
      </c>
      <c r="AB5" s="307" t="str">
        <f>+'Comp.1'!$AL$5</f>
        <v>H</v>
      </c>
    </row>
    <row r="6" spans="2:35" ht="12.75" hidden="1" customHeight="1" outlineLevel="1">
      <c r="N6" s="210">
        <f>'PWERM DLOM'!D10</f>
        <v>3.0027397260273974</v>
      </c>
      <c r="O6" s="211">
        <f>'Risk-Free Rates'!E35</f>
        <v>2.63013698630137E-2</v>
      </c>
      <c r="Q6" s="212">
        <f>HLOOKUP(ROUND(N6,0),'Equity Vol'!$D$8:$K$8,1,TRUE)</f>
        <v>3</v>
      </c>
    </row>
    <row r="7" spans="2:35" ht="25.5" customHeight="1" collapsed="1">
      <c r="D7" s="198" t="s">
        <v>91</v>
      </c>
      <c r="E7" s="199"/>
      <c r="F7" s="199"/>
      <c r="G7" s="199"/>
      <c r="H7" s="199"/>
      <c r="I7" s="199"/>
      <c r="J7" s="199"/>
      <c r="K7" s="200"/>
      <c r="M7" s="198" t="s">
        <v>92</v>
      </c>
      <c r="N7" s="199"/>
      <c r="O7" s="199"/>
      <c r="P7" s="213"/>
      <c r="Q7" s="200"/>
      <c r="S7" s="198" t="s">
        <v>93</v>
      </c>
      <c r="T7" s="199"/>
      <c r="U7" s="199"/>
      <c r="V7" s="199"/>
      <c r="W7" s="199"/>
      <c r="X7" s="986" t="s">
        <v>93</v>
      </c>
      <c r="Y7" s="987"/>
    </row>
    <row r="8" spans="2:35" s="6" customFormat="1" ht="43.5" customHeight="1">
      <c r="B8" s="481" t="s">
        <v>633</v>
      </c>
      <c r="D8" s="612" t="s">
        <v>94</v>
      </c>
      <c r="E8" s="613" t="s">
        <v>95</v>
      </c>
      <c r="F8" s="613" t="s">
        <v>96</v>
      </c>
      <c r="G8" s="613" t="s">
        <v>97</v>
      </c>
      <c r="H8" s="613" t="s">
        <v>98</v>
      </c>
      <c r="I8" s="613" t="s">
        <v>99</v>
      </c>
      <c r="J8" s="613" t="s">
        <v>100</v>
      </c>
      <c r="K8" s="614" t="s">
        <v>101</v>
      </c>
      <c r="L8" s="330"/>
      <c r="M8" s="612" t="s">
        <v>73</v>
      </c>
      <c r="N8" s="613" t="s">
        <v>102</v>
      </c>
      <c r="O8" s="614" t="s">
        <v>72</v>
      </c>
      <c r="P8" s="599"/>
      <c r="Q8" s="615" t="s">
        <v>103</v>
      </c>
      <c r="R8" s="599"/>
      <c r="S8" s="612" t="s">
        <v>104</v>
      </c>
      <c r="T8" s="613" t="s">
        <v>84</v>
      </c>
      <c r="U8" s="613" t="s">
        <v>85</v>
      </c>
      <c r="V8" s="613" t="s">
        <v>105</v>
      </c>
      <c r="W8" s="613" t="s">
        <v>106</v>
      </c>
      <c r="X8" s="616" t="s">
        <v>107</v>
      </c>
      <c r="Y8" s="614" t="s">
        <v>645</v>
      </c>
      <c r="AA8" s="87" t="s">
        <v>108</v>
      </c>
      <c r="AB8" s="88" t="s">
        <v>109</v>
      </c>
      <c r="AC8" s="88" t="s">
        <v>110</v>
      </c>
      <c r="AD8" s="89"/>
    </row>
    <row r="9" spans="2:35" ht="12.75" customHeight="1"/>
    <row r="10" spans="2:35" ht="12.75" customHeight="1">
      <c r="B10" s="405" t="str">
        <f>'Comp.1'!B12</f>
        <v>ACADIA Pharmaceuticals Inc.</v>
      </c>
      <c r="D10" s="406">
        <f>'Beta Calc'!K10</f>
        <v>1906.0925500000001</v>
      </c>
      <c r="E10" s="406">
        <f>'Beta Calc'!L10</f>
        <v>0</v>
      </c>
      <c r="F10" s="406">
        <f>'Beta Calc'!M10</f>
        <v>0</v>
      </c>
      <c r="G10" s="406">
        <f>'Beta Calc'!N10</f>
        <v>0</v>
      </c>
      <c r="H10" s="406">
        <f>SUM(E10:G10)</f>
        <v>0</v>
      </c>
      <c r="I10" s="406">
        <f>SUM(D10:G10)</f>
        <v>1906.0925500000001</v>
      </c>
      <c r="J10" s="406">
        <f>'Beta Calc'!Q10</f>
        <v>298.06299999999999</v>
      </c>
      <c r="K10" s="406">
        <f>I10-J10</f>
        <v>1608.0295500000002</v>
      </c>
      <c r="M10" s="56">
        <f>IFERROR('Capital IQ Sheet-GPC'!AT13,"n/a")</f>
        <v>0</v>
      </c>
      <c r="N10" s="406">
        <f t="shared" ref="N10:O23" si="0">N$6</f>
        <v>3.0027397260273974</v>
      </c>
      <c r="O10" s="214">
        <f t="shared" si="0"/>
        <v>2.63013698630137E-2</v>
      </c>
      <c r="P10" s="215"/>
      <c r="Q10" s="216">
        <f>IFERROR(HLOOKUP($Q$6,'Equity Vol'!$B$8:$K10,ROWS('Equity Vol'!$C$8:$C10),FALSE),"n/a")</f>
        <v>0.62802538852908885</v>
      </c>
      <c r="R10" s="45"/>
      <c r="S10" s="217">
        <f>IFERROR(IF(Q10="n/a","n/a",Q10^2),"n/a")</f>
        <v>0.39441588863711302</v>
      </c>
      <c r="T10" s="217">
        <f>IF(OR(K10="n/a",S10="n/a"),"n/a",IF(H10=0,0,IF(M10=0,(LN(K10/H10)+((O10+(S10/2))*N10))/((S10*N10)^0.5),(LN(K10/H10)+((O10-M10+(S10/2))*N10))/((S10*N10)^0.5))))</f>
        <v>0</v>
      </c>
      <c r="U10" s="218">
        <f>IF(T10="n/a","n/a",IF(H10=0,0,T10-(S10*N10)^0.5))</f>
        <v>0</v>
      </c>
      <c r="V10" s="218">
        <f>IF(OR(T10="n/a",S10="n/a"),"n/a",IF(H10=0,0,NORMSDIST(T10)))</f>
        <v>0</v>
      </c>
      <c r="W10" s="218">
        <f>IF(OR(U10="n/a",S10="n/a"),"n/a",IF(H10=0,0,NORMSDIST(U10)))</f>
        <v>0</v>
      </c>
      <c r="X10" s="92">
        <f>IF(OR(K10="n/a",S10="n/a"),"n/a",IF(M10=0,(K10*V10)-((H10*EXP(1)^(-O10*N10))*W10),(K10*(2.718^(-M10*N10))*V10)-(H10*(2.718^(-O10*N10))*W10)))</f>
        <v>0</v>
      </c>
      <c r="Y10" s="216">
        <f>IFERROR(IF(LEN(B10)&gt;0,IF(H10=0,Q10,IF(ISERROR(Q10/((K10/X10)*V10)),"n/a",Q10/((K10/X10)*V10)))),"n/a")</f>
        <v>0.62802538852908885</v>
      </c>
      <c r="AA10" s="93" t="str">
        <f>IF('MASTER PubCo Inputs'!B28=0,"",'MASTER PubCo Inputs'!B28)</f>
        <v>NasdaqGS:ACAD</v>
      </c>
      <c r="AB10" s="406">
        <f>'Beta Calc'!Z10</f>
        <v>1608.02955</v>
      </c>
      <c r="AC10" s="94">
        <f>K10-AB10</f>
        <v>0</v>
      </c>
      <c r="AI10" s="95"/>
    </row>
    <row r="11" spans="2:35" ht="12.75" customHeight="1">
      <c r="B11" s="405" t="str">
        <f>'Comp.1'!B13</f>
        <v>Rhythm Pharmaceuticals, Inc.</v>
      </c>
      <c r="D11" s="406">
        <f>'Beta Calc'!K11</f>
        <v>1066.6532199999999</v>
      </c>
      <c r="E11" s="406">
        <f>'Beta Calc'!L11</f>
        <v>0</v>
      </c>
      <c r="F11" s="406">
        <f>'Beta Calc'!M11</f>
        <v>0</v>
      </c>
      <c r="G11" s="406">
        <f>'Beta Calc'!N11</f>
        <v>0</v>
      </c>
      <c r="H11" s="406">
        <f t="shared" ref="H11:H23" si="1">SUM(E11:G11)</f>
        <v>0</v>
      </c>
      <c r="I11" s="406">
        <f t="shared" ref="I11:I23" si="2">SUM(D11:G11)</f>
        <v>1066.6532199999999</v>
      </c>
      <c r="J11" s="406">
        <f>'Beta Calc'!Q11</f>
        <v>136.453</v>
      </c>
      <c r="K11" s="406">
        <f t="shared" ref="K11:K23" si="3">I11-J11</f>
        <v>930.20021999999994</v>
      </c>
      <c r="M11" s="56">
        <f>IFERROR('Capital IQ Sheet-GPC'!AT14,"n/a")</f>
        <v>0</v>
      </c>
      <c r="N11" s="406">
        <f t="shared" si="0"/>
        <v>3.0027397260273974</v>
      </c>
      <c r="O11" s="214">
        <f t="shared" si="0"/>
        <v>2.63013698630137E-2</v>
      </c>
      <c r="P11" s="215"/>
      <c r="Q11" s="216" t="str">
        <f>IFERROR(HLOOKUP($Q$6,'Equity Vol'!$B$8:$K11,ROWS('Equity Vol'!$C$8:$C11),FALSE),"n/a")</f>
        <v>NM</v>
      </c>
      <c r="R11" s="45"/>
      <c r="S11" s="217" t="str">
        <f t="shared" ref="S11:S23" si="4">IFERROR(IF(Q11="n/a","n/a",Q11^2),"n/a")</f>
        <v>n/a</v>
      </c>
      <c r="T11" s="217" t="str">
        <f t="shared" ref="T11:T23" si="5">IF(OR(K11="n/a",S11="n/a"),"n/a",IF(H11=0,0,IF(M11=0,(LN(K11/H11)+((O11+(S11/2))*N11))/((S11*N11)^0.5),(LN(K11/H11)+((O11-M11+(S11/2))*N11))/((S11*N11)^0.5))))</f>
        <v>n/a</v>
      </c>
      <c r="U11" s="218" t="str">
        <f t="shared" ref="U11:U23" si="6">IF(T11="n/a","n/a",IF(H11=0,0,T11-(S11*N11)^0.5))</f>
        <v>n/a</v>
      </c>
      <c r="V11" s="218" t="str">
        <f t="shared" ref="V11:V23" si="7">IF(OR(T11="n/a",S11="n/a"),"n/a",IF(H11=0,0,NORMSDIST(T11)))</f>
        <v>n/a</v>
      </c>
      <c r="W11" s="218" t="str">
        <f t="shared" ref="W11:W23" si="8">IF(OR(U11="n/a",S11="n/a"),"n/a",IF(H11=0,0,NORMSDIST(U11)))</f>
        <v>n/a</v>
      </c>
      <c r="X11" s="92" t="str">
        <f t="shared" ref="X11:X22" si="9">IF(OR(K11="n/a",S11="n/a"),"n/a",IF(M11=0,(K11*V11)-((H11*EXP(1)^(-O11*N11))*W11),(K11*(2.718^(-M11*N11))*V11)-(H11*(2.718^(-O11*N11))*W11)))</f>
        <v>n/a</v>
      </c>
      <c r="Y11" s="216" t="str">
        <f t="shared" ref="Y11:Y23" si="10">IFERROR(IF(LEN(B11)&gt;0,IF(H11=0,Q11,IF(ISERROR(Q11/((K11/X11)*V11)),"n/a",Q11/((K11/X11)*V11)))),"n/a")</f>
        <v>NM</v>
      </c>
      <c r="AA11" s="93" t="str">
        <f>IF('MASTER PubCo Inputs'!B29=0,"",'MASTER PubCo Inputs'!B29)</f>
        <v>NasdaqGM:RYTM</v>
      </c>
      <c r="AB11" s="406">
        <f>'Beta Calc'!Z11</f>
        <v>930.20021999999994</v>
      </c>
      <c r="AC11" s="94">
        <f t="shared" ref="AC11:AC23" si="11">K11-AB11</f>
        <v>0</v>
      </c>
      <c r="AI11" s="95"/>
    </row>
    <row r="12" spans="2:35" ht="12.75" customHeight="1">
      <c r="B12" s="405" t="str">
        <f>'Comp.1'!B14</f>
        <v>Assembly Biosciences, Inc.</v>
      </c>
      <c r="D12" s="406">
        <f>'Beta Calc'!K12</f>
        <v>805.79364999999996</v>
      </c>
      <c r="E12" s="406">
        <f>'Beta Calc'!L12</f>
        <v>0</v>
      </c>
      <c r="F12" s="406">
        <f>'Beta Calc'!M12</f>
        <v>0</v>
      </c>
      <c r="G12" s="406">
        <f>'Beta Calc'!N12</f>
        <v>0</v>
      </c>
      <c r="H12" s="406">
        <f t="shared" si="1"/>
        <v>0</v>
      </c>
      <c r="I12" s="406">
        <f t="shared" si="2"/>
        <v>805.79364999999996</v>
      </c>
      <c r="J12" s="406">
        <f>'Beta Calc'!Q12</f>
        <v>109.15898</v>
      </c>
      <c r="K12" s="406">
        <f t="shared" si="3"/>
        <v>696.63466999999991</v>
      </c>
      <c r="M12" s="56">
        <f>IFERROR('Capital IQ Sheet-GPC'!AT15,"n/a")</f>
        <v>0</v>
      </c>
      <c r="N12" s="406">
        <f t="shared" si="0"/>
        <v>3.0027397260273974</v>
      </c>
      <c r="O12" s="214">
        <f t="shared" si="0"/>
        <v>2.63013698630137E-2</v>
      </c>
      <c r="P12" s="215"/>
      <c r="Q12" s="216">
        <f>IFERROR(HLOOKUP($Q$6,'Equity Vol'!$B$8:$K12,ROWS('Equity Vol'!$C$8:$C12),FALSE),"n/a")</f>
        <v>0.61179906568161346</v>
      </c>
      <c r="R12" s="45"/>
      <c r="S12" s="217">
        <f t="shared" si="4"/>
        <v>0.37429809676889519</v>
      </c>
      <c r="T12" s="217">
        <f t="shared" si="5"/>
        <v>0</v>
      </c>
      <c r="U12" s="218">
        <f t="shared" si="6"/>
        <v>0</v>
      </c>
      <c r="V12" s="218">
        <f t="shared" si="7"/>
        <v>0</v>
      </c>
      <c r="W12" s="218">
        <f t="shared" si="8"/>
        <v>0</v>
      </c>
      <c r="X12" s="92">
        <f t="shared" si="9"/>
        <v>0</v>
      </c>
      <c r="Y12" s="216">
        <f t="shared" si="10"/>
        <v>0.61179906568161346</v>
      </c>
      <c r="AA12" s="93" t="str">
        <f>IF('MASTER PubCo Inputs'!B30=0,"",'MASTER PubCo Inputs'!B30)</f>
        <v>NasdaqCM:ASMB</v>
      </c>
      <c r="AB12" s="406">
        <f>'Beta Calc'!Z12</f>
        <v>696.63467000000003</v>
      </c>
      <c r="AC12" s="94">
        <f t="shared" si="11"/>
        <v>0</v>
      </c>
      <c r="AI12" s="95"/>
    </row>
    <row r="13" spans="2:35" ht="12.75" customHeight="1">
      <c r="B13" s="405" t="str">
        <f>'Comp.1'!B15</f>
        <v>Voyager Therapeutics, Inc.</v>
      </c>
      <c r="D13" s="406">
        <f>'Beta Calc'!K13</f>
        <v>631.55226000000005</v>
      </c>
      <c r="E13" s="406">
        <f>'Beta Calc'!L13</f>
        <v>0</v>
      </c>
      <c r="F13" s="406">
        <f>'Beta Calc'!M13</f>
        <v>0</v>
      </c>
      <c r="G13" s="406">
        <f>'Beta Calc'!N13</f>
        <v>0</v>
      </c>
      <c r="H13" s="406">
        <f t="shared" si="1"/>
        <v>0</v>
      </c>
      <c r="I13" s="406">
        <f t="shared" si="2"/>
        <v>631.55226000000005</v>
      </c>
      <c r="J13" s="406">
        <f>'Beta Calc'!Q13</f>
        <v>218.19800000000001</v>
      </c>
      <c r="K13" s="406">
        <f t="shared" si="3"/>
        <v>413.35426000000007</v>
      </c>
      <c r="M13" s="56">
        <f>IFERROR('Capital IQ Sheet-GPC'!AT16,"n/a")</f>
        <v>0</v>
      </c>
      <c r="N13" s="406">
        <f t="shared" si="0"/>
        <v>3.0027397260273974</v>
      </c>
      <c r="O13" s="214">
        <f t="shared" si="0"/>
        <v>2.63013698630137E-2</v>
      </c>
      <c r="P13" s="215"/>
      <c r="Q13" s="216">
        <f>IFERROR(HLOOKUP($Q$6,'Equity Vol'!$B$8:$K13,ROWS('Equity Vol'!$C$8:$C13),FALSE),"n/a")</f>
        <v>0.74099767206184253</v>
      </c>
      <c r="R13" s="45"/>
      <c r="S13" s="217">
        <f t="shared" si="4"/>
        <v>0.54907755000106995</v>
      </c>
      <c r="T13" s="217">
        <f t="shared" si="5"/>
        <v>0</v>
      </c>
      <c r="U13" s="218">
        <f t="shared" si="6"/>
        <v>0</v>
      </c>
      <c r="V13" s="218">
        <f t="shared" si="7"/>
        <v>0</v>
      </c>
      <c r="W13" s="218">
        <f t="shared" si="8"/>
        <v>0</v>
      </c>
      <c r="X13" s="92">
        <f t="shared" si="9"/>
        <v>0</v>
      </c>
      <c r="Y13" s="216">
        <f t="shared" si="10"/>
        <v>0.74099767206184253</v>
      </c>
      <c r="AA13" s="93" t="str">
        <f>IF('MASTER PubCo Inputs'!B31=0,"",'MASTER PubCo Inputs'!B31)</f>
        <v>NasdaqGS:VYGR</v>
      </c>
      <c r="AB13" s="406">
        <f>'Beta Calc'!Z13</f>
        <v>413.35426000000001</v>
      </c>
      <c r="AC13" s="94">
        <f t="shared" si="11"/>
        <v>0</v>
      </c>
      <c r="AI13" s="95"/>
    </row>
    <row r="14" spans="2:35" ht="12.75" customHeight="1">
      <c r="B14" s="405" t="str">
        <f>'Comp.1'!B16</f>
        <v>Zafgen, Inc.</v>
      </c>
      <c r="D14" s="406">
        <f>'Beta Calc'!K14</f>
        <v>363.76737000000003</v>
      </c>
      <c r="E14" s="406">
        <f>'Beta Calc'!L14</f>
        <v>20.16</v>
      </c>
      <c r="F14" s="406">
        <f>'Beta Calc'!M14</f>
        <v>0</v>
      </c>
      <c r="G14" s="406">
        <f>'Beta Calc'!N14</f>
        <v>0</v>
      </c>
      <c r="H14" s="406">
        <f t="shared" si="1"/>
        <v>20.16</v>
      </c>
      <c r="I14" s="406">
        <f t="shared" si="2"/>
        <v>383.92737000000005</v>
      </c>
      <c r="J14" s="406">
        <f>'Beta Calc'!Q14</f>
        <v>89.07</v>
      </c>
      <c r="K14" s="406">
        <f t="shared" si="3"/>
        <v>294.85737000000006</v>
      </c>
      <c r="M14" s="56">
        <f>IFERROR('Capital IQ Sheet-GPC'!AT17,"n/a")</f>
        <v>0</v>
      </c>
      <c r="N14" s="406">
        <f t="shared" si="0"/>
        <v>3.0027397260273974</v>
      </c>
      <c r="O14" s="214">
        <f t="shared" si="0"/>
        <v>2.63013698630137E-2</v>
      </c>
      <c r="P14" s="215"/>
      <c r="Q14" s="216">
        <f>IFERROR(HLOOKUP($Q$6,'Equity Vol'!$B$8:$K14,ROWS('Equity Vol'!$C$8:$C14),FALSE),"n/a")</f>
        <v>1.1302394832325817</v>
      </c>
      <c r="R14" s="45"/>
      <c r="S14" s="217">
        <f t="shared" si="4"/>
        <v>1.2774412894578533</v>
      </c>
      <c r="T14" s="217">
        <f t="shared" si="5"/>
        <v>2.3893885307275418</v>
      </c>
      <c r="U14" s="218">
        <f t="shared" si="6"/>
        <v>0.43086262905486805</v>
      </c>
      <c r="V14" s="218">
        <f t="shared" si="7"/>
        <v>0.99156177786107702</v>
      </c>
      <c r="W14" s="218">
        <f t="shared" si="8"/>
        <v>0.66671587110246233</v>
      </c>
      <c r="X14" s="92">
        <f t="shared" si="9"/>
        <v>279.94898882055389</v>
      </c>
      <c r="Y14" s="216">
        <f t="shared" si="10"/>
        <v>1.0822251262591387</v>
      </c>
      <c r="AA14" s="93" t="str">
        <f>IF('MASTER PubCo Inputs'!B32=0,"",'MASTER PubCo Inputs'!B32)</f>
        <v>NasdaqGS:ZFGN</v>
      </c>
      <c r="AB14" s="406">
        <f>'Beta Calc'!Z14</f>
        <v>294.85737</v>
      </c>
      <c r="AC14" s="94">
        <f t="shared" si="11"/>
        <v>0</v>
      </c>
      <c r="AI14" s="95"/>
    </row>
    <row r="15" spans="2:35" ht="12.75" customHeight="1">
      <c r="B15" s="405" t="str">
        <f>'Comp.1'!B17</f>
        <v>Seres Therapeutics, Inc.</v>
      </c>
      <c r="D15" s="406">
        <f>'Beta Calc'!K15</f>
        <v>349.61295000000001</v>
      </c>
      <c r="E15" s="406">
        <f>'Beta Calc'!L15</f>
        <v>0</v>
      </c>
      <c r="F15" s="406">
        <f>'Beta Calc'!M15</f>
        <v>0</v>
      </c>
      <c r="G15" s="406">
        <f>'Beta Calc'!N15</f>
        <v>0</v>
      </c>
      <c r="H15" s="406">
        <f t="shared" si="1"/>
        <v>0</v>
      </c>
      <c r="I15" s="406">
        <f t="shared" si="2"/>
        <v>349.61295000000001</v>
      </c>
      <c r="J15" s="406">
        <f>'Beta Calc'!Q15</f>
        <v>122.194</v>
      </c>
      <c r="K15" s="406">
        <f t="shared" si="3"/>
        <v>227.41895</v>
      </c>
      <c r="M15" s="56">
        <f>IFERROR('Capital IQ Sheet-GPC'!AT18,"n/a")</f>
        <v>0</v>
      </c>
      <c r="N15" s="406">
        <f t="shared" si="0"/>
        <v>3.0027397260273974</v>
      </c>
      <c r="O15" s="214">
        <f t="shared" si="0"/>
        <v>2.63013698630137E-2</v>
      </c>
      <c r="P15" s="215"/>
      <c r="Q15" s="216">
        <f>IFERROR(HLOOKUP($Q$6,'Equity Vol'!$B$8:$K15,ROWS('Equity Vol'!$C$8:$C15),FALSE),"n/a")</f>
        <v>0.9382914450442692</v>
      </c>
      <c r="R15" s="45"/>
      <c r="S15" s="217">
        <f t="shared" si="4"/>
        <v>0.88039083584326283</v>
      </c>
      <c r="T15" s="217">
        <f t="shared" si="5"/>
        <v>0</v>
      </c>
      <c r="U15" s="218">
        <f t="shared" si="6"/>
        <v>0</v>
      </c>
      <c r="V15" s="218">
        <f t="shared" si="7"/>
        <v>0</v>
      </c>
      <c r="W15" s="218">
        <f t="shared" si="8"/>
        <v>0</v>
      </c>
      <c r="X15" s="92">
        <f t="shared" si="9"/>
        <v>0</v>
      </c>
      <c r="Y15" s="216">
        <f t="shared" si="10"/>
        <v>0.9382914450442692</v>
      </c>
      <c r="AA15" s="93" t="str">
        <f>IF('MASTER PubCo Inputs'!B33=0,"",'MASTER PubCo Inputs'!B33)</f>
        <v>NasdaqGS:MCRB</v>
      </c>
      <c r="AB15" s="406">
        <f>'Beta Calc'!Z15</f>
        <v>227.41893999999999</v>
      </c>
      <c r="AC15" s="94">
        <f t="shared" si="11"/>
        <v>1.0000000003174137E-5</v>
      </c>
      <c r="AI15" s="95"/>
    </row>
    <row r="16" spans="2:35" ht="12.75" customHeight="1">
      <c r="B16" s="405" t="str">
        <f>'Comp.1'!B18</f>
        <v>CohBar, Inc.</v>
      </c>
      <c r="D16" s="406">
        <f>'Beta Calc'!K16</f>
        <v>211.81835000000001</v>
      </c>
      <c r="E16" s="406">
        <f>'Beta Calc'!L16</f>
        <v>1.40126</v>
      </c>
      <c r="F16" s="406">
        <f>'Beta Calc'!M16</f>
        <v>0</v>
      </c>
      <c r="G16" s="406">
        <f>'Beta Calc'!N16</f>
        <v>0</v>
      </c>
      <c r="H16" s="406">
        <f t="shared" si="1"/>
        <v>1.40126</v>
      </c>
      <c r="I16" s="406">
        <f t="shared" si="2"/>
        <v>213.21961000000002</v>
      </c>
      <c r="J16" s="406">
        <f>'Beta Calc'!Q16</f>
        <v>8.4566599999999994</v>
      </c>
      <c r="K16" s="406">
        <f t="shared" si="3"/>
        <v>204.76295000000002</v>
      </c>
      <c r="M16" s="56">
        <f>IFERROR('Capital IQ Sheet-GPC'!AT19,"n/a")</f>
        <v>0</v>
      </c>
      <c r="N16" s="406">
        <f t="shared" si="0"/>
        <v>3.0027397260273974</v>
      </c>
      <c r="O16" s="214">
        <f t="shared" si="0"/>
        <v>2.63013698630137E-2</v>
      </c>
      <c r="P16" s="215"/>
      <c r="Q16" s="216">
        <f>IFERROR(HLOOKUP($Q$6,'Equity Vol'!$B$8:$K16,ROWS('Equity Vol'!$C$8:$C16),FALSE),"n/a")</f>
        <v>0.92782915284976175</v>
      </c>
      <c r="R16" s="45"/>
      <c r="S16" s="217">
        <f t="shared" si="4"/>
        <v>0.86086693687790661</v>
      </c>
      <c r="T16" s="217">
        <f t="shared" si="5"/>
        <v>3.9532358350243393</v>
      </c>
      <c r="U16" s="218">
        <f t="shared" si="6"/>
        <v>2.3454549574832453</v>
      </c>
      <c r="V16" s="218">
        <f t="shared" si="7"/>
        <v>0.99996144931157305</v>
      </c>
      <c r="W16" s="218">
        <f t="shared" si="8"/>
        <v>0.99049806268793539</v>
      </c>
      <c r="X16" s="92">
        <f t="shared" si="9"/>
        <v>203.47250879787765</v>
      </c>
      <c r="Y16" s="216">
        <f t="shared" si="10"/>
        <v>0.92201740423993939</v>
      </c>
      <c r="AA16" s="93" t="str">
        <f>IF('MASTER PubCo Inputs'!B34=0,"",'MASTER PubCo Inputs'!B34)</f>
        <v>TSXV:COB.U</v>
      </c>
      <c r="AB16" s="406">
        <f>'Beta Calc'!Z16</f>
        <v>204.76295999999999</v>
      </c>
      <c r="AC16" s="94">
        <f t="shared" si="11"/>
        <v>-9.9999999747524271E-6</v>
      </c>
      <c r="AI16" s="95"/>
    </row>
    <row r="17" spans="2:35" ht="12.75" customHeight="1">
      <c r="B17" s="405" t="str">
        <f>'Comp.1'!B19</f>
        <v>VIVUS, Inc.</v>
      </c>
      <c r="D17" s="406">
        <f>'Beta Calc'!K17</f>
        <v>74.768140000000002</v>
      </c>
      <c r="E17" s="406">
        <f>'Beta Calc'!L17</f>
        <v>236.50700000000001</v>
      </c>
      <c r="F17" s="406">
        <f>'Beta Calc'!M17</f>
        <v>0</v>
      </c>
      <c r="G17" s="406">
        <f>'Beta Calc'!N17</f>
        <v>0</v>
      </c>
      <c r="H17" s="406">
        <f t="shared" si="1"/>
        <v>236.50700000000001</v>
      </c>
      <c r="I17" s="406">
        <f t="shared" si="2"/>
        <v>311.27514000000002</v>
      </c>
      <c r="J17" s="406">
        <f>'Beta Calc'!Q17</f>
        <v>209.125</v>
      </c>
      <c r="K17" s="406">
        <f t="shared" si="3"/>
        <v>102.15014000000002</v>
      </c>
      <c r="M17" s="56">
        <f>IFERROR('Capital IQ Sheet-GPC'!AT20,"n/a")</f>
        <v>0</v>
      </c>
      <c r="N17" s="406">
        <f t="shared" si="0"/>
        <v>3.0027397260273974</v>
      </c>
      <c r="O17" s="214">
        <f t="shared" si="0"/>
        <v>2.63013698630137E-2</v>
      </c>
      <c r="P17" s="215"/>
      <c r="Q17" s="216">
        <f>IFERROR(HLOOKUP($Q$6,'Equity Vol'!$B$8:$K17,ROWS('Equity Vol'!$C$8:$C17),FALSE),"n/a")</f>
        <v>0.69803335239953213</v>
      </c>
      <c r="R17" s="45"/>
      <c r="S17" s="217">
        <f t="shared" si="4"/>
        <v>0.48725056106212938</v>
      </c>
      <c r="T17" s="217">
        <f t="shared" si="5"/>
        <v>-2.3987342380075022E-2</v>
      </c>
      <c r="U17" s="218">
        <f t="shared" si="6"/>
        <v>-1.2335685162706056</v>
      </c>
      <c r="V17" s="218">
        <f t="shared" si="7"/>
        <v>0.49043135256040077</v>
      </c>
      <c r="W17" s="218">
        <f t="shared" si="8"/>
        <v>0.10868186541270911</v>
      </c>
      <c r="X17" s="92">
        <f t="shared" si="9"/>
        <v>26.34552277987758</v>
      </c>
      <c r="Y17" s="216">
        <f t="shared" si="10"/>
        <v>0.36708429322060054</v>
      </c>
      <c r="AA17" s="93" t="str">
        <f>IF('MASTER PubCo Inputs'!B35=0,"",'MASTER PubCo Inputs'!B35)</f>
        <v>NasdaqGS:VVUS</v>
      </c>
      <c r="AB17" s="406">
        <f>'Beta Calc'!Z17</f>
        <v>102.15013999999999</v>
      </c>
      <c r="AC17" s="94">
        <f t="shared" si="11"/>
        <v>0</v>
      </c>
      <c r="AI17" s="95"/>
    </row>
    <row r="18" spans="2:35" ht="12.75" customHeight="1">
      <c r="B18" s="405" t="str">
        <f>'Comp.1'!B20</f>
        <v>Anavex Life Sciences Corp.</v>
      </c>
      <c r="D18" s="406">
        <f>'Beta Calc'!K18</f>
        <v>117.00936</v>
      </c>
      <c r="E18" s="406">
        <f>'Beta Calc'!L18</f>
        <v>0</v>
      </c>
      <c r="F18" s="406">
        <f>'Beta Calc'!M18</f>
        <v>0</v>
      </c>
      <c r="G18" s="406">
        <f>'Beta Calc'!N18</f>
        <v>0</v>
      </c>
      <c r="H18" s="406">
        <f t="shared" si="1"/>
        <v>0</v>
      </c>
      <c r="I18" s="406">
        <f t="shared" si="2"/>
        <v>117.00936</v>
      </c>
      <c r="J18" s="406">
        <f>'Beta Calc'!Q18</f>
        <v>25.656580000000002</v>
      </c>
      <c r="K18" s="406">
        <f t="shared" si="3"/>
        <v>91.352779999999996</v>
      </c>
      <c r="M18" s="56">
        <f>IFERROR('Capital IQ Sheet-GPC'!AT21,"n/a")</f>
        <v>0</v>
      </c>
      <c r="N18" s="406">
        <f t="shared" si="0"/>
        <v>3.0027397260273974</v>
      </c>
      <c r="O18" s="214">
        <f t="shared" si="0"/>
        <v>2.63013698630137E-2</v>
      </c>
      <c r="P18" s="215"/>
      <c r="Q18" s="216">
        <f>IFERROR(HLOOKUP($Q$6,'Equity Vol'!$B$8:$K18,ROWS('Equity Vol'!$C$8:$C18),FALSE),"n/a")</f>
        <v>1.0581745625825705</v>
      </c>
      <c r="R18" s="45"/>
      <c r="S18" s="217">
        <f t="shared" si="4"/>
        <v>1.1197334048968144</v>
      </c>
      <c r="T18" s="217">
        <f t="shared" si="5"/>
        <v>0</v>
      </c>
      <c r="U18" s="218">
        <f t="shared" si="6"/>
        <v>0</v>
      </c>
      <c r="V18" s="218">
        <f t="shared" si="7"/>
        <v>0</v>
      </c>
      <c r="W18" s="218">
        <f t="shared" si="8"/>
        <v>0</v>
      </c>
      <c r="X18" s="92">
        <f t="shared" si="9"/>
        <v>0</v>
      </c>
      <c r="Y18" s="216">
        <f t="shared" si="10"/>
        <v>1.0581745625825705</v>
      </c>
      <c r="AA18" s="93" t="str">
        <f>IF('MASTER PubCo Inputs'!B36=0,"",'MASTER PubCo Inputs'!B36)</f>
        <v>NasdaqCM:AVXL</v>
      </c>
      <c r="AB18" s="406">
        <f>'Beta Calc'!Z18</f>
        <v>91.352779999999996</v>
      </c>
      <c r="AC18" s="94">
        <f t="shared" si="11"/>
        <v>0</v>
      </c>
      <c r="AI18" s="95"/>
    </row>
    <row r="19" spans="2:35" ht="12.75" customHeight="1">
      <c r="B19" s="405" t="str">
        <f>'Comp.1'!B21</f>
        <v>OptiBiotix Health plc</v>
      </c>
      <c r="D19" s="406">
        <f>'Beta Calc'!K19</f>
        <v>72.915899999999993</v>
      </c>
      <c r="E19" s="406">
        <f>'Beta Calc'!L19</f>
        <v>0</v>
      </c>
      <c r="F19" s="406">
        <f>'Beta Calc'!M19</f>
        <v>0</v>
      </c>
      <c r="G19" s="406">
        <f>'Beta Calc'!N19</f>
        <v>0</v>
      </c>
      <c r="H19" s="406">
        <f t="shared" si="1"/>
        <v>0</v>
      </c>
      <c r="I19" s="406">
        <f t="shared" si="2"/>
        <v>72.915899999999993</v>
      </c>
      <c r="J19" s="406">
        <f>'Beta Calc'!Q19</f>
        <v>1.6849400000000001</v>
      </c>
      <c r="K19" s="406">
        <f t="shared" si="3"/>
        <v>71.230959999999996</v>
      </c>
      <c r="M19" s="56">
        <f>IFERROR('Capital IQ Sheet-GPC'!AT22,"n/a")</f>
        <v>0</v>
      </c>
      <c r="N19" s="406">
        <f t="shared" si="0"/>
        <v>3.0027397260273974</v>
      </c>
      <c r="O19" s="214">
        <f t="shared" si="0"/>
        <v>2.63013698630137E-2</v>
      </c>
      <c r="P19" s="215"/>
      <c r="Q19" s="216">
        <f>IFERROR(HLOOKUP($Q$6,'Equity Vol'!$B$8:$K19,ROWS('Equity Vol'!$C$8:$C19),FALSE),"n/a")</f>
        <v>0.52958074472522787</v>
      </c>
      <c r="R19" s="45"/>
      <c r="S19" s="217">
        <f t="shared" si="4"/>
        <v>0.28045576518372695</v>
      </c>
      <c r="T19" s="217">
        <f t="shared" si="5"/>
        <v>0</v>
      </c>
      <c r="U19" s="218">
        <f t="shared" si="6"/>
        <v>0</v>
      </c>
      <c r="V19" s="218">
        <f t="shared" si="7"/>
        <v>0</v>
      </c>
      <c r="W19" s="218">
        <f t="shared" si="8"/>
        <v>0</v>
      </c>
      <c r="X19" s="92">
        <f t="shared" si="9"/>
        <v>0</v>
      </c>
      <c r="Y19" s="216">
        <f t="shared" si="10"/>
        <v>0.52958074472522787</v>
      </c>
      <c r="AA19" s="93" t="str">
        <f>IF('MASTER PubCo Inputs'!B37=0,"",'MASTER PubCo Inputs'!B37)</f>
        <v>AIM:OPTI</v>
      </c>
      <c r="AB19" s="406">
        <f>'Beta Calc'!Z19</f>
        <v>71.269909999999996</v>
      </c>
      <c r="AC19" s="94">
        <f t="shared" si="11"/>
        <v>-3.8949999999999818E-2</v>
      </c>
      <c r="AI19" s="95"/>
    </row>
    <row r="20" spans="2:35" ht="12.75" customHeight="1">
      <c r="B20" s="405" t="str">
        <f>'Comp.1'!B22</f>
        <v>Soleno Therapeutics, Inc.</v>
      </c>
      <c r="D20" s="406">
        <f>'Beta Calc'!K20</f>
        <v>46.258000000000003</v>
      </c>
      <c r="E20" s="406">
        <f>'Beta Calc'!L20</f>
        <v>0</v>
      </c>
      <c r="F20" s="406">
        <f>'Beta Calc'!M20</f>
        <v>0</v>
      </c>
      <c r="G20" s="406">
        <f>'Beta Calc'!N20</f>
        <v>0</v>
      </c>
      <c r="H20" s="406">
        <f t="shared" si="1"/>
        <v>0</v>
      </c>
      <c r="I20" s="406">
        <f t="shared" si="2"/>
        <v>46.258000000000003</v>
      </c>
      <c r="J20" s="406">
        <f>'Beta Calc'!Q20</f>
        <v>14.866</v>
      </c>
      <c r="K20" s="406">
        <f t="shared" si="3"/>
        <v>31.392000000000003</v>
      </c>
      <c r="M20" s="56">
        <f>IFERROR('Capital IQ Sheet-GPC'!AT23,"n/a")</f>
        <v>0</v>
      </c>
      <c r="N20" s="406">
        <f t="shared" si="0"/>
        <v>3.0027397260273974</v>
      </c>
      <c r="O20" s="214">
        <f t="shared" si="0"/>
        <v>2.63013698630137E-2</v>
      </c>
      <c r="P20" s="215"/>
      <c r="Q20" s="216">
        <f>IFERROR(HLOOKUP($Q$6,'Equity Vol'!$B$8:$K20,ROWS('Equity Vol'!$C$8:$C20),FALSE),"n/a")</f>
        <v>0.99646473832161442</v>
      </c>
      <c r="R20" s="45"/>
      <c r="S20" s="217">
        <f t="shared" si="4"/>
        <v>0.99294197471836354</v>
      </c>
      <c r="T20" s="217">
        <f t="shared" si="5"/>
        <v>0</v>
      </c>
      <c r="U20" s="218">
        <f t="shared" si="6"/>
        <v>0</v>
      </c>
      <c r="V20" s="218">
        <f t="shared" si="7"/>
        <v>0</v>
      </c>
      <c r="W20" s="218">
        <f t="shared" si="8"/>
        <v>0</v>
      </c>
      <c r="X20" s="92">
        <f t="shared" si="9"/>
        <v>0</v>
      </c>
      <c r="Y20" s="216">
        <f t="shared" si="10"/>
        <v>0.99646473832161442</v>
      </c>
      <c r="AA20" s="93" t="str">
        <f>IF('MASTER PubCo Inputs'!B38=0,"",'MASTER PubCo Inputs'!B38)</f>
        <v>NasdaqCM:SLNO</v>
      </c>
      <c r="AB20" s="406">
        <f>'Beta Calc'!Z20</f>
        <v>31.391999999999999</v>
      </c>
      <c r="AC20" s="94">
        <f t="shared" si="11"/>
        <v>0</v>
      </c>
      <c r="AI20" s="95"/>
    </row>
    <row r="21" spans="2:35" ht="12.75" customHeight="1">
      <c r="B21" s="405" t="str">
        <f>'Comp.1'!B23</f>
        <v>Synthetic Biologics, Inc.</v>
      </c>
      <c r="D21" s="406">
        <f>'Beta Calc'!K21</f>
        <v>30.72748</v>
      </c>
      <c r="E21" s="406">
        <f>'Beta Calc'!L21</f>
        <v>0</v>
      </c>
      <c r="F21" s="406">
        <f>'Beta Calc'!M21</f>
        <v>12.112</v>
      </c>
      <c r="G21" s="406">
        <f>'Beta Calc'!N21</f>
        <v>-1.923</v>
      </c>
      <c r="H21" s="406">
        <f t="shared" si="1"/>
        <v>10.189</v>
      </c>
      <c r="I21" s="406">
        <f t="shared" si="2"/>
        <v>40.91648</v>
      </c>
      <c r="J21" s="406">
        <f>'Beta Calc'!Q21</f>
        <v>11.037000000000001</v>
      </c>
      <c r="K21" s="406">
        <f t="shared" si="3"/>
        <v>29.879480000000001</v>
      </c>
      <c r="M21" s="56">
        <f>IFERROR('Capital IQ Sheet-GPC'!AT24,"n/a")</f>
        <v>0</v>
      </c>
      <c r="N21" s="406">
        <f t="shared" si="0"/>
        <v>3.0027397260273974</v>
      </c>
      <c r="O21" s="214">
        <f t="shared" si="0"/>
        <v>2.63013698630137E-2</v>
      </c>
      <c r="P21" s="215"/>
      <c r="Q21" s="216">
        <f>IFERROR(HLOOKUP($Q$6,'Equity Vol'!$B$8:$K21,ROWS('Equity Vol'!$C$8:$C21),FALSE),"n/a")</f>
        <v>0.86084148620167278</v>
      </c>
      <c r="R21" s="45"/>
      <c r="S21" s="217">
        <f t="shared" si="4"/>
        <v>0.74104806436590476</v>
      </c>
      <c r="T21" s="217">
        <f t="shared" si="5"/>
        <v>1.5200266879477629</v>
      </c>
      <c r="U21" s="218">
        <f t="shared" si="6"/>
        <v>2.832482035919881E-2</v>
      </c>
      <c r="V21" s="218">
        <f t="shared" si="7"/>
        <v>0.93574786584430381</v>
      </c>
      <c r="W21" s="218">
        <f t="shared" si="8"/>
        <v>0.51129845762234161</v>
      </c>
      <c r="X21" s="92">
        <f t="shared" si="9"/>
        <v>23.145648059975464</v>
      </c>
      <c r="Y21" s="216">
        <f t="shared" si="10"/>
        <v>0.71262434270611941</v>
      </c>
      <c r="AA21" s="93" t="str">
        <f>IF('MASTER PubCo Inputs'!B39=0,"",'MASTER PubCo Inputs'!B39)</f>
        <v>AMEX:SYN</v>
      </c>
      <c r="AB21" s="406">
        <f>'Beta Calc'!Z21</f>
        <v>29.879480000000001</v>
      </c>
      <c r="AC21" s="94">
        <f t="shared" si="11"/>
        <v>0</v>
      </c>
      <c r="AI21" s="95"/>
    </row>
    <row r="22" spans="2:35" ht="12.75" customHeight="1">
      <c r="B22" s="405" t="str">
        <f>'Comp.1'!B24</f>
        <v>Nexus BioPharma, Inc.</v>
      </c>
      <c r="D22" s="406">
        <f>'Beta Calc'!K22</f>
        <v>3.8515700000000002</v>
      </c>
      <c r="E22" s="406">
        <f>'Beta Calc'!L22</f>
        <v>0.36752000000000001</v>
      </c>
      <c r="F22" s="406">
        <f>'Beta Calc'!M22</f>
        <v>0</v>
      </c>
      <c r="G22" s="406">
        <f>'Beta Calc'!N22</f>
        <v>0</v>
      </c>
      <c r="H22" s="406">
        <f t="shared" si="1"/>
        <v>0.36752000000000001</v>
      </c>
      <c r="I22" s="406">
        <f t="shared" si="2"/>
        <v>4.2190900000000005</v>
      </c>
      <c r="J22" s="406">
        <f>'Beta Calc'!Q22</f>
        <v>8.43E-3</v>
      </c>
      <c r="K22" s="406">
        <f t="shared" si="3"/>
        <v>4.2106600000000007</v>
      </c>
      <c r="M22" s="56">
        <f>IFERROR('Capital IQ Sheet-GPC'!AT25,"n/a")</f>
        <v>0</v>
      </c>
      <c r="N22" s="406">
        <f t="shared" si="0"/>
        <v>3.0027397260273974</v>
      </c>
      <c r="O22" s="214">
        <f t="shared" si="0"/>
        <v>2.63013698630137E-2</v>
      </c>
      <c r="P22" s="215"/>
      <c r="Q22" s="216" t="str">
        <f>IFERROR(HLOOKUP($Q$6,'Equity Vol'!$B$8:$K22,ROWS('Equity Vol'!$C$8:$C22),FALSE),"n/a")</f>
        <v>NM</v>
      </c>
      <c r="R22" s="45"/>
      <c r="S22" s="217" t="str">
        <f t="shared" si="4"/>
        <v>n/a</v>
      </c>
      <c r="T22" s="217" t="str">
        <f t="shared" si="5"/>
        <v>n/a</v>
      </c>
      <c r="U22" s="218" t="str">
        <f t="shared" si="6"/>
        <v>n/a</v>
      </c>
      <c r="V22" s="218" t="str">
        <f t="shared" si="7"/>
        <v>n/a</v>
      </c>
      <c r="W22" s="218" t="str">
        <f t="shared" si="8"/>
        <v>n/a</v>
      </c>
      <c r="X22" s="92" t="str">
        <f t="shared" si="9"/>
        <v>n/a</v>
      </c>
      <c r="Y22" s="216" t="str">
        <f t="shared" si="10"/>
        <v>n/a</v>
      </c>
      <c r="AA22" s="93" t="str">
        <f>IF('MASTER PubCo Inputs'!B40=0,"",'MASTER PubCo Inputs'!B40)</f>
        <v>OTCPK:NEXS</v>
      </c>
      <c r="AB22" s="406">
        <f>'Beta Calc'!Z22</f>
        <v>4.2106599999999998</v>
      </c>
      <c r="AC22" s="94">
        <f t="shared" si="11"/>
        <v>0</v>
      </c>
      <c r="AI22" s="95"/>
    </row>
    <row r="23" spans="2:35" ht="12.75" customHeight="1">
      <c r="B23" s="405" t="str">
        <f>'Comp.1'!B25</f>
        <v>Ritter Pharmaceuticals, Inc.</v>
      </c>
      <c r="D23" s="406">
        <f>'Beta Calc'!K23</f>
        <v>12.90047</v>
      </c>
      <c r="E23" s="406">
        <f>'Beta Calc'!L23</f>
        <v>0</v>
      </c>
      <c r="F23" s="406">
        <f>'Beta Calc'!M23</f>
        <v>4.9489799999999997</v>
      </c>
      <c r="G23" s="406">
        <f>'Beta Calc'!N23</f>
        <v>0</v>
      </c>
      <c r="H23" s="406">
        <f t="shared" si="1"/>
        <v>4.9489799999999997</v>
      </c>
      <c r="I23" s="406">
        <f t="shared" si="2"/>
        <v>17.849450000000001</v>
      </c>
      <c r="J23" s="406">
        <f>'Beta Calc'!Q23</f>
        <v>18.91704</v>
      </c>
      <c r="K23" s="406">
        <f t="shared" si="3"/>
        <v>-1.0675899999999992</v>
      </c>
      <c r="M23" s="56">
        <f>IFERROR('Capital IQ Sheet-GPC'!AT26,"n/a")</f>
        <v>0</v>
      </c>
      <c r="N23" s="406">
        <f t="shared" si="0"/>
        <v>3.0027397260273974</v>
      </c>
      <c r="O23" s="214">
        <f t="shared" si="0"/>
        <v>2.63013698630137E-2</v>
      </c>
      <c r="P23" s="215"/>
      <c r="Q23" s="216">
        <f>IFERROR(HLOOKUP($Q$6,'Equity Vol'!$B$8:$K23,ROWS('Equity Vol'!$C$8:$C23),FALSE),"n/a")</f>
        <v>0.88676691262394824</v>
      </c>
      <c r="R23" s="45"/>
      <c r="S23" s="217">
        <f t="shared" si="4"/>
        <v>0.78635555732460904</v>
      </c>
      <c r="T23" s="217" t="e">
        <f t="shared" si="5"/>
        <v>#NUM!</v>
      </c>
      <c r="U23" s="218" t="e">
        <f t="shared" si="6"/>
        <v>#NUM!</v>
      </c>
      <c r="V23" s="218" t="e">
        <f t="shared" si="7"/>
        <v>#NUM!</v>
      </c>
      <c r="W23" s="218" t="e">
        <f t="shared" si="8"/>
        <v>#NUM!</v>
      </c>
      <c r="X23" s="92" t="str">
        <f>IFERROR(IF(OR(K23="n/a",S23="n/a"),"n/a",IF(M23=0,(K23*V23)-((H23*EXP(1)^(-O23*N23))*W23),(K23*(2.718^(-M23*N23))*V23)-(H23*(2.718^(-O23*N23))*W23))),"n/a")</f>
        <v>n/a</v>
      </c>
      <c r="Y23" s="216" t="str">
        <f t="shared" si="10"/>
        <v>n/a</v>
      </c>
      <c r="AA23" s="93" t="str">
        <f>IF('MASTER PubCo Inputs'!B41=0,"",'MASTER PubCo Inputs'!B41)</f>
        <v>NasdaqCM:RTTR</v>
      </c>
      <c r="AB23" s="406">
        <f>'Beta Calc'!Z23</f>
        <v>-1.06759</v>
      </c>
      <c r="AC23" s="94">
        <f t="shared" si="11"/>
        <v>0</v>
      </c>
      <c r="AI23" s="95"/>
    </row>
    <row r="24" spans="2:35" ht="12.75" hidden="1" customHeight="1" outlineLevel="1">
      <c r="D24" s="406"/>
      <c r="E24" s="406"/>
      <c r="F24" s="406"/>
      <c r="G24" s="406"/>
      <c r="H24" s="406"/>
      <c r="I24" s="406"/>
      <c r="J24" s="406"/>
      <c r="K24" s="406"/>
      <c r="M24" s="56"/>
      <c r="N24" s="406"/>
      <c r="O24" s="214"/>
      <c r="P24" s="215"/>
      <c r="Q24" s="216"/>
      <c r="R24" s="45"/>
      <c r="S24" s="217"/>
      <c r="T24" s="217"/>
      <c r="U24" s="218"/>
      <c r="V24" s="218"/>
      <c r="W24" s="218"/>
      <c r="X24" s="406"/>
      <c r="Y24" s="216"/>
      <c r="AA24" s="93"/>
      <c r="AB24" s="406"/>
      <c r="AC24" s="94"/>
      <c r="AI24" s="95"/>
    </row>
    <row r="25" spans="2:35" ht="12.75" hidden="1" customHeight="1" outlineLevel="1">
      <c r="D25" s="406"/>
      <c r="E25" s="406"/>
      <c r="F25" s="406"/>
      <c r="G25" s="406"/>
      <c r="H25" s="406"/>
      <c r="I25" s="406"/>
      <c r="J25" s="406"/>
      <c r="K25" s="406"/>
      <c r="M25" s="56"/>
      <c r="N25" s="406"/>
      <c r="O25" s="214"/>
      <c r="P25" s="215"/>
      <c r="Q25" s="216"/>
      <c r="R25" s="45"/>
      <c r="S25" s="217"/>
      <c r="T25" s="217"/>
      <c r="U25" s="218"/>
      <c r="V25" s="218"/>
      <c r="W25" s="218"/>
      <c r="X25" s="406"/>
      <c r="Y25" s="216"/>
      <c r="AA25" s="93"/>
      <c r="AB25" s="406"/>
      <c r="AC25" s="94"/>
      <c r="AI25" s="95"/>
    </row>
    <row r="26" spans="2:35" ht="12.75" hidden="1" customHeight="1" outlineLevel="1">
      <c r="D26" s="406"/>
      <c r="E26" s="406"/>
      <c r="F26" s="406"/>
      <c r="G26" s="406"/>
      <c r="H26" s="406"/>
      <c r="I26" s="406"/>
      <c r="J26" s="406"/>
      <c r="K26" s="406"/>
      <c r="M26" s="56"/>
      <c r="N26" s="406"/>
      <c r="O26" s="214"/>
      <c r="P26" s="215"/>
      <c r="Q26" s="216"/>
      <c r="R26" s="45"/>
      <c r="S26" s="217"/>
      <c r="T26" s="217"/>
      <c r="U26" s="218"/>
      <c r="V26" s="218"/>
      <c r="W26" s="218"/>
      <c r="X26" s="406"/>
      <c r="Y26" s="216"/>
      <c r="AA26" s="93"/>
      <c r="AB26" s="406"/>
      <c r="AC26" s="94"/>
      <c r="AI26" s="95"/>
    </row>
    <row r="27" spans="2:35" ht="12.75" hidden="1" customHeight="1" outlineLevel="1">
      <c r="D27" s="406"/>
      <c r="E27" s="406"/>
      <c r="F27" s="406"/>
      <c r="G27" s="406"/>
      <c r="H27" s="406"/>
      <c r="I27" s="406"/>
      <c r="J27" s="406"/>
      <c r="K27" s="406"/>
      <c r="M27" s="56"/>
      <c r="N27" s="406"/>
      <c r="O27" s="214"/>
      <c r="P27" s="215"/>
      <c r="Q27" s="216"/>
      <c r="R27" s="45"/>
      <c r="S27" s="217"/>
      <c r="T27" s="217"/>
      <c r="U27" s="218"/>
      <c r="V27" s="218"/>
      <c r="W27" s="218"/>
      <c r="X27" s="406"/>
      <c r="Y27" s="216"/>
      <c r="AA27" s="93"/>
      <c r="AB27" s="406"/>
      <c r="AC27" s="94"/>
      <c r="AI27" s="95"/>
    </row>
    <row r="28" spans="2:35" ht="12.75" hidden="1" customHeight="1" outlineLevel="1">
      <c r="D28" s="406"/>
      <c r="E28" s="406"/>
      <c r="F28" s="406"/>
      <c r="G28" s="406"/>
      <c r="H28" s="406"/>
      <c r="I28" s="406"/>
      <c r="J28" s="406"/>
      <c r="K28" s="406"/>
      <c r="M28" s="56"/>
      <c r="N28" s="406"/>
      <c r="O28" s="214"/>
      <c r="P28" s="215"/>
      <c r="Q28" s="216"/>
      <c r="R28" s="45"/>
      <c r="S28" s="217"/>
      <c r="T28" s="217"/>
      <c r="U28" s="218"/>
      <c r="V28" s="218"/>
      <c r="W28" s="218"/>
      <c r="X28" s="406"/>
      <c r="Y28" s="216"/>
      <c r="AA28" s="93"/>
      <c r="AB28" s="406"/>
      <c r="AC28" s="94"/>
      <c r="AI28" s="95"/>
    </row>
    <row r="29" spans="2:35" ht="12.75" hidden="1" customHeight="1" outlineLevel="1">
      <c r="D29" s="406"/>
      <c r="E29" s="406"/>
      <c r="F29" s="406"/>
      <c r="G29" s="406"/>
      <c r="H29" s="406"/>
      <c r="I29" s="406"/>
      <c r="J29" s="406"/>
      <c r="K29" s="406"/>
      <c r="M29" s="56"/>
      <c r="N29" s="406"/>
      <c r="O29" s="214"/>
      <c r="P29" s="215"/>
      <c r="Q29" s="216"/>
      <c r="R29" s="45"/>
      <c r="S29" s="217"/>
      <c r="T29" s="217"/>
      <c r="U29" s="218"/>
      <c r="V29" s="218"/>
      <c r="W29" s="218"/>
      <c r="X29" s="406"/>
      <c r="Y29" s="216"/>
      <c r="AA29" s="93"/>
      <c r="AB29" s="406"/>
      <c r="AC29" s="94"/>
      <c r="AI29" s="95"/>
    </row>
    <row r="30" spans="2:35" ht="12.75" hidden="1" customHeight="1" outlineLevel="1">
      <c r="D30" s="406"/>
      <c r="E30" s="406"/>
      <c r="F30" s="406"/>
      <c r="G30" s="406"/>
      <c r="H30" s="406"/>
      <c r="I30" s="406"/>
      <c r="J30" s="406"/>
      <c r="K30" s="406"/>
      <c r="M30" s="56"/>
      <c r="N30" s="406"/>
      <c r="O30" s="214"/>
      <c r="P30" s="215"/>
      <c r="Q30" s="216"/>
      <c r="R30" s="45"/>
      <c r="S30" s="217"/>
      <c r="T30" s="217"/>
      <c r="U30" s="218"/>
      <c r="V30" s="218"/>
      <c r="W30" s="218"/>
      <c r="X30" s="406"/>
      <c r="Y30" s="216"/>
      <c r="AA30" s="93"/>
      <c r="AB30" s="406"/>
      <c r="AC30" s="94"/>
      <c r="AI30" s="95"/>
    </row>
    <row r="31" spans="2:35" ht="12.75" hidden="1" customHeight="1" outlineLevel="1">
      <c r="D31" s="406"/>
      <c r="E31" s="406"/>
      <c r="F31" s="406"/>
      <c r="G31" s="406"/>
      <c r="H31" s="406"/>
      <c r="I31" s="406"/>
      <c r="J31" s="406"/>
      <c r="K31" s="406"/>
      <c r="M31" s="56"/>
      <c r="N31" s="406"/>
      <c r="O31" s="214"/>
      <c r="P31" s="215"/>
      <c r="Q31" s="216"/>
      <c r="R31" s="45"/>
      <c r="S31" s="217"/>
      <c r="T31" s="217"/>
      <c r="U31" s="218"/>
      <c r="V31" s="218"/>
      <c r="W31" s="218"/>
      <c r="X31" s="406"/>
      <c r="Y31" s="216"/>
      <c r="AA31" s="93"/>
      <c r="AB31" s="406"/>
      <c r="AC31" s="94"/>
      <c r="AI31" s="95"/>
    </row>
    <row r="32" spans="2:35" ht="12.75" hidden="1" customHeight="1" outlineLevel="1">
      <c r="D32" s="406"/>
      <c r="E32" s="406"/>
      <c r="F32" s="406"/>
      <c r="G32" s="406"/>
      <c r="H32" s="406"/>
      <c r="I32" s="406"/>
      <c r="J32" s="406"/>
      <c r="K32" s="406"/>
      <c r="M32" s="56"/>
      <c r="N32" s="406"/>
      <c r="O32" s="214"/>
      <c r="P32" s="215"/>
      <c r="Q32" s="216"/>
      <c r="R32" s="45"/>
      <c r="S32" s="217"/>
      <c r="T32" s="217"/>
      <c r="U32" s="218"/>
      <c r="V32" s="218"/>
      <c r="W32" s="218"/>
      <c r="X32" s="406"/>
      <c r="Y32" s="216"/>
      <c r="AA32" s="93"/>
      <c r="AB32" s="406"/>
      <c r="AC32" s="94"/>
      <c r="AI32" s="95"/>
    </row>
    <row r="33" spans="2:35" ht="12.75" hidden="1" customHeight="1" outlineLevel="1">
      <c r="D33" s="406"/>
      <c r="E33" s="406"/>
      <c r="F33" s="406"/>
      <c r="G33" s="406"/>
      <c r="H33" s="406"/>
      <c r="I33" s="406"/>
      <c r="J33" s="406"/>
      <c r="K33" s="406"/>
      <c r="M33" s="56"/>
      <c r="N33" s="406"/>
      <c r="O33" s="214"/>
      <c r="P33" s="215"/>
      <c r="Q33" s="216"/>
      <c r="R33" s="45"/>
      <c r="S33" s="217"/>
      <c r="T33" s="217"/>
      <c r="U33" s="218"/>
      <c r="V33" s="218"/>
      <c r="W33" s="218"/>
      <c r="X33" s="406"/>
      <c r="Y33" s="216"/>
      <c r="AA33" s="93"/>
      <c r="AB33" s="406"/>
      <c r="AC33" s="94"/>
      <c r="AI33" s="95"/>
    </row>
    <row r="34" spans="2:35" ht="12.75" hidden="1" customHeight="1" outlineLevel="1">
      <c r="D34" s="406"/>
      <c r="E34" s="406"/>
      <c r="F34" s="406"/>
      <c r="G34" s="406"/>
      <c r="H34" s="406"/>
      <c r="I34" s="406"/>
      <c r="J34" s="406"/>
      <c r="K34" s="406"/>
      <c r="M34" s="56"/>
      <c r="N34" s="406"/>
      <c r="O34" s="214"/>
      <c r="P34" s="215"/>
      <c r="Q34" s="216"/>
      <c r="R34" s="45"/>
      <c r="S34" s="217"/>
      <c r="T34" s="217"/>
      <c r="U34" s="218"/>
      <c r="V34" s="218"/>
      <c r="W34" s="218"/>
      <c r="X34" s="406"/>
      <c r="Y34" s="216"/>
      <c r="AA34" s="93"/>
      <c r="AB34" s="406"/>
      <c r="AC34" s="94"/>
      <c r="AI34" s="95"/>
    </row>
    <row r="35" spans="2:35" ht="12.75" hidden="1" customHeight="1" outlineLevel="1">
      <c r="D35" s="406"/>
      <c r="E35" s="406"/>
      <c r="F35" s="406"/>
      <c r="G35" s="406"/>
      <c r="H35" s="406"/>
      <c r="I35" s="406"/>
      <c r="J35" s="406"/>
      <c r="K35" s="406"/>
      <c r="M35" s="56"/>
      <c r="N35" s="406"/>
      <c r="O35" s="214"/>
      <c r="P35" s="215"/>
      <c r="Q35" s="216"/>
      <c r="R35" s="45"/>
      <c r="S35" s="217"/>
      <c r="T35" s="217"/>
      <c r="U35" s="218"/>
      <c r="V35" s="218"/>
      <c r="W35" s="218"/>
      <c r="X35" s="406"/>
      <c r="Y35" s="216"/>
      <c r="AA35" s="93"/>
      <c r="AB35" s="406"/>
      <c r="AC35" s="94"/>
      <c r="AI35" s="95"/>
    </row>
    <row r="36" spans="2:35" ht="12.75" hidden="1" customHeight="1" outlineLevel="1">
      <c r="D36" s="406"/>
      <c r="E36" s="406"/>
      <c r="F36" s="406"/>
      <c r="G36" s="406"/>
      <c r="H36" s="406"/>
      <c r="I36" s="406"/>
      <c r="J36" s="406"/>
      <c r="K36" s="406"/>
      <c r="M36" s="56"/>
      <c r="N36" s="406"/>
      <c r="O36" s="214"/>
      <c r="P36" s="215"/>
      <c r="Q36" s="216"/>
      <c r="R36" s="45"/>
      <c r="S36" s="217"/>
      <c r="T36" s="217"/>
      <c r="U36" s="218"/>
      <c r="V36" s="218"/>
      <c r="W36" s="218"/>
      <c r="X36" s="406"/>
      <c r="Y36" s="216"/>
      <c r="AA36" s="93"/>
      <c r="AB36" s="406"/>
      <c r="AC36" s="94"/>
      <c r="AI36" s="95"/>
    </row>
    <row r="37" spans="2:35" ht="12.75" hidden="1" customHeight="1" outlineLevel="1">
      <c r="D37" s="406"/>
      <c r="E37" s="406"/>
      <c r="F37" s="406"/>
      <c r="G37" s="406"/>
      <c r="H37" s="406"/>
      <c r="I37" s="406"/>
      <c r="J37" s="406"/>
      <c r="K37" s="406"/>
      <c r="M37" s="56"/>
      <c r="N37" s="406"/>
      <c r="O37" s="214"/>
      <c r="P37" s="215"/>
      <c r="Q37" s="216"/>
      <c r="R37" s="45"/>
      <c r="S37" s="217"/>
      <c r="T37" s="217"/>
      <c r="U37" s="218"/>
      <c r="V37" s="218"/>
      <c r="W37" s="218"/>
      <c r="X37" s="406"/>
      <c r="Y37" s="216"/>
      <c r="AA37" s="93"/>
      <c r="AB37" s="406"/>
      <c r="AC37" s="94"/>
      <c r="AI37" s="95"/>
    </row>
    <row r="38" spans="2:35" ht="12.75" hidden="1" customHeight="1" outlineLevel="1">
      <c r="D38" s="406"/>
      <c r="E38" s="406"/>
      <c r="F38" s="406"/>
      <c r="G38" s="406"/>
      <c r="H38" s="406"/>
      <c r="I38" s="406"/>
      <c r="J38" s="406"/>
      <c r="K38" s="406"/>
      <c r="M38" s="56"/>
      <c r="N38" s="406"/>
      <c r="O38" s="214"/>
      <c r="P38" s="215"/>
      <c r="Q38" s="216"/>
      <c r="R38" s="45"/>
      <c r="S38" s="217"/>
      <c r="T38" s="217"/>
      <c r="U38" s="218"/>
      <c r="V38" s="218"/>
      <c r="W38" s="218"/>
      <c r="X38" s="406"/>
      <c r="Y38" s="216"/>
      <c r="AA38" s="93"/>
      <c r="AB38" s="406"/>
      <c r="AC38" s="94"/>
      <c r="AI38" s="95"/>
    </row>
    <row r="39" spans="2:35" ht="12.75" customHeight="1" collapsed="1">
      <c r="D39" s="406"/>
      <c r="E39" s="406"/>
      <c r="F39" s="406"/>
      <c r="G39" s="406"/>
      <c r="H39" s="406"/>
      <c r="I39" s="406"/>
      <c r="J39" s="406"/>
      <c r="K39" s="406"/>
      <c r="R39" s="21"/>
    </row>
    <row r="40" spans="2:35" ht="12.75" customHeight="1">
      <c r="B40" s="766" t="s">
        <v>111</v>
      </c>
      <c r="C40" s="782"/>
      <c r="D40" s="781">
        <f t="shared" ref="D40:K40" si="12">MAX(D10:D38)</f>
        <v>1906.0925500000001</v>
      </c>
      <c r="E40" s="781">
        <f t="shared" si="12"/>
        <v>236.50700000000001</v>
      </c>
      <c r="F40" s="781">
        <f t="shared" si="12"/>
        <v>12.112</v>
      </c>
      <c r="G40" s="781">
        <f t="shared" si="12"/>
        <v>0</v>
      </c>
      <c r="H40" s="781">
        <f t="shared" si="12"/>
        <v>236.50700000000001</v>
      </c>
      <c r="I40" s="781">
        <f t="shared" si="12"/>
        <v>1906.0925500000001</v>
      </c>
      <c r="J40" s="781">
        <f t="shared" si="12"/>
        <v>298.06299999999999</v>
      </c>
      <c r="K40" s="781">
        <f t="shared" si="12"/>
        <v>1608.0295500000002</v>
      </c>
      <c r="L40" s="782"/>
      <c r="M40" s="786">
        <f>MAX(M10:M38)</f>
        <v>0</v>
      </c>
      <c r="N40" s="781">
        <f>MAX(N10:N38)</f>
        <v>3.0027397260273974</v>
      </c>
      <c r="O40" s="788">
        <f>MAX(O10:O38)</f>
        <v>2.63013698630137E-2</v>
      </c>
      <c r="P40" s="789"/>
      <c r="Q40" s="790">
        <f>MAX(Q10:Q38)</f>
        <v>1.1302394832325817</v>
      </c>
      <c r="R40" s="791"/>
      <c r="S40" s="792">
        <f>MAX(S10:S39)</f>
        <v>1.2774412894578533</v>
      </c>
      <c r="T40" s="792" t="e">
        <f>MAX(T10:T39)</f>
        <v>#NUM!</v>
      </c>
      <c r="U40" s="793" t="e">
        <f>MAX(U10:U39)</f>
        <v>#NUM!</v>
      </c>
      <c r="V40" s="793" t="e">
        <f>MAX(V10:V39)</f>
        <v>#NUM!</v>
      </c>
      <c r="W40" s="793" t="e">
        <f>MAX(W10:W39)</f>
        <v>#NUM!</v>
      </c>
      <c r="X40" s="781">
        <f>MAX(X10:X38)</f>
        <v>279.94898882055389</v>
      </c>
      <c r="Y40" s="794">
        <f>MAX(Y10:Y38)</f>
        <v>1.0822251262591387</v>
      </c>
      <c r="AB40" s="825">
        <f>+'Asset Vol_IPO Phase I'!Y47</f>
        <v>0.74099999999999999</v>
      </c>
      <c r="AC40" s="826" t="s">
        <v>1216</v>
      </c>
      <c r="AD40" s="826"/>
      <c r="AE40" s="826"/>
      <c r="AF40" s="803"/>
    </row>
    <row r="41" spans="2:35" ht="12.75" customHeight="1">
      <c r="B41" s="366" t="s">
        <v>115</v>
      </c>
      <c r="C41" s="79"/>
      <c r="D41" s="101">
        <f t="shared" ref="D41:K41" si="13">QUARTILE(D10:D38,3)</f>
        <v>564.60603750000007</v>
      </c>
      <c r="E41" s="101">
        <f t="shared" si="13"/>
        <v>0.27564</v>
      </c>
      <c r="F41" s="101">
        <f t="shared" si="13"/>
        <v>0</v>
      </c>
      <c r="G41" s="101">
        <f t="shared" si="13"/>
        <v>0</v>
      </c>
      <c r="H41" s="101">
        <f t="shared" si="13"/>
        <v>4.0620500000000002</v>
      </c>
      <c r="I41" s="101">
        <f t="shared" si="13"/>
        <v>569.64603750000003</v>
      </c>
      <c r="J41" s="101">
        <f t="shared" si="13"/>
        <v>132.88825</v>
      </c>
      <c r="K41" s="101">
        <f t="shared" si="13"/>
        <v>383.73003750000009</v>
      </c>
      <c r="L41" s="79"/>
      <c r="M41" s="143">
        <f>QUARTILE(M10:M38,3)</f>
        <v>0</v>
      </c>
      <c r="N41" s="101">
        <f>QUARTILE(N10:N38,3)</f>
        <v>3.0027397260273974</v>
      </c>
      <c r="O41" s="219">
        <f>QUARTILE(O10:O38,3)</f>
        <v>2.63013698630137E-2</v>
      </c>
      <c r="P41" s="220"/>
      <c r="Q41" s="221">
        <f>QUARTILE(Q10:Q38,3)</f>
        <v>0.95283476836360548</v>
      </c>
      <c r="R41" s="222"/>
      <c r="S41" s="223">
        <f>QUARTILE(S10:S39,3)</f>
        <v>0.90852862056203798</v>
      </c>
      <c r="T41" s="223" t="e">
        <f>QUARTILE(T10:T39,3)</f>
        <v>#NUM!</v>
      </c>
      <c r="U41" s="224" t="e">
        <f>QUARTILE(U10:U39,3)</f>
        <v>#NUM!</v>
      </c>
      <c r="V41" s="224" t="e">
        <f>QUARTILE(V10:V39,3)</f>
        <v>#NUM!</v>
      </c>
      <c r="W41" s="224" t="e">
        <f>QUARTILE(W10:W39,3)</f>
        <v>#NUM!</v>
      </c>
      <c r="X41" s="101">
        <f>QUARTILE(X10:X38,3)</f>
        <v>24.74558541992652</v>
      </c>
      <c r="Y41" s="225">
        <f>QUARTILE(Y10:Y38,3)</f>
        <v>0.96737809168294175</v>
      </c>
      <c r="AB41" s="827">
        <f>+'Asset Vol_IPO Phase I'!Y49</f>
        <v>0.74099751398286062</v>
      </c>
      <c r="AC41" s="16" t="s">
        <v>1217</v>
      </c>
      <c r="AD41" s="16"/>
      <c r="AE41" s="16"/>
      <c r="AF41" s="204"/>
    </row>
    <row r="42" spans="2:35" ht="12.75" customHeight="1">
      <c r="B42" s="366" t="s">
        <v>113</v>
      </c>
      <c r="C42" s="79"/>
      <c r="D42" s="101">
        <f t="shared" ref="D42:K42" si="14">AVERAGE(D10:D38)</f>
        <v>406.69437642857145</v>
      </c>
      <c r="E42" s="101">
        <f t="shared" si="14"/>
        <v>18.459698571428572</v>
      </c>
      <c r="F42" s="101">
        <f t="shared" si="14"/>
        <v>1.2186414285714287</v>
      </c>
      <c r="G42" s="101">
        <f t="shared" si="14"/>
        <v>-0.13735714285714287</v>
      </c>
      <c r="H42" s="101">
        <f t="shared" si="14"/>
        <v>19.540982857142861</v>
      </c>
      <c r="I42" s="101">
        <f t="shared" si="14"/>
        <v>426.23535928571425</v>
      </c>
      <c r="J42" s="101">
        <f t="shared" si="14"/>
        <v>90.206330714285741</v>
      </c>
      <c r="K42" s="101">
        <f t="shared" si="14"/>
        <v>336.02902857142857</v>
      </c>
      <c r="L42" s="79"/>
      <c r="M42" s="143">
        <f>AVERAGE(M10:M38)</f>
        <v>0</v>
      </c>
      <c r="N42" s="101">
        <f>AVERAGE(N10:N38)</f>
        <v>3.0027397260273974</v>
      </c>
      <c r="O42" s="219">
        <f>AVERAGE(O10:O38)</f>
        <v>2.6301369863013697E-2</v>
      </c>
      <c r="P42" s="220"/>
      <c r="Q42" s="221">
        <f>AVERAGE(Q10:Q38)</f>
        <v>0.83392033368781038</v>
      </c>
      <c r="R42" s="222"/>
      <c r="S42" s="223">
        <f>AVERAGE(S10:S39)</f>
        <v>0.72868966042813754</v>
      </c>
      <c r="T42" s="223" t="e">
        <f>AVERAGE(T10:T39)</f>
        <v>#NUM!</v>
      </c>
      <c r="U42" s="224" t="e">
        <f>AVERAGE(U10:U39)</f>
        <v>#NUM!</v>
      </c>
      <c r="V42" s="224" t="e">
        <f>AVERAGE(V10:V39)</f>
        <v>#NUM!</v>
      </c>
      <c r="W42" s="224" t="e">
        <f>AVERAGE(W10:W39)</f>
        <v>#NUM!</v>
      </c>
      <c r="X42" s="101">
        <f>AVERAGE(X10:X38)</f>
        <v>48.446606223480416</v>
      </c>
      <c r="Y42" s="225">
        <f>AVERAGE(Y10:Y38)</f>
        <v>0.78066225303382064</v>
      </c>
      <c r="AB42" s="827">
        <f>+'Asset Vol_IPO Phase I'!Y43</f>
        <v>0.74099767206184253</v>
      </c>
      <c r="AC42" s="16" t="s">
        <v>1215</v>
      </c>
      <c r="AD42" s="16"/>
      <c r="AE42" s="16"/>
      <c r="AF42" s="828" t="s">
        <v>1352</v>
      </c>
    </row>
    <row r="43" spans="2:35" ht="12.75" customHeight="1">
      <c r="B43" s="366" t="s">
        <v>44</v>
      </c>
      <c r="C43" s="79"/>
      <c r="D43" s="101">
        <f t="shared" ref="D43:K43" si="15">MEDIAN(D10:D38)</f>
        <v>164.41385500000001</v>
      </c>
      <c r="E43" s="101">
        <f t="shared" si="15"/>
        <v>0</v>
      </c>
      <c r="F43" s="101">
        <f t="shared" si="15"/>
        <v>0</v>
      </c>
      <c r="G43" s="101">
        <f t="shared" si="15"/>
        <v>0</v>
      </c>
      <c r="H43" s="101">
        <f t="shared" si="15"/>
        <v>0</v>
      </c>
      <c r="I43" s="101">
        <f t="shared" si="15"/>
        <v>262.24737500000003</v>
      </c>
      <c r="J43" s="101">
        <f t="shared" si="15"/>
        <v>57.363289999999992</v>
      </c>
      <c r="K43" s="101">
        <f t="shared" si="15"/>
        <v>153.45654500000001</v>
      </c>
      <c r="L43" s="79"/>
      <c r="M43" s="143">
        <f>MEDIAN(M10:M38)</f>
        <v>0</v>
      </c>
      <c r="N43" s="101">
        <f>MEDIAN(N10:N38)</f>
        <v>3.0027397260273974</v>
      </c>
      <c r="O43" s="219">
        <f>MEDIAN(O10:O38)</f>
        <v>2.63013698630137E-2</v>
      </c>
      <c r="P43" s="220"/>
      <c r="Q43" s="221">
        <f>MEDIAN(Q10:Q38)</f>
        <v>0.87380419941281051</v>
      </c>
      <c r="R43" s="222"/>
      <c r="S43" s="223">
        <f>MEDIAN(S10:S39)</f>
        <v>0.7637018108452569</v>
      </c>
      <c r="T43" s="223" t="e">
        <f>MEDIAN(T10:T39)</f>
        <v>#NUM!</v>
      </c>
      <c r="U43" s="224" t="e">
        <f>MEDIAN(U10:U39)</f>
        <v>#NUM!</v>
      </c>
      <c r="V43" s="224" t="e">
        <f>MEDIAN(V10:V39)</f>
        <v>#NUM!</v>
      </c>
      <c r="W43" s="224" t="e">
        <f>MEDIAN(W10:W39)</f>
        <v>#NUM!</v>
      </c>
      <c r="X43" s="101">
        <f>MEDIAN(X10:X38)</f>
        <v>0</v>
      </c>
      <c r="Y43" s="225">
        <f>MEDIAN(Y10:Y38)</f>
        <v>0.74099767206184253</v>
      </c>
      <c r="AB43" s="829" t="str">
        <f>IF(ROUND(AB40,3)=ROUND(AB42,3),"","Update Volatility - OPM")</f>
        <v/>
      </c>
      <c r="AC43" s="16"/>
      <c r="AD43" s="16"/>
      <c r="AE43" s="16"/>
      <c r="AF43" s="204"/>
    </row>
    <row r="44" spans="2:35" ht="12.75" customHeight="1">
      <c r="B44" s="366" t="s">
        <v>114</v>
      </c>
      <c r="C44" s="79"/>
      <c r="D44" s="101">
        <f t="shared" ref="D44:K44" si="16">QUARTILE(D10:D38,1)</f>
        <v>52.922474999999999</v>
      </c>
      <c r="E44" s="101">
        <f t="shared" si="16"/>
        <v>0</v>
      </c>
      <c r="F44" s="101">
        <f t="shared" si="16"/>
        <v>0</v>
      </c>
      <c r="G44" s="101">
        <f t="shared" si="16"/>
        <v>0</v>
      </c>
      <c r="H44" s="101">
        <f t="shared" si="16"/>
        <v>0</v>
      </c>
      <c r="I44" s="101">
        <f t="shared" si="16"/>
        <v>52.922474999999999</v>
      </c>
      <c r="J44" s="101">
        <f t="shared" si="16"/>
        <v>11.994250000000001</v>
      </c>
      <c r="K44" s="101">
        <f t="shared" si="16"/>
        <v>41.351739999999999</v>
      </c>
      <c r="L44" s="79"/>
      <c r="M44" s="143">
        <f>QUARTILE(M10:M38,1)</f>
        <v>0</v>
      </c>
      <c r="N44" s="101">
        <f>QUARTILE(N10:N38,1)</f>
        <v>3.0027397260273974</v>
      </c>
      <c r="O44" s="219">
        <f>QUARTILE(O10:O38,1)</f>
        <v>2.63013698630137E-2</v>
      </c>
      <c r="P44" s="220"/>
      <c r="Q44" s="221">
        <f>QUARTILE(Q10:Q38,1)</f>
        <v>0.68053136143192128</v>
      </c>
      <c r="R44" s="222"/>
      <c r="S44" s="223">
        <f>QUARTILE(S10:S39,1)</f>
        <v>0.46404189295587528</v>
      </c>
      <c r="T44" s="223" t="e">
        <f>QUARTILE(T10:T39,1)</f>
        <v>#NUM!</v>
      </c>
      <c r="U44" s="224" t="e">
        <f>QUARTILE(U10:U39,1)</f>
        <v>#NUM!</v>
      </c>
      <c r="V44" s="224" t="e">
        <f>QUARTILE(V10:V39,1)</f>
        <v>#NUM!</v>
      </c>
      <c r="W44" s="224" t="e">
        <f>QUARTILE(W10:W39,1)</f>
        <v>#NUM!</v>
      </c>
      <c r="X44" s="101">
        <f>QUARTILE(X10:X38,1)</f>
        <v>0</v>
      </c>
      <c r="Y44" s="225">
        <f>QUARTILE(Y10:Y38,1)</f>
        <v>0.61991222710535121</v>
      </c>
      <c r="AB44" s="830" t="str">
        <f>IF(ROUND(AB41,3)=ROUND(AB42,3),"","Update Volatility - DLOM")</f>
        <v/>
      </c>
      <c r="AC44" s="5"/>
      <c r="AD44" s="5"/>
      <c r="AE44" s="5"/>
      <c r="AF44" s="448"/>
    </row>
    <row r="45" spans="2:35" ht="12.75" customHeight="1">
      <c r="B45" s="103" t="s">
        <v>112</v>
      </c>
      <c r="C45" s="72"/>
      <c r="D45" s="75">
        <f t="shared" ref="D45:K45" si="17">MIN(D10:D38)</f>
        <v>3.8515700000000002</v>
      </c>
      <c r="E45" s="75">
        <f t="shared" si="17"/>
        <v>0</v>
      </c>
      <c r="F45" s="75">
        <f t="shared" si="17"/>
        <v>0</v>
      </c>
      <c r="G45" s="75">
        <f t="shared" si="17"/>
        <v>-1.923</v>
      </c>
      <c r="H45" s="75">
        <f t="shared" si="17"/>
        <v>0</v>
      </c>
      <c r="I45" s="75">
        <f t="shared" si="17"/>
        <v>4.2190900000000005</v>
      </c>
      <c r="J45" s="75">
        <f t="shared" si="17"/>
        <v>8.43E-3</v>
      </c>
      <c r="K45" s="75">
        <f t="shared" si="17"/>
        <v>-1.0675899999999992</v>
      </c>
      <c r="L45" s="72"/>
      <c r="M45" s="145">
        <f>MIN(M10:M38)</f>
        <v>0</v>
      </c>
      <c r="N45" s="75">
        <f>MIN(N10:N38)</f>
        <v>3.0027397260273974</v>
      </c>
      <c r="O45" s="795">
        <f>MIN(O10:O38)</f>
        <v>2.63013698630137E-2</v>
      </c>
      <c r="P45" s="796"/>
      <c r="Q45" s="797">
        <f>MIN(Q10:Q38)</f>
        <v>0.52958074472522787</v>
      </c>
      <c r="R45" s="798"/>
      <c r="S45" s="799">
        <f>MIN(S10:S39)</f>
        <v>0.28045576518372695</v>
      </c>
      <c r="T45" s="799" t="e">
        <f>MIN(T10:T39)</f>
        <v>#NUM!</v>
      </c>
      <c r="U45" s="800" t="e">
        <f>MIN(U10:U39)</f>
        <v>#NUM!</v>
      </c>
      <c r="V45" s="800" t="e">
        <f>MIN(V10:V39)</f>
        <v>#NUM!</v>
      </c>
      <c r="W45" s="800" t="e">
        <f>MIN(W10:W39)</f>
        <v>#NUM!</v>
      </c>
      <c r="X45" s="75">
        <f>MIN(X10:X38)</f>
        <v>0</v>
      </c>
      <c r="Y45" s="801">
        <f>MIN(Y10:Y38)</f>
        <v>0.36708429322060054</v>
      </c>
      <c r="AB45" s="515" t="str">
        <f>IF(K47&lt;&gt;K49,"Check","")</f>
        <v/>
      </c>
    </row>
    <row r="46" spans="2:35" ht="12.75" customHeight="1">
      <c r="AB46" s="958" t="str">
        <f>IF(AND(AB43=$AF$44,AB45=$AF$44,AB44=$AF$44),"","Check")</f>
        <v/>
      </c>
    </row>
    <row r="47" spans="2:35" ht="12.75" hidden="1" customHeight="1" outlineLevel="1">
      <c r="B47" s="226" t="str">
        <f>B2</f>
        <v>Kallyope, Inc.</v>
      </c>
      <c r="C47" s="480" t="s">
        <v>209</v>
      </c>
      <c r="D47" s="1753">
        <f>'Val Summ'!D9/1000</f>
        <v>143.33000000000001</v>
      </c>
      <c r="E47" s="1754">
        <f>'Hist BS'!G55/1000</f>
        <v>0</v>
      </c>
      <c r="F47" s="227"/>
      <c r="G47" s="227"/>
      <c r="H47" s="228">
        <f>SUM(E47:G47)</f>
        <v>0</v>
      </c>
      <c r="I47" s="228">
        <f>SUM(D47:G47)</f>
        <v>143.33000000000001</v>
      </c>
      <c r="J47" s="227"/>
      <c r="K47" s="228">
        <f>I47-J47</f>
        <v>143.33000000000001</v>
      </c>
      <c r="L47" s="227"/>
      <c r="M47" s="229">
        <f>'PWERM Waterfall n Allocation'!D13</f>
        <v>0</v>
      </c>
      <c r="N47" s="230">
        <f>N$6</f>
        <v>3.0027397260273974</v>
      </c>
      <c r="O47" s="231">
        <f>O$6</f>
        <v>2.63013698630137E-2</v>
      </c>
      <c r="P47" s="232"/>
      <c r="Q47" s="233">
        <v>0.74099999999999999</v>
      </c>
      <c r="R47" s="227"/>
      <c r="S47" s="234">
        <f>IF(Q47="n/a","n/a",Q47^2)</f>
        <v>0.54908100000000004</v>
      </c>
      <c r="T47" s="234">
        <f>IF(OR(K47="n/a",S47="n/a"),"n/a",IF(H47=0,0,IF(M47=0,(LN(K47/H47)+((O47+(S47/2))*N47))/((S47*N47)^0.5),(LN(K47/H47)+((O47-M47+(S47/2))*N47))/((S47*N47)^0.5))))</f>
        <v>0</v>
      </c>
      <c r="U47" s="235">
        <f>IF(T47="n/a","n/a",IF(H47=0,0,T47-(S47*N47)^0.5))</f>
        <v>0</v>
      </c>
      <c r="V47" s="235">
        <f>IF(OR(T47="n/a",S47="n/a"),"n/a",IF(H47=0,0,NORMSDIST(T47)))</f>
        <v>0</v>
      </c>
      <c r="W47" s="235">
        <f>IF(OR(U47="n/a",S47="n/a"),"n/a",IF(H47=0,0,NORMSDIST(U47)))</f>
        <v>0</v>
      </c>
      <c r="X47" s="235">
        <f>IF(OR(K47="n/a",S47="n/a"),"n/a",IF(M47=0,(K47*V47)-((H47*EXP(1)^(-O47*N47))*W47),(K47*(2.718^(-M47*N47))*V47)-(H47*(2.718^(-O47*N47))*W47)))</f>
        <v>0</v>
      </c>
      <c r="Y47" s="236">
        <f>IF(LEN(B47)&gt;0,IF(H47=0,Q47,IF(ISERROR(Q47/((K47/X47)*V47)),"n/a",Q47/((K47/X47)*V47))))</f>
        <v>0.74099999999999999</v>
      </c>
    </row>
    <row r="48" spans="2:35" ht="12.75" hidden="1" customHeight="1" outlineLevel="1">
      <c r="C48" s="78"/>
      <c r="D48" s="78"/>
      <c r="E48" s="78"/>
      <c r="F48" s="78"/>
      <c r="G48" s="78"/>
      <c r="H48" s="78"/>
      <c r="I48" s="78"/>
      <c r="J48" s="78"/>
    </row>
    <row r="49" spans="1:25" ht="12.75" customHeight="1" collapsed="1">
      <c r="B49" s="226" t="str">
        <f>B47</f>
        <v>Kallyope, Inc.</v>
      </c>
      <c r="C49" s="480" t="s">
        <v>209</v>
      </c>
      <c r="D49" s="1753">
        <f>D47</f>
        <v>143.33000000000001</v>
      </c>
      <c r="E49" s="1754">
        <f>PWERM!B131/1000+E47</f>
        <v>64.359807910807731</v>
      </c>
      <c r="F49" s="227"/>
      <c r="G49" s="227"/>
      <c r="H49" s="228">
        <f>SUM(E49:G49)</f>
        <v>64.359807910807731</v>
      </c>
      <c r="I49" s="230">
        <f>I47</f>
        <v>143.33000000000001</v>
      </c>
      <c r="J49" s="227"/>
      <c r="K49" s="237">
        <f>K47</f>
        <v>143.33000000000001</v>
      </c>
      <c r="L49" s="227"/>
      <c r="M49" s="238">
        <f>M47</f>
        <v>0</v>
      </c>
      <c r="N49" s="230">
        <f>N$6</f>
        <v>3.0027397260273974</v>
      </c>
      <c r="O49" s="231">
        <f>O$6</f>
        <v>2.63013698630137E-2</v>
      </c>
      <c r="P49" s="232"/>
      <c r="Q49" s="233">
        <v>0.91043370816821678</v>
      </c>
      <c r="R49" s="227"/>
      <c r="S49" s="234">
        <f>IF(Q49="n/a","n/a",Q49^2)</f>
        <v>0.82888953696892975</v>
      </c>
      <c r="T49" s="234">
        <f>IF(OR(K49="n/a",S49="n/a"),"n/a",IF(H49=0,0,IF(M49=0,(LN(K49/H49)+((O49+(S49/2))*N49))/((S49*N49)^0.5),(LN(K49/H49)+((O49-M49+(S49/2))*N49))/((S49*N49)^0.5))))</f>
        <v>1.3463843853002426</v>
      </c>
      <c r="U49" s="235">
        <f>IF(T49="n/a","n/a",IF(H49=0,0,T49-(S49*N49)^0.5))</f>
        <v>-0.23125294347499281</v>
      </c>
      <c r="V49" s="235">
        <f>IF(OR(T49="n/a",S49="n/a"),"n/a",IF(H49=0,0,NORMSDIST(T49)))</f>
        <v>0.9109107079784815</v>
      </c>
      <c r="W49" s="235">
        <f>IF(OR(U49="n/a",S49="n/a"),"n/a",IF(H49=0,0,NORMSDIST(U49)))</f>
        <v>0.40855915076568849</v>
      </c>
      <c r="X49" s="235">
        <f>IF(OR(K49="n/a",S49="n/a"),"n/a",IF(M49=0,(K49*V49)-((H49*EXP(1)^(-O49*N49))*W49),(K49*(2.718^(-M49*N49))*V49)-(H49*(2.718^(-O49*N49))*W49)))</f>
        <v>106.26281836942388</v>
      </c>
      <c r="Y49" s="236">
        <f>IF(LEN(B49)&gt;0,IF(H49=0,Q49,IF(ISERROR(Q49/((K49/X49)*V49)),"n/a",Q49/((K49/X49)*V49))))</f>
        <v>0.74099751398286062</v>
      </c>
    </row>
    <row r="50" spans="1:25" ht="12.75" customHeight="1"/>
    <row r="51" spans="1:25" ht="12.75" customHeight="1">
      <c r="B51" s="8" t="s">
        <v>86</v>
      </c>
    </row>
    <row r="52" spans="1:25" ht="12.75" customHeight="1">
      <c r="A52" s="718" t="s">
        <v>210</v>
      </c>
      <c r="B52" s="17" t="s">
        <v>837</v>
      </c>
    </row>
    <row r="53" spans="1:25" s="78" customFormat="1" ht="12.75" customHeight="1">
      <c r="A53" s="719" t="str">
        <f>C49</f>
        <v>(2)</v>
      </c>
      <c r="B53" s="1752" t="s">
        <v>2578</v>
      </c>
      <c r="P53" s="21"/>
    </row>
    <row r="54" spans="1:25" ht="12.75" customHeight="1"/>
    <row r="55" spans="1:25" ht="12.75" customHeight="1">
      <c r="B55" s="8" t="s">
        <v>116</v>
      </c>
    </row>
    <row r="56" spans="1:25" ht="12.75" customHeight="1"/>
    <row r="57" spans="1:25" ht="12.75" customHeight="1">
      <c r="B57" s="405" t="s">
        <v>1244</v>
      </c>
    </row>
    <row r="58" spans="1:25">
      <c r="B58" s="405" t="s">
        <v>1245</v>
      </c>
    </row>
    <row r="59" spans="1:25">
      <c r="B59" s="405" t="s">
        <v>1246</v>
      </c>
    </row>
    <row r="60" spans="1:25">
      <c r="B60" s="405" t="s">
        <v>1247</v>
      </c>
    </row>
    <row r="61" spans="1:25">
      <c r="B61" s="405" t="s">
        <v>1248</v>
      </c>
    </row>
    <row r="62" spans="1:25">
      <c r="B62" s="405" t="s">
        <v>1249</v>
      </c>
    </row>
    <row r="63" spans="1:25">
      <c r="B63" s="405" t="s">
        <v>1250</v>
      </c>
    </row>
    <row r="65" spans="2:2">
      <c r="B65" s="405" t="s">
        <v>1251</v>
      </c>
    </row>
    <row r="66" spans="2:2">
      <c r="B66" s="405" t="s">
        <v>1252</v>
      </c>
    </row>
    <row r="67" spans="2:2">
      <c r="B67" s="405" t="s">
        <v>1253</v>
      </c>
    </row>
    <row r="68" spans="2:2">
      <c r="B68" s="405" t="s">
        <v>1254</v>
      </c>
    </row>
    <row r="69" spans="2:2">
      <c r="B69" s="405" t="s">
        <v>1255</v>
      </c>
    </row>
    <row r="70" spans="2:2">
      <c r="B70" s="405" t="s">
        <v>1256</v>
      </c>
    </row>
  </sheetData>
  <conditionalFormatting sqref="B10:B38">
    <cfRule type="cellIs" dxfId="546" priority="8" operator="equal">
      <formula>"(Invalid Identifier)"</formula>
    </cfRule>
  </conditionalFormatting>
  <conditionalFormatting sqref="B4:I4">
    <cfRule type="cellIs" dxfId="545" priority="7" stopIfTrue="1" operator="equal">
      <formula>"input"</formula>
    </cfRule>
  </conditionalFormatting>
  <conditionalFormatting sqref="J4">
    <cfRule type="cellIs" dxfId="544" priority="5" stopIfTrue="1" operator="equal">
      <formula>"input"</formula>
    </cfRule>
  </conditionalFormatting>
  <conditionalFormatting sqref="J4">
    <cfRule type="cellIs" dxfId="543" priority="6" stopIfTrue="1" operator="equal">
      <formula>"input"</formula>
    </cfRule>
  </conditionalFormatting>
  <conditionalFormatting sqref="K4:X4">
    <cfRule type="cellIs" dxfId="542" priority="3" stopIfTrue="1" operator="equal">
      <formula>"input"</formula>
    </cfRule>
  </conditionalFormatting>
  <conditionalFormatting sqref="K4:X4">
    <cfRule type="cellIs" dxfId="541" priority="4" stopIfTrue="1" operator="equal">
      <formula>"input"</formula>
    </cfRule>
  </conditionalFormatting>
  <conditionalFormatting sqref="Y4">
    <cfRule type="cellIs" dxfId="540" priority="1" stopIfTrue="1" operator="equal">
      <formula>"input"</formula>
    </cfRule>
  </conditionalFormatting>
  <conditionalFormatting sqref="Y4">
    <cfRule type="cellIs" dxfId="539"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AI70"/>
  <sheetViews>
    <sheetView showGridLines="0" view="pageBreakPreview" zoomScale="85" zoomScaleNormal="100" zoomScaleSheetLayoutView="85" workbookViewId="0"/>
  </sheetViews>
  <sheetFormatPr defaultRowHeight="12.75" outlineLevelRow="1" outlineLevelCol="1"/>
  <cols>
    <col min="1" max="1" width="4.5" style="405" customWidth="1"/>
    <col min="2" max="2" width="42.1640625" style="405" customWidth="1"/>
    <col min="3" max="3" width="2.83203125" style="405" customWidth="1"/>
    <col min="4" max="4" width="12.83203125" style="405" customWidth="1"/>
    <col min="5" max="5" width="10.83203125" style="405" hidden="1" customWidth="1" outlineLevel="1"/>
    <col min="6" max="7" width="9.83203125" style="405" hidden="1" customWidth="1" outlineLevel="1"/>
    <col min="8" max="8" width="12.83203125" style="405" customWidth="1" collapsed="1"/>
    <col min="9" max="11" width="12.83203125" style="405" customWidth="1"/>
    <col min="12" max="12" width="2.83203125" style="405" customWidth="1"/>
    <col min="13" max="15" width="12.83203125" style="405" customWidth="1"/>
    <col min="16" max="16" width="2.83203125" style="21" customWidth="1"/>
    <col min="17" max="17" width="12.83203125" style="405" customWidth="1"/>
    <col min="18" max="18" width="2.83203125" style="405" customWidth="1"/>
    <col min="19" max="19" width="11.6640625" style="405" hidden="1" customWidth="1" outlineLevel="1"/>
    <col min="20" max="23" width="8.83203125" style="405" hidden="1" customWidth="1" outlineLevel="1"/>
    <col min="24" max="24" width="12.83203125" style="405" customWidth="1" collapsed="1"/>
    <col min="25" max="25" width="12.83203125" style="405" customWidth="1"/>
    <col min="26" max="26" width="4.5" style="405" customWidth="1"/>
    <col min="27" max="27" width="17.5" style="405" bestFit="1" customWidth="1"/>
    <col min="28" max="28" width="12.33203125" style="405" bestFit="1" customWidth="1"/>
    <col min="29" max="29" width="9.5" style="405" bestFit="1" customWidth="1"/>
    <col min="30" max="30" width="10.1640625" style="405" bestFit="1" customWidth="1"/>
    <col min="31" max="16384" width="9.33203125" style="405"/>
  </cols>
  <sheetData>
    <row r="1" spans="2:35" ht="10.7" customHeight="1" thickBot="1">
      <c r="P1" s="405"/>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AA2" s="303" t="s">
        <v>87</v>
      </c>
      <c r="AB2" s="304">
        <f>+'Comp.1'!$AL$2</f>
        <v>43281</v>
      </c>
    </row>
    <row r="3" spans="2:35" ht="15.75" customHeight="1">
      <c r="B3" s="11" t="str">
        <f>VLOOKUP(B4,Outline!$E$8:$G$69,COLUMNS(Outline!$E$8:$G$8),FALSE)</f>
        <v>Exhibit H.3</v>
      </c>
      <c r="C3" s="11"/>
      <c r="D3" s="11"/>
      <c r="E3" s="11"/>
      <c r="F3" s="11"/>
      <c r="G3" s="11"/>
      <c r="H3" s="11"/>
      <c r="I3" s="11"/>
      <c r="J3" s="11"/>
      <c r="K3" s="11"/>
      <c r="L3" s="11"/>
      <c r="M3" s="11"/>
      <c r="N3" s="11"/>
      <c r="O3" s="11"/>
      <c r="P3" s="11"/>
      <c r="Q3" s="11"/>
      <c r="R3" s="11"/>
      <c r="S3" s="11"/>
      <c r="T3" s="11"/>
      <c r="U3" s="11"/>
      <c r="V3" s="11"/>
      <c r="W3" s="11"/>
      <c r="X3" s="11"/>
      <c r="Y3" s="11"/>
      <c r="AA3" s="201" t="s">
        <v>398</v>
      </c>
      <c r="AB3" s="308" t="str">
        <f>+'Comp.1'!$AL$3</f>
        <v>F</v>
      </c>
    </row>
    <row r="4" spans="2:35" ht="16.5" customHeight="1" thickBot="1">
      <c r="B4" s="12" t="s">
        <v>2264</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201" t="s">
        <v>399</v>
      </c>
      <c r="AB4" s="308" t="str">
        <f>+'Comp.1'!$AL$4</f>
        <v>USD</v>
      </c>
    </row>
    <row r="5" spans="2:35" ht="12.75" customHeight="1" thickTop="1">
      <c r="B5" s="21"/>
      <c r="AA5" s="82" t="s">
        <v>89</v>
      </c>
      <c r="AB5" s="307" t="str">
        <f>+'Comp.1'!$AL$5</f>
        <v>H</v>
      </c>
    </row>
    <row r="6" spans="2:35" ht="12.75" hidden="1" customHeight="1" outlineLevel="1">
      <c r="N6" s="210">
        <f>'PWERM DLOM'!E10</f>
        <v>6.0054794520547947</v>
      </c>
      <c r="O6" s="211">
        <f>'Risk-Free Rates'!E43</f>
        <v>2.7702191780821919E-2</v>
      </c>
      <c r="Q6" s="212">
        <f>HLOOKUP(ROUND(N6,0),'Equity Vol'!$D$8:$K$8,1,TRUE)</f>
        <v>6</v>
      </c>
    </row>
    <row r="7" spans="2:35" ht="25.5" customHeight="1" collapsed="1">
      <c r="D7" s="198" t="s">
        <v>91</v>
      </c>
      <c r="E7" s="199"/>
      <c r="F7" s="199"/>
      <c r="G7" s="199"/>
      <c r="H7" s="199"/>
      <c r="I7" s="199"/>
      <c r="J7" s="199"/>
      <c r="K7" s="200"/>
      <c r="M7" s="198" t="s">
        <v>92</v>
      </c>
      <c r="N7" s="199"/>
      <c r="O7" s="199"/>
      <c r="P7" s="213"/>
      <c r="Q7" s="200"/>
      <c r="S7" s="198" t="s">
        <v>93</v>
      </c>
      <c r="T7" s="199"/>
      <c r="U7" s="199"/>
      <c r="V7" s="199"/>
      <c r="W7" s="199"/>
      <c r="X7" s="986" t="s">
        <v>93</v>
      </c>
      <c r="Y7" s="987"/>
    </row>
    <row r="8" spans="2:35" s="6" customFormat="1" ht="43.5" customHeight="1">
      <c r="B8" s="481" t="s">
        <v>633</v>
      </c>
      <c r="D8" s="612" t="s">
        <v>94</v>
      </c>
      <c r="E8" s="613" t="s">
        <v>95</v>
      </c>
      <c r="F8" s="613" t="s">
        <v>96</v>
      </c>
      <c r="G8" s="613" t="s">
        <v>97</v>
      </c>
      <c r="H8" s="613" t="s">
        <v>98</v>
      </c>
      <c r="I8" s="613" t="s">
        <v>99</v>
      </c>
      <c r="J8" s="613" t="s">
        <v>100</v>
      </c>
      <c r="K8" s="614" t="s">
        <v>101</v>
      </c>
      <c r="L8" s="330"/>
      <c r="M8" s="612" t="s">
        <v>73</v>
      </c>
      <c r="N8" s="613" t="s">
        <v>102</v>
      </c>
      <c r="O8" s="614" t="s">
        <v>72</v>
      </c>
      <c r="P8" s="599"/>
      <c r="Q8" s="615" t="s">
        <v>103</v>
      </c>
      <c r="R8" s="599"/>
      <c r="S8" s="612" t="s">
        <v>104</v>
      </c>
      <c r="T8" s="613" t="s">
        <v>84</v>
      </c>
      <c r="U8" s="613" t="s">
        <v>85</v>
      </c>
      <c r="V8" s="613" t="s">
        <v>105</v>
      </c>
      <c r="W8" s="613" t="s">
        <v>106</v>
      </c>
      <c r="X8" s="616" t="s">
        <v>107</v>
      </c>
      <c r="Y8" s="614" t="s">
        <v>645</v>
      </c>
      <c r="AA8" s="87" t="s">
        <v>108</v>
      </c>
      <c r="AB8" s="88" t="s">
        <v>109</v>
      </c>
      <c r="AC8" s="88" t="s">
        <v>110</v>
      </c>
      <c r="AD8" s="89"/>
    </row>
    <row r="9" spans="2:35" ht="12.75" customHeight="1"/>
    <row r="10" spans="2:35" ht="12.75" customHeight="1">
      <c r="B10" s="405" t="str">
        <f>'Comp.1'!B12</f>
        <v>ACADIA Pharmaceuticals Inc.</v>
      </c>
      <c r="D10" s="406">
        <f>'Beta Calc'!K10</f>
        <v>1906.0925500000001</v>
      </c>
      <c r="E10" s="406">
        <f>'Beta Calc'!L10</f>
        <v>0</v>
      </c>
      <c r="F10" s="406">
        <f>'Beta Calc'!M10</f>
        <v>0</v>
      </c>
      <c r="G10" s="406">
        <f>'Beta Calc'!N10</f>
        <v>0</v>
      </c>
      <c r="H10" s="406">
        <f>SUM(E10:G10)</f>
        <v>0</v>
      </c>
      <c r="I10" s="406">
        <f>SUM(D10:G10)</f>
        <v>1906.0925500000001</v>
      </c>
      <c r="J10" s="406">
        <f>'Beta Calc'!Q10</f>
        <v>298.06299999999999</v>
      </c>
      <c r="K10" s="406">
        <f>I10-J10</f>
        <v>1608.0295500000002</v>
      </c>
      <c r="M10" s="56">
        <f>IFERROR('Capital IQ Sheet-GPC'!AT13,"n/a")</f>
        <v>0</v>
      </c>
      <c r="N10" s="406">
        <f t="shared" ref="N10:O23" si="0">N$6</f>
        <v>6.0054794520547947</v>
      </c>
      <c r="O10" s="214">
        <f t="shared" si="0"/>
        <v>2.7702191780821919E-2</v>
      </c>
      <c r="P10" s="215"/>
      <c r="Q10" s="216">
        <f>IFERROR(HLOOKUP($Q$6,'Equity Vol'!$B$8:$K10,ROWS('Equity Vol'!$C$8:$C10),FALSE),"n/a")</f>
        <v>0.73682913406937545</v>
      </c>
      <c r="R10" s="45"/>
      <c r="S10" s="217">
        <f>IFERROR(IF(Q10="n/a","n/a",Q10^2),"n/a")</f>
        <v>0.54291717281342566</v>
      </c>
      <c r="T10" s="217">
        <f t="shared" ref="T10:T23" si="1">IF(OR(K10="n/a",S10="n/a"),"n/a",IF(H10=0,0,IF(M10=0,(LN(K10/H10)+((O10+(S10/2))*N10))/((S10*N10)^0.5),(LN(K10/H10)+((O10-M10+(S10/2))*N10))/((S10*N10)^0.5))))</f>
        <v>0</v>
      </c>
      <c r="U10" s="218">
        <f t="shared" ref="U10:U23" si="2">IF(T10="n/a","n/a",IF(H10=0,0,T10-(S10*N10)^0.5))</f>
        <v>0</v>
      </c>
      <c r="V10" s="218">
        <f t="shared" ref="V10:V23" si="3">IF(OR(T10="n/a",S10="n/a"),"n/a",IF(H10=0,0,NORMSDIST(T10)))</f>
        <v>0</v>
      </c>
      <c r="W10" s="218">
        <f t="shared" ref="W10:W23" si="4">IF(OR(U10="n/a",S10="n/a"),"n/a",IF(H10=0,0,NORMSDIST(U10)))</f>
        <v>0</v>
      </c>
      <c r="X10" s="92">
        <f t="shared" ref="X10:X22" si="5">IF(OR(K10="n/a",S10="n/a"),"n/a",IF(M10=0,(K10*V10)-((H10*EXP(1)^(-O10*N10))*W10),(K10*(2.718^(-M10*N10))*V10)-(H10*(2.718^(-O10*N10))*W10)))</f>
        <v>0</v>
      </c>
      <c r="Y10" s="216">
        <f>IFERROR(IF(LEN(B10)&gt;0,IF(H10=0,Q10,IF(ISERROR(Q10/((K10/X10)*V10)),"n/a",Q10/((K10/X10)*V10)))),"n/a")</f>
        <v>0.73682913406937545</v>
      </c>
      <c r="AA10" s="93" t="str">
        <f>IF('MASTER PubCo Inputs'!B28=0,"",'MASTER PubCo Inputs'!B28)</f>
        <v>NasdaqGS:ACAD</v>
      </c>
      <c r="AB10" s="406">
        <f>'Beta Calc'!Z10</f>
        <v>1608.02955</v>
      </c>
      <c r="AC10" s="94">
        <f t="shared" ref="AC10:AC23" si="6">K10-AB10</f>
        <v>0</v>
      </c>
      <c r="AI10" s="95"/>
    </row>
    <row r="11" spans="2:35" ht="12.75" customHeight="1">
      <c r="B11" s="405" t="str">
        <f>'Comp.1'!B13</f>
        <v>Rhythm Pharmaceuticals, Inc.</v>
      </c>
      <c r="D11" s="406">
        <f>'Beta Calc'!K11</f>
        <v>1066.6532199999999</v>
      </c>
      <c r="E11" s="406">
        <f>'Beta Calc'!L11</f>
        <v>0</v>
      </c>
      <c r="F11" s="406">
        <f>'Beta Calc'!M11</f>
        <v>0</v>
      </c>
      <c r="G11" s="406">
        <f>'Beta Calc'!N11</f>
        <v>0</v>
      </c>
      <c r="H11" s="406">
        <f t="shared" ref="H11:H23" si="7">SUM(E11:G11)</f>
        <v>0</v>
      </c>
      <c r="I11" s="406">
        <f t="shared" ref="I11:I23" si="8">SUM(D11:G11)</f>
        <v>1066.6532199999999</v>
      </c>
      <c r="J11" s="406">
        <f>'Beta Calc'!Q11</f>
        <v>136.453</v>
      </c>
      <c r="K11" s="406">
        <f t="shared" ref="K11:K23" si="9">I11-J11</f>
        <v>930.20021999999994</v>
      </c>
      <c r="M11" s="56">
        <f>IFERROR('Capital IQ Sheet-GPC'!AT14,"n/a")</f>
        <v>0</v>
      </c>
      <c r="N11" s="406">
        <f t="shared" si="0"/>
        <v>6.0054794520547947</v>
      </c>
      <c r="O11" s="214">
        <f t="shared" si="0"/>
        <v>2.7702191780821919E-2</v>
      </c>
      <c r="P11" s="215"/>
      <c r="Q11" s="216" t="str">
        <f>IFERROR(HLOOKUP($Q$6,'Equity Vol'!$B$8:$K11,ROWS('Equity Vol'!$C$8:$C11),FALSE),"n/a")</f>
        <v>NM</v>
      </c>
      <c r="R11" s="45"/>
      <c r="S11" s="217" t="str">
        <f t="shared" ref="S11:S23" si="10">IFERROR(IF(Q11="n/a","n/a",Q11^2),"n/a")</f>
        <v>n/a</v>
      </c>
      <c r="T11" s="217" t="str">
        <f t="shared" si="1"/>
        <v>n/a</v>
      </c>
      <c r="U11" s="218" t="str">
        <f t="shared" si="2"/>
        <v>n/a</v>
      </c>
      <c r="V11" s="218" t="str">
        <f t="shared" si="3"/>
        <v>n/a</v>
      </c>
      <c r="W11" s="218" t="str">
        <f t="shared" si="4"/>
        <v>n/a</v>
      </c>
      <c r="X11" s="92" t="str">
        <f t="shared" si="5"/>
        <v>n/a</v>
      </c>
      <c r="Y11" s="216" t="str">
        <f t="shared" ref="Y11:Y23" si="11">IFERROR(IF(LEN(B11)&gt;0,IF(H11=0,Q11,IF(ISERROR(Q11/((K11/X11)*V11)),"n/a",Q11/((K11/X11)*V11)))),"n/a")</f>
        <v>NM</v>
      </c>
      <c r="AA11" s="93" t="str">
        <f>IF('MASTER PubCo Inputs'!B29=0,"",'MASTER PubCo Inputs'!B29)</f>
        <v>NasdaqGM:RYTM</v>
      </c>
      <c r="AB11" s="406">
        <f>'Beta Calc'!Z11</f>
        <v>930.20021999999994</v>
      </c>
      <c r="AC11" s="94">
        <f t="shared" si="6"/>
        <v>0</v>
      </c>
      <c r="AI11" s="95"/>
    </row>
    <row r="12" spans="2:35" ht="12.75" customHeight="1">
      <c r="B12" s="405" t="str">
        <f>'Comp.1'!B14</f>
        <v>Assembly Biosciences, Inc.</v>
      </c>
      <c r="D12" s="406">
        <f>'Beta Calc'!K12</f>
        <v>805.79364999999996</v>
      </c>
      <c r="E12" s="406">
        <f>'Beta Calc'!L12</f>
        <v>0</v>
      </c>
      <c r="F12" s="406">
        <f>'Beta Calc'!M12</f>
        <v>0</v>
      </c>
      <c r="G12" s="406">
        <f>'Beta Calc'!N12</f>
        <v>0</v>
      </c>
      <c r="H12" s="406">
        <f t="shared" si="7"/>
        <v>0</v>
      </c>
      <c r="I12" s="406">
        <f t="shared" si="8"/>
        <v>805.79364999999996</v>
      </c>
      <c r="J12" s="406">
        <f>'Beta Calc'!Q12</f>
        <v>109.15898</v>
      </c>
      <c r="K12" s="406">
        <f t="shared" si="9"/>
        <v>696.63466999999991</v>
      </c>
      <c r="M12" s="56">
        <f>IFERROR('Capital IQ Sheet-GPC'!AT15,"n/a")</f>
        <v>0</v>
      </c>
      <c r="N12" s="406">
        <f t="shared" si="0"/>
        <v>6.0054794520547947</v>
      </c>
      <c r="O12" s="214">
        <f t="shared" si="0"/>
        <v>2.7702191780821919E-2</v>
      </c>
      <c r="P12" s="215"/>
      <c r="Q12" s="216">
        <f>IFERROR(HLOOKUP($Q$6,'Equity Vol'!$B$8:$K12,ROWS('Equity Vol'!$C$8:$C12),FALSE),"n/a")</f>
        <v>0.76516734376148998</v>
      </c>
      <c r="R12" s="45"/>
      <c r="S12" s="217">
        <f t="shared" si="10"/>
        <v>0.58548106395901423</v>
      </c>
      <c r="T12" s="217">
        <f t="shared" si="1"/>
        <v>0</v>
      </c>
      <c r="U12" s="218">
        <f t="shared" si="2"/>
        <v>0</v>
      </c>
      <c r="V12" s="218">
        <f t="shared" si="3"/>
        <v>0</v>
      </c>
      <c r="W12" s="218">
        <f t="shared" si="4"/>
        <v>0</v>
      </c>
      <c r="X12" s="92">
        <f t="shared" si="5"/>
        <v>0</v>
      </c>
      <c r="Y12" s="216">
        <f t="shared" si="11"/>
        <v>0.76516734376148998</v>
      </c>
      <c r="AA12" s="93" t="str">
        <f>IF('MASTER PubCo Inputs'!B30=0,"",'MASTER PubCo Inputs'!B30)</f>
        <v>NasdaqCM:ASMB</v>
      </c>
      <c r="AB12" s="406">
        <f>'Beta Calc'!Z12</f>
        <v>696.63467000000003</v>
      </c>
      <c r="AC12" s="94">
        <f t="shared" si="6"/>
        <v>0</v>
      </c>
      <c r="AI12" s="95"/>
    </row>
    <row r="13" spans="2:35" ht="12.75" customHeight="1">
      <c r="B13" s="405" t="str">
        <f>'Comp.1'!B15</f>
        <v>Voyager Therapeutics, Inc.</v>
      </c>
      <c r="D13" s="406">
        <f>'Beta Calc'!K13</f>
        <v>631.55226000000005</v>
      </c>
      <c r="E13" s="406">
        <f>'Beta Calc'!L13</f>
        <v>0</v>
      </c>
      <c r="F13" s="406">
        <f>'Beta Calc'!M13</f>
        <v>0</v>
      </c>
      <c r="G13" s="406">
        <f>'Beta Calc'!N13</f>
        <v>0</v>
      </c>
      <c r="H13" s="406">
        <f t="shared" si="7"/>
        <v>0</v>
      </c>
      <c r="I13" s="406">
        <f t="shared" si="8"/>
        <v>631.55226000000005</v>
      </c>
      <c r="J13" s="406">
        <f>'Beta Calc'!Q13</f>
        <v>218.19800000000001</v>
      </c>
      <c r="K13" s="406">
        <f t="shared" si="9"/>
        <v>413.35426000000007</v>
      </c>
      <c r="M13" s="56">
        <f>IFERROR('Capital IQ Sheet-GPC'!AT16,"n/a")</f>
        <v>0</v>
      </c>
      <c r="N13" s="406">
        <f t="shared" si="0"/>
        <v>6.0054794520547947</v>
      </c>
      <c r="O13" s="214">
        <f t="shared" si="0"/>
        <v>2.7702191780821919E-2</v>
      </c>
      <c r="P13" s="215"/>
      <c r="Q13" s="216">
        <f>IFERROR(HLOOKUP($Q$6,'Equity Vol'!$B$8:$K13,ROWS('Equity Vol'!$C$8:$C13),FALSE),"n/a")</f>
        <v>0.74099767206184253</v>
      </c>
      <c r="R13" s="45"/>
      <c r="S13" s="217">
        <f t="shared" si="10"/>
        <v>0.54907755000106995</v>
      </c>
      <c r="T13" s="217">
        <f t="shared" si="1"/>
        <v>0</v>
      </c>
      <c r="U13" s="218">
        <f t="shared" si="2"/>
        <v>0</v>
      </c>
      <c r="V13" s="218">
        <f t="shared" si="3"/>
        <v>0</v>
      </c>
      <c r="W13" s="218">
        <f t="shared" si="4"/>
        <v>0</v>
      </c>
      <c r="X13" s="92">
        <f t="shared" si="5"/>
        <v>0</v>
      </c>
      <c r="Y13" s="216">
        <f t="shared" si="11"/>
        <v>0.74099767206184253</v>
      </c>
      <c r="AA13" s="93" t="str">
        <f>IF('MASTER PubCo Inputs'!B31=0,"",'MASTER PubCo Inputs'!B31)</f>
        <v>NasdaqGS:VYGR</v>
      </c>
      <c r="AB13" s="406">
        <f>'Beta Calc'!Z13</f>
        <v>413.35426000000001</v>
      </c>
      <c r="AC13" s="94">
        <f t="shared" si="6"/>
        <v>0</v>
      </c>
      <c r="AI13" s="95"/>
    </row>
    <row r="14" spans="2:35" ht="12.75" customHeight="1">
      <c r="B14" s="405" t="str">
        <f>'Comp.1'!B16</f>
        <v>Zafgen, Inc.</v>
      </c>
      <c r="D14" s="406">
        <f>'Beta Calc'!K14</f>
        <v>363.76737000000003</v>
      </c>
      <c r="E14" s="406">
        <f>'Beta Calc'!L14</f>
        <v>20.16</v>
      </c>
      <c r="F14" s="406">
        <f>'Beta Calc'!M14</f>
        <v>0</v>
      </c>
      <c r="G14" s="406">
        <f>'Beta Calc'!N14</f>
        <v>0</v>
      </c>
      <c r="H14" s="406">
        <f t="shared" si="7"/>
        <v>20.16</v>
      </c>
      <c r="I14" s="406">
        <f t="shared" si="8"/>
        <v>383.92737000000005</v>
      </c>
      <c r="J14" s="406">
        <f>'Beta Calc'!Q14</f>
        <v>89.07</v>
      </c>
      <c r="K14" s="406">
        <f t="shared" si="9"/>
        <v>294.85737000000006</v>
      </c>
      <c r="M14" s="56">
        <f>IFERROR('Capital IQ Sheet-GPC'!AT17,"n/a")</f>
        <v>0</v>
      </c>
      <c r="N14" s="406">
        <f t="shared" si="0"/>
        <v>6.0054794520547947</v>
      </c>
      <c r="O14" s="214">
        <f t="shared" si="0"/>
        <v>2.7702191780821919E-2</v>
      </c>
      <c r="P14" s="215"/>
      <c r="Q14" s="216">
        <f>IFERROR(HLOOKUP($Q$6,'Equity Vol'!$B$8:$K14,ROWS('Equity Vol'!$C$8:$C14),FALSE),"n/a")</f>
        <v>1.0178372234009103</v>
      </c>
      <c r="R14" s="45"/>
      <c r="S14" s="217">
        <f t="shared" si="10"/>
        <v>1.0359926133404747</v>
      </c>
      <c r="T14" s="217">
        <f t="shared" si="1"/>
        <v>2.3894177095521343</v>
      </c>
      <c r="U14" s="218">
        <f t="shared" si="2"/>
        <v>-0.1049023083879792</v>
      </c>
      <c r="V14" s="218">
        <f t="shared" si="3"/>
        <v>0.99156244810142191</v>
      </c>
      <c r="W14" s="218">
        <f t="shared" si="4"/>
        <v>0.45822666362416914</v>
      </c>
      <c r="X14" s="92">
        <f t="shared" si="5"/>
        <v>284.5474650944945</v>
      </c>
      <c r="Y14" s="216">
        <f t="shared" si="11"/>
        <v>0.99060608619785628</v>
      </c>
      <c r="AA14" s="93" t="str">
        <f>IF('MASTER PubCo Inputs'!B32=0,"",'MASTER PubCo Inputs'!B32)</f>
        <v>NasdaqGS:ZFGN</v>
      </c>
      <c r="AB14" s="406">
        <f>'Beta Calc'!Z14</f>
        <v>294.85737</v>
      </c>
      <c r="AC14" s="94">
        <f t="shared" si="6"/>
        <v>0</v>
      </c>
      <c r="AI14" s="95"/>
    </row>
    <row r="15" spans="2:35" ht="12.75" customHeight="1">
      <c r="B15" s="405" t="str">
        <f>'Comp.1'!B17</f>
        <v>Seres Therapeutics, Inc.</v>
      </c>
      <c r="D15" s="406">
        <f>'Beta Calc'!K15</f>
        <v>349.61295000000001</v>
      </c>
      <c r="E15" s="406">
        <f>'Beta Calc'!L15</f>
        <v>0</v>
      </c>
      <c r="F15" s="406">
        <f>'Beta Calc'!M15</f>
        <v>0</v>
      </c>
      <c r="G15" s="406">
        <f>'Beta Calc'!N15</f>
        <v>0</v>
      </c>
      <c r="H15" s="406">
        <f t="shared" si="7"/>
        <v>0</v>
      </c>
      <c r="I15" s="406">
        <f t="shared" si="8"/>
        <v>349.61295000000001</v>
      </c>
      <c r="J15" s="406">
        <f>'Beta Calc'!Q15</f>
        <v>122.194</v>
      </c>
      <c r="K15" s="406">
        <f t="shared" si="9"/>
        <v>227.41895</v>
      </c>
      <c r="M15" s="56">
        <f>IFERROR('Capital IQ Sheet-GPC'!AT18,"n/a")</f>
        <v>0</v>
      </c>
      <c r="N15" s="406">
        <f t="shared" si="0"/>
        <v>6.0054794520547947</v>
      </c>
      <c r="O15" s="214">
        <f t="shared" si="0"/>
        <v>2.7702191780821919E-2</v>
      </c>
      <c r="P15" s="215"/>
      <c r="Q15" s="216">
        <f>IFERROR(HLOOKUP($Q$6,'Equity Vol'!$B$8:$K15,ROWS('Equity Vol'!$C$8:$C15),FALSE),"n/a")</f>
        <v>0.95360103062997992</v>
      </c>
      <c r="R15" s="45"/>
      <c r="S15" s="217">
        <f t="shared" si="10"/>
        <v>0.90935492561855991</v>
      </c>
      <c r="T15" s="217">
        <f t="shared" si="1"/>
        <v>0</v>
      </c>
      <c r="U15" s="218">
        <f t="shared" si="2"/>
        <v>0</v>
      </c>
      <c r="V15" s="218">
        <f t="shared" si="3"/>
        <v>0</v>
      </c>
      <c r="W15" s="218">
        <f t="shared" si="4"/>
        <v>0</v>
      </c>
      <c r="X15" s="92">
        <f t="shared" si="5"/>
        <v>0</v>
      </c>
      <c r="Y15" s="216">
        <f t="shared" si="11"/>
        <v>0.95360103062997992</v>
      </c>
      <c r="AA15" s="93" t="str">
        <f>IF('MASTER PubCo Inputs'!B33=0,"",'MASTER PubCo Inputs'!B33)</f>
        <v>NasdaqGS:MCRB</v>
      </c>
      <c r="AB15" s="406">
        <f>'Beta Calc'!Z15</f>
        <v>227.41893999999999</v>
      </c>
      <c r="AC15" s="94">
        <f t="shared" si="6"/>
        <v>1.0000000003174137E-5</v>
      </c>
      <c r="AI15" s="95"/>
    </row>
    <row r="16" spans="2:35" ht="12.75" customHeight="1">
      <c r="B16" s="405" t="str">
        <f>'Comp.1'!B18</f>
        <v>CohBar, Inc.</v>
      </c>
      <c r="D16" s="406">
        <f>'Beta Calc'!K16</f>
        <v>211.81835000000001</v>
      </c>
      <c r="E16" s="406">
        <f>'Beta Calc'!L16</f>
        <v>1.40126</v>
      </c>
      <c r="F16" s="406">
        <f>'Beta Calc'!M16</f>
        <v>0</v>
      </c>
      <c r="G16" s="406">
        <f>'Beta Calc'!N16</f>
        <v>0</v>
      </c>
      <c r="H16" s="406">
        <f t="shared" si="7"/>
        <v>1.40126</v>
      </c>
      <c r="I16" s="406">
        <f t="shared" si="8"/>
        <v>213.21961000000002</v>
      </c>
      <c r="J16" s="406">
        <f>'Beta Calc'!Q16</f>
        <v>8.4566599999999994</v>
      </c>
      <c r="K16" s="406">
        <f t="shared" si="9"/>
        <v>204.76295000000002</v>
      </c>
      <c r="M16" s="56">
        <f>IFERROR('Capital IQ Sheet-GPC'!AT19,"n/a")</f>
        <v>0</v>
      </c>
      <c r="N16" s="406">
        <f t="shared" si="0"/>
        <v>6.0054794520547947</v>
      </c>
      <c r="O16" s="214">
        <f t="shared" si="0"/>
        <v>2.7702191780821919E-2</v>
      </c>
      <c r="P16" s="215"/>
      <c r="Q16" s="216">
        <f>IFERROR(HLOOKUP($Q$6,'Equity Vol'!$B$8:$K16,ROWS('Equity Vol'!$C$8:$C16),FALSE),"n/a")</f>
        <v>0.89467871227668438</v>
      </c>
      <c r="R16" s="45"/>
      <c r="S16" s="217">
        <f t="shared" si="10"/>
        <v>0.80044999820106622</v>
      </c>
      <c r="T16" s="217">
        <f t="shared" si="1"/>
        <v>3.4455487795863911</v>
      </c>
      <c r="U16" s="218">
        <f t="shared" si="2"/>
        <v>1.2530419913200923</v>
      </c>
      <c r="V16" s="218">
        <f t="shared" si="3"/>
        <v>0.99971504945094125</v>
      </c>
      <c r="W16" s="218">
        <f t="shared" si="4"/>
        <v>0.89490478738502932</v>
      </c>
      <c r="X16" s="92">
        <f t="shared" si="5"/>
        <v>203.64279911943638</v>
      </c>
      <c r="Y16" s="216">
        <f t="shared" si="11"/>
        <v>0.8900380103371931</v>
      </c>
      <c r="AA16" s="93" t="str">
        <f>IF('MASTER PubCo Inputs'!B34=0,"",'MASTER PubCo Inputs'!B34)</f>
        <v>TSXV:COB.U</v>
      </c>
      <c r="AB16" s="406">
        <f>'Beta Calc'!Z16</f>
        <v>204.76295999999999</v>
      </c>
      <c r="AC16" s="94">
        <f t="shared" si="6"/>
        <v>-9.9999999747524271E-6</v>
      </c>
      <c r="AI16" s="95"/>
    </row>
    <row r="17" spans="2:35" ht="12.75" customHeight="1">
      <c r="B17" s="405" t="str">
        <f>'Comp.1'!B19</f>
        <v>VIVUS, Inc.</v>
      </c>
      <c r="D17" s="406">
        <f>'Beta Calc'!K17</f>
        <v>74.768140000000002</v>
      </c>
      <c r="E17" s="406">
        <f>'Beta Calc'!L17</f>
        <v>236.50700000000001</v>
      </c>
      <c r="F17" s="406">
        <f>'Beta Calc'!M17</f>
        <v>0</v>
      </c>
      <c r="G17" s="406">
        <f>'Beta Calc'!N17</f>
        <v>0</v>
      </c>
      <c r="H17" s="406">
        <f t="shared" si="7"/>
        <v>236.50700000000001</v>
      </c>
      <c r="I17" s="406">
        <f t="shared" si="8"/>
        <v>311.27514000000002</v>
      </c>
      <c r="J17" s="406">
        <f>'Beta Calc'!Q17</f>
        <v>209.125</v>
      </c>
      <c r="K17" s="406">
        <f t="shared" si="9"/>
        <v>102.15014000000002</v>
      </c>
      <c r="M17" s="56">
        <f>IFERROR('Capital IQ Sheet-GPC'!AT20,"n/a")</f>
        <v>0</v>
      </c>
      <c r="N17" s="406">
        <f t="shared" si="0"/>
        <v>6.0054794520547947</v>
      </c>
      <c r="O17" s="214">
        <f t="shared" si="0"/>
        <v>2.7702191780821919E-2</v>
      </c>
      <c r="P17" s="215"/>
      <c r="Q17" s="216">
        <f>IFERROR(HLOOKUP($Q$6,'Equity Vol'!$B$8:$K17,ROWS('Equity Vol'!$C$8:$C17),FALSE),"n/a")</f>
        <v>0.62711024603902565</v>
      </c>
      <c r="R17" s="45"/>
      <c r="S17" s="217">
        <f t="shared" si="10"/>
        <v>0.39326726068712731</v>
      </c>
      <c r="T17" s="217">
        <f t="shared" si="1"/>
        <v>0.3303680396020664</v>
      </c>
      <c r="U17" s="218">
        <f t="shared" si="2"/>
        <v>-1.2064333311750484</v>
      </c>
      <c r="V17" s="218">
        <f t="shared" si="3"/>
        <v>0.62943905610474937</v>
      </c>
      <c r="W17" s="218">
        <f t="shared" si="4"/>
        <v>0.11382522535724196</v>
      </c>
      <c r="X17" s="92">
        <f t="shared" si="5"/>
        <v>41.502731500609897</v>
      </c>
      <c r="Y17" s="216">
        <f t="shared" si="11"/>
        <v>0.40478827478751628</v>
      </c>
      <c r="AA17" s="93" t="str">
        <f>IF('MASTER PubCo Inputs'!B35=0,"",'MASTER PubCo Inputs'!B35)</f>
        <v>NasdaqGS:VVUS</v>
      </c>
      <c r="AB17" s="406">
        <f>'Beta Calc'!Z17</f>
        <v>102.15013999999999</v>
      </c>
      <c r="AC17" s="94">
        <f t="shared" si="6"/>
        <v>0</v>
      </c>
      <c r="AI17" s="95"/>
    </row>
    <row r="18" spans="2:35" ht="12.75" customHeight="1">
      <c r="B18" s="405" t="str">
        <f>'Comp.1'!B20</f>
        <v>Anavex Life Sciences Corp.</v>
      </c>
      <c r="D18" s="406">
        <f>'Beta Calc'!K18</f>
        <v>117.00936</v>
      </c>
      <c r="E18" s="406">
        <f>'Beta Calc'!L18</f>
        <v>0</v>
      </c>
      <c r="F18" s="406">
        <f>'Beta Calc'!M18</f>
        <v>0</v>
      </c>
      <c r="G18" s="406">
        <f>'Beta Calc'!N18</f>
        <v>0</v>
      </c>
      <c r="H18" s="406">
        <f t="shared" si="7"/>
        <v>0</v>
      </c>
      <c r="I18" s="406">
        <f t="shared" si="8"/>
        <v>117.00936</v>
      </c>
      <c r="J18" s="406">
        <f>'Beta Calc'!Q18</f>
        <v>25.656580000000002</v>
      </c>
      <c r="K18" s="406">
        <f t="shared" si="9"/>
        <v>91.352779999999996</v>
      </c>
      <c r="M18" s="56">
        <f>IFERROR('Capital IQ Sheet-GPC'!AT21,"n/a")</f>
        <v>0</v>
      </c>
      <c r="N18" s="406">
        <f t="shared" si="0"/>
        <v>6.0054794520547947</v>
      </c>
      <c r="O18" s="214">
        <f t="shared" si="0"/>
        <v>2.7702191780821919E-2</v>
      </c>
      <c r="P18" s="215"/>
      <c r="Q18" s="216">
        <f>IFERROR(HLOOKUP($Q$6,'Equity Vol'!$B$8:$K18,ROWS('Equity Vol'!$C$8:$C18),FALSE),"n/a")</f>
        <v>1.0799998283264112</v>
      </c>
      <c r="R18" s="45"/>
      <c r="S18" s="217">
        <f t="shared" si="10"/>
        <v>1.1663996291850776</v>
      </c>
      <c r="T18" s="217">
        <f t="shared" si="1"/>
        <v>0</v>
      </c>
      <c r="U18" s="218">
        <f t="shared" si="2"/>
        <v>0</v>
      </c>
      <c r="V18" s="218">
        <f t="shared" si="3"/>
        <v>0</v>
      </c>
      <c r="W18" s="218">
        <f t="shared" si="4"/>
        <v>0</v>
      </c>
      <c r="X18" s="92">
        <f t="shared" si="5"/>
        <v>0</v>
      </c>
      <c r="Y18" s="216">
        <f t="shared" si="11"/>
        <v>1.0799998283264112</v>
      </c>
      <c r="AA18" s="93" t="str">
        <f>IF('MASTER PubCo Inputs'!B36=0,"",'MASTER PubCo Inputs'!B36)</f>
        <v>NasdaqCM:AVXL</v>
      </c>
      <c r="AB18" s="406">
        <f>'Beta Calc'!Z18</f>
        <v>91.352779999999996</v>
      </c>
      <c r="AC18" s="94">
        <f t="shared" si="6"/>
        <v>0</v>
      </c>
      <c r="AI18" s="95"/>
    </row>
    <row r="19" spans="2:35" ht="12.75" customHeight="1">
      <c r="B19" s="405" t="str">
        <f>'Comp.1'!B21</f>
        <v>OptiBiotix Health plc</v>
      </c>
      <c r="D19" s="406">
        <f>'Beta Calc'!K19</f>
        <v>72.915899999999993</v>
      </c>
      <c r="E19" s="406">
        <f>'Beta Calc'!L19</f>
        <v>0</v>
      </c>
      <c r="F19" s="406">
        <f>'Beta Calc'!M19</f>
        <v>0</v>
      </c>
      <c r="G19" s="406">
        <f>'Beta Calc'!N19</f>
        <v>0</v>
      </c>
      <c r="H19" s="406">
        <f t="shared" si="7"/>
        <v>0</v>
      </c>
      <c r="I19" s="406">
        <f t="shared" si="8"/>
        <v>72.915899999999993</v>
      </c>
      <c r="J19" s="406">
        <f>'Beta Calc'!Q19</f>
        <v>1.6849400000000001</v>
      </c>
      <c r="K19" s="406">
        <f t="shared" si="9"/>
        <v>71.230959999999996</v>
      </c>
      <c r="M19" s="56">
        <f>IFERROR('Capital IQ Sheet-GPC'!AT22,"n/a")</f>
        <v>0</v>
      </c>
      <c r="N19" s="406">
        <f t="shared" si="0"/>
        <v>6.0054794520547947</v>
      </c>
      <c r="O19" s="214">
        <f t="shared" si="0"/>
        <v>2.7702191780821919E-2</v>
      </c>
      <c r="P19" s="215"/>
      <c r="Q19" s="216">
        <f>IFERROR(HLOOKUP($Q$6,'Equity Vol'!$B$8:$K19,ROWS('Equity Vol'!$C$8:$C19),FALSE),"n/a")</f>
        <v>0.57731598641262194</v>
      </c>
      <c r="R19" s="45"/>
      <c r="S19" s="217">
        <f t="shared" si="10"/>
        <v>0.33329374816757867</v>
      </c>
      <c r="T19" s="217">
        <f t="shared" si="1"/>
        <v>0</v>
      </c>
      <c r="U19" s="218">
        <f t="shared" si="2"/>
        <v>0</v>
      </c>
      <c r="V19" s="218">
        <f t="shared" si="3"/>
        <v>0</v>
      </c>
      <c r="W19" s="218">
        <f t="shared" si="4"/>
        <v>0</v>
      </c>
      <c r="X19" s="92">
        <f t="shared" si="5"/>
        <v>0</v>
      </c>
      <c r="Y19" s="216">
        <f t="shared" si="11"/>
        <v>0.57731598641262194</v>
      </c>
      <c r="AA19" s="93" t="str">
        <f>IF('MASTER PubCo Inputs'!B37=0,"",'MASTER PubCo Inputs'!B37)</f>
        <v>AIM:OPTI</v>
      </c>
      <c r="AB19" s="406">
        <f>'Beta Calc'!Z19</f>
        <v>71.269909999999996</v>
      </c>
      <c r="AC19" s="94">
        <f t="shared" si="6"/>
        <v>-3.8949999999999818E-2</v>
      </c>
      <c r="AI19" s="95"/>
    </row>
    <row r="20" spans="2:35" ht="12.75" customHeight="1">
      <c r="B20" s="405" t="str">
        <f>'Comp.1'!B22</f>
        <v>Soleno Therapeutics, Inc.</v>
      </c>
      <c r="D20" s="406">
        <f>'Beta Calc'!K20</f>
        <v>46.258000000000003</v>
      </c>
      <c r="E20" s="406">
        <f>'Beta Calc'!L20</f>
        <v>0</v>
      </c>
      <c r="F20" s="406">
        <f>'Beta Calc'!M20</f>
        <v>0</v>
      </c>
      <c r="G20" s="406">
        <f>'Beta Calc'!N20</f>
        <v>0</v>
      </c>
      <c r="H20" s="406">
        <f t="shared" si="7"/>
        <v>0</v>
      </c>
      <c r="I20" s="406">
        <f t="shared" si="8"/>
        <v>46.258000000000003</v>
      </c>
      <c r="J20" s="406">
        <f>'Beta Calc'!Q20</f>
        <v>14.866</v>
      </c>
      <c r="K20" s="406">
        <f t="shared" si="9"/>
        <v>31.392000000000003</v>
      </c>
      <c r="M20" s="56">
        <f>IFERROR('Capital IQ Sheet-GPC'!AT23,"n/a")</f>
        <v>0</v>
      </c>
      <c r="N20" s="406">
        <f t="shared" si="0"/>
        <v>6.0054794520547947</v>
      </c>
      <c r="O20" s="214">
        <f t="shared" si="0"/>
        <v>2.7702191780821919E-2</v>
      </c>
      <c r="P20" s="215"/>
      <c r="Q20" s="216">
        <f>IFERROR(HLOOKUP($Q$6,'Equity Vol'!$B$8:$K20,ROWS('Equity Vol'!$C$8:$C20),FALSE),"n/a")</f>
        <v>1.1508768139771337</v>
      </c>
      <c r="R20" s="45"/>
      <c r="S20" s="217">
        <f t="shared" si="10"/>
        <v>1.3245174409501581</v>
      </c>
      <c r="T20" s="217">
        <f t="shared" si="1"/>
        <v>0</v>
      </c>
      <c r="U20" s="218">
        <f t="shared" si="2"/>
        <v>0</v>
      </c>
      <c r="V20" s="218">
        <f t="shared" si="3"/>
        <v>0</v>
      </c>
      <c r="W20" s="218">
        <f t="shared" si="4"/>
        <v>0</v>
      </c>
      <c r="X20" s="92">
        <f t="shared" si="5"/>
        <v>0</v>
      </c>
      <c r="Y20" s="216">
        <f t="shared" si="11"/>
        <v>1.1508768139771337</v>
      </c>
      <c r="AA20" s="93" t="str">
        <f>IF('MASTER PubCo Inputs'!B38=0,"",'MASTER PubCo Inputs'!B38)</f>
        <v>NasdaqCM:SLNO</v>
      </c>
      <c r="AB20" s="406">
        <f>'Beta Calc'!Z20</f>
        <v>31.391999999999999</v>
      </c>
      <c r="AC20" s="94">
        <f t="shared" si="6"/>
        <v>0</v>
      </c>
      <c r="AI20" s="95"/>
    </row>
    <row r="21" spans="2:35" ht="12.75" customHeight="1">
      <c r="B21" s="405" t="str">
        <f>'Comp.1'!B23</f>
        <v>Synthetic Biologics, Inc.</v>
      </c>
      <c r="D21" s="406">
        <f>'Beta Calc'!K21</f>
        <v>30.72748</v>
      </c>
      <c r="E21" s="406">
        <f>'Beta Calc'!L21</f>
        <v>0</v>
      </c>
      <c r="F21" s="406">
        <f>'Beta Calc'!M21</f>
        <v>12.112</v>
      </c>
      <c r="G21" s="406">
        <f>'Beta Calc'!N21</f>
        <v>-1.923</v>
      </c>
      <c r="H21" s="406">
        <f t="shared" si="7"/>
        <v>10.189</v>
      </c>
      <c r="I21" s="406">
        <f t="shared" si="8"/>
        <v>40.91648</v>
      </c>
      <c r="J21" s="406">
        <f>'Beta Calc'!Q21</f>
        <v>11.037000000000001</v>
      </c>
      <c r="K21" s="406">
        <f t="shared" si="9"/>
        <v>29.879480000000001</v>
      </c>
      <c r="M21" s="56">
        <f>IFERROR('Capital IQ Sheet-GPC'!AT24,"n/a")</f>
        <v>0</v>
      </c>
      <c r="N21" s="406">
        <f t="shared" si="0"/>
        <v>6.0054794520547947</v>
      </c>
      <c r="O21" s="214">
        <f t="shared" si="0"/>
        <v>2.7702191780821919E-2</v>
      </c>
      <c r="P21" s="215"/>
      <c r="Q21" s="216">
        <f>IFERROR(HLOOKUP($Q$6,'Equity Vol'!$B$8:$K21,ROWS('Equity Vol'!$C$8:$C21),FALSE),"n/a")</f>
        <v>0.8230785321875862</v>
      </c>
      <c r="R21" s="45"/>
      <c r="S21" s="217">
        <f t="shared" si="10"/>
        <v>0.67745827014807136</v>
      </c>
      <c r="T21" s="217">
        <f t="shared" si="1"/>
        <v>1.6243874589248373</v>
      </c>
      <c r="U21" s="218">
        <f t="shared" si="2"/>
        <v>-0.39265535693178899</v>
      </c>
      <c r="V21" s="218">
        <f t="shared" si="3"/>
        <v>0.94785342903401926</v>
      </c>
      <c r="W21" s="218">
        <f t="shared" si="4"/>
        <v>0.3472870238220177</v>
      </c>
      <c r="X21" s="92">
        <f t="shared" si="5"/>
        <v>25.325181773450158</v>
      </c>
      <c r="Y21" s="216">
        <f t="shared" si="11"/>
        <v>0.73600306855664488</v>
      </c>
      <c r="AA21" s="93" t="str">
        <f>IF('MASTER PubCo Inputs'!B39=0,"",'MASTER PubCo Inputs'!B39)</f>
        <v>AMEX:SYN</v>
      </c>
      <c r="AB21" s="406">
        <f>'Beta Calc'!Z21</f>
        <v>29.879480000000001</v>
      </c>
      <c r="AC21" s="94">
        <f t="shared" si="6"/>
        <v>0</v>
      </c>
      <c r="AI21" s="95"/>
    </row>
    <row r="22" spans="2:35" ht="12.75" customHeight="1">
      <c r="B22" s="405" t="str">
        <f>'Comp.1'!B24</f>
        <v>Nexus BioPharma, Inc.</v>
      </c>
      <c r="D22" s="406">
        <f>'Beta Calc'!K22</f>
        <v>3.8515700000000002</v>
      </c>
      <c r="E22" s="406">
        <f>'Beta Calc'!L22</f>
        <v>0.36752000000000001</v>
      </c>
      <c r="F22" s="406">
        <f>'Beta Calc'!M22</f>
        <v>0</v>
      </c>
      <c r="G22" s="406">
        <f>'Beta Calc'!N22</f>
        <v>0</v>
      </c>
      <c r="H22" s="406">
        <f t="shared" si="7"/>
        <v>0.36752000000000001</v>
      </c>
      <c r="I22" s="406">
        <f t="shared" si="8"/>
        <v>4.2190900000000005</v>
      </c>
      <c r="J22" s="406">
        <f>'Beta Calc'!Q22</f>
        <v>8.43E-3</v>
      </c>
      <c r="K22" s="406">
        <f t="shared" si="9"/>
        <v>4.2106600000000007</v>
      </c>
      <c r="M22" s="56">
        <f>IFERROR('Capital IQ Sheet-GPC'!AT25,"n/a")</f>
        <v>0</v>
      </c>
      <c r="N22" s="406">
        <f t="shared" si="0"/>
        <v>6.0054794520547947</v>
      </c>
      <c r="O22" s="214">
        <f t="shared" si="0"/>
        <v>2.7702191780821919E-2</v>
      </c>
      <c r="P22" s="215"/>
      <c r="Q22" s="216" t="str">
        <f>IFERROR(HLOOKUP($Q$6,'Equity Vol'!$B$8:$K22,ROWS('Equity Vol'!$C$8:$C22),FALSE),"n/a")</f>
        <v>NM</v>
      </c>
      <c r="R22" s="45"/>
      <c r="S22" s="217" t="str">
        <f t="shared" si="10"/>
        <v>n/a</v>
      </c>
      <c r="T22" s="217" t="str">
        <f t="shared" si="1"/>
        <v>n/a</v>
      </c>
      <c r="U22" s="218" t="str">
        <f t="shared" si="2"/>
        <v>n/a</v>
      </c>
      <c r="V22" s="218" t="str">
        <f t="shared" si="3"/>
        <v>n/a</v>
      </c>
      <c r="W22" s="218" t="str">
        <f t="shared" si="4"/>
        <v>n/a</v>
      </c>
      <c r="X22" s="92" t="str">
        <f t="shared" si="5"/>
        <v>n/a</v>
      </c>
      <c r="Y22" s="216" t="str">
        <f t="shared" si="11"/>
        <v>n/a</v>
      </c>
      <c r="AA22" s="93" t="str">
        <f>IF('MASTER PubCo Inputs'!B40=0,"",'MASTER PubCo Inputs'!B40)</f>
        <v>OTCPK:NEXS</v>
      </c>
      <c r="AB22" s="406">
        <f>'Beta Calc'!Z22</f>
        <v>4.2106599999999998</v>
      </c>
      <c r="AC22" s="94">
        <f t="shared" si="6"/>
        <v>0</v>
      </c>
      <c r="AI22" s="95"/>
    </row>
    <row r="23" spans="2:35" ht="12.75" customHeight="1">
      <c r="B23" s="405" t="str">
        <f>'Comp.1'!B25</f>
        <v>Ritter Pharmaceuticals, Inc.</v>
      </c>
      <c r="D23" s="406">
        <f>'Beta Calc'!K23</f>
        <v>12.90047</v>
      </c>
      <c r="E23" s="406">
        <f>'Beta Calc'!L23</f>
        <v>0</v>
      </c>
      <c r="F23" s="406">
        <f>'Beta Calc'!M23</f>
        <v>4.9489799999999997</v>
      </c>
      <c r="G23" s="406">
        <f>'Beta Calc'!N23</f>
        <v>0</v>
      </c>
      <c r="H23" s="406">
        <f t="shared" si="7"/>
        <v>4.9489799999999997</v>
      </c>
      <c r="I23" s="406">
        <f t="shared" si="8"/>
        <v>17.849450000000001</v>
      </c>
      <c r="J23" s="406">
        <f>'Beta Calc'!Q23</f>
        <v>18.91704</v>
      </c>
      <c r="K23" s="406">
        <f t="shared" si="9"/>
        <v>-1.0675899999999992</v>
      </c>
      <c r="M23" s="56">
        <f>IFERROR('Capital IQ Sheet-GPC'!AT26,"n/a")</f>
        <v>0</v>
      </c>
      <c r="N23" s="406">
        <f t="shared" si="0"/>
        <v>6.0054794520547947</v>
      </c>
      <c r="O23" s="214">
        <f t="shared" si="0"/>
        <v>2.7702191780821919E-2</v>
      </c>
      <c r="P23" s="215"/>
      <c r="Q23" s="216">
        <f>IFERROR(HLOOKUP($Q$6,'Equity Vol'!$B$8:$K23,ROWS('Equity Vol'!$C$8:$C23),FALSE),"n/a")</f>
        <v>0.88587043357810058</v>
      </c>
      <c r="R23" s="45"/>
      <c r="S23" s="217">
        <f t="shared" si="10"/>
        <v>0.78476642508785188</v>
      </c>
      <c r="T23" s="217" t="e">
        <f t="shared" si="1"/>
        <v>#NUM!</v>
      </c>
      <c r="U23" s="218" t="e">
        <f t="shared" si="2"/>
        <v>#NUM!</v>
      </c>
      <c r="V23" s="218" t="e">
        <f t="shared" si="3"/>
        <v>#NUM!</v>
      </c>
      <c r="W23" s="218" t="e">
        <f t="shared" si="4"/>
        <v>#NUM!</v>
      </c>
      <c r="X23" s="92" t="str">
        <f>IFERROR(IF(OR(K23="n/a",S23="n/a"),"n/a",IF(M23=0,(K23*V23)-((H23*EXP(1)^(-O23*N23))*W23),(K23*(2.718^(-M23*N23))*V23)-(H23*(2.718^(-O23*N23))*W23))),"n/a")</f>
        <v>n/a</v>
      </c>
      <c r="Y23" s="216" t="str">
        <f t="shared" si="11"/>
        <v>n/a</v>
      </c>
      <c r="AA23" s="93" t="str">
        <f>IF('MASTER PubCo Inputs'!B41=0,"",'MASTER PubCo Inputs'!B41)</f>
        <v>NasdaqCM:RTTR</v>
      </c>
      <c r="AB23" s="406">
        <f>'Beta Calc'!Z23</f>
        <v>-1.06759</v>
      </c>
      <c r="AC23" s="94">
        <f t="shared" si="6"/>
        <v>0</v>
      </c>
      <c r="AI23" s="95"/>
    </row>
    <row r="24" spans="2:35" ht="12.75" hidden="1" customHeight="1" outlineLevel="1">
      <c r="D24" s="406"/>
      <c r="E24" s="406"/>
      <c r="F24" s="406"/>
      <c r="G24" s="406"/>
      <c r="H24" s="406"/>
      <c r="I24" s="406"/>
      <c r="J24" s="406"/>
      <c r="K24" s="406"/>
      <c r="M24" s="56"/>
      <c r="N24" s="406"/>
      <c r="O24" s="214"/>
      <c r="P24" s="215"/>
      <c r="Q24" s="216"/>
      <c r="R24" s="45"/>
      <c r="S24" s="217"/>
      <c r="T24" s="217"/>
      <c r="U24" s="218"/>
      <c r="V24" s="218"/>
      <c r="W24" s="218"/>
      <c r="X24" s="406"/>
      <c r="Y24" s="216"/>
      <c r="AA24" s="93"/>
      <c r="AB24" s="406"/>
      <c r="AC24" s="94"/>
      <c r="AI24" s="95"/>
    </row>
    <row r="25" spans="2:35" ht="12.75" hidden="1" customHeight="1" outlineLevel="1">
      <c r="D25" s="406"/>
      <c r="E25" s="406"/>
      <c r="F25" s="406"/>
      <c r="G25" s="406"/>
      <c r="H25" s="406"/>
      <c r="I25" s="406"/>
      <c r="J25" s="406"/>
      <c r="K25" s="406"/>
      <c r="M25" s="56"/>
      <c r="N25" s="406"/>
      <c r="O25" s="214"/>
      <c r="P25" s="215"/>
      <c r="Q25" s="216"/>
      <c r="R25" s="45"/>
      <c r="S25" s="217"/>
      <c r="T25" s="217"/>
      <c r="U25" s="218"/>
      <c r="V25" s="218"/>
      <c r="W25" s="218"/>
      <c r="X25" s="406"/>
      <c r="Y25" s="216"/>
      <c r="AA25" s="93"/>
      <c r="AB25" s="406"/>
      <c r="AC25" s="94"/>
      <c r="AI25" s="95"/>
    </row>
    <row r="26" spans="2:35" ht="12.75" hidden="1" customHeight="1" outlineLevel="1">
      <c r="D26" s="406"/>
      <c r="E26" s="406"/>
      <c r="F26" s="406"/>
      <c r="G26" s="406"/>
      <c r="H26" s="406"/>
      <c r="I26" s="406"/>
      <c r="J26" s="406"/>
      <c r="K26" s="406"/>
      <c r="M26" s="56"/>
      <c r="N26" s="406"/>
      <c r="O26" s="214"/>
      <c r="P26" s="215"/>
      <c r="Q26" s="216"/>
      <c r="R26" s="45"/>
      <c r="S26" s="217"/>
      <c r="T26" s="217"/>
      <c r="U26" s="218"/>
      <c r="V26" s="218"/>
      <c r="W26" s="218"/>
      <c r="X26" s="406"/>
      <c r="Y26" s="216"/>
      <c r="AA26" s="93"/>
      <c r="AB26" s="406"/>
      <c r="AC26" s="94"/>
      <c r="AI26" s="95"/>
    </row>
    <row r="27" spans="2:35" ht="12.75" hidden="1" customHeight="1" outlineLevel="1">
      <c r="D27" s="406"/>
      <c r="E27" s="406"/>
      <c r="F27" s="406"/>
      <c r="G27" s="406"/>
      <c r="H27" s="406"/>
      <c r="I27" s="406"/>
      <c r="J27" s="406"/>
      <c r="K27" s="406"/>
      <c r="M27" s="56"/>
      <c r="N27" s="406"/>
      <c r="O27" s="214"/>
      <c r="P27" s="215"/>
      <c r="Q27" s="216"/>
      <c r="R27" s="45"/>
      <c r="S27" s="217"/>
      <c r="T27" s="217"/>
      <c r="U27" s="218"/>
      <c r="V27" s="218"/>
      <c r="W27" s="218"/>
      <c r="X27" s="406"/>
      <c r="Y27" s="216"/>
      <c r="AA27" s="93"/>
      <c r="AB27" s="406"/>
      <c r="AC27" s="94"/>
      <c r="AI27" s="95"/>
    </row>
    <row r="28" spans="2:35" ht="12.75" hidden="1" customHeight="1" outlineLevel="1">
      <c r="D28" s="406"/>
      <c r="E28" s="406"/>
      <c r="F28" s="406"/>
      <c r="G28" s="406"/>
      <c r="H28" s="406"/>
      <c r="I28" s="406"/>
      <c r="J28" s="406"/>
      <c r="K28" s="406"/>
      <c r="M28" s="56"/>
      <c r="N28" s="406"/>
      <c r="O28" s="214"/>
      <c r="P28" s="215"/>
      <c r="Q28" s="216"/>
      <c r="R28" s="45"/>
      <c r="S28" s="217"/>
      <c r="T28" s="217"/>
      <c r="U28" s="218"/>
      <c r="V28" s="218"/>
      <c r="W28" s="218"/>
      <c r="X28" s="406"/>
      <c r="Y28" s="216"/>
      <c r="AA28" s="93"/>
      <c r="AB28" s="406"/>
      <c r="AC28" s="94"/>
      <c r="AI28" s="95"/>
    </row>
    <row r="29" spans="2:35" ht="12.75" hidden="1" customHeight="1" outlineLevel="1">
      <c r="D29" s="406"/>
      <c r="E29" s="406"/>
      <c r="F29" s="406"/>
      <c r="G29" s="406"/>
      <c r="H29" s="406"/>
      <c r="I29" s="406"/>
      <c r="J29" s="406"/>
      <c r="K29" s="406"/>
      <c r="M29" s="56"/>
      <c r="N29" s="406"/>
      <c r="O29" s="214"/>
      <c r="P29" s="215"/>
      <c r="Q29" s="216"/>
      <c r="R29" s="45"/>
      <c r="S29" s="217"/>
      <c r="T29" s="217"/>
      <c r="U29" s="218"/>
      <c r="V29" s="218"/>
      <c r="W29" s="218"/>
      <c r="X29" s="406"/>
      <c r="Y29" s="216"/>
      <c r="AA29" s="93"/>
      <c r="AB29" s="406"/>
      <c r="AC29" s="94"/>
      <c r="AI29" s="95"/>
    </row>
    <row r="30" spans="2:35" ht="12.75" hidden="1" customHeight="1" outlineLevel="1">
      <c r="D30" s="406"/>
      <c r="E30" s="406"/>
      <c r="F30" s="406"/>
      <c r="G30" s="406"/>
      <c r="H30" s="406"/>
      <c r="I30" s="406"/>
      <c r="J30" s="406"/>
      <c r="K30" s="406"/>
      <c r="M30" s="56"/>
      <c r="N30" s="406"/>
      <c r="O30" s="214"/>
      <c r="P30" s="215"/>
      <c r="Q30" s="216"/>
      <c r="R30" s="45"/>
      <c r="S30" s="217"/>
      <c r="T30" s="217"/>
      <c r="U30" s="218"/>
      <c r="V30" s="218"/>
      <c r="W30" s="218"/>
      <c r="X30" s="406"/>
      <c r="Y30" s="216"/>
      <c r="AA30" s="93"/>
      <c r="AB30" s="406"/>
      <c r="AC30" s="94"/>
      <c r="AI30" s="95"/>
    </row>
    <row r="31" spans="2:35" ht="12.75" hidden="1" customHeight="1" outlineLevel="1">
      <c r="D31" s="406"/>
      <c r="E31" s="406"/>
      <c r="F31" s="406"/>
      <c r="G31" s="406"/>
      <c r="H31" s="406"/>
      <c r="I31" s="406"/>
      <c r="J31" s="406"/>
      <c r="K31" s="406"/>
      <c r="M31" s="56"/>
      <c r="N31" s="406"/>
      <c r="O31" s="214"/>
      <c r="P31" s="215"/>
      <c r="Q31" s="216"/>
      <c r="R31" s="45"/>
      <c r="S31" s="217"/>
      <c r="T31" s="217"/>
      <c r="U31" s="218"/>
      <c r="V31" s="218"/>
      <c r="W31" s="218"/>
      <c r="X31" s="406"/>
      <c r="Y31" s="216"/>
      <c r="AA31" s="93"/>
      <c r="AB31" s="406"/>
      <c r="AC31" s="94"/>
      <c r="AI31" s="95"/>
    </row>
    <row r="32" spans="2:35" ht="12.75" hidden="1" customHeight="1" outlineLevel="1">
      <c r="D32" s="406"/>
      <c r="E32" s="406"/>
      <c r="F32" s="406"/>
      <c r="G32" s="406"/>
      <c r="H32" s="406"/>
      <c r="I32" s="406"/>
      <c r="J32" s="406"/>
      <c r="K32" s="406"/>
      <c r="M32" s="56"/>
      <c r="N32" s="406"/>
      <c r="O32" s="214"/>
      <c r="P32" s="215"/>
      <c r="Q32" s="216"/>
      <c r="R32" s="45"/>
      <c r="S32" s="217"/>
      <c r="T32" s="217"/>
      <c r="U32" s="218"/>
      <c r="V32" s="218"/>
      <c r="W32" s="218"/>
      <c r="X32" s="406"/>
      <c r="Y32" s="216"/>
      <c r="AA32" s="93"/>
      <c r="AB32" s="406"/>
      <c r="AC32" s="94"/>
      <c r="AI32" s="95"/>
    </row>
    <row r="33" spans="2:35" ht="12.75" hidden="1" customHeight="1" outlineLevel="1">
      <c r="D33" s="406"/>
      <c r="E33" s="406"/>
      <c r="F33" s="406"/>
      <c r="G33" s="406"/>
      <c r="H33" s="406"/>
      <c r="I33" s="406"/>
      <c r="J33" s="406"/>
      <c r="K33" s="406"/>
      <c r="M33" s="56"/>
      <c r="N33" s="406"/>
      <c r="O33" s="214"/>
      <c r="P33" s="215"/>
      <c r="Q33" s="216"/>
      <c r="R33" s="45"/>
      <c r="S33" s="217"/>
      <c r="T33" s="217"/>
      <c r="U33" s="218"/>
      <c r="V33" s="218"/>
      <c r="W33" s="218"/>
      <c r="X33" s="406"/>
      <c r="Y33" s="216"/>
      <c r="AA33" s="93"/>
      <c r="AB33" s="406"/>
      <c r="AC33" s="94"/>
      <c r="AI33" s="95"/>
    </row>
    <row r="34" spans="2:35" ht="12.75" hidden="1" customHeight="1" outlineLevel="1">
      <c r="D34" s="406"/>
      <c r="E34" s="406"/>
      <c r="F34" s="406"/>
      <c r="G34" s="406"/>
      <c r="H34" s="406"/>
      <c r="I34" s="406"/>
      <c r="J34" s="406"/>
      <c r="K34" s="406"/>
      <c r="M34" s="56"/>
      <c r="N34" s="406"/>
      <c r="O34" s="214"/>
      <c r="P34" s="215"/>
      <c r="Q34" s="216"/>
      <c r="R34" s="45"/>
      <c r="S34" s="217"/>
      <c r="T34" s="217"/>
      <c r="U34" s="218"/>
      <c r="V34" s="218"/>
      <c r="W34" s="218"/>
      <c r="X34" s="406"/>
      <c r="Y34" s="216"/>
      <c r="AA34" s="93"/>
      <c r="AB34" s="406"/>
      <c r="AC34" s="94"/>
      <c r="AI34" s="95"/>
    </row>
    <row r="35" spans="2:35" ht="12.75" hidden="1" customHeight="1" outlineLevel="1">
      <c r="D35" s="406"/>
      <c r="E35" s="406"/>
      <c r="F35" s="406"/>
      <c r="G35" s="406"/>
      <c r="H35" s="406"/>
      <c r="I35" s="406"/>
      <c r="J35" s="406"/>
      <c r="K35" s="406"/>
      <c r="M35" s="56"/>
      <c r="N35" s="406"/>
      <c r="O35" s="214"/>
      <c r="P35" s="215"/>
      <c r="Q35" s="216"/>
      <c r="R35" s="45"/>
      <c r="S35" s="217"/>
      <c r="T35" s="217"/>
      <c r="U35" s="218"/>
      <c r="V35" s="218"/>
      <c r="W35" s="218"/>
      <c r="X35" s="406"/>
      <c r="Y35" s="216"/>
      <c r="AA35" s="93"/>
      <c r="AB35" s="406"/>
      <c r="AC35" s="94"/>
      <c r="AI35" s="95"/>
    </row>
    <row r="36" spans="2:35" ht="12.75" hidden="1" customHeight="1" outlineLevel="1">
      <c r="D36" s="406"/>
      <c r="E36" s="406"/>
      <c r="F36" s="406"/>
      <c r="G36" s="406"/>
      <c r="H36" s="406"/>
      <c r="I36" s="406"/>
      <c r="J36" s="406"/>
      <c r="K36" s="406"/>
      <c r="M36" s="56"/>
      <c r="N36" s="406"/>
      <c r="O36" s="214"/>
      <c r="P36" s="215"/>
      <c r="Q36" s="216"/>
      <c r="R36" s="45"/>
      <c r="S36" s="217"/>
      <c r="T36" s="217"/>
      <c r="U36" s="218"/>
      <c r="V36" s="218"/>
      <c r="W36" s="218"/>
      <c r="X36" s="406"/>
      <c r="Y36" s="216"/>
      <c r="AA36" s="93"/>
      <c r="AB36" s="406"/>
      <c r="AC36" s="94"/>
      <c r="AI36" s="95"/>
    </row>
    <row r="37" spans="2:35" ht="12.75" hidden="1" customHeight="1" outlineLevel="1">
      <c r="D37" s="406"/>
      <c r="E37" s="406"/>
      <c r="F37" s="406"/>
      <c r="G37" s="406"/>
      <c r="H37" s="406"/>
      <c r="I37" s="406"/>
      <c r="J37" s="406"/>
      <c r="K37" s="406"/>
      <c r="M37" s="56"/>
      <c r="N37" s="406"/>
      <c r="O37" s="214"/>
      <c r="P37" s="215"/>
      <c r="Q37" s="216"/>
      <c r="R37" s="45"/>
      <c r="S37" s="217"/>
      <c r="T37" s="217"/>
      <c r="U37" s="218"/>
      <c r="V37" s="218"/>
      <c r="W37" s="218"/>
      <c r="X37" s="406"/>
      <c r="Y37" s="216"/>
      <c r="AA37" s="93"/>
      <c r="AB37" s="406"/>
      <c r="AC37" s="94"/>
      <c r="AI37" s="95"/>
    </row>
    <row r="38" spans="2:35" ht="12.75" hidden="1" customHeight="1" outlineLevel="1">
      <c r="D38" s="406"/>
      <c r="E38" s="406"/>
      <c r="F38" s="406"/>
      <c r="G38" s="406"/>
      <c r="H38" s="406"/>
      <c r="I38" s="406"/>
      <c r="J38" s="406"/>
      <c r="K38" s="406"/>
      <c r="M38" s="56"/>
      <c r="N38" s="406"/>
      <c r="O38" s="214"/>
      <c r="P38" s="215"/>
      <c r="Q38" s="216"/>
      <c r="R38" s="45"/>
      <c r="S38" s="217"/>
      <c r="T38" s="217"/>
      <c r="U38" s="218"/>
      <c r="V38" s="218"/>
      <c r="W38" s="218"/>
      <c r="X38" s="406"/>
      <c r="Y38" s="216"/>
      <c r="AA38" s="93"/>
      <c r="AB38" s="406"/>
      <c r="AC38" s="94"/>
      <c r="AI38" s="95"/>
    </row>
    <row r="39" spans="2:35" ht="12.75" customHeight="1" collapsed="1">
      <c r="D39" s="406"/>
      <c r="E39" s="406"/>
      <c r="F39" s="406"/>
      <c r="G39" s="406"/>
      <c r="H39" s="406"/>
      <c r="I39" s="406"/>
      <c r="J39" s="406"/>
      <c r="K39" s="406"/>
      <c r="R39" s="21"/>
    </row>
    <row r="40" spans="2:35" ht="12.75" customHeight="1">
      <c r="B40" s="766" t="s">
        <v>111</v>
      </c>
      <c r="C40" s="782"/>
      <c r="D40" s="781">
        <f t="shared" ref="D40:K40" si="12">MAX(D10:D38)</f>
        <v>1906.0925500000001</v>
      </c>
      <c r="E40" s="781">
        <f t="shared" si="12"/>
        <v>236.50700000000001</v>
      </c>
      <c r="F40" s="781">
        <f t="shared" si="12"/>
        <v>12.112</v>
      </c>
      <c r="G40" s="781">
        <f t="shared" si="12"/>
        <v>0</v>
      </c>
      <c r="H40" s="781">
        <f t="shared" si="12"/>
        <v>236.50700000000001</v>
      </c>
      <c r="I40" s="781">
        <f t="shared" si="12"/>
        <v>1906.0925500000001</v>
      </c>
      <c r="J40" s="781">
        <f t="shared" si="12"/>
        <v>298.06299999999999</v>
      </c>
      <c r="K40" s="781">
        <f t="shared" si="12"/>
        <v>1608.0295500000002</v>
      </c>
      <c r="L40" s="782"/>
      <c r="M40" s="786">
        <f>MAX(M10:M38)</f>
        <v>0</v>
      </c>
      <c r="N40" s="781">
        <f>MAX(N10:N38)</f>
        <v>6.0054794520547947</v>
      </c>
      <c r="O40" s="788">
        <f>MAX(O10:O38)</f>
        <v>2.7702191780821919E-2</v>
      </c>
      <c r="P40" s="789"/>
      <c r="Q40" s="790">
        <f>MAX(Q10:Q38)</f>
        <v>1.1508768139771337</v>
      </c>
      <c r="R40" s="791"/>
      <c r="S40" s="792">
        <f>MAX(S10:S39)</f>
        <v>1.3245174409501581</v>
      </c>
      <c r="T40" s="792" t="e">
        <f>MAX(T10:T39)</f>
        <v>#NUM!</v>
      </c>
      <c r="U40" s="793" t="e">
        <f>MAX(U10:U39)</f>
        <v>#NUM!</v>
      </c>
      <c r="V40" s="793" t="e">
        <f>MAX(V10:V39)</f>
        <v>#NUM!</v>
      </c>
      <c r="W40" s="793" t="e">
        <f>MAX(W10:W39)</f>
        <v>#NUM!</v>
      </c>
      <c r="X40" s="781">
        <f>MAX(X10:X38)</f>
        <v>284.5474650944945</v>
      </c>
      <c r="Y40" s="794">
        <f>MAX(Y10:Y38)</f>
        <v>1.1508768139771337</v>
      </c>
      <c r="AB40" s="825">
        <f>+'Asset Vol_IPO Phase II'!Y47</f>
        <v>0.76500000000000001</v>
      </c>
      <c r="AC40" s="826" t="s">
        <v>1216</v>
      </c>
      <c r="AD40" s="826"/>
      <c r="AE40" s="826"/>
      <c r="AF40" s="803"/>
    </row>
    <row r="41" spans="2:35" ht="12.75" customHeight="1">
      <c r="B41" s="366" t="s">
        <v>115</v>
      </c>
      <c r="C41" s="79"/>
      <c r="D41" s="101">
        <f t="shared" ref="D41:K41" si="13">QUARTILE(D10:D38,3)</f>
        <v>564.60603750000007</v>
      </c>
      <c r="E41" s="101">
        <f t="shared" si="13"/>
        <v>0.27564</v>
      </c>
      <c r="F41" s="101">
        <f t="shared" si="13"/>
        <v>0</v>
      </c>
      <c r="G41" s="101">
        <f t="shared" si="13"/>
        <v>0</v>
      </c>
      <c r="H41" s="101">
        <f t="shared" si="13"/>
        <v>4.0620500000000002</v>
      </c>
      <c r="I41" s="101">
        <f t="shared" si="13"/>
        <v>569.64603750000003</v>
      </c>
      <c r="J41" s="101">
        <f t="shared" si="13"/>
        <v>132.88825</v>
      </c>
      <c r="K41" s="101">
        <f t="shared" si="13"/>
        <v>383.73003750000009</v>
      </c>
      <c r="L41" s="79"/>
      <c r="M41" s="143">
        <f>QUARTILE(M10:M38,3)</f>
        <v>0</v>
      </c>
      <c r="N41" s="101">
        <f>QUARTILE(N10:N38,3)</f>
        <v>6.0054794520547947</v>
      </c>
      <c r="O41" s="219">
        <f>QUARTILE(O10:O38,3)</f>
        <v>2.7702191780821919E-2</v>
      </c>
      <c r="P41" s="220"/>
      <c r="Q41" s="221">
        <f>QUARTILE(Q10:Q38,3)</f>
        <v>0.96966007882271255</v>
      </c>
      <c r="R41" s="222"/>
      <c r="S41" s="223">
        <f>QUARTILE(S10:S39,3)</f>
        <v>0.94101434754903857</v>
      </c>
      <c r="T41" s="223" t="e">
        <f>QUARTILE(T10:T39,3)</f>
        <v>#NUM!</v>
      </c>
      <c r="U41" s="224" t="e">
        <f>QUARTILE(U10:U39,3)</f>
        <v>#NUM!</v>
      </c>
      <c r="V41" s="224" t="e">
        <f>QUARTILE(V10:V39,3)</f>
        <v>#NUM!</v>
      </c>
      <c r="W41" s="224" t="e">
        <f>QUARTILE(W10:W39,3)</f>
        <v>#NUM!</v>
      </c>
      <c r="X41" s="101">
        <f>QUARTILE(X10:X38,3)</f>
        <v>33.413956637030026</v>
      </c>
      <c r="Y41" s="225">
        <f>QUARTILE(Y10:Y38,3)</f>
        <v>0.97210355841391816</v>
      </c>
      <c r="AB41" s="827">
        <f>+'Asset Vol_IPO Phase II'!Y49</f>
        <v>0.76513079832060404</v>
      </c>
      <c r="AC41" s="16" t="s">
        <v>1217</v>
      </c>
      <c r="AD41" s="16"/>
      <c r="AE41" s="16"/>
      <c r="AF41" s="204"/>
    </row>
    <row r="42" spans="2:35" ht="12.75" customHeight="1">
      <c r="B42" s="366" t="s">
        <v>113</v>
      </c>
      <c r="C42" s="79"/>
      <c r="D42" s="101">
        <f t="shared" ref="D42:K42" si="14">AVERAGE(D10:D38)</f>
        <v>406.69437642857145</v>
      </c>
      <c r="E42" s="101">
        <f t="shared" si="14"/>
        <v>18.459698571428572</v>
      </c>
      <c r="F42" s="101">
        <f t="shared" si="14"/>
        <v>1.2186414285714287</v>
      </c>
      <c r="G42" s="101">
        <f t="shared" si="14"/>
        <v>-0.13735714285714287</v>
      </c>
      <c r="H42" s="101">
        <f t="shared" si="14"/>
        <v>19.540982857142861</v>
      </c>
      <c r="I42" s="101">
        <f t="shared" si="14"/>
        <v>426.23535928571425</v>
      </c>
      <c r="J42" s="101">
        <f t="shared" si="14"/>
        <v>90.206330714285741</v>
      </c>
      <c r="K42" s="101">
        <f t="shared" si="14"/>
        <v>336.02902857142857</v>
      </c>
      <c r="L42" s="79"/>
      <c r="M42" s="143">
        <f>AVERAGE(M10:M38)</f>
        <v>0</v>
      </c>
      <c r="N42" s="101">
        <f>AVERAGE(N10:N38)</f>
        <v>6.0054794520547947</v>
      </c>
      <c r="O42" s="219">
        <f>AVERAGE(O10:O38)</f>
        <v>2.7702191780821912E-2</v>
      </c>
      <c r="P42" s="220"/>
      <c r="Q42" s="221">
        <f>AVERAGE(Q10:Q38)</f>
        <v>0.85444691306009668</v>
      </c>
      <c r="R42" s="222"/>
      <c r="S42" s="223">
        <f>AVERAGE(S10:S39)</f>
        <v>0.75858134151328971</v>
      </c>
      <c r="T42" s="223" t="e">
        <f>AVERAGE(T10:T39)</f>
        <v>#NUM!</v>
      </c>
      <c r="U42" s="224" t="e">
        <f>AVERAGE(U10:U39)</f>
        <v>#NUM!</v>
      </c>
      <c r="V42" s="224" t="e">
        <f>AVERAGE(V10:V39)</f>
        <v>#NUM!</v>
      </c>
      <c r="W42" s="224" t="e">
        <f>AVERAGE(W10:W39)</f>
        <v>#NUM!</v>
      </c>
      <c r="X42" s="101">
        <f>AVERAGE(X10:X38)</f>
        <v>50.456197953453717</v>
      </c>
      <c r="Y42" s="225">
        <f>AVERAGE(Y10:Y38)</f>
        <v>0.82056574991982412</v>
      </c>
      <c r="AB42" s="827">
        <f>+'Asset Vol_IPO Phase II'!Y43</f>
        <v>0.76516734376148998</v>
      </c>
      <c r="AC42" s="16" t="s">
        <v>1215</v>
      </c>
      <c r="AD42" s="16"/>
      <c r="AE42" s="16"/>
      <c r="AF42" s="828" t="s">
        <v>1352</v>
      </c>
    </row>
    <row r="43" spans="2:35" ht="12.75" customHeight="1">
      <c r="B43" s="366" t="s">
        <v>44</v>
      </c>
      <c r="C43" s="79"/>
      <c r="D43" s="101">
        <f t="shared" ref="D43:K43" si="15">MEDIAN(D10:D38)</f>
        <v>164.41385500000001</v>
      </c>
      <c r="E43" s="101">
        <f t="shared" si="15"/>
        <v>0</v>
      </c>
      <c r="F43" s="101">
        <f t="shared" si="15"/>
        <v>0</v>
      </c>
      <c r="G43" s="101">
        <f t="shared" si="15"/>
        <v>0</v>
      </c>
      <c r="H43" s="101">
        <f t="shared" si="15"/>
        <v>0</v>
      </c>
      <c r="I43" s="101">
        <f t="shared" si="15"/>
        <v>262.24737500000003</v>
      </c>
      <c r="J43" s="101">
        <f t="shared" si="15"/>
        <v>57.363289999999992</v>
      </c>
      <c r="K43" s="101">
        <f t="shared" si="15"/>
        <v>153.45654500000001</v>
      </c>
      <c r="L43" s="79"/>
      <c r="M43" s="143">
        <f>MEDIAN(M10:M38)</f>
        <v>0</v>
      </c>
      <c r="N43" s="101">
        <f>MEDIAN(N10:N38)</f>
        <v>6.0054794520547947</v>
      </c>
      <c r="O43" s="219">
        <f>MEDIAN(O10:O38)</f>
        <v>2.7702191780821919E-2</v>
      </c>
      <c r="P43" s="220"/>
      <c r="Q43" s="221">
        <f>MEDIAN(Q10:Q38)</f>
        <v>0.85447448288284344</v>
      </c>
      <c r="R43" s="222"/>
      <c r="S43" s="223">
        <f>MEDIAN(S10:S39)</f>
        <v>0.73111234761796162</v>
      </c>
      <c r="T43" s="223" t="e">
        <f>MEDIAN(T10:T39)</f>
        <v>#NUM!</v>
      </c>
      <c r="U43" s="224" t="e">
        <f>MEDIAN(U10:U39)</f>
        <v>#NUM!</v>
      </c>
      <c r="V43" s="224" t="e">
        <f>MEDIAN(V10:V39)</f>
        <v>#NUM!</v>
      </c>
      <c r="W43" s="224" t="e">
        <f>MEDIAN(W10:W39)</f>
        <v>#NUM!</v>
      </c>
      <c r="X43" s="101">
        <f>MEDIAN(X10:X38)</f>
        <v>0</v>
      </c>
      <c r="Y43" s="225">
        <f>MEDIAN(Y10:Y38)</f>
        <v>0.76516734376148998</v>
      </c>
      <c r="AB43" s="829" t="str">
        <f>IF(ROUND(AB40,3)=ROUND(AB42,3),"","Update Volatility - OPM")</f>
        <v/>
      </c>
      <c r="AC43" s="16"/>
      <c r="AD43" s="16"/>
      <c r="AE43" s="16"/>
      <c r="AF43" s="204"/>
    </row>
    <row r="44" spans="2:35" ht="12.75" customHeight="1">
      <c r="B44" s="366" t="s">
        <v>114</v>
      </c>
      <c r="C44" s="79"/>
      <c r="D44" s="101">
        <f t="shared" ref="D44:K44" si="16">QUARTILE(D10:D38,1)</f>
        <v>52.922474999999999</v>
      </c>
      <c r="E44" s="101">
        <f t="shared" si="16"/>
        <v>0</v>
      </c>
      <c r="F44" s="101">
        <f t="shared" si="16"/>
        <v>0</v>
      </c>
      <c r="G44" s="101">
        <f t="shared" si="16"/>
        <v>0</v>
      </c>
      <c r="H44" s="101">
        <f t="shared" si="16"/>
        <v>0</v>
      </c>
      <c r="I44" s="101">
        <f t="shared" si="16"/>
        <v>52.922474999999999</v>
      </c>
      <c r="J44" s="101">
        <f t="shared" si="16"/>
        <v>11.994250000000001</v>
      </c>
      <c r="K44" s="101">
        <f t="shared" si="16"/>
        <v>41.351739999999999</v>
      </c>
      <c r="L44" s="79"/>
      <c r="M44" s="143">
        <f>QUARTILE(M10:M38,1)</f>
        <v>0</v>
      </c>
      <c r="N44" s="101">
        <f>QUARTILE(N10:N38,1)</f>
        <v>6.0054794520547947</v>
      </c>
      <c r="O44" s="219">
        <f>QUARTILE(O10:O38,1)</f>
        <v>2.7702191780821919E-2</v>
      </c>
      <c r="P44" s="220"/>
      <c r="Q44" s="221">
        <f>QUARTILE(Q10:Q38,1)</f>
        <v>0.73995553756372578</v>
      </c>
      <c r="R44" s="222"/>
      <c r="S44" s="223">
        <f>QUARTILE(S10:S39,1)</f>
        <v>0.5475374557041589</v>
      </c>
      <c r="T44" s="223" t="e">
        <f>QUARTILE(T10:T39,1)</f>
        <v>#NUM!</v>
      </c>
      <c r="U44" s="224" t="e">
        <f>QUARTILE(U10:U39,1)</f>
        <v>#NUM!</v>
      </c>
      <c r="V44" s="224" t="e">
        <f>QUARTILE(V10:V39,1)</f>
        <v>#NUM!</v>
      </c>
      <c r="W44" s="224" t="e">
        <f>QUARTILE(W10:W39,1)</f>
        <v>#NUM!</v>
      </c>
      <c r="X44" s="101">
        <f>QUARTILE(X10:X38,1)</f>
        <v>0</v>
      </c>
      <c r="Y44" s="225">
        <f>QUARTILE(Y10:Y38,1)</f>
        <v>0.73641610131301016</v>
      </c>
      <c r="AB44" s="830" t="str">
        <f>IF(ROUND(AB41,3)=ROUND(AB42,3),"","Update Volatility - DLOM")</f>
        <v/>
      </c>
      <c r="AC44" s="5"/>
      <c r="AD44" s="5"/>
      <c r="AE44" s="5"/>
      <c r="AF44" s="448"/>
    </row>
    <row r="45" spans="2:35" ht="12.75" customHeight="1">
      <c r="B45" s="103" t="s">
        <v>112</v>
      </c>
      <c r="C45" s="72"/>
      <c r="D45" s="75">
        <f t="shared" ref="D45:K45" si="17">MIN(D10:D38)</f>
        <v>3.8515700000000002</v>
      </c>
      <c r="E45" s="75">
        <f t="shared" si="17"/>
        <v>0</v>
      </c>
      <c r="F45" s="75">
        <f t="shared" si="17"/>
        <v>0</v>
      </c>
      <c r="G45" s="75">
        <f t="shared" si="17"/>
        <v>-1.923</v>
      </c>
      <c r="H45" s="75">
        <f t="shared" si="17"/>
        <v>0</v>
      </c>
      <c r="I45" s="75">
        <f t="shared" si="17"/>
        <v>4.2190900000000005</v>
      </c>
      <c r="J45" s="75">
        <f t="shared" si="17"/>
        <v>8.43E-3</v>
      </c>
      <c r="K45" s="75">
        <f t="shared" si="17"/>
        <v>-1.0675899999999992</v>
      </c>
      <c r="L45" s="72"/>
      <c r="M45" s="145">
        <f>MIN(M10:M38)</f>
        <v>0</v>
      </c>
      <c r="N45" s="75">
        <f>MIN(N10:N38)</f>
        <v>6.0054794520547947</v>
      </c>
      <c r="O45" s="795">
        <f>MIN(O10:O38)</f>
        <v>2.7702191780821919E-2</v>
      </c>
      <c r="P45" s="796"/>
      <c r="Q45" s="797">
        <f>MIN(Q10:Q38)</f>
        <v>0.57731598641262194</v>
      </c>
      <c r="R45" s="798"/>
      <c r="S45" s="799">
        <f>MIN(S10:S39)</f>
        <v>0.33329374816757867</v>
      </c>
      <c r="T45" s="799" t="e">
        <f>MIN(T10:T39)</f>
        <v>#NUM!</v>
      </c>
      <c r="U45" s="800" t="e">
        <f>MIN(U10:U39)</f>
        <v>#NUM!</v>
      </c>
      <c r="V45" s="800" t="e">
        <f>MIN(V10:V39)</f>
        <v>#NUM!</v>
      </c>
      <c r="W45" s="800" t="e">
        <f>MIN(W10:W39)</f>
        <v>#NUM!</v>
      </c>
      <c r="X45" s="75">
        <f>MIN(X10:X38)</f>
        <v>0</v>
      </c>
      <c r="Y45" s="801">
        <f>MIN(Y10:Y38)</f>
        <v>0.40478827478751628</v>
      </c>
      <c r="AB45" s="515" t="str">
        <f>IF(K47&lt;&gt;K49,"Check","")</f>
        <v/>
      </c>
    </row>
    <row r="46" spans="2:35" ht="12.75" customHeight="1">
      <c r="AB46" s="958" t="str">
        <f>IF(AND(AB43=$AF$44,AB45=$AF$44,AB44=$AF$44),"","Check")</f>
        <v/>
      </c>
    </row>
    <row r="47" spans="2:35" ht="12.75" hidden="1" customHeight="1" outlineLevel="1">
      <c r="B47" s="226" t="str">
        <f>B2</f>
        <v>Kallyope, Inc.</v>
      </c>
      <c r="C47" s="480" t="s">
        <v>209</v>
      </c>
      <c r="D47" s="1753">
        <f>'Val Summ'!D9/1000</f>
        <v>143.33000000000001</v>
      </c>
      <c r="E47" s="1754">
        <f>'Hist BS'!G55/1000</f>
        <v>0</v>
      </c>
      <c r="F47" s="227"/>
      <c r="G47" s="227"/>
      <c r="H47" s="228">
        <f>SUM(E47:G47)</f>
        <v>0</v>
      </c>
      <c r="I47" s="228">
        <f>SUM(D47:G47)</f>
        <v>143.33000000000001</v>
      </c>
      <c r="J47" s="227"/>
      <c r="K47" s="228">
        <f>I47-J47</f>
        <v>143.33000000000001</v>
      </c>
      <c r="L47" s="227"/>
      <c r="M47" s="229">
        <f>'PWERM Waterfall n Allocation'!D13</f>
        <v>0</v>
      </c>
      <c r="N47" s="230">
        <f>N$6</f>
        <v>6.0054794520547947</v>
      </c>
      <c r="O47" s="231">
        <f>O$6</f>
        <v>2.7702191780821919E-2</v>
      </c>
      <c r="P47" s="232"/>
      <c r="Q47" s="233">
        <v>0.76500000000000001</v>
      </c>
      <c r="R47" s="227"/>
      <c r="S47" s="234">
        <f>IF(Q47="n/a","n/a",Q47^2)</f>
        <v>0.585225</v>
      </c>
      <c r="T47" s="234">
        <f>IF(OR(K47="n/a",S47="n/a"),"n/a",IF(H47=0,0,IF(M47=0,(LN(K47/H47)+((O47+(S47/2))*N47))/((S47*N47)^0.5),(LN(K47/H47)+((O47-M47+(S47/2))*N47))/((S47*N47)^0.5))))</f>
        <v>0</v>
      </c>
      <c r="U47" s="235">
        <f>IF(T47="n/a","n/a",IF(H47=0,0,T47-(S47*N47)^0.5))</f>
        <v>0</v>
      </c>
      <c r="V47" s="235">
        <f>IF(OR(T47="n/a",S47="n/a"),"n/a",IF(H47=0,0,NORMSDIST(T47)))</f>
        <v>0</v>
      </c>
      <c r="W47" s="235">
        <f>IF(OR(U47="n/a",S47="n/a"),"n/a",IF(H47=0,0,NORMSDIST(U47)))</f>
        <v>0</v>
      </c>
      <c r="X47" s="235">
        <f>IF(OR(K47="n/a",S47="n/a"),"n/a",IF(M47=0,(K47*V47)-((H47*EXP(1)^(-O47*N47))*W47),(K47*(2.718^(-M47*N47))*V47)-(H47*(2.718^(-O47*N47))*W47)))</f>
        <v>0</v>
      </c>
      <c r="Y47" s="236">
        <f>IF(LEN(B47)&gt;0,IF(H47=0,Q47,IF(ISERROR(Q47/((K47/X47)*V47)),"n/a",Q47/((K47/X47)*V47))))</f>
        <v>0.76500000000000001</v>
      </c>
    </row>
    <row r="48" spans="2:35" ht="12.75" hidden="1" customHeight="1" outlineLevel="1">
      <c r="C48" s="78"/>
      <c r="D48" s="78"/>
      <c r="E48" s="78"/>
      <c r="F48" s="78"/>
      <c r="G48" s="78"/>
      <c r="H48" s="78"/>
      <c r="I48" s="78"/>
      <c r="J48" s="78"/>
    </row>
    <row r="49" spans="1:25" ht="12.75" customHeight="1" collapsed="1">
      <c r="B49" s="226" t="str">
        <f>B47</f>
        <v>Kallyope, Inc.</v>
      </c>
      <c r="C49" s="480" t="s">
        <v>209</v>
      </c>
      <c r="D49" s="1753">
        <f>D47</f>
        <v>143.33000000000001</v>
      </c>
      <c r="E49" s="1754">
        <f>PWERM!B131/1000+E47</f>
        <v>64.359807910807731</v>
      </c>
      <c r="F49" s="227"/>
      <c r="G49" s="227"/>
      <c r="H49" s="228">
        <f>SUM(E49:G49)</f>
        <v>64.359807910807731</v>
      </c>
      <c r="I49" s="230">
        <f>I47</f>
        <v>143.33000000000001</v>
      </c>
      <c r="J49" s="227"/>
      <c r="K49" s="237">
        <f>K47</f>
        <v>143.33000000000001</v>
      </c>
      <c r="L49" s="227"/>
      <c r="M49" s="238">
        <f>M47</f>
        <v>0</v>
      </c>
      <c r="N49" s="230">
        <f>N$6</f>
        <v>6.0054794520547947</v>
      </c>
      <c r="O49" s="231">
        <f>O$6</f>
        <v>2.7702191780821919E-2</v>
      </c>
      <c r="P49" s="232"/>
      <c r="Q49" s="233">
        <v>0.86150000000000004</v>
      </c>
      <c r="R49" s="227"/>
      <c r="S49" s="234">
        <f>IF(Q49="n/a","n/a",Q49^2)</f>
        <v>0.74218225000000004</v>
      </c>
      <c r="T49" s="234">
        <f>IF(OR(K49="n/a",S49="n/a"),"n/a",IF(H49=0,0,IF(M49=0,(LN(K49/H49)+((O49+(S49/2))*N49))/((S49*N49)^0.5),(LN(K49/H49)+((O49-M49+(S49/2))*N49))/((S49*N49)^0.5))))</f>
        <v>1.5136449676669925</v>
      </c>
      <c r="U49" s="235">
        <f>IF(T49="n/a","n/a",IF(H49=0,0,T49-(S49*N49)^0.5))</f>
        <v>-0.59755380366051902</v>
      </c>
      <c r="V49" s="235">
        <f>IF(OR(T49="n/a",S49="n/a"),"n/a",IF(H49=0,0,NORMSDIST(T49)))</f>
        <v>0.93494204520459923</v>
      </c>
      <c r="W49" s="235">
        <f>IF(OR(U49="n/a",S49="n/a"),"n/a",IF(H49=0,0,NORMSDIST(U49)))</f>
        <v>0.27506884822528638</v>
      </c>
      <c r="X49" s="235">
        <f>IF(OR(K49="n/a",S49="n/a"),"n/a",IF(M49=0,(K49*V49)-((H49*EXP(1)^(-O49*N49))*W49),(K49*(2.718^(-M49*N49))*V49)-(H49*(2.718^(-O49*N49))*W49)))</f>
        <v>119.01513501479968</v>
      </c>
      <c r="Y49" s="236">
        <f>IF(LEN(B49)&gt;0,IF(H49=0,Q49,IF(ISERROR(Q49/((K49/X49)*V49)),"n/a",Q49/((K49/X49)*V49))))</f>
        <v>0.76513079832060404</v>
      </c>
    </row>
    <row r="50" spans="1:25" ht="12.75" customHeight="1"/>
    <row r="51" spans="1:25" ht="12.75" customHeight="1">
      <c r="B51" s="8" t="s">
        <v>86</v>
      </c>
    </row>
    <row r="52" spans="1:25" ht="12.75" customHeight="1">
      <c r="A52" s="718" t="s">
        <v>210</v>
      </c>
      <c r="B52" s="17" t="s">
        <v>837</v>
      </c>
    </row>
    <row r="53" spans="1:25" s="78" customFormat="1" ht="12.75" customHeight="1">
      <c r="A53" s="719" t="str">
        <f>C49</f>
        <v>(2)</v>
      </c>
      <c r="B53" s="1752" t="s">
        <v>2578</v>
      </c>
      <c r="P53" s="21"/>
    </row>
    <row r="54" spans="1:25" ht="12.75" customHeight="1"/>
    <row r="55" spans="1:25" ht="12.75" customHeight="1">
      <c r="B55" s="8" t="s">
        <v>116</v>
      </c>
    </row>
    <row r="56" spans="1:25" ht="12.75" customHeight="1"/>
    <row r="57" spans="1:25" ht="12.75" customHeight="1">
      <c r="B57" s="405" t="s">
        <v>1244</v>
      </c>
    </row>
    <row r="58" spans="1:25">
      <c r="B58" s="405" t="s">
        <v>1245</v>
      </c>
    </row>
    <row r="59" spans="1:25">
      <c r="B59" s="405" t="s">
        <v>1246</v>
      </c>
    </row>
    <row r="60" spans="1:25">
      <c r="B60" s="405" t="s">
        <v>1247</v>
      </c>
    </row>
    <row r="61" spans="1:25">
      <c r="B61" s="405" t="s">
        <v>1248</v>
      </c>
    </row>
    <row r="62" spans="1:25">
      <c r="B62" s="405" t="s">
        <v>1249</v>
      </c>
    </row>
    <row r="63" spans="1:25">
      <c r="B63" s="405" t="s">
        <v>1250</v>
      </c>
    </row>
    <row r="65" spans="2:2">
      <c r="B65" s="405" t="s">
        <v>1251</v>
      </c>
    </row>
    <row r="66" spans="2:2">
      <c r="B66" s="405" t="s">
        <v>1252</v>
      </c>
    </row>
    <row r="67" spans="2:2">
      <c r="B67" s="405" t="s">
        <v>1253</v>
      </c>
    </row>
    <row r="68" spans="2:2">
      <c r="B68" s="405" t="s">
        <v>1254</v>
      </c>
    </row>
    <row r="69" spans="2:2">
      <c r="B69" s="405" t="s">
        <v>1255</v>
      </c>
    </row>
    <row r="70" spans="2:2">
      <c r="B70" s="405" t="s">
        <v>1256</v>
      </c>
    </row>
  </sheetData>
  <conditionalFormatting sqref="B10:B38">
    <cfRule type="cellIs" dxfId="538" priority="8" operator="equal">
      <formula>"(Invalid Identifier)"</formula>
    </cfRule>
  </conditionalFormatting>
  <conditionalFormatting sqref="B4:I4">
    <cfRule type="cellIs" dxfId="537" priority="7" stopIfTrue="1" operator="equal">
      <formula>"input"</formula>
    </cfRule>
  </conditionalFormatting>
  <conditionalFormatting sqref="J4">
    <cfRule type="cellIs" dxfId="536" priority="5" stopIfTrue="1" operator="equal">
      <formula>"input"</formula>
    </cfRule>
  </conditionalFormatting>
  <conditionalFormatting sqref="J4">
    <cfRule type="cellIs" dxfId="535" priority="6" stopIfTrue="1" operator="equal">
      <formula>"input"</formula>
    </cfRule>
  </conditionalFormatting>
  <conditionalFormatting sqref="K4:X4">
    <cfRule type="cellIs" dxfId="534" priority="3" stopIfTrue="1" operator="equal">
      <formula>"input"</formula>
    </cfRule>
  </conditionalFormatting>
  <conditionalFormatting sqref="K4:X4">
    <cfRule type="cellIs" dxfId="533" priority="4" stopIfTrue="1" operator="equal">
      <formula>"input"</formula>
    </cfRule>
  </conditionalFormatting>
  <conditionalFormatting sqref="Y4">
    <cfRule type="cellIs" dxfId="532" priority="1" stopIfTrue="1" operator="equal">
      <formula>"input"</formula>
    </cfRule>
  </conditionalFormatting>
  <conditionalFormatting sqref="Y4">
    <cfRule type="cellIs" dxfId="531"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AI70"/>
  <sheetViews>
    <sheetView showGridLines="0" view="pageBreakPreview" zoomScale="85" zoomScaleNormal="100" zoomScaleSheetLayoutView="85" workbookViewId="0"/>
  </sheetViews>
  <sheetFormatPr defaultRowHeight="12.75" outlineLevelRow="1" outlineLevelCol="1"/>
  <cols>
    <col min="1" max="1" width="4.5" style="405" customWidth="1"/>
    <col min="2" max="2" width="42.1640625" style="405" customWidth="1"/>
    <col min="3" max="3" width="2.83203125" style="405" customWidth="1"/>
    <col min="4" max="4" width="12.83203125" style="405" customWidth="1"/>
    <col min="5" max="5" width="10.83203125" style="405" hidden="1" customWidth="1" outlineLevel="1"/>
    <col min="6" max="7" width="9.83203125" style="405" hidden="1" customWidth="1" outlineLevel="1"/>
    <col min="8" max="8" width="12.83203125" style="405" customWidth="1" collapsed="1"/>
    <col min="9" max="11" width="12.83203125" style="405" customWidth="1"/>
    <col min="12" max="12" width="2.83203125" style="405" customWidth="1"/>
    <col min="13" max="15" width="12.83203125" style="405" customWidth="1"/>
    <col min="16" max="16" width="2.83203125" style="21" customWidth="1"/>
    <col min="17" max="17" width="12.83203125" style="405" customWidth="1"/>
    <col min="18" max="18" width="2.83203125" style="405" customWidth="1"/>
    <col min="19" max="19" width="11.6640625" style="405" hidden="1" customWidth="1" outlineLevel="1"/>
    <col min="20" max="23" width="8.83203125" style="405" hidden="1" customWidth="1" outlineLevel="1"/>
    <col min="24" max="24" width="12.83203125" style="405" customWidth="1" collapsed="1"/>
    <col min="25" max="25" width="12.83203125" style="405" customWidth="1"/>
    <col min="26" max="26" width="4.5" style="405" customWidth="1"/>
    <col min="27" max="27" width="17.5" style="405" bestFit="1" customWidth="1"/>
    <col min="28" max="28" width="12.33203125" style="405" bestFit="1" customWidth="1"/>
    <col min="29" max="29" width="9.5" style="405" bestFit="1" customWidth="1"/>
    <col min="30" max="30" width="10.1640625" style="405" bestFit="1" customWidth="1"/>
    <col min="31" max="16384" width="9.33203125" style="405"/>
  </cols>
  <sheetData>
    <row r="1" spans="2:35" ht="10.7" customHeight="1" thickBot="1">
      <c r="P1" s="405"/>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AA2" s="303" t="s">
        <v>87</v>
      </c>
      <c r="AB2" s="304">
        <f>+'Comp.1'!$AL$2</f>
        <v>43281</v>
      </c>
    </row>
    <row r="3" spans="2:35" ht="15.75" customHeight="1">
      <c r="B3" s="11" t="str">
        <f>VLOOKUP(B4,Outline!$E$8:$G$69,COLUMNS(Outline!$E$8:$G$8),FALSE)</f>
        <v>Exhibit H.4</v>
      </c>
      <c r="C3" s="11"/>
      <c r="D3" s="11"/>
      <c r="E3" s="11"/>
      <c r="F3" s="11"/>
      <c r="G3" s="11"/>
      <c r="H3" s="11"/>
      <c r="I3" s="11"/>
      <c r="J3" s="11"/>
      <c r="K3" s="11"/>
      <c r="L3" s="11"/>
      <c r="M3" s="11"/>
      <c r="N3" s="11"/>
      <c r="O3" s="11"/>
      <c r="P3" s="11"/>
      <c r="Q3" s="11"/>
      <c r="R3" s="11"/>
      <c r="S3" s="11"/>
      <c r="T3" s="11"/>
      <c r="U3" s="11"/>
      <c r="V3" s="11"/>
      <c r="W3" s="11"/>
      <c r="X3" s="11"/>
      <c r="Y3" s="11"/>
      <c r="AA3" s="201" t="s">
        <v>398</v>
      </c>
      <c r="AB3" s="308" t="str">
        <f>+'Comp.1'!$AL$3</f>
        <v>F</v>
      </c>
    </row>
    <row r="4" spans="2:35" ht="16.5" customHeight="1" thickBot="1">
      <c r="B4" s="12" t="s">
        <v>2265</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201" t="s">
        <v>399</v>
      </c>
      <c r="AB4" s="308" t="str">
        <f>+'Comp.1'!$AL$4</f>
        <v>USD</v>
      </c>
    </row>
    <row r="5" spans="2:35" ht="12.75" customHeight="1" thickTop="1">
      <c r="B5" s="21"/>
      <c r="AA5" s="82" t="s">
        <v>89</v>
      </c>
      <c r="AB5" s="307" t="str">
        <f>+'Comp.1'!$AL$5</f>
        <v>H</v>
      </c>
    </row>
    <row r="6" spans="2:35" ht="12.75" hidden="1" customHeight="1" outlineLevel="1">
      <c r="N6" s="210">
        <f>'PWERM DLOM'!F10</f>
        <v>3.0027397260273974</v>
      </c>
      <c r="O6" s="211">
        <f>'Risk-Free Rates'!E51</f>
        <v>2.63013698630137E-2</v>
      </c>
      <c r="Q6" s="212">
        <f>HLOOKUP(ROUND(N6,0),'Equity Vol'!$D$8:$K$8,1,TRUE)</f>
        <v>3</v>
      </c>
    </row>
    <row r="7" spans="2:35" ht="25.5" customHeight="1" collapsed="1">
      <c r="D7" s="198" t="s">
        <v>91</v>
      </c>
      <c r="E7" s="199"/>
      <c r="F7" s="199"/>
      <c r="G7" s="199"/>
      <c r="H7" s="199"/>
      <c r="I7" s="199"/>
      <c r="J7" s="199"/>
      <c r="K7" s="200"/>
      <c r="M7" s="198" t="s">
        <v>92</v>
      </c>
      <c r="N7" s="199"/>
      <c r="O7" s="199"/>
      <c r="P7" s="213"/>
      <c r="Q7" s="200"/>
      <c r="S7" s="198" t="s">
        <v>93</v>
      </c>
      <c r="T7" s="199"/>
      <c r="U7" s="199"/>
      <c r="V7" s="199"/>
      <c r="W7" s="199"/>
      <c r="X7" s="986" t="s">
        <v>93</v>
      </c>
      <c r="Y7" s="987"/>
    </row>
    <row r="8" spans="2:35" s="6" customFormat="1" ht="43.5" customHeight="1">
      <c r="B8" s="481" t="s">
        <v>633</v>
      </c>
      <c r="D8" s="612" t="s">
        <v>94</v>
      </c>
      <c r="E8" s="613" t="s">
        <v>95</v>
      </c>
      <c r="F8" s="613" t="s">
        <v>96</v>
      </c>
      <c r="G8" s="613" t="s">
        <v>97</v>
      </c>
      <c r="H8" s="613" t="s">
        <v>98</v>
      </c>
      <c r="I8" s="613" t="s">
        <v>99</v>
      </c>
      <c r="J8" s="613" t="s">
        <v>100</v>
      </c>
      <c r="K8" s="614" t="s">
        <v>101</v>
      </c>
      <c r="L8" s="330"/>
      <c r="M8" s="612" t="s">
        <v>73</v>
      </c>
      <c r="N8" s="613" t="s">
        <v>102</v>
      </c>
      <c r="O8" s="614" t="s">
        <v>72</v>
      </c>
      <c r="P8" s="599"/>
      <c r="Q8" s="615" t="s">
        <v>103</v>
      </c>
      <c r="R8" s="599"/>
      <c r="S8" s="612" t="s">
        <v>104</v>
      </c>
      <c r="T8" s="613" t="s">
        <v>84</v>
      </c>
      <c r="U8" s="613" t="s">
        <v>85</v>
      </c>
      <c r="V8" s="613" t="s">
        <v>105</v>
      </c>
      <c r="W8" s="613" t="s">
        <v>106</v>
      </c>
      <c r="X8" s="616" t="s">
        <v>107</v>
      </c>
      <c r="Y8" s="614" t="s">
        <v>645</v>
      </c>
      <c r="AA8" s="87" t="s">
        <v>108</v>
      </c>
      <c r="AB8" s="88" t="s">
        <v>109</v>
      </c>
      <c r="AC8" s="88" t="s">
        <v>110</v>
      </c>
      <c r="AD8" s="89"/>
    </row>
    <row r="9" spans="2:35" ht="12.75" customHeight="1">
      <c r="X9" s="173"/>
    </row>
    <row r="10" spans="2:35" ht="12.75" customHeight="1">
      <c r="B10" s="405" t="str">
        <f>'Comp.1'!B12</f>
        <v>ACADIA Pharmaceuticals Inc.</v>
      </c>
      <c r="D10" s="406">
        <f>'Beta Calc'!K10</f>
        <v>1906.0925500000001</v>
      </c>
      <c r="E10" s="406">
        <f>'Beta Calc'!L10</f>
        <v>0</v>
      </c>
      <c r="F10" s="406">
        <f>'Beta Calc'!M10</f>
        <v>0</v>
      </c>
      <c r="G10" s="406">
        <f>'Beta Calc'!N10</f>
        <v>0</v>
      </c>
      <c r="H10" s="406">
        <f>SUM(E10:G10)</f>
        <v>0</v>
      </c>
      <c r="I10" s="406">
        <f>SUM(D10:G10)</f>
        <v>1906.0925500000001</v>
      </c>
      <c r="J10" s="406">
        <f>'Beta Calc'!Q10</f>
        <v>298.06299999999999</v>
      </c>
      <c r="K10" s="406">
        <f>I10-J10</f>
        <v>1608.0295500000002</v>
      </c>
      <c r="M10" s="56">
        <f>IFERROR('Capital IQ Sheet-GPC'!AT13,"n/a")</f>
        <v>0</v>
      </c>
      <c r="N10" s="406">
        <f t="shared" ref="N10:O23" si="0">N$6</f>
        <v>3.0027397260273974</v>
      </c>
      <c r="O10" s="214">
        <f t="shared" si="0"/>
        <v>2.63013698630137E-2</v>
      </c>
      <c r="P10" s="215"/>
      <c r="Q10" s="216">
        <f>IFERROR(HLOOKUP($Q$6,'Equity Vol'!$B$8:$K10,ROWS('Equity Vol'!$C$8:$C10),FALSE),"n/a")</f>
        <v>0.62802538852908885</v>
      </c>
      <c r="R10" s="45"/>
      <c r="S10" s="217">
        <f>IFERROR(IF(Q10="n/a","n/a",Q10^2),"n/a")</f>
        <v>0.39441588863711302</v>
      </c>
      <c r="T10" s="217">
        <f t="shared" ref="T10:T23" si="1">IF(OR(K10="n/a",S10="n/a"),"n/a",IF(H10=0,0,IF(M10=0,(LN(K10/H10)+((O10+(S10/2))*N10))/((S10*N10)^0.5),(LN(K10/H10)+((O10-M10+(S10/2))*N10))/((S10*N10)^0.5))))</f>
        <v>0</v>
      </c>
      <c r="U10" s="218">
        <f t="shared" ref="U10:U23" si="2">IF(T10="n/a","n/a",IF(H10=0,0,T10-(S10*N10)^0.5))</f>
        <v>0</v>
      </c>
      <c r="V10" s="218">
        <f t="shared" ref="V10:V23" si="3">IF(OR(T10="n/a",S10="n/a"),"n/a",IF(H10=0,0,NORMSDIST(T10)))</f>
        <v>0</v>
      </c>
      <c r="W10" s="218">
        <f t="shared" ref="W10:W23" si="4">IF(OR(U10="n/a",S10="n/a"),"n/a",IF(H10=0,0,NORMSDIST(U10)))</f>
        <v>0</v>
      </c>
      <c r="X10" s="92">
        <f t="shared" ref="X10:X22" si="5">IF(OR(K10="n/a",S10="n/a"),"n/a",IF(M10=0,(K10*V10)-((H10*EXP(1)^(-O10*N10))*W10),(K10*(2.718^(-M10*N10))*V10)-(H10*(2.718^(-O10*N10))*W10)))</f>
        <v>0</v>
      </c>
      <c r="Y10" s="216">
        <f>IFERROR(IF(LEN(B10)&gt;0,IF(H10=0,Q10,IF(ISERROR(Q10/((K10/X10)*V10)),"n/a",Q10/((K10/X10)*V10)))),"n/a")</f>
        <v>0.62802538852908885</v>
      </c>
      <c r="AA10" s="93" t="str">
        <f>IF('MASTER PubCo Inputs'!B28=0,"",'MASTER PubCo Inputs'!B28)</f>
        <v>NasdaqGS:ACAD</v>
      </c>
      <c r="AB10" s="406">
        <f>'Beta Calc'!Z10</f>
        <v>1608.02955</v>
      </c>
      <c r="AC10" s="94">
        <f t="shared" ref="AC10:AC23" si="6">K10-AB10</f>
        <v>0</v>
      </c>
      <c r="AI10" s="95"/>
    </row>
    <row r="11" spans="2:35" ht="12.75" customHeight="1">
      <c r="B11" s="405" t="str">
        <f>'Comp.1'!B13</f>
        <v>Rhythm Pharmaceuticals, Inc.</v>
      </c>
      <c r="D11" s="406">
        <f>'Beta Calc'!K11</f>
        <v>1066.6532199999999</v>
      </c>
      <c r="E11" s="406">
        <f>'Beta Calc'!L11</f>
        <v>0</v>
      </c>
      <c r="F11" s="406">
        <f>'Beta Calc'!M11</f>
        <v>0</v>
      </c>
      <c r="G11" s="406">
        <f>'Beta Calc'!N11</f>
        <v>0</v>
      </c>
      <c r="H11" s="406">
        <f t="shared" ref="H11:H23" si="7">SUM(E11:G11)</f>
        <v>0</v>
      </c>
      <c r="I11" s="406">
        <f t="shared" ref="I11:I23" si="8">SUM(D11:G11)</f>
        <v>1066.6532199999999</v>
      </c>
      <c r="J11" s="406">
        <f>'Beta Calc'!Q11</f>
        <v>136.453</v>
      </c>
      <c r="K11" s="406">
        <f t="shared" ref="K11:K23" si="9">I11-J11</f>
        <v>930.20021999999994</v>
      </c>
      <c r="M11" s="56">
        <f>IFERROR('Capital IQ Sheet-GPC'!AT14,"n/a")</f>
        <v>0</v>
      </c>
      <c r="N11" s="406">
        <f t="shared" si="0"/>
        <v>3.0027397260273974</v>
      </c>
      <c r="O11" s="214">
        <f t="shared" si="0"/>
        <v>2.63013698630137E-2</v>
      </c>
      <c r="P11" s="215"/>
      <c r="Q11" s="216" t="str">
        <f>IFERROR(HLOOKUP($Q$6,'Equity Vol'!$B$8:$K11,ROWS('Equity Vol'!$C$8:$C11),FALSE),"n/a")</f>
        <v>NM</v>
      </c>
      <c r="R11" s="45"/>
      <c r="S11" s="217" t="str">
        <f t="shared" ref="S11:S23" si="10">IFERROR(IF(Q11="n/a","n/a",Q11^2),"n/a")</f>
        <v>n/a</v>
      </c>
      <c r="T11" s="217" t="str">
        <f t="shared" si="1"/>
        <v>n/a</v>
      </c>
      <c r="U11" s="218" t="str">
        <f t="shared" si="2"/>
        <v>n/a</v>
      </c>
      <c r="V11" s="218" t="str">
        <f t="shared" si="3"/>
        <v>n/a</v>
      </c>
      <c r="W11" s="218" t="str">
        <f t="shared" si="4"/>
        <v>n/a</v>
      </c>
      <c r="X11" s="92" t="str">
        <f t="shared" si="5"/>
        <v>n/a</v>
      </c>
      <c r="Y11" s="216" t="str">
        <f t="shared" ref="Y11:Y23" si="11">IFERROR(IF(LEN(B11)&gt;0,IF(H11=0,Q11,IF(ISERROR(Q11/((K11/X11)*V11)),"n/a",Q11/((K11/X11)*V11)))),"n/a")</f>
        <v>NM</v>
      </c>
      <c r="AA11" s="93" t="str">
        <f>IF('MASTER PubCo Inputs'!B29=0,"",'MASTER PubCo Inputs'!B29)</f>
        <v>NasdaqGM:RYTM</v>
      </c>
      <c r="AB11" s="406">
        <f>'Beta Calc'!Z11</f>
        <v>930.20021999999994</v>
      </c>
      <c r="AC11" s="94">
        <f t="shared" si="6"/>
        <v>0</v>
      </c>
      <c r="AI11" s="95"/>
    </row>
    <row r="12" spans="2:35" ht="12.75" customHeight="1">
      <c r="B12" s="405" t="str">
        <f>'Comp.1'!B14</f>
        <v>Assembly Biosciences, Inc.</v>
      </c>
      <c r="D12" s="406">
        <f>'Beta Calc'!K12</f>
        <v>805.79364999999996</v>
      </c>
      <c r="E12" s="406">
        <f>'Beta Calc'!L12</f>
        <v>0</v>
      </c>
      <c r="F12" s="406">
        <f>'Beta Calc'!M12</f>
        <v>0</v>
      </c>
      <c r="G12" s="406">
        <f>'Beta Calc'!N12</f>
        <v>0</v>
      </c>
      <c r="H12" s="406">
        <f t="shared" si="7"/>
        <v>0</v>
      </c>
      <c r="I12" s="406">
        <f t="shared" si="8"/>
        <v>805.79364999999996</v>
      </c>
      <c r="J12" s="406">
        <f>'Beta Calc'!Q12</f>
        <v>109.15898</v>
      </c>
      <c r="K12" s="406">
        <f t="shared" si="9"/>
        <v>696.63466999999991</v>
      </c>
      <c r="M12" s="56">
        <f>IFERROR('Capital IQ Sheet-GPC'!AT15,"n/a")</f>
        <v>0</v>
      </c>
      <c r="N12" s="406">
        <f t="shared" si="0"/>
        <v>3.0027397260273974</v>
      </c>
      <c r="O12" s="214">
        <f t="shared" si="0"/>
        <v>2.63013698630137E-2</v>
      </c>
      <c r="P12" s="215"/>
      <c r="Q12" s="216">
        <f>IFERROR(HLOOKUP($Q$6,'Equity Vol'!$B$8:$K12,ROWS('Equity Vol'!$C$8:$C12),FALSE),"n/a")</f>
        <v>0.61179906568161346</v>
      </c>
      <c r="R12" s="45"/>
      <c r="S12" s="217">
        <f t="shared" si="10"/>
        <v>0.37429809676889519</v>
      </c>
      <c r="T12" s="217">
        <f t="shared" si="1"/>
        <v>0</v>
      </c>
      <c r="U12" s="218">
        <f t="shared" si="2"/>
        <v>0</v>
      </c>
      <c r="V12" s="218">
        <f t="shared" si="3"/>
        <v>0</v>
      </c>
      <c r="W12" s="218">
        <f t="shared" si="4"/>
        <v>0</v>
      </c>
      <c r="X12" s="92">
        <f t="shared" si="5"/>
        <v>0</v>
      </c>
      <c r="Y12" s="216">
        <f t="shared" si="11"/>
        <v>0.61179906568161346</v>
      </c>
      <c r="AA12" s="93" t="str">
        <f>IF('MASTER PubCo Inputs'!B30=0,"",'MASTER PubCo Inputs'!B30)</f>
        <v>NasdaqCM:ASMB</v>
      </c>
      <c r="AB12" s="406">
        <f>'Beta Calc'!Z12</f>
        <v>696.63467000000003</v>
      </c>
      <c r="AC12" s="94">
        <f t="shared" si="6"/>
        <v>0</v>
      </c>
      <c r="AI12" s="95"/>
    </row>
    <row r="13" spans="2:35" ht="12.75" customHeight="1">
      <c r="B13" s="405" t="str">
        <f>'Comp.1'!B15</f>
        <v>Voyager Therapeutics, Inc.</v>
      </c>
      <c r="D13" s="406">
        <f>'Beta Calc'!K13</f>
        <v>631.55226000000005</v>
      </c>
      <c r="E13" s="406">
        <f>'Beta Calc'!L13</f>
        <v>0</v>
      </c>
      <c r="F13" s="406">
        <f>'Beta Calc'!M13</f>
        <v>0</v>
      </c>
      <c r="G13" s="406">
        <f>'Beta Calc'!N13</f>
        <v>0</v>
      </c>
      <c r="H13" s="406">
        <f t="shared" si="7"/>
        <v>0</v>
      </c>
      <c r="I13" s="406">
        <f t="shared" si="8"/>
        <v>631.55226000000005</v>
      </c>
      <c r="J13" s="406">
        <f>'Beta Calc'!Q13</f>
        <v>218.19800000000001</v>
      </c>
      <c r="K13" s="406">
        <f t="shared" si="9"/>
        <v>413.35426000000007</v>
      </c>
      <c r="M13" s="56">
        <f>IFERROR('Capital IQ Sheet-GPC'!AT16,"n/a")</f>
        <v>0</v>
      </c>
      <c r="N13" s="406">
        <f t="shared" si="0"/>
        <v>3.0027397260273974</v>
      </c>
      <c r="O13" s="214">
        <f t="shared" si="0"/>
        <v>2.63013698630137E-2</v>
      </c>
      <c r="P13" s="215"/>
      <c r="Q13" s="216">
        <f>IFERROR(HLOOKUP($Q$6,'Equity Vol'!$B$8:$K13,ROWS('Equity Vol'!$C$8:$C13),FALSE),"n/a")</f>
        <v>0.74099767206184253</v>
      </c>
      <c r="R13" s="45"/>
      <c r="S13" s="217">
        <f t="shared" si="10"/>
        <v>0.54907755000106995</v>
      </c>
      <c r="T13" s="217">
        <f t="shared" si="1"/>
        <v>0</v>
      </c>
      <c r="U13" s="218">
        <f t="shared" si="2"/>
        <v>0</v>
      </c>
      <c r="V13" s="218">
        <f t="shared" si="3"/>
        <v>0</v>
      </c>
      <c r="W13" s="218">
        <f t="shared" si="4"/>
        <v>0</v>
      </c>
      <c r="X13" s="92">
        <f t="shared" si="5"/>
        <v>0</v>
      </c>
      <c r="Y13" s="216">
        <f t="shared" si="11"/>
        <v>0.74099767206184253</v>
      </c>
      <c r="AA13" s="93" t="str">
        <f>IF('MASTER PubCo Inputs'!B31=0,"",'MASTER PubCo Inputs'!B31)</f>
        <v>NasdaqGS:VYGR</v>
      </c>
      <c r="AB13" s="406">
        <f>'Beta Calc'!Z13</f>
        <v>413.35426000000001</v>
      </c>
      <c r="AC13" s="94">
        <f t="shared" si="6"/>
        <v>0</v>
      </c>
      <c r="AI13" s="95"/>
    </row>
    <row r="14" spans="2:35" ht="12.75" customHeight="1">
      <c r="B14" s="405" t="str">
        <f>'Comp.1'!B16</f>
        <v>Zafgen, Inc.</v>
      </c>
      <c r="D14" s="406">
        <f>'Beta Calc'!K14</f>
        <v>363.76737000000003</v>
      </c>
      <c r="E14" s="406">
        <f>'Beta Calc'!L14</f>
        <v>20.16</v>
      </c>
      <c r="F14" s="406">
        <f>'Beta Calc'!M14</f>
        <v>0</v>
      </c>
      <c r="G14" s="406">
        <f>'Beta Calc'!N14</f>
        <v>0</v>
      </c>
      <c r="H14" s="406">
        <f t="shared" si="7"/>
        <v>20.16</v>
      </c>
      <c r="I14" s="406">
        <f t="shared" si="8"/>
        <v>383.92737000000005</v>
      </c>
      <c r="J14" s="406">
        <f>'Beta Calc'!Q14</f>
        <v>89.07</v>
      </c>
      <c r="K14" s="406">
        <f t="shared" si="9"/>
        <v>294.85737000000006</v>
      </c>
      <c r="M14" s="56">
        <f>IFERROR('Capital IQ Sheet-GPC'!AT17,"n/a")</f>
        <v>0</v>
      </c>
      <c r="N14" s="406">
        <f t="shared" si="0"/>
        <v>3.0027397260273974</v>
      </c>
      <c r="O14" s="214">
        <f t="shared" si="0"/>
        <v>2.63013698630137E-2</v>
      </c>
      <c r="P14" s="215"/>
      <c r="Q14" s="216">
        <f>IFERROR(HLOOKUP($Q$6,'Equity Vol'!$B$8:$K14,ROWS('Equity Vol'!$C$8:$C14),FALSE),"n/a")</f>
        <v>1.1302394832325817</v>
      </c>
      <c r="R14" s="45"/>
      <c r="S14" s="217">
        <f t="shared" si="10"/>
        <v>1.2774412894578533</v>
      </c>
      <c r="T14" s="217">
        <f t="shared" si="1"/>
        <v>2.3893885307275418</v>
      </c>
      <c r="U14" s="218">
        <f t="shared" si="2"/>
        <v>0.43086262905486805</v>
      </c>
      <c r="V14" s="218">
        <f t="shared" si="3"/>
        <v>0.99156177786107702</v>
      </c>
      <c r="W14" s="218">
        <f t="shared" si="4"/>
        <v>0.66671587110246233</v>
      </c>
      <c r="X14" s="92">
        <f t="shared" si="5"/>
        <v>279.94898882055389</v>
      </c>
      <c r="Y14" s="216">
        <f t="shared" si="11"/>
        <v>1.0822251262591387</v>
      </c>
      <c r="AA14" s="93" t="str">
        <f>IF('MASTER PubCo Inputs'!B32=0,"",'MASTER PubCo Inputs'!B32)</f>
        <v>NasdaqGS:ZFGN</v>
      </c>
      <c r="AB14" s="406">
        <f>'Beta Calc'!Z14</f>
        <v>294.85737</v>
      </c>
      <c r="AC14" s="94">
        <f t="shared" si="6"/>
        <v>0</v>
      </c>
      <c r="AI14" s="95"/>
    </row>
    <row r="15" spans="2:35" ht="12.75" customHeight="1">
      <c r="B15" s="405" t="str">
        <f>'Comp.1'!B17</f>
        <v>Seres Therapeutics, Inc.</v>
      </c>
      <c r="D15" s="406">
        <f>'Beta Calc'!K15</f>
        <v>349.61295000000001</v>
      </c>
      <c r="E15" s="406">
        <f>'Beta Calc'!L15</f>
        <v>0</v>
      </c>
      <c r="F15" s="406">
        <f>'Beta Calc'!M15</f>
        <v>0</v>
      </c>
      <c r="G15" s="406">
        <f>'Beta Calc'!N15</f>
        <v>0</v>
      </c>
      <c r="H15" s="406">
        <f t="shared" si="7"/>
        <v>0</v>
      </c>
      <c r="I15" s="406">
        <f t="shared" si="8"/>
        <v>349.61295000000001</v>
      </c>
      <c r="J15" s="406">
        <f>'Beta Calc'!Q15</f>
        <v>122.194</v>
      </c>
      <c r="K15" s="406">
        <f t="shared" si="9"/>
        <v>227.41895</v>
      </c>
      <c r="M15" s="56">
        <f>IFERROR('Capital IQ Sheet-GPC'!AT18,"n/a")</f>
        <v>0</v>
      </c>
      <c r="N15" s="406">
        <f t="shared" si="0"/>
        <v>3.0027397260273974</v>
      </c>
      <c r="O15" s="214">
        <f t="shared" si="0"/>
        <v>2.63013698630137E-2</v>
      </c>
      <c r="P15" s="215"/>
      <c r="Q15" s="216">
        <f>IFERROR(HLOOKUP($Q$6,'Equity Vol'!$B$8:$K15,ROWS('Equity Vol'!$C$8:$C15),FALSE),"n/a")</f>
        <v>0.9382914450442692</v>
      </c>
      <c r="R15" s="45"/>
      <c r="S15" s="217">
        <f t="shared" si="10"/>
        <v>0.88039083584326283</v>
      </c>
      <c r="T15" s="217">
        <f t="shared" si="1"/>
        <v>0</v>
      </c>
      <c r="U15" s="218">
        <f t="shared" si="2"/>
        <v>0</v>
      </c>
      <c r="V15" s="218">
        <f t="shared" si="3"/>
        <v>0</v>
      </c>
      <c r="W15" s="218">
        <f t="shared" si="4"/>
        <v>0</v>
      </c>
      <c r="X15" s="92">
        <f t="shared" si="5"/>
        <v>0</v>
      </c>
      <c r="Y15" s="216">
        <f t="shared" si="11"/>
        <v>0.9382914450442692</v>
      </c>
      <c r="AA15" s="93" t="str">
        <f>IF('MASTER PubCo Inputs'!B33=0,"",'MASTER PubCo Inputs'!B33)</f>
        <v>NasdaqGS:MCRB</v>
      </c>
      <c r="AB15" s="406">
        <f>'Beta Calc'!Z15</f>
        <v>227.41893999999999</v>
      </c>
      <c r="AC15" s="94">
        <f t="shared" si="6"/>
        <v>1.0000000003174137E-5</v>
      </c>
      <c r="AI15" s="95"/>
    </row>
    <row r="16" spans="2:35" ht="12.75" customHeight="1">
      <c r="B16" s="405" t="str">
        <f>'Comp.1'!B18</f>
        <v>CohBar, Inc.</v>
      </c>
      <c r="D16" s="406">
        <f>'Beta Calc'!K16</f>
        <v>211.81835000000001</v>
      </c>
      <c r="E16" s="406">
        <f>'Beta Calc'!L16</f>
        <v>1.40126</v>
      </c>
      <c r="F16" s="406">
        <f>'Beta Calc'!M16</f>
        <v>0</v>
      </c>
      <c r="G16" s="406">
        <f>'Beta Calc'!N16</f>
        <v>0</v>
      </c>
      <c r="H16" s="406">
        <f t="shared" si="7"/>
        <v>1.40126</v>
      </c>
      <c r="I16" s="406">
        <f t="shared" si="8"/>
        <v>213.21961000000002</v>
      </c>
      <c r="J16" s="406">
        <f>'Beta Calc'!Q16</f>
        <v>8.4566599999999994</v>
      </c>
      <c r="K16" s="406">
        <f t="shared" si="9"/>
        <v>204.76295000000002</v>
      </c>
      <c r="M16" s="56">
        <f>IFERROR('Capital IQ Sheet-GPC'!AT19,"n/a")</f>
        <v>0</v>
      </c>
      <c r="N16" s="406">
        <f t="shared" si="0"/>
        <v>3.0027397260273974</v>
      </c>
      <c r="O16" s="214">
        <f t="shared" si="0"/>
        <v>2.63013698630137E-2</v>
      </c>
      <c r="P16" s="215"/>
      <c r="Q16" s="216">
        <f>IFERROR(HLOOKUP($Q$6,'Equity Vol'!$B$8:$K16,ROWS('Equity Vol'!$C$8:$C16),FALSE),"n/a")</f>
        <v>0.92782915284976175</v>
      </c>
      <c r="R16" s="45"/>
      <c r="S16" s="217">
        <f t="shared" si="10"/>
        <v>0.86086693687790661</v>
      </c>
      <c r="T16" s="217">
        <f t="shared" si="1"/>
        <v>3.9532358350243393</v>
      </c>
      <c r="U16" s="218">
        <f t="shared" si="2"/>
        <v>2.3454549574832453</v>
      </c>
      <c r="V16" s="218">
        <f t="shared" si="3"/>
        <v>0.99996144931157305</v>
      </c>
      <c r="W16" s="218">
        <f t="shared" si="4"/>
        <v>0.99049806268793539</v>
      </c>
      <c r="X16" s="92">
        <f t="shared" si="5"/>
        <v>203.47250879787765</v>
      </c>
      <c r="Y16" s="216">
        <f t="shared" si="11"/>
        <v>0.92201740423993939</v>
      </c>
      <c r="AA16" s="93" t="str">
        <f>IF('MASTER PubCo Inputs'!B34=0,"",'MASTER PubCo Inputs'!B34)</f>
        <v>TSXV:COB.U</v>
      </c>
      <c r="AB16" s="406">
        <f>'Beta Calc'!Z16</f>
        <v>204.76295999999999</v>
      </c>
      <c r="AC16" s="94">
        <f t="shared" si="6"/>
        <v>-9.9999999747524271E-6</v>
      </c>
      <c r="AI16" s="95"/>
    </row>
    <row r="17" spans="2:35" ht="12.75" customHeight="1">
      <c r="B17" s="405" t="str">
        <f>'Comp.1'!B19</f>
        <v>VIVUS, Inc.</v>
      </c>
      <c r="D17" s="406">
        <f>'Beta Calc'!K17</f>
        <v>74.768140000000002</v>
      </c>
      <c r="E17" s="406">
        <f>'Beta Calc'!L17</f>
        <v>236.50700000000001</v>
      </c>
      <c r="F17" s="406">
        <f>'Beta Calc'!M17</f>
        <v>0</v>
      </c>
      <c r="G17" s="406">
        <f>'Beta Calc'!N17</f>
        <v>0</v>
      </c>
      <c r="H17" s="406">
        <f t="shared" si="7"/>
        <v>236.50700000000001</v>
      </c>
      <c r="I17" s="406">
        <f t="shared" si="8"/>
        <v>311.27514000000002</v>
      </c>
      <c r="J17" s="406">
        <f>'Beta Calc'!Q17</f>
        <v>209.125</v>
      </c>
      <c r="K17" s="406">
        <f t="shared" si="9"/>
        <v>102.15014000000002</v>
      </c>
      <c r="M17" s="56">
        <f>IFERROR('Capital IQ Sheet-GPC'!AT20,"n/a")</f>
        <v>0</v>
      </c>
      <c r="N17" s="406">
        <f t="shared" si="0"/>
        <v>3.0027397260273974</v>
      </c>
      <c r="O17" s="214">
        <f t="shared" si="0"/>
        <v>2.63013698630137E-2</v>
      </c>
      <c r="P17" s="215"/>
      <c r="Q17" s="216">
        <f>IFERROR(HLOOKUP($Q$6,'Equity Vol'!$B$8:$K17,ROWS('Equity Vol'!$C$8:$C17),FALSE),"n/a")</f>
        <v>0.69803335239953213</v>
      </c>
      <c r="R17" s="45"/>
      <c r="S17" s="217">
        <f t="shared" si="10"/>
        <v>0.48725056106212938</v>
      </c>
      <c r="T17" s="217">
        <f t="shared" si="1"/>
        <v>-2.3987342380075022E-2</v>
      </c>
      <c r="U17" s="218">
        <f t="shared" si="2"/>
        <v>-1.2335685162706056</v>
      </c>
      <c r="V17" s="218">
        <f t="shared" si="3"/>
        <v>0.49043135256040077</v>
      </c>
      <c r="W17" s="218">
        <f t="shared" si="4"/>
        <v>0.10868186541270911</v>
      </c>
      <c r="X17" s="92">
        <f t="shared" si="5"/>
        <v>26.34552277987758</v>
      </c>
      <c r="Y17" s="216">
        <f t="shared" si="11"/>
        <v>0.36708429322060054</v>
      </c>
      <c r="AA17" s="93" t="str">
        <f>IF('MASTER PubCo Inputs'!B35=0,"",'MASTER PubCo Inputs'!B35)</f>
        <v>NasdaqGS:VVUS</v>
      </c>
      <c r="AB17" s="406">
        <f>'Beta Calc'!Z17</f>
        <v>102.15013999999999</v>
      </c>
      <c r="AC17" s="94">
        <f t="shared" si="6"/>
        <v>0</v>
      </c>
      <c r="AI17" s="95"/>
    </row>
    <row r="18" spans="2:35" ht="12.75" customHeight="1">
      <c r="B18" s="405" t="str">
        <f>'Comp.1'!B20</f>
        <v>Anavex Life Sciences Corp.</v>
      </c>
      <c r="D18" s="406">
        <f>'Beta Calc'!K18</f>
        <v>117.00936</v>
      </c>
      <c r="E18" s="406">
        <f>'Beta Calc'!L18</f>
        <v>0</v>
      </c>
      <c r="F18" s="406">
        <f>'Beta Calc'!M18</f>
        <v>0</v>
      </c>
      <c r="G18" s="406">
        <f>'Beta Calc'!N18</f>
        <v>0</v>
      </c>
      <c r="H18" s="406">
        <f t="shared" si="7"/>
        <v>0</v>
      </c>
      <c r="I18" s="406">
        <f t="shared" si="8"/>
        <v>117.00936</v>
      </c>
      <c r="J18" s="406">
        <f>'Beta Calc'!Q18</f>
        <v>25.656580000000002</v>
      </c>
      <c r="K18" s="406">
        <f t="shared" si="9"/>
        <v>91.352779999999996</v>
      </c>
      <c r="M18" s="56">
        <f>IFERROR('Capital IQ Sheet-GPC'!AT21,"n/a")</f>
        <v>0</v>
      </c>
      <c r="N18" s="406">
        <f t="shared" si="0"/>
        <v>3.0027397260273974</v>
      </c>
      <c r="O18" s="214">
        <f t="shared" si="0"/>
        <v>2.63013698630137E-2</v>
      </c>
      <c r="P18" s="215"/>
      <c r="Q18" s="216">
        <f>IFERROR(HLOOKUP($Q$6,'Equity Vol'!$B$8:$K18,ROWS('Equity Vol'!$C$8:$C18),FALSE),"n/a")</f>
        <v>1.0581745625825705</v>
      </c>
      <c r="R18" s="45"/>
      <c r="S18" s="217">
        <f t="shared" si="10"/>
        <v>1.1197334048968144</v>
      </c>
      <c r="T18" s="217">
        <f t="shared" si="1"/>
        <v>0</v>
      </c>
      <c r="U18" s="218">
        <f t="shared" si="2"/>
        <v>0</v>
      </c>
      <c r="V18" s="218">
        <f t="shared" si="3"/>
        <v>0</v>
      </c>
      <c r="W18" s="218">
        <f t="shared" si="4"/>
        <v>0</v>
      </c>
      <c r="X18" s="92">
        <f t="shared" si="5"/>
        <v>0</v>
      </c>
      <c r="Y18" s="216">
        <f t="shared" si="11"/>
        <v>1.0581745625825705</v>
      </c>
      <c r="AA18" s="93" t="str">
        <f>IF('MASTER PubCo Inputs'!B36=0,"",'MASTER PubCo Inputs'!B36)</f>
        <v>NasdaqCM:AVXL</v>
      </c>
      <c r="AB18" s="406">
        <f>'Beta Calc'!Z18</f>
        <v>91.352779999999996</v>
      </c>
      <c r="AC18" s="94">
        <f t="shared" si="6"/>
        <v>0</v>
      </c>
      <c r="AI18" s="95"/>
    </row>
    <row r="19" spans="2:35" ht="12.75" customHeight="1">
      <c r="B19" s="405" t="str">
        <f>'Comp.1'!B21</f>
        <v>OptiBiotix Health plc</v>
      </c>
      <c r="D19" s="406">
        <f>'Beta Calc'!K19</f>
        <v>72.915899999999993</v>
      </c>
      <c r="E19" s="406">
        <f>'Beta Calc'!L19</f>
        <v>0</v>
      </c>
      <c r="F19" s="406">
        <f>'Beta Calc'!M19</f>
        <v>0</v>
      </c>
      <c r="G19" s="406">
        <f>'Beta Calc'!N19</f>
        <v>0</v>
      </c>
      <c r="H19" s="406">
        <f t="shared" si="7"/>
        <v>0</v>
      </c>
      <c r="I19" s="406">
        <f t="shared" si="8"/>
        <v>72.915899999999993</v>
      </c>
      <c r="J19" s="406">
        <f>'Beta Calc'!Q19</f>
        <v>1.6849400000000001</v>
      </c>
      <c r="K19" s="406">
        <f t="shared" si="9"/>
        <v>71.230959999999996</v>
      </c>
      <c r="M19" s="56">
        <f>IFERROR('Capital IQ Sheet-GPC'!AT22,"n/a")</f>
        <v>0</v>
      </c>
      <c r="N19" s="406">
        <f t="shared" si="0"/>
        <v>3.0027397260273974</v>
      </c>
      <c r="O19" s="214">
        <f t="shared" si="0"/>
        <v>2.63013698630137E-2</v>
      </c>
      <c r="P19" s="215"/>
      <c r="Q19" s="216">
        <f>IFERROR(HLOOKUP($Q$6,'Equity Vol'!$B$8:$K19,ROWS('Equity Vol'!$C$8:$C19),FALSE),"n/a")</f>
        <v>0.52958074472522787</v>
      </c>
      <c r="R19" s="45"/>
      <c r="S19" s="217">
        <f t="shared" si="10"/>
        <v>0.28045576518372695</v>
      </c>
      <c r="T19" s="217">
        <f t="shared" si="1"/>
        <v>0</v>
      </c>
      <c r="U19" s="218">
        <f t="shared" si="2"/>
        <v>0</v>
      </c>
      <c r="V19" s="218">
        <f t="shared" si="3"/>
        <v>0</v>
      </c>
      <c r="W19" s="218">
        <f t="shared" si="4"/>
        <v>0</v>
      </c>
      <c r="X19" s="92">
        <f t="shared" si="5"/>
        <v>0</v>
      </c>
      <c r="Y19" s="216">
        <f t="shared" si="11"/>
        <v>0.52958074472522787</v>
      </c>
      <c r="AA19" s="93" t="str">
        <f>IF('MASTER PubCo Inputs'!B37=0,"",'MASTER PubCo Inputs'!B37)</f>
        <v>AIM:OPTI</v>
      </c>
      <c r="AB19" s="406">
        <f>'Beta Calc'!Z19</f>
        <v>71.269909999999996</v>
      </c>
      <c r="AC19" s="94">
        <f t="shared" si="6"/>
        <v>-3.8949999999999818E-2</v>
      </c>
      <c r="AI19" s="95"/>
    </row>
    <row r="20" spans="2:35" ht="12.75" customHeight="1">
      <c r="B20" s="405" t="str">
        <f>'Comp.1'!B22</f>
        <v>Soleno Therapeutics, Inc.</v>
      </c>
      <c r="D20" s="406">
        <f>'Beta Calc'!K20</f>
        <v>46.258000000000003</v>
      </c>
      <c r="E20" s="406">
        <f>'Beta Calc'!L20</f>
        <v>0</v>
      </c>
      <c r="F20" s="406">
        <f>'Beta Calc'!M20</f>
        <v>0</v>
      </c>
      <c r="G20" s="406">
        <f>'Beta Calc'!N20</f>
        <v>0</v>
      </c>
      <c r="H20" s="406">
        <f t="shared" si="7"/>
        <v>0</v>
      </c>
      <c r="I20" s="406">
        <f t="shared" si="8"/>
        <v>46.258000000000003</v>
      </c>
      <c r="J20" s="406">
        <f>'Beta Calc'!Q20</f>
        <v>14.866</v>
      </c>
      <c r="K20" s="406">
        <f t="shared" si="9"/>
        <v>31.392000000000003</v>
      </c>
      <c r="M20" s="56">
        <f>IFERROR('Capital IQ Sheet-GPC'!AT23,"n/a")</f>
        <v>0</v>
      </c>
      <c r="N20" s="406">
        <f t="shared" si="0"/>
        <v>3.0027397260273974</v>
      </c>
      <c r="O20" s="214">
        <f t="shared" si="0"/>
        <v>2.63013698630137E-2</v>
      </c>
      <c r="P20" s="215"/>
      <c r="Q20" s="216">
        <f>IFERROR(HLOOKUP($Q$6,'Equity Vol'!$B$8:$K20,ROWS('Equity Vol'!$C$8:$C20),FALSE),"n/a")</f>
        <v>0.99646473832161442</v>
      </c>
      <c r="R20" s="45"/>
      <c r="S20" s="217">
        <f t="shared" si="10"/>
        <v>0.99294197471836354</v>
      </c>
      <c r="T20" s="217">
        <f t="shared" si="1"/>
        <v>0</v>
      </c>
      <c r="U20" s="218">
        <f t="shared" si="2"/>
        <v>0</v>
      </c>
      <c r="V20" s="218">
        <f t="shared" si="3"/>
        <v>0</v>
      </c>
      <c r="W20" s="218">
        <f t="shared" si="4"/>
        <v>0</v>
      </c>
      <c r="X20" s="92">
        <f t="shared" si="5"/>
        <v>0</v>
      </c>
      <c r="Y20" s="216">
        <f t="shared" si="11"/>
        <v>0.99646473832161442</v>
      </c>
      <c r="AA20" s="93" t="str">
        <f>IF('MASTER PubCo Inputs'!B38=0,"",'MASTER PubCo Inputs'!B38)</f>
        <v>NasdaqCM:SLNO</v>
      </c>
      <c r="AB20" s="406">
        <f>'Beta Calc'!Z20</f>
        <v>31.391999999999999</v>
      </c>
      <c r="AC20" s="94">
        <f t="shared" si="6"/>
        <v>0</v>
      </c>
      <c r="AI20" s="95"/>
    </row>
    <row r="21" spans="2:35" ht="12.75" customHeight="1">
      <c r="B21" s="405" t="str">
        <f>'Comp.1'!B23</f>
        <v>Synthetic Biologics, Inc.</v>
      </c>
      <c r="D21" s="406">
        <f>'Beta Calc'!K21</f>
        <v>30.72748</v>
      </c>
      <c r="E21" s="406">
        <f>'Beta Calc'!L21</f>
        <v>0</v>
      </c>
      <c r="F21" s="406">
        <f>'Beta Calc'!M21</f>
        <v>12.112</v>
      </c>
      <c r="G21" s="406">
        <f>'Beta Calc'!N21</f>
        <v>-1.923</v>
      </c>
      <c r="H21" s="406">
        <f t="shared" si="7"/>
        <v>10.189</v>
      </c>
      <c r="I21" s="406">
        <f t="shared" si="8"/>
        <v>40.91648</v>
      </c>
      <c r="J21" s="406">
        <f>'Beta Calc'!Q21</f>
        <v>11.037000000000001</v>
      </c>
      <c r="K21" s="406">
        <f t="shared" si="9"/>
        <v>29.879480000000001</v>
      </c>
      <c r="M21" s="56">
        <f>IFERROR('Capital IQ Sheet-GPC'!AT24,"n/a")</f>
        <v>0</v>
      </c>
      <c r="N21" s="406">
        <f t="shared" si="0"/>
        <v>3.0027397260273974</v>
      </c>
      <c r="O21" s="214">
        <f t="shared" si="0"/>
        <v>2.63013698630137E-2</v>
      </c>
      <c r="P21" s="215"/>
      <c r="Q21" s="216">
        <f>IFERROR(HLOOKUP($Q$6,'Equity Vol'!$B$8:$K21,ROWS('Equity Vol'!$C$8:$C21),FALSE),"n/a")</f>
        <v>0.86084148620167278</v>
      </c>
      <c r="R21" s="45"/>
      <c r="S21" s="217">
        <f t="shared" si="10"/>
        <v>0.74104806436590476</v>
      </c>
      <c r="T21" s="217">
        <f t="shared" si="1"/>
        <v>1.5200266879477629</v>
      </c>
      <c r="U21" s="218">
        <f t="shared" si="2"/>
        <v>2.832482035919881E-2</v>
      </c>
      <c r="V21" s="218">
        <f t="shared" si="3"/>
        <v>0.93574786584430381</v>
      </c>
      <c r="W21" s="218">
        <f t="shared" si="4"/>
        <v>0.51129845762234161</v>
      </c>
      <c r="X21" s="92">
        <f t="shared" si="5"/>
        <v>23.145648059975464</v>
      </c>
      <c r="Y21" s="216">
        <f t="shared" si="11"/>
        <v>0.71262434270611941</v>
      </c>
      <c r="AA21" s="93" t="str">
        <f>IF('MASTER PubCo Inputs'!B39=0,"",'MASTER PubCo Inputs'!B39)</f>
        <v>AMEX:SYN</v>
      </c>
      <c r="AB21" s="406">
        <f>'Beta Calc'!Z21</f>
        <v>29.879480000000001</v>
      </c>
      <c r="AC21" s="94">
        <f t="shared" si="6"/>
        <v>0</v>
      </c>
      <c r="AI21" s="95"/>
    </row>
    <row r="22" spans="2:35" ht="12.75" customHeight="1">
      <c r="B22" s="405" t="str">
        <f>'Comp.1'!B24</f>
        <v>Nexus BioPharma, Inc.</v>
      </c>
      <c r="D22" s="406">
        <f>'Beta Calc'!K22</f>
        <v>3.8515700000000002</v>
      </c>
      <c r="E22" s="406">
        <f>'Beta Calc'!L22</f>
        <v>0.36752000000000001</v>
      </c>
      <c r="F22" s="406">
        <f>'Beta Calc'!M22</f>
        <v>0</v>
      </c>
      <c r="G22" s="406">
        <f>'Beta Calc'!N22</f>
        <v>0</v>
      </c>
      <c r="H22" s="406">
        <f t="shared" si="7"/>
        <v>0.36752000000000001</v>
      </c>
      <c r="I22" s="406">
        <f t="shared" si="8"/>
        <v>4.2190900000000005</v>
      </c>
      <c r="J22" s="406">
        <f>'Beta Calc'!Q22</f>
        <v>8.43E-3</v>
      </c>
      <c r="K22" s="406">
        <f t="shared" si="9"/>
        <v>4.2106600000000007</v>
      </c>
      <c r="M22" s="56">
        <f>IFERROR('Capital IQ Sheet-GPC'!AT25,"n/a")</f>
        <v>0</v>
      </c>
      <c r="N22" s="406">
        <f t="shared" si="0"/>
        <v>3.0027397260273974</v>
      </c>
      <c r="O22" s="214">
        <f t="shared" si="0"/>
        <v>2.63013698630137E-2</v>
      </c>
      <c r="P22" s="215"/>
      <c r="Q22" s="216" t="str">
        <f>IFERROR(HLOOKUP($Q$6,'Equity Vol'!$B$8:$K22,ROWS('Equity Vol'!$C$8:$C22),FALSE),"n/a")</f>
        <v>NM</v>
      </c>
      <c r="R22" s="45"/>
      <c r="S22" s="217" t="str">
        <f t="shared" si="10"/>
        <v>n/a</v>
      </c>
      <c r="T22" s="217" t="str">
        <f t="shared" si="1"/>
        <v>n/a</v>
      </c>
      <c r="U22" s="218" t="str">
        <f t="shared" si="2"/>
        <v>n/a</v>
      </c>
      <c r="V22" s="218" t="str">
        <f t="shared" si="3"/>
        <v>n/a</v>
      </c>
      <c r="W22" s="218" t="str">
        <f t="shared" si="4"/>
        <v>n/a</v>
      </c>
      <c r="X22" s="92" t="str">
        <f t="shared" si="5"/>
        <v>n/a</v>
      </c>
      <c r="Y22" s="216" t="str">
        <f t="shared" si="11"/>
        <v>n/a</v>
      </c>
      <c r="AA22" s="93" t="str">
        <f>IF('MASTER PubCo Inputs'!B40=0,"",'MASTER PubCo Inputs'!B40)</f>
        <v>OTCPK:NEXS</v>
      </c>
      <c r="AB22" s="406">
        <f>'Beta Calc'!Z22</f>
        <v>4.2106599999999998</v>
      </c>
      <c r="AC22" s="94">
        <f t="shared" si="6"/>
        <v>0</v>
      </c>
      <c r="AI22" s="95"/>
    </row>
    <row r="23" spans="2:35" ht="12.75" customHeight="1">
      <c r="B23" s="405" t="str">
        <f>'Comp.1'!B25</f>
        <v>Ritter Pharmaceuticals, Inc.</v>
      </c>
      <c r="D23" s="406">
        <f>'Beta Calc'!K23</f>
        <v>12.90047</v>
      </c>
      <c r="E23" s="406">
        <f>'Beta Calc'!L23</f>
        <v>0</v>
      </c>
      <c r="F23" s="406">
        <f>'Beta Calc'!M23</f>
        <v>4.9489799999999997</v>
      </c>
      <c r="G23" s="406">
        <f>'Beta Calc'!N23</f>
        <v>0</v>
      </c>
      <c r="H23" s="406">
        <f t="shared" si="7"/>
        <v>4.9489799999999997</v>
      </c>
      <c r="I23" s="406">
        <f t="shared" si="8"/>
        <v>17.849450000000001</v>
      </c>
      <c r="J23" s="406">
        <f>'Beta Calc'!Q23</f>
        <v>18.91704</v>
      </c>
      <c r="K23" s="406">
        <f t="shared" si="9"/>
        <v>-1.0675899999999992</v>
      </c>
      <c r="M23" s="56">
        <f>IFERROR('Capital IQ Sheet-GPC'!AT26,"n/a")</f>
        <v>0</v>
      </c>
      <c r="N23" s="406">
        <f t="shared" si="0"/>
        <v>3.0027397260273974</v>
      </c>
      <c r="O23" s="214">
        <f t="shared" si="0"/>
        <v>2.63013698630137E-2</v>
      </c>
      <c r="P23" s="215"/>
      <c r="Q23" s="216">
        <f>IFERROR(HLOOKUP($Q$6,'Equity Vol'!$B$8:$K23,ROWS('Equity Vol'!$C$8:$C23),FALSE),"n/a")</f>
        <v>0.88676691262394824</v>
      </c>
      <c r="R23" s="45"/>
      <c r="S23" s="217">
        <f t="shared" si="10"/>
        <v>0.78635555732460904</v>
      </c>
      <c r="T23" s="217" t="e">
        <f t="shared" si="1"/>
        <v>#NUM!</v>
      </c>
      <c r="U23" s="218" t="e">
        <f t="shared" si="2"/>
        <v>#NUM!</v>
      </c>
      <c r="V23" s="218" t="e">
        <f t="shared" si="3"/>
        <v>#NUM!</v>
      </c>
      <c r="W23" s="218" t="e">
        <f t="shared" si="4"/>
        <v>#NUM!</v>
      </c>
      <c r="X23" s="92" t="str">
        <f>IFERROR(IF(OR(K23="n/a",S23="n/a"),"n/a",IF(M23=0,(K23*V23)-((H23*EXP(1)^(-O23*N23))*W23),(K23*(2.718^(-M23*N23))*V23)-(H23*(2.718^(-O23*N23))*W23))),"n/a")</f>
        <v>n/a</v>
      </c>
      <c r="Y23" s="216" t="str">
        <f t="shared" si="11"/>
        <v>n/a</v>
      </c>
      <c r="AA23" s="93" t="str">
        <f>IF('MASTER PubCo Inputs'!B41=0,"",'MASTER PubCo Inputs'!B41)</f>
        <v>NasdaqCM:RTTR</v>
      </c>
      <c r="AB23" s="406">
        <f>'Beta Calc'!Z23</f>
        <v>-1.06759</v>
      </c>
      <c r="AC23" s="94">
        <f t="shared" si="6"/>
        <v>0</v>
      </c>
      <c r="AI23" s="95"/>
    </row>
    <row r="24" spans="2:35" ht="12.75" hidden="1" customHeight="1" outlineLevel="1">
      <c r="D24" s="406"/>
      <c r="E24" s="406"/>
      <c r="F24" s="406"/>
      <c r="G24" s="406"/>
      <c r="H24" s="406"/>
      <c r="I24" s="406"/>
      <c r="J24" s="406"/>
      <c r="K24" s="406"/>
      <c r="M24" s="56"/>
      <c r="N24" s="406"/>
      <c r="O24" s="214"/>
      <c r="P24" s="215"/>
      <c r="Q24" s="216"/>
      <c r="R24" s="45"/>
      <c r="S24" s="217"/>
      <c r="T24" s="217"/>
      <c r="U24" s="218"/>
      <c r="V24" s="218"/>
      <c r="W24" s="218"/>
      <c r="X24" s="406"/>
      <c r="Y24" s="216"/>
      <c r="AA24" s="93"/>
      <c r="AB24" s="406"/>
      <c r="AC24" s="94"/>
      <c r="AI24" s="95"/>
    </row>
    <row r="25" spans="2:35" ht="12.75" hidden="1" customHeight="1" outlineLevel="1">
      <c r="D25" s="406"/>
      <c r="E25" s="406"/>
      <c r="F25" s="406"/>
      <c r="G25" s="406"/>
      <c r="H25" s="406"/>
      <c r="I25" s="406"/>
      <c r="J25" s="406"/>
      <c r="K25" s="406"/>
      <c r="M25" s="56"/>
      <c r="N25" s="406"/>
      <c r="O25" s="214"/>
      <c r="P25" s="215"/>
      <c r="Q25" s="216"/>
      <c r="R25" s="45"/>
      <c r="S25" s="217"/>
      <c r="T25" s="217"/>
      <c r="U25" s="218"/>
      <c r="V25" s="218"/>
      <c r="W25" s="218"/>
      <c r="X25" s="406"/>
      <c r="Y25" s="216"/>
      <c r="AA25" s="93"/>
      <c r="AB25" s="406"/>
      <c r="AC25" s="94"/>
      <c r="AI25" s="95"/>
    </row>
    <row r="26" spans="2:35" ht="12.75" hidden="1" customHeight="1" outlineLevel="1">
      <c r="D26" s="406"/>
      <c r="E26" s="406"/>
      <c r="F26" s="406"/>
      <c r="G26" s="406"/>
      <c r="H26" s="406"/>
      <c r="I26" s="406"/>
      <c r="J26" s="406"/>
      <c r="K26" s="406"/>
      <c r="M26" s="56"/>
      <c r="N26" s="406"/>
      <c r="O26" s="214"/>
      <c r="P26" s="215"/>
      <c r="Q26" s="216"/>
      <c r="R26" s="45"/>
      <c r="S26" s="217"/>
      <c r="T26" s="217"/>
      <c r="U26" s="218"/>
      <c r="V26" s="218"/>
      <c r="W26" s="218"/>
      <c r="X26" s="406"/>
      <c r="Y26" s="216"/>
      <c r="AA26" s="93"/>
      <c r="AB26" s="406"/>
      <c r="AC26" s="94"/>
      <c r="AI26" s="95"/>
    </row>
    <row r="27" spans="2:35" ht="12.75" hidden="1" customHeight="1" outlineLevel="1">
      <c r="D27" s="406"/>
      <c r="E27" s="406"/>
      <c r="F27" s="406"/>
      <c r="G27" s="406"/>
      <c r="H27" s="406"/>
      <c r="I27" s="406"/>
      <c r="J27" s="406"/>
      <c r="K27" s="406"/>
      <c r="M27" s="56"/>
      <c r="N27" s="406"/>
      <c r="O27" s="214"/>
      <c r="P27" s="215"/>
      <c r="Q27" s="216"/>
      <c r="R27" s="45"/>
      <c r="S27" s="217"/>
      <c r="T27" s="217"/>
      <c r="U27" s="218"/>
      <c r="V27" s="218"/>
      <c r="W27" s="218"/>
      <c r="X27" s="406"/>
      <c r="Y27" s="216"/>
      <c r="AA27" s="93"/>
      <c r="AB27" s="406"/>
      <c r="AC27" s="94"/>
      <c r="AI27" s="95"/>
    </row>
    <row r="28" spans="2:35" ht="12.75" hidden="1" customHeight="1" outlineLevel="1">
      <c r="D28" s="406"/>
      <c r="E28" s="406"/>
      <c r="F28" s="406"/>
      <c r="G28" s="406"/>
      <c r="H28" s="406"/>
      <c r="I28" s="406"/>
      <c r="J28" s="406"/>
      <c r="K28" s="406"/>
      <c r="M28" s="56"/>
      <c r="N28" s="406"/>
      <c r="O28" s="214"/>
      <c r="P28" s="215"/>
      <c r="Q28" s="216"/>
      <c r="R28" s="45"/>
      <c r="S28" s="217"/>
      <c r="T28" s="217"/>
      <c r="U28" s="218"/>
      <c r="V28" s="218"/>
      <c r="W28" s="218"/>
      <c r="X28" s="406"/>
      <c r="Y28" s="216"/>
      <c r="AA28" s="93"/>
      <c r="AB28" s="406"/>
      <c r="AC28" s="94"/>
      <c r="AI28" s="95"/>
    </row>
    <row r="29" spans="2:35" ht="12.75" hidden="1" customHeight="1" outlineLevel="1">
      <c r="D29" s="406"/>
      <c r="E29" s="406"/>
      <c r="F29" s="406"/>
      <c r="G29" s="406"/>
      <c r="H29" s="406"/>
      <c r="I29" s="406"/>
      <c r="J29" s="406"/>
      <c r="K29" s="406"/>
      <c r="M29" s="56"/>
      <c r="N29" s="406"/>
      <c r="O29" s="214"/>
      <c r="P29" s="215"/>
      <c r="Q29" s="216"/>
      <c r="R29" s="45"/>
      <c r="S29" s="217"/>
      <c r="T29" s="217"/>
      <c r="U29" s="218"/>
      <c r="V29" s="218"/>
      <c r="W29" s="218"/>
      <c r="X29" s="406"/>
      <c r="Y29" s="216"/>
      <c r="AA29" s="93"/>
      <c r="AB29" s="406"/>
      <c r="AC29" s="94"/>
      <c r="AI29" s="95"/>
    </row>
    <row r="30" spans="2:35" ht="12.75" hidden="1" customHeight="1" outlineLevel="1">
      <c r="D30" s="406"/>
      <c r="E30" s="406"/>
      <c r="F30" s="406"/>
      <c r="G30" s="406"/>
      <c r="H30" s="406"/>
      <c r="I30" s="406"/>
      <c r="J30" s="406"/>
      <c r="K30" s="406"/>
      <c r="M30" s="56"/>
      <c r="N30" s="406"/>
      <c r="O30" s="214"/>
      <c r="P30" s="215"/>
      <c r="Q30" s="216"/>
      <c r="R30" s="45"/>
      <c r="S30" s="217"/>
      <c r="T30" s="217"/>
      <c r="U30" s="218"/>
      <c r="V30" s="218"/>
      <c r="W30" s="218"/>
      <c r="X30" s="406"/>
      <c r="Y30" s="216"/>
      <c r="AA30" s="93"/>
      <c r="AB30" s="406"/>
      <c r="AC30" s="94"/>
      <c r="AI30" s="95"/>
    </row>
    <row r="31" spans="2:35" ht="12.75" hidden="1" customHeight="1" outlineLevel="1">
      <c r="D31" s="406"/>
      <c r="E31" s="406"/>
      <c r="F31" s="406"/>
      <c r="G31" s="406"/>
      <c r="H31" s="406"/>
      <c r="I31" s="406"/>
      <c r="J31" s="406"/>
      <c r="K31" s="406"/>
      <c r="M31" s="56"/>
      <c r="N31" s="406"/>
      <c r="O31" s="214"/>
      <c r="P31" s="215"/>
      <c r="Q31" s="216"/>
      <c r="R31" s="45"/>
      <c r="S31" s="217"/>
      <c r="T31" s="217"/>
      <c r="U31" s="218"/>
      <c r="V31" s="218"/>
      <c r="W31" s="218"/>
      <c r="X31" s="406"/>
      <c r="Y31" s="216"/>
      <c r="AA31" s="93"/>
      <c r="AB31" s="406"/>
      <c r="AC31" s="94"/>
      <c r="AI31" s="95"/>
    </row>
    <row r="32" spans="2:35" ht="12.75" hidden="1" customHeight="1" outlineLevel="1">
      <c r="D32" s="406"/>
      <c r="E32" s="406"/>
      <c r="F32" s="406"/>
      <c r="G32" s="406"/>
      <c r="H32" s="406"/>
      <c r="I32" s="406"/>
      <c r="J32" s="406"/>
      <c r="K32" s="406"/>
      <c r="M32" s="56"/>
      <c r="N32" s="406"/>
      <c r="O32" s="214"/>
      <c r="P32" s="215"/>
      <c r="Q32" s="216"/>
      <c r="R32" s="45"/>
      <c r="S32" s="217"/>
      <c r="T32" s="217"/>
      <c r="U32" s="218"/>
      <c r="V32" s="218"/>
      <c r="W32" s="218"/>
      <c r="X32" s="406"/>
      <c r="Y32" s="216"/>
      <c r="AA32" s="93"/>
      <c r="AB32" s="406"/>
      <c r="AC32" s="94"/>
      <c r="AI32" s="95"/>
    </row>
    <row r="33" spans="2:35" ht="12.75" hidden="1" customHeight="1" outlineLevel="1">
      <c r="D33" s="406"/>
      <c r="E33" s="406"/>
      <c r="F33" s="406"/>
      <c r="G33" s="406"/>
      <c r="H33" s="406"/>
      <c r="I33" s="406"/>
      <c r="J33" s="406"/>
      <c r="K33" s="406"/>
      <c r="M33" s="56"/>
      <c r="N33" s="406"/>
      <c r="O33" s="214"/>
      <c r="P33" s="215"/>
      <c r="Q33" s="216"/>
      <c r="R33" s="45"/>
      <c r="S33" s="217"/>
      <c r="T33" s="217"/>
      <c r="U33" s="218"/>
      <c r="V33" s="218"/>
      <c r="W33" s="218"/>
      <c r="X33" s="406"/>
      <c r="Y33" s="216"/>
      <c r="AA33" s="93"/>
      <c r="AB33" s="406"/>
      <c r="AC33" s="94"/>
      <c r="AI33" s="95"/>
    </row>
    <row r="34" spans="2:35" ht="12.75" hidden="1" customHeight="1" outlineLevel="1">
      <c r="D34" s="406"/>
      <c r="E34" s="406"/>
      <c r="F34" s="406"/>
      <c r="G34" s="406"/>
      <c r="H34" s="406"/>
      <c r="I34" s="406"/>
      <c r="J34" s="406"/>
      <c r="K34" s="406"/>
      <c r="M34" s="56"/>
      <c r="N34" s="406"/>
      <c r="O34" s="214"/>
      <c r="P34" s="215"/>
      <c r="Q34" s="216"/>
      <c r="R34" s="45"/>
      <c r="S34" s="217"/>
      <c r="T34" s="217"/>
      <c r="U34" s="218"/>
      <c r="V34" s="218"/>
      <c r="W34" s="218"/>
      <c r="X34" s="406"/>
      <c r="Y34" s="216"/>
      <c r="AA34" s="93"/>
      <c r="AB34" s="406"/>
      <c r="AC34" s="94"/>
      <c r="AI34" s="95"/>
    </row>
    <row r="35" spans="2:35" ht="12.75" hidden="1" customHeight="1" outlineLevel="1">
      <c r="D35" s="406"/>
      <c r="E35" s="406"/>
      <c r="F35" s="406"/>
      <c r="G35" s="406"/>
      <c r="H35" s="406"/>
      <c r="I35" s="406"/>
      <c r="J35" s="406"/>
      <c r="K35" s="406"/>
      <c r="M35" s="56"/>
      <c r="N35" s="406"/>
      <c r="O35" s="214"/>
      <c r="P35" s="215"/>
      <c r="Q35" s="216"/>
      <c r="R35" s="45"/>
      <c r="S35" s="217"/>
      <c r="T35" s="217"/>
      <c r="U35" s="218"/>
      <c r="V35" s="218"/>
      <c r="W35" s="218"/>
      <c r="X35" s="406"/>
      <c r="Y35" s="216"/>
      <c r="AA35" s="93"/>
      <c r="AB35" s="406"/>
      <c r="AC35" s="94"/>
      <c r="AI35" s="95"/>
    </row>
    <row r="36" spans="2:35" ht="12.75" hidden="1" customHeight="1" outlineLevel="1">
      <c r="D36" s="406"/>
      <c r="E36" s="406"/>
      <c r="F36" s="406"/>
      <c r="G36" s="406"/>
      <c r="H36" s="406"/>
      <c r="I36" s="406"/>
      <c r="J36" s="406"/>
      <c r="K36" s="406"/>
      <c r="M36" s="56"/>
      <c r="N36" s="406"/>
      <c r="O36" s="214"/>
      <c r="P36" s="215"/>
      <c r="Q36" s="216"/>
      <c r="R36" s="45"/>
      <c r="S36" s="217"/>
      <c r="T36" s="217"/>
      <c r="U36" s="218"/>
      <c r="V36" s="218"/>
      <c r="W36" s="218"/>
      <c r="X36" s="406"/>
      <c r="Y36" s="216"/>
      <c r="AA36" s="93"/>
      <c r="AB36" s="406"/>
      <c r="AC36" s="94"/>
      <c r="AI36" s="95"/>
    </row>
    <row r="37" spans="2:35" ht="12.75" hidden="1" customHeight="1" outlineLevel="1">
      <c r="D37" s="406"/>
      <c r="E37" s="406"/>
      <c r="F37" s="406"/>
      <c r="G37" s="406"/>
      <c r="H37" s="406"/>
      <c r="I37" s="406"/>
      <c r="J37" s="406"/>
      <c r="K37" s="406"/>
      <c r="M37" s="56"/>
      <c r="N37" s="406"/>
      <c r="O37" s="214"/>
      <c r="P37" s="215"/>
      <c r="Q37" s="216"/>
      <c r="R37" s="45"/>
      <c r="S37" s="217"/>
      <c r="T37" s="217"/>
      <c r="U37" s="218"/>
      <c r="V37" s="218"/>
      <c r="W37" s="218"/>
      <c r="X37" s="406"/>
      <c r="Y37" s="216"/>
      <c r="AA37" s="93"/>
      <c r="AB37" s="406"/>
      <c r="AC37" s="94"/>
      <c r="AI37" s="95"/>
    </row>
    <row r="38" spans="2:35" ht="12.75" hidden="1" customHeight="1" outlineLevel="1">
      <c r="D38" s="406"/>
      <c r="E38" s="406"/>
      <c r="F38" s="406"/>
      <c r="G38" s="406"/>
      <c r="H38" s="406"/>
      <c r="I38" s="406"/>
      <c r="J38" s="406"/>
      <c r="K38" s="406"/>
      <c r="M38" s="56"/>
      <c r="N38" s="406"/>
      <c r="O38" s="214"/>
      <c r="P38" s="215"/>
      <c r="Q38" s="216"/>
      <c r="R38" s="45"/>
      <c r="S38" s="217"/>
      <c r="T38" s="217"/>
      <c r="U38" s="218"/>
      <c r="V38" s="218"/>
      <c r="W38" s="218"/>
      <c r="X38" s="406"/>
      <c r="Y38" s="216"/>
      <c r="AA38" s="93"/>
      <c r="AB38" s="406"/>
      <c r="AC38" s="94"/>
      <c r="AI38" s="95"/>
    </row>
    <row r="39" spans="2:35" ht="12.75" customHeight="1" collapsed="1">
      <c r="D39" s="406"/>
      <c r="E39" s="406"/>
      <c r="F39" s="406"/>
      <c r="G39" s="406"/>
      <c r="H39" s="406"/>
      <c r="I39" s="406"/>
      <c r="J39" s="406"/>
      <c r="K39" s="406"/>
      <c r="R39" s="21"/>
    </row>
    <row r="40" spans="2:35" ht="12.75" customHeight="1">
      <c r="B40" s="766" t="s">
        <v>111</v>
      </c>
      <c r="C40" s="782"/>
      <c r="D40" s="781">
        <f t="shared" ref="D40:K40" si="12">MAX(D10:D38)</f>
        <v>1906.0925500000001</v>
      </c>
      <c r="E40" s="781">
        <f t="shared" si="12"/>
        <v>236.50700000000001</v>
      </c>
      <c r="F40" s="781">
        <f t="shared" si="12"/>
        <v>12.112</v>
      </c>
      <c r="G40" s="781">
        <f t="shared" si="12"/>
        <v>0</v>
      </c>
      <c r="H40" s="781">
        <f t="shared" si="12"/>
        <v>236.50700000000001</v>
      </c>
      <c r="I40" s="781">
        <f t="shared" si="12"/>
        <v>1906.0925500000001</v>
      </c>
      <c r="J40" s="781">
        <f t="shared" si="12"/>
        <v>298.06299999999999</v>
      </c>
      <c r="K40" s="781">
        <f t="shared" si="12"/>
        <v>1608.0295500000002</v>
      </c>
      <c r="L40" s="782"/>
      <c r="M40" s="786">
        <f>MAX(M10:M38)</f>
        <v>0</v>
      </c>
      <c r="N40" s="781">
        <f>MAX(N10:N38)</f>
        <v>3.0027397260273974</v>
      </c>
      <c r="O40" s="788">
        <f>MAX(O10:O38)</f>
        <v>2.63013698630137E-2</v>
      </c>
      <c r="P40" s="789"/>
      <c r="Q40" s="790">
        <f>MAX(Q10:Q38)</f>
        <v>1.1302394832325817</v>
      </c>
      <c r="R40" s="791"/>
      <c r="S40" s="792">
        <f>MAX(S10:S39)</f>
        <v>1.2774412894578533</v>
      </c>
      <c r="T40" s="792" t="e">
        <f>MAX(T10:T39)</f>
        <v>#NUM!</v>
      </c>
      <c r="U40" s="793" t="e">
        <f>MAX(U10:U39)</f>
        <v>#NUM!</v>
      </c>
      <c r="V40" s="793" t="e">
        <f>MAX(V10:V39)</f>
        <v>#NUM!</v>
      </c>
      <c r="W40" s="793" t="e">
        <f>MAX(W10:W39)</f>
        <v>#NUM!</v>
      </c>
      <c r="X40" s="781">
        <f>MAX(X10:X38)</f>
        <v>279.94898882055389</v>
      </c>
      <c r="Y40" s="794">
        <f>MAX(Y10:Y38)</f>
        <v>1.0822251262591387</v>
      </c>
      <c r="AB40" s="825">
        <f>+'Asset Vol_M&amp;A IND'!Y47</f>
        <v>0.74099999999999999</v>
      </c>
      <c r="AC40" s="826" t="s">
        <v>1216</v>
      </c>
      <c r="AD40" s="826"/>
      <c r="AE40" s="826"/>
      <c r="AF40" s="803"/>
    </row>
    <row r="41" spans="2:35" ht="12.75" customHeight="1">
      <c r="B41" s="366" t="s">
        <v>115</v>
      </c>
      <c r="C41" s="79"/>
      <c r="D41" s="101">
        <f t="shared" ref="D41:K41" si="13">QUARTILE(D10:D38,3)</f>
        <v>564.60603750000007</v>
      </c>
      <c r="E41" s="101">
        <f t="shared" si="13"/>
        <v>0.27564</v>
      </c>
      <c r="F41" s="101">
        <f t="shared" si="13"/>
        <v>0</v>
      </c>
      <c r="G41" s="101">
        <f t="shared" si="13"/>
        <v>0</v>
      </c>
      <c r="H41" s="101">
        <f t="shared" si="13"/>
        <v>4.0620500000000002</v>
      </c>
      <c r="I41" s="101">
        <f t="shared" si="13"/>
        <v>569.64603750000003</v>
      </c>
      <c r="J41" s="101">
        <f t="shared" si="13"/>
        <v>132.88825</v>
      </c>
      <c r="K41" s="101">
        <f t="shared" si="13"/>
        <v>383.73003750000009</v>
      </c>
      <c r="L41" s="79"/>
      <c r="M41" s="143">
        <f>QUARTILE(M10:M38,3)</f>
        <v>0</v>
      </c>
      <c r="N41" s="101">
        <f>QUARTILE(N10:N38,3)</f>
        <v>3.0027397260273974</v>
      </c>
      <c r="O41" s="219">
        <f>QUARTILE(O10:O38,3)</f>
        <v>2.63013698630137E-2</v>
      </c>
      <c r="P41" s="220"/>
      <c r="Q41" s="221">
        <f>QUARTILE(Q10:Q38,3)</f>
        <v>0.95283476836360548</v>
      </c>
      <c r="R41" s="222"/>
      <c r="S41" s="223">
        <f>QUARTILE(S10:S39,3)</f>
        <v>0.90852862056203798</v>
      </c>
      <c r="T41" s="223" t="e">
        <f>QUARTILE(T10:T39,3)</f>
        <v>#NUM!</v>
      </c>
      <c r="U41" s="224" t="e">
        <f>QUARTILE(U10:U39,3)</f>
        <v>#NUM!</v>
      </c>
      <c r="V41" s="224" t="e">
        <f>QUARTILE(V10:V39,3)</f>
        <v>#NUM!</v>
      </c>
      <c r="W41" s="224" t="e">
        <f>QUARTILE(W10:W39,3)</f>
        <v>#NUM!</v>
      </c>
      <c r="X41" s="101">
        <f>QUARTILE(X10:X38,3)</f>
        <v>24.74558541992652</v>
      </c>
      <c r="Y41" s="225">
        <f>QUARTILE(Y10:Y38,3)</f>
        <v>0.96737809168294175</v>
      </c>
      <c r="AB41" s="827">
        <f>+'Asset Vol_M&amp;A IND'!Y49</f>
        <v>0.74099751398286062</v>
      </c>
      <c r="AC41" s="16" t="s">
        <v>1217</v>
      </c>
      <c r="AD41" s="16"/>
      <c r="AE41" s="16"/>
      <c r="AF41" s="204"/>
    </row>
    <row r="42" spans="2:35" ht="12.75" customHeight="1">
      <c r="B42" s="366" t="s">
        <v>113</v>
      </c>
      <c r="C42" s="79"/>
      <c r="D42" s="101">
        <f t="shared" ref="D42:K42" si="14">AVERAGE(D10:D38)</f>
        <v>406.69437642857145</v>
      </c>
      <c r="E42" s="101">
        <f t="shared" si="14"/>
        <v>18.459698571428572</v>
      </c>
      <c r="F42" s="101">
        <f t="shared" si="14"/>
        <v>1.2186414285714287</v>
      </c>
      <c r="G42" s="101">
        <f t="shared" si="14"/>
        <v>-0.13735714285714287</v>
      </c>
      <c r="H42" s="101">
        <f t="shared" si="14"/>
        <v>19.540982857142861</v>
      </c>
      <c r="I42" s="101">
        <f t="shared" si="14"/>
        <v>426.23535928571425</v>
      </c>
      <c r="J42" s="101">
        <f t="shared" si="14"/>
        <v>90.206330714285741</v>
      </c>
      <c r="K42" s="101">
        <f t="shared" si="14"/>
        <v>336.02902857142857</v>
      </c>
      <c r="L42" s="79"/>
      <c r="M42" s="143">
        <f>AVERAGE(M10:M38)</f>
        <v>0</v>
      </c>
      <c r="N42" s="101">
        <f>AVERAGE(N10:N38)</f>
        <v>3.0027397260273974</v>
      </c>
      <c r="O42" s="219">
        <f>AVERAGE(O10:O38)</f>
        <v>2.6301369863013697E-2</v>
      </c>
      <c r="P42" s="220"/>
      <c r="Q42" s="221">
        <f>AVERAGE(Q10:Q38)</f>
        <v>0.83392033368781038</v>
      </c>
      <c r="R42" s="222"/>
      <c r="S42" s="223">
        <f>AVERAGE(S10:S39)</f>
        <v>0.72868966042813754</v>
      </c>
      <c r="T42" s="223" t="e">
        <f>AVERAGE(T10:T39)</f>
        <v>#NUM!</v>
      </c>
      <c r="U42" s="224" t="e">
        <f>AVERAGE(U10:U39)</f>
        <v>#NUM!</v>
      </c>
      <c r="V42" s="224" t="e">
        <f>AVERAGE(V10:V39)</f>
        <v>#NUM!</v>
      </c>
      <c r="W42" s="224" t="e">
        <f>AVERAGE(W10:W39)</f>
        <v>#NUM!</v>
      </c>
      <c r="X42" s="101">
        <f>AVERAGE(X10:X38)</f>
        <v>48.446606223480416</v>
      </c>
      <c r="Y42" s="225">
        <f>AVERAGE(Y10:Y38)</f>
        <v>0.78066225303382064</v>
      </c>
      <c r="AB42" s="827">
        <f>+'Asset Vol_M&amp;A IND'!Y43</f>
        <v>0.74099767206184253</v>
      </c>
      <c r="AC42" s="16" t="s">
        <v>1215</v>
      </c>
      <c r="AD42" s="16"/>
      <c r="AE42" s="16"/>
      <c r="AF42" s="828" t="s">
        <v>1352</v>
      </c>
    </row>
    <row r="43" spans="2:35" ht="12.75" customHeight="1">
      <c r="B43" s="366" t="s">
        <v>44</v>
      </c>
      <c r="C43" s="79"/>
      <c r="D43" s="101">
        <f t="shared" ref="D43:K43" si="15">MEDIAN(D10:D38)</f>
        <v>164.41385500000001</v>
      </c>
      <c r="E43" s="101">
        <f t="shared" si="15"/>
        <v>0</v>
      </c>
      <c r="F43" s="101">
        <f t="shared" si="15"/>
        <v>0</v>
      </c>
      <c r="G43" s="101">
        <f t="shared" si="15"/>
        <v>0</v>
      </c>
      <c r="H43" s="101">
        <f t="shared" si="15"/>
        <v>0</v>
      </c>
      <c r="I43" s="101">
        <f t="shared" si="15"/>
        <v>262.24737500000003</v>
      </c>
      <c r="J43" s="101">
        <f t="shared" si="15"/>
        <v>57.363289999999992</v>
      </c>
      <c r="K43" s="101">
        <f t="shared" si="15"/>
        <v>153.45654500000001</v>
      </c>
      <c r="L43" s="79"/>
      <c r="M43" s="143">
        <f>MEDIAN(M10:M38)</f>
        <v>0</v>
      </c>
      <c r="N43" s="101">
        <f>MEDIAN(N10:N38)</f>
        <v>3.0027397260273974</v>
      </c>
      <c r="O43" s="219">
        <f>MEDIAN(O10:O38)</f>
        <v>2.63013698630137E-2</v>
      </c>
      <c r="P43" s="220"/>
      <c r="Q43" s="221">
        <f>MEDIAN(Q10:Q38)</f>
        <v>0.87380419941281051</v>
      </c>
      <c r="R43" s="222"/>
      <c r="S43" s="223">
        <f>MEDIAN(S10:S39)</f>
        <v>0.7637018108452569</v>
      </c>
      <c r="T43" s="223" t="e">
        <f>MEDIAN(T10:T39)</f>
        <v>#NUM!</v>
      </c>
      <c r="U43" s="224" t="e">
        <f>MEDIAN(U10:U39)</f>
        <v>#NUM!</v>
      </c>
      <c r="V43" s="224" t="e">
        <f>MEDIAN(V10:V39)</f>
        <v>#NUM!</v>
      </c>
      <c r="W43" s="224" t="e">
        <f>MEDIAN(W10:W39)</f>
        <v>#NUM!</v>
      </c>
      <c r="X43" s="101">
        <f>MEDIAN(X10:X38)</f>
        <v>0</v>
      </c>
      <c r="Y43" s="225">
        <f>MEDIAN(Y10:Y38)</f>
        <v>0.74099767206184253</v>
      </c>
      <c r="AB43" s="829" t="str">
        <f>IF(ROUND(AB40,3)=ROUND(AB42,3),"","Update Volatility - OPM")</f>
        <v/>
      </c>
      <c r="AC43" s="16"/>
      <c r="AD43" s="16"/>
      <c r="AE43" s="16"/>
      <c r="AF43" s="204"/>
    </row>
    <row r="44" spans="2:35" ht="12.75" customHeight="1">
      <c r="B44" s="366" t="s">
        <v>114</v>
      </c>
      <c r="C44" s="79"/>
      <c r="D44" s="101">
        <f t="shared" ref="D44:K44" si="16">QUARTILE(D10:D38,1)</f>
        <v>52.922474999999999</v>
      </c>
      <c r="E44" s="101">
        <f t="shared" si="16"/>
        <v>0</v>
      </c>
      <c r="F44" s="101">
        <f t="shared" si="16"/>
        <v>0</v>
      </c>
      <c r="G44" s="101">
        <f t="shared" si="16"/>
        <v>0</v>
      </c>
      <c r="H44" s="101">
        <f t="shared" si="16"/>
        <v>0</v>
      </c>
      <c r="I44" s="101">
        <f t="shared" si="16"/>
        <v>52.922474999999999</v>
      </c>
      <c r="J44" s="101">
        <f t="shared" si="16"/>
        <v>11.994250000000001</v>
      </c>
      <c r="K44" s="101">
        <f t="shared" si="16"/>
        <v>41.351739999999999</v>
      </c>
      <c r="L44" s="79"/>
      <c r="M44" s="143">
        <f>QUARTILE(M10:M38,1)</f>
        <v>0</v>
      </c>
      <c r="N44" s="101">
        <f>QUARTILE(N10:N38,1)</f>
        <v>3.0027397260273974</v>
      </c>
      <c r="O44" s="219">
        <f>QUARTILE(O10:O38,1)</f>
        <v>2.63013698630137E-2</v>
      </c>
      <c r="P44" s="220"/>
      <c r="Q44" s="221">
        <f>QUARTILE(Q10:Q38,1)</f>
        <v>0.68053136143192128</v>
      </c>
      <c r="R44" s="222"/>
      <c r="S44" s="223">
        <f>QUARTILE(S10:S39,1)</f>
        <v>0.46404189295587528</v>
      </c>
      <c r="T44" s="223" t="e">
        <f>QUARTILE(T10:T39,1)</f>
        <v>#NUM!</v>
      </c>
      <c r="U44" s="224" t="e">
        <f>QUARTILE(U10:U39,1)</f>
        <v>#NUM!</v>
      </c>
      <c r="V44" s="224" t="e">
        <f>QUARTILE(V10:V39,1)</f>
        <v>#NUM!</v>
      </c>
      <c r="W44" s="224" t="e">
        <f>QUARTILE(W10:W39,1)</f>
        <v>#NUM!</v>
      </c>
      <c r="X44" s="101">
        <f>QUARTILE(X10:X38,1)</f>
        <v>0</v>
      </c>
      <c r="Y44" s="225">
        <f>QUARTILE(Y10:Y38,1)</f>
        <v>0.61991222710535121</v>
      </c>
      <c r="AB44" s="830" t="str">
        <f>IF(ROUND(AB41,3)=ROUND(AB42,3),"","Update Volatility - DLOM")</f>
        <v/>
      </c>
      <c r="AC44" s="5"/>
      <c r="AD44" s="5"/>
      <c r="AE44" s="5"/>
      <c r="AF44" s="448"/>
    </row>
    <row r="45" spans="2:35" ht="12.75" customHeight="1">
      <c r="B45" s="103" t="s">
        <v>112</v>
      </c>
      <c r="C45" s="72"/>
      <c r="D45" s="75">
        <f t="shared" ref="D45:K45" si="17">MIN(D10:D38)</f>
        <v>3.8515700000000002</v>
      </c>
      <c r="E45" s="75">
        <f t="shared" si="17"/>
        <v>0</v>
      </c>
      <c r="F45" s="75">
        <f t="shared" si="17"/>
        <v>0</v>
      </c>
      <c r="G45" s="75">
        <f t="shared" si="17"/>
        <v>-1.923</v>
      </c>
      <c r="H45" s="75">
        <f t="shared" si="17"/>
        <v>0</v>
      </c>
      <c r="I45" s="75">
        <f t="shared" si="17"/>
        <v>4.2190900000000005</v>
      </c>
      <c r="J45" s="75">
        <f t="shared" si="17"/>
        <v>8.43E-3</v>
      </c>
      <c r="K45" s="75">
        <f t="shared" si="17"/>
        <v>-1.0675899999999992</v>
      </c>
      <c r="L45" s="72"/>
      <c r="M45" s="145">
        <f>MIN(M10:M38)</f>
        <v>0</v>
      </c>
      <c r="N45" s="75">
        <f>MIN(N10:N38)</f>
        <v>3.0027397260273974</v>
      </c>
      <c r="O45" s="795">
        <f>MIN(O10:O38)</f>
        <v>2.63013698630137E-2</v>
      </c>
      <c r="P45" s="796"/>
      <c r="Q45" s="797">
        <f>MIN(Q10:Q38)</f>
        <v>0.52958074472522787</v>
      </c>
      <c r="R45" s="798"/>
      <c r="S45" s="799">
        <f>MIN(S10:S39)</f>
        <v>0.28045576518372695</v>
      </c>
      <c r="T45" s="799" t="e">
        <f>MIN(T10:T39)</f>
        <v>#NUM!</v>
      </c>
      <c r="U45" s="800" t="e">
        <f>MIN(U10:U39)</f>
        <v>#NUM!</v>
      </c>
      <c r="V45" s="800" t="e">
        <f>MIN(V10:V39)</f>
        <v>#NUM!</v>
      </c>
      <c r="W45" s="800" t="e">
        <f>MIN(W10:W39)</f>
        <v>#NUM!</v>
      </c>
      <c r="X45" s="75">
        <f>MIN(X10:X38)</f>
        <v>0</v>
      </c>
      <c r="Y45" s="801">
        <f>MIN(Y10:Y38)</f>
        <v>0.36708429322060054</v>
      </c>
      <c r="AB45" s="515" t="str">
        <f>IF(K47&lt;&gt;K49,"Check","")</f>
        <v/>
      </c>
    </row>
    <row r="46" spans="2:35" ht="12.75" customHeight="1">
      <c r="AB46" s="958" t="str">
        <f>IF(AND(AB43=$AF$44,AB45=$AF$44,AB44=$AF$44),"","Check")</f>
        <v/>
      </c>
    </row>
    <row r="47" spans="2:35" ht="12.75" hidden="1" customHeight="1" outlineLevel="1">
      <c r="B47" s="226" t="str">
        <f>B2</f>
        <v>Kallyope, Inc.</v>
      </c>
      <c r="C47" s="480" t="s">
        <v>209</v>
      </c>
      <c r="D47" s="1753">
        <f>'Val Summ'!D9/1000</f>
        <v>143.33000000000001</v>
      </c>
      <c r="E47" s="1754">
        <f>'Hist BS'!G55/1000</f>
        <v>0</v>
      </c>
      <c r="F47" s="227"/>
      <c r="G47" s="227"/>
      <c r="H47" s="228">
        <f>SUM(E47:G47)</f>
        <v>0</v>
      </c>
      <c r="I47" s="228">
        <f>SUM(D47:G47)</f>
        <v>143.33000000000001</v>
      </c>
      <c r="J47" s="227"/>
      <c r="K47" s="228">
        <f>I47-J47</f>
        <v>143.33000000000001</v>
      </c>
      <c r="L47" s="227"/>
      <c r="M47" s="229">
        <f>'PWERM Waterfall n Allocation'!D13</f>
        <v>0</v>
      </c>
      <c r="N47" s="230">
        <f>N$6</f>
        <v>3.0027397260273974</v>
      </c>
      <c r="O47" s="231">
        <f>O$6</f>
        <v>2.63013698630137E-2</v>
      </c>
      <c r="P47" s="232"/>
      <c r="Q47" s="2518">
        <v>0.74099999999999999</v>
      </c>
      <c r="R47" s="227"/>
      <c r="S47" s="234">
        <f>IF(Q47="n/a","n/a",Q47^2)</f>
        <v>0.54908100000000004</v>
      </c>
      <c r="T47" s="234">
        <f>IF(OR(K47="n/a",S47="n/a"),"n/a",IF(H47=0,0,IF(M47=0,(LN(K47/H47)+((O47+(S47/2))*N47))/((S47*N47)^0.5),(LN(K47/H47)+((O47-M47+(S47/2))*N47))/((S47*N47)^0.5))))</f>
        <v>0</v>
      </c>
      <c r="U47" s="235">
        <f>IF(T47="n/a","n/a",IF(H47=0,0,T47-(S47*N47)^0.5))</f>
        <v>0</v>
      </c>
      <c r="V47" s="235">
        <f>IF(OR(T47="n/a",S47="n/a"),"n/a",IF(H47=0,0,NORMSDIST(T47)))</f>
        <v>0</v>
      </c>
      <c r="W47" s="235">
        <f>IF(OR(U47="n/a",S47="n/a"),"n/a",IF(H47=0,0,NORMSDIST(U47)))</f>
        <v>0</v>
      </c>
      <c r="X47" s="235">
        <f>IF(OR(K47="n/a",S47="n/a"),"n/a",IF(M47=0,(K47*V47)-((H47*EXP(1)^(-O47*N47))*W47),(K47*(2.718^(-M47*N47))*V47)-(H47*(2.718^(-O47*N47))*W47)))</f>
        <v>0</v>
      </c>
      <c r="Y47" s="236">
        <f>IF(LEN(B47)&gt;0,IF(H47=0,Q47,IF(ISERROR(Q47/((K47/X47)*V47)),"n/a",Q47/((K47/X47)*V47))))</f>
        <v>0.74099999999999999</v>
      </c>
    </row>
    <row r="48" spans="2:35" ht="12.75" hidden="1" customHeight="1" outlineLevel="1">
      <c r="C48" s="78"/>
      <c r="D48" s="78"/>
      <c r="E48" s="78"/>
      <c r="F48" s="78"/>
      <c r="G48" s="78"/>
      <c r="H48" s="78"/>
      <c r="I48" s="78"/>
      <c r="J48" s="78"/>
    </row>
    <row r="49" spans="1:25" ht="12.75" customHeight="1" collapsed="1">
      <c r="B49" s="226" t="str">
        <f>B47</f>
        <v>Kallyope, Inc.</v>
      </c>
      <c r="C49" s="480" t="s">
        <v>209</v>
      </c>
      <c r="D49" s="1753">
        <f>D47</f>
        <v>143.33000000000001</v>
      </c>
      <c r="E49" s="1754">
        <f>PWERM!B131/1000+E47</f>
        <v>64.359807910807731</v>
      </c>
      <c r="F49" s="227"/>
      <c r="G49" s="227"/>
      <c r="H49" s="228">
        <f>SUM(E49:G49)</f>
        <v>64.359807910807731</v>
      </c>
      <c r="I49" s="230">
        <f>I47</f>
        <v>143.33000000000001</v>
      </c>
      <c r="J49" s="227"/>
      <c r="K49" s="237">
        <f>K47</f>
        <v>143.33000000000001</v>
      </c>
      <c r="L49" s="227"/>
      <c r="M49" s="238">
        <f>M47</f>
        <v>0</v>
      </c>
      <c r="N49" s="230">
        <f>N$6</f>
        <v>3.0027397260273974</v>
      </c>
      <c r="O49" s="231">
        <f>O$6</f>
        <v>2.63013698630137E-2</v>
      </c>
      <c r="P49" s="232"/>
      <c r="Q49" s="2518">
        <v>0.91043370816821678</v>
      </c>
      <c r="R49" s="227"/>
      <c r="S49" s="234">
        <f>IF(Q49="n/a","n/a",Q49^2)</f>
        <v>0.82888953696892975</v>
      </c>
      <c r="T49" s="234">
        <f>IF(OR(K49="n/a",S49="n/a"),"n/a",IF(H49=0,0,IF(M49=0,(LN(K49/H49)+((O49+(S49/2))*N49))/((S49*N49)^0.5),(LN(K49/H49)+((O49-M49+(S49/2))*N49))/((S49*N49)^0.5))))</f>
        <v>1.3463843853002426</v>
      </c>
      <c r="U49" s="235">
        <f>IF(T49="n/a","n/a",IF(H49=0,0,T49-(S49*N49)^0.5))</f>
        <v>-0.23125294347499281</v>
      </c>
      <c r="V49" s="235">
        <f>IF(OR(T49="n/a",S49="n/a"),"n/a",IF(H49=0,0,NORMSDIST(T49)))</f>
        <v>0.9109107079784815</v>
      </c>
      <c r="W49" s="235">
        <f>IF(OR(U49="n/a",S49="n/a"),"n/a",IF(H49=0,0,NORMSDIST(U49)))</f>
        <v>0.40855915076568849</v>
      </c>
      <c r="X49" s="235">
        <f>IF(OR(K49="n/a",S49="n/a"),"n/a",IF(M49=0,(K49*V49)-((H49*EXP(1)^(-O49*N49))*W49),(K49*(2.718^(-M49*N49))*V49)-(H49*(2.718^(-O49*N49))*W49)))</f>
        <v>106.26281836942388</v>
      </c>
      <c r="Y49" s="236">
        <f>IF(LEN(B49)&gt;0,IF(H49=0,Q49,IF(ISERROR(Q49/((K49/X49)*V49)),"n/a",Q49/((K49/X49)*V49))))</f>
        <v>0.74099751398286062</v>
      </c>
    </row>
    <row r="50" spans="1:25" ht="12.75" customHeight="1"/>
    <row r="51" spans="1:25" ht="12.75" customHeight="1">
      <c r="B51" s="8" t="s">
        <v>86</v>
      </c>
    </row>
    <row r="52" spans="1:25" ht="12.75" customHeight="1">
      <c r="A52" s="718" t="s">
        <v>210</v>
      </c>
      <c r="B52" s="17" t="s">
        <v>837</v>
      </c>
    </row>
    <row r="53" spans="1:25" s="78" customFormat="1" ht="12.75" customHeight="1">
      <c r="A53" s="719" t="str">
        <f>C49</f>
        <v>(2)</v>
      </c>
      <c r="B53" s="1752" t="s">
        <v>2578</v>
      </c>
      <c r="P53" s="21"/>
    </row>
    <row r="54" spans="1:25" ht="12.75" customHeight="1"/>
    <row r="55" spans="1:25" ht="12.75" customHeight="1">
      <c r="B55" s="8" t="s">
        <v>116</v>
      </c>
    </row>
    <row r="56" spans="1:25" ht="12.75" customHeight="1"/>
    <row r="57" spans="1:25" ht="12.75" customHeight="1">
      <c r="B57" s="405" t="s">
        <v>1244</v>
      </c>
    </row>
    <row r="58" spans="1:25">
      <c r="B58" s="405" t="s">
        <v>1245</v>
      </c>
    </row>
    <row r="59" spans="1:25">
      <c r="B59" s="405" t="s">
        <v>1246</v>
      </c>
    </row>
    <row r="60" spans="1:25">
      <c r="B60" s="405" t="s">
        <v>1247</v>
      </c>
    </row>
    <row r="61" spans="1:25">
      <c r="B61" s="405" t="s">
        <v>1248</v>
      </c>
    </row>
    <row r="62" spans="1:25">
      <c r="B62" s="405" t="s">
        <v>1249</v>
      </c>
    </row>
    <row r="63" spans="1:25">
      <c r="B63" s="405" t="s">
        <v>1250</v>
      </c>
    </row>
    <row r="65" spans="2:2">
      <c r="B65" s="405" t="s">
        <v>1251</v>
      </c>
    </row>
    <row r="66" spans="2:2">
      <c r="B66" s="405" t="s">
        <v>1252</v>
      </c>
    </row>
    <row r="67" spans="2:2">
      <c r="B67" s="405" t="s">
        <v>1253</v>
      </c>
    </row>
    <row r="68" spans="2:2">
      <c r="B68" s="405" t="s">
        <v>1254</v>
      </c>
    </row>
    <row r="69" spans="2:2">
      <c r="B69" s="405" t="s">
        <v>1255</v>
      </c>
    </row>
    <row r="70" spans="2:2">
      <c r="B70" s="405" t="s">
        <v>1256</v>
      </c>
    </row>
  </sheetData>
  <conditionalFormatting sqref="B10:B38">
    <cfRule type="cellIs" dxfId="530" priority="8" operator="equal">
      <formula>"(Invalid Identifier)"</formula>
    </cfRule>
  </conditionalFormatting>
  <conditionalFormatting sqref="B4:I4">
    <cfRule type="cellIs" dxfId="529" priority="7" stopIfTrue="1" operator="equal">
      <formula>"input"</formula>
    </cfRule>
  </conditionalFormatting>
  <conditionalFormatting sqref="J4">
    <cfRule type="cellIs" dxfId="528" priority="5" stopIfTrue="1" operator="equal">
      <formula>"input"</formula>
    </cfRule>
  </conditionalFormatting>
  <conditionalFormatting sqref="J4">
    <cfRule type="cellIs" dxfId="527" priority="6" stopIfTrue="1" operator="equal">
      <formula>"input"</formula>
    </cfRule>
  </conditionalFormatting>
  <conditionalFormatting sqref="K4:X4">
    <cfRule type="cellIs" dxfId="526" priority="3" stopIfTrue="1" operator="equal">
      <formula>"input"</formula>
    </cfRule>
  </conditionalFormatting>
  <conditionalFormatting sqref="K4:X4">
    <cfRule type="cellIs" dxfId="525" priority="4" stopIfTrue="1" operator="equal">
      <formula>"input"</formula>
    </cfRule>
  </conditionalFormatting>
  <conditionalFormatting sqref="Y4">
    <cfRule type="cellIs" dxfId="524" priority="1" stopIfTrue="1" operator="equal">
      <formula>"input"</formula>
    </cfRule>
  </conditionalFormatting>
  <conditionalFormatting sqref="Y4">
    <cfRule type="cellIs" dxfId="523"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AI70"/>
  <sheetViews>
    <sheetView showGridLines="0" view="pageBreakPreview" zoomScaleNormal="100" zoomScaleSheetLayoutView="100" workbookViewId="0"/>
  </sheetViews>
  <sheetFormatPr defaultRowHeight="12.75" outlineLevelRow="1" outlineLevelCol="1"/>
  <cols>
    <col min="1" max="1" width="4.5" style="405" customWidth="1"/>
    <col min="2" max="2" width="42.1640625" style="405" customWidth="1"/>
    <col min="3" max="3" width="2.83203125" style="405" customWidth="1"/>
    <col min="4" max="4" width="12.83203125" style="405" customWidth="1"/>
    <col min="5" max="5" width="10.83203125" style="405" hidden="1" customWidth="1" outlineLevel="1"/>
    <col min="6" max="7" width="9.83203125" style="405" hidden="1" customWidth="1" outlineLevel="1"/>
    <col min="8" max="8" width="12.83203125" style="405" customWidth="1" collapsed="1"/>
    <col min="9" max="11" width="12.83203125" style="405" customWidth="1"/>
    <col min="12" max="12" width="2.83203125" style="405" customWidth="1"/>
    <col min="13" max="15" width="12.83203125" style="405" customWidth="1"/>
    <col min="16" max="16" width="2.83203125" style="21" customWidth="1"/>
    <col min="17" max="17" width="12.83203125" style="405" customWidth="1"/>
    <col min="18" max="18" width="2.83203125" style="405" customWidth="1"/>
    <col min="19" max="19" width="11.6640625" style="405" hidden="1" customWidth="1" outlineLevel="1"/>
    <col min="20" max="23" width="8.83203125" style="405" hidden="1" customWidth="1" outlineLevel="1"/>
    <col min="24" max="24" width="12.83203125" style="405" customWidth="1" collapsed="1"/>
    <col min="25" max="25" width="12.83203125" style="405" customWidth="1"/>
    <col min="26" max="26" width="4.5" style="405" customWidth="1"/>
    <col min="27" max="27" width="17.5" style="405" bestFit="1" customWidth="1"/>
    <col min="28" max="28" width="12.33203125" style="405" bestFit="1" customWidth="1"/>
    <col min="29" max="29" width="9.5" style="405" bestFit="1" customWidth="1"/>
    <col min="30" max="30" width="10.1640625" style="405" bestFit="1" customWidth="1"/>
    <col min="31" max="16384" width="9.33203125" style="405"/>
  </cols>
  <sheetData>
    <row r="1" spans="2:35" ht="10.7" customHeight="1" thickBot="1">
      <c r="P1" s="405"/>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AA2" s="303" t="s">
        <v>87</v>
      </c>
      <c r="AB2" s="304">
        <f>+'Comp.1'!$AL$2</f>
        <v>43281</v>
      </c>
    </row>
    <row r="3" spans="2:35" ht="15.75" customHeight="1">
      <c r="B3" s="11" t="str">
        <f>VLOOKUP(B4,Outline!$E$8:$G$69,COLUMNS(Outline!$E$8:$G$8),FALSE)</f>
        <v>Exhibit H.5</v>
      </c>
      <c r="C3" s="11"/>
      <c r="D3" s="11"/>
      <c r="E3" s="11"/>
      <c r="F3" s="11"/>
      <c r="G3" s="11"/>
      <c r="H3" s="11"/>
      <c r="I3" s="11"/>
      <c r="J3" s="11"/>
      <c r="K3" s="11"/>
      <c r="L3" s="11"/>
      <c r="M3" s="11"/>
      <c r="N3" s="11"/>
      <c r="O3" s="11"/>
      <c r="P3" s="11"/>
      <c r="Q3" s="11"/>
      <c r="R3" s="11"/>
      <c r="S3" s="11"/>
      <c r="T3" s="11"/>
      <c r="U3" s="11"/>
      <c r="V3" s="11"/>
      <c r="W3" s="11"/>
      <c r="X3" s="11"/>
      <c r="Y3" s="11"/>
      <c r="AA3" s="201" t="s">
        <v>398</v>
      </c>
      <c r="AB3" s="308" t="str">
        <f>+'Comp.1'!$AL$3</f>
        <v>F</v>
      </c>
    </row>
    <row r="4" spans="2:35" ht="16.5" customHeight="1" thickBot="1">
      <c r="B4" s="12" t="s">
        <v>2266</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201" t="s">
        <v>399</v>
      </c>
      <c r="AB4" s="308" t="str">
        <f>+'Comp.1'!$AL$4</f>
        <v>USD</v>
      </c>
    </row>
    <row r="5" spans="2:35" ht="12.75" customHeight="1" thickTop="1">
      <c r="B5" s="21"/>
      <c r="AA5" s="82" t="s">
        <v>89</v>
      </c>
      <c r="AB5" s="307" t="str">
        <f>+'Comp.1'!$AL$5</f>
        <v>H</v>
      </c>
    </row>
    <row r="6" spans="2:35" ht="12.75" hidden="1" customHeight="1" outlineLevel="1">
      <c r="N6" s="210">
        <f>'PWERM DLOM'!G10</f>
        <v>4.0027397260273974</v>
      </c>
      <c r="O6" s="211">
        <f>'Risk-Free Rates'!E59</f>
        <v>2.6801369863013701E-2</v>
      </c>
      <c r="Q6" s="212">
        <f>HLOOKUP(ROUND(N6,0),'Equity Vol'!$D$8:$K$8,1,TRUE)</f>
        <v>4</v>
      </c>
    </row>
    <row r="7" spans="2:35" ht="25.5" customHeight="1" collapsed="1">
      <c r="D7" s="198" t="s">
        <v>91</v>
      </c>
      <c r="E7" s="199"/>
      <c r="F7" s="199"/>
      <c r="G7" s="199"/>
      <c r="H7" s="199"/>
      <c r="I7" s="199"/>
      <c r="J7" s="199"/>
      <c r="K7" s="200"/>
      <c r="M7" s="198" t="s">
        <v>92</v>
      </c>
      <c r="N7" s="199"/>
      <c r="O7" s="199"/>
      <c r="P7" s="213"/>
      <c r="Q7" s="200"/>
      <c r="S7" s="198" t="s">
        <v>93</v>
      </c>
      <c r="T7" s="199"/>
      <c r="U7" s="199"/>
      <c r="V7" s="199"/>
      <c r="W7" s="199"/>
      <c r="X7" s="986" t="s">
        <v>93</v>
      </c>
      <c r="Y7" s="987"/>
    </row>
    <row r="8" spans="2:35" s="6" customFormat="1" ht="43.5" customHeight="1">
      <c r="B8" s="481" t="s">
        <v>633</v>
      </c>
      <c r="D8" s="612" t="s">
        <v>94</v>
      </c>
      <c r="E8" s="613" t="s">
        <v>95</v>
      </c>
      <c r="F8" s="613" t="s">
        <v>96</v>
      </c>
      <c r="G8" s="613" t="s">
        <v>97</v>
      </c>
      <c r="H8" s="613" t="s">
        <v>98</v>
      </c>
      <c r="I8" s="613" t="s">
        <v>99</v>
      </c>
      <c r="J8" s="613" t="s">
        <v>100</v>
      </c>
      <c r="K8" s="614" t="s">
        <v>101</v>
      </c>
      <c r="L8" s="330"/>
      <c r="M8" s="612" t="s">
        <v>73</v>
      </c>
      <c r="N8" s="613" t="s">
        <v>102</v>
      </c>
      <c r="O8" s="614" t="s">
        <v>72</v>
      </c>
      <c r="P8" s="599"/>
      <c r="Q8" s="615" t="s">
        <v>103</v>
      </c>
      <c r="R8" s="599"/>
      <c r="S8" s="612" t="s">
        <v>104</v>
      </c>
      <c r="T8" s="613" t="s">
        <v>84</v>
      </c>
      <c r="U8" s="613" t="s">
        <v>85</v>
      </c>
      <c r="V8" s="613" t="s">
        <v>105</v>
      </c>
      <c r="W8" s="613" t="s">
        <v>106</v>
      </c>
      <c r="X8" s="616" t="s">
        <v>107</v>
      </c>
      <c r="Y8" s="614" t="s">
        <v>645</v>
      </c>
      <c r="AA8" s="87" t="s">
        <v>108</v>
      </c>
      <c r="AB8" s="88" t="s">
        <v>109</v>
      </c>
      <c r="AC8" s="88" t="s">
        <v>110</v>
      </c>
      <c r="AD8" s="89"/>
    </row>
    <row r="9" spans="2:35" ht="12.75" customHeight="1">
      <c r="X9" s="173"/>
    </row>
    <row r="10" spans="2:35" ht="12.75" customHeight="1">
      <c r="B10" s="405" t="str">
        <f>'Comp.1'!B12</f>
        <v>ACADIA Pharmaceuticals Inc.</v>
      </c>
      <c r="D10" s="406">
        <f>'Beta Calc'!K10</f>
        <v>1906.0925500000001</v>
      </c>
      <c r="E10" s="406">
        <f>'Beta Calc'!L10</f>
        <v>0</v>
      </c>
      <c r="F10" s="406">
        <f>'Beta Calc'!M10</f>
        <v>0</v>
      </c>
      <c r="G10" s="406">
        <f>'Beta Calc'!N10</f>
        <v>0</v>
      </c>
      <c r="H10" s="406">
        <f>SUM(E10:G10)</f>
        <v>0</v>
      </c>
      <c r="I10" s="406">
        <f>SUM(D10:G10)</f>
        <v>1906.0925500000001</v>
      </c>
      <c r="J10" s="406">
        <f>'Beta Calc'!Q10</f>
        <v>298.06299999999999</v>
      </c>
      <c r="K10" s="406">
        <f>I10-J10</f>
        <v>1608.0295500000002</v>
      </c>
      <c r="M10" s="56">
        <f>IFERROR('Capital IQ Sheet-GPC'!AT13,"n/a")</f>
        <v>0</v>
      </c>
      <c r="N10" s="406">
        <f t="shared" ref="N10:O23" si="0">N$6</f>
        <v>4.0027397260273974</v>
      </c>
      <c r="O10" s="214">
        <f t="shared" si="0"/>
        <v>2.6801369863013701E-2</v>
      </c>
      <c r="P10" s="215"/>
      <c r="Q10" s="216">
        <f>IFERROR(HLOOKUP($Q$6,'Equity Vol'!$B$8:$K10,ROWS('Equity Vol'!$C$8:$C10),FALSE),"n/a")</f>
        <v>0.60104330440966869</v>
      </c>
      <c r="R10" s="45"/>
      <c r="S10" s="217">
        <f>IFERROR(IF(Q10="n/a","n/a",Q10^2),"n/a")</f>
        <v>0.36125305377569367</v>
      </c>
      <c r="T10" s="217">
        <f t="shared" ref="T10:T23" si="1">IF(OR(K10="n/a",S10="n/a"),"n/a",IF(H10=0,0,IF(M10=0,(LN(K10/H10)+((O10+(S10/2))*N10))/((S10*N10)^0.5),(LN(K10/H10)+((O10-M10+(S10/2))*N10))/((S10*N10)^0.5))))</f>
        <v>0</v>
      </c>
      <c r="U10" s="218">
        <f t="shared" ref="U10:U23" si="2">IF(T10="n/a","n/a",IF(H10=0,0,T10-(S10*N10)^0.5))</f>
        <v>0</v>
      </c>
      <c r="V10" s="218">
        <f t="shared" ref="V10:V23" si="3">IF(OR(T10="n/a",S10="n/a"),"n/a",IF(H10=0,0,NORMSDIST(T10)))</f>
        <v>0</v>
      </c>
      <c r="W10" s="218">
        <f t="shared" ref="W10:W23" si="4">IF(OR(U10="n/a",S10="n/a"),"n/a",IF(H10=0,0,NORMSDIST(U10)))</f>
        <v>0</v>
      </c>
      <c r="X10" s="92">
        <f t="shared" ref="X10:X22" si="5">IF(OR(K10="n/a",S10="n/a"),"n/a",IF(M10=0,(K10*V10)-((H10*EXP(1)^(-O10*N10))*W10),(K10*(2.718^(-M10*N10))*V10)-(H10*(2.718^(-O10*N10))*W10)))</f>
        <v>0</v>
      </c>
      <c r="Y10" s="216">
        <f>IFERROR(IF(LEN(B10)&gt;0,IF(H10=0,Q10,IF(ISERROR(Q10/((K10/X10)*V10)),"n/a",Q10/((K10/X10)*V10)))),"n/a")</f>
        <v>0.60104330440966869</v>
      </c>
      <c r="AA10" s="93" t="str">
        <f>IF('MASTER PubCo Inputs'!B28=0,"",'MASTER PubCo Inputs'!B28)</f>
        <v>NasdaqGS:ACAD</v>
      </c>
      <c r="AB10" s="406">
        <f>'Beta Calc'!Z10</f>
        <v>1608.02955</v>
      </c>
      <c r="AC10" s="94">
        <f t="shared" ref="AC10:AC23" si="6">K10-AB10</f>
        <v>0</v>
      </c>
      <c r="AI10" s="95"/>
    </row>
    <row r="11" spans="2:35" ht="12.75" customHeight="1">
      <c r="B11" s="405" t="str">
        <f>'Comp.1'!B13</f>
        <v>Rhythm Pharmaceuticals, Inc.</v>
      </c>
      <c r="D11" s="406">
        <f>'Beta Calc'!K11</f>
        <v>1066.6532199999999</v>
      </c>
      <c r="E11" s="406">
        <f>'Beta Calc'!L11</f>
        <v>0</v>
      </c>
      <c r="F11" s="406">
        <f>'Beta Calc'!M11</f>
        <v>0</v>
      </c>
      <c r="G11" s="406">
        <f>'Beta Calc'!N11</f>
        <v>0</v>
      </c>
      <c r="H11" s="406">
        <f t="shared" ref="H11:H23" si="7">SUM(E11:G11)</f>
        <v>0</v>
      </c>
      <c r="I11" s="406">
        <f t="shared" ref="I11:I23" si="8">SUM(D11:G11)</f>
        <v>1066.6532199999999</v>
      </c>
      <c r="J11" s="406">
        <f>'Beta Calc'!Q11</f>
        <v>136.453</v>
      </c>
      <c r="K11" s="406">
        <f t="shared" ref="K11:K23" si="9">I11-J11</f>
        <v>930.20021999999994</v>
      </c>
      <c r="M11" s="56">
        <f>IFERROR('Capital IQ Sheet-GPC'!AT14,"n/a")</f>
        <v>0</v>
      </c>
      <c r="N11" s="406">
        <f t="shared" si="0"/>
        <v>4.0027397260273974</v>
      </c>
      <c r="O11" s="214">
        <f t="shared" si="0"/>
        <v>2.6801369863013701E-2</v>
      </c>
      <c r="P11" s="215"/>
      <c r="Q11" s="216" t="str">
        <f>IFERROR(HLOOKUP($Q$6,'Equity Vol'!$B$8:$K11,ROWS('Equity Vol'!$C$8:$C11),FALSE),"n/a")</f>
        <v>NM</v>
      </c>
      <c r="R11" s="45"/>
      <c r="S11" s="217" t="str">
        <f t="shared" ref="S11:S23" si="10">IFERROR(IF(Q11="n/a","n/a",Q11^2),"n/a")</f>
        <v>n/a</v>
      </c>
      <c r="T11" s="217" t="str">
        <f t="shared" si="1"/>
        <v>n/a</v>
      </c>
      <c r="U11" s="218" t="str">
        <f t="shared" si="2"/>
        <v>n/a</v>
      </c>
      <c r="V11" s="218" t="str">
        <f t="shared" si="3"/>
        <v>n/a</v>
      </c>
      <c r="W11" s="218" t="str">
        <f t="shared" si="4"/>
        <v>n/a</v>
      </c>
      <c r="X11" s="92" t="str">
        <f t="shared" si="5"/>
        <v>n/a</v>
      </c>
      <c r="Y11" s="216" t="str">
        <f t="shared" ref="Y11:Y23" si="11">IFERROR(IF(LEN(B11)&gt;0,IF(H11=0,Q11,IF(ISERROR(Q11/((K11/X11)*V11)),"n/a",Q11/((K11/X11)*V11)))),"n/a")</f>
        <v>NM</v>
      </c>
      <c r="AA11" s="93" t="str">
        <f>IF('MASTER PubCo Inputs'!B29=0,"",'MASTER PubCo Inputs'!B29)</f>
        <v>NasdaqGM:RYTM</v>
      </c>
      <c r="AB11" s="406">
        <f>'Beta Calc'!Z11</f>
        <v>930.20021999999994</v>
      </c>
      <c r="AC11" s="94">
        <f t="shared" si="6"/>
        <v>0</v>
      </c>
      <c r="AI11" s="95"/>
    </row>
    <row r="12" spans="2:35" ht="12.75" customHeight="1">
      <c r="B12" s="405" t="str">
        <f>'Comp.1'!B14</f>
        <v>Assembly Biosciences, Inc.</v>
      </c>
      <c r="D12" s="406">
        <f>'Beta Calc'!K12</f>
        <v>805.79364999999996</v>
      </c>
      <c r="E12" s="406">
        <f>'Beta Calc'!L12</f>
        <v>0</v>
      </c>
      <c r="F12" s="406">
        <f>'Beta Calc'!M12</f>
        <v>0</v>
      </c>
      <c r="G12" s="406">
        <f>'Beta Calc'!N12</f>
        <v>0</v>
      </c>
      <c r="H12" s="406">
        <f t="shared" si="7"/>
        <v>0</v>
      </c>
      <c r="I12" s="406">
        <f t="shared" si="8"/>
        <v>805.79364999999996</v>
      </c>
      <c r="J12" s="406">
        <f>'Beta Calc'!Q12</f>
        <v>109.15898</v>
      </c>
      <c r="K12" s="406">
        <f t="shared" si="9"/>
        <v>696.63466999999991</v>
      </c>
      <c r="M12" s="56">
        <f>IFERROR('Capital IQ Sheet-GPC'!AT15,"n/a")</f>
        <v>0</v>
      </c>
      <c r="N12" s="406">
        <f t="shared" si="0"/>
        <v>4.0027397260273974</v>
      </c>
      <c r="O12" s="214">
        <f t="shared" si="0"/>
        <v>2.6801369863013701E-2</v>
      </c>
      <c r="P12" s="215"/>
      <c r="Q12" s="216">
        <f>IFERROR(HLOOKUP($Q$6,'Equity Vol'!$B$8:$K12,ROWS('Equity Vol'!$C$8:$C12),FALSE),"n/a")</f>
        <v>0.65170735229916987</v>
      </c>
      <c r="R12" s="45"/>
      <c r="S12" s="217">
        <f t="shared" si="10"/>
        <v>0.4247224730407943</v>
      </c>
      <c r="T12" s="217">
        <f t="shared" si="1"/>
        <v>0</v>
      </c>
      <c r="U12" s="218">
        <f t="shared" si="2"/>
        <v>0</v>
      </c>
      <c r="V12" s="218">
        <f t="shared" si="3"/>
        <v>0</v>
      </c>
      <c r="W12" s="218">
        <f t="shared" si="4"/>
        <v>0</v>
      </c>
      <c r="X12" s="92">
        <f t="shared" si="5"/>
        <v>0</v>
      </c>
      <c r="Y12" s="216">
        <f t="shared" si="11"/>
        <v>0.65170735229916987</v>
      </c>
      <c r="AA12" s="93" t="str">
        <f>IF('MASTER PubCo Inputs'!B30=0,"",'MASTER PubCo Inputs'!B30)</f>
        <v>NasdaqCM:ASMB</v>
      </c>
      <c r="AB12" s="406">
        <f>'Beta Calc'!Z12</f>
        <v>696.63467000000003</v>
      </c>
      <c r="AC12" s="94">
        <f t="shared" si="6"/>
        <v>0</v>
      </c>
      <c r="AI12" s="95"/>
    </row>
    <row r="13" spans="2:35" ht="12.75" customHeight="1">
      <c r="B13" s="405" t="str">
        <f>'Comp.1'!B15</f>
        <v>Voyager Therapeutics, Inc.</v>
      </c>
      <c r="D13" s="406">
        <f>'Beta Calc'!K13</f>
        <v>631.55226000000005</v>
      </c>
      <c r="E13" s="406">
        <f>'Beta Calc'!L13</f>
        <v>0</v>
      </c>
      <c r="F13" s="406">
        <f>'Beta Calc'!M13</f>
        <v>0</v>
      </c>
      <c r="G13" s="406">
        <f>'Beta Calc'!N13</f>
        <v>0</v>
      </c>
      <c r="H13" s="406">
        <f t="shared" si="7"/>
        <v>0</v>
      </c>
      <c r="I13" s="406">
        <f t="shared" si="8"/>
        <v>631.55226000000005</v>
      </c>
      <c r="J13" s="406">
        <f>'Beta Calc'!Q13</f>
        <v>218.19800000000001</v>
      </c>
      <c r="K13" s="406">
        <f t="shared" si="9"/>
        <v>413.35426000000007</v>
      </c>
      <c r="M13" s="56">
        <f>IFERROR('Capital IQ Sheet-GPC'!AT16,"n/a")</f>
        <v>0</v>
      </c>
      <c r="N13" s="406">
        <f t="shared" si="0"/>
        <v>4.0027397260273974</v>
      </c>
      <c r="O13" s="214">
        <f t="shared" si="0"/>
        <v>2.6801369863013701E-2</v>
      </c>
      <c r="P13" s="215"/>
      <c r="Q13" s="216">
        <f>IFERROR(HLOOKUP($Q$6,'Equity Vol'!$B$8:$K13,ROWS('Equity Vol'!$C$8:$C13),FALSE),"n/a")</f>
        <v>0.74099767206184253</v>
      </c>
      <c r="R13" s="45"/>
      <c r="S13" s="217">
        <f t="shared" si="10"/>
        <v>0.54907755000106995</v>
      </c>
      <c r="T13" s="217">
        <f t="shared" si="1"/>
        <v>0</v>
      </c>
      <c r="U13" s="218">
        <f t="shared" si="2"/>
        <v>0</v>
      </c>
      <c r="V13" s="218">
        <f t="shared" si="3"/>
        <v>0</v>
      </c>
      <c r="W13" s="218">
        <f t="shared" si="4"/>
        <v>0</v>
      </c>
      <c r="X13" s="92">
        <f t="shared" si="5"/>
        <v>0</v>
      </c>
      <c r="Y13" s="216">
        <f t="shared" si="11"/>
        <v>0.74099767206184253</v>
      </c>
      <c r="AA13" s="93" t="str">
        <f>IF('MASTER PubCo Inputs'!B31=0,"",'MASTER PubCo Inputs'!B31)</f>
        <v>NasdaqGS:VYGR</v>
      </c>
      <c r="AB13" s="406">
        <f>'Beta Calc'!Z13</f>
        <v>413.35426000000001</v>
      </c>
      <c r="AC13" s="94">
        <f t="shared" si="6"/>
        <v>0</v>
      </c>
      <c r="AI13" s="95"/>
    </row>
    <row r="14" spans="2:35" ht="12.75" customHeight="1">
      <c r="B14" s="405" t="str">
        <f>'Comp.1'!B16</f>
        <v>Zafgen, Inc.</v>
      </c>
      <c r="D14" s="406">
        <f>'Beta Calc'!K14</f>
        <v>363.76737000000003</v>
      </c>
      <c r="E14" s="406">
        <f>'Beta Calc'!L14</f>
        <v>20.16</v>
      </c>
      <c r="F14" s="406">
        <f>'Beta Calc'!M14</f>
        <v>0</v>
      </c>
      <c r="G14" s="406">
        <f>'Beta Calc'!N14</f>
        <v>0</v>
      </c>
      <c r="H14" s="406">
        <f t="shared" si="7"/>
        <v>20.16</v>
      </c>
      <c r="I14" s="406">
        <f t="shared" si="8"/>
        <v>383.92737000000005</v>
      </c>
      <c r="J14" s="406">
        <f>'Beta Calc'!Q14</f>
        <v>89.07</v>
      </c>
      <c r="K14" s="406">
        <f t="shared" si="9"/>
        <v>294.85737000000006</v>
      </c>
      <c r="M14" s="56">
        <f>IFERROR('Capital IQ Sheet-GPC'!AT17,"n/a")</f>
        <v>0</v>
      </c>
      <c r="N14" s="406">
        <f t="shared" si="0"/>
        <v>4.0027397260273974</v>
      </c>
      <c r="O14" s="214">
        <f t="shared" si="0"/>
        <v>2.6801369863013701E-2</v>
      </c>
      <c r="P14" s="215"/>
      <c r="Q14" s="216">
        <f>IFERROR(HLOOKUP($Q$6,'Equity Vol'!$B$8:$K14,ROWS('Equity Vol'!$C$8:$C14),FALSE),"n/a")</f>
        <v>1.020360192619892</v>
      </c>
      <c r="R14" s="45"/>
      <c r="S14" s="217">
        <f t="shared" si="10"/>
        <v>1.0411349226833031</v>
      </c>
      <c r="T14" s="217">
        <f t="shared" si="1"/>
        <v>2.387440270734444</v>
      </c>
      <c r="U14" s="218">
        <f t="shared" si="2"/>
        <v>0.34602112828012688</v>
      </c>
      <c r="V14" s="218">
        <f t="shared" si="3"/>
        <v>0.99151692028574312</v>
      </c>
      <c r="W14" s="218">
        <f t="shared" si="4"/>
        <v>0.63533658182911368</v>
      </c>
      <c r="X14" s="92">
        <f t="shared" si="5"/>
        <v>280.85061764299166</v>
      </c>
      <c r="Y14" s="216">
        <f t="shared" si="11"/>
        <v>0.98020468300142327</v>
      </c>
      <c r="AA14" s="93" t="str">
        <f>IF('MASTER PubCo Inputs'!B32=0,"",'MASTER PubCo Inputs'!B32)</f>
        <v>NasdaqGS:ZFGN</v>
      </c>
      <c r="AB14" s="406">
        <f>'Beta Calc'!Z14</f>
        <v>294.85737</v>
      </c>
      <c r="AC14" s="94">
        <f t="shared" si="6"/>
        <v>0</v>
      </c>
      <c r="AI14" s="95"/>
    </row>
    <row r="15" spans="2:35" ht="12.75" customHeight="1">
      <c r="B15" s="405" t="str">
        <f>'Comp.1'!B17</f>
        <v>Seres Therapeutics, Inc.</v>
      </c>
      <c r="D15" s="406">
        <f>'Beta Calc'!K15</f>
        <v>349.61295000000001</v>
      </c>
      <c r="E15" s="406">
        <f>'Beta Calc'!L15</f>
        <v>0</v>
      </c>
      <c r="F15" s="406">
        <f>'Beta Calc'!M15</f>
        <v>0</v>
      </c>
      <c r="G15" s="406">
        <f>'Beta Calc'!N15</f>
        <v>0</v>
      </c>
      <c r="H15" s="406">
        <f t="shared" si="7"/>
        <v>0</v>
      </c>
      <c r="I15" s="406">
        <f t="shared" si="8"/>
        <v>349.61295000000001</v>
      </c>
      <c r="J15" s="406">
        <f>'Beta Calc'!Q15</f>
        <v>122.194</v>
      </c>
      <c r="K15" s="406">
        <f t="shared" si="9"/>
        <v>227.41895</v>
      </c>
      <c r="M15" s="56">
        <f>IFERROR('Capital IQ Sheet-GPC'!AT18,"n/a")</f>
        <v>0</v>
      </c>
      <c r="N15" s="406">
        <f t="shared" si="0"/>
        <v>4.0027397260273974</v>
      </c>
      <c r="O15" s="214">
        <f t="shared" si="0"/>
        <v>2.6801369863013701E-2</v>
      </c>
      <c r="P15" s="215"/>
      <c r="Q15" s="216">
        <f>IFERROR(HLOOKUP($Q$6,'Equity Vol'!$B$8:$K15,ROWS('Equity Vol'!$C$8:$C15),FALSE),"n/a")</f>
        <v>0.95360103062997992</v>
      </c>
      <c r="R15" s="45"/>
      <c r="S15" s="217">
        <f t="shared" si="10"/>
        <v>0.90935492561855991</v>
      </c>
      <c r="T15" s="217">
        <f t="shared" si="1"/>
        <v>0</v>
      </c>
      <c r="U15" s="218">
        <f t="shared" si="2"/>
        <v>0</v>
      </c>
      <c r="V15" s="218">
        <f t="shared" si="3"/>
        <v>0</v>
      </c>
      <c r="W15" s="218">
        <f t="shared" si="4"/>
        <v>0</v>
      </c>
      <c r="X15" s="92">
        <f t="shared" si="5"/>
        <v>0</v>
      </c>
      <c r="Y15" s="216">
        <f t="shared" si="11"/>
        <v>0.95360103062997992</v>
      </c>
      <c r="AA15" s="93" t="str">
        <f>IF('MASTER PubCo Inputs'!B33=0,"",'MASTER PubCo Inputs'!B33)</f>
        <v>NasdaqGS:MCRB</v>
      </c>
      <c r="AB15" s="406">
        <f>'Beta Calc'!Z15</f>
        <v>227.41893999999999</v>
      </c>
      <c r="AC15" s="94">
        <f t="shared" si="6"/>
        <v>1.0000000003174137E-5</v>
      </c>
      <c r="AI15" s="95"/>
    </row>
    <row r="16" spans="2:35" ht="12.75" customHeight="1">
      <c r="B16" s="405" t="str">
        <f>'Comp.1'!B18</f>
        <v>CohBar, Inc.</v>
      </c>
      <c r="D16" s="406">
        <f>'Beta Calc'!K16</f>
        <v>211.81835000000001</v>
      </c>
      <c r="E16" s="406">
        <f>'Beta Calc'!L16</f>
        <v>1.40126</v>
      </c>
      <c r="F16" s="406">
        <f>'Beta Calc'!M16</f>
        <v>0</v>
      </c>
      <c r="G16" s="406">
        <f>'Beta Calc'!N16</f>
        <v>0</v>
      </c>
      <c r="H16" s="406">
        <f t="shared" si="7"/>
        <v>1.40126</v>
      </c>
      <c r="I16" s="406">
        <f t="shared" si="8"/>
        <v>213.21961000000002</v>
      </c>
      <c r="J16" s="406">
        <f>'Beta Calc'!Q16</f>
        <v>8.4566599999999994</v>
      </c>
      <c r="K16" s="406">
        <f t="shared" si="9"/>
        <v>204.76295000000002</v>
      </c>
      <c r="M16" s="56">
        <f>IFERROR('Capital IQ Sheet-GPC'!AT19,"n/a")</f>
        <v>0</v>
      </c>
      <c r="N16" s="406">
        <f t="shared" si="0"/>
        <v>4.0027397260273974</v>
      </c>
      <c r="O16" s="214">
        <f t="shared" si="0"/>
        <v>2.6801369863013701E-2</v>
      </c>
      <c r="P16" s="215"/>
      <c r="Q16" s="216">
        <f>IFERROR(HLOOKUP($Q$6,'Equity Vol'!$B$8:$K16,ROWS('Equity Vol'!$C$8:$C16),FALSE),"n/a")</f>
        <v>0.89467871227668438</v>
      </c>
      <c r="R16" s="45"/>
      <c r="S16" s="217">
        <f t="shared" si="10"/>
        <v>0.80044999820106622</v>
      </c>
      <c r="T16" s="217">
        <f t="shared" si="1"/>
        <v>3.7395912356955208</v>
      </c>
      <c r="U16" s="218">
        <f t="shared" si="2"/>
        <v>1.9496211223981041</v>
      </c>
      <c r="V16" s="218">
        <f t="shared" si="3"/>
        <v>0.9999078401296112</v>
      </c>
      <c r="W16" s="218">
        <f t="shared" si="4"/>
        <v>0.97438935303667917</v>
      </c>
      <c r="X16" s="92">
        <f t="shared" si="5"/>
        <v>203.51759865948785</v>
      </c>
      <c r="Y16" s="216">
        <f t="shared" si="11"/>
        <v>0.88931930983622365</v>
      </c>
      <c r="AA16" s="93" t="str">
        <f>IF('MASTER PubCo Inputs'!B34=0,"",'MASTER PubCo Inputs'!B34)</f>
        <v>TSXV:COB.U</v>
      </c>
      <c r="AB16" s="406">
        <f>'Beta Calc'!Z16</f>
        <v>204.76295999999999</v>
      </c>
      <c r="AC16" s="94">
        <f t="shared" si="6"/>
        <v>-9.9999999747524271E-6</v>
      </c>
      <c r="AI16" s="95"/>
    </row>
    <row r="17" spans="2:35" ht="12.75" customHeight="1">
      <c r="B17" s="405" t="str">
        <f>'Comp.1'!B19</f>
        <v>VIVUS, Inc.</v>
      </c>
      <c r="D17" s="406">
        <f>'Beta Calc'!K17</f>
        <v>74.768140000000002</v>
      </c>
      <c r="E17" s="406">
        <f>'Beta Calc'!L17</f>
        <v>236.50700000000001</v>
      </c>
      <c r="F17" s="406">
        <f>'Beta Calc'!M17</f>
        <v>0</v>
      </c>
      <c r="G17" s="406">
        <f>'Beta Calc'!N17</f>
        <v>0</v>
      </c>
      <c r="H17" s="406">
        <f t="shared" si="7"/>
        <v>236.50700000000001</v>
      </c>
      <c r="I17" s="406">
        <f t="shared" si="8"/>
        <v>311.27514000000002</v>
      </c>
      <c r="J17" s="406">
        <f>'Beta Calc'!Q17</f>
        <v>209.125</v>
      </c>
      <c r="K17" s="406">
        <f t="shared" si="9"/>
        <v>102.15014000000002</v>
      </c>
      <c r="M17" s="56">
        <f>IFERROR('Capital IQ Sheet-GPC'!AT20,"n/a")</f>
        <v>0</v>
      </c>
      <c r="N17" s="406">
        <f t="shared" si="0"/>
        <v>4.0027397260273974</v>
      </c>
      <c r="O17" s="214">
        <f t="shared" si="0"/>
        <v>2.6801369863013701E-2</v>
      </c>
      <c r="P17" s="215"/>
      <c r="Q17" s="216">
        <f>IFERROR(HLOOKUP($Q$6,'Equity Vol'!$B$8:$K17,ROWS('Equity Vol'!$C$8:$C17),FALSE),"n/a")</f>
        <v>0.65477238914194269</v>
      </c>
      <c r="R17" s="45"/>
      <c r="S17" s="217">
        <f t="shared" si="10"/>
        <v>0.42872688158264766</v>
      </c>
      <c r="T17" s="217">
        <f t="shared" si="1"/>
        <v>9.6020236171848017E-2</v>
      </c>
      <c r="U17" s="218">
        <f t="shared" si="2"/>
        <v>-1.2139729395839296</v>
      </c>
      <c r="V17" s="218">
        <f t="shared" si="3"/>
        <v>0.53824774965979283</v>
      </c>
      <c r="W17" s="218">
        <f t="shared" si="4"/>
        <v>0.11237902886931075</v>
      </c>
      <c r="X17" s="92">
        <f t="shared" si="5"/>
        <v>31.107343773664368</v>
      </c>
      <c r="Y17" s="216">
        <f t="shared" si="11"/>
        <v>0.37045213090689488</v>
      </c>
      <c r="AA17" s="93" t="str">
        <f>IF('MASTER PubCo Inputs'!B35=0,"",'MASTER PubCo Inputs'!B35)</f>
        <v>NasdaqGS:VVUS</v>
      </c>
      <c r="AB17" s="406">
        <f>'Beta Calc'!Z17</f>
        <v>102.15013999999999</v>
      </c>
      <c r="AC17" s="94">
        <f t="shared" si="6"/>
        <v>0</v>
      </c>
      <c r="AI17" s="95"/>
    </row>
    <row r="18" spans="2:35" ht="12.75" customHeight="1">
      <c r="B18" s="405" t="str">
        <f>'Comp.1'!B20</f>
        <v>Anavex Life Sciences Corp.</v>
      </c>
      <c r="D18" s="406">
        <f>'Beta Calc'!K18</f>
        <v>117.00936</v>
      </c>
      <c r="E18" s="406">
        <f>'Beta Calc'!L18</f>
        <v>0</v>
      </c>
      <c r="F18" s="406">
        <f>'Beta Calc'!M18</f>
        <v>0</v>
      </c>
      <c r="G18" s="406">
        <f>'Beta Calc'!N18</f>
        <v>0</v>
      </c>
      <c r="H18" s="406">
        <f t="shared" si="7"/>
        <v>0</v>
      </c>
      <c r="I18" s="406">
        <f t="shared" si="8"/>
        <v>117.00936</v>
      </c>
      <c r="J18" s="406">
        <f>'Beta Calc'!Q18</f>
        <v>25.656580000000002</v>
      </c>
      <c r="K18" s="406">
        <f t="shared" si="9"/>
        <v>91.352779999999996</v>
      </c>
      <c r="M18" s="56">
        <f>IFERROR('Capital IQ Sheet-GPC'!AT21,"n/a")</f>
        <v>0</v>
      </c>
      <c r="N18" s="406">
        <f t="shared" si="0"/>
        <v>4.0027397260273974</v>
      </c>
      <c r="O18" s="214">
        <f t="shared" si="0"/>
        <v>2.6801369863013701E-2</v>
      </c>
      <c r="P18" s="215"/>
      <c r="Q18" s="216">
        <f>IFERROR(HLOOKUP($Q$6,'Equity Vol'!$B$8:$K18,ROWS('Equity Vol'!$C$8:$C18),FALSE),"n/a")</f>
        <v>1.026754180763048</v>
      </c>
      <c r="R18" s="45"/>
      <c r="S18" s="217">
        <f t="shared" si="10"/>
        <v>1.0542241477143979</v>
      </c>
      <c r="T18" s="217">
        <f t="shared" si="1"/>
        <v>0</v>
      </c>
      <c r="U18" s="218">
        <f t="shared" si="2"/>
        <v>0</v>
      </c>
      <c r="V18" s="218">
        <f t="shared" si="3"/>
        <v>0</v>
      </c>
      <c r="W18" s="218">
        <f t="shared" si="4"/>
        <v>0</v>
      </c>
      <c r="X18" s="92">
        <f t="shared" si="5"/>
        <v>0</v>
      </c>
      <c r="Y18" s="216">
        <f t="shared" si="11"/>
        <v>1.026754180763048</v>
      </c>
      <c r="AA18" s="93" t="str">
        <f>IF('MASTER PubCo Inputs'!B36=0,"",'MASTER PubCo Inputs'!B36)</f>
        <v>NasdaqCM:AVXL</v>
      </c>
      <c r="AB18" s="406">
        <f>'Beta Calc'!Z18</f>
        <v>91.352779999999996</v>
      </c>
      <c r="AC18" s="94">
        <f t="shared" si="6"/>
        <v>0</v>
      </c>
      <c r="AI18" s="95"/>
    </row>
    <row r="19" spans="2:35" ht="12.75" customHeight="1">
      <c r="B19" s="405" t="str">
        <f>'Comp.1'!B21</f>
        <v>OptiBiotix Health plc</v>
      </c>
      <c r="D19" s="406">
        <f>'Beta Calc'!K19</f>
        <v>72.915899999999993</v>
      </c>
      <c r="E19" s="406">
        <f>'Beta Calc'!L19</f>
        <v>0</v>
      </c>
      <c r="F19" s="406">
        <f>'Beta Calc'!M19</f>
        <v>0</v>
      </c>
      <c r="G19" s="406">
        <f>'Beta Calc'!N19</f>
        <v>0</v>
      </c>
      <c r="H19" s="406">
        <f t="shared" si="7"/>
        <v>0</v>
      </c>
      <c r="I19" s="406">
        <f t="shared" si="8"/>
        <v>72.915899999999993</v>
      </c>
      <c r="J19" s="406">
        <f>'Beta Calc'!Q19</f>
        <v>1.6849400000000001</v>
      </c>
      <c r="K19" s="406">
        <f t="shared" si="9"/>
        <v>71.230959999999996</v>
      </c>
      <c r="M19" s="56">
        <f>IFERROR('Capital IQ Sheet-GPC'!AT22,"n/a")</f>
        <v>0</v>
      </c>
      <c r="N19" s="406">
        <f t="shared" si="0"/>
        <v>4.0027397260273974</v>
      </c>
      <c r="O19" s="214">
        <f t="shared" si="0"/>
        <v>2.6801369863013701E-2</v>
      </c>
      <c r="P19" s="215"/>
      <c r="Q19" s="216">
        <f>IFERROR(HLOOKUP($Q$6,'Equity Vol'!$B$8:$K19,ROWS('Equity Vol'!$C$8:$C19),FALSE),"n/a")</f>
        <v>0.57731598641262194</v>
      </c>
      <c r="R19" s="45"/>
      <c r="S19" s="217">
        <f t="shared" si="10"/>
        <v>0.33329374816757867</v>
      </c>
      <c r="T19" s="217">
        <f t="shared" si="1"/>
        <v>0</v>
      </c>
      <c r="U19" s="218">
        <f t="shared" si="2"/>
        <v>0</v>
      </c>
      <c r="V19" s="218">
        <f t="shared" si="3"/>
        <v>0</v>
      </c>
      <c r="W19" s="218">
        <f t="shared" si="4"/>
        <v>0</v>
      </c>
      <c r="X19" s="92">
        <f t="shared" si="5"/>
        <v>0</v>
      </c>
      <c r="Y19" s="216">
        <f t="shared" si="11"/>
        <v>0.57731598641262194</v>
      </c>
      <c r="AA19" s="93" t="str">
        <f>IF('MASTER PubCo Inputs'!B37=0,"",'MASTER PubCo Inputs'!B37)</f>
        <v>AIM:OPTI</v>
      </c>
      <c r="AB19" s="406">
        <f>'Beta Calc'!Z19</f>
        <v>71.269909999999996</v>
      </c>
      <c r="AC19" s="94">
        <f t="shared" si="6"/>
        <v>-3.8949999999999818E-2</v>
      </c>
      <c r="AI19" s="95"/>
    </row>
    <row r="20" spans="2:35" ht="12.75" customHeight="1">
      <c r="B20" s="405" t="str">
        <f>'Comp.1'!B22</f>
        <v>Soleno Therapeutics, Inc.</v>
      </c>
      <c r="D20" s="406">
        <f>'Beta Calc'!K20</f>
        <v>46.258000000000003</v>
      </c>
      <c r="E20" s="406">
        <f>'Beta Calc'!L20</f>
        <v>0</v>
      </c>
      <c r="F20" s="406">
        <f>'Beta Calc'!M20</f>
        <v>0</v>
      </c>
      <c r="G20" s="406">
        <f>'Beta Calc'!N20</f>
        <v>0</v>
      </c>
      <c r="H20" s="406">
        <f t="shared" si="7"/>
        <v>0</v>
      </c>
      <c r="I20" s="406">
        <f t="shared" si="8"/>
        <v>46.258000000000003</v>
      </c>
      <c r="J20" s="406">
        <f>'Beta Calc'!Q20</f>
        <v>14.866</v>
      </c>
      <c r="K20" s="406">
        <f t="shared" si="9"/>
        <v>31.392000000000003</v>
      </c>
      <c r="M20" s="56">
        <f>IFERROR('Capital IQ Sheet-GPC'!AT23,"n/a")</f>
        <v>0</v>
      </c>
      <c r="N20" s="406">
        <f t="shared" si="0"/>
        <v>4.0027397260273974</v>
      </c>
      <c r="O20" s="214">
        <f t="shared" si="0"/>
        <v>2.6801369863013701E-2</v>
      </c>
      <c r="P20" s="215"/>
      <c r="Q20" s="216">
        <f>IFERROR(HLOOKUP($Q$6,'Equity Vol'!$B$8:$K20,ROWS('Equity Vol'!$C$8:$C20),FALSE),"n/a")</f>
        <v>1.1508768139771337</v>
      </c>
      <c r="R20" s="45"/>
      <c r="S20" s="217">
        <f t="shared" si="10"/>
        <v>1.3245174409501581</v>
      </c>
      <c r="T20" s="217">
        <f t="shared" si="1"/>
        <v>0</v>
      </c>
      <c r="U20" s="218">
        <f t="shared" si="2"/>
        <v>0</v>
      </c>
      <c r="V20" s="218">
        <f t="shared" si="3"/>
        <v>0</v>
      </c>
      <c r="W20" s="218">
        <f t="shared" si="4"/>
        <v>0</v>
      </c>
      <c r="X20" s="92">
        <f t="shared" si="5"/>
        <v>0</v>
      </c>
      <c r="Y20" s="216">
        <f t="shared" si="11"/>
        <v>1.1508768139771337</v>
      </c>
      <c r="AA20" s="93" t="str">
        <f>IF('MASTER PubCo Inputs'!B38=0,"",'MASTER PubCo Inputs'!B38)</f>
        <v>NasdaqCM:SLNO</v>
      </c>
      <c r="AB20" s="406">
        <f>'Beta Calc'!Z20</f>
        <v>31.391999999999999</v>
      </c>
      <c r="AC20" s="94">
        <f t="shared" si="6"/>
        <v>0</v>
      </c>
      <c r="AI20" s="95"/>
    </row>
    <row r="21" spans="2:35" ht="12.75" customHeight="1">
      <c r="B21" s="405" t="str">
        <f>'Comp.1'!B23</f>
        <v>Synthetic Biologics, Inc.</v>
      </c>
      <c r="D21" s="406">
        <f>'Beta Calc'!K21</f>
        <v>30.72748</v>
      </c>
      <c r="E21" s="406">
        <f>'Beta Calc'!L21</f>
        <v>0</v>
      </c>
      <c r="F21" s="406">
        <f>'Beta Calc'!M21</f>
        <v>12.112</v>
      </c>
      <c r="G21" s="406">
        <f>'Beta Calc'!N21</f>
        <v>-1.923</v>
      </c>
      <c r="H21" s="406">
        <f t="shared" si="7"/>
        <v>10.189</v>
      </c>
      <c r="I21" s="406">
        <f t="shared" si="8"/>
        <v>40.91648</v>
      </c>
      <c r="J21" s="406">
        <f>'Beta Calc'!Q21</f>
        <v>11.037000000000001</v>
      </c>
      <c r="K21" s="406">
        <f t="shared" si="9"/>
        <v>29.879480000000001</v>
      </c>
      <c r="M21" s="56">
        <f>IFERROR('Capital IQ Sheet-GPC'!AT24,"n/a")</f>
        <v>0</v>
      </c>
      <c r="N21" s="406">
        <f t="shared" si="0"/>
        <v>4.0027397260273974</v>
      </c>
      <c r="O21" s="214">
        <f t="shared" si="0"/>
        <v>2.6801369863013701E-2</v>
      </c>
      <c r="P21" s="215"/>
      <c r="Q21" s="216">
        <f>IFERROR(HLOOKUP($Q$6,'Equity Vol'!$B$8:$K21,ROWS('Equity Vol'!$C$8:$C21),FALSE),"n/a")</f>
        <v>0.84691152261417069</v>
      </c>
      <c r="R21" s="45"/>
      <c r="S21" s="217">
        <f t="shared" si="10"/>
        <v>0.71725912713665296</v>
      </c>
      <c r="T21" s="217">
        <f t="shared" si="1"/>
        <v>1.5454664118083226</v>
      </c>
      <c r="U21" s="218">
        <f t="shared" si="2"/>
        <v>-0.14893661051122487</v>
      </c>
      <c r="V21" s="218">
        <f t="shared" si="3"/>
        <v>0.93888325638593007</v>
      </c>
      <c r="W21" s="218">
        <f t="shared" si="4"/>
        <v>0.44080182618220398</v>
      </c>
      <c r="X21" s="92">
        <f t="shared" si="5"/>
        <v>24.018893740776516</v>
      </c>
      <c r="Y21" s="216">
        <f t="shared" si="11"/>
        <v>0.72511420547466565</v>
      </c>
      <c r="AA21" s="93" t="str">
        <f>IF('MASTER PubCo Inputs'!B39=0,"",'MASTER PubCo Inputs'!B39)</f>
        <v>AMEX:SYN</v>
      </c>
      <c r="AB21" s="406">
        <f>'Beta Calc'!Z21</f>
        <v>29.879480000000001</v>
      </c>
      <c r="AC21" s="94">
        <f t="shared" si="6"/>
        <v>0</v>
      </c>
      <c r="AI21" s="95"/>
    </row>
    <row r="22" spans="2:35" ht="12.75" customHeight="1">
      <c r="B22" s="405" t="str">
        <f>'Comp.1'!B24</f>
        <v>Nexus BioPharma, Inc.</v>
      </c>
      <c r="D22" s="406">
        <f>'Beta Calc'!K22</f>
        <v>3.8515700000000002</v>
      </c>
      <c r="E22" s="406">
        <f>'Beta Calc'!L22</f>
        <v>0.36752000000000001</v>
      </c>
      <c r="F22" s="406">
        <f>'Beta Calc'!M22</f>
        <v>0</v>
      </c>
      <c r="G22" s="406">
        <f>'Beta Calc'!N22</f>
        <v>0</v>
      </c>
      <c r="H22" s="406">
        <f t="shared" si="7"/>
        <v>0.36752000000000001</v>
      </c>
      <c r="I22" s="406">
        <f t="shared" si="8"/>
        <v>4.2190900000000005</v>
      </c>
      <c r="J22" s="406">
        <f>'Beta Calc'!Q22</f>
        <v>8.43E-3</v>
      </c>
      <c r="K22" s="406">
        <f t="shared" si="9"/>
        <v>4.2106600000000007</v>
      </c>
      <c r="M22" s="56">
        <f>IFERROR('Capital IQ Sheet-GPC'!AT25,"n/a")</f>
        <v>0</v>
      </c>
      <c r="N22" s="406">
        <f t="shared" si="0"/>
        <v>4.0027397260273974</v>
      </c>
      <c r="O22" s="214">
        <f t="shared" si="0"/>
        <v>2.6801369863013701E-2</v>
      </c>
      <c r="P22" s="215"/>
      <c r="Q22" s="216" t="str">
        <f>IFERROR(HLOOKUP($Q$6,'Equity Vol'!$B$8:$K22,ROWS('Equity Vol'!$C$8:$C22),FALSE),"n/a")</f>
        <v>NM</v>
      </c>
      <c r="R22" s="45"/>
      <c r="S22" s="217" t="str">
        <f t="shared" si="10"/>
        <v>n/a</v>
      </c>
      <c r="T22" s="217" t="str">
        <f t="shared" si="1"/>
        <v>n/a</v>
      </c>
      <c r="U22" s="218" t="str">
        <f t="shared" si="2"/>
        <v>n/a</v>
      </c>
      <c r="V22" s="218" t="str">
        <f t="shared" si="3"/>
        <v>n/a</v>
      </c>
      <c r="W22" s="218" t="str">
        <f t="shared" si="4"/>
        <v>n/a</v>
      </c>
      <c r="X22" s="92" t="str">
        <f t="shared" si="5"/>
        <v>n/a</v>
      </c>
      <c r="Y22" s="216" t="str">
        <f t="shared" si="11"/>
        <v>n/a</v>
      </c>
      <c r="AA22" s="93" t="str">
        <f>IF('MASTER PubCo Inputs'!B40=0,"",'MASTER PubCo Inputs'!B40)</f>
        <v>OTCPK:NEXS</v>
      </c>
      <c r="AB22" s="406">
        <f>'Beta Calc'!Z22</f>
        <v>4.2106599999999998</v>
      </c>
      <c r="AC22" s="94">
        <f t="shared" si="6"/>
        <v>0</v>
      </c>
      <c r="AI22" s="95"/>
    </row>
    <row r="23" spans="2:35" ht="12.75" customHeight="1">
      <c r="B23" s="405" t="str">
        <f>'Comp.1'!B25</f>
        <v>Ritter Pharmaceuticals, Inc.</v>
      </c>
      <c r="D23" s="406">
        <f>'Beta Calc'!K23</f>
        <v>12.90047</v>
      </c>
      <c r="E23" s="406">
        <f>'Beta Calc'!L23</f>
        <v>0</v>
      </c>
      <c r="F23" s="406">
        <f>'Beta Calc'!M23</f>
        <v>4.9489799999999997</v>
      </c>
      <c r="G23" s="406">
        <f>'Beta Calc'!N23</f>
        <v>0</v>
      </c>
      <c r="H23" s="406">
        <f t="shared" si="7"/>
        <v>4.9489799999999997</v>
      </c>
      <c r="I23" s="406">
        <f t="shared" si="8"/>
        <v>17.849450000000001</v>
      </c>
      <c r="J23" s="406">
        <f>'Beta Calc'!Q23</f>
        <v>18.91704</v>
      </c>
      <c r="K23" s="406">
        <f t="shared" si="9"/>
        <v>-1.0675899999999992</v>
      </c>
      <c r="M23" s="56">
        <f>IFERROR('Capital IQ Sheet-GPC'!AT26,"n/a")</f>
        <v>0</v>
      </c>
      <c r="N23" s="406">
        <f t="shared" si="0"/>
        <v>4.0027397260273974</v>
      </c>
      <c r="O23" s="214">
        <f t="shared" si="0"/>
        <v>2.6801369863013701E-2</v>
      </c>
      <c r="P23" s="215"/>
      <c r="Q23" s="216">
        <f>IFERROR(HLOOKUP($Q$6,'Equity Vol'!$B$8:$K23,ROWS('Equity Vol'!$C$8:$C23),FALSE),"n/a")</f>
        <v>0.88587043357810058</v>
      </c>
      <c r="R23" s="45"/>
      <c r="S23" s="217">
        <f t="shared" si="10"/>
        <v>0.78476642508785188</v>
      </c>
      <c r="T23" s="217" t="e">
        <f t="shared" si="1"/>
        <v>#NUM!</v>
      </c>
      <c r="U23" s="218" t="e">
        <f t="shared" si="2"/>
        <v>#NUM!</v>
      </c>
      <c r="V23" s="218" t="e">
        <f t="shared" si="3"/>
        <v>#NUM!</v>
      </c>
      <c r="W23" s="218" t="e">
        <f t="shared" si="4"/>
        <v>#NUM!</v>
      </c>
      <c r="X23" s="92" t="str">
        <f>IFERROR(IF(OR(K23="n/a",S23="n/a"),"n/a",IF(M23=0,(K23*V23)-((H23*EXP(1)^(-O23*N23))*W23),(K23*(2.718^(-M23*N23))*V23)-(H23*(2.718^(-O23*N23))*W23))),"n/a")</f>
        <v>n/a</v>
      </c>
      <c r="Y23" s="216" t="str">
        <f t="shared" si="11"/>
        <v>n/a</v>
      </c>
      <c r="AA23" s="93" t="str">
        <f>IF('MASTER PubCo Inputs'!B41=0,"",'MASTER PubCo Inputs'!B41)</f>
        <v>NasdaqCM:RTTR</v>
      </c>
      <c r="AB23" s="406">
        <f>'Beta Calc'!Z23</f>
        <v>-1.06759</v>
      </c>
      <c r="AC23" s="94">
        <f t="shared" si="6"/>
        <v>0</v>
      </c>
      <c r="AI23" s="95"/>
    </row>
    <row r="24" spans="2:35" ht="12.75" hidden="1" customHeight="1" outlineLevel="1">
      <c r="D24" s="406"/>
      <c r="E24" s="406"/>
      <c r="F24" s="406"/>
      <c r="G24" s="406"/>
      <c r="H24" s="406"/>
      <c r="I24" s="406"/>
      <c r="J24" s="406"/>
      <c r="K24" s="406"/>
      <c r="M24" s="56"/>
      <c r="N24" s="406"/>
      <c r="O24" s="214"/>
      <c r="P24" s="215"/>
      <c r="Q24" s="216"/>
      <c r="R24" s="45"/>
      <c r="S24" s="217"/>
      <c r="T24" s="217"/>
      <c r="U24" s="218"/>
      <c r="V24" s="218"/>
      <c r="W24" s="218"/>
      <c r="X24" s="406"/>
      <c r="Y24" s="216"/>
      <c r="AA24" s="93"/>
      <c r="AB24" s="406"/>
      <c r="AC24" s="94"/>
      <c r="AI24" s="95"/>
    </row>
    <row r="25" spans="2:35" ht="12.75" hidden="1" customHeight="1" outlineLevel="1">
      <c r="D25" s="406"/>
      <c r="E25" s="406"/>
      <c r="F25" s="406"/>
      <c r="G25" s="406"/>
      <c r="H25" s="406"/>
      <c r="I25" s="406"/>
      <c r="J25" s="406"/>
      <c r="K25" s="406"/>
      <c r="M25" s="56"/>
      <c r="N25" s="406"/>
      <c r="O25" s="214"/>
      <c r="P25" s="215"/>
      <c r="Q25" s="216"/>
      <c r="R25" s="45"/>
      <c r="S25" s="217"/>
      <c r="T25" s="217"/>
      <c r="U25" s="218"/>
      <c r="V25" s="218"/>
      <c r="W25" s="218"/>
      <c r="X25" s="406"/>
      <c r="Y25" s="216"/>
      <c r="AA25" s="93"/>
      <c r="AB25" s="406"/>
      <c r="AC25" s="94"/>
      <c r="AI25" s="95"/>
    </row>
    <row r="26" spans="2:35" ht="12.75" hidden="1" customHeight="1" outlineLevel="1">
      <c r="D26" s="406"/>
      <c r="E26" s="406"/>
      <c r="F26" s="406"/>
      <c r="G26" s="406"/>
      <c r="H26" s="406"/>
      <c r="I26" s="406"/>
      <c r="J26" s="406"/>
      <c r="K26" s="406"/>
      <c r="M26" s="56"/>
      <c r="N26" s="406"/>
      <c r="O26" s="214"/>
      <c r="P26" s="215"/>
      <c r="Q26" s="216"/>
      <c r="R26" s="45"/>
      <c r="S26" s="217"/>
      <c r="T26" s="217"/>
      <c r="U26" s="218"/>
      <c r="V26" s="218"/>
      <c r="W26" s="218"/>
      <c r="X26" s="406"/>
      <c r="Y26" s="216"/>
      <c r="AA26" s="93"/>
      <c r="AB26" s="406"/>
      <c r="AC26" s="94"/>
      <c r="AI26" s="95"/>
    </row>
    <row r="27" spans="2:35" ht="12.75" hidden="1" customHeight="1" outlineLevel="1">
      <c r="D27" s="406"/>
      <c r="E27" s="406"/>
      <c r="F27" s="406"/>
      <c r="G27" s="406"/>
      <c r="H27" s="406"/>
      <c r="I27" s="406"/>
      <c r="J27" s="406"/>
      <c r="K27" s="406"/>
      <c r="M27" s="56"/>
      <c r="N27" s="406"/>
      <c r="O27" s="214"/>
      <c r="P27" s="215"/>
      <c r="Q27" s="216"/>
      <c r="R27" s="45"/>
      <c r="S27" s="217"/>
      <c r="T27" s="217"/>
      <c r="U27" s="218"/>
      <c r="V27" s="218"/>
      <c r="W27" s="218"/>
      <c r="X27" s="406"/>
      <c r="Y27" s="216"/>
      <c r="AA27" s="93"/>
      <c r="AB27" s="406"/>
      <c r="AC27" s="94"/>
      <c r="AI27" s="95"/>
    </row>
    <row r="28" spans="2:35" ht="12.75" hidden="1" customHeight="1" outlineLevel="1">
      <c r="D28" s="406"/>
      <c r="E28" s="406"/>
      <c r="F28" s="406"/>
      <c r="G28" s="406"/>
      <c r="H28" s="406"/>
      <c r="I28" s="406"/>
      <c r="J28" s="406"/>
      <c r="K28" s="406"/>
      <c r="M28" s="56"/>
      <c r="N28" s="406"/>
      <c r="O28" s="214"/>
      <c r="P28" s="215"/>
      <c r="Q28" s="216"/>
      <c r="R28" s="45"/>
      <c r="S28" s="217"/>
      <c r="T28" s="217"/>
      <c r="U28" s="218"/>
      <c r="V28" s="218"/>
      <c r="W28" s="218"/>
      <c r="X28" s="406"/>
      <c r="Y28" s="216"/>
      <c r="AA28" s="93"/>
      <c r="AB28" s="406"/>
      <c r="AC28" s="94"/>
      <c r="AI28" s="95"/>
    </row>
    <row r="29" spans="2:35" ht="12.75" hidden="1" customHeight="1" outlineLevel="1">
      <c r="D29" s="406"/>
      <c r="E29" s="406"/>
      <c r="F29" s="406"/>
      <c r="G29" s="406"/>
      <c r="H29" s="406"/>
      <c r="I29" s="406"/>
      <c r="J29" s="406"/>
      <c r="K29" s="406"/>
      <c r="M29" s="56"/>
      <c r="N29" s="406"/>
      <c r="O29" s="214"/>
      <c r="P29" s="215"/>
      <c r="Q29" s="216"/>
      <c r="R29" s="45"/>
      <c r="S29" s="217"/>
      <c r="T29" s="217"/>
      <c r="U29" s="218"/>
      <c r="V29" s="218"/>
      <c r="W29" s="218"/>
      <c r="X29" s="406"/>
      <c r="Y29" s="216"/>
      <c r="AA29" s="93"/>
      <c r="AB29" s="406"/>
      <c r="AC29" s="94"/>
      <c r="AI29" s="95"/>
    </row>
    <row r="30" spans="2:35" ht="12.75" hidden="1" customHeight="1" outlineLevel="1">
      <c r="D30" s="406"/>
      <c r="E30" s="406"/>
      <c r="F30" s="406"/>
      <c r="G30" s="406"/>
      <c r="H30" s="406"/>
      <c r="I30" s="406"/>
      <c r="J30" s="406"/>
      <c r="K30" s="406"/>
      <c r="M30" s="56"/>
      <c r="N30" s="406"/>
      <c r="O30" s="214"/>
      <c r="P30" s="215"/>
      <c r="Q30" s="216"/>
      <c r="R30" s="45"/>
      <c r="S30" s="217"/>
      <c r="T30" s="217"/>
      <c r="U30" s="218"/>
      <c r="V30" s="218"/>
      <c r="W30" s="218"/>
      <c r="X30" s="406"/>
      <c r="Y30" s="216"/>
      <c r="AA30" s="93"/>
      <c r="AB30" s="406"/>
      <c r="AC30" s="94"/>
      <c r="AI30" s="95"/>
    </row>
    <row r="31" spans="2:35" ht="12.75" hidden="1" customHeight="1" outlineLevel="1">
      <c r="D31" s="406"/>
      <c r="E31" s="406"/>
      <c r="F31" s="406"/>
      <c r="G31" s="406"/>
      <c r="H31" s="406"/>
      <c r="I31" s="406"/>
      <c r="J31" s="406"/>
      <c r="K31" s="406"/>
      <c r="M31" s="56"/>
      <c r="N31" s="406"/>
      <c r="O31" s="214"/>
      <c r="P31" s="215"/>
      <c r="Q31" s="216"/>
      <c r="R31" s="45"/>
      <c r="S31" s="217"/>
      <c r="T31" s="217"/>
      <c r="U31" s="218"/>
      <c r="V31" s="218"/>
      <c r="W31" s="218"/>
      <c r="X31" s="406"/>
      <c r="Y31" s="216"/>
      <c r="AA31" s="93"/>
      <c r="AB31" s="406"/>
      <c r="AC31" s="94"/>
      <c r="AI31" s="95"/>
    </row>
    <row r="32" spans="2:35" ht="12.75" hidden="1" customHeight="1" outlineLevel="1">
      <c r="D32" s="406"/>
      <c r="E32" s="406"/>
      <c r="F32" s="406"/>
      <c r="G32" s="406"/>
      <c r="H32" s="406"/>
      <c r="I32" s="406"/>
      <c r="J32" s="406"/>
      <c r="K32" s="406"/>
      <c r="M32" s="56"/>
      <c r="N32" s="406"/>
      <c r="O32" s="214"/>
      <c r="P32" s="215"/>
      <c r="Q32" s="216"/>
      <c r="R32" s="45"/>
      <c r="S32" s="217"/>
      <c r="T32" s="217"/>
      <c r="U32" s="218"/>
      <c r="V32" s="218"/>
      <c r="W32" s="218"/>
      <c r="X32" s="406"/>
      <c r="Y32" s="216"/>
      <c r="AA32" s="93"/>
      <c r="AB32" s="406"/>
      <c r="AC32" s="94"/>
      <c r="AI32" s="95"/>
    </row>
    <row r="33" spans="2:35" ht="12.75" hidden="1" customHeight="1" outlineLevel="1">
      <c r="D33" s="406"/>
      <c r="E33" s="406"/>
      <c r="F33" s="406"/>
      <c r="G33" s="406"/>
      <c r="H33" s="406"/>
      <c r="I33" s="406"/>
      <c r="J33" s="406"/>
      <c r="K33" s="406"/>
      <c r="M33" s="56"/>
      <c r="N33" s="406"/>
      <c r="O33" s="214"/>
      <c r="P33" s="215"/>
      <c r="Q33" s="216"/>
      <c r="R33" s="45"/>
      <c r="S33" s="217"/>
      <c r="T33" s="217"/>
      <c r="U33" s="218"/>
      <c r="V33" s="218"/>
      <c r="W33" s="218"/>
      <c r="X33" s="406"/>
      <c r="Y33" s="216"/>
      <c r="AA33" s="93"/>
      <c r="AB33" s="406"/>
      <c r="AC33" s="94"/>
      <c r="AI33" s="95"/>
    </row>
    <row r="34" spans="2:35" ht="12.75" hidden="1" customHeight="1" outlineLevel="1">
      <c r="D34" s="406"/>
      <c r="E34" s="406"/>
      <c r="F34" s="406"/>
      <c r="G34" s="406"/>
      <c r="H34" s="406"/>
      <c r="I34" s="406"/>
      <c r="J34" s="406"/>
      <c r="K34" s="406"/>
      <c r="M34" s="56"/>
      <c r="N34" s="406"/>
      <c r="O34" s="214"/>
      <c r="P34" s="215"/>
      <c r="Q34" s="216"/>
      <c r="R34" s="45"/>
      <c r="S34" s="217"/>
      <c r="T34" s="217"/>
      <c r="U34" s="218"/>
      <c r="V34" s="218"/>
      <c r="W34" s="218"/>
      <c r="X34" s="406"/>
      <c r="Y34" s="216"/>
      <c r="AA34" s="93"/>
      <c r="AB34" s="406"/>
      <c r="AC34" s="94"/>
      <c r="AI34" s="95"/>
    </row>
    <row r="35" spans="2:35" ht="12.75" hidden="1" customHeight="1" outlineLevel="1">
      <c r="D35" s="406"/>
      <c r="E35" s="406"/>
      <c r="F35" s="406"/>
      <c r="G35" s="406"/>
      <c r="H35" s="406"/>
      <c r="I35" s="406"/>
      <c r="J35" s="406"/>
      <c r="K35" s="406"/>
      <c r="M35" s="56"/>
      <c r="N35" s="406"/>
      <c r="O35" s="214"/>
      <c r="P35" s="215"/>
      <c r="Q35" s="216"/>
      <c r="R35" s="45"/>
      <c r="S35" s="217"/>
      <c r="T35" s="217"/>
      <c r="U35" s="218"/>
      <c r="V35" s="218"/>
      <c r="W35" s="218"/>
      <c r="X35" s="406"/>
      <c r="Y35" s="216"/>
      <c r="AA35" s="93"/>
      <c r="AB35" s="406"/>
      <c r="AC35" s="94"/>
      <c r="AI35" s="95"/>
    </row>
    <row r="36" spans="2:35" ht="12.75" hidden="1" customHeight="1" outlineLevel="1">
      <c r="D36" s="406"/>
      <c r="E36" s="406"/>
      <c r="F36" s="406"/>
      <c r="G36" s="406"/>
      <c r="H36" s="406"/>
      <c r="I36" s="406"/>
      <c r="J36" s="406"/>
      <c r="K36" s="406"/>
      <c r="M36" s="56"/>
      <c r="N36" s="406"/>
      <c r="O36" s="214"/>
      <c r="P36" s="215"/>
      <c r="Q36" s="216"/>
      <c r="R36" s="45"/>
      <c r="S36" s="217"/>
      <c r="T36" s="217"/>
      <c r="U36" s="218"/>
      <c r="V36" s="218"/>
      <c r="W36" s="218"/>
      <c r="X36" s="406"/>
      <c r="Y36" s="216"/>
      <c r="AA36" s="93"/>
      <c r="AB36" s="406"/>
      <c r="AC36" s="94"/>
      <c r="AI36" s="95"/>
    </row>
    <row r="37" spans="2:35" ht="12.75" hidden="1" customHeight="1" outlineLevel="1">
      <c r="D37" s="406"/>
      <c r="E37" s="406"/>
      <c r="F37" s="406"/>
      <c r="G37" s="406"/>
      <c r="H37" s="406"/>
      <c r="I37" s="406"/>
      <c r="J37" s="406"/>
      <c r="K37" s="406"/>
      <c r="M37" s="56"/>
      <c r="N37" s="406"/>
      <c r="O37" s="214"/>
      <c r="P37" s="215"/>
      <c r="Q37" s="216"/>
      <c r="R37" s="45"/>
      <c r="S37" s="217"/>
      <c r="T37" s="217"/>
      <c r="U37" s="218"/>
      <c r="V37" s="218"/>
      <c r="W37" s="218"/>
      <c r="X37" s="406"/>
      <c r="Y37" s="216"/>
      <c r="AA37" s="93"/>
      <c r="AB37" s="406"/>
      <c r="AC37" s="94"/>
      <c r="AI37" s="95"/>
    </row>
    <row r="38" spans="2:35" ht="12.75" hidden="1" customHeight="1" outlineLevel="1">
      <c r="D38" s="406"/>
      <c r="E38" s="406"/>
      <c r="F38" s="406"/>
      <c r="G38" s="406"/>
      <c r="H38" s="406"/>
      <c r="I38" s="406"/>
      <c r="J38" s="406"/>
      <c r="K38" s="406"/>
      <c r="M38" s="56"/>
      <c r="N38" s="406"/>
      <c r="O38" s="214"/>
      <c r="P38" s="215"/>
      <c r="Q38" s="216"/>
      <c r="R38" s="45"/>
      <c r="S38" s="217"/>
      <c r="T38" s="217"/>
      <c r="U38" s="218"/>
      <c r="V38" s="218"/>
      <c r="W38" s="218"/>
      <c r="X38" s="406"/>
      <c r="Y38" s="216"/>
      <c r="AA38" s="93"/>
      <c r="AB38" s="406"/>
      <c r="AC38" s="94"/>
      <c r="AI38" s="95"/>
    </row>
    <row r="39" spans="2:35" ht="12.75" customHeight="1" collapsed="1">
      <c r="D39" s="406"/>
      <c r="E39" s="406"/>
      <c r="F39" s="406"/>
      <c r="G39" s="406"/>
      <c r="H39" s="406"/>
      <c r="I39" s="406"/>
      <c r="J39" s="406"/>
      <c r="K39" s="406"/>
      <c r="R39" s="21"/>
    </row>
    <row r="40" spans="2:35" ht="12.75" customHeight="1">
      <c r="B40" s="766" t="s">
        <v>111</v>
      </c>
      <c r="C40" s="782"/>
      <c r="D40" s="781">
        <f t="shared" ref="D40:K40" si="12">MAX(D10:D38)</f>
        <v>1906.0925500000001</v>
      </c>
      <c r="E40" s="781">
        <f t="shared" si="12"/>
        <v>236.50700000000001</v>
      </c>
      <c r="F40" s="781">
        <f t="shared" si="12"/>
        <v>12.112</v>
      </c>
      <c r="G40" s="781">
        <f t="shared" si="12"/>
        <v>0</v>
      </c>
      <c r="H40" s="781">
        <f t="shared" si="12"/>
        <v>236.50700000000001</v>
      </c>
      <c r="I40" s="781">
        <f t="shared" si="12"/>
        <v>1906.0925500000001</v>
      </c>
      <c r="J40" s="781">
        <f t="shared" si="12"/>
        <v>298.06299999999999</v>
      </c>
      <c r="K40" s="781">
        <f t="shared" si="12"/>
        <v>1608.0295500000002</v>
      </c>
      <c r="L40" s="782"/>
      <c r="M40" s="786">
        <f>MAX(M10:M38)</f>
        <v>0</v>
      </c>
      <c r="N40" s="781">
        <f>MAX(N10:N38)</f>
        <v>4.0027397260273974</v>
      </c>
      <c r="O40" s="788">
        <f>MAX(O10:O38)</f>
        <v>2.6801369863013701E-2</v>
      </c>
      <c r="P40" s="789"/>
      <c r="Q40" s="790">
        <f>MAX(Q10:Q38)</f>
        <v>1.1508768139771337</v>
      </c>
      <c r="R40" s="791"/>
      <c r="S40" s="792">
        <f>MAX(S10:S39)</f>
        <v>1.3245174409501581</v>
      </c>
      <c r="T40" s="792" t="e">
        <f>MAX(T10:T39)</f>
        <v>#NUM!</v>
      </c>
      <c r="U40" s="793" t="e">
        <f>MAX(U10:U39)</f>
        <v>#NUM!</v>
      </c>
      <c r="V40" s="793" t="e">
        <f>MAX(V10:V39)</f>
        <v>#NUM!</v>
      </c>
      <c r="W40" s="793" t="e">
        <f>MAX(W10:W39)</f>
        <v>#NUM!</v>
      </c>
      <c r="X40" s="781">
        <f>MAX(X10:X38)</f>
        <v>280.85061764299166</v>
      </c>
      <c r="Y40" s="794">
        <f>MAX(Y10:Y38)</f>
        <v>1.1508768139771337</v>
      </c>
      <c r="AB40" s="825">
        <f>+'Asset Vol_M&amp;A Phase I'!Y47</f>
        <v>0.74099999999999999</v>
      </c>
      <c r="AC40" s="826" t="s">
        <v>1216</v>
      </c>
      <c r="AD40" s="826"/>
      <c r="AE40" s="826"/>
      <c r="AF40" s="803"/>
    </row>
    <row r="41" spans="2:35" ht="12.75" customHeight="1">
      <c r="B41" s="366" t="s">
        <v>115</v>
      </c>
      <c r="C41" s="79"/>
      <c r="D41" s="101">
        <f t="shared" ref="D41:K41" si="13">QUARTILE(D10:D38,3)</f>
        <v>564.60603750000007</v>
      </c>
      <c r="E41" s="101">
        <f t="shared" si="13"/>
        <v>0.27564</v>
      </c>
      <c r="F41" s="101">
        <f t="shared" si="13"/>
        <v>0</v>
      </c>
      <c r="G41" s="101">
        <f t="shared" si="13"/>
        <v>0</v>
      </c>
      <c r="H41" s="101">
        <f t="shared" si="13"/>
        <v>4.0620500000000002</v>
      </c>
      <c r="I41" s="101">
        <f t="shared" si="13"/>
        <v>569.64603750000003</v>
      </c>
      <c r="J41" s="101">
        <f t="shared" si="13"/>
        <v>132.88825</v>
      </c>
      <c r="K41" s="101">
        <f t="shared" si="13"/>
        <v>383.73003750000009</v>
      </c>
      <c r="L41" s="79"/>
      <c r="M41" s="143">
        <f>QUARTILE(M10:M38,3)</f>
        <v>0</v>
      </c>
      <c r="N41" s="101">
        <f>QUARTILE(N10:N38,3)</f>
        <v>4.0027397260273974</v>
      </c>
      <c r="O41" s="219">
        <f>QUARTILE(O10:O38,3)</f>
        <v>2.6801369863013701E-2</v>
      </c>
      <c r="P41" s="220"/>
      <c r="Q41" s="221">
        <f>QUARTILE(Q10:Q38,3)</f>
        <v>0.9702908211274579</v>
      </c>
      <c r="R41" s="222"/>
      <c r="S41" s="223">
        <f>QUARTILE(S10:S39,3)</f>
        <v>0.94229992488474568</v>
      </c>
      <c r="T41" s="223" t="e">
        <f>QUARTILE(T10:T39,3)</f>
        <v>#NUM!</v>
      </c>
      <c r="U41" s="224" t="e">
        <f>QUARTILE(U10:U39,3)</f>
        <v>#NUM!</v>
      </c>
      <c r="V41" s="224" t="e">
        <f>QUARTILE(V10:V39,3)</f>
        <v>#NUM!</v>
      </c>
      <c r="W41" s="224" t="e">
        <f>QUARTILE(W10:W39,3)</f>
        <v>#NUM!</v>
      </c>
      <c r="X41" s="101">
        <f>QUARTILE(X10:X38,3)</f>
        <v>27.563118757220444</v>
      </c>
      <c r="Y41" s="225">
        <f>QUARTILE(Y10:Y38,3)</f>
        <v>0.96690285681570165</v>
      </c>
      <c r="AB41" s="827">
        <f>+'Asset Vol_M&amp;A Phase I'!Y49</f>
        <v>0.74070670824763085</v>
      </c>
      <c r="AC41" s="16" t="s">
        <v>1217</v>
      </c>
      <c r="AD41" s="16"/>
      <c r="AE41" s="16"/>
      <c r="AF41" s="204"/>
    </row>
    <row r="42" spans="2:35" ht="12.75" customHeight="1">
      <c r="B42" s="366" t="s">
        <v>113</v>
      </c>
      <c r="C42" s="79"/>
      <c r="D42" s="101">
        <f t="shared" ref="D42:K42" si="14">AVERAGE(D10:D38)</f>
        <v>406.69437642857145</v>
      </c>
      <c r="E42" s="101">
        <f t="shared" si="14"/>
        <v>18.459698571428572</v>
      </c>
      <c r="F42" s="101">
        <f t="shared" si="14"/>
        <v>1.2186414285714287</v>
      </c>
      <c r="G42" s="101">
        <f t="shared" si="14"/>
        <v>-0.13735714285714287</v>
      </c>
      <c r="H42" s="101">
        <f t="shared" si="14"/>
        <v>19.540982857142861</v>
      </c>
      <c r="I42" s="101">
        <f t="shared" si="14"/>
        <v>426.23535928571425</v>
      </c>
      <c r="J42" s="101">
        <f t="shared" si="14"/>
        <v>90.206330714285741</v>
      </c>
      <c r="K42" s="101">
        <f t="shared" si="14"/>
        <v>336.02902857142857</v>
      </c>
      <c r="L42" s="79"/>
      <c r="M42" s="143">
        <f>AVERAGE(M10:M38)</f>
        <v>0</v>
      </c>
      <c r="N42" s="101">
        <f>AVERAGE(N10:N38)</f>
        <v>4.0027397260273982</v>
      </c>
      <c r="O42" s="219">
        <f>AVERAGE(O10:O38)</f>
        <v>2.6801369863013697E-2</v>
      </c>
      <c r="P42" s="220"/>
      <c r="Q42" s="221">
        <f>AVERAGE(Q10:Q38)</f>
        <v>0.83374079923202127</v>
      </c>
      <c r="R42" s="222"/>
      <c r="S42" s="223">
        <f>AVERAGE(S10:S39)</f>
        <v>0.72739839116331462</v>
      </c>
      <c r="T42" s="223" t="e">
        <f>AVERAGE(T10:T39)</f>
        <v>#NUM!</v>
      </c>
      <c r="U42" s="224" t="e">
        <f>AVERAGE(U10:U39)</f>
        <v>#NUM!</v>
      </c>
      <c r="V42" s="224" t="e">
        <f>AVERAGE(V10:V39)</f>
        <v>#NUM!</v>
      </c>
      <c r="W42" s="224" t="e">
        <f>AVERAGE(W10:W39)</f>
        <v>#NUM!</v>
      </c>
      <c r="X42" s="101">
        <f>AVERAGE(X10:X38)</f>
        <v>49.044950346992771</v>
      </c>
      <c r="Y42" s="225">
        <f>AVERAGE(Y10:Y38)</f>
        <v>0.78794424270660668</v>
      </c>
      <c r="AB42" s="827">
        <f>+'Asset Vol_M&amp;A Phase I'!Y43</f>
        <v>0.74099767206184253</v>
      </c>
      <c r="AC42" s="16" t="s">
        <v>1215</v>
      </c>
      <c r="AD42" s="16"/>
      <c r="AE42" s="16"/>
      <c r="AF42" s="828" t="s">
        <v>1352</v>
      </c>
    </row>
    <row r="43" spans="2:35" ht="12.75" customHeight="1">
      <c r="B43" s="366" t="s">
        <v>44</v>
      </c>
      <c r="C43" s="79"/>
      <c r="D43" s="101">
        <f t="shared" ref="D43:K43" si="15">MEDIAN(D10:D38)</f>
        <v>164.41385500000001</v>
      </c>
      <c r="E43" s="101">
        <f t="shared" si="15"/>
        <v>0</v>
      </c>
      <c r="F43" s="101">
        <f t="shared" si="15"/>
        <v>0</v>
      </c>
      <c r="G43" s="101">
        <f t="shared" si="15"/>
        <v>0</v>
      </c>
      <c r="H43" s="101">
        <f t="shared" si="15"/>
        <v>0</v>
      </c>
      <c r="I43" s="101">
        <f t="shared" si="15"/>
        <v>262.24737500000003</v>
      </c>
      <c r="J43" s="101">
        <f t="shared" si="15"/>
        <v>57.363289999999992</v>
      </c>
      <c r="K43" s="101">
        <f t="shared" si="15"/>
        <v>153.45654500000001</v>
      </c>
      <c r="L43" s="79"/>
      <c r="M43" s="143">
        <f>MEDIAN(M10:M38)</f>
        <v>0</v>
      </c>
      <c r="N43" s="101">
        <f>MEDIAN(N10:N38)</f>
        <v>4.0027397260273974</v>
      </c>
      <c r="O43" s="219">
        <f>MEDIAN(O10:O38)</f>
        <v>2.6801369863013701E-2</v>
      </c>
      <c r="P43" s="220"/>
      <c r="Q43" s="221">
        <f>MEDIAN(Q10:Q38)</f>
        <v>0.86639097809613563</v>
      </c>
      <c r="R43" s="222"/>
      <c r="S43" s="223">
        <f>MEDIAN(S10:S39)</f>
        <v>0.75101277611225248</v>
      </c>
      <c r="T43" s="223" t="e">
        <f>MEDIAN(T10:T39)</f>
        <v>#NUM!</v>
      </c>
      <c r="U43" s="224" t="e">
        <f>MEDIAN(U10:U39)</f>
        <v>#NUM!</v>
      </c>
      <c r="V43" s="224" t="e">
        <f>MEDIAN(V10:V39)</f>
        <v>#NUM!</v>
      </c>
      <c r="W43" s="224" t="e">
        <f>MEDIAN(W10:W39)</f>
        <v>#NUM!</v>
      </c>
      <c r="X43" s="101">
        <f>MEDIAN(X10:X38)</f>
        <v>0</v>
      </c>
      <c r="Y43" s="225">
        <f>MEDIAN(Y10:Y38)</f>
        <v>0.74099767206184253</v>
      </c>
      <c r="AB43" s="829" t="str">
        <f>IF(ROUND(AB40,3)=ROUND(AB42,3),"","Update Volatility - OPM")</f>
        <v/>
      </c>
      <c r="AC43" s="16"/>
      <c r="AD43" s="16"/>
      <c r="AE43" s="16"/>
      <c r="AF43" s="204"/>
    </row>
    <row r="44" spans="2:35" ht="12.75" customHeight="1">
      <c r="B44" s="366" t="s">
        <v>114</v>
      </c>
      <c r="C44" s="79"/>
      <c r="D44" s="101">
        <f t="shared" ref="D44:K44" si="16">QUARTILE(D10:D38,1)</f>
        <v>52.922474999999999</v>
      </c>
      <c r="E44" s="101">
        <f t="shared" si="16"/>
        <v>0</v>
      </c>
      <c r="F44" s="101">
        <f t="shared" si="16"/>
        <v>0</v>
      </c>
      <c r="G44" s="101">
        <f t="shared" si="16"/>
        <v>0</v>
      </c>
      <c r="H44" s="101">
        <f t="shared" si="16"/>
        <v>0</v>
      </c>
      <c r="I44" s="101">
        <f t="shared" si="16"/>
        <v>52.922474999999999</v>
      </c>
      <c r="J44" s="101">
        <f t="shared" si="16"/>
        <v>11.994250000000001</v>
      </c>
      <c r="K44" s="101">
        <f t="shared" si="16"/>
        <v>41.351739999999999</v>
      </c>
      <c r="L44" s="79"/>
      <c r="M44" s="143">
        <f>QUARTILE(M10:M38,1)</f>
        <v>0</v>
      </c>
      <c r="N44" s="101">
        <f>QUARTILE(N10:N38,1)</f>
        <v>4.0027397260273974</v>
      </c>
      <c r="O44" s="219">
        <f>QUARTILE(O10:O38,1)</f>
        <v>2.6801369863013701E-2</v>
      </c>
      <c r="P44" s="220"/>
      <c r="Q44" s="221">
        <f>QUARTILE(Q10:Q38,1)</f>
        <v>0.65400612993124951</v>
      </c>
      <c r="R44" s="222"/>
      <c r="S44" s="223">
        <f>QUARTILE(S10:S39,1)</f>
        <v>0.42772577944718432</v>
      </c>
      <c r="T44" s="223" t="e">
        <f>QUARTILE(T10:T39,1)</f>
        <v>#NUM!</v>
      </c>
      <c r="U44" s="224" t="e">
        <f>QUARTILE(U10:U39,1)</f>
        <v>#NUM!</v>
      </c>
      <c r="V44" s="224" t="e">
        <f>QUARTILE(V10:V39,1)</f>
        <v>#NUM!</v>
      </c>
      <c r="W44" s="224" t="e">
        <f>QUARTILE(W10:W39,1)</f>
        <v>#NUM!</v>
      </c>
      <c r="X44" s="101">
        <f>QUARTILE(X10:X38,1)</f>
        <v>0</v>
      </c>
      <c r="Y44" s="225">
        <f>QUARTILE(Y10:Y38,1)</f>
        <v>0.62637532835441934</v>
      </c>
      <c r="AB44" s="830" t="str">
        <f>IF(ROUND(AB41,3)=ROUND(AB42,3),"","Update Volatility - DLOM")</f>
        <v/>
      </c>
      <c r="AC44" s="5"/>
      <c r="AD44" s="5"/>
      <c r="AE44" s="5"/>
      <c r="AF44" s="448"/>
    </row>
    <row r="45" spans="2:35" ht="12.75" customHeight="1">
      <c r="B45" s="103" t="s">
        <v>112</v>
      </c>
      <c r="C45" s="72"/>
      <c r="D45" s="75">
        <f t="shared" ref="D45:K45" si="17">MIN(D10:D38)</f>
        <v>3.8515700000000002</v>
      </c>
      <c r="E45" s="75">
        <f t="shared" si="17"/>
        <v>0</v>
      </c>
      <c r="F45" s="75">
        <f t="shared" si="17"/>
        <v>0</v>
      </c>
      <c r="G45" s="75">
        <f t="shared" si="17"/>
        <v>-1.923</v>
      </c>
      <c r="H45" s="75">
        <f t="shared" si="17"/>
        <v>0</v>
      </c>
      <c r="I45" s="75">
        <f t="shared" si="17"/>
        <v>4.2190900000000005</v>
      </c>
      <c r="J45" s="75">
        <f t="shared" si="17"/>
        <v>8.43E-3</v>
      </c>
      <c r="K45" s="75">
        <f t="shared" si="17"/>
        <v>-1.0675899999999992</v>
      </c>
      <c r="L45" s="72"/>
      <c r="M45" s="145">
        <f>MIN(M10:M38)</f>
        <v>0</v>
      </c>
      <c r="N45" s="75">
        <f>MIN(N10:N38)</f>
        <v>4.0027397260273974</v>
      </c>
      <c r="O45" s="795">
        <f>MIN(O10:O38)</f>
        <v>2.6801369863013701E-2</v>
      </c>
      <c r="P45" s="796"/>
      <c r="Q45" s="797">
        <f>MIN(Q10:Q38)</f>
        <v>0.57731598641262194</v>
      </c>
      <c r="R45" s="798"/>
      <c r="S45" s="799">
        <f>MIN(S10:S39)</f>
        <v>0.33329374816757867</v>
      </c>
      <c r="T45" s="799" t="e">
        <f>MIN(T10:T39)</f>
        <v>#NUM!</v>
      </c>
      <c r="U45" s="800" t="e">
        <f>MIN(U10:U39)</f>
        <v>#NUM!</v>
      </c>
      <c r="V45" s="800" t="e">
        <f>MIN(V10:V39)</f>
        <v>#NUM!</v>
      </c>
      <c r="W45" s="800" t="e">
        <f>MIN(W10:W39)</f>
        <v>#NUM!</v>
      </c>
      <c r="X45" s="75">
        <f>MIN(X10:X38)</f>
        <v>0</v>
      </c>
      <c r="Y45" s="801">
        <f>MIN(Y10:Y38)</f>
        <v>0.37045213090689488</v>
      </c>
      <c r="AB45" s="515" t="str">
        <f>IF(K47&lt;&gt;K49,"Check","")</f>
        <v/>
      </c>
    </row>
    <row r="46" spans="2:35" ht="12.75" customHeight="1">
      <c r="AB46" s="958" t="str">
        <f>IF(AND(AB43=$AF$44,AB45=$AF$44,AB44=$AF$44),"","Check")</f>
        <v/>
      </c>
    </row>
    <row r="47" spans="2:35" ht="12.75" hidden="1" customHeight="1" outlineLevel="1">
      <c r="B47" s="226" t="str">
        <f>B2</f>
        <v>Kallyope, Inc.</v>
      </c>
      <c r="C47" s="480" t="s">
        <v>209</v>
      </c>
      <c r="D47" s="1753">
        <f>'Val Summ'!D9/1000</f>
        <v>143.33000000000001</v>
      </c>
      <c r="E47" s="1754">
        <f>'Hist BS'!G55/1000</f>
        <v>0</v>
      </c>
      <c r="F47" s="227"/>
      <c r="G47" s="227"/>
      <c r="H47" s="228">
        <f>SUM(E47:G47)</f>
        <v>0</v>
      </c>
      <c r="I47" s="228">
        <f>SUM(D47:G47)</f>
        <v>143.33000000000001</v>
      </c>
      <c r="J47" s="227"/>
      <c r="K47" s="228">
        <f>I47-J47</f>
        <v>143.33000000000001</v>
      </c>
      <c r="L47" s="227"/>
      <c r="M47" s="229">
        <f>'PWERM Waterfall n Allocation'!D13</f>
        <v>0</v>
      </c>
      <c r="N47" s="230">
        <f>N$6</f>
        <v>4.0027397260273974</v>
      </c>
      <c r="O47" s="231">
        <f>O$6</f>
        <v>2.6801369863013701E-2</v>
      </c>
      <c r="P47" s="232"/>
      <c r="Q47" s="233">
        <v>0.74099999999999999</v>
      </c>
      <c r="R47" s="227"/>
      <c r="S47" s="234">
        <f>IF(Q47="n/a","n/a",Q47^2)</f>
        <v>0.54908100000000004</v>
      </c>
      <c r="T47" s="234">
        <f>IF(OR(K47="n/a",S47="n/a"),"n/a",IF(H47=0,0,IF(M47=0,(LN(K47/H47)+((O47+(S47/2))*N47))/((S47*N47)^0.5),(LN(K47/H47)+((O47-M47+(S47/2))*N47))/((S47*N47)^0.5))))</f>
        <v>0</v>
      </c>
      <c r="U47" s="235">
        <f>IF(T47="n/a","n/a",IF(H47=0,0,T47-(S47*N47)^0.5))</f>
        <v>0</v>
      </c>
      <c r="V47" s="235">
        <f>IF(OR(T47="n/a",S47="n/a"),"n/a",IF(H47=0,0,NORMSDIST(T47)))</f>
        <v>0</v>
      </c>
      <c r="W47" s="235">
        <f>IF(OR(U47="n/a",S47="n/a"),"n/a",IF(H47=0,0,NORMSDIST(U47)))</f>
        <v>0</v>
      </c>
      <c r="X47" s="235">
        <f>IF(OR(K47="n/a",S47="n/a"),"n/a",IF(M47=0,(K47*V47)-((H47*EXP(1)^(-O47*N47))*W47),(K47*(2.718^(-M47*N47))*V47)-(H47*(2.718^(-O47*N47))*W47)))</f>
        <v>0</v>
      </c>
      <c r="Y47" s="236">
        <f>IF(LEN(B47)&gt;0,IF(H47=0,Q47,IF(ISERROR(Q47/((K47/X47)*V47)),"n/a",Q47/((K47/X47)*V47))))</f>
        <v>0.74099999999999999</v>
      </c>
    </row>
    <row r="48" spans="2:35" ht="12.75" hidden="1" customHeight="1" outlineLevel="1">
      <c r="C48" s="78"/>
      <c r="D48" s="78"/>
      <c r="E48" s="78"/>
      <c r="F48" s="78"/>
      <c r="G48" s="78"/>
      <c r="H48" s="78"/>
      <c r="I48" s="78"/>
      <c r="J48" s="78"/>
    </row>
    <row r="49" spans="1:25" ht="12.75" customHeight="1" collapsed="1">
      <c r="B49" s="226" t="str">
        <f>B47</f>
        <v>Kallyope, Inc.</v>
      </c>
      <c r="C49" s="480" t="s">
        <v>209</v>
      </c>
      <c r="D49" s="1753">
        <f>D47</f>
        <v>143.33000000000001</v>
      </c>
      <c r="E49" s="1754">
        <f>PWERM!B131/1000+E47</f>
        <v>64.359807910807731</v>
      </c>
      <c r="F49" s="227"/>
      <c r="G49" s="227"/>
      <c r="H49" s="228">
        <f>SUM(E49:G49)</f>
        <v>64.359807910807731</v>
      </c>
      <c r="I49" s="230">
        <f>I47</f>
        <v>143.33000000000001</v>
      </c>
      <c r="J49" s="227"/>
      <c r="K49" s="237">
        <f>K47</f>
        <v>143.33000000000001</v>
      </c>
      <c r="L49" s="227"/>
      <c r="M49" s="238">
        <f>M47</f>
        <v>0</v>
      </c>
      <c r="N49" s="230">
        <f>N$6</f>
        <v>4.0027397260273974</v>
      </c>
      <c r="O49" s="231">
        <f>O$6</f>
        <v>2.6801369863013701E-2</v>
      </c>
      <c r="P49" s="232"/>
      <c r="Q49" s="2518">
        <v>0.879</v>
      </c>
      <c r="R49" s="227"/>
      <c r="S49" s="234">
        <f>IF(Q49="n/a","n/a",Q49^2)</f>
        <v>0.77264100000000002</v>
      </c>
      <c r="T49" s="234">
        <f>IF(OR(K49="n/a",S49="n/a"),"n/a",IF(H49=0,0,IF(M49=0,(LN(K49/H49)+((O49+(S49/2))*N49))/((S49*N49)^0.5),(LN(K49/H49)+((O49-M49+(S49/2))*N49))/((S49*N49)^0.5))))</f>
        <v>1.3955856492631369</v>
      </c>
      <c r="U49" s="235">
        <f>IF(T49="n/a","n/a",IF(H49=0,0,T49-(S49*N49)^0.5))</f>
        <v>-0.36301630247509942</v>
      </c>
      <c r="V49" s="235">
        <f>IF(OR(T49="n/a",S49="n/a"),"n/a",IF(H49=0,0,NORMSDIST(T49)))</f>
        <v>0.9185803467965088</v>
      </c>
      <c r="W49" s="235">
        <f>IF(OR(U49="n/a",S49="n/a"),"n/a",IF(H49=0,0,NORMSDIST(U49)))</f>
        <v>0.35829635312114994</v>
      </c>
      <c r="X49" s="235">
        <f>IF(OR(K49="n/a",S49="n/a"),"n/a",IF(M49=0,(K49*V49)-((H49*EXP(1)^(-O49*N49))*W49),(K49*(2.718^(-M49*N49))*V49)-(H49*(2.718^(-O49*N49))*W49)))</f>
        <v>110.94600103772946</v>
      </c>
      <c r="Y49" s="236">
        <f>IF(LEN(B49)&gt;0,IF(H49=0,Q49,IF(ISERROR(Q49/((K49/X49)*V49)),"n/a",Q49/((K49/X49)*V49))))</f>
        <v>0.74070670824763085</v>
      </c>
    </row>
    <row r="50" spans="1:25" ht="12.75" customHeight="1"/>
    <row r="51" spans="1:25" ht="12.75" customHeight="1">
      <c r="B51" s="8" t="s">
        <v>86</v>
      </c>
    </row>
    <row r="52" spans="1:25" ht="12.75" customHeight="1">
      <c r="A52" s="718" t="s">
        <v>210</v>
      </c>
      <c r="B52" s="17" t="s">
        <v>837</v>
      </c>
    </row>
    <row r="53" spans="1:25" s="78" customFormat="1" ht="12.75" customHeight="1">
      <c r="A53" s="719" t="str">
        <f>C49</f>
        <v>(2)</v>
      </c>
      <c r="B53" s="1752" t="s">
        <v>2578</v>
      </c>
      <c r="P53" s="21"/>
    </row>
    <row r="54" spans="1:25" ht="12.75" customHeight="1"/>
    <row r="55" spans="1:25" ht="12.75" customHeight="1">
      <c r="B55" s="8" t="s">
        <v>116</v>
      </c>
    </row>
    <row r="56" spans="1:25" ht="12.75" customHeight="1"/>
    <row r="57" spans="1:25" ht="12.75" customHeight="1">
      <c r="B57" s="405" t="s">
        <v>1244</v>
      </c>
    </row>
    <row r="58" spans="1:25">
      <c r="B58" s="405" t="s">
        <v>1245</v>
      </c>
    </row>
    <row r="59" spans="1:25">
      <c r="B59" s="405" t="s">
        <v>1246</v>
      </c>
    </row>
    <row r="60" spans="1:25">
      <c r="B60" s="405" t="s">
        <v>1247</v>
      </c>
    </row>
    <row r="61" spans="1:25">
      <c r="B61" s="405" t="s">
        <v>1248</v>
      </c>
    </row>
    <row r="62" spans="1:25">
      <c r="B62" s="405" t="s">
        <v>1249</v>
      </c>
    </row>
    <row r="63" spans="1:25">
      <c r="B63" s="405" t="s">
        <v>1250</v>
      </c>
    </row>
    <row r="65" spans="2:2">
      <c r="B65" s="405" t="s">
        <v>1251</v>
      </c>
    </row>
    <row r="66" spans="2:2">
      <c r="B66" s="405" t="s">
        <v>1252</v>
      </c>
    </row>
    <row r="67" spans="2:2">
      <c r="B67" s="405" t="s">
        <v>1253</v>
      </c>
    </row>
    <row r="68" spans="2:2">
      <c r="B68" s="405" t="s">
        <v>1254</v>
      </c>
    </row>
    <row r="69" spans="2:2">
      <c r="B69" s="405" t="s">
        <v>1255</v>
      </c>
    </row>
    <row r="70" spans="2:2">
      <c r="B70" s="405" t="s">
        <v>1256</v>
      </c>
    </row>
  </sheetData>
  <conditionalFormatting sqref="B10:B38">
    <cfRule type="cellIs" dxfId="522" priority="9" operator="equal">
      <formula>"(Invalid Identifier)"</formula>
    </cfRule>
  </conditionalFormatting>
  <conditionalFormatting sqref="C4:I4">
    <cfRule type="cellIs" dxfId="521" priority="8" stopIfTrue="1" operator="equal">
      <formula>"input"</formula>
    </cfRule>
  </conditionalFormatting>
  <conditionalFormatting sqref="J4">
    <cfRule type="cellIs" dxfId="520" priority="6" stopIfTrue="1" operator="equal">
      <formula>"input"</formula>
    </cfRule>
  </conditionalFormatting>
  <conditionalFormatting sqref="J4">
    <cfRule type="cellIs" dxfId="519" priority="7" stopIfTrue="1" operator="equal">
      <formula>"input"</formula>
    </cfRule>
  </conditionalFormatting>
  <conditionalFormatting sqref="K4:X4">
    <cfRule type="cellIs" dxfId="518" priority="4" stopIfTrue="1" operator="equal">
      <formula>"input"</formula>
    </cfRule>
  </conditionalFormatting>
  <conditionalFormatting sqref="K4:X4">
    <cfRule type="cellIs" dxfId="517" priority="5" stopIfTrue="1" operator="equal">
      <formula>"input"</formula>
    </cfRule>
  </conditionalFormatting>
  <conditionalFormatting sqref="Y4">
    <cfRule type="cellIs" dxfId="516" priority="2" stopIfTrue="1" operator="equal">
      <formula>"input"</formula>
    </cfRule>
  </conditionalFormatting>
  <conditionalFormatting sqref="Y4">
    <cfRule type="cellIs" dxfId="515" priority="3" stopIfTrue="1" operator="equal">
      <formula>"input"</formula>
    </cfRule>
  </conditionalFormatting>
  <conditionalFormatting sqref="B4">
    <cfRule type="cellIs" dxfId="514" priority="1" stopIfTrue="1" operator="equal">
      <formula>"input"</formula>
    </cfRule>
  </conditionalFormatting>
  <pageMargins left="0.5" right="0.5" top="0.5" bottom="0.5" header="0.5" footer="0.5"/>
  <pageSetup scale="74" fitToWidth="0" fitToHeight="0" orientation="landscape" r:id="rId1"/>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AI70"/>
  <sheetViews>
    <sheetView showGridLines="0" view="pageBreakPreview" zoomScaleNormal="100" zoomScaleSheetLayoutView="100" workbookViewId="0"/>
  </sheetViews>
  <sheetFormatPr defaultRowHeight="12.75" outlineLevelRow="1" outlineLevelCol="1"/>
  <cols>
    <col min="1" max="1" width="4.5" style="405" customWidth="1"/>
    <col min="2" max="2" width="42.1640625" style="405" customWidth="1"/>
    <col min="3" max="3" width="2.83203125" style="405" customWidth="1"/>
    <col min="4" max="4" width="12.83203125" style="405" customWidth="1"/>
    <col min="5" max="5" width="10.83203125" style="405" hidden="1" customWidth="1" outlineLevel="1"/>
    <col min="6" max="7" width="9.83203125" style="405" hidden="1" customWidth="1" outlineLevel="1"/>
    <col min="8" max="8" width="12.83203125" style="405" customWidth="1" collapsed="1"/>
    <col min="9" max="11" width="12.83203125" style="405" customWidth="1"/>
    <col min="12" max="12" width="2.83203125" style="405" customWidth="1"/>
    <col min="13" max="15" width="12.83203125" style="405" customWidth="1"/>
    <col min="16" max="16" width="2.83203125" style="21" customWidth="1"/>
    <col min="17" max="17" width="12.83203125" style="405" customWidth="1"/>
    <col min="18" max="18" width="2.83203125" style="405" customWidth="1"/>
    <col min="19" max="19" width="11.6640625" style="405" hidden="1" customWidth="1" outlineLevel="1"/>
    <col min="20" max="23" width="8.83203125" style="405" hidden="1" customWidth="1" outlineLevel="1"/>
    <col min="24" max="24" width="12.83203125" style="405" customWidth="1" collapsed="1"/>
    <col min="25" max="25" width="12.83203125" style="405" customWidth="1"/>
    <col min="26" max="26" width="4.5" style="405" customWidth="1"/>
    <col min="27" max="27" width="17.5" style="405" bestFit="1" customWidth="1"/>
    <col min="28" max="28" width="12.33203125" style="405" bestFit="1" customWidth="1"/>
    <col min="29" max="29" width="9.5" style="405" bestFit="1" customWidth="1"/>
    <col min="30" max="30" width="10.1640625" style="405" bestFit="1" customWidth="1"/>
    <col min="31" max="16384" width="9.33203125" style="405"/>
  </cols>
  <sheetData>
    <row r="1" spans="2:35" ht="10.7" customHeight="1" thickBot="1">
      <c r="P1" s="405"/>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AA2" s="303" t="s">
        <v>87</v>
      </c>
      <c r="AB2" s="304">
        <f>+'Comp.1'!$AL$2</f>
        <v>43281</v>
      </c>
    </row>
    <row r="3" spans="2:35" ht="15.75" customHeight="1">
      <c r="B3" s="11" t="str">
        <f>VLOOKUP(B4,Outline!$E$8:$G$69,COLUMNS(Outline!$E$8:$G$8),FALSE)</f>
        <v>Exhibit H.6</v>
      </c>
      <c r="C3" s="11"/>
      <c r="D3" s="11"/>
      <c r="E3" s="11"/>
      <c r="F3" s="11"/>
      <c r="G3" s="11"/>
      <c r="H3" s="11"/>
      <c r="I3" s="11"/>
      <c r="J3" s="11"/>
      <c r="K3" s="11"/>
      <c r="L3" s="11"/>
      <c r="M3" s="11"/>
      <c r="N3" s="11"/>
      <c r="O3" s="11"/>
      <c r="P3" s="11"/>
      <c r="Q3" s="11"/>
      <c r="R3" s="11"/>
      <c r="S3" s="11"/>
      <c r="T3" s="11"/>
      <c r="U3" s="11"/>
      <c r="V3" s="11"/>
      <c r="W3" s="11"/>
      <c r="X3" s="11"/>
      <c r="Y3" s="11"/>
      <c r="AA3" s="201" t="s">
        <v>398</v>
      </c>
      <c r="AB3" s="308" t="str">
        <f>+'Comp.1'!$AL$3</f>
        <v>F</v>
      </c>
    </row>
    <row r="4" spans="2:35" ht="16.5" customHeight="1" thickBot="1">
      <c r="B4" s="12" t="s">
        <v>2267</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201" t="s">
        <v>399</v>
      </c>
      <c r="AB4" s="308" t="str">
        <f>+'Comp.1'!$AL$4</f>
        <v>USD</v>
      </c>
    </row>
    <row r="5" spans="2:35" ht="12.75" customHeight="1" thickTop="1">
      <c r="B5" s="21"/>
      <c r="AA5" s="82" t="s">
        <v>89</v>
      </c>
      <c r="AB5" s="307" t="str">
        <f>+'Comp.1'!$AL$5</f>
        <v>H</v>
      </c>
    </row>
    <row r="6" spans="2:35" ht="12.75" hidden="1" customHeight="1" outlineLevel="1">
      <c r="N6" s="210">
        <f>'PWERM DLOM'!H10</f>
        <v>7.0054794520547947</v>
      </c>
      <c r="O6" s="211">
        <f>'Risk-Free Rates'!E67</f>
        <v>2.8100730593607307E-2</v>
      </c>
      <c r="Q6" s="212">
        <f>HLOOKUP(ROUND(N6,0),'Equity Vol'!$D$8:$K$8,1,TRUE)</f>
        <v>7</v>
      </c>
    </row>
    <row r="7" spans="2:35" ht="25.5" customHeight="1" collapsed="1">
      <c r="D7" s="198" t="s">
        <v>91</v>
      </c>
      <c r="E7" s="199"/>
      <c r="F7" s="199"/>
      <c r="G7" s="199"/>
      <c r="H7" s="199"/>
      <c r="I7" s="199"/>
      <c r="J7" s="199"/>
      <c r="K7" s="200"/>
      <c r="M7" s="198" t="s">
        <v>92</v>
      </c>
      <c r="N7" s="199"/>
      <c r="O7" s="199"/>
      <c r="P7" s="213"/>
      <c r="Q7" s="200"/>
      <c r="S7" s="198" t="s">
        <v>93</v>
      </c>
      <c r="T7" s="199"/>
      <c r="U7" s="199"/>
      <c r="V7" s="199"/>
      <c r="W7" s="199"/>
      <c r="X7" s="986" t="s">
        <v>93</v>
      </c>
      <c r="Y7" s="987"/>
    </row>
    <row r="8" spans="2:35" s="6" customFormat="1" ht="43.5" customHeight="1">
      <c r="B8" s="481" t="s">
        <v>633</v>
      </c>
      <c r="D8" s="612" t="s">
        <v>94</v>
      </c>
      <c r="E8" s="613" t="s">
        <v>95</v>
      </c>
      <c r="F8" s="613" t="s">
        <v>96</v>
      </c>
      <c r="G8" s="613" t="s">
        <v>97</v>
      </c>
      <c r="H8" s="613" t="s">
        <v>98</v>
      </c>
      <c r="I8" s="613" t="s">
        <v>99</v>
      </c>
      <c r="J8" s="613" t="s">
        <v>100</v>
      </c>
      <c r="K8" s="614" t="s">
        <v>101</v>
      </c>
      <c r="L8" s="330"/>
      <c r="M8" s="612" t="s">
        <v>73</v>
      </c>
      <c r="N8" s="613" t="s">
        <v>102</v>
      </c>
      <c r="O8" s="614" t="s">
        <v>72</v>
      </c>
      <c r="P8" s="599"/>
      <c r="Q8" s="615" t="s">
        <v>103</v>
      </c>
      <c r="R8" s="599"/>
      <c r="S8" s="612" t="s">
        <v>104</v>
      </c>
      <c r="T8" s="613" t="s">
        <v>84</v>
      </c>
      <c r="U8" s="613" t="s">
        <v>85</v>
      </c>
      <c r="V8" s="613" t="s">
        <v>105</v>
      </c>
      <c r="W8" s="613" t="s">
        <v>106</v>
      </c>
      <c r="X8" s="616" t="s">
        <v>107</v>
      </c>
      <c r="Y8" s="614" t="s">
        <v>645</v>
      </c>
      <c r="AA8" s="87" t="s">
        <v>108</v>
      </c>
      <c r="AB8" s="88" t="s">
        <v>109</v>
      </c>
      <c r="AC8" s="88" t="s">
        <v>110</v>
      </c>
      <c r="AD8" s="89"/>
    </row>
    <row r="9" spans="2:35" ht="12.75" customHeight="1"/>
    <row r="10" spans="2:35" ht="12.75" customHeight="1">
      <c r="B10" s="405" t="str">
        <f>'Comp.1'!B12</f>
        <v>ACADIA Pharmaceuticals Inc.</v>
      </c>
      <c r="D10" s="406">
        <f>'Beta Calc'!K10</f>
        <v>1906.0925500000001</v>
      </c>
      <c r="E10" s="406">
        <f>'Beta Calc'!L10</f>
        <v>0</v>
      </c>
      <c r="F10" s="406">
        <f>'Beta Calc'!M10</f>
        <v>0</v>
      </c>
      <c r="G10" s="406">
        <f>'Beta Calc'!N10</f>
        <v>0</v>
      </c>
      <c r="H10" s="406">
        <f>SUM(E10:G10)</f>
        <v>0</v>
      </c>
      <c r="I10" s="406">
        <f>SUM(D10:G10)</f>
        <v>1906.0925500000001</v>
      </c>
      <c r="J10" s="406">
        <f>'Beta Calc'!Q10</f>
        <v>298.06299999999999</v>
      </c>
      <c r="K10" s="406">
        <f>I10-J10</f>
        <v>1608.0295500000002</v>
      </c>
      <c r="M10" s="56">
        <f>IFERROR('Capital IQ Sheet-GPC'!AT13,"n/a")</f>
        <v>0</v>
      </c>
      <c r="N10" s="406">
        <f t="shared" ref="N10:O23" si="0">N$6</f>
        <v>7.0054794520547947</v>
      </c>
      <c r="O10" s="214">
        <f t="shared" si="0"/>
        <v>2.8100730593607307E-2</v>
      </c>
      <c r="P10" s="215"/>
      <c r="Q10" s="216">
        <f>IFERROR(HLOOKUP($Q$6,'Equity Vol'!$B$8:$K10,ROWS('Equity Vol'!$C$8:$C10),FALSE),"n/a")</f>
        <v>0.73182300193684113</v>
      </c>
      <c r="R10" s="45"/>
      <c r="S10" s="217">
        <f>IFERROR(IF(Q10="n/a","n/a",Q10^2),"n/a")</f>
        <v>0.53556490616384977</v>
      </c>
      <c r="T10" s="217">
        <f t="shared" ref="T10:T23" si="1">IF(OR(K10="n/a",S10="n/a"),"n/a",IF(H10=0,0,IF(M10=0,(LN(K10/H10)+((O10+(S10/2))*N10))/((S10*N10)^0.5),(LN(K10/H10)+((O10-M10+(S10/2))*N10))/((S10*N10)^0.5))))</f>
        <v>0</v>
      </c>
      <c r="U10" s="218">
        <f t="shared" ref="U10:U23" si="2">IF(T10="n/a","n/a",IF(H10=0,0,T10-(S10*N10)^0.5))</f>
        <v>0</v>
      </c>
      <c r="V10" s="218">
        <f t="shared" ref="V10:V23" si="3">IF(OR(T10="n/a",S10="n/a"),"n/a",IF(H10=0,0,NORMSDIST(T10)))</f>
        <v>0</v>
      </c>
      <c r="W10" s="218">
        <f t="shared" ref="W10:W23" si="4">IF(OR(U10="n/a",S10="n/a"),"n/a",IF(H10=0,0,NORMSDIST(U10)))</f>
        <v>0</v>
      </c>
      <c r="X10" s="92">
        <f t="shared" ref="X10:X22" si="5">IF(OR(K10="n/a",S10="n/a"),"n/a",IF(M10=0,(K10*V10)-((H10*EXP(1)^(-O10*N10))*W10),(K10*(2.718^(-M10*N10))*V10)-(H10*(2.718^(-O10*N10))*W10)))</f>
        <v>0</v>
      </c>
      <c r="Y10" s="216">
        <f>IFERROR(IF(LEN(B10)&gt;0,IF(H10=0,Q10,IF(ISERROR(Q10/((K10/X10)*V10)),"n/a",Q10/((K10/X10)*V10)))),"n/a")</f>
        <v>0.73182300193684113</v>
      </c>
      <c r="AA10" s="93" t="str">
        <f>IF('MASTER PubCo Inputs'!B28=0,"",'MASTER PubCo Inputs'!B28)</f>
        <v>NasdaqGS:ACAD</v>
      </c>
      <c r="AB10" s="406">
        <f>'Beta Calc'!Z10</f>
        <v>1608.02955</v>
      </c>
      <c r="AC10" s="94">
        <f t="shared" ref="AC10:AC23" si="6">K10-AB10</f>
        <v>0</v>
      </c>
      <c r="AI10" s="95"/>
    </row>
    <row r="11" spans="2:35" ht="12.75" customHeight="1">
      <c r="B11" s="405" t="str">
        <f>'Comp.1'!B13</f>
        <v>Rhythm Pharmaceuticals, Inc.</v>
      </c>
      <c r="D11" s="406">
        <f>'Beta Calc'!K11</f>
        <v>1066.6532199999999</v>
      </c>
      <c r="E11" s="406">
        <f>'Beta Calc'!L11</f>
        <v>0</v>
      </c>
      <c r="F11" s="406">
        <f>'Beta Calc'!M11</f>
        <v>0</v>
      </c>
      <c r="G11" s="406">
        <f>'Beta Calc'!N11</f>
        <v>0</v>
      </c>
      <c r="H11" s="406">
        <f t="shared" ref="H11:H23" si="7">SUM(E11:G11)</f>
        <v>0</v>
      </c>
      <c r="I11" s="406">
        <f t="shared" ref="I11:I23" si="8">SUM(D11:G11)</f>
        <v>1066.6532199999999</v>
      </c>
      <c r="J11" s="406">
        <f>'Beta Calc'!Q11</f>
        <v>136.453</v>
      </c>
      <c r="K11" s="406">
        <f t="shared" ref="K11:K23" si="9">I11-J11</f>
        <v>930.20021999999994</v>
      </c>
      <c r="M11" s="56">
        <f>IFERROR('Capital IQ Sheet-GPC'!AT14,"n/a")</f>
        <v>0</v>
      </c>
      <c r="N11" s="406">
        <f t="shared" si="0"/>
        <v>7.0054794520547947</v>
      </c>
      <c r="O11" s="214">
        <f t="shared" si="0"/>
        <v>2.8100730593607307E-2</v>
      </c>
      <c r="P11" s="215"/>
      <c r="Q11" s="216" t="str">
        <f>IFERROR(HLOOKUP($Q$6,'Equity Vol'!$B$8:$K11,ROWS('Equity Vol'!$C$8:$C11),FALSE),"n/a")</f>
        <v>NM</v>
      </c>
      <c r="R11" s="45"/>
      <c r="S11" s="217" t="str">
        <f t="shared" ref="S11:S23" si="10">IFERROR(IF(Q11="n/a","n/a",Q11^2),"n/a")</f>
        <v>n/a</v>
      </c>
      <c r="T11" s="217" t="str">
        <f t="shared" si="1"/>
        <v>n/a</v>
      </c>
      <c r="U11" s="218" t="str">
        <f t="shared" si="2"/>
        <v>n/a</v>
      </c>
      <c r="V11" s="218" t="str">
        <f t="shared" si="3"/>
        <v>n/a</v>
      </c>
      <c r="W11" s="218" t="str">
        <f t="shared" si="4"/>
        <v>n/a</v>
      </c>
      <c r="X11" s="92" t="str">
        <f t="shared" si="5"/>
        <v>n/a</v>
      </c>
      <c r="Y11" s="216" t="str">
        <f t="shared" ref="Y11:Y23" si="11">IFERROR(IF(LEN(B11)&gt;0,IF(H11=0,Q11,IF(ISERROR(Q11/((K11/X11)*V11)),"n/a",Q11/((K11/X11)*V11)))),"n/a")</f>
        <v>NM</v>
      </c>
      <c r="AA11" s="93" t="str">
        <f>IF('MASTER PubCo Inputs'!B29=0,"",'MASTER PubCo Inputs'!B29)</f>
        <v>NasdaqGM:RYTM</v>
      </c>
      <c r="AB11" s="406">
        <f>'Beta Calc'!Z11</f>
        <v>930.20021999999994</v>
      </c>
      <c r="AC11" s="94">
        <f t="shared" si="6"/>
        <v>0</v>
      </c>
      <c r="AI11" s="95"/>
    </row>
    <row r="12" spans="2:35" ht="12.75" customHeight="1">
      <c r="B12" s="405" t="str">
        <f>'Comp.1'!B14</f>
        <v>Assembly Biosciences, Inc.</v>
      </c>
      <c r="D12" s="406">
        <f>'Beta Calc'!K12</f>
        <v>805.79364999999996</v>
      </c>
      <c r="E12" s="406">
        <f>'Beta Calc'!L12</f>
        <v>0</v>
      </c>
      <c r="F12" s="406">
        <f>'Beta Calc'!M12</f>
        <v>0</v>
      </c>
      <c r="G12" s="406">
        <f>'Beta Calc'!N12</f>
        <v>0</v>
      </c>
      <c r="H12" s="406">
        <f t="shared" si="7"/>
        <v>0</v>
      </c>
      <c r="I12" s="406">
        <f t="shared" si="8"/>
        <v>805.79364999999996</v>
      </c>
      <c r="J12" s="406">
        <f>'Beta Calc'!Q12</f>
        <v>109.15898</v>
      </c>
      <c r="K12" s="406">
        <f t="shared" si="9"/>
        <v>696.63466999999991</v>
      </c>
      <c r="M12" s="56">
        <f>IFERROR('Capital IQ Sheet-GPC'!AT15,"n/a")</f>
        <v>0</v>
      </c>
      <c r="N12" s="406">
        <f t="shared" si="0"/>
        <v>7.0054794520547947</v>
      </c>
      <c r="O12" s="214">
        <f t="shared" si="0"/>
        <v>2.8100730593607307E-2</v>
      </c>
      <c r="P12" s="215"/>
      <c r="Q12" s="216">
        <f>IFERROR(HLOOKUP($Q$6,'Equity Vol'!$B$8:$K12,ROWS('Equity Vol'!$C$8:$C12),FALSE),"n/a")</f>
        <v>0.81212954472395738</v>
      </c>
      <c r="R12" s="45"/>
      <c r="S12" s="217">
        <f t="shared" si="10"/>
        <v>0.65955439741354227</v>
      </c>
      <c r="T12" s="217">
        <f t="shared" si="1"/>
        <v>0</v>
      </c>
      <c r="U12" s="218">
        <f t="shared" si="2"/>
        <v>0</v>
      </c>
      <c r="V12" s="218">
        <f t="shared" si="3"/>
        <v>0</v>
      </c>
      <c r="W12" s="218">
        <f t="shared" si="4"/>
        <v>0</v>
      </c>
      <c r="X12" s="92">
        <f t="shared" si="5"/>
        <v>0</v>
      </c>
      <c r="Y12" s="216">
        <f t="shared" si="11"/>
        <v>0.81212954472395738</v>
      </c>
      <c r="AA12" s="93" t="str">
        <f>IF('MASTER PubCo Inputs'!B30=0,"",'MASTER PubCo Inputs'!B30)</f>
        <v>NasdaqCM:ASMB</v>
      </c>
      <c r="AB12" s="406">
        <f>'Beta Calc'!Z12</f>
        <v>696.63467000000003</v>
      </c>
      <c r="AC12" s="94">
        <f t="shared" si="6"/>
        <v>0</v>
      </c>
      <c r="AI12" s="95"/>
    </row>
    <row r="13" spans="2:35" ht="12.75" customHeight="1">
      <c r="B13" s="405" t="str">
        <f>'Comp.1'!B15</f>
        <v>Voyager Therapeutics, Inc.</v>
      </c>
      <c r="D13" s="406">
        <f>'Beta Calc'!K13</f>
        <v>631.55226000000005</v>
      </c>
      <c r="E13" s="406">
        <f>'Beta Calc'!L13</f>
        <v>0</v>
      </c>
      <c r="F13" s="406">
        <f>'Beta Calc'!M13</f>
        <v>0</v>
      </c>
      <c r="G13" s="406">
        <f>'Beta Calc'!N13</f>
        <v>0</v>
      </c>
      <c r="H13" s="406">
        <f t="shared" si="7"/>
        <v>0</v>
      </c>
      <c r="I13" s="406">
        <f t="shared" si="8"/>
        <v>631.55226000000005</v>
      </c>
      <c r="J13" s="406">
        <f>'Beta Calc'!Q13</f>
        <v>218.19800000000001</v>
      </c>
      <c r="K13" s="406">
        <f t="shared" si="9"/>
        <v>413.35426000000007</v>
      </c>
      <c r="M13" s="56">
        <f>IFERROR('Capital IQ Sheet-GPC'!AT16,"n/a")</f>
        <v>0</v>
      </c>
      <c r="N13" s="406">
        <f t="shared" si="0"/>
        <v>7.0054794520547947</v>
      </c>
      <c r="O13" s="214">
        <f t="shared" si="0"/>
        <v>2.8100730593607307E-2</v>
      </c>
      <c r="P13" s="215"/>
      <c r="Q13" s="216">
        <f>IFERROR(HLOOKUP($Q$6,'Equity Vol'!$B$8:$K13,ROWS('Equity Vol'!$C$8:$C13),FALSE),"n/a")</f>
        <v>0.74099767206184253</v>
      </c>
      <c r="R13" s="45"/>
      <c r="S13" s="217">
        <f t="shared" si="10"/>
        <v>0.54907755000106995</v>
      </c>
      <c r="T13" s="217">
        <f t="shared" si="1"/>
        <v>0</v>
      </c>
      <c r="U13" s="218">
        <f t="shared" si="2"/>
        <v>0</v>
      </c>
      <c r="V13" s="218">
        <f t="shared" si="3"/>
        <v>0</v>
      </c>
      <c r="W13" s="218">
        <f t="shared" si="4"/>
        <v>0</v>
      </c>
      <c r="X13" s="92">
        <f t="shared" si="5"/>
        <v>0</v>
      </c>
      <c r="Y13" s="216">
        <f t="shared" si="11"/>
        <v>0.74099767206184253</v>
      </c>
      <c r="AA13" s="93" t="str">
        <f>IF('MASTER PubCo Inputs'!B31=0,"",'MASTER PubCo Inputs'!B31)</f>
        <v>NasdaqGS:VYGR</v>
      </c>
      <c r="AB13" s="406">
        <f>'Beta Calc'!Z13</f>
        <v>413.35426000000001</v>
      </c>
      <c r="AC13" s="94">
        <f t="shared" si="6"/>
        <v>0</v>
      </c>
      <c r="AI13" s="95"/>
    </row>
    <row r="14" spans="2:35" ht="12.75" customHeight="1">
      <c r="B14" s="405" t="str">
        <f>'Comp.1'!B16</f>
        <v>Zafgen, Inc.</v>
      </c>
      <c r="D14" s="406">
        <f>'Beta Calc'!K14</f>
        <v>363.76737000000003</v>
      </c>
      <c r="E14" s="406">
        <f>'Beta Calc'!L14</f>
        <v>20.16</v>
      </c>
      <c r="F14" s="406">
        <f>'Beta Calc'!M14</f>
        <v>0</v>
      </c>
      <c r="G14" s="406">
        <f>'Beta Calc'!N14</f>
        <v>0</v>
      </c>
      <c r="H14" s="406">
        <f t="shared" si="7"/>
        <v>20.16</v>
      </c>
      <c r="I14" s="406">
        <f t="shared" si="8"/>
        <v>383.92737000000005</v>
      </c>
      <c r="J14" s="406">
        <f>'Beta Calc'!Q14</f>
        <v>89.07</v>
      </c>
      <c r="K14" s="406">
        <f t="shared" si="9"/>
        <v>294.85737000000006</v>
      </c>
      <c r="M14" s="56">
        <f>IFERROR('Capital IQ Sheet-GPC'!AT17,"n/a")</f>
        <v>0</v>
      </c>
      <c r="N14" s="406">
        <f t="shared" si="0"/>
        <v>7.0054794520547947</v>
      </c>
      <c r="O14" s="214">
        <f t="shared" si="0"/>
        <v>2.8100730593607307E-2</v>
      </c>
      <c r="P14" s="215"/>
      <c r="Q14" s="216">
        <f>IFERROR(HLOOKUP($Q$6,'Equity Vol'!$B$8:$K14,ROWS('Equity Vol'!$C$8:$C14),FALSE),"n/a")</f>
        <v>1.0178372234009103</v>
      </c>
      <c r="R14" s="45"/>
      <c r="S14" s="217">
        <f t="shared" si="10"/>
        <v>1.0359926133404747</v>
      </c>
      <c r="T14" s="217">
        <f t="shared" si="1"/>
        <v>2.4159123333050982</v>
      </c>
      <c r="U14" s="218">
        <f t="shared" si="2"/>
        <v>-0.27808561866837023</v>
      </c>
      <c r="V14" s="218">
        <f t="shared" si="3"/>
        <v>0.99215208007369748</v>
      </c>
      <c r="W14" s="218">
        <f t="shared" si="4"/>
        <v>0.39047331757567821</v>
      </c>
      <c r="X14" s="92">
        <f t="shared" si="5"/>
        <v>286.07807691362916</v>
      </c>
      <c r="Y14" s="216">
        <f t="shared" si="11"/>
        <v>0.99534278432551948</v>
      </c>
      <c r="AA14" s="93" t="str">
        <f>IF('MASTER PubCo Inputs'!B32=0,"",'MASTER PubCo Inputs'!B32)</f>
        <v>NasdaqGS:ZFGN</v>
      </c>
      <c r="AB14" s="406">
        <f>'Beta Calc'!Z14</f>
        <v>294.85737</v>
      </c>
      <c r="AC14" s="94">
        <f t="shared" si="6"/>
        <v>0</v>
      </c>
      <c r="AI14" s="95"/>
    </row>
    <row r="15" spans="2:35" ht="12.75" customHeight="1">
      <c r="B15" s="405" t="str">
        <f>'Comp.1'!B17</f>
        <v>Seres Therapeutics, Inc.</v>
      </c>
      <c r="D15" s="406">
        <f>'Beta Calc'!K15</f>
        <v>349.61295000000001</v>
      </c>
      <c r="E15" s="406">
        <f>'Beta Calc'!L15</f>
        <v>0</v>
      </c>
      <c r="F15" s="406">
        <f>'Beta Calc'!M15</f>
        <v>0</v>
      </c>
      <c r="G15" s="406">
        <f>'Beta Calc'!N15</f>
        <v>0</v>
      </c>
      <c r="H15" s="406">
        <f t="shared" si="7"/>
        <v>0</v>
      </c>
      <c r="I15" s="406">
        <f t="shared" si="8"/>
        <v>349.61295000000001</v>
      </c>
      <c r="J15" s="406">
        <f>'Beta Calc'!Q15</f>
        <v>122.194</v>
      </c>
      <c r="K15" s="406">
        <f t="shared" si="9"/>
        <v>227.41895</v>
      </c>
      <c r="M15" s="56">
        <f>IFERROR('Capital IQ Sheet-GPC'!AT18,"n/a")</f>
        <v>0</v>
      </c>
      <c r="N15" s="406">
        <f t="shared" si="0"/>
        <v>7.0054794520547947</v>
      </c>
      <c r="O15" s="214">
        <f t="shared" si="0"/>
        <v>2.8100730593607307E-2</v>
      </c>
      <c r="P15" s="215"/>
      <c r="Q15" s="216">
        <f>IFERROR(HLOOKUP($Q$6,'Equity Vol'!$B$8:$K15,ROWS('Equity Vol'!$C$8:$C15),FALSE),"n/a")</f>
        <v>0.95360103062997992</v>
      </c>
      <c r="R15" s="45"/>
      <c r="S15" s="217">
        <f t="shared" si="10"/>
        <v>0.90935492561855991</v>
      </c>
      <c r="T15" s="217">
        <f t="shared" si="1"/>
        <v>0</v>
      </c>
      <c r="U15" s="218">
        <f t="shared" si="2"/>
        <v>0</v>
      </c>
      <c r="V15" s="218">
        <f t="shared" si="3"/>
        <v>0</v>
      </c>
      <c r="W15" s="218">
        <f t="shared" si="4"/>
        <v>0</v>
      </c>
      <c r="X15" s="92">
        <f t="shared" si="5"/>
        <v>0</v>
      </c>
      <c r="Y15" s="216">
        <f t="shared" si="11"/>
        <v>0.95360103062997992</v>
      </c>
      <c r="AA15" s="93" t="str">
        <f>IF('MASTER PubCo Inputs'!B33=0,"",'MASTER PubCo Inputs'!B33)</f>
        <v>NasdaqGS:MCRB</v>
      </c>
      <c r="AB15" s="406">
        <f>'Beta Calc'!Z15</f>
        <v>227.41893999999999</v>
      </c>
      <c r="AC15" s="94">
        <f t="shared" si="6"/>
        <v>1.0000000003174137E-5</v>
      </c>
      <c r="AI15" s="95"/>
    </row>
    <row r="16" spans="2:35" ht="12.75" customHeight="1">
      <c r="B16" s="405" t="str">
        <f>'Comp.1'!B18</f>
        <v>CohBar, Inc.</v>
      </c>
      <c r="D16" s="406">
        <f>'Beta Calc'!K16</f>
        <v>211.81835000000001</v>
      </c>
      <c r="E16" s="406">
        <f>'Beta Calc'!L16</f>
        <v>1.40126</v>
      </c>
      <c r="F16" s="406">
        <f>'Beta Calc'!M16</f>
        <v>0</v>
      </c>
      <c r="G16" s="406">
        <f>'Beta Calc'!N16</f>
        <v>0</v>
      </c>
      <c r="H16" s="406">
        <f t="shared" si="7"/>
        <v>1.40126</v>
      </c>
      <c r="I16" s="406">
        <f t="shared" si="8"/>
        <v>213.21961000000002</v>
      </c>
      <c r="J16" s="406">
        <f>'Beta Calc'!Q16</f>
        <v>8.4566599999999994</v>
      </c>
      <c r="K16" s="406">
        <f t="shared" si="9"/>
        <v>204.76295000000002</v>
      </c>
      <c r="M16" s="56">
        <f>IFERROR('Capital IQ Sheet-GPC'!AT19,"n/a")</f>
        <v>0</v>
      </c>
      <c r="N16" s="406">
        <f t="shared" si="0"/>
        <v>7.0054794520547947</v>
      </c>
      <c r="O16" s="214">
        <f t="shared" si="0"/>
        <v>2.8100730593607307E-2</v>
      </c>
      <c r="P16" s="215"/>
      <c r="Q16" s="216">
        <f>IFERROR(HLOOKUP($Q$6,'Equity Vol'!$B$8:$K16,ROWS('Equity Vol'!$C$8:$C16),FALSE),"n/a")</f>
        <v>0.89467871227668438</v>
      </c>
      <c r="R16" s="45"/>
      <c r="S16" s="217">
        <f t="shared" si="10"/>
        <v>0.80044999820106622</v>
      </c>
      <c r="T16" s="217">
        <f t="shared" si="1"/>
        <v>3.3720559460257502</v>
      </c>
      <c r="U16" s="218">
        <f t="shared" si="2"/>
        <v>1.004032294371302</v>
      </c>
      <c r="V16" s="218">
        <f t="shared" si="3"/>
        <v>0.99962695354434694</v>
      </c>
      <c r="W16" s="218">
        <f t="shared" si="4"/>
        <v>0.84231847611522315</v>
      </c>
      <c r="X16" s="92">
        <f t="shared" si="5"/>
        <v>203.71717011324847</v>
      </c>
      <c r="Y16" s="216">
        <f t="shared" si="11"/>
        <v>0.8904415216435837</v>
      </c>
      <c r="AA16" s="93" t="str">
        <f>IF('MASTER PubCo Inputs'!B34=0,"",'MASTER PubCo Inputs'!B34)</f>
        <v>TSXV:COB.U</v>
      </c>
      <c r="AB16" s="406">
        <f>'Beta Calc'!Z16</f>
        <v>204.76295999999999</v>
      </c>
      <c r="AC16" s="94">
        <f t="shared" si="6"/>
        <v>-9.9999999747524271E-6</v>
      </c>
      <c r="AI16" s="95"/>
    </row>
    <row r="17" spans="2:35" ht="12.75" customHeight="1">
      <c r="B17" s="405" t="str">
        <f>'Comp.1'!B19</f>
        <v>VIVUS, Inc.</v>
      </c>
      <c r="D17" s="406">
        <f>'Beta Calc'!K17</f>
        <v>74.768140000000002</v>
      </c>
      <c r="E17" s="406">
        <f>'Beta Calc'!L17</f>
        <v>236.50700000000001</v>
      </c>
      <c r="F17" s="406">
        <f>'Beta Calc'!M17</f>
        <v>0</v>
      </c>
      <c r="G17" s="406">
        <f>'Beta Calc'!N17</f>
        <v>0</v>
      </c>
      <c r="H17" s="406">
        <f t="shared" si="7"/>
        <v>236.50700000000001</v>
      </c>
      <c r="I17" s="406">
        <f t="shared" si="8"/>
        <v>311.27514000000002</v>
      </c>
      <c r="J17" s="406">
        <f>'Beta Calc'!Q17</f>
        <v>209.125</v>
      </c>
      <c r="K17" s="406">
        <f t="shared" si="9"/>
        <v>102.15014000000002</v>
      </c>
      <c r="M17" s="56">
        <f>IFERROR('Capital IQ Sheet-GPC'!AT20,"n/a")</f>
        <v>0</v>
      </c>
      <c r="N17" s="406">
        <f t="shared" si="0"/>
        <v>7.0054794520547947</v>
      </c>
      <c r="O17" s="214">
        <f t="shared" si="0"/>
        <v>2.8100730593607307E-2</v>
      </c>
      <c r="P17" s="215"/>
      <c r="Q17" s="216">
        <f>IFERROR(HLOOKUP($Q$6,'Equity Vol'!$B$8:$K17,ROWS('Equity Vol'!$C$8:$C17),FALSE),"n/a")</f>
        <v>0.62065644569477552</v>
      </c>
      <c r="R17" s="45"/>
      <c r="S17" s="217">
        <f t="shared" si="10"/>
        <v>0.38521442358247182</v>
      </c>
      <c r="T17" s="217">
        <f t="shared" si="1"/>
        <v>0.43015243601671083</v>
      </c>
      <c r="U17" s="218">
        <f t="shared" si="2"/>
        <v>-1.2125927447834455</v>
      </c>
      <c r="V17" s="218">
        <f t="shared" si="3"/>
        <v>0.66645762063975544</v>
      </c>
      <c r="W17" s="218">
        <f t="shared" si="4"/>
        <v>0.11264278206594448</v>
      </c>
      <c r="X17" s="92">
        <f t="shared" si="5"/>
        <v>46.19847561107234</v>
      </c>
      <c r="Y17" s="216">
        <f t="shared" si="11"/>
        <v>0.42117968082475254</v>
      </c>
      <c r="AA17" s="93" t="str">
        <f>IF('MASTER PubCo Inputs'!B35=0,"",'MASTER PubCo Inputs'!B35)</f>
        <v>NasdaqGS:VVUS</v>
      </c>
      <c r="AB17" s="406">
        <f>'Beta Calc'!Z17</f>
        <v>102.15013999999999</v>
      </c>
      <c r="AC17" s="94">
        <f t="shared" si="6"/>
        <v>0</v>
      </c>
      <c r="AI17" s="95"/>
    </row>
    <row r="18" spans="2:35" ht="12.75" customHeight="1">
      <c r="B18" s="405" t="str">
        <f>'Comp.1'!B20</f>
        <v>Anavex Life Sciences Corp.</v>
      </c>
      <c r="D18" s="406">
        <f>'Beta Calc'!K18</f>
        <v>117.00936</v>
      </c>
      <c r="E18" s="406">
        <f>'Beta Calc'!L18</f>
        <v>0</v>
      </c>
      <c r="F18" s="406">
        <f>'Beta Calc'!M18</f>
        <v>0</v>
      </c>
      <c r="G18" s="406">
        <f>'Beta Calc'!N18</f>
        <v>0</v>
      </c>
      <c r="H18" s="406">
        <f t="shared" si="7"/>
        <v>0</v>
      </c>
      <c r="I18" s="406">
        <f t="shared" si="8"/>
        <v>117.00936</v>
      </c>
      <c r="J18" s="406">
        <f>'Beta Calc'!Q18</f>
        <v>25.656580000000002</v>
      </c>
      <c r="K18" s="406">
        <f t="shared" si="9"/>
        <v>91.352779999999996</v>
      </c>
      <c r="M18" s="56">
        <f>IFERROR('Capital IQ Sheet-GPC'!AT21,"n/a")</f>
        <v>0</v>
      </c>
      <c r="N18" s="406">
        <f t="shared" si="0"/>
        <v>7.0054794520547947</v>
      </c>
      <c r="O18" s="214">
        <f t="shared" si="0"/>
        <v>2.8100730593607307E-2</v>
      </c>
      <c r="P18" s="215"/>
      <c r="Q18" s="216">
        <f>IFERROR(HLOOKUP($Q$6,'Equity Vol'!$B$8:$K18,ROWS('Equity Vol'!$C$8:$C18),FALSE),"n/a")</f>
        <v>1.100613921225378</v>
      </c>
      <c r="R18" s="45"/>
      <c r="S18" s="217">
        <f t="shared" si="10"/>
        <v>1.2113510035951027</v>
      </c>
      <c r="T18" s="217">
        <f t="shared" si="1"/>
        <v>0</v>
      </c>
      <c r="U18" s="218">
        <f t="shared" si="2"/>
        <v>0</v>
      </c>
      <c r="V18" s="218">
        <f t="shared" si="3"/>
        <v>0</v>
      </c>
      <c r="W18" s="218">
        <f t="shared" si="4"/>
        <v>0</v>
      </c>
      <c r="X18" s="92">
        <f t="shared" si="5"/>
        <v>0</v>
      </c>
      <c r="Y18" s="216">
        <f t="shared" si="11"/>
        <v>1.100613921225378</v>
      </c>
      <c r="AA18" s="93" t="str">
        <f>IF('MASTER PubCo Inputs'!B36=0,"",'MASTER PubCo Inputs'!B36)</f>
        <v>NasdaqCM:AVXL</v>
      </c>
      <c r="AB18" s="406">
        <f>'Beta Calc'!Z18</f>
        <v>91.352779999999996</v>
      </c>
      <c r="AC18" s="94">
        <f t="shared" si="6"/>
        <v>0</v>
      </c>
      <c r="AI18" s="95"/>
    </row>
    <row r="19" spans="2:35" ht="12.75" customHeight="1">
      <c r="B19" s="405" t="str">
        <f>'Comp.1'!B21</f>
        <v>OptiBiotix Health plc</v>
      </c>
      <c r="D19" s="406">
        <f>'Beta Calc'!K19</f>
        <v>72.915899999999993</v>
      </c>
      <c r="E19" s="406">
        <f>'Beta Calc'!L19</f>
        <v>0</v>
      </c>
      <c r="F19" s="406">
        <f>'Beta Calc'!M19</f>
        <v>0</v>
      </c>
      <c r="G19" s="406">
        <f>'Beta Calc'!N19</f>
        <v>0</v>
      </c>
      <c r="H19" s="406">
        <f t="shared" si="7"/>
        <v>0</v>
      </c>
      <c r="I19" s="406">
        <f t="shared" si="8"/>
        <v>72.915899999999993</v>
      </c>
      <c r="J19" s="406">
        <f>'Beta Calc'!Q19</f>
        <v>1.6849400000000001</v>
      </c>
      <c r="K19" s="406">
        <f t="shared" si="9"/>
        <v>71.230959999999996</v>
      </c>
      <c r="M19" s="56">
        <f>IFERROR('Capital IQ Sheet-GPC'!AT22,"n/a")</f>
        <v>0</v>
      </c>
      <c r="N19" s="406">
        <f t="shared" si="0"/>
        <v>7.0054794520547947</v>
      </c>
      <c r="O19" s="214">
        <f t="shared" si="0"/>
        <v>2.8100730593607307E-2</v>
      </c>
      <c r="P19" s="215"/>
      <c r="Q19" s="216">
        <f>IFERROR(HLOOKUP($Q$6,'Equity Vol'!$B$8:$K19,ROWS('Equity Vol'!$C$8:$C19),FALSE),"n/a")</f>
        <v>0.57731598641262194</v>
      </c>
      <c r="R19" s="45"/>
      <c r="S19" s="217">
        <f t="shared" si="10"/>
        <v>0.33329374816757867</v>
      </c>
      <c r="T19" s="217">
        <f t="shared" si="1"/>
        <v>0</v>
      </c>
      <c r="U19" s="218">
        <f t="shared" si="2"/>
        <v>0</v>
      </c>
      <c r="V19" s="218">
        <f t="shared" si="3"/>
        <v>0</v>
      </c>
      <c r="W19" s="218">
        <f t="shared" si="4"/>
        <v>0</v>
      </c>
      <c r="X19" s="92">
        <f t="shared" si="5"/>
        <v>0</v>
      </c>
      <c r="Y19" s="216">
        <f t="shared" si="11"/>
        <v>0.57731598641262194</v>
      </c>
      <c r="AA19" s="93" t="str">
        <f>IF('MASTER PubCo Inputs'!B37=0,"",'MASTER PubCo Inputs'!B37)</f>
        <v>AIM:OPTI</v>
      </c>
      <c r="AB19" s="406">
        <f>'Beta Calc'!Z19</f>
        <v>71.269909999999996</v>
      </c>
      <c r="AC19" s="94">
        <f t="shared" si="6"/>
        <v>-3.8949999999999818E-2</v>
      </c>
      <c r="AI19" s="95"/>
    </row>
    <row r="20" spans="2:35" ht="12.75" customHeight="1">
      <c r="B20" s="405" t="str">
        <f>'Comp.1'!B22</f>
        <v>Soleno Therapeutics, Inc.</v>
      </c>
      <c r="D20" s="406">
        <f>'Beta Calc'!K20</f>
        <v>46.258000000000003</v>
      </c>
      <c r="E20" s="406">
        <f>'Beta Calc'!L20</f>
        <v>0</v>
      </c>
      <c r="F20" s="406">
        <f>'Beta Calc'!M20</f>
        <v>0</v>
      </c>
      <c r="G20" s="406">
        <f>'Beta Calc'!N20</f>
        <v>0</v>
      </c>
      <c r="H20" s="406">
        <f t="shared" si="7"/>
        <v>0</v>
      </c>
      <c r="I20" s="406">
        <f t="shared" si="8"/>
        <v>46.258000000000003</v>
      </c>
      <c r="J20" s="406">
        <f>'Beta Calc'!Q20</f>
        <v>14.866</v>
      </c>
      <c r="K20" s="406">
        <f t="shared" si="9"/>
        <v>31.392000000000003</v>
      </c>
      <c r="M20" s="56">
        <f>IFERROR('Capital IQ Sheet-GPC'!AT23,"n/a")</f>
        <v>0</v>
      </c>
      <c r="N20" s="406">
        <f t="shared" si="0"/>
        <v>7.0054794520547947</v>
      </c>
      <c r="O20" s="214">
        <f t="shared" si="0"/>
        <v>2.8100730593607307E-2</v>
      </c>
      <c r="P20" s="215"/>
      <c r="Q20" s="216">
        <f>IFERROR(HLOOKUP($Q$6,'Equity Vol'!$B$8:$K20,ROWS('Equity Vol'!$C$8:$C20),FALSE),"n/a")</f>
        <v>1.1508768139771337</v>
      </c>
      <c r="R20" s="45"/>
      <c r="S20" s="217">
        <f t="shared" si="10"/>
        <v>1.3245174409501581</v>
      </c>
      <c r="T20" s="217">
        <f t="shared" si="1"/>
        <v>0</v>
      </c>
      <c r="U20" s="218">
        <f t="shared" si="2"/>
        <v>0</v>
      </c>
      <c r="V20" s="218">
        <f t="shared" si="3"/>
        <v>0</v>
      </c>
      <c r="W20" s="218">
        <f t="shared" si="4"/>
        <v>0</v>
      </c>
      <c r="X20" s="92">
        <f t="shared" si="5"/>
        <v>0</v>
      </c>
      <c r="Y20" s="216">
        <f t="shared" si="11"/>
        <v>1.1508768139771337</v>
      </c>
      <c r="AA20" s="93" t="str">
        <f>IF('MASTER PubCo Inputs'!B38=0,"",'MASTER PubCo Inputs'!B38)</f>
        <v>NasdaqCM:SLNO</v>
      </c>
      <c r="AB20" s="406">
        <f>'Beta Calc'!Z20</f>
        <v>31.391999999999999</v>
      </c>
      <c r="AC20" s="94">
        <f t="shared" si="6"/>
        <v>0</v>
      </c>
      <c r="AI20" s="95"/>
    </row>
    <row r="21" spans="2:35" ht="12.75" customHeight="1">
      <c r="B21" s="405" t="str">
        <f>'Comp.1'!B23</f>
        <v>Synthetic Biologics, Inc.</v>
      </c>
      <c r="D21" s="406">
        <f>'Beta Calc'!K21</f>
        <v>30.72748</v>
      </c>
      <c r="E21" s="406">
        <f>'Beta Calc'!L21</f>
        <v>0</v>
      </c>
      <c r="F21" s="406">
        <f>'Beta Calc'!M21</f>
        <v>12.112</v>
      </c>
      <c r="G21" s="406">
        <f>'Beta Calc'!N21</f>
        <v>-1.923</v>
      </c>
      <c r="H21" s="406">
        <f t="shared" si="7"/>
        <v>10.189</v>
      </c>
      <c r="I21" s="406">
        <f t="shared" si="8"/>
        <v>40.91648</v>
      </c>
      <c r="J21" s="406">
        <f>'Beta Calc'!Q21</f>
        <v>11.037000000000001</v>
      </c>
      <c r="K21" s="406">
        <f t="shared" si="9"/>
        <v>29.879480000000001</v>
      </c>
      <c r="M21" s="56">
        <f>IFERROR('Capital IQ Sheet-GPC'!AT24,"n/a")</f>
        <v>0</v>
      </c>
      <c r="N21" s="406">
        <f t="shared" si="0"/>
        <v>7.0054794520547947</v>
      </c>
      <c r="O21" s="214">
        <f t="shared" si="0"/>
        <v>2.8100730593607307E-2</v>
      </c>
      <c r="P21" s="215"/>
      <c r="Q21" s="216">
        <f>IFERROR(HLOOKUP($Q$6,'Equity Vol'!$B$8:$K21,ROWS('Equity Vol'!$C$8:$C21),FALSE),"n/a")</f>
        <v>0.84335757355803964</v>
      </c>
      <c r="R21" s="45"/>
      <c r="S21" s="217">
        <f t="shared" si="10"/>
        <v>0.71125199687770424</v>
      </c>
      <c r="T21" s="217">
        <f t="shared" si="1"/>
        <v>1.6862619671103494</v>
      </c>
      <c r="U21" s="218">
        <f t="shared" si="2"/>
        <v>-0.54592558087026277</v>
      </c>
      <c r="V21" s="218">
        <f t="shared" si="3"/>
        <v>0.9541273234542833</v>
      </c>
      <c r="W21" s="218">
        <f t="shared" si="4"/>
        <v>0.29255854671199716</v>
      </c>
      <c r="X21" s="92">
        <f t="shared" si="5"/>
        <v>26.060613386328185</v>
      </c>
      <c r="Y21" s="216">
        <f t="shared" si="11"/>
        <v>0.77093367205910102</v>
      </c>
      <c r="AA21" s="93" t="str">
        <f>IF('MASTER PubCo Inputs'!B39=0,"",'MASTER PubCo Inputs'!B39)</f>
        <v>AMEX:SYN</v>
      </c>
      <c r="AB21" s="406">
        <f>'Beta Calc'!Z21</f>
        <v>29.879480000000001</v>
      </c>
      <c r="AC21" s="94">
        <f t="shared" si="6"/>
        <v>0</v>
      </c>
      <c r="AI21" s="95"/>
    </row>
    <row r="22" spans="2:35" ht="12.75" customHeight="1">
      <c r="B22" s="405" t="str">
        <f>'Comp.1'!B24</f>
        <v>Nexus BioPharma, Inc.</v>
      </c>
      <c r="D22" s="406">
        <f>'Beta Calc'!K22</f>
        <v>3.8515700000000002</v>
      </c>
      <c r="E22" s="406">
        <f>'Beta Calc'!L22</f>
        <v>0.36752000000000001</v>
      </c>
      <c r="F22" s="406">
        <f>'Beta Calc'!M22</f>
        <v>0</v>
      </c>
      <c r="G22" s="406">
        <f>'Beta Calc'!N22</f>
        <v>0</v>
      </c>
      <c r="H22" s="406">
        <f t="shared" si="7"/>
        <v>0.36752000000000001</v>
      </c>
      <c r="I22" s="406">
        <f t="shared" si="8"/>
        <v>4.2190900000000005</v>
      </c>
      <c r="J22" s="406">
        <f>'Beta Calc'!Q22</f>
        <v>8.43E-3</v>
      </c>
      <c r="K22" s="406">
        <f t="shared" si="9"/>
        <v>4.2106600000000007</v>
      </c>
      <c r="M22" s="56">
        <f>IFERROR('Capital IQ Sheet-GPC'!AT25,"n/a")</f>
        <v>0</v>
      </c>
      <c r="N22" s="406">
        <f t="shared" si="0"/>
        <v>7.0054794520547947</v>
      </c>
      <c r="O22" s="214">
        <f t="shared" si="0"/>
        <v>2.8100730593607307E-2</v>
      </c>
      <c r="P22" s="215"/>
      <c r="Q22" s="216" t="str">
        <f>IFERROR(HLOOKUP($Q$6,'Equity Vol'!$B$8:$K22,ROWS('Equity Vol'!$C$8:$C22),FALSE),"n/a")</f>
        <v>NM</v>
      </c>
      <c r="R22" s="45"/>
      <c r="S22" s="217" t="str">
        <f t="shared" si="10"/>
        <v>n/a</v>
      </c>
      <c r="T22" s="217" t="str">
        <f t="shared" si="1"/>
        <v>n/a</v>
      </c>
      <c r="U22" s="218" t="str">
        <f t="shared" si="2"/>
        <v>n/a</v>
      </c>
      <c r="V22" s="218" t="str">
        <f t="shared" si="3"/>
        <v>n/a</v>
      </c>
      <c r="W22" s="218" t="str">
        <f t="shared" si="4"/>
        <v>n/a</v>
      </c>
      <c r="X22" s="92" t="str">
        <f t="shared" si="5"/>
        <v>n/a</v>
      </c>
      <c r="Y22" s="216" t="str">
        <f t="shared" si="11"/>
        <v>n/a</v>
      </c>
      <c r="AA22" s="93" t="str">
        <f>IF('MASTER PubCo Inputs'!B40=0,"",'MASTER PubCo Inputs'!B40)</f>
        <v>OTCPK:NEXS</v>
      </c>
      <c r="AB22" s="406">
        <f>'Beta Calc'!Z22</f>
        <v>4.2106599999999998</v>
      </c>
      <c r="AC22" s="94">
        <f t="shared" si="6"/>
        <v>0</v>
      </c>
      <c r="AI22" s="95"/>
    </row>
    <row r="23" spans="2:35" ht="12.75" customHeight="1">
      <c r="B23" s="405" t="str">
        <f>'Comp.1'!B25</f>
        <v>Ritter Pharmaceuticals, Inc.</v>
      </c>
      <c r="D23" s="406">
        <f>'Beta Calc'!K23</f>
        <v>12.90047</v>
      </c>
      <c r="E23" s="406">
        <f>'Beta Calc'!L23</f>
        <v>0</v>
      </c>
      <c r="F23" s="406">
        <f>'Beta Calc'!M23</f>
        <v>4.9489799999999997</v>
      </c>
      <c r="G23" s="406">
        <f>'Beta Calc'!N23</f>
        <v>0</v>
      </c>
      <c r="H23" s="406">
        <f t="shared" si="7"/>
        <v>4.9489799999999997</v>
      </c>
      <c r="I23" s="406">
        <f t="shared" si="8"/>
        <v>17.849450000000001</v>
      </c>
      <c r="J23" s="406">
        <f>'Beta Calc'!Q23</f>
        <v>18.91704</v>
      </c>
      <c r="K23" s="406">
        <f t="shared" si="9"/>
        <v>-1.0675899999999992</v>
      </c>
      <c r="M23" s="56">
        <f>IFERROR('Capital IQ Sheet-GPC'!AT26,"n/a")</f>
        <v>0</v>
      </c>
      <c r="N23" s="406">
        <f t="shared" si="0"/>
        <v>7.0054794520547947</v>
      </c>
      <c r="O23" s="214">
        <f t="shared" si="0"/>
        <v>2.8100730593607307E-2</v>
      </c>
      <c r="P23" s="215"/>
      <c r="Q23" s="216">
        <f>IFERROR(HLOOKUP($Q$6,'Equity Vol'!$B$8:$K23,ROWS('Equity Vol'!$C$8:$C23),FALSE),"n/a")</f>
        <v>0.88587043357810058</v>
      </c>
      <c r="R23" s="45"/>
      <c r="S23" s="217">
        <f t="shared" si="10"/>
        <v>0.78476642508785188</v>
      </c>
      <c r="T23" s="217" t="e">
        <f t="shared" si="1"/>
        <v>#NUM!</v>
      </c>
      <c r="U23" s="218" t="e">
        <f t="shared" si="2"/>
        <v>#NUM!</v>
      </c>
      <c r="V23" s="218" t="e">
        <f t="shared" si="3"/>
        <v>#NUM!</v>
      </c>
      <c r="W23" s="218" t="e">
        <f t="shared" si="4"/>
        <v>#NUM!</v>
      </c>
      <c r="X23" s="92" t="str">
        <f>IFERROR(IF(OR(K23="n/a",S23="n/a"),"n/a",IF(M23=0,(K23*V23)-((H23*EXP(1)^(-O23*N23))*W23),(K23*(2.718^(-M23*N23))*V23)-(H23*(2.718^(-O23*N23))*W23))),"n/a")</f>
        <v>n/a</v>
      </c>
      <c r="Y23" s="216" t="str">
        <f t="shared" si="11"/>
        <v>n/a</v>
      </c>
      <c r="AA23" s="93" t="str">
        <f>IF('MASTER PubCo Inputs'!B41=0,"",'MASTER PubCo Inputs'!B41)</f>
        <v>NasdaqCM:RTTR</v>
      </c>
      <c r="AB23" s="406">
        <f>'Beta Calc'!Z23</f>
        <v>-1.06759</v>
      </c>
      <c r="AC23" s="94">
        <f t="shared" si="6"/>
        <v>0</v>
      </c>
      <c r="AI23" s="95"/>
    </row>
    <row r="24" spans="2:35" ht="12.75" hidden="1" customHeight="1" outlineLevel="1">
      <c r="D24" s="406"/>
      <c r="E24" s="406"/>
      <c r="F24" s="406"/>
      <c r="G24" s="406"/>
      <c r="H24" s="406"/>
      <c r="I24" s="406"/>
      <c r="J24" s="406"/>
      <c r="K24" s="406"/>
      <c r="M24" s="56"/>
      <c r="N24" s="406"/>
      <c r="O24" s="214"/>
      <c r="P24" s="215"/>
      <c r="Q24" s="216"/>
      <c r="R24" s="45"/>
      <c r="S24" s="217"/>
      <c r="T24" s="217"/>
      <c r="U24" s="218"/>
      <c r="V24" s="218"/>
      <c r="W24" s="218"/>
      <c r="X24" s="406"/>
      <c r="Y24" s="216"/>
      <c r="AA24" s="93"/>
      <c r="AB24" s="406"/>
      <c r="AC24" s="94"/>
      <c r="AI24" s="95"/>
    </row>
    <row r="25" spans="2:35" ht="12.75" hidden="1" customHeight="1" outlineLevel="1">
      <c r="D25" s="406"/>
      <c r="E25" s="406"/>
      <c r="F25" s="406"/>
      <c r="G25" s="406"/>
      <c r="H25" s="406"/>
      <c r="I25" s="406"/>
      <c r="J25" s="406"/>
      <c r="K25" s="406"/>
      <c r="M25" s="56"/>
      <c r="N25" s="406"/>
      <c r="O25" s="214"/>
      <c r="P25" s="215"/>
      <c r="Q25" s="216"/>
      <c r="R25" s="45"/>
      <c r="S25" s="217"/>
      <c r="T25" s="217"/>
      <c r="U25" s="218"/>
      <c r="V25" s="218"/>
      <c r="W25" s="218"/>
      <c r="X25" s="406"/>
      <c r="Y25" s="216"/>
      <c r="AA25" s="93"/>
      <c r="AB25" s="406"/>
      <c r="AC25" s="94"/>
      <c r="AI25" s="95"/>
    </row>
    <row r="26" spans="2:35" ht="12.75" hidden="1" customHeight="1" outlineLevel="1">
      <c r="D26" s="406"/>
      <c r="E26" s="406"/>
      <c r="F26" s="406"/>
      <c r="G26" s="406"/>
      <c r="H26" s="406"/>
      <c r="I26" s="406"/>
      <c r="J26" s="406"/>
      <c r="K26" s="406"/>
      <c r="M26" s="56"/>
      <c r="N26" s="406"/>
      <c r="O26" s="214"/>
      <c r="P26" s="215"/>
      <c r="Q26" s="216"/>
      <c r="R26" s="45"/>
      <c r="S26" s="217"/>
      <c r="T26" s="217"/>
      <c r="U26" s="218"/>
      <c r="V26" s="218"/>
      <c r="W26" s="218"/>
      <c r="X26" s="406"/>
      <c r="Y26" s="216"/>
      <c r="AA26" s="93"/>
      <c r="AB26" s="406"/>
      <c r="AC26" s="94"/>
      <c r="AI26" s="95"/>
    </row>
    <row r="27" spans="2:35" ht="12.75" hidden="1" customHeight="1" outlineLevel="1">
      <c r="D27" s="406"/>
      <c r="E27" s="406"/>
      <c r="F27" s="406"/>
      <c r="G27" s="406"/>
      <c r="H27" s="406"/>
      <c r="I27" s="406"/>
      <c r="J27" s="406"/>
      <c r="K27" s="406"/>
      <c r="M27" s="56"/>
      <c r="N27" s="406"/>
      <c r="O27" s="214"/>
      <c r="P27" s="215"/>
      <c r="Q27" s="216"/>
      <c r="R27" s="45"/>
      <c r="S27" s="217"/>
      <c r="T27" s="217"/>
      <c r="U27" s="218"/>
      <c r="V27" s="218"/>
      <c r="W27" s="218"/>
      <c r="X27" s="406"/>
      <c r="Y27" s="216"/>
      <c r="AA27" s="93"/>
      <c r="AB27" s="406"/>
      <c r="AC27" s="94"/>
      <c r="AI27" s="95"/>
    </row>
    <row r="28" spans="2:35" ht="12.75" hidden="1" customHeight="1" outlineLevel="1">
      <c r="D28" s="406"/>
      <c r="E28" s="406"/>
      <c r="F28" s="406"/>
      <c r="G28" s="406"/>
      <c r="H28" s="406"/>
      <c r="I28" s="406"/>
      <c r="J28" s="406"/>
      <c r="K28" s="406"/>
      <c r="M28" s="56"/>
      <c r="N28" s="406"/>
      <c r="O28" s="214"/>
      <c r="P28" s="215"/>
      <c r="Q28" s="216"/>
      <c r="R28" s="45"/>
      <c r="S28" s="217"/>
      <c r="T28" s="217"/>
      <c r="U28" s="218"/>
      <c r="V28" s="218"/>
      <c r="W28" s="218"/>
      <c r="X28" s="406"/>
      <c r="Y28" s="216"/>
      <c r="AA28" s="93"/>
      <c r="AB28" s="406"/>
      <c r="AC28" s="94"/>
      <c r="AI28" s="95"/>
    </row>
    <row r="29" spans="2:35" ht="12.75" hidden="1" customHeight="1" outlineLevel="1">
      <c r="D29" s="406"/>
      <c r="E29" s="406"/>
      <c r="F29" s="406"/>
      <c r="G29" s="406"/>
      <c r="H29" s="406"/>
      <c r="I29" s="406"/>
      <c r="J29" s="406"/>
      <c r="K29" s="406"/>
      <c r="M29" s="56"/>
      <c r="N29" s="406"/>
      <c r="O29" s="214"/>
      <c r="P29" s="215"/>
      <c r="Q29" s="216"/>
      <c r="R29" s="45"/>
      <c r="S29" s="217"/>
      <c r="T29" s="217"/>
      <c r="U29" s="218"/>
      <c r="V29" s="218"/>
      <c r="W29" s="218"/>
      <c r="X29" s="406"/>
      <c r="Y29" s="216"/>
      <c r="AA29" s="93"/>
      <c r="AB29" s="406"/>
      <c r="AC29" s="94"/>
      <c r="AI29" s="95"/>
    </row>
    <row r="30" spans="2:35" ht="12.75" hidden="1" customHeight="1" outlineLevel="1">
      <c r="D30" s="406"/>
      <c r="E30" s="406"/>
      <c r="F30" s="406"/>
      <c r="G30" s="406"/>
      <c r="H30" s="406"/>
      <c r="I30" s="406"/>
      <c r="J30" s="406"/>
      <c r="K30" s="406"/>
      <c r="M30" s="56"/>
      <c r="N30" s="406"/>
      <c r="O30" s="214"/>
      <c r="P30" s="215"/>
      <c r="Q30" s="216"/>
      <c r="R30" s="45"/>
      <c r="S30" s="217"/>
      <c r="T30" s="217"/>
      <c r="U30" s="218"/>
      <c r="V30" s="218"/>
      <c r="W30" s="218"/>
      <c r="X30" s="406"/>
      <c r="Y30" s="216"/>
      <c r="AA30" s="93"/>
      <c r="AB30" s="406"/>
      <c r="AC30" s="94"/>
      <c r="AI30" s="95"/>
    </row>
    <row r="31" spans="2:35" ht="12.75" hidden="1" customHeight="1" outlineLevel="1">
      <c r="D31" s="406"/>
      <c r="E31" s="406"/>
      <c r="F31" s="406"/>
      <c r="G31" s="406"/>
      <c r="H31" s="406"/>
      <c r="I31" s="406"/>
      <c r="J31" s="406"/>
      <c r="K31" s="406"/>
      <c r="M31" s="56"/>
      <c r="N31" s="406"/>
      <c r="O31" s="214"/>
      <c r="P31" s="215"/>
      <c r="Q31" s="216"/>
      <c r="R31" s="45"/>
      <c r="S31" s="217"/>
      <c r="T31" s="217"/>
      <c r="U31" s="218"/>
      <c r="V31" s="218"/>
      <c r="W31" s="218"/>
      <c r="X31" s="406"/>
      <c r="Y31" s="216"/>
      <c r="AA31" s="93"/>
      <c r="AB31" s="406"/>
      <c r="AC31" s="94"/>
      <c r="AI31" s="95"/>
    </row>
    <row r="32" spans="2:35" ht="12.75" hidden="1" customHeight="1" outlineLevel="1">
      <c r="D32" s="406"/>
      <c r="E32" s="406"/>
      <c r="F32" s="406"/>
      <c r="G32" s="406"/>
      <c r="H32" s="406"/>
      <c r="I32" s="406"/>
      <c r="J32" s="406"/>
      <c r="K32" s="406"/>
      <c r="M32" s="56"/>
      <c r="N32" s="406"/>
      <c r="O32" s="214"/>
      <c r="P32" s="215"/>
      <c r="Q32" s="216"/>
      <c r="R32" s="45"/>
      <c r="S32" s="217"/>
      <c r="T32" s="217"/>
      <c r="U32" s="218"/>
      <c r="V32" s="218"/>
      <c r="W32" s="218"/>
      <c r="X32" s="406"/>
      <c r="Y32" s="216"/>
      <c r="AA32" s="93"/>
      <c r="AB32" s="406"/>
      <c r="AC32" s="94"/>
      <c r="AI32" s="95"/>
    </row>
    <row r="33" spans="2:35" ht="12.75" hidden="1" customHeight="1" outlineLevel="1">
      <c r="D33" s="406"/>
      <c r="E33" s="406"/>
      <c r="F33" s="406"/>
      <c r="G33" s="406"/>
      <c r="H33" s="406"/>
      <c r="I33" s="406"/>
      <c r="J33" s="406"/>
      <c r="K33" s="406"/>
      <c r="M33" s="56"/>
      <c r="N33" s="406"/>
      <c r="O33" s="214"/>
      <c r="P33" s="215"/>
      <c r="Q33" s="216"/>
      <c r="R33" s="45"/>
      <c r="S33" s="217"/>
      <c r="T33" s="217"/>
      <c r="U33" s="218"/>
      <c r="V33" s="218"/>
      <c r="W33" s="218"/>
      <c r="X33" s="406"/>
      <c r="Y33" s="216"/>
      <c r="AA33" s="93"/>
      <c r="AB33" s="406"/>
      <c r="AC33" s="94"/>
      <c r="AI33" s="95"/>
    </row>
    <row r="34" spans="2:35" ht="12.75" hidden="1" customHeight="1" outlineLevel="1">
      <c r="D34" s="406"/>
      <c r="E34" s="406"/>
      <c r="F34" s="406"/>
      <c r="G34" s="406"/>
      <c r="H34" s="406"/>
      <c r="I34" s="406"/>
      <c r="J34" s="406"/>
      <c r="K34" s="406"/>
      <c r="M34" s="56"/>
      <c r="N34" s="406"/>
      <c r="O34" s="214"/>
      <c r="P34" s="215"/>
      <c r="Q34" s="216"/>
      <c r="R34" s="45"/>
      <c r="S34" s="217"/>
      <c r="T34" s="217"/>
      <c r="U34" s="218"/>
      <c r="V34" s="218"/>
      <c r="W34" s="218"/>
      <c r="X34" s="406"/>
      <c r="Y34" s="216"/>
      <c r="AA34" s="93"/>
      <c r="AB34" s="406"/>
      <c r="AC34" s="94"/>
      <c r="AI34" s="95"/>
    </row>
    <row r="35" spans="2:35" ht="12.75" hidden="1" customHeight="1" outlineLevel="1">
      <c r="D35" s="406"/>
      <c r="E35" s="406"/>
      <c r="F35" s="406"/>
      <c r="G35" s="406"/>
      <c r="H35" s="406"/>
      <c r="I35" s="406"/>
      <c r="J35" s="406"/>
      <c r="K35" s="406"/>
      <c r="M35" s="56"/>
      <c r="N35" s="406"/>
      <c r="O35" s="214"/>
      <c r="P35" s="215"/>
      <c r="Q35" s="216"/>
      <c r="R35" s="45"/>
      <c r="S35" s="217"/>
      <c r="T35" s="217"/>
      <c r="U35" s="218"/>
      <c r="V35" s="218"/>
      <c r="W35" s="218"/>
      <c r="X35" s="406"/>
      <c r="Y35" s="216"/>
      <c r="AA35" s="93"/>
      <c r="AB35" s="406"/>
      <c r="AC35" s="94"/>
      <c r="AI35" s="95"/>
    </row>
    <row r="36" spans="2:35" ht="12.75" hidden="1" customHeight="1" outlineLevel="1">
      <c r="D36" s="406"/>
      <c r="E36" s="406"/>
      <c r="F36" s="406"/>
      <c r="G36" s="406"/>
      <c r="H36" s="406"/>
      <c r="I36" s="406"/>
      <c r="J36" s="406"/>
      <c r="K36" s="406"/>
      <c r="M36" s="56"/>
      <c r="N36" s="406"/>
      <c r="O36" s="214"/>
      <c r="P36" s="215"/>
      <c r="Q36" s="216"/>
      <c r="R36" s="45"/>
      <c r="S36" s="217"/>
      <c r="T36" s="217"/>
      <c r="U36" s="218"/>
      <c r="V36" s="218"/>
      <c r="W36" s="218"/>
      <c r="X36" s="406"/>
      <c r="Y36" s="216"/>
      <c r="AA36" s="93"/>
      <c r="AB36" s="406"/>
      <c r="AC36" s="94"/>
      <c r="AI36" s="95"/>
    </row>
    <row r="37" spans="2:35" ht="12.75" hidden="1" customHeight="1" outlineLevel="1">
      <c r="D37" s="406"/>
      <c r="E37" s="406"/>
      <c r="F37" s="406"/>
      <c r="G37" s="406"/>
      <c r="H37" s="406"/>
      <c r="I37" s="406"/>
      <c r="J37" s="406"/>
      <c r="K37" s="406"/>
      <c r="M37" s="56"/>
      <c r="N37" s="406"/>
      <c r="O37" s="214"/>
      <c r="P37" s="215"/>
      <c r="Q37" s="216"/>
      <c r="R37" s="45"/>
      <c r="S37" s="217"/>
      <c r="T37" s="217"/>
      <c r="U37" s="218"/>
      <c r="V37" s="218"/>
      <c r="W37" s="218"/>
      <c r="X37" s="406"/>
      <c r="Y37" s="216"/>
      <c r="AA37" s="93"/>
      <c r="AB37" s="406"/>
      <c r="AC37" s="94"/>
      <c r="AI37" s="95"/>
    </row>
    <row r="38" spans="2:35" ht="12.75" hidden="1" customHeight="1" outlineLevel="1">
      <c r="D38" s="406"/>
      <c r="E38" s="406"/>
      <c r="F38" s="406"/>
      <c r="G38" s="406"/>
      <c r="H38" s="406"/>
      <c r="I38" s="406"/>
      <c r="J38" s="406"/>
      <c r="K38" s="406"/>
      <c r="M38" s="56"/>
      <c r="N38" s="406"/>
      <c r="O38" s="214"/>
      <c r="P38" s="215"/>
      <c r="Q38" s="216"/>
      <c r="R38" s="45"/>
      <c r="S38" s="217"/>
      <c r="T38" s="217"/>
      <c r="U38" s="218"/>
      <c r="V38" s="218"/>
      <c r="W38" s="218"/>
      <c r="X38" s="406"/>
      <c r="Y38" s="216"/>
      <c r="AA38" s="93"/>
      <c r="AB38" s="406"/>
      <c r="AC38" s="94"/>
      <c r="AI38" s="95"/>
    </row>
    <row r="39" spans="2:35" ht="12.75" customHeight="1" collapsed="1">
      <c r="D39" s="406"/>
      <c r="E39" s="406"/>
      <c r="F39" s="406"/>
      <c r="G39" s="406"/>
      <c r="H39" s="406"/>
      <c r="I39" s="406"/>
      <c r="J39" s="406"/>
      <c r="K39" s="406"/>
      <c r="R39" s="21"/>
    </row>
    <row r="40" spans="2:35" ht="12.75" customHeight="1">
      <c r="B40" s="766" t="s">
        <v>111</v>
      </c>
      <c r="C40" s="782"/>
      <c r="D40" s="781">
        <f t="shared" ref="D40:K40" si="12">MAX(D10:D38)</f>
        <v>1906.0925500000001</v>
      </c>
      <c r="E40" s="781">
        <f t="shared" si="12"/>
        <v>236.50700000000001</v>
      </c>
      <c r="F40" s="781">
        <f t="shared" si="12"/>
        <v>12.112</v>
      </c>
      <c r="G40" s="781">
        <f t="shared" si="12"/>
        <v>0</v>
      </c>
      <c r="H40" s="781">
        <f t="shared" si="12"/>
        <v>236.50700000000001</v>
      </c>
      <c r="I40" s="781">
        <f t="shared" si="12"/>
        <v>1906.0925500000001</v>
      </c>
      <c r="J40" s="781">
        <f t="shared" si="12"/>
        <v>298.06299999999999</v>
      </c>
      <c r="K40" s="781">
        <f t="shared" si="12"/>
        <v>1608.0295500000002</v>
      </c>
      <c r="L40" s="782"/>
      <c r="M40" s="786">
        <f>MAX(M10:M38)</f>
        <v>0</v>
      </c>
      <c r="N40" s="781">
        <f>MAX(N10:N38)</f>
        <v>7.0054794520547947</v>
      </c>
      <c r="O40" s="788">
        <f>MAX(O10:O38)</f>
        <v>2.8100730593607307E-2</v>
      </c>
      <c r="P40" s="789"/>
      <c r="Q40" s="790">
        <f>MAX(Q10:Q38)</f>
        <v>1.1508768139771337</v>
      </c>
      <c r="R40" s="791"/>
      <c r="S40" s="792">
        <f>MAX(S10:S39)</f>
        <v>1.3245174409501581</v>
      </c>
      <c r="T40" s="792" t="e">
        <f>MAX(T10:T39)</f>
        <v>#NUM!</v>
      </c>
      <c r="U40" s="793" t="e">
        <f>MAX(U10:U39)</f>
        <v>#NUM!</v>
      </c>
      <c r="V40" s="793" t="e">
        <f>MAX(V10:V39)</f>
        <v>#NUM!</v>
      </c>
      <c r="W40" s="793" t="e">
        <f>MAX(W10:W39)</f>
        <v>#NUM!</v>
      </c>
      <c r="X40" s="781">
        <f>MAX(X10:X38)</f>
        <v>286.07807691362916</v>
      </c>
      <c r="Y40" s="794">
        <f>MAX(Y10:Y38)</f>
        <v>1.1508768139771337</v>
      </c>
      <c r="AB40" s="825">
        <f>+'Asset Vol_M&amp;A Phase II'!Y47</f>
        <v>0.81200000000000006</v>
      </c>
      <c r="AC40" s="826" t="s">
        <v>1216</v>
      </c>
      <c r="AD40" s="826"/>
      <c r="AE40" s="826"/>
      <c r="AF40" s="803"/>
    </row>
    <row r="41" spans="2:35" ht="12.75" customHeight="1">
      <c r="B41" s="366" t="s">
        <v>115</v>
      </c>
      <c r="C41" s="79"/>
      <c r="D41" s="101">
        <f t="shared" ref="D41:K41" si="13">QUARTILE(D10:D38,3)</f>
        <v>564.60603750000007</v>
      </c>
      <c r="E41" s="101">
        <f t="shared" si="13"/>
        <v>0.27564</v>
      </c>
      <c r="F41" s="101">
        <f t="shared" si="13"/>
        <v>0</v>
      </c>
      <c r="G41" s="101">
        <f t="shared" si="13"/>
        <v>0</v>
      </c>
      <c r="H41" s="101">
        <f t="shared" si="13"/>
        <v>4.0620500000000002</v>
      </c>
      <c r="I41" s="101">
        <f t="shared" si="13"/>
        <v>569.64603750000003</v>
      </c>
      <c r="J41" s="101">
        <f t="shared" si="13"/>
        <v>132.88825</v>
      </c>
      <c r="K41" s="101">
        <f t="shared" si="13"/>
        <v>383.73003750000009</v>
      </c>
      <c r="L41" s="79"/>
      <c r="M41" s="143">
        <f>QUARTILE(M10:M38,3)</f>
        <v>0</v>
      </c>
      <c r="N41" s="101">
        <f>QUARTILE(N10:N38,3)</f>
        <v>7.0054794520547947</v>
      </c>
      <c r="O41" s="219">
        <f>QUARTILE(O10:O38,3)</f>
        <v>2.8100730593607307E-2</v>
      </c>
      <c r="P41" s="220"/>
      <c r="Q41" s="221">
        <f>QUARTILE(Q10:Q38,3)</f>
        <v>0.96966007882271255</v>
      </c>
      <c r="R41" s="222"/>
      <c r="S41" s="223">
        <f>QUARTILE(S10:S39,3)</f>
        <v>0.94101434754903857</v>
      </c>
      <c r="T41" s="223" t="e">
        <f>QUARTILE(T10:T39,3)</f>
        <v>#NUM!</v>
      </c>
      <c r="U41" s="224" t="e">
        <f>QUARTILE(U10:U39,3)</f>
        <v>#NUM!</v>
      </c>
      <c r="V41" s="224" t="e">
        <f>QUARTILE(V10:V39,3)</f>
        <v>#NUM!</v>
      </c>
      <c r="W41" s="224" t="e">
        <f>QUARTILE(W10:W39,3)</f>
        <v>#NUM!</v>
      </c>
      <c r="X41" s="101">
        <f>QUARTILE(X10:X38,3)</f>
        <v>36.129544498700263</v>
      </c>
      <c r="Y41" s="225">
        <f>QUARTILE(Y10:Y38,3)</f>
        <v>0.9744719074777497</v>
      </c>
      <c r="AB41" s="827">
        <f>+'Asset Vol_M&amp;A Phase II'!Y49</f>
        <v>0.81200306054182336</v>
      </c>
      <c r="AC41" s="16" t="s">
        <v>1217</v>
      </c>
      <c r="AD41" s="16"/>
      <c r="AE41" s="16"/>
      <c r="AF41" s="204"/>
    </row>
    <row r="42" spans="2:35" ht="12.75" customHeight="1">
      <c r="B42" s="366" t="s">
        <v>113</v>
      </c>
      <c r="C42" s="79"/>
      <c r="D42" s="101">
        <f t="shared" ref="D42:K42" si="14">AVERAGE(D10:D38)</f>
        <v>406.69437642857145</v>
      </c>
      <c r="E42" s="101">
        <f t="shared" si="14"/>
        <v>18.459698571428572</v>
      </c>
      <c r="F42" s="101">
        <f t="shared" si="14"/>
        <v>1.2186414285714287</v>
      </c>
      <c r="G42" s="101">
        <f t="shared" si="14"/>
        <v>-0.13735714285714287</v>
      </c>
      <c r="H42" s="101">
        <f t="shared" si="14"/>
        <v>19.540982857142861</v>
      </c>
      <c r="I42" s="101">
        <f t="shared" si="14"/>
        <v>426.23535928571425</v>
      </c>
      <c r="J42" s="101">
        <f t="shared" si="14"/>
        <v>90.206330714285741</v>
      </c>
      <c r="K42" s="101">
        <f t="shared" si="14"/>
        <v>336.02902857142857</v>
      </c>
      <c r="L42" s="79"/>
      <c r="M42" s="143">
        <f>AVERAGE(M10:M38)</f>
        <v>0</v>
      </c>
      <c r="N42" s="101">
        <f>AVERAGE(N10:N38)</f>
        <v>7.0054794520547956</v>
      </c>
      <c r="O42" s="219">
        <f>AVERAGE(O10:O38)</f>
        <v>2.8100730593607296E-2</v>
      </c>
      <c r="P42" s="220"/>
      <c r="Q42" s="221">
        <f>AVERAGE(Q10:Q38)</f>
        <v>0.86081319662302214</v>
      </c>
      <c r="R42" s="222"/>
      <c r="S42" s="223">
        <f>AVERAGE(S10:S39)</f>
        <v>0.77003245241661922</v>
      </c>
      <c r="T42" s="223" t="e">
        <f>AVERAGE(T10:T39)</f>
        <v>#NUM!</v>
      </c>
      <c r="U42" s="224" t="e">
        <f>AVERAGE(U10:U39)</f>
        <v>#NUM!</v>
      </c>
      <c r="V42" s="224" t="e">
        <f>AVERAGE(V10:V39)</f>
        <v>#NUM!</v>
      </c>
      <c r="W42" s="224" t="e">
        <f>AVERAGE(W10:W39)</f>
        <v>#NUM!</v>
      </c>
      <c r="X42" s="101">
        <f>AVERAGE(X10:X38)</f>
        <v>51.095848729479833</v>
      </c>
      <c r="Y42" s="225">
        <f>AVERAGE(Y10:Y38)</f>
        <v>0.83138687543824652</v>
      </c>
      <c r="AB42" s="827">
        <f>+'Asset Vol_M&amp;A Phase II'!Y43</f>
        <v>0.81212954472395738</v>
      </c>
      <c r="AC42" s="16" t="s">
        <v>1215</v>
      </c>
      <c r="AD42" s="16"/>
      <c r="AE42" s="16"/>
      <c r="AF42" s="828" t="s">
        <v>1352</v>
      </c>
    </row>
    <row r="43" spans="2:35" ht="12.75" customHeight="1">
      <c r="B43" s="366" t="s">
        <v>44</v>
      </c>
      <c r="C43" s="79"/>
      <c r="D43" s="101">
        <f t="shared" ref="D43:K43" si="15">MEDIAN(D10:D38)</f>
        <v>164.41385500000001</v>
      </c>
      <c r="E43" s="101">
        <f t="shared" si="15"/>
        <v>0</v>
      </c>
      <c r="F43" s="101">
        <f t="shared" si="15"/>
        <v>0</v>
      </c>
      <c r="G43" s="101">
        <f t="shared" si="15"/>
        <v>0</v>
      </c>
      <c r="H43" s="101">
        <f t="shared" si="15"/>
        <v>0</v>
      </c>
      <c r="I43" s="101">
        <f t="shared" si="15"/>
        <v>262.24737500000003</v>
      </c>
      <c r="J43" s="101">
        <f t="shared" si="15"/>
        <v>57.363289999999992</v>
      </c>
      <c r="K43" s="101">
        <f t="shared" si="15"/>
        <v>153.45654500000001</v>
      </c>
      <c r="L43" s="79"/>
      <c r="M43" s="143">
        <f>MEDIAN(M10:M38)</f>
        <v>0</v>
      </c>
      <c r="N43" s="101">
        <f>MEDIAN(N10:N38)</f>
        <v>7.0054794520547947</v>
      </c>
      <c r="O43" s="219">
        <f>MEDIAN(O10:O38)</f>
        <v>2.8100730593607307E-2</v>
      </c>
      <c r="P43" s="220"/>
      <c r="Q43" s="221">
        <f>MEDIAN(Q10:Q38)</f>
        <v>0.86461400356807006</v>
      </c>
      <c r="R43" s="222"/>
      <c r="S43" s="223">
        <f>MEDIAN(S10:S39)</f>
        <v>0.74800921098277806</v>
      </c>
      <c r="T43" s="223" t="e">
        <f>MEDIAN(T10:T39)</f>
        <v>#NUM!</v>
      </c>
      <c r="U43" s="224" t="e">
        <f>MEDIAN(U10:U39)</f>
        <v>#NUM!</v>
      </c>
      <c r="V43" s="224" t="e">
        <f>MEDIAN(V10:V39)</f>
        <v>#NUM!</v>
      </c>
      <c r="W43" s="224" t="e">
        <f>MEDIAN(W10:W39)</f>
        <v>#NUM!</v>
      </c>
      <c r="X43" s="101">
        <f>MEDIAN(X10:X38)</f>
        <v>0</v>
      </c>
      <c r="Y43" s="225">
        <f>MEDIAN(Y10:Y38)</f>
        <v>0.81212954472395738</v>
      </c>
      <c r="AB43" s="829" t="str">
        <f>IF(ROUND(AB40,3)=ROUND(AB42,3),"","Update Volatility - OPM")</f>
        <v/>
      </c>
      <c r="AC43" s="16"/>
      <c r="AD43" s="16"/>
      <c r="AE43" s="16"/>
      <c r="AF43" s="204"/>
    </row>
    <row r="44" spans="2:35" ht="12.75" customHeight="1">
      <c r="B44" s="366" t="s">
        <v>114</v>
      </c>
      <c r="C44" s="79"/>
      <c r="D44" s="101">
        <f t="shared" ref="D44:K44" si="16">QUARTILE(D10:D38,1)</f>
        <v>52.922474999999999</v>
      </c>
      <c r="E44" s="101">
        <f t="shared" si="16"/>
        <v>0</v>
      </c>
      <c r="F44" s="101">
        <f t="shared" si="16"/>
        <v>0</v>
      </c>
      <c r="G44" s="101">
        <f t="shared" si="16"/>
        <v>0</v>
      </c>
      <c r="H44" s="101">
        <f t="shared" si="16"/>
        <v>0</v>
      </c>
      <c r="I44" s="101">
        <f t="shared" si="16"/>
        <v>52.922474999999999</v>
      </c>
      <c r="J44" s="101">
        <f t="shared" si="16"/>
        <v>11.994250000000001</v>
      </c>
      <c r="K44" s="101">
        <f t="shared" si="16"/>
        <v>41.351739999999999</v>
      </c>
      <c r="L44" s="79"/>
      <c r="M44" s="143">
        <f>QUARTILE(M10:M38,1)</f>
        <v>0</v>
      </c>
      <c r="N44" s="101">
        <f>QUARTILE(N10:N38,1)</f>
        <v>7.0054794520547947</v>
      </c>
      <c r="O44" s="219">
        <f>QUARTILE(O10:O38,1)</f>
        <v>2.8100730593607307E-2</v>
      </c>
      <c r="P44" s="220"/>
      <c r="Q44" s="221">
        <f>QUARTILE(Q10:Q38,1)</f>
        <v>0.73870400453059215</v>
      </c>
      <c r="R44" s="222"/>
      <c r="S44" s="223">
        <f>QUARTILE(S10:S39,1)</f>
        <v>0.54569938904176496</v>
      </c>
      <c r="T44" s="223" t="e">
        <f>QUARTILE(T10:T39,1)</f>
        <v>#NUM!</v>
      </c>
      <c r="U44" s="224" t="e">
        <f>QUARTILE(U10:U39,1)</f>
        <v>#NUM!</v>
      </c>
      <c r="V44" s="224" t="e">
        <f>QUARTILE(V10:V39,1)</f>
        <v>#NUM!</v>
      </c>
      <c r="W44" s="224" t="e">
        <f>QUARTILE(W10:W39,1)</f>
        <v>#NUM!</v>
      </c>
      <c r="X44" s="101">
        <f>QUARTILE(X10:X38,1)</f>
        <v>0</v>
      </c>
      <c r="Y44" s="225">
        <f>QUARTILE(Y10:Y38,1)</f>
        <v>0.73641033699934177</v>
      </c>
      <c r="AB44" s="830" t="str">
        <f>IF(ROUND(AB41,3)=ROUND(AB42,3),"","Update Volatility - DLOM")</f>
        <v/>
      </c>
      <c r="AC44" s="5"/>
      <c r="AD44" s="5"/>
      <c r="AE44" s="5"/>
      <c r="AF44" s="448"/>
    </row>
    <row r="45" spans="2:35" ht="12.75" customHeight="1">
      <c r="B45" s="103" t="s">
        <v>112</v>
      </c>
      <c r="C45" s="72"/>
      <c r="D45" s="75">
        <f t="shared" ref="D45:K45" si="17">MIN(D10:D38)</f>
        <v>3.8515700000000002</v>
      </c>
      <c r="E45" s="75">
        <f t="shared" si="17"/>
        <v>0</v>
      </c>
      <c r="F45" s="75">
        <f t="shared" si="17"/>
        <v>0</v>
      </c>
      <c r="G45" s="75">
        <f t="shared" si="17"/>
        <v>-1.923</v>
      </c>
      <c r="H45" s="75">
        <f t="shared" si="17"/>
        <v>0</v>
      </c>
      <c r="I45" s="75">
        <f t="shared" si="17"/>
        <v>4.2190900000000005</v>
      </c>
      <c r="J45" s="75">
        <f t="shared" si="17"/>
        <v>8.43E-3</v>
      </c>
      <c r="K45" s="75">
        <f t="shared" si="17"/>
        <v>-1.0675899999999992</v>
      </c>
      <c r="L45" s="72"/>
      <c r="M45" s="145">
        <f>MIN(M10:M38)</f>
        <v>0</v>
      </c>
      <c r="N45" s="75">
        <f>MIN(N10:N38)</f>
        <v>7.0054794520547947</v>
      </c>
      <c r="O45" s="795">
        <f>MIN(O10:O38)</f>
        <v>2.8100730593607307E-2</v>
      </c>
      <c r="P45" s="796"/>
      <c r="Q45" s="797">
        <f>MIN(Q10:Q38)</f>
        <v>0.57731598641262194</v>
      </c>
      <c r="R45" s="798"/>
      <c r="S45" s="799">
        <f>MIN(S10:S39)</f>
        <v>0.33329374816757867</v>
      </c>
      <c r="T45" s="799" t="e">
        <f>MIN(T10:T39)</f>
        <v>#NUM!</v>
      </c>
      <c r="U45" s="800" t="e">
        <f>MIN(U10:U39)</f>
        <v>#NUM!</v>
      </c>
      <c r="V45" s="800" t="e">
        <f>MIN(V10:V39)</f>
        <v>#NUM!</v>
      </c>
      <c r="W45" s="800" t="e">
        <f>MIN(W10:W39)</f>
        <v>#NUM!</v>
      </c>
      <c r="X45" s="75">
        <f>MIN(X10:X38)</f>
        <v>0</v>
      </c>
      <c r="Y45" s="801">
        <f>MIN(Y10:Y38)</f>
        <v>0.42117968082475254</v>
      </c>
      <c r="AB45" s="515" t="str">
        <f>IF(K47&lt;&gt;K49,"Check","")</f>
        <v/>
      </c>
    </row>
    <row r="46" spans="2:35" ht="12.75" customHeight="1">
      <c r="AB46" s="958" t="str">
        <f>IF(AND(AB43=$AF$44,AB45=$AF$44,AB44=$AF$44),"","Check")</f>
        <v/>
      </c>
    </row>
    <row r="47" spans="2:35" ht="12.75" hidden="1" customHeight="1" outlineLevel="1">
      <c r="B47" s="226" t="str">
        <f>B2</f>
        <v>Kallyope, Inc.</v>
      </c>
      <c r="C47" s="480" t="s">
        <v>209</v>
      </c>
      <c r="D47" s="1753">
        <f>'Val Summ'!D9/1000</f>
        <v>143.33000000000001</v>
      </c>
      <c r="E47" s="1754">
        <f>'Hist BS'!G55/1000</f>
        <v>0</v>
      </c>
      <c r="F47" s="227"/>
      <c r="G47" s="227"/>
      <c r="H47" s="228">
        <f>SUM(E47:G47)</f>
        <v>0</v>
      </c>
      <c r="I47" s="228">
        <f>SUM(D47:G47)</f>
        <v>143.33000000000001</v>
      </c>
      <c r="J47" s="227"/>
      <c r="K47" s="228">
        <f>I47-J47</f>
        <v>143.33000000000001</v>
      </c>
      <c r="L47" s="227"/>
      <c r="M47" s="229">
        <f>'PWERM Waterfall n Allocation'!D13</f>
        <v>0</v>
      </c>
      <c r="N47" s="230">
        <f>N$6</f>
        <v>7.0054794520547947</v>
      </c>
      <c r="O47" s="231">
        <f>O$6</f>
        <v>2.8100730593607307E-2</v>
      </c>
      <c r="P47" s="232"/>
      <c r="Q47" s="233">
        <v>0.81200000000000006</v>
      </c>
      <c r="R47" s="227"/>
      <c r="S47" s="234">
        <f>IF(Q47="n/a","n/a",Q47^2)</f>
        <v>0.65934400000000004</v>
      </c>
      <c r="T47" s="234">
        <f>IF(OR(K47="n/a",S47="n/a"),"n/a",IF(H47=0,0,IF(M47=0,(LN(K47/H47)+((O47+(S47/2))*N47))/((S47*N47)^0.5),(LN(K47/H47)+((O47-M47+(S47/2))*N47))/((S47*N47)^0.5))))</f>
        <v>0</v>
      </c>
      <c r="U47" s="235">
        <f>IF(T47="n/a","n/a",IF(H47=0,0,T47-(S47*N47)^0.5))</f>
        <v>0</v>
      </c>
      <c r="V47" s="235">
        <f>IF(OR(T47="n/a",S47="n/a"),"n/a",IF(H47=0,0,NORMSDIST(T47)))</f>
        <v>0</v>
      </c>
      <c r="W47" s="235">
        <f>IF(OR(U47="n/a",S47="n/a"),"n/a",IF(H47=0,0,NORMSDIST(U47)))</f>
        <v>0</v>
      </c>
      <c r="X47" s="235">
        <f>IF(OR(K47="n/a",S47="n/a"),"n/a",IF(M47=0,(K47*V47)-((H47*EXP(1)^(-O47*N47))*W47),(K47*(2.718^(-M47*N47))*V47)-(H47*(2.718^(-O47*N47))*W47)))</f>
        <v>0</v>
      </c>
      <c r="Y47" s="236">
        <f>IF(LEN(B47)&gt;0,IF(H47=0,Q47,IF(ISERROR(Q47/((K47/X47)*V47)),"n/a",Q47/((K47/X47)*V47))))</f>
        <v>0.81200000000000006</v>
      </c>
    </row>
    <row r="48" spans="2:35" ht="12.75" hidden="1" customHeight="1" outlineLevel="1">
      <c r="C48" s="78"/>
      <c r="D48" s="78"/>
      <c r="E48" s="78"/>
      <c r="F48" s="78"/>
      <c r="G48" s="78"/>
      <c r="H48" s="78"/>
      <c r="I48" s="78"/>
      <c r="J48" s="78"/>
    </row>
    <row r="49" spans="1:25" ht="12.75" customHeight="1" collapsed="1">
      <c r="B49" s="226" t="str">
        <f>B47</f>
        <v>Kallyope, Inc.</v>
      </c>
      <c r="C49" s="480" t="s">
        <v>209</v>
      </c>
      <c r="D49" s="1753">
        <f>D47</f>
        <v>143.33000000000001</v>
      </c>
      <c r="E49" s="1754">
        <f>PWERM!B131/1000+E47</f>
        <v>64.359807910807731</v>
      </c>
      <c r="F49" s="227"/>
      <c r="G49" s="227"/>
      <c r="H49" s="228">
        <f>SUM(E49:G49)</f>
        <v>64.359807910807731</v>
      </c>
      <c r="I49" s="230">
        <f>I47</f>
        <v>143.33000000000001</v>
      </c>
      <c r="J49" s="227"/>
      <c r="K49" s="237">
        <f>K47</f>
        <v>143.33000000000001</v>
      </c>
      <c r="L49" s="227"/>
      <c r="M49" s="238">
        <f>M47</f>
        <v>0</v>
      </c>
      <c r="N49" s="230">
        <f>N$6</f>
        <v>7.0054794520547947</v>
      </c>
      <c r="O49" s="231">
        <f>O$6</f>
        <v>2.8100730593607307E-2</v>
      </c>
      <c r="P49" s="232"/>
      <c r="Q49" s="2518">
        <v>0.89021100922252572</v>
      </c>
      <c r="R49" s="227"/>
      <c r="S49" s="234">
        <f>IF(Q49="n/a","n/a",Q49^2)</f>
        <v>0.79247564094098777</v>
      </c>
      <c r="T49" s="234">
        <f>IF(OR(K49="n/a",S49="n/a"),"n/a",IF(H49=0,0,IF(M49=0,(LN(K49/H49)+((O49+(S49/2))*N49))/((S49*N49)^0.5),(LN(K49/H49)+((O49-M49+(S49/2))*N49))/((S49*N49)^0.5))))</f>
        <v>1.6014589494683864</v>
      </c>
      <c r="U49" s="235">
        <f>IF(T49="n/a","n/a",IF(H49=0,0,T49-(S49*N49)^0.5))</f>
        <v>-0.75473964548621608</v>
      </c>
      <c r="V49" s="235">
        <f>IF(OR(T49="n/a",S49="n/a"),"n/a",IF(H49=0,0,NORMSDIST(T49)))</f>
        <v>0.9453623474038293</v>
      </c>
      <c r="W49" s="235">
        <f>IF(OR(U49="n/a",S49="n/a"),"n/a",IF(H49=0,0,NORMSDIST(U49)))</f>
        <v>0.22520260684092269</v>
      </c>
      <c r="X49" s="235">
        <f>IF(OR(K49="n/a",S49="n/a"),"n/a",IF(M49=0,(K49*V49)-((H49*EXP(1)^(-O49*N49))*W49),(K49*(2.718^(-M49*N49))*V49)-(H49*(2.718^(-O49*N49))*W49)))</f>
        <v>123.59477380710493</v>
      </c>
      <c r="Y49" s="236">
        <f>IF(LEN(B49)&gt;0,IF(H49=0,Q49,IF(ISERROR(Q49/((K49/X49)*V49)),"n/a",Q49/((K49/X49)*V49))))</f>
        <v>0.81200306054182336</v>
      </c>
    </row>
    <row r="50" spans="1:25" ht="12.75" customHeight="1"/>
    <row r="51" spans="1:25" ht="12.75" customHeight="1">
      <c r="B51" s="8" t="s">
        <v>86</v>
      </c>
    </row>
    <row r="52" spans="1:25" ht="12.75" customHeight="1">
      <c r="A52" s="718" t="s">
        <v>210</v>
      </c>
      <c r="B52" s="17" t="s">
        <v>837</v>
      </c>
    </row>
    <row r="53" spans="1:25" s="78" customFormat="1" ht="12.75" customHeight="1">
      <c r="A53" s="719" t="str">
        <f>C49</f>
        <v>(2)</v>
      </c>
      <c r="B53" s="1752" t="s">
        <v>2578</v>
      </c>
      <c r="P53" s="21"/>
    </row>
    <row r="54" spans="1:25" ht="12.75" customHeight="1"/>
    <row r="55" spans="1:25" ht="12.75" customHeight="1">
      <c r="B55" s="8" t="s">
        <v>116</v>
      </c>
    </row>
    <row r="56" spans="1:25" ht="12.75" customHeight="1"/>
    <row r="57" spans="1:25" ht="12.75" customHeight="1">
      <c r="B57" s="405" t="s">
        <v>1244</v>
      </c>
    </row>
    <row r="58" spans="1:25">
      <c r="B58" s="405" t="s">
        <v>1245</v>
      </c>
    </row>
    <row r="59" spans="1:25">
      <c r="B59" s="405" t="s">
        <v>1246</v>
      </c>
    </row>
    <row r="60" spans="1:25">
      <c r="B60" s="405" t="s">
        <v>1247</v>
      </c>
    </row>
    <row r="61" spans="1:25">
      <c r="B61" s="405" t="s">
        <v>1248</v>
      </c>
    </row>
    <row r="62" spans="1:25">
      <c r="B62" s="405" t="s">
        <v>1249</v>
      </c>
    </row>
    <row r="63" spans="1:25">
      <c r="B63" s="405" t="s">
        <v>1250</v>
      </c>
    </row>
    <row r="65" spans="2:2">
      <c r="B65" s="405" t="s">
        <v>1251</v>
      </c>
    </row>
    <row r="66" spans="2:2">
      <c r="B66" s="405" t="s">
        <v>1252</v>
      </c>
    </row>
    <row r="67" spans="2:2">
      <c r="B67" s="405" t="s">
        <v>1253</v>
      </c>
    </row>
    <row r="68" spans="2:2">
      <c r="B68" s="405" t="s">
        <v>1254</v>
      </c>
    </row>
    <row r="69" spans="2:2">
      <c r="B69" s="405" t="s">
        <v>1255</v>
      </c>
    </row>
    <row r="70" spans="2:2">
      <c r="B70" s="405" t="s">
        <v>1256</v>
      </c>
    </row>
  </sheetData>
  <conditionalFormatting sqref="B10:B38">
    <cfRule type="cellIs" dxfId="513" priority="9" operator="equal">
      <formula>"(Invalid Identifier)"</formula>
    </cfRule>
  </conditionalFormatting>
  <conditionalFormatting sqref="C4:I4">
    <cfRule type="cellIs" dxfId="512" priority="8" stopIfTrue="1" operator="equal">
      <formula>"input"</formula>
    </cfRule>
  </conditionalFormatting>
  <conditionalFormatting sqref="J4">
    <cfRule type="cellIs" dxfId="511" priority="6" stopIfTrue="1" operator="equal">
      <formula>"input"</formula>
    </cfRule>
  </conditionalFormatting>
  <conditionalFormatting sqref="J4">
    <cfRule type="cellIs" dxfId="510" priority="7" stopIfTrue="1" operator="equal">
      <formula>"input"</formula>
    </cfRule>
  </conditionalFormatting>
  <conditionalFormatting sqref="K4:X4">
    <cfRule type="cellIs" dxfId="509" priority="4" stopIfTrue="1" operator="equal">
      <formula>"input"</formula>
    </cfRule>
  </conditionalFormatting>
  <conditionalFormatting sqref="K4:X4">
    <cfRule type="cellIs" dxfId="508" priority="5" stopIfTrue="1" operator="equal">
      <formula>"input"</formula>
    </cfRule>
  </conditionalFormatting>
  <conditionalFormatting sqref="Y4">
    <cfRule type="cellIs" dxfId="507" priority="2" stopIfTrue="1" operator="equal">
      <formula>"input"</formula>
    </cfRule>
  </conditionalFormatting>
  <conditionalFormatting sqref="Y4">
    <cfRule type="cellIs" dxfId="506" priority="3" stopIfTrue="1" operator="equal">
      <formula>"input"</formula>
    </cfRule>
  </conditionalFormatting>
  <conditionalFormatting sqref="B4">
    <cfRule type="cellIs" dxfId="505" priority="1" stopIfTrue="1" operator="equal">
      <formula>"input"</formula>
    </cfRule>
  </conditionalFormatting>
  <pageMargins left="0.5" right="0.5" top="0.5" bottom="0.5" header="0.5" footer="0.5"/>
  <pageSetup scale="74" fitToWidth="0" fitToHeight="0" orientation="landscape" r:id="rId1"/>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R55"/>
  <sheetViews>
    <sheetView showGridLines="0" view="pageBreakPreview" zoomScaleNormal="100" zoomScaleSheetLayoutView="100" workbookViewId="0"/>
  </sheetViews>
  <sheetFormatPr defaultRowHeight="12.75" outlineLevelRow="1"/>
  <cols>
    <col min="1" max="1" width="4.5" style="405" customWidth="1"/>
    <col min="2" max="2" width="45.5" style="405" customWidth="1"/>
    <col min="3" max="3" width="2.83203125" style="405" customWidth="1"/>
    <col min="4" max="11" width="14.83203125" style="405" customWidth="1"/>
    <col min="12" max="12" width="4.5" style="405" customWidth="1"/>
    <col min="13" max="13" width="9.5" style="405" bestFit="1" customWidth="1"/>
    <col min="14" max="14" width="10.33203125" style="405" bestFit="1" customWidth="1"/>
    <col min="15" max="15" width="14.1640625" style="411" customWidth="1"/>
    <col min="16" max="16" width="9.33203125" style="405"/>
    <col min="17" max="17" width="14.1640625" style="405" bestFit="1" customWidth="1"/>
    <col min="18" max="16384" width="9.33203125" style="405"/>
  </cols>
  <sheetData>
    <row r="1" spans="2:18" ht="10.7" customHeight="1" thickBot="1"/>
    <row r="2" spans="2:18" ht="16.5" customHeight="1" thickTop="1">
      <c r="B2" s="10" t="str">
        <f>'MASTER PubCo Inputs'!$C$5</f>
        <v>Kallyope, Inc.</v>
      </c>
      <c r="C2" s="10"/>
      <c r="D2" s="10"/>
      <c r="E2" s="10"/>
      <c r="F2" s="10"/>
      <c r="G2" s="10"/>
      <c r="H2" s="10"/>
      <c r="I2" s="10"/>
      <c r="J2" s="10"/>
      <c r="K2" s="10"/>
    </row>
    <row r="3" spans="2:18" ht="15.75" customHeight="1">
      <c r="B3" s="11" t="str">
        <f>VLOOKUP(B4,Outline!$E$8:$G$69,COLUMNS(Outline!$E$8:$G$8),FALSE)</f>
        <v>Exhibit H.7</v>
      </c>
      <c r="C3" s="11"/>
      <c r="D3" s="11"/>
      <c r="E3" s="11"/>
      <c r="F3" s="11"/>
      <c r="G3" s="11"/>
      <c r="H3" s="11"/>
      <c r="I3" s="11"/>
      <c r="J3" s="11"/>
      <c r="K3" s="11"/>
      <c r="O3" s="754" t="s">
        <v>835</v>
      </c>
      <c r="P3" s="918">
        <v>1.25</v>
      </c>
      <c r="Q3" s="754" t="s">
        <v>836</v>
      </c>
      <c r="R3" s="918">
        <v>0</v>
      </c>
    </row>
    <row r="4" spans="2:18" ht="16.5" customHeight="1" thickBot="1">
      <c r="B4" s="12" t="s">
        <v>117</v>
      </c>
      <c r="C4" s="12"/>
      <c r="D4" s="12"/>
      <c r="E4" s="12"/>
      <c r="F4" s="12"/>
      <c r="G4" s="12"/>
      <c r="H4" s="12"/>
      <c r="I4" s="12"/>
      <c r="J4" s="12"/>
      <c r="K4" s="12"/>
    </row>
    <row r="5" spans="2:18" s="16" customFormat="1" ht="12.75" customHeight="1" thickTop="1">
      <c r="B5" s="405"/>
      <c r="C5" s="405"/>
      <c r="D5" s="405"/>
      <c r="E5" s="405"/>
      <c r="F5" s="405"/>
      <c r="G5" s="405"/>
      <c r="H5" s="405"/>
      <c r="I5" s="405"/>
      <c r="J5" s="405"/>
      <c r="K5" s="405"/>
      <c r="L5" s="405"/>
      <c r="O5" s="371"/>
    </row>
    <row r="6" spans="2:18" ht="12.75" customHeight="1">
      <c r="D6" s="239" t="s">
        <v>2579</v>
      </c>
      <c r="E6" s="239"/>
      <c r="F6" s="239"/>
      <c r="G6" s="239"/>
      <c r="H6" s="239"/>
      <c r="I6" s="239"/>
      <c r="J6" s="239"/>
      <c r="K6" s="239"/>
      <c r="M6" s="240" t="s">
        <v>87</v>
      </c>
      <c r="N6" s="241">
        <f>'MASTER PubCo Inputs'!$C$6</f>
        <v>43281</v>
      </c>
    </row>
    <row r="7" spans="2:18" ht="12.75" customHeight="1">
      <c r="D7" s="929" t="s">
        <v>118</v>
      </c>
      <c r="E7" s="930"/>
      <c r="F7" s="930"/>
      <c r="G7" s="930"/>
      <c r="H7" s="931"/>
      <c r="I7" s="930"/>
      <c r="J7" s="930"/>
      <c r="K7" s="931"/>
    </row>
    <row r="8" spans="2:18" ht="15.75" customHeight="1">
      <c r="B8" s="481" t="s">
        <v>633</v>
      </c>
      <c r="D8" s="946">
        <v>1</v>
      </c>
      <c r="E8" s="947">
        <v>2</v>
      </c>
      <c r="F8" s="947">
        <v>3</v>
      </c>
      <c r="G8" s="947">
        <v>4</v>
      </c>
      <c r="H8" s="947">
        <v>5</v>
      </c>
      <c r="I8" s="947">
        <v>6</v>
      </c>
      <c r="J8" s="947">
        <v>7</v>
      </c>
      <c r="K8" s="948">
        <v>8</v>
      </c>
      <c r="M8" s="88" t="s">
        <v>108</v>
      </c>
      <c r="O8" s="369" t="s">
        <v>1342</v>
      </c>
    </row>
    <row r="9" spans="2:18" ht="12.75" customHeight="1"/>
    <row r="10" spans="2:18" ht="12.75" customHeight="1">
      <c r="B10" s="405" t="str">
        <f>'Comp.1'!B12</f>
        <v>ACADIA Pharmaceuticals Inc.</v>
      </c>
      <c r="D10" s="56">
        <f>IF('Capital IQ Sheet-GPC'!BS13="n/a","n/a",IF('Capital IQ Sheet-GPC'!BS13&lt;'Equity Vol'!$R$3,"NM",IF('Capital IQ Sheet-GPC'!BS13&gt;'Equity Vol'!$P$3,"NM",'Capital IQ Sheet-GPC'!BS13)))</f>
        <v>0.64880599142897266</v>
      </c>
      <c r="E10" s="56">
        <f>IF('Capital IQ Sheet-GPC'!BT13="n/a","n/a",IF('Capital IQ Sheet-GPC'!BT13&lt;'Equity Vol'!$R$3,"NM",IF('Capital IQ Sheet-GPC'!BT13&gt;'Equity Vol'!$P$3,"NM",'Capital IQ Sheet-GPC'!BT13)))</f>
        <v>0.58252533739595691</v>
      </c>
      <c r="F10" s="56">
        <f>IF('Capital IQ Sheet-GPC'!BU13="n/a","n/a",IF('Capital IQ Sheet-GPC'!BU13&lt;'Equity Vol'!$R$3,"NM",IF('Capital IQ Sheet-GPC'!BU13&gt;'Equity Vol'!$P$3,"NM",'Capital IQ Sheet-GPC'!BU13)))</f>
        <v>0.62802538852908885</v>
      </c>
      <c r="G10" s="56">
        <f>IF('Capital IQ Sheet-GPC'!BV13="n/a","n/a",IF('Capital IQ Sheet-GPC'!BV13&lt;'Equity Vol'!$R$3,"NM",IF('Capital IQ Sheet-GPC'!BV13&gt;'Equity Vol'!$P$3,"NM",'Capital IQ Sheet-GPC'!BV13)))</f>
        <v>0.60104330440966869</v>
      </c>
      <c r="H10" s="56">
        <f>IF('Capital IQ Sheet-GPC'!BW13="n/a","n/a",IF('Capital IQ Sheet-GPC'!BW13&lt;'Equity Vol'!$R$3,"NM",IF('Capital IQ Sheet-GPC'!BW13&gt;'Equity Vol'!$P$3,"NM",'Capital IQ Sheet-GPC'!BW13)))</f>
        <v>0.60253741475360179</v>
      </c>
      <c r="I10" s="56">
        <f>IF('Capital IQ Sheet-GPC'!BX13="n/a","n/a",IF('Capital IQ Sheet-GPC'!BX13&lt;'Equity Vol'!$R$3,"NM",IF('Capital IQ Sheet-GPC'!BX13&gt;'Equity Vol'!$P$3,"NM",'Capital IQ Sheet-GPC'!BX13)))</f>
        <v>0.73682913406937545</v>
      </c>
      <c r="J10" s="56">
        <f>IF('Capital IQ Sheet-GPC'!BY13="n/a","n/a",IF('Capital IQ Sheet-GPC'!BY13&lt;'Equity Vol'!$R$3,"NM",IF('Capital IQ Sheet-GPC'!BY13&gt;'Equity Vol'!$P$3,"NM",'Capital IQ Sheet-GPC'!BY13)))</f>
        <v>0.73182300193684113</v>
      </c>
      <c r="K10" s="56">
        <f>IF('Capital IQ Sheet-GPC'!BZ13="n/a","n/a",IF('Capital IQ Sheet-GPC'!BZ13&lt;'Equity Vol'!$R$3,"NM",IF('Capital IQ Sheet-GPC'!BZ13&gt;'Equity Vol'!$P$3,"NM",'Capital IQ Sheet-GPC'!BZ13)))</f>
        <v>0.74384858559525979</v>
      </c>
      <c r="M10" s="242" t="str">
        <f>'Asset Vol_IPO Phase I'!AA10</f>
        <v>NasdaqGS:ACAD</v>
      </c>
      <c r="O10" s="925">
        <f>'Capital IQ Sheet-GPC'!G13</f>
        <v>38134</v>
      </c>
    </row>
    <row r="11" spans="2:18" ht="12.75" customHeight="1">
      <c r="B11" s="405" t="str">
        <f>'Comp.1'!B13</f>
        <v>Rhythm Pharmaceuticals, Inc.</v>
      </c>
      <c r="D11" s="2029" t="s">
        <v>686</v>
      </c>
      <c r="E11" s="2029" t="str">
        <f>D11</f>
        <v>NM</v>
      </c>
      <c r="F11" s="2029" t="str">
        <f t="shared" ref="F11:K11" si="0">E11</f>
        <v>NM</v>
      </c>
      <c r="G11" s="2029" t="str">
        <f t="shared" si="0"/>
        <v>NM</v>
      </c>
      <c r="H11" s="2029" t="str">
        <f t="shared" si="0"/>
        <v>NM</v>
      </c>
      <c r="I11" s="2029" t="str">
        <f t="shared" si="0"/>
        <v>NM</v>
      </c>
      <c r="J11" s="2029" t="str">
        <f t="shared" si="0"/>
        <v>NM</v>
      </c>
      <c r="K11" s="2029" t="str">
        <f t="shared" si="0"/>
        <v>NM</v>
      </c>
      <c r="M11" s="242" t="str">
        <f>'Asset Vol_IPO Phase I'!AA11</f>
        <v>NasdaqGM:RYTM</v>
      </c>
      <c r="O11" s="925">
        <f>'Capital IQ Sheet-GPC'!G14</f>
        <v>43013</v>
      </c>
    </row>
    <row r="12" spans="2:18" ht="12.75" customHeight="1">
      <c r="B12" s="405" t="str">
        <f>'Comp.1'!B14</f>
        <v>Assembly Biosciences, Inc.</v>
      </c>
      <c r="D12" s="56">
        <f>IF('Capital IQ Sheet-GPC'!BS15="n/a","n/a",IF('Capital IQ Sheet-GPC'!BS15&lt;'Equity Vol'!$R$3,"NM",IF('Capital IQ Sheet-GPC'!BS15&gt;'Equity Vol'!$P$3,"NM",'Capital IQ Sheet-GPC'!BS15)))</f>
        <v>0.51581867616959842</v>
      </c>
      <c r="E12" s="56">
        <f>IF('Capital IQ Sheet-GPC'!BT15="n/a","n/a",IF('Capital IQ Sheet-GPC'!BT15&lt;'Equity Vol'!$R$3,"NM",IF('Capital IQ Sheet-GPC'!BT15&gt;'Equity Vol'!$P$3,"NM",'Capital IQ Sheet-GPC'!BT15)))</f>
        <v>0.53098119755231199</v>
      </c>
      <c r="F12" s="56">
        <f>IF('Capital IQ Sheet-GPC'!BU15="n/a","n/a",IF('Capital IQ Sheet-GPC'!BU15&lt;'Equity Vol'!$R$3,"NM",IF('Capital IQ Sheet-GPC'!BU15&gt;'Equity Vol'!$P$3,"NM",'Capital IQ Sheet-GPC'!BU15)))</f>
        <v>0.61179906568161346</v>
      </c>
      <c r="G12" s="56">
        <f>IF('Capital IQ Sheet-GPC'!BV15="n/a","n/a",IF('Capital IQ Sheet-GPC'!BV15&lt;'Equity Vol'!$R$3,"NM",IF('Capital IQ Sheet-GPC'!BV15&gt;'Equity Vol'!$P$3,"NM",'Capital IQ Sheet-GPC'!BV15)))</f>
        <v>0.65170735229916987</v>
      </c>
      <c r="H12" s="56">
        <f>IF('Capital IQ Sheet-GPC'!BW15="n/a","n/a",IF('Capital IQ Sheet-GPC'!BW15&lt;'Equity Vol'!$R$3,"NM",IF('Capital IQ Sheet-GPC'!BW15&gt;'Equity Vol'!$P$3,"NM",'Capital IQ Sheet-GPC'!BW15)))</f>
        <v>0.78950004378678795</v>
      </c>
      <c r="I12" s="56">
        <f>IF('Capital IQ Sheet-GPC'!BX15="n/a","n/a",IF('Capital IQ Sheet-GPC'!BX15&lt;'Equity Vol'!$R$3,"NM",IF('Capital IQ Sheet-GPC'!BX15&gt;'Equity Vol'!$P$3,"NM",'Capital IQ Sheet-GPC'!BX15)))</f>
        <v>0.76516734376148998</v>
      </c>
      <c r="J12" s="56">
        <f>IF('Capital IQ Sheet-GPC'!BY15="n/a","n/a",IF('Capital IQ Sheet-GPC'!BY15&lt;'Equity Vol'!$R$3,"NM",IF('Capital IQ Sheet-GPC'!BY15&gt;'Equity Vol'!$P$3,"NM",'Capital IQ Sheet-GPC'!BY15)))</f>
        <v>0.81212954472395738</v>
      </c>
      <c r="K12" s="56">
        <f>IF('Capital IQ Sheet-GPC'!BZ15="n/a","n/a",IF('Capital IQ Sheet-GPC'!BZ15&lt;'Equity Vol'!$R$3,"NM",IF('Capital IQ Sheet-GPC'!BZ15&gt;'Equity Vol'!$P$3,"NM",'Capital IQ Sheet-GPC'!BZ15)))</f>
        <v>0.80538454694258466</v>
      </c>
      <c r="M12" s="242" t="str">
        <f>'Asset Vol_IPO Phase I'!AA12</f>
        <v>NasdaqCM:ASMB</v>
      </c>
      <c r="O12" s="925">
        <f>'Capital IQ Sheet-GPC'!G15</f>
        <v>40529</v>
      </c>
    </row>
    <row r="13" spans="2:18" ht="12.75" customHeight="1">
      <c r="B13" s="405" t="str">
        <f>'Comp.1'!B15</f>
        <v>Voyager Therapeutics, Inc.</v>
      </c>
      <c r="D13" s="56">
        <f>IF('Capital IQ Sheet-GPC'!BS16="n/a","n/a",IF('Capital IQ Sheet-GPC'!BS16&lt;'Equity Vol'!$R$3,"NM",IF('Capital IQ Sheet-GPC'!BS16&gt;'Equity Vol'!$P$3,"NM",'Capital IQ Sheet-GPC'!BS16)))</f>
        <v>0.82950927699237276</v>
      </c>
      <c r="E13" s="56">
        <f>IF('Capital IQ Sheet-GPC'!BT16="n/a","n/a",IF('Capital IQ Sheet-GPC'!BT16&lt;'Equity Vol'!$R$3,"NM",IF('Capital IQ Sheet-GPC'!BT16&gt;'Equity Vol'!$P$3,"NM",'Capital IQ Sheet-GPC'!BT16)))</f>
        <v>0.69953331928686346</v>
      </c>
      <c r="F13" s="56">
        <f>IF('Capital IQ Sheet-GPC'!BU16="n/a","n/a",IF('Capital IQ Sheet-GPC'!BU16&lt;'Equity Vol'!$R$3,"NM",IF('Capital IQ Sheet-GPC'!BU16&gt;'Equity Vol'!$P$3,"NM",'Capital IQ Sheet-GPC'!BU16)))</f>
        <v>0.74099767206184253</v>
      </c>
      <c r="G13" s="2030">
        <f>F13</f>
        <v>0.74099767206184253</v>
      </c>
      <c r="H13" s="2030">
        <f t="shared" ref="H13:K13" si="1">G13</f>
        <v>0.74099767206184253</v>
      </c>
      <c r="I13" s="2030">
        <f t="shared" si="1"/>
        <v>0.74099767206184253</v>
      </c>
      <c r="J13" s="2030">
        <f t="shared" si="1"/>
        <v>0.74099767206184253</v>
      </c>
      <c r="K13" s="2030">
        <f t="shared" si="1"/>
        <v>0.74099767206184253</v>
      </c>
      <c r="M13" s="242" t="str">
        <f>'Asset Vol_IPO Phase I'!AA13</f>
        <v>NasdaqGS:VYGR</v>
      </c>
      <c r="O13" s="925">
        <f>'Capital IQ Sheet-GPC'!G16</f>
        <v>42319</v>
      </c>
    </row>
    <row r="14" spans="2:18" ht="12.75" customHeight="1">
      <c r="B14" s="405" t="str">
        <f>'Comp.1'!B16</f>
        <v>Zafgen, Inc.</v>
      </c>
      <c r="D14" s="56">
        <f>IF('Capital IQ Sheet-GPC'!BS17="n/a","n/a",IF('Capital IQ Sheet-GPC'!BS17&lt;'Equity Vol'!$R$3,"NM",IF('Capital IQ Sheet-GPC'!BS17&gt;'Equity Vol'!$P$3,"NM",'Capital IQ Sheet-GPC'!BS17)))</f>
        <v>0.62800291493254212</v>
      </c>
      <c r="E14" s="56">
        <f>IF('Capital IQ Sheet-GPC'!BT17="n/a","n/a",IF('Capital IQ Sheet-GPC'!BT17&lt;'Equity Vol'!$R$3,"NM",IF('Capital IQ Sheet-GPC'!BT17&gt;'Equity Vol'!$P$3,"NM",'Capital IQ Sheet-GPC'!BT17)))</f>
        <v>0.78226227350182032</v>
      </c>
      <c r="F14" s="2537">
        <f>IF('Capital IQ Sheet-GPC'!BU17="n/a","n/a",IF('Capital IQ Sheet-GPC'!BU17&lt;'Equity Vol'!$R$3,"NM",IF('Capital IQ Sheet-GPC'!BU17&gt;'Equity Vol'!$P$3,"NM",'Capital IQ Sheet-GPC'!BU17)))</f>
        <v>1.1302394832325817</v>
      </c>
      <c r="G14" s="2537">
        <f>IF('Capital IQ Sheet-GPC'!BV17="n/a","n/a",IF('Capital IQ Sheet-GPC'!BV17&lt;'Equity Vol'!$R$3,"NM",IF('Capital IQ Sheet-GPC'!BV17&gt;'Equity Vol'!$P$3,"NM",'Capital IQ Sheet-GPC'!BV17)))</f>
        <v>1.020360192619892</v>
      </c>
      <c r="H14" s="2537">
        <f>IF('Capital IQ Sheet-GPC'!BW17="n/a","n/a",IF('Capital IQ Sheet-GPC'!BW17&lt;'Equity Vol'!$R$3,"NM",IF('Capital IQ Sheet-GPC'!BW17&gt;'Equity Vol'!$P$3,"NM",'Capital IQ Sheet-GPC'!BW17)))</f>
        <v>1.0178372234009103</v>
      </c>
      <c r="I14" s="2030">
        <f>H14</f>
        <v>1.0178372234009103</v>
      </c>
      <c r="J14" s="2030">
        <f t="shared" ref="J14:K14" si="2">I14</f>
        <v>1.0178372234009103</v>
      </c>
      <c r="K14" s="2030">
        <f t="shared" si="2"/>
        <v>1.0178372234009103</v>
      </c>
      <c r="M14" s="242" t="str">
        <f>'Asset Vol_IPO Phase I'!AA14</f>
        <v>NasdaqGS:ZFGN</v>
      </c>
      <c r="O14" s="925">
        <f>'Capital IQ Sheet-GPC'!G17</f>
        <v>41810</v>
      </c>
    </row>
    <row r="15" spans="2:18" ht="12.75" customHeight="1">
      <c r="B15" s="405" t="str">
        <f>'Comp.1'!B17</f>
        <v>Seres Therapeutics, Inc.</v>
      </c>
      <c r="D15" s="56">
        <f>IF('Capital IQ Sheet-GPC'!BS18="n/a","n/a",IF('Capital IQ Sheet-GPC'!BS18&lt;'Equity Vol'!$R$3,"NM",IF('Capital IQ Sheet-GPC'!BS18&gt;'Equity Vol'!$P$3,"NM",'Capital IQ Sheet-GPC'!BS18)))</f>
        <v>0.55699337102406377</v>
      </c>
      <c r="E15" s="56">
        <f>IF('Capital IQ Sheet-GPC'!BT18="n/a","n/a",IF('Capital IQ Sheet-GPC'!BT18&lt;'Equity Vol'!$R$3,"NM",IF('Capital IQ Sheet-GPC'!BT18&gt;'Equity Vol'!$P$3,"NM",'Capital IQ Sheet-GPC'!BT18)))</f>
        <v>1.0233551347357785</v>
      </c>
      <c r="F15" s="56">
        <f>IF('Capital IQ Sheet-GPC'!BU18="n/a","n/a",IF('Capital IQ Sheet-GPC'!BU18&lt;'Equity Vol'!$R$3,"NM",IF('Capital IQ Sheet-GPC'!BU18&gt;'Equity Vol'!$P$3,"NM",'Capital IQ Sheet-GPC'!BU18)))</f>
        <v>0.9382914450442692</v>
      </c>
      <c r="G15" s="56">
        <f>IF('Capital IQ Sheet-GPC'!BV18="n/a","n/a",IF('Capital IQ Sheet-GPC'!BV18&lt;'Equity Vol'!$R$3,"NM",IF('Capital IQ Sheet-GPC'!BV18&gt;'Equity Vol'!$P$3,"NM",'Capital IQ Sheet-GPC'!BV18)))</f>
        <v>0.95360103062997992</v>
      </c>
      <c r="H15" s="2030">
        <f>G15</f>
        <v>0.95360103062997992</v>
      </c>
      <c r="I15" s="2030">
        <f t="shared" ref="I15:K15" si="3">H15</f>
        <v>0.95360103062997992</v>
      </c>
      <c r="J15" s="2030">
        <f t="shared" si="3"/>
        <v>0.95360103062997992</v>
      </c>
      <c r="K15" s="2030">
        <f t="shared" si="3"/>
        <v>0.95360103062997992</v>
      </c>
      <c r="M15" s="242" t="str">
        <f>'Asset Vol_IPO Phase I'!AA15</f>
        <v>NasdaqGS:MCRB</v>
      </c>
      <c r="O15" s="925">
        <f>'Capital IQ Sheet-GPC'!G18</f>
        <v>42181</v>
      </c>
    </row>
    <row r="16" spans="2:18" ht="12.75" customHeight="1">
      <c r="B16" s="405" t="str">
        <f>'Comp.1'!B18</f>
        <v>CohBar, Inc.</v>
      </c>
      <c r="D16" s="56">
        <f>IF('Capital IQ Sheet-GPC'!BS19="n/a","n/a",IF('Capital IQ Sheet-GPC'!BS19&lt;'Equity Vol'!$R$3,"NM",IF('Capital IQ Sheet-GPC'!BS19&gt;'Equity Vol'!$P$3,"NM",'Capital IQ Sheet-GPC'!BS19)))</f>
        <v>1.1006050499094084</v>
      </c>
      <c r="E16" s="56">
        <f>IF('Capital IQ Sheet-GPC'!BT19="n/a","n/a",IF('Capital IQ Sheet-GPC'!BT19&lt;'Equity Vol'!$R$3,"NM",IF('Capital IQ Sheet-GPC'!BT19&gt;'Equity Vol'!$P$3,"NM",'Capital IQ Sheet-GPC'!BT19)))</f>
        <v>0.96962907722855873</v>
      </c>
      <c r="F16" s="56">
        <f>IF('Capital IQ Sheet-GPC'!BU19="n/a","n/a",IF('Capital IQ Sheet-GPC'!BU19&lt;'Equity Vol'!$R$3,"NM",IF('Capital IQ Sheet-GPC'!BU19&gt;'Equity Vol'!$P$3,"NM",'Capital IQ Sheet-GPC'!BU19)))</f>
        <v>0.92782915284976175</v>
      </c>
      <c r="G16" s="56">
        <f>IF('Capital IQ Sheet-GPC'!BV19="n/a","n/a",IF('Capital IQ Sheet-GPC'!BV19&lt;'Equity Vol'!$R$3,"NM",IF('Capital IQ Sheet-GPC'!BV19&gt;'Equity Vol'!$P$3,"NM",'Capital IQ Sheet-GPC'!BV19)))</f>
        <v>0.89467871227668438</v>
      </c>
      <c r="H16" s="2030">
        <f>G16</f>
        <v>0.89467871227668438</v>
      </c>
      <c r="I16" s="2030">
        <f t="shared" ref="I16:K16" si="4">H16</f>
        <v>0.89467871227668438</v>
      </c>
      <c r="J16" s="2030">
        <f t="shared" si="4"/>
        <v>0.89467871227668438</v>
      </c>
      <c r="K16" s="2030">
        <f t="shared" si="4"/>
        <v>0.89467871227668438</v>
      </c>
      <c r="M16" s="242" t="str">
        <f>'Asset Vol_IPO Phase I'!AA16</f>
        <v>TSXV:COB.U</v>
      </c>
      <c r="O16" s="925">
        <f>'Capital IQ Sheet-GPC'!G19</f>
        <v>42012</v>
      </c>
    </row>
    <row r="17" spans="2:15" ht="12.75" customHeight="1">
      <c r="B17" s="405" t="str">
        <f>'Comp.1'!B19</f>
        <v>VIVUS, Inc.</v>
      </c>
      <c r="D17" s="56">
        <f>IF('Capital IQ Sheet-GPC'!BS20="n/a","n/a",IF('Capital IQ Sheet-GPC'!BS20&lt;'Equity Vol'!$R$3,"NM",IF('Capital IQ Sheet-GPC'!BS20&gt;'Equity Vol'!$P$3,"NM",'Capital IQ Sheet-GPC'!BS20)))</f>
        <v>0.86045485382114273</v>
      </c>
      <c r="E17" s="56">
        <f>IF('Capital IQ Sheet-GPC'!BT20="n/a","n/a",IF('Capital IQ Sheet-GPC'!BT20&lt;'Equity Vol'!$R$3,"NM",IF('Capital IQ Sheet-GPC'!BT20&gt;'Equity Vol'!$P$3,"NM",'Capital IQ Sheet-GPC'!BT20)))</f>
        <v>0.69142064470826325</v>
      </c>
      <c r="F17" s="56">
        <f>IF('Capital IQ Sheet-GPC'!BU20="n/a","n/a",IF('Capital IQ Sheet-GPC'!BU20&lt;'Equity Vol'!$R$3,"NM",IF('Capital IQ Sheet-GPC'!BU20&gt;'Equity Vol'!$P$3,"NM",'Capital IQ Sheet-GPC'!BU20)))</f>
        <v>0.69803335239953213</v>
      </c>
      <c r="G17" s="56">
        <f>IF('Capital IQ Sheet-GPC'!BV20="n/a","n/a",IF('Capital IQ Sheet-GPC'!BV20&lt;'Equity Vol'!$R$3,"NM",IF('Capital IQ Sheet-GPC'!BV20&gt;'Equity Vol'!$P$3,"NM",'Capital IQ Sheet-GPC'!BV20)))</f>
        <v>0.65477238914194269</v>
      </c>
      <c r="H17" s="56">
        <f>IF('Capital IQ Sheet-GPC'!BW20="n/a","n/a",IF('Capital IQ Sheet-GPC'!BW20&lt;'Equity Vol'!$R$3,"NM",IF('Capital IQ Sheet-GPC'!BW20&gt;'Equity Vol'!$P$3,"NM",'Capital IQ Sheet-GPC'!BW20)))</f>
        <v>0.62641061737964543</v>
      </c>
      <c r="I17" s="56">
        <f>IF('Capital IQ Sheet-GPC'!BX20="n/a","n/a",IF('Capital IQ Sheet-GPC'!BX20&lt;'Equity Vol'!$R$3,"NM",IF('Capital IQ Sheet-GPC'!BX20&gt;'Equity Vol'!$P$3,"NM",'Capital IQ Sheet-GPC'!BX20)))</f>
        <v>0.62711024603902565</v>
      </c>
      <c r="J17" s="56">
        <f>IF('Capital IQ Sheet-GPC'!BY20="n/a","n/a",IF('Capital IQ Sheet-GPC'!BY20&lt;'Equity Vol'!$R$3,"NM",IF('Capital IQ Sheet-GPC'!BY20&gt;'Equity Vol'!$P$3,"NM",'Capital IQ Sheet-GPC'!BY20)))</f>
        <v>0.62065644569477552</v>
      </c>
      <c r="K17" s="56">
        <f>IF('Capital IQ Sheet-GPC'!BZ20="n/a","n/a",IF('Capital IQ Sheet-GPC'!BZ20&lt;'Equity Vol'!$R$3,"NM",IF('Capital IQ Sheet-GPC'!BZ20&gt;'Equity Vol'!$P$3,"NM",'Capital IQ Sheet-GPC'!BZ20)))</f>
        <v>0.62394207178490346</v>
      </c>
      <c r="M17" s="242" t="str">
        <f>'Asset Vol_IPO Phase I'!AA17</f>
        <v>NasdaqGS:VVUS</v>
      </c>
      <c r="O17" s="925">
        <f>'Capital IQ Sheet-GPC'!G20</f>
        <v>34431</v>
      </c>
    </row>
    <row r="18" spans="2:15" ht="12.75" customHeight="1">
      <c r="B18" s="405" t="str">
        <f>'Comp.1'!B20</f>
        <v>Anavex Life Sciences Corp.</v>
      </c>
      <c r="D18" s="56">
        <f>IF('Capital IQ Sheet-GPC'!BS21="n/a","n/a",IF('Capital IQ Sheet-GPC'!BS21&lt;'Equity Vol'!$R$3,"NM",IF('Capital IQ Sheet-GPC'!BS21&gt;'Equity Vol'!$P$3,"NM",'Capital IQ Sheet-GPC'!BS21)))</f>
        <v>0.71511852104993068</v>
      </c>
      <c r="E18" s="56">
        <f>IF('Capital IQ Sheet-GPC'!BT21="n/a","n/a",IF('Capital IQ Sheet-GPC'!BT21&lt;'Equity Vol'!$R$3,"NM",IF('Capital IQ Sheet-GPC'!BT21&gt;'Equity Vol'!$P$3,"NM",'Capital IQ Sheet-GPC'!BT21)))</f>
        <v>0.83438376633307754</v>
      </c>
      <c r="F18" s="2537">
        <f>IF('Capital IQ Sheet-GPC'!BU21="n/a","n/a",IF('Capital IQ Sheet-GPC'!BU21&lt;'Equity Vol'!$R$3,"NM",IF('Capital IQ Sheet-GPC'!BU21&gt;'Equity Vol'!$P$3,"NM",'Capital IQ Sheet-GPC'!BU21)))</f>
        <v>1.0581745625825705</v>
      </c>
      <c r="G18" s="2537">
        <f>IF('Capital IQ Sheet-GPC'!BV21="n/a","n/a",IF('Capital IQ Sheet-GPC'!BV21&lt;'Equity Vol'!$R$3,"NM",IF('Capital IQ Sheet-GPC'!BV21&gt;'Equity Vol'!$P$3,"NM",'Capital IQ Sheet-GPC'!BV21)))</f>
        <v>1.026754180763048</v>
      </c>
      <c r="H18" s="2537">
        <f>IF('Capital IQ Sheet-GPC'!BW21="n/a","n/a",IF('Capital IQ Sheet-GPC'!BW21&lt;'Equity Vol'!$R$3,"NM",IF('Capital IQ Sheet-GPC'!BW21&gt;'Equity Vol'!$P$3,"NM",'Capital IQ Sheet-GPC'!BW21)))</f>
        <v>1.0604665387374532</v>
      </c>
      <c r="I18" s="2537">
        <f>IF('Capital IQ Sheet-GPC'!BX21="n/a","n/a",IF('Capital IQ Sheet-GPC'!BX21&lt;'Equity Vol'!$R$3,"NM",IF('Capital IQ Sheet-GPC'!BX21&gt;'Equity Vol'!$P$3,"NM",'Capital IQ Sheet-GPC'!BX21)))</f>
        <v>1.0799998283264112</v>
      </c>
      <c r="J18" s="2537">
        <f>IF('Capital IQ Sheet-GPC'!BY21="n/a","n/a",IF('Capital IQ Sheet-GPC'!BY21&lt;'Equity Vol'!$R$3,"NM",IF('Capital IQ Sheet-GPC'!BY21&gt;'Equity Vol'!$P$3,"NM",'Capital IQ Sheet-GPC'!BY21)))</f>
        <v>1.100613921225378</v>
      </c>
      <c r="K18" s="2537">
        <f>IF('Capital IQ Sheet-GPC'!BZ21="n/a","n/a",IF('Capital IQ Sheet-GPC'!BZ21&lt;'Equity Vol'!$R$3,"NM",IF('Capital IQ Sheet-GPC'!BZ21&gt;'Equity Vol'!$P$3,"NM",'Capital IQ Sheet-GPC'!BZ21)))</f>
        <v>1.0435777674526621</v>
      </c>
      <c r="M18" s="242" t="str">
        <f>'Asset Vol_IPO Phase I'!AA18</f>
        <v>NasdaqCM:AVXL</v>
      </c>
      <c r="O18" s="925">
        <f>'Capital IQ Sheet-GPC'!G21</f>
        <v>38820</v>
      </c>
    </row>
    <row r="19" spans="2:15" ht="12.75" customHeight="1">
      <c r="B19" s="405" t="str">
        <f>'Comp.1'!B21</f>
        <v>OptiBiotix Health plc</v>
      </c>
      <c r="D19" s="56">
        <f>IF('Capital IQ Sheet-GPC'!BS22="n/a","n/a",IF('Capital IQ Sheet-GPC'!BS22&lt;'Equity Vol'!$R$3,"NM",IF('Capital IQ Sheet-GPC'!BS22&gt;'Equity Vol'!$P$3,"NM",'Capital IQ Sheet-GPC'!BS22)))</f>
        <v>0.41030129325483672</v>
      </c>
      <c r="E19" s="56">
        <f>IF('Capital IQ Sheet-GPC'!BT22="n/a","n/a",IF('Capital IQ Sheet-GPC'!BT22&lt;'Equity Vol'!$R$3,"NM",IF('Capital IQ Sheet-GPC'!BT22&gt;'Equity Vol'!$P$3,"NM",'Capital IQ Sheet-GPC'!BT22)))</f>
        <v>0.42567453868013866</v>
      </c>
      <c r="F19" s="56">
        <f>IF('Capital IQ Sheet-GPC'!BU22="n/a","n/a",IF('Capital IQ Sheet-GPC'!BU22&lt;'Equity Vol'!$R$3,"NM",IF('Capital IQ Sheet-GPC'!BU22&gt;'Equity Vol'!$P$3,"NM",'Capital IQ Sheet-GPC'!BU22)))</f>
        <v>0.52958074472522787</v>
      </c>
      <c r="G19" s="56">
        <f>IF('Capital IQ Sheet-GPC'!BV22="n/a","n/a",IF('Capital IQ Sheet-GPC'!BV22&lt;'Equity Vol'!$R$3,"NM",IF('Capital IQ Sheet-GPC'!BV22&gt;'Equity Vol'!$P$3,"NM",'Capital IQ Sheet-GPC'!BV22)))</f>
        <v>0.57731598641262194</v>
      </c>
      <c r="H19" s="2030">
        <f>G19</f>
        <v>0.57731598641262194</v>
      </c>
      <c r="I19" s="2030">
        <f t="shared" ref="I19:K19" si="5">H19</f>
        <v>0.57731598641262194</v>
      </c>
      <c r="J19" s="2030">
        <f t="shared" si="5"/>
        <v>0.57731598641262194</v>
      </c>
      <c r="K19" s="2030">
        <f t="shared" si="5"/>
        <v>0.57731598641262194</v>
      </c>
      <c r="M19" s="242" t="str">
        <f>'Asset Vol_IPO Phase I'!AA19</f>
        <v>AIM:OPTI</v>
      </c>
      <c r="O19" s="925">
        <f>'Capital IQ Sheet-GPC'!G22</f>
        <v>41856</v>
      </c>
    </row>
    <row r="20" spans="2:15" ht="12.75" customHeight="1">
      <c r="B20" s="405" t="str">
        <f>'Comp.1'!B22</f>
        <v>Soleno Therapeutics, Inc.</v>
      </c>
      <c r="D20" s="56">
        <f>IF('Capital IQ Sheet-GPC'!BS23="n/a","n/a",IF('Capital IQ Sheet-GPC'!BS23&lt;'Equity Vol'!$R$3,"NM",IF('Capital IQ Sheet-GPC'!BS23&gt;'Equity Vol'!$P$3,"NM",'Capital IQ Sheet-GPC'!BS23)))</f>
        <v>0.90727608700034945</v>
      </c>
      <c r="E20" s="56">
        <f>IF('Capital IQ Sheet-GPC'!BT23="n/a","n/a",IF('Capital IQ Sheet-GPC'!BT23&lt;'Equity Vol'!$R$3,"NM",IF('Capital IQ Sheet-GPC'!BT23&gt;'Equity Vol'!$P$3,"NM",'Capital IQ Sheet-GPC'!BT23)))</f>
        <v>0.77412653461001024</v>
      </c>
      <c r="F20" s="56">
        <f>IF('Capital IQ Sheet-GPC'!BU23="n/a","n/a",IF('Capital IQ Sheet-GPC'!BU23&lt;'Equity Vol'!$R$3,"NM",IF('Capital IQ Sheet-GPC'!BU23&gt;'Equity Vol'!$P$3,"NM",'Capital IQ Sheet-GPC'!BU23)))</f>
        <v>0.99646473832161442</v>
      </c>
      <c r="G20" s="2537">
        <f>IF('Capital IQ Sheet-GPC'!BV23="n/a","n/a",IF('Capital IQ Sheet-GPC'!BV23&lt;'Equity Vol'!$R$3,"NM",IF('Capital IQ Sheet-GPC'!BV23&gt;'Equity Vol'!$P$3,"NM",'Capital IQ Sheet-GPC'!BV23)))</f>
        <v>1.1508768139771337</v>
      </c>
      <c r="H20" s="2537">
        <f>G20</f>
        <v>1.1508768139771337</v>
      </c>
      <c r="I20" s="2537">
        <f t="shared" ref="I20:K20" si="6">H20</f>
        <v>1.1508768139771337</v>
      </c>
      <c r="J20" s="2537">
        <f t="shared" si="6"/>
        <v>1.1508768139771337</v>
      </c>
      <c r="K20" s="2537">
        <f t="shared" si="6"/>
        <v>1.1508768139771337</v>
      </c>
      <c r="M20" s="242" t="str">
        <f>'Asset Vol_IPO Phase I'!AA20</f>
        <v>NasdaqCM:SLNO</v>
      </c>
      <c r="O20" s="925">
        <f>'Capital IQ Sheet-GPC'!G23</f>
        <v>41957</v>
      </c>
    </row>
    <row r="21" spans="2:15" ht="12.75" customHeight="1">
      <c r="B21" s="405" t="str">
        <f>'Comp.1'!B23</f>
        <v>Synthetic Biologics, Inc.</v>
      </c>
      <c r="D21" s="56">
        <f>IF('Capital IQ Sheet-GPC'!BS24="n/a","n/a",IF('Capital IQ Sheet-GPC'!BS24&lt;'Equity Vol'!$R$3,"NM",IF('Capital IQ Sheet-GPC'!BS24&gt;'Equity Vol'!$P$3,"NM",'Capital IQ Sheet-GPC'!BS24)))</f>
        <v>0.80405994497907174</v>
      </c>
      <c r="E21" s="56">
        <f>IF('Capital IQ Sheet-GPC'!BT24="n/a","n/a",IF('Capital IQ Sheet-GPC'!BT24&lt;'Equity Vol'!$R$3,"NM",IF('Capital IQ Sheet-GPC'!BT24&gt;'Equity Vol'!$P$3,"NM",'Capital IQ Sheet-GPC'!BT24)))</f>
        <v>0.80665365567653446</v>
      </c>
      <c r="F21" s="56">
        <f>IF('Capital IQ Sheet-GPC'!BU24="n/a","n/a",IF('Capital IQ Sheet-GPC'!BU24&lt;'Equity Vol'!$R$3,"NM",IF('Capital IQ Sheet-GPC'!BU24&gt;'Equity Vol'!$P$3,"NM",'Capital IQ Sheet-GPC'!BU24)))</f>
        <v>0.86084148620167278</v>
      </c>
      <c r="G21" s="56">
        <f>IF('Capital IQ Sheet-GPC'!BV24="n/a","n/a",IF('Capital IQ Sheet-GPC'!BV24&lt;'Equity Vol'!$R$3,"NM",IF('Capital IQ Sheet-GPC'!BV24&gt;'Equity Vol'!$P$3,"NM",'Capital IQ Sheet-GPC'!BV24)))</f>
        <v>0.84691152261417069</v>
      </c>
      <c r="H21" s="56">
        <f>IF('Capital IQ Sheet-GPC'!BW24="n/a","n/a",IF('Capital IQ Sheet-GPC'!BW24&lt;'Equity Vol'!$R$3,"NM",IF('Capital IQ Sheet-GPC'!BW24&gt;'Equity Vol'!$P$3,"NM",'Capital IQ Sheet-GPC'!BW24)))</f>
        <v>0.86189374799365637</v>
      </c>
      <c r="I21" s="56">
        <f>IF('Capital IQ Sheet-GPC'!BX24="n/a","n/a",IF('Capital IQ Sheet-GPC'!BX24&lt;'Equity Vol'!$R$3,"NM",IF('Capital IQ Sheet-GPC'!BX24&gt;'Equity Vol'!$P$3,"NM",'Capital IQ Sheet-GPC'!BX24)))</f>
        <v>0.8230785321875862</v>
      </c>
      <c r="J21" s="56">
        <f>IF('Capital IQ Sheet-GPC'!BY24="n/a","n/a",IF('Capital IQ Sheet-GPC'!BY24&lt;'Equity Vol'!$R$3,"NM",IF('Capital IQ Sheet-GPC'!BY24&gt;'Equity Vol'!$P$3,"NM",'Capital IQ Sheet-GPC'!BY24)))</f>
        <v>0.84335757355803964</v>
      </c>
      <c r="K21" s="56">
        <f>IF('Capital IQ Sheet-GPC'!BZ24="n/a","n/a",IF('Capital IQ Sheet-GPC'!BZ24&lt;'Equity Vol'!$R$3,"NM",IF('Capital IQ Sheet-GPC'!BZ24&gt;'Equity Vol'!$P$3,"NM",'Capital IQ Sheet-GPC'!BZ24)))</f>
        <v>0.86784046422784034</v>
      </c>
      <c r="M21" s="242" t="str">
        <f>'Asset Vol_IPO Phase I'!AA21</f>
        <v>AMEX:SYN</v>
      </c>
      <c r="O21" s="925">
        <f>'Capital IQ Sheet-GPC'!G24</f>
        <v>39022</v>
      </c>
    </row>
    <row r="22" spans="2:15" ht="12.75" customHeight="1">
      <c r="B22" s="405" t="str">
        <f>'Comp.1'!B24</f>
        <v>Nexus BioPharma, Inc.</v>
      </c>
      <c r="D22" s="2029" t="str">
        <f>IF('Capital IQ Sheet-GPC'!BS25="n/a","n/a",IF('Capital IQ Sheet-GPC'!BS25&lt;'Equity Vol'!$R$3,"NM",IF('Capital IQ Sheet-GPC'!BS25&gt;'Equity Vol'!$P$3,"NM",'Capital IQ Sheet-GPC'!BS25)))</f>
        <v>NM</v>
      </c>
      <c r="E22" s="2029" t="str">
        <f>D22</f>
        <v>NM</v>
      </c>
      <c r="F22" s="2029" t="str">
        <f t="shared" ref="F22:K22" si="7">E22</f>
        <v>NM</v>
      </c>
      <c r="G22" s="2029" t="str">
        <f t="shared" si="7"/>
        <v>NM</v>
      </c>
      <c r="H22" s="2029" t="str">
        <f t="shared" si="7"/>
        <v>NM</v>
      </c>
      <c r="I22" s="2029" t="str">
        <f t="shared" si="7"/>
        <v>NM</v>
      </c>
      <c r="J22" s="2029" t="str">
        <f t="shared" si="7"/>
        <v>NM</v>
      </c>
      <c r="K22" s="2029" t="str">
        <f t="shared" si="7"/>
        <v>NM</v>
      </c>
      <c r="M22" s="242" t="str">
        <f>'Asset Vol_IPO Phase I'!AA22</f>
        <v>OTCPK:NEXS</v>
      </c>
      <c r="O22" s="925">
        <f>'Capital IQ Sheet-GPC'!G25</f>
        <v>42531</v>
      </c>
    </row>
    <row r="23" spans="2:15" ht="12.75" customHeight="1">
      <c r="B23" s="405" t="str">
        <f>'Comp.1'!B25</f>
        <v>Ritter Pharmaceuticals, Inc.</v>
      </c>
      <c r="D23" s="56">
        <f>IF('Capital IQ Sheet-GPC'!BS26="n/a","n/a",IF('Capital IQ Sheet-GPC'!BS26&lt;'Equity Vol'!$R$3,"NM",IF('Capital IQ Sheet-GPC'!BS26&gt;'Equity Vol'!$P$3,"NM",'Capital IQ Sheet-GPC'!BS26)))</f>
        <v>0.78024392754863803</v>
      </c>
      <c r="E23" s="56">
        <f>IF('Capital IQ Sheet-GPC'!BT26="n/a","n/a",IF('Capital IQ Sheet-GPC'!BT26&lt;'Equity Vol'!$R$3,"NM",IF('Capital IQ Sheet-GPC'!BT26&gt;'Equity Vol'!$P$3,"NM",'Capital IQ Sheet-GPC'!BT26)))</f>
        <v>0.85279968408266305</v>
      </c>
      <c r="F23" s="56">
        <f>IF('Capital IQ Sheet-GPC'!BU26="n/a","n/a",IF('Capital IQ Sheet-GPC'!BU26&lt;'Equity Vol'!$R$3,"NM",IF('Capital IQ Sheet-GPC'!BU26&gt;'Equity Vol'!$P$3,"NM",'Capital IQ Sheet-GPC'!BU26)))</f>
        <v>0.88676691262394824</v>
      </c>
      <c r="G23" s="56">
        <f>IF('Capital IQ Sheet-GPC'!BV26="n/a","n/a",IF('Capital IQ Sheet-GPC'!BV26&lt;'Equity Vol'!$R$3,"NM",IF('Capital IQ Sheet-GPC'!BV26&gt;'Equity Vol'!$P$3,"NM",'Capital IQ Sheet-GPC'!BV26)))</f>
        <v>0.88587043357810058</v>
      </c>
      <c r="H23" s="2030">
        <f>G23</f>
        <v>0.88587043357810058</v>
      </c>
      <c r="I23" s="2030">
        <f t="shared" ref="I23:K23" si="8">H23</f>
        <v>0.88587043357810058</v>
      </c>
      <c r="J23" s="2030">
        <f t="shared" si="8"/>
        <v>0.88587043357810058</v>
      </c>
      <c r="K23" s="2030">
        <f t="shared" si="8"/>
        <v>0.88587043357810058</v>
      </c>
      <c r="M23" s="242" t="str">
        <f>'Asset Vol_IPO Phase I'!AA23</f>
        <v>NasdaqCM:RTTR</v>
      </c>
      <c r="O23" s="925">
        <f>'Capital IQ Sheet-GPC'!G26</f>
        <v>42179</v>
      </c>
    </row>
    <row r="24" spans="2:15" ht="12.75" hidden="1" customHeight="1" outlineLevel="1">
      <c r="D24" s="56"/>
      <c r="E24" s="56"/>
      <c r="F24" s="56"/>
      <c r="G24" s="56"/>
      <c r="H24" s="56"/>
      <c r="I24" s="56"/>
      <c r="J24" s="56"/>
      <c r="K24" s="56"/>
      <c r="M24" s="242"/>
      <c r="O24" s="925"/>
    </row>
    <row r="25" spans="2:15" ht="12.75" hidden="1" customHeight="1" outlineLevel="1">
      <c r="D25" s="56"/>
      <c r="E25" s="56"/>
      <c r="F25" s="56"/>
      <c r="G25" s="56"/>
      <c r="H25" s="56"/>
      <c r="I25" s="56"/>
      <c r="J25" s="56"/>
      <c r="K25" s="56"/>
      <c r="M25" s="242"/>
      <c r="O25" s="925"/>
    </row>
    <row r="26" spans="2:15" ht="12.75" hidden="1" customHeight="1" outlineLevel="1">
      <c r="D26" s="56"/>
      <c r="E26" s="56"/>
      <c r="F26" s="56"/>
      <c r="G26" s="56"/>
      <c r="H26" s="56"/>
      <c r="I26" s="56"/>
      <c r="J26" s="56"/>
      <c r="K26" s="56"/>
      <c r="M26" s="242"/>
      <c r="O26" s="925"/>
    </row>
    <row r="27" spans="2:15" ht="12.75" hidden="1" customHeight="1" outlineLevel="1">
      <c r="D27" s="56"/>
      <c r="E27" s="56"/>
      <c r="F27" s="56"/>
      <c r="G27" s="56"/>
      <c r="H27" s="56"/>
      <c r="I27" s="56"/>
      <c r="J27" s="56"/>
      <c r="K27" s="56"/>
      <c r="M27" s="242"/>
      <c r="O27" s="925"/>
    </row>
    <row r="28" spans="2:15" ht="12.75" hidden="1" customHeight="1" outlineLevel="1">
      <c r="D28" s="56"/>
      <c r="E28" s="56"/>
      <c r="F28" s="56"/>
      <c r="G28" s="56"/>
      <c r="H28" s="56"/>
      <c r="I28" s="56"/>
      <c r="J28" s="56"/>
      <c r="K28" s="56"/>
      <c r="M28" s="242"/>
      <c r="O28" s="925"/>
    </row>
    <row r="29" spans="2:15" ht="12.75" hidden="1" customHeight="1" outlineLevel="1">
      <c r="D29" s="56"/>
      <c r="E29" s="56"/>
      <c r="F29" s="56"/>
      <c r="G29" s="56"/>
      <c r="H29" s="56"/>
      <c r="I29" s="56"/>
      <c r="J29" s="56"/>
      <c r="K29" s="56"/>
      <c r="M29" s="242"/>
      <c r="O29" s="925"/>
    </row>
    <row r="30" spans="2:15" ht="12.75" hidden="1" customHeight="1" outlineLevel="1">
      <c r="D30" s="56"/>
      <c r="E30" s="56"/>
      <c r="F30" s="56"/>
      <c r="G30" s="56"/>
      <c r="H30" s="56"/>
      <c r="I30" s="56"/>
      <c r="J30" s="56"/>
      <c r="K30" s="56"/>
      <c r="M30" s="242"/>
      <c r="O30" s="925"/>
    </row>
    <row r="31" spans="2:15" ht="12.75" hidden="1" customHeight="1" outlineLevel="1">
      <c r="D31" s="56"/>
      <c r="E31" s="56"/>
      <c r="F31" s="56"/>
      <c r="G31" s="56"/>
      <c r="H31" s="56"/>
      <c r="I31" s="56"/>
      <c r="J31" s="56"/>
      <c r="K31" s="56"/>
      <c r="M31" s="242"/>
      <c r="O31" s="925"/>
    </row>
    <row r="32" spans="2:15" ht="12.75" hidden="1" customHeight="1" outlineLevel="1">
      <c r="D32" s="56"/>
      <c r="E32" s="56"/>
      <c r="F32" s="56"/>
      <c r="G32" s="56"/>
      <c r="H32" s="56"/>
      <c r="I32" s="56"/>
      <c r="J32" s="56"/>
      <c r="K32" s="56"/>
      <c r="M32" s="242"/>
      <c r="O32" s="925"/>
    </row>
    <row r="33" spans="1:15" ht="12.75" hidden="1" customHeight="1" outlineLevel="1">
      <c r="D33" s="56"/>
      <c r="E33" s="56"/>
      <c r="F33" s="56"/>
      <c r="G33" s="56"/>
      <c r="H33" s="56"/>
      <c r="I33" s="56"/>
      <c r="J33" s="56"/>
      <c r="K33" s="56"/>
      <c r="M33" s="242"/>
      <c r="O33" s="925"/>
    </row>
    <row r="34" spans="1:15" ht="12.75" hidden="1" customHeight="1" outlineLevel="1">
      <c r="D34" s="56"/>
      <c r="E34" s="56"/>
      <c r="F34" s="56"/>
      <c r="G34" s="56"/>
      <c r="H34" s="56"/>
      <c r="I34" s="56"/>
      <c r="J34" s="56"/>
      <c r="K34" s="56"/>
      <c r="M34" s="242"/>
      <c r="O34" s="925"/>
    </row>
    <row r="35" spans="1:15" ht="12.75" hidden="1" customHeight="1" outlineLevel="1">
      <c r="D35" s="56"/>
      <c r="E35" s="56"/>
      <c r="F35" s="56"/>
      <c r="G35" s="56"/>
      <c r="H35" s="56"/>
      <c r="I35" s="56"/>
      <c r="J35" s="56"/>
      <c r="K35" s="56"/>
      <c r="M35" s="242"/>
      <c r="O35" s="925"/>
    </row>
    <row r="36" spans="1:15" ht="12.75" hidden="1" customHeight="1" outlineLevel="1">
      <c r="D36" s="56"/>
      <c r="E36" s="56"/>
      <c r="F36" s="56"/>
      <c r="G36" s="56"/>
      <c r="H36" s="56"/>
      <c r="I36" s="56"/>
      <c r="J36" s="56"/>
      <c r="K36" s="56"/>
      <c r="M36" s="242"/>
      <c r="O36" s="925"/>
    </row>
    <row r="37" spans="1:15" ht="12.75" hidden="1" customHeight="1" outlineLevel="1">
      <c r="D37" s="56"/>
      <c r="E37" s="56"/>
      <c r="F37" s="56"/>
      <c r="G37" s="56"/>
      <c r="H37" s="56"/>
      <c r="I37" s="56"/>
      <c r="J37" s="56"/>
      <c r="K37" s="56"/>
      <c r="M37" s="242"/>
      <c r="O37" s="925"/>
    </row>
    <row r="38" spans="1:15" ht="12.75" hidden="1" customHeight="1" outlineLevel="1">
      <c r="D38" s="56"/>
      <c r="E38" s="56"/>
      <c r="F38" s="56"/>
      <c r="G38" s="56"/>
      <c r="H38" s="56"/>
      <c r="I38" s="56"/>
      <c r="J38" s="56"/>
      <c r="K38" s="56"/>
      <c r="M38" s="242"/>
      <c r="O38" s="925"/>
    </row>
    <row r="39" spans="1:15" ht="12.75" customHeight="1" collapsed="1">
      <c r="D39" s="56"/>
      <c r="E39" s="56"/>
      <c r="F39" s="56"/>
      <c r="G39" s="56"/>
      <c r="H39" s="56"/>
      <c r="I39" s="56"/>
      <c r="J39" s="56"/>
      <c r="K39" s="56"/>
      <c r="M39" s="242"/>
    </row>
    <row r="40" spans="1:15" ht="12.75" customHeight="1">
      <c r="B40" s="766" t="s">
        <v>111</v>
      </c>
      <c r="C40" s="767"/>
      <c r="D40" s="786">
        <f t="shared" ref="D40:K40" si="9">MAX(D10:D38)</f>
        <v>1.1006050499094084</v>
      </c>
      <c r="E40" s="786">
        <f t="shared" si="9"/>
        <v>1.0233551347357785</v>
      </c>
      <c r="F40" s="786">
        <f t="shared" si="9"/>
        <v>1.1302394832325817</v>
      </c>
      <c r="G40" s="786">
        <f t="shared" si="9"/>
        <v>1.1508768139771337</v>
      </c>
      <c r="H40" s="786">
        <f t="shared" si="9"/>
        <v>1.1508768139771337</v>
      </c>
      <c r="I40" s="786">
        <f t="shared" si="9"/>
        <v>1.1508768139771337</v>
      </c>
      <c r="J40" s="786">
        <f t="shared" si="9"/>
        <v>1.1508768139771337</v>
      </c>
      <c r="K40" s="768">
        <f t="shared" si="9"/>
        <v>1.1508768139771337</v>
      </c>
    </row>
    <row r="41" spans="1:15" ht="12.75" customHeight="1">
      <c r="B41" s="366" t="s">
        <v>115</v>
      </c>
      <c r="C41" s="66"/>
      <c r="D41" s="143">
        <f t="shared" ref="D41:K41" si="10">QUARTILE(D10:D38,3)</f>
        <v>0.83724567119956528</v>
      </c>
      <c r="E41" s="143">
        <f t="shared" si="10"/>
        <v>0.83898774577047397</v>
      </c>
      <c r="F41" s="143">
        <f t="shared" si="10"/>
        <v>0.95283476836360548</v>
      </c>
      <c r="G41" s="143">
        <f t="shared" si="10"/>
        <v>0.9702908211274579</v>
      </c>
      <c r="H41" s="143">
        <f t="shared" si="10"/>
        <v>0.96966007882271255</v>
      </c>
      <c r="I41" s="143">
        <f t="shared" si="10"/>
        <v>0.96966007882271255</v>
      </c>
      <c r="J41" s="143">
        <f t="shared" si="10"/>
        <v>0.96966007882271255</v>
      </c>
      <c r="K41" s="144">
        <f t="shared" si="10"/>
        <v>0.96966007882271255</v>
      </c>
    </row>
    <row r="42" spans="1:15" ht="12.75" customHeight="1">
      <c r="B42" s="366" t="s">
        <v>113</v>
      </c>
      <c r="C42" s="66"/>
      <c r="D42" s="143">
        <f t="shared" ref="D42:K42" si="11">AVERAGE(D10:D38)</f>
        <v>0.72976582567591064</v>
      </c>
      <c r="E42" s="143">
        <f t="shared" si="11"/>
        <v>0.7477787636493316</v>
      </c>
      <c r="F42" s="143">
        <f t="shared" si="11"/>
        <v>0.83392033368781038</v>
      </c>
      <c r="G42" s="143">
        <f t="shared" si="11"/>
        <v>0.83374079923202127</v>
      </c>
      <c r="H42" s="143">
        <f t="shared" si="11"/>
        <v>0.84683218624903489</v>
      </c>
      <c r="I42" s="143">
        <f t="shared" si="11"/>
        <v>0.85444691306009668</v>
      </c>
      <c r="J42" s="143">
        <f t="shared" si="11"/>
        <v>0.86081319662302214</v>
      </c>
      <c r="K42" s="144">
        <f t="shared" si="11"/>
        <v>0.85881427569504354</v>
      </c>
    </row>
    <row r="43" spans="1:15" ht="12.75" customHeight="1">
      <c r="B43" s="366" t="s">
        <v>44</v>
      </c>
      <c r="C43" s="66"/>
      <c r="D43" s="143">
        <f t="shared" ref="D43:K43" si="12">MEDIAN(D10:D38)</f>
        <v>0.7476812242992843</v>
      </c>
      <c r="E43" s="143">
        <f t="shared" si="12"/>
        <v>0.77819440405591522</v>
      </c>
      <c r="F43" s="143">
        <f t="shared" si="12"/>
        <v>0.87380419941281051</v>
      </c>
      <c r="G43" s="143">
        <f t="shared" si="12"/>
        <v>0.86639097809613563</v>
      </c>
      <c r="H43" s="143">
        <f t="shared" si="12"/>
        <v>0.87388209078587842</v>
      </c>
      <c r="I43" s="143">
        <f t="shared" si="12"/>
        <v>0.85447448288284344</v>
      </c>
      <c r="J43" s="143">
        <f t="shared" si="12"/>
        <v>0.86461400356807006</v>
      </c>
      <c r="K43" s="144">
        <f t="shared" si="12"/>
        <v>0.87685544890297051</v>
      </c>
    </row>
    <row r="44" spans="1:15" ht="12.75" customHeight="1">
      <c r="B44" s="366" t="s">
        <v>114</v>
      </c>
      <c r="C44" s="66"/>
      <c r="D44" s="143">
        <f t="shared" ref="D44:K44" si="13">QUARTILE(D10:D38,1)</f>
        <v>0.61025052895542253</v>
      </c>
      <c r="E44" s="143">
        <f t="shared" si="13"/>
        <v>0.6641968178801867</v>
      </c>
      <c r="F44" s="143">
        <f t="shared" si="13"/>
        <v>0.68053136143192128</v>
      </c>
      <c r="G44" s="143">
        <f t="shared" si="13"/>
        <v>0.65400612993124951</v>
      </c>
      <c r="H44" s="143">
        <f t="shared" si="13"/>
        <v>0.71235090839129322</v>
      </c>
      <c r="I44" s="143">
        <f t="shared" si="13"/>
        <v>0.73995553756372578</v>
      </c>
      <c r="J44" s="143">
        <f t="shared" si="13"/>
        <v>0.73870400453059215</v>
      </c>
      <c r="K44" s="144">
        <f t="shared" si="13"/>
        <v>0.74313585721190545</v>
      </c>
    </row>
    <row r="45" spans="1:15" ht="12.75" customHeight="1">
      <c r="B45" s="103" t="s">
        <v>112</v>
      </c>
      <c r="C45" s="157"/>
      <c r="D45" s="145">
        <f t="shared" ref="D45:K45" si="14">MIN(D10:D38)</f>
        <v>0.41030129325483672</v>
      </c>
      <c r="E45" s="145">
        <f t="shared" si="14"/>
        <v>0.42567453868013866</v>
      </c>
      <c r="F45" s="145">
        <f t="shared" si="14"/>
        <v>0.52958074472522787</v>
      </c>
      <c r="G45" s="145">
        <f t="shared" si="14"/>
        <v>0.57731598641262194</v>
      </c>
      <c r="H45" s="145">
        <f t="shared" si="14"/>
        <v>0.57731598641262194</v>
      </c>
      <c r="I45" s="145">
        <f t="shared" si="14"/>
        <v>0.57731598641262194</v>
      </c>
      <c r="J45" s="145">
        <f t="shared" si="14"/>
        <v>0.57731598641262194</v>
      </c>
      <c r="K45" s="418">
        <f t="shared" si="14"/>
        <v>0.57731598641262194</v>
      </c>
    </row>
    <row r="46" spans="1:15" ht="12.75" customHeight="1"/>
    <row r="47" spans="1:15" ht="12.75" customHeight="1">
      <c r="B47" s="8" t="s">
        <v>116</v>
      </c>
    </row>
    <row r="48" spans="1:15" ht="27" customHeight="1">
      <c r="A48" s="824" t="s">
        <v>210</v>
      </c>
      <c r="B48" s="3233" t="s">
        <v>1598</v>
      </c>
      <c r="C48" s="3233"/>
      <c r="D48" s="3233"/>
      <c r="E48" s="3233"/>
      <c r="F48" s="3233"/>
      <c r="G48" s="3233"/>
      <c r="H48" s="3233"/>
      <c r="I48" s="3233"/>
      <c r="J48" s="3233"/>
      <c r="K48" s="3233"/>
    </row>
    <row r="49" spans="1:15">
      <c r="A49" s="718" t="s">
        <v>209</v>
      </c>
      <c r="B49" s="3234" t="str">
        <f>"Volatilities beyond "&amp;TEXT(P3,"0.0%")&amp;" are considered as outliers and not included in the analysis."</f>
        <v>Volatilities beyond 125.0% are considered as outliers and not included in the analysis.</v>
      </c>
      <c r="C49" s="3234"/>
      <c r="D49" s="3234"/>
      <c r="E49" s="3234"/>
      <c r="F49" s="3234"/>
      <c r="G49" s="3234"/>
      <c r="H49" s="3234"/>
      <c r="I49" s="3234"/>
      <c r="J49" s="3234"/>
      <c r="K49" s="3234"/>
    </row>
    <row r="50" spans="1:15" ht="30.75" customHeight="1">
      <c r="A50" s="824" t="s">
        <v>246</v>
      </c>
      <c r="B50" s="3234" t="s">
        <v>1599</v>
      </c>
      <c r="C50" s="3234"/>
      <c r="D50" s="3234"/>
      <c r="E50" s="3234"/>
      <c r="F50" s="3234"/>
      <c r="G50" s="3234"/>
      <c r="H50" s="3234"/>
      <c r="I50" s="3234"/>
      <c r="J50" s="3234"/>
      <c r="K50" s="3234"/>
    </row>
    <row r="51" spans="1:15">
      <c r="A51" s="718"/>
    </row>
    <row r="52" spans="1:15" s="6" customFormat="1" ht="38.25">
      <c r="B52" s="869" t="s">
        <v>119</v>
      </c>
      <c r="C52" s="870"/>
      <c r="D52" s="871" t="s">
        <v>120</v>
      </c>
      <c r="E52" s="871" t="s">
        <v>121</v>
      </c>
      <c r="F52" s="871" t="s">
        <v>122</v>
      </c>
      <c r="G52" s="871" t="s">
        <v>123</v>
      </c>
      <c r="H52" s="872" t="s">
        <v>124</v>
      </c>
      <c r="I52" s="945"/>
      <c r="J52" s="945"/>
      <c r="K52" s="945"/>
      <c r="O52" s="924"/>
    </row>
    <row r="54" spans="1:15">
      <c r="D54" s="180">
        <f>SUM(D10:D12,D24:D29)</f>
        <v>1.164624667598571</v>
      </c>
      <c r="E54" s="180">
        <f>SUM(E10:E12,E24:E29)</f>
        <v>1.1135065349482689</v>
      </c>
      <c r="F54" s="180">
        <f>SUM(F10:F12,F24:F29)</f>
        <v>1.2398244542107024</v>
      </c>
      <c r="G54" s="180">
        <f>SUM(G10:G12,G24:G29)</f>
        <v>1.2527506567088387</v>
      </c>
      <c r="H54" s="180">
        <f>SUM(H10:H12,H24:H29)</f>
        <v>1.3920374585403898</v>
      </c>
      <c r="I54" s="180"/>
      <c r="J54" s="180"/>
      <c r="K54" s="180"/>
      <c r="L54" s="180"/>
    </row>
    <row r="55" spans="1:15">
      <c r="D55" s="180">
        <v>6.8621152681439881</v>
      </c>
      <c r="E55" s="180">
        <v>7.3109729417617446</v>
      </c>
      <c r="F55" s="180">
        <v>7.2585751105709271</v>
      </c>
      <c r="G55" s="180">
        <v>7.1922062699769693</v>
      </c>
      <c r="H55" s="180">
        <v>7.1432071472452066</v>
      </c>
      <c r="I55" s="180"/>
      <c r="J55" s="180"/>
      <c r="K55" s="180"/>
    </row>
  </sheetData>
  <mergeCells count="3">
    <mergeCell ref="B48:K48"/>
    <mergeCell ref="B50:K50"/>
    <mergeCell ref="B49:K49"/>
  </mergeCells>
  <conditionalFormatting sqref="B10:B39">
    <cfRule type="cellIs" dxfId="504" priority="4" operator="equal">
      <formula>"(Invalid Identifier)"</formula>
    </cfRule>
  </conditionalFormatting>
  <conditionalFormatting sqref="B4:K4">
    <cfRule type="cellIs" dxfId="503" priority="3" stopIfTrue="1" operator="equal">
      <formula>"input"</formula>
    </cfRule>
  </conditionalFormatting>
  <pageMargins left="0.5" right="0.5" top="0.5" bottom="0.5" header="0.5" footer="0.5"/>
  <pageSetup scale="84" orientation="landscape" r:id="rId1"/>
  <drawing r:id="rId2"/>
  <legacyDrawingHF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B1:S71"/>
  <sheetViews>
    <sheetView showGridLines="0" view="pageBreakPreview" zoomScale="70" zoomScaleNormal="100" zoomScaleSheetLayoutView="70" workbookViewId="0"/>
  </sheetViews>
  <sheetFormatPr defaultRowHeight="12.75" outlineLevelRow="1"/>
  <cols>
    <col min="1" max="1" width="4.5" style="405" customWidth="1"/>
    <col min="2" max="2" width="75.83203125" style="405" customWidth="1"/>
    <col min="3" max="3" width="2.83203125" style="405" customWidth="1"/>
    <col min="4" max="5" width="30.83203125" style="405" customWidth="1"/>
    <col min="6" max="6" width="4.5" style="405" customWidth="1"/>
    <col min="7" max="7" width="19.5" style="405" bestFit="1" customWidth="1"/>
    <col min="8" max="8" width="1.83203125" style="405" customWidth="1"/>
    <col min="9" max="10" width="12.83203125" style="405" customWidth="1"/>
    <col min="11" max="11" width="1.83203125" style="405" customWidth="1"/>
    <col min="12" max="13" width="9.33203125" style="405"/>
    <col min="14" max="19" width="14.33203125" style="405" customWidth="1"/>
    <col min="20" max="16384" width="9.33203125" style="405"/>
  </cols>
  <sheetData>
    <row r="1" spans="2:19" ht="10.7" customHeight="1" thickBot="1"/>
    <row r="2" spans="2:19" ht="16.5" customHeight="1" thickTop="1">
      <c r="B2" s="10" t="str">
        <f>'MASTER PubCo Inputs'!$C$5</f>
        <v>Kallyope, Inc.</v>
      </c>
      <c r="C2" s="10"/>
      <c r="D2" s="10"/>
      <c r="E2" s="10"/>
    </row>
    <row r="3" spans="2:19" ht="15.75" customHeight="1">
      <c r="B3" s="11" t="str">
        <f>VLOOKUP(B4,Outline!$E$8:$G$69,COLUMNS(Outline!$E$8:$G$8),FALSE)</f>
        <v>Exhibit H.8</v>
      </c>
      <c r="C3" s="11"/>
      <c r="D3" s="11"/>
      <c r="E3" s="11"/>
    </row>
    <row r="4" spans="2:19" ht="16.5" customHeight="1" thickBot="1">
      <c r="B4" s="12" t="s">
        <v>2268</v>
      </c>
      <c r="C4" s="12"/>
      <c r="D4" s="12"/>
      <c r="E4" s="12"/>
      <c r="G4" s="16"/>
      <c r="H4" s="16"/>
      <c r="I4" s="2031"/>
      <c r="J4" s="16"/>
      <c r="K4" s="16"/>
      <c r="L4" s="2032"/>
      <c r="N4" s="1744" t="s">
        <v>151</v>
      </c>
      <c r="O4" s="1742" t="s">
        <v>2241</v>
      </c>
      <c r="P4" s="1742" t="s">
        <v>2242</v>
      </c>
      <c r="Q4" s="1742" t="s">
        <v>2093</v>
      </c>
      <c r="R4" s="1742" t="s">
        <v>2243</v>
      </c>
      <c r="S4" s="1743" t="s">
        <v>2244</v>
      </c>
    </row>
    <row r="5" spans="2:19" ht="12.75" customHeight="1" thickTop="1">
      <c r="G5" s="16"/>
      <c r="H5" s="16"/>
      <c r="I5" s="2033"/>
      <c r="J5" s="16"/>
      <c r="K5" s="16"/>
      <c r="L5" s="16"/>
      <c r="N5" s="1749">
        <f>'PWERM Waterfall n Allocation'!D10</f>
        <v>3.5284794520547953</v>
      </c>
      <c r="O5" s="1750">
        <f>'PWERM DLOM'!D10</f>
        <v>3.0027397260273974</v>
      </c>
      <c r="P5" s="1750">
        <f>'PWERM DLOM'!E10</f>
        <v>6.0054794520547947</v>
      </c>
      <c r="Q5" s="1750">
        <f>'PWERM DLOM'!F10</f>
        <v>3.0027397260273974</v>
      </c>
      <c r="R5" s="1750">
        <f>'PWERM DLOM'!G10</f>
        <v>4.0027397260273974</v>
      </c>
      <c r="S5" s="1751">
        <f>'PWERM DLOM'!H10</f>
        <v>7.0054794520547947</v>
      </c>
    </row>
    <row r="6" spans="2:19" ht="12.75" customHeight="1">
      <c r="G6" s="16"/>
      <c r="H6" s="16"/>
      <c r="I6" s="2031"/>
      <c r="J6" s="16"/>
      <c r="K6" s="16"/>
      <c r="L6" s="2032"/>
    </row>
    <row r="7" spans="2:19" s="6" customFormat="1">
      <c r="B7" s="247" t="s">
        <v>126</v>
      </c>
      <c r="D7" s="617" t="s">
        <v>125</v>
      </c>
      <c r="E7" s="618" t="s">
        <v>72</v>
      </c>
      <c r="G7" s="2034" t="s">
        <v>127</v>
      </c>
      <c r="H7" s="2035"/>
      <c r="I7" s="2035" t="s">
        <v>128</v>
      </c>
      <c r="J7" s="2036" t="s">
        <v>129</v>
      </c>
    </row>
    <row r="8" spans="2:19" ht="12.75" customHeight="1"/>
    <row r="9" spans="2:19" ht="12.75" customHeight="1">
      <c r="B9" s="405" t="str">
        <f>'Capital IQ Sheet-GPC'!E57</f>
        <v>United States Treasury Constant Maturity - 1 Month</v>
      </c>
      <c r="D9" s="44">
        <f>'Capital IQ Sheet-GPC'!C57</f>
        <v>8.3333333333333329E-2</v>
      </c>
      <c r="E9" s="18">
        <f>'Capital IQ Sheet-GPC'!D57</f>
        <v>1.77E-2</v>
      </c>
      <c r="G9" s="707">
        <f>'Capital IQ Sheet-GPC'!B79</f>
        <v>0</v>
      </c>
      <c r="H9" s="44"/>
      <c r="I9" s="245">
        <v>0</v>
      </c>
      <c r="J9" s="44">
        <f>D10</f>
        <v>0.25</v>
      </c>
    </row>
    <row r="10" spans="2:19" ht="12.75" customHeight="1">
      <c r="B10" s="405" t="str">
        <f>'Capital IQ Sheet-GPC'!E58</f>
        <v>United States Treasury Constant Maturity - 3 Month</v>
      </c>
      <c r="D10" s="44">
        <f>'Capital IQ Sheet-GPC'!C58</f>
        <v>0.25</v>
      </c>
      <c r="E10" s="18">
        <f>'Capital IQ Sheet-GPC'!D58</f>
        <v>1.9299999999999998E-2</v>
      </c>
      <c r="G10" s="707">
        <f>'Capital IQ Sheet-GPC'!B80</f>
        <v>0</v>
      </c>
      <c r="H10" s="44"/>
      <c r="I10" s="44">
        <f>D9</f>
        <v>8.3333333333333329E-2</v>
      </c>
      <c r="J10" s="44">
        <f>D11</f>
        <v>0.5</v>
      </c>
    </row>
    <row r="11" spans="2:19" ht="12.75" customHeight="1">
      <c r="B11" s="405" t="str">
        <f>'Capital IQ Sheet-GPC'!E59</f>
        <v>United States Treasury Constant Maturity - 6 Month</v>
      </c>
      <c r="D11" s="44">
        <f>'Capital IQ Sheet-GPC'!C59</f>
        <v>0.5</v>
      </c>
      <c r="E11" s="18">
        <f>'Capital IQ Sheet-GPC'!D59</f>
        <v>2.1099999999999997E-2</v>
      </c>
      <c r="G11" s="707">
        <f>'Capital IQ Sheet-GPC'!B81</f>
        <v>0</v>
      </c>
      <c r="H11" s="44"/>
      <c r="I11" s="44">
        <f t="shared" ref="I11:I19" si="0">D10</f>
        <v>0.25</v>
      </c>
      <c r="J11" s="44">
        <f t="shared" ref="J11:J18" si="1">D12</f>
        <v>1</v>
      </c>
    </row>
    <row r="12" spans="2:19" ht="12.75" customHeight="1">
      <c r="B12" s="405" t="str">
        <f>'Capital IQ Sheet-GPC'!E60</f>
        <v>United States Treasury Constant Maturity - 1 Year</v>
      </c>
      <c r="D12" s="44">
        <f>'Capital IQ Sheet-GPC'!C60</f>
        <v>1</v>
      </c>
      <c r="E12" s="18">
        <f>'Capital IQ Sheet-GPC'!D60</f>
        <v>2.3300000000000001E-2</v>
      </c>
      <c r="G12" s="707">
        <f>'Capital IQ Sheet-GPC'!B82</f>
        <v>0</v>
      </c>
      <c r="H12" s="44"/>
      <c r="I12" s="44">
        <f t="shared" si="0"/>
        <v>0.5</v>
      </c>
      <c r="J12" s="44">
        <f t="shared" si="1"/>
        <v>2</v>
      </c>
    </row>
    <row r="13" spans="2:19" ht="12.75" customHeight="1">
      <c r="B13" s="405" t="str">
        <f>'Capital IQ Sheet-GPC'!E61</f>
        <v>United States Treasury Constant Maturity - 2 Year</v>
      </c>
      <c r="D13" s="44">
        <f>'Capital IQ Sheet-GPC'!C61</f>
        <v>2</v>
      </c>
      <c r="E13" s="18">
        <f>'Capital IQ Sheet-GPC'!D61</f>
        <v>2.52E-2</v>
      </c>
      <c r="G13" s="707">
        <f>'Capital IQ Sheet-GPC'!B83</f>
        <v>0</v>
      </c>
      <c r="H13" s="44"/>
      <c r="I13" s="44">
        <f t="shared" si="0"/>
        <v>1</v>
      </c>
      <c r="J13" s="44">
        <f t="shared" si="1"/>
        <v>3</v>
      </c>
    </row>
    <row r="14" spans="2:19" ht="12.75" customHeight="1">
      <c r="B14" s="405" t="str">
        <f>'Capital IQ Sheet-GPC'!E62</f>
        <v>United States Treasury Constant Maturity - 3 Year</v>
      </c>
      <c r="D14" s="44">
        <f>'Capital IQ Sheet-GPC'!C62</f>
        <v>3</v>
      </c>
      <c r="E14" s="18">
        <f>'Capital IQ Sheet-GPC'!D62</f>
        <v>2.63E-2</v>
      </c>
      <c r="G14" s="707">
        <f>'Capital IQ Sheet-GPC'!B84</f>
        <v>0</v>
      </c>
      <c r="H14" s="44"/>
      <c r="I14" s="44">
        <f t="shared" si="0"/>
        <v>2</v>
      </c>
      <c r="J14" s="44">
        <f t="shared" si="1"/>
        <v>5</v>
      </c>
    </row>
    <row r="15" spans="2:19" ht="12.75" customHeight="1">
      <c r="B15" s="405" t="str">
        <f>'Capital IQ Sheet-GPC'!E63</f>
        <v>United States Treasury Constant Maturity - 5 Year</v>
      </c>
      <c r="D15" s="44">
        <f>'Capital IQ Sheet-GPC'!C63</f>
        <v>5</v>
      </c>
      <c r="E15" s="18">
        <f>'Capital IQ Sheet-GPC'!D63</f>
        <v>2.7300000000000001E-2</v>
      </c>
      <c r="G15" s="707">
        <f>'Capital IQ Sheet-GPC'!B85</f>
        <v>0</v>
      </c>
      <c r="H15" s="44"/>
      <c r="I15" s="44">
        <f t="shared" si="0"/>
        <v>3</v>
      </c>
      <c r="J15" s="44">
        <f t="shared" si="1"/>
        <v>7</v>
      </c>
    </row>
    <row r="16" spans="2:19" ht="12.75" customHeight="1">
      <c r="B16" s="405" t="str">
        <f>'Capital IQ Sheet-GPC'!E64</f>
        <v>United States Treasury Constant Maturity - 7 Year</v>
      </c>
      <c r="D16" s="44">
        <f>'Capital IQ Sheet-GPC'!C64</f>
        <v>7</v>
      </c>
      <c r="E16" s="18">
        <f>'Capital IQ Sheet-GPC'!D64</f>
        <v>2.81E-2</v>
      </c>
      <c r="G16" s="707">
        <f>'Capital IQ Sheet-GPC'!B86</f>
        <v>0</v>
      </c>
      <c r="H16" s="44"/>
      <c r="I16" s="44">
        <f t="shared" si="0"/>
        <v>5</v>
      </c>
      <c r="J16" s="44">
        <f t="shared" si="1"/>
        <v>10</v>
      </c>
    </row>
    <row r="17" spans="2:10" ht="12.75" customHeight="1">
      <c r="B17" s="405" t="str">
        <f>'Capital IQ Sheet-GPC'!E65</f>
        <v>United States Treasury Constant Maturity - 10 Year</v>
      </c>
      <c r="D17" s="44">
        <f>'Capital IQ Sheet-GPC'!C65</f>
        <v>10</v>
      </c>
      <c r="E17" s="18">
        <f>'Capital IQ Sheet-GPC'!D65</f>
        <v>2.8500000000000001E-2</v>
      </c>
      <c r="G17" s="707">
        <f>'Capital IQ Sheet-GPC'!B87</f>
        <v>0</v>
      </c>
      <c r="H17" s="44"/>
      <c r="I17" s="44">
        <f t="shared" si="0"/>
        <v>7</v>
      </c>
      <c r="J17" s="44">
        <f t="shared" si="1"/>
        <v>20</v>
      </c>
    </row>
    <row r="18" spans="2:10" ht="12.75" customHeight="1">
      <c r="B18" s="405" t="str">
        <f>'Capital IQ Sheet-GPC'!E66</f>
        <v>United States Treasury Constant Maturity - 20 Year</v>
      </c>
      <c r="D18" s="44">
        <f>'Capital IQ Sheet-GPC'!C66</f>
        <v>20</v>
      </c>
      <c r="E18" s="18">
        <f>'Capital IQ Sheet-GPC'!D66</f>
        <v>2.9100000000000001E-2</v>
      </c>
      <c r="G18" s="707">
        <f>'Capital IQ Sheet-GPC'!B88</f>
        <v>0</v>
      </c>
      <c r="H18" s="44"/>
      <c r="I18" s="44">
        <f t="shared" si="0"/>
        <v>10</v>
      </c>
      <c r="J18" s="44">
        <f t="shared" si="1"/>
        <v>30</v>
      </c>
    </row>
    <row r="19" spans="2:10" ht="12.75" customHeight="1">
      <c r="B19" s="405" t="str">
        <f>'Capital IQ Sheet-GPC'!E67</f>
        <v>United States Treasury Constant Maturity - 30 Year</v>
      </c>
      <c r="D19" s="44">
        <f>'Capital IQ Sheet-GPC'!C67</f>
        <v>30</v>
      </c>
      <c r="E19" s="18">
        <f>'Capital IQ Sheet-GPC'!D67</f>
        <v>2.98E-2</v>
      </c>
      <c r="G19" s="707">
        <f>'Capital IQ Sheet-GPC'!B89</f>
        <v>0</v>
      </c>
      <c r="H19" s="44"/>
      <c r="I19" s="44">
        <f t="shared" si="0"/>
        <v>20</v>
      </c>
      <c r="J19" s="246"/>
    </row>
    <row r="20" spans="2:10" ht="12.75" customHeight="1"/>
    <row r="21" spans="2:10" ht="12.75" hidden="1" customHeight="1" outlineLevel="1">
      <c r="B21" s="1741" t="s">
        <v>2240</v>
      </c>
      <c r="C21" s="243"/>
      <c r="D21" s="243"/>
      <c r="E21" s="248"/>
      <c r="H21" s="58"/>
      <c r="I21" s="58"/>
      <c r="J21" s="58"/>
    </row>
    <row r="22" spans="2:10" ht="12.75" hidden="1" customHeight="1" outlineLevel="1">
      <c r="B22" s="69" t="s">
        <v>128</v>
      </c>
      <c r="C22" s="66"/>
      <c r="D22" s="67">
        <f>SUMIFS($D$9:$D$19,$D$9:$D$19,"&lt;"&amp;D24,J$9:J$19,"&gt;"&amp;D24)</f>
        <v>3</v>
      </c>
      <c r="E22" s="249">
        <f>IF(ISERROR(VLOOKUP(D22,$D$9:$E$19,COLUMNS($D$7:$E$7),FALSE)), "n/a", VLOOKUP(D22,$D$9:$E$19,COLUMNS($D$7:$E$7),FALSE))</f>
        <v>2.63E-2</v>
      </c>
      <c r="G22" s="862"/>
      <c r="H22" s="58"/>
      <c r="I22" s="58"/>
      <c r="J22" s="58"/>
    </row>
    <row r="23" spans="2:10" ht="12.75" hidden="1" customHeight="1" outlineLevel="1">
      <c r="B23" s="69" t="s">
        <v>129</v>
      </c>
      <c r="C23" s="66"/>
      <c r="D23" s="67">
        <f>SUMIFS($D$9:$D$19,$D$9:$D$19,"&gt;"&amp;D24,I$9:I$19,"&lt;"&amp;D24)</f>
        <v>5</v>
      </c>
      <c r="E23" s="249">
        <f>IF(ISERROR(VLOOKUP(D23,$D$9:$E$19,COLUMNS($D$7:$E$7),FALSE)), "n/a", VLOOKUP(D23,$D$9:$E$19,COLUMNS($D$7:$E$7),FALSE))</f>
        <v>2.7300000000000001E-2</v>
      </c>
      <c r="G23" s="18"/>
      <c r="H23" s="58"/>
      <c r="I23" s="58"/>
      <c r="J23" s="58"/>
    </row>
    <row r="24" spans="2:10" ht="12.75" hidden="1" customHeight="1" outlineLevel="1">
      <c r="B24" s="69" t="s">
        <v>102</v>
      </c>
      <c r="C24" s="66"/>
      <c r="D24" s="67">
        <f>N5</f>
        <v>3.5284794520547953</v>
      </c>
      <c r="E24" s="249">
        <f>IF(ISERROR(+E22+(E23-E22)/(D23-D22)*(D24-D22)), "n/a", +E22+(E23-E22)/(D23-D22)*(D24-D22))</f>
        <v>2.6564239726027398E-2</v>
      </c>
      <c r="H24" s="58"/>
      <c r="I24" s="58"/>
      <c r="J24" s="58"/>
    </row>
    <row r="25" spans="2:10" ht="12.75" hidden="1" customHeight="1" outlineLevel="1">
      <c r="B25" s="69" t="s">
        <v>141</v>
      </c>
      <c r="C25" s="66"/>
      <c r="D25" s="67">
        <f>D24</f>
        <v>3.5284794520547953</v>
      </c>
      <c r="E25" s="249" t="str">
        <f>IF(ISERROR(VLOOKUP(D25,$D$9:$E$19,COLUMNS($D$7:$E$7),FALSE)), "n/a", VLOOKUP(D25,$D$9:$E$19,COLUMNS($D$7:$E$7),FALSE))</f>
        <v>n/a</v>
      </c>
      <c r="H25" s="58"/>
      <c r="I25" s="58"/>
      <c r="J25" s="58"/>
    </row>
    <row r="26" spans="2:10" ht="12.75" hidden="1" customHeight="1" outlineLevel="1">
      <c r="B26" s="70"/>
      <c r="C26" s="66"/>
      <c r="D26" s="66"/>
      <c r="E26" s="250"/>
      <c r="H26" s="58"/>
      <c r="I26" s="58"/>
      <c r="J26" s="58"/>
    </row>
    <row r="27" spans="2:10" ht="12.75" hidden="1" customHeight="1" outlineLevel="1">
      <c r="B27" s="103" t="s">
        <v>142</v>
      </c>
      <c r="C27" s="104"/>
      <c r="D27" s="104"/>
      <c r="E27" s="251">
        <f>IF(E24="n/a",E25,E24)</f>
        <v>2.6564239726027398E-2</v>
      </c>
      <c r="H27" s="49"/>
      <c r="I27" s="49"/>
      <c r="J27" s="49"/>
    </row>
    <row r="28" spans="2:10" ht="12.75" customHeight="1" collapsed="1">
      <c r="H28" s="58"/>
      <c r="I28" s="58"/>
      <c r="J28" s="58"/>
    </row>
    <row r="29" spans="2:10" ht="12.75" customHeight="1">
      <c r="B29" s="96" t="s">
        <v>2258</v>
      </c>
      <c r="C29" s="243"/>
      <c r="D29" s="243"/>
      <c r="E29" s="248"/>
      <c r="H29" s="58"/>
      <c r="I29" s="58"/>
      <c r="J29" s="58"/>
    </row>
    <row r="30" spans="2:10" ht="12.75" customHeight="1">
      <c r="B30" s="69" t="s">
        <v>128</v>
      </c>
      <c r="C30" s="66"/>
      <c r="D30" s="67">
        <f>SUMIFS($D$9:$D$19,$D$9:$D$19,"&lt;"&amp;D32,$J$9:$J$19,"&gt;"&amp;D32)</f>
        <v>3</v>
      </c>
      <c r="E30" s="249">
        <f>IF(ISERROR(VLOOKUP(D30,$D$9:$E$19,COLUMNS($D$7:$E$7),FALSE)), "n/a", VLOOKUP(D30,$D$9:$E$19,COLUMNS($D$7:$E$7),FALSE))</f>
        <v>2.63E-2</v>
      </c>
      <c r="H30" s="58"/>
      <c r="I30" s="58"/>
      <c r="J30" s="58"/>
    </row>
    <row r="31" spans="2:10" ht="12.75" customHeight="1">
      <c r="B31" s="69" t="s">
        <v>129</v>
      </c>
      <c r="C31" s="66"/>
      <c r="D31" s="67">
        <f>SUMIFS($D$9:$D$19,$D$9:$D$19,"&gt;"&amp;D32,$I$9:$I$19,"&lt;"&amp;D32)</f>
        <v>5</v>
      </c>
      <c r="E31" s="249">
        <f>IF(ISERROR(VLOOKUP(D31,$D$9:$E$19,COLUMNS($D$7:$E$7),FALSE)), "n/a", VLOOKUP(D31,$D$9:$E$19,COLUMNS($D$7:$E$7),FALSE))</f>
        <v>2.7300000000000001E-2</v>
      </c>
      <c r="G31" s="180"/>
      <c r="H31" s="58"/>
      <c r="I31" s="58"/>
      <c r="J31" s="58"/>
    </row>
    <row r="32" spans="2:10" ht="12.75" customHeight="1">
      <c r="B32" s="69" t="s">
        <v>102</v>
      </c>
      <c r="C32" s="66"/>
      <c r="D32" s="67">
        <f>O5</f>
        <v>3.0027397260273974</v>
      </c>
      <c r="E32" s="249">
        <f>IF(ISERROR(+E30+(E31-E30)/(D31-D30)*(D32-D30)), "n/a", +E30+(E31-E30)/(D31-D30)*(D32-D30))</f>
        <v>2.63013698630137E-2</v>
      </c>
      <c r="H32" s="58"/>
      <c r="I32" s="58"/>
      <c r="J32" s="58"/>
    </row>
    <row r="33" spans="2:10" ht="12.75" customHeight="1">
      <c r="B33" s="69" t="s">
        <v>141</v>
      </c>
      <c r="C33" s="66"/>
      <c r="D33" s="67">
        <f>D32</f>
        <v>3.0027397260273974</v>
      </c>
      <c r="E33" s="249" t="str">
        <f>IF(ISERROR(VLOOKUP(D33,$D$9:$E$19,COLUMNS($D$7:$E$7),FALSE)), "n/a", VLOOKUP(D33,$D$9:$E$19,COLUMNS($D$7:$E$7),FALSE))</f>
        <v>n/a</v>
      </c>
      <c r="H33" s="58"/>
      <c r="I33" s="58"/>
      <c r="J33" s="58"/>
    </row>
    <row r="34" spans="2:10" ht="12.75" customHeight="1">
      <c r="B34" s="70"/>
      <c r="C34" s="66"/>
      <c r="D34" s="66"/>
      <c r="E34" s="250"/>
      <c r="H34" s="58"/>
      <c r="I34" s="58"/>
      <c r="J34" s="58"/>
    </row>
    <row r="35" spans="2:10" ht="12.75" customHeight="1">
      <c r="B35" s="103" t="s">
        <v>142</v>
      </c>
      <c r="C35" s="104"/>
      <c r="D35" s="104"/>
      <c r="E35" s="251">
        <f>IF(E32="n/a",E33,E32)</f>
        <v>2.63013698630137E-2</v>
      </c>
      <c r="H35" s="49"/>
      <c r="I35" s="49"/>
      <c r="J35" s="49"/>
    </row>
    <row r="36" spans="2:10" ht="12.75" customHeight="1"/>
    <row r="37" spans="2:10" ht="12.75" customHeight="1">
      <c r="B37" s="96" t="s">
        <v>2259</v>
      </c>
      <c r="C37" s="243"/>
      <c r="D37" s="243"/>
      <c r="E37" s="248"/>
      <c r="H37" s="58"/>
      <c r="I37" s="58"/>
      <c r="J37" s="58"/>
    </row>
    <row r="38" spans="2:10" ht="12.75" customHeight="1">
      <c r="B38" s="69" t="s">
        <v>128</v>
      </c>
      <c r="C38" s="66"/>
      <c r="D38" s="67">
        <f>SUMIFS($D$9:$D$19,$D$9:$D$19,"&lt;"&amp;D40,J$9:J$19,"&gt;"&amp;D40)</f>
        <v>5</v>
      </c>
      <c r="E38" s="249">
        <f>IF(ISERROR(VLOOKUP(D38,$D$9:$E$19,COLUMNS($D$7:$E$7),FALSE)), "n/a", VLOOKUP(D38,$D$9:$E$19,COLUMNS($D$7:$E$7),FALSE))</f>
        <v>2.7300000000000001E-2</v>
      </c>
      <c r="G38" s="862"/>
      <c r="H38" s="58"/>
      <c r="I38" s="58"/>
      <c r="J38" s="58"/>
    </row>
    <row r="39" spans="2:10" ht="12.75" customHeight="1">
      <c r="B39" s="69" t="s">
        <v>129</v>
      </c>
      <c r="C39" s="66"/>
      <c r="D39" s="67">
        <f>SUMIFS($D$9:$D$19,$D$9:$D$19,"&gt;"&amp;D40,I$9:I$19,"&lt;"&amp;D40)</f>
        <v>7</v>
      </c>
      <c r="E39" s="249">
        <f>IF(ISERROR(VLOOKUP(D39,$D$9:$E$19,COLUMNS($D$7:$E$7),FALSE)), "n/a", VLOOKUP(D39,$D$9:$E$19,COLUMNS($D$7:$E$7),FALSE))</f>
        <v>2.81E-2</v>
      </c>
      <c r="G39" s="18"/>
      <c r="H39" s="58"/>
      <c r="I39" s="58"/>
      <c r="J39" s="58"/>
    </row>
    <row r="40" spans="2:10" ht="12.75" customHeight="1">
      <c r="B40" s="69" t="s">
        <v>102</v>
      </c>
      <c r="C40" s="66"/>
      <c r="D40" s="67">
        <f>P5</f>
        <v>6.0054794520547947</v>
      </c>
      <c r="E40" s="249">
        <f>IF(ISERROR(+E38+(E39-E38)/(D39-D38)*(D40-D38)), "n/a", +E38+(E39-E38)/(D39-D38)*(D40-D38))</f>
        <v>2.7702191780821919E-2</v>
      </c>
      <c r="H40" s="58"/>
      <c r="I40" s="58"/>
      <c r="J40" s="58"/>
    </row>
    <row r="41" spans="2:10" ht="12.75" customHeight="1">
      <c r="B41" s="69" t="s">
        <v>141</v>
      </c>
      <c r="C41" s="66"/>
      <c r="D41" s="67">
        <f>D40</f>
        <v>6.0054794520547947</v>
      </c>
      <c r="E41" s="249" t="str">
        <f>IF(ISERROR(VLOOKUP(D41,$D$9:$E$19,COLUMNS($D$7:$E$7),FALSE)), "n/a", VLOOKUP(D41,$D$9:$E$19,COLUMNS($D$7:$E$7),FALSE))</f>
        <v>n/a</v>
      </c>
      <c r="H41" s="58"/>
      <c r="I41" s="58"/>
      <c r="J41" s="58"/>
    </row>
    <row r="42" spans="2:10" ht="12.75" customHeight="1">
      <c r="B42" s="70"/>
      <c r="C42" s="66"/>
      <c r="D42" s="66"/>
      <c r="E42" s="250"/>
      <c r="H42" s="58"/>
      <c r="I42" s="58"/>
      <c r="J42" s="58"/>
    </row>
    <row r="43" spans="2:10" ht="12.75" customHeight="1">
      <c r="B43" s="103" t="s">
        <v>142</v>
      </c>
      <c r="C43" s="104"/>
      <c r="D43" s="104"/>
      <c r="E43" s="251">
        <f>IF(E40="n/a",E41,E40)</f>
        <v>2.7702191780821919E-2</v>
      </c>
      <c r="H43" s="49"/>
      <c r="I43" s="49"/>
      <c r="J43" s="49"/>
    </row>
    <row r="44" spans="2:10" ht="12.75" customHeight="1">
      <c r="H44" s="58"/>
      <c r="I44" s="58"/>
      <c r="J44" s="58"/>
    </row>
    <row r="45" spans="2:10" ht="12.75" customHeight="1">
      <c r="B45" s="96" t="s">
        <v>2260</v>
      </c>
      <c r="C45" s="243"/>
      <c r="D45" s="243"/>
      <c r="E45" s="248"/>
      <c r="H45" s="58"/>
      <c r="I45" s="58"/>
      <c r="J45" s="58"/>
    </row>
    <row r="46" spans="2:10" ht="12.75" customHeight="1">
      <c r="B46" s="69" t="s">
        <v>128</v>
      </c>
      <c r="C46" s="66"/>
      <c r="D46" s="67">
        <f>SUMIFS($D$9:$D$19,$D$9:$D$19,"&lt;"&amp;D48,$J$9:$J$19,"&gt;"&amp;D48)</f>
        <v>3</v>
      </c>
      <c r="E46" s="249">
        <f>IF(ISERROR(VLOOKUP(D46,$D$9:$E$19,COLUMNS($D$7:$E$7),FALSE)), "n/a", VLOOKUP(D46,$D$9:$E$19,COLUMNS($D$7:$E$7),FALSE))</f>
        <v>2.63E-2</v>
      </c>
      <c r="H46" s="58"/>
      <c r="I46" s="58"/>
      <c r="J46" s="58"/>
    </row>
    <row r="47" spans="2:10" ht="12.75" customHeight="1">
      <c r="B47" s="69" t="s">
        <v>129</v>
      </c>
      <c r="C47" s="66"/>
      <c r="D47" s="67">
        <f>SUMIFS($D$9:$D$19,$D$9:$D$19,"&gt;"&amp;D48,$I$9:$I$19,"&lt;"&amp;D48)</f>
        <v>5</v>
      </c>
      <c r="E47" s="249">
        <f>IF(ISERROR(VLOOKUP(D47,$D$9:$E$19,COLUMNS($D$7:$E$7),FALSE)), "n/a", VLOOKUP(D47,$D$9:$E$19,COLUMNS($D$7:$E$7),FALSE))</f>
        <v>2.7300000000000001E-2</v>
      </c>
      <c r="G47" s="180"/>
      <c r="H47" s="58"/>
      <c r="I47" s="58"/>
      <c r="J47" s="58"/>
    </row>
    <row r="48" spans="2:10" ht="12.75" customHeight="1">
      <c r="B48" s="69" t="s">
        <v>102</v>
      </c>
      <c r="C48" s="66"/>
      <c r="D48" s="67">
        <f>Q5</f>
        <v>3.0027397260273974</v>
      </c>
      <c r="E48" s="249">
        <f>IF(ISERROR(+E46+(E47-E46)/(D47-D46)*(D48-D46)), "n/a", +E46+(E47-E46)/(D47-D46)*(D48-D46))</f>
        <v>2.63013698630137E-2</v>
      </c>
      <c r="H48" s="58"/>
      <c r="I48" s="58"/>
      <c r="J48" s="58"/>
    </row>
    <row r="49" spans="2:10" ht="12.75" customHeight="1">
      <c r="B49" s="69" t="s">
        <v>141</v>
      </c>
      <c r="C49" s="66"/>
      <c r="D49" s="67">
        <f>D48</f>
        <v>3.0027397260273974</v>
      </c>
      <c r="E49" s="249" t="str">
        <f>IF(ISERROR(VLOOKUP(D49,$D$9:$E$19,COLUMNS($D$7:$E$7),FALSE)), "n/a", VLOOKUP(D49,$D$9:$E$19,COLUMNS($D$7:$E$7),FALSE))</f>
        <v>n/a</v>
      </c>
      <c r="H49" s="58"/>
      <c r="I49" s="58"/>
      <c r="J49" s="58"/>
    </row>
    <row r="50" spans="2:10" ht="12.75" customHeight="1">
      <c r="B50" s="70"/>
      <c r="C50" s="66"/>
      <c r="D50" s="66"/>
      <c r="E50" s="250"/>
      <c r="H50" s="58"/>
      <c r="I50" s="58"/>
      <c r="J50" s="58"/>
    </row>
    <row r="51" spans="2:10" ht="12.75" customHeight="1">
      <c r="B51" s="103" t="s">
        <v>142</v>
      </c>
      <c r="C51" s="104"/>
      <c r="D51" s="104"/>
      <c r="E51" s="251">
        <f>IF(E48="n/a",E49,E48)</f>
        <v>2.63013698630137E-2</v>
      </c>
      <c r="H51" s="49"/>
      <c r="I51" s="49"/>
      <c r="J51" s="49"/>
    </row>
    <row r="52" spans="2:10" ht="12.75" customHeight="1"/>
    <row r="53" spans="2:10" ht="12.75" customHeight="1">
      <c r="B53" s="96" t="s">
        <v>2261</v>
      </c>
      <c r="C53" s="243"/>
      <c r="D53" s="243"/>
      <c r="E53" s="248"/>
      <c r="H53" s="58"/>
      <c r="I53" s="58"/>
      <c r="J53" s="58"/>
    </row>
    <row r="54" spans="2:10" ht="12.75" customHeight="1">
      <c r="B54" s="69" t="s">
        <v>128</v>
      </c>
      <c r="C54" s="66"/>
      <c r="D54" s="67">
        <f>SUMIFS($D$9:$D$19,$D$9:$D$19,"&lt;"&amp;D56,J$9:J$19,"&gt;"&amp;D56)</f>
        <v>3</v>
      </c>
      <c r="E54" s="249">
        <f>IF(ISERROR(VLOOKUP(D54,$D$9:$E$19,COLUMNS($D$7:$E$7),FALSE)), "n/a", VLOOKUP(D54,$D$9:$E$19,COLUMNS($D$7:$E$7),FALSE))</f>
        <v>2.63E-2</v>
      </c>
      <c r="G54" s="862"/>
      <c r="H54" s="58"/>
      <c r="I54" s="58"/>
      <c r="J54" s="58"/>
    </row>
    <row r="55" spans="2:10" ht="12.75" customHeight="1">
      <c r="B55" s="69" t="s">
        <v>129</v>
      </c>
      <c r="C55" s="66"/>
      <c r="D55" s="67">
        <f>SUMIFS($D$9:$D$19,$D$9:$D$19,"&gt;"&amp;D56,I$9:I$19,"&lt;"&amp;D56)</f>
        <v>5</v>
      </c>
      <c r="E55" s="249">
        <f>IF(ISERROR(VLOOKUP(D55,$D$9:$E$19,COLUMNS($D$7:$E$7),FALSE)), "n/a", VLOOKUP(D55,$D$9:$E$19,COLUMNS($D$7:$E$7),FALSE))</f>
        <v>2.7300000000000001E-2</v>
      </c>
      <c r="G55" s="18"/>
      <c r="H55" s="58"/>
      <c r="I55" s="58"/>
      <c r="J55" s="58"/>
    </row>
    <row r="56" spans="2:10" ht="12.75" customHeight="1">
      <c r="B56" s="69" t="s">
        <v>102</v>
      </c>
      <c r="C56" s="66"/>
      <c r="D56" s="67">
        <f>R5</f>
        <v>4.0027397260273974</v>
      </c>
      <c r="E56" s="249">
        <f>IF(ISERROR(+E54+(E55-E54)/(D55-D54)*(D56-D54)), "n/a", +E54+(E55-E54)/(D55-D54)*(D56-D54))</f>
        <v>2.6801369863013701E-2</v>
      </c>
      <c r="H56" s="58"/>
      <c r="I56" s="58"/>
      <c r="J56" s="58"/>
    </row>
    <row r="57" spans="2:10" ht="12.75" customHeight="1">
      <c r="B57" s="69" t="s">
        <v>141</v>
      </c>
      <c r="C57" s="66"/>
      <c r="D57" s="67">
        <f>D56</f>
        <v>4.0027397260273974</v>
      </c>
      <c r="E57" s="249" t="str">
        <f>IF(ISERROR(VLOOKUP(D57,$D$9:$E$19,COLUMNS($D$7:$E$7),FALSE)), "n/a", VLOOKUP(D57,$D$9:$E$19,COLUMNS($D$7:$E$7),FALSE))</f>
        <v>n/a</v>
      </c>
      <c r="H57" s="58"/>
      <c r="I57" s="58"/>
      <c r="J57" s="58"/>
    </row>
    <row r="58" spans="2:10" ht="12.75" customHeight="1">
      <c r="B58" s="70"/>
      <c r="C58" s="66"/>
      <c r="D58" s="66"/>
      <c r="E58" s="250"/>
      <c r="H58" s="58"/>
      <c r="I58" s="58"/>
      <c r="J58" s="58"/>
    </row>
    <row r="59" spans="2:10" ht="12.75" customHeight="1">
      <c r="B59" s="103" t="s">
        <v>142</v>
      </c>
      <c r="C59" s="104"/>
      <c r="D59" s="104"/>
      <c r="E59" s="251">
        <f>IF(E56="n/a",E57,E56)</f>
        <v>2.6801369863013701E-2</v>
      </c>
      <c r="H59" s="49"/>
      <c r="I59" s="49"/>
      <c r="J59" s="49"/>
    </row>
    <row r="60" spans="2:10" ht="12.75" customHeight="1">
      <c r="H60" s="58"/>
      <c r="I60" s="58"/>
      <c r="J60" s="58"/>
    </row>
    <row r="61" spans="2:10" ht="12.75" customHeight="1">
      <c r="B61" s="96" t="s">
        <v>2262</v>
      </c>
      <c r="C61" s="243"/>
      <c r="D61" s="243"/>
      <c r="E61" s="248"/>
      <c r="H61" s="58"/>
      <c r="I61" s="58"/>
      <c r="J61" s="58"/>
    </row>
    <row r="62" spans="2:10" ht="12.75" customHeight="1">
      <c r="B62" s="69" t="s">
        <v>128</v>
      </c>
      <c r="C62" s="66"/>
      <c r="D62" s="67">
        <f>SUMIFS($D$9:$D$19,$D$9:$D$19,"&lt;"&amp;D64,$J$9:$J$19,"&gt;"&amp;D64)</f>
        <v>7</v>
      </c>
      <c r="E62" s="249">
        <f>IF(ISERROR(VLOOKUP(D62,$D$9:$E$19,COLUMNS($D$7:$E$7),FALSE)), "n/a", VLOOKUP(D62,$D$9:$E$19,COLUMNS($D$7:$E$7),FALSE))</f>
        <v>2.81E-2</v>
      </c>
      <c r="H62" s="58"/>
      <c r="I62" s="58"/>
      <c r="J62" s="58"/>
    </row>
    <row r="63" spans="2:10" ht="12.75" customHeight="1">
      <c r="B63" s="69" t="s">
        <v>129</v>
      </c>
      <c r="C63" s="66"/>
      <c r="D63" s="67">
        <f>SUMIFS($D$9:$D$19,$D$9:$D$19,"&gt;"&amp;D64,$I$9:$I$19,"&lt;"&amp;D64)</f>
        <v>10</v>
      </c>
      <c r="E63" s="249">
        <f>IF(ISERROR(VLOOKUP(D63,$D$9:$E$19,COLUMNS($D$7:$E$7),FALSE)), "n/a", VLOOKUP(D63,$D$9:$E$19,COLUMNS($D$7:$E$7),FALSE))</f>
        <v>2.8500000000000001E-2</v>
      </c>
      <c r="G63" s="180"/>
      <c r="H63" s="58"/>
      <c r="I63" s="58"/>
      <c r="J63" s="58"/>
    </row>
    <row r="64" spans="2:10" ht="12.75" customHeight="1">
      <c r="B64" s="69" t="s">
        <v>102</v>
      </c>
      <c r="C64" s="66"/>
      <c r="D64" s="67">
        <f>S5</f>
        <v>7.0054794520547947</v>
      </c>
      <c r="E64" s="249">
        <f>IF(ISERROR(+E62+(E63-E62)/(D63-D62)*(D64-D62)), "n/a", +E62+(E63-E62)/(D63-D62)*(D64-D62))</f>
        <v>2.8100730593607307E-2</v>
      </c>
      <c r="H64" s="58"/>
      <c r="I64" s="58"/>
      <c r="J64" s="58"/>
    </row>
    <row r="65" spans="2:10" ht="12.75" customHeight="1">
      <c r="B65" s="69" t="s">
        <v>141</v>
      </c>
      <c r="C65" s="66"/>
      <c r="D65" s="67">
        <f>D64</f>
        <v>7.0054794520547947</v>
      </c>
      <c r="E65" s="249" t="str">
        <f>IF(ISERROR(VLOOKUP(D65,$D$9:$E$19,COLUMNS($D$7:$E$7),FALSE)), "n/a", VLOOKUP(D65,$D$9:$E$19,COLUMNS($D$7:$E$7),FALSE))</f>
        <v>n/a</v>
      </c>
      <c r="H65" s="58"/>
      <c r="I65" s="58"/>
      <c r="J65" s="58"/>
    </row>
    <row r="66" spans="2:10" ht="12.75" customHeight="1">
      <c r="B66" s="70"/>
      <c r="C66" s="66"/>
      <c r="D66" s="66"/>
      <c r="E66" s="250"/>
      <c r="H66" s="58"/>
      <c r="I66" s="58"/>
      <c r="J66" s="58"/>
    </row>
    <row r="67" spans="2:10" ht="12.75" customHeight="1">
      <c r="B67" s="103" t="s">
        <v>142</v>
      </c>
      <c r="C67" s="104"/>
      <c r="D67" s="104"/>
      <c r="E67" s="251">
        <f>IF(E64="n/a",E65,E64)</f>
        <v>2.8100730593607307E-2</v>
      </c>
      <c r="H67" s="49"/>
      <c r="I67" s="49"/>
      <c r="J67" s="49"/>
    </row>
    <row r="68" spans="2:10" ht="12.75" customHeight="1">
      <c r="H68" s="58"/>
      <c r="I68" s="58"/>
      <c r="J68" s="58"/>
    </row>
    <row r="69" spans="2:10" ht="12.75" customHeight="1">
      <c r="B69" s="8" t="s">
        <v>116</v>
      </c>
    </row>
    <row r="70" spans="2:10" ht="12.75" customHeight="1"/>
    <row r="71" spans="2:10" ht="12.75" customHeight="1"/>
  </sheetData>
  <conditionalFormatting sqref="B4:E4">
    <cfRule type="cellIs" dxfId="502" priority="3" stopIfTrue="1" operator="equal">
      <formula>"input"</formula>
    </cfRule>
  </conditionalFormatting>
  <pageMargins left="0.5" right="0.5" top="0.5" bottom="0.5" header="0.5" footer="0.5"/>
  <pageSetup scale="95" orientation="landscape" r:id="rId1"/>
  <rowBreaks count="1" manualBreakCount="1">
    <brk id="51" max="5" man="1"/>
  </rowBreaks>
  <legacyDrawing r:id="rId2"/>
  <legacyDrawingHF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N36"/>
  <sheetViews>
    <sheetView showGridLines="0" view="pageBreakPreview" zoomScale="87" zoomScaleNormal="100" zoomScaleSheetLayoutView="87" workbookViewId="0">
      <selection activeCell="O12" sqref="O12"/>
    </sheetView>
  </sheetViews>
  <sheetFormatPr defaultRowHeight="12.75"/>
  <cols>
    <col min="1" max="1" width="4.5" style="405" customWidth="1"/>
    <col min="2" max="2" width="65.6640625" style="405" customWidth="1"/>
    <col min="3" max="3" width="3.5" style="405" customWidth="1"/>
    <col min="4" max="4" width="25.83203125" style="405" customWidth="1"/>
    <col min="5" max="5" width="2.83203125" style="405" customWidth="1"/>
    <col min="6" max="6" width="25.83203125" style="405" customWidth="1"/>
    <col min="7" max="7" width="2.83203125" style="405" customWidth="1"/>
    <col min="8" max="8" width="15.83203125" style="405" customWidth="1"/>
    <col min="9" max="9" width="4.5" style="405" customWidth="1"/>
    <col min="10" max="16384" width="9.33203125" style="405"/>
  </cols>
  <sheetData>
    <row r="1" spans="2:11" ht="13.5" thickBot="1"/>
    <row r="2" spans="2:11" ht="16.5" thickTop="1">
      <c r="B2" s="10" t="str">
        <f>'MASTER PubCo Inputs'!$C$5</f>
        <v>Kallyope, Inc.</v>
      </c>
      <c r="C2" s="10"/>
      <c r="D2" s="10"/>
      <c r="E2" s="10"/>
      <c r="F2" s="10"/>
      <c r="G2" s="10"/>
      <c r="H2" s="10"/>
    </row>
    <row r="3" spans="2:11" ht="15.75">
      <c r="B3" s="11" t="str">
        <f>VLOOKUP(B4,Outline!$E$8:$G$69,COLUMNS(Outline!$E$8:$G$8),FALSE)</f>
        <v>Exhibit H.9</v>
      </c>
      <c r="C3" s="11"/>
      <c r="D3" s="11"/>
      <c r="E3" s="11"/>
      <c r="F3" s="11"/>
      <c r="G3" s="11"/>
      <c r="H3" s="11"/>
    </row>
    <row r="4" spans="2:11" ht="16.5" thickBot="1">
      <c r="B4" s="12" t="s">
        <v>2955</v>
      </c>
      <c r="C4" s="12"/>
      <c r="D4" s="12"/>
      <c r="E4" s="12"/>
      <c r="F4" s="12"/>
      <c r="G4" s="12"/>
      <c r="H4" s="12"/>
    </row>
    <row r="5" spans="2:11" ht="13.5" thickTop="1"/>
    <row r="7" spans="2:11">
      <c r="B7" s="1047" t="s">
        <v>2101</v>
      </c>
      <c r="C7" s="1670"/>
      <c r="D7" s="1670"/>
      <c r="E7" s="1670"/>
      <c r="F7" s="1688"/>
      <c r="H7" s="1673" t="s">
        <v>70</v>
      </c>
    </row>
    <row r="8" spans="2:11" ht="14.25" customHeight="1">
      <c r="B8" s="1689" t="s">
        <v>2102</v>
      </c>
      <c r="C8" s="1690" t="s">
        <v>1730</v>
      </c>
      <c r="D8" s="1691" t="s">
        <v>1669</v>
      </c>
      <c r="E8" s="1690"/>
      <c r="F8" s="1692" t="s">
        <v>149</v>
      </c>
    </row>
    <row r="9" spans="2:11">
      <c r="B9" s="203" t="s">
        <v>2103</v>
      </c>
      <c r="C9" s="16"/>
      <c r="D9" s="1693">
        <v>100</v>
      </c>
      <c r="E9" s="1694"/>
      <c r="F9" s="1694">
        <f>D9</f>
        <v>100</v>
      </c>
    </row>
    <row r="10" spans="2:11">
      <c r="B10" s="203" t="s">
        <v>2104</v>
      </c>
      <c r="C10" s="16"/>
      <c r="D10" s="3217">
        <f>SUMPRODUCT(PWERM!D13:N13,PWERM!D116:N116)</f>
        <v>3.5284794520547953</v>
      </c>
      <c r="E10" s="1695"/>
      <c r="F10" s="1695">
        <f>D10</f>
        <v>3.5284794520547953</v>
      </c>
      <c r="H10" s="1013" t="s">
        <v>210</v>
      </c>
    </row>
    <row r="11" spans="2:11">
      <c r="B11" s="203" t="s">
        <v>356</v>
      </c>
      <c r="D11" s="1696">
        <v>0.2</v>
      </c>
      <c r="E11" s="1697" t="s">
        <v>209</v>
      </c>
      <c r="F11" s="473">
        <v>0.5</v>
      </c>
      <c r="G11" s="1697" t="s">
        <v>246</v>
      </c>
      <c r="H11" s="411"/>
      <c r="J11" s="180"/>
      <c r="K11" s="1698">
        <f>F11/D11</f>
        <v>2.5</v>
      </c>
    </row>
    <row r="12" spans="2:11">
      <c r="B12" s="203" t="s">
        <v>167</v>
      </c>
      <c r="C12" s="16"/>
      <c r="D12" s="1695">
        <f>1/(1+D11)^D10</f>
        <v>0.52554583708168012</v>
      </c>
      <c r="E12" s="16"/>
      <c r="F12" s="1695">
        <f>1/(1+F11)^F10</f>
        <v>0.23914737088807569</v>
      </c>
    </row>
    <row r="13" spans="2:11">
      <c r="B13" s="203" t="s">
        <v>168</v>
      </c>
      <c r="C13" s="323" t="s">
        <v>2105</v>
      </c>
      <c r="D13" s="1699">
        <f>D9*D12</f>
        <v>52.554583708168011</v>
      </c>
      <c r="E13" s="1699"/>
      <c r="F13" s="1699">
        <f>F9*F12</f>
        <v>23.91473708880757</v>
      </c>
    </row>
    <row r="14" spans="2:11">
      <c r="B14" s="16"/>
      <c r="C14" s="16"/>
      <c r="D14" s="1700"/>
      <c r="E14" s="16"/>
      <c r="F14" s="1700"/>
    </row>
    <row r="15" spans="2:11">
      <c r="B15" s="1151" t="s">
        <v>548</v>
      </c>
      <c r="C15" s="1701" t="s">
        <v>2106</v>
      </c>
      <c r="D15" s="1675">
        <f>D13-F13</f>
        <v>28.639846619360441</v>
      </c>
      <c r="E15" s="16"/>
      <c r="F15" s="16"/>
    </row>
    <row r="16" spans="2:11">
      <c r="B16" s="906" t="s">
        <v>2107</v>
      </c>
      <c r="C16" s="5"/>
      <c r="D16" s="1702">
        <f>D15/D13</f>
        <v>0.54495430462156336</v>
      </c>
      <c r="E16" s="16"/>
    </row>
    <row r="17" spans="2:5">
      <c r="B17" s="1224"/>
      <c r="C17" s="5"/>
      <c r="D17" s="1703"/>
      <c r="E17" s="16"/>
    </row>
    <row r="18" spans="2:5">
      <c r="B18" s="1068" t="s">
        <v>2108</v>
      </c>
      <c r="C18" s="1224"/>
      <c r="D18" s="1704">
        <v>0.4</v>
      </c>
      <c r="E18" s="16"/>
    </row>
    <row r="33" spans="1:14">
      <c r="B33" s="8" t="s">
        <v>86</v>
      </c>
    </row>
    <row r="34" spans="1:14">
      <c r="A34" s="824" t="s">
        <v>210</v>
      </c>
      <c r="B34" s="3235" t="s">
        <v>2109</v>
      </c>
      <c r="C34" s="3235"/>
      <c r="D34" s="3235"/>
      <c r="E34" s="3235"/>
      <c r="F34" s="3235"/>
      <c r="G34" s="3235"/>
      <c r="H34" s="3235"/>
      <c r="I34" s="1705"/>
      <c r="J34" s="1705"/>
      <c r="K34" s="1705"/>
      <c r="L34" s="1705"/>
      <c r="M34" s="1705"/>
      <c r="N34" s="1705"/>
    </row>
    <row r="35" spans="1:14" ht="26.1" customHeight="1">
      <c r="A35" s="824" t="s">
        <v>209</v>
      </c>
      <c r="B35" s="3235" t="str">
        <f>"Required rate of return reflects approximately "&amp;TEXT(D11,"0.0%")&amp;" venture capital portfolio returns (across the total preferred investment). Such expected VC Portfolio Returns are generally consistent with observations of historical venture capital returns."</f>
        <v>Required rate of return reflects approximately 20.0% venture capital portfolio returns (across the total preferred investment). Such expected VC Portfolio Returns are generally consistent with observations of historical venture capital returns.</v>
      </c>
      <c r="C35" s="3235"/>
      <c r="D35" s="3235"/>
      <c r="E35" s="3235"/>
      <c r="F35" s="3235"/>
      <c r="G35" s="3235"/>
      <c r="H35" s="3235"/>
      <c r="I35" s="1705"/>
      <c r="J35" s="1705"/>
      <c r="K35" s="1705"/>
      <c r="L35" s="1705"/>
      <c r="M35" s="1705"/>
      <c r="N35" s="1705"/>
    </row>
    <row r="36" spans="1:14" ht="26.1" customHeight="1">
      <c r="A36" s="153" t="str">
        <f>G11</f>
        <v>(3)</v>
      </c>
      <c r="B36" s="3235" t="s">
        <v>2110</v>
      </c>
      <c r="C36" s="3235"/>
      <c r="D36" s="3235"/>
      <c r="E36" s="3235"/>
      <c r="F36" s="3235"/>
      <c r="G36" s="3235"/>
      <c r="H36" s="3235"/>
    </row>
  </sheetData>
  <mergeCells count="3">
    <mergeCell ref="B34:H34"/>
    <mergeCell ref="B35:H35"/>
    <mergeCell ref="B36:H36"/>
  </mergeCells>
  <conditionalFormatting sqref="B4:H4">
    <cfRule type="cellIs" dxfId="501" priority="1" stopIfTrue="1" operator="equal">
      <formula>"input"</formula>
    </cfRule>
  </conditionalFormatting>
  <pageMargins left="0.5" right="0.5" top="0.5" bottom="0.5" header="0.5" footer="0.5"/>
  <pageSetup fitToWidth="0" fitToHeight="0" orientation="landscape"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BU228"/>
  <sheetViews>
    <sheetView showGridLines="0" view="pageBreakPreview" topLeftCell="A133" zoomScaleNormal="100" zoomScaleSheetLayoutView="100" workbookViewId="0">
      <selection activeCell="N146" sqref="N145:N146"/>
    </sheetView>
  </sheetViews>
  <sheetFormatPr defaultColWidth="10.6640625" defaultRowHeight="12.75" outlineLevelCol="1"/>
  <cols>
    <col min="1" max="1" width="4.5" style="1756" customWidth="1"/>
    <col min="2" max="2" width="41.5" style="1756" customWidth="1"/>
    <col min="3" max="3" width="19.83203125" style="1756" hidden="1" customWidth="1" outlineLevel="1"/>
    <col min="4" max="4" width="15.6640625" style="1756" customWidth="1" collapsed="1"/>
    <col min="5" max="5" width="15.1640625" style="1756" hidden="1" customWidth="1" outlineLevel="1"/>
    <col min="6" max="6" width="13.83203125" style="1758" customWidth="1" collapsed="1"/>
    <col min="7" max="7" width="13.83203125" style="1758" customWidth="1"/>
    <col min="8" max="9" width="14" style="1758" hidden="1" customWidth="1" outlineLevel="1"/>
    <col min="10" max="10" width="15" style="1758" customWidth="1" collapsed="1"/>
    <col min="11" max="11" width="13.5" style="1758" bestFit="1" customWidth="1"/>
    <col min="12" max="12" width="10.83203125" style="1758" customWidth="1"/>
    <col min="13" max="13" width="14.5" style="1758" bestFit="1" customWidth="1"/>
    <col min="14" max="14" width="14.6640625" style="1758" bestFit="1" customWidth="1"/>
    <col min="15" max="15" width="13.5" style="1758" customWidth="1"/>
    <col min="16" max="16" width="14.6640625" style="1758" customWidth="1"/>
    <col min="17" max="17" width="4.5" style="1758" customWidth="1"/>
    <col min="18" max="18" width="28.83203125" style="1758" bestFit="1" customWidth="1"/>
    <col min="19" max="19" width="16.33203125" style="1756" customWidth="1"/>
    <col min="20" max="20" width="15" style="1756" customWidth="1"/>
    <col min="21" max="21" width="14.83203125" style="1756" customWidth="1"/>
    <col min="22" max="22" width="13.5" style="1756" bestFit="1" customWidth="1"/>
    <col min="23" max="23" width="55.83203125" style="1756" customWidth="1"/>
    <col min="24" max="24" width="16.1640625" style="1756" customWidth="1"/>
    <col min="25" max="25" width="22.33203125" style="1756" bestFit="1" customWidth="1"/>
    <col min="26" max="28" width="16.1640625" style="1756" customWidth="1"/>
    <col min="29" max="29" width="11.83203125" style="1756" customWidth="1"/>
    <col min="30" max="30" width="10.83203125" style="1756" customWidth="1"/>
    <col min="31" max="31" width="11.5" style="1756" bestFit="1" customWidth="1"/>
    <col min="32" max="35" width="10.6640625" style="1756"/>
    <col min="36" max="36" width="12.5" style="1756" bestFit="1" customWidth="1"/>
    <col min="37" max="37" width="15.1640625" style="1756" bestFit="1" customWidth="1"/>
    <col min="38" max="16384" width="10.6640625" style="1756"/>
  </cols>
  <sheetData>
    <row r="1" spans="1:43" ht="11.25" customHeight="1" thickBot="1">
      <c r="A1" s="1755"/>
      <c r="F1" s="1757"/>
      <c r="G1" s="1757"/>
      <c r="H1" s="1757"/>
      <c r="I1" s="1757"/>
      <c r="J1" s="1757"/>
      <c r="K1" s="1757"/>
      <c r="L1" s="1757"/>
      <c r="M1" s="1757"/>
      <c r="N1" s="1757"/>
      <c r="R1" s="1756"/>
      <c r="S1" s="1759"/>
      <c r="T1" s="1759"/>
      <c r="W1" s="1756" t="s">
        <v>398</v>
      </c>
      <c r="X1" s="1756" t="s">
        <v>400</v>
      </c>
      <c r="AQ1" s="1760"/>
    </row>
    <row r="2" spans="1:43" ht="16.5" thickTop="1">
      <c r="A2" s="1761"/>
      <c r="B2" s="10" t="str">
        <f>'MASTER PubCo Inputs'!$C$5</f>
        <v>Kallyope, Inc.</v>
      </c>
      <c r="C2" s="771"/>
      <c r="D2" s="771"/>
      <c r="E2" s="771"/>
      <c r="F2" s="771"/>
      <c r="G2" s="771"/>
      <c r="H2" s="771"/>
      <c r="I2" s="771"/>
      <c r="J2" s="771"/>
      <c r="K2" s="771"/>
      <c r="L2" s="771"/>
      <c r="M2" s="771"/>
      <c r="N2" s="771"/>
      <c r="O2" s="771"/>
      <c r="P2" s="771"/>
      <c r="Q2" s="1762"/>
      <c r="R2" s="772" t="s">
        <v>2269</v>
      </c>
      <c r="S2" s="1763"/>
      <c r="T2" s="1764"/>
      <c r="W2" s="1756" t="s">
        <v>739</v>
      </c>
      <c r="X2" s="1756" t="s">
        <v>740</v>
      </c>
    </row>
    <row r="3" spans="1:43" ht="15.75">
      <c r="A3" s="1761"/>
      <c r="B3" s="11" t="str">
        <f>VLOOKUP(B4,Outline!$E$8:$G$69,COLUMNS(Outline!$E$8:$G$8),FALSE)</f>
        <v>Exhibit H.10</v>
      </c>
      <c r="C3" s="773"/>
      <c r="D3" s="773"/>
      <c r="E3" s="773"/>
      <c r="F3" s="773"/>
      <c r="G3" s="773"/>
      <c r="H3" s="773"/>
      <c r="I3" s="773"/>
      <c r="J3" s="773"/>
      <c r="K3" s="773"/>
      <c r="L3" s="773"/>
      <c r="M3" s="773"/>
      <c r="N3" s="773"/>
      <c r="O3" s="773"/>
      <c r="P3" s="773"/>
      <c r="Q3" s="1762"/>
      <c r="R3" s="772"/>
      <c r="S3" s="1765"/>
      <c r="T3" s="1766"/>
      <c r="W3" s="1756" t="s">
        <v>399</v>
      </c>
      <c r="X3" s="1756" t="s">
        <v>401</v>
      </c>
    </row>
    <row r="4" spans="1:43" ht="16.5" thickBot="1">
      <c r="B4" s="12" t="s">
        <v>2270</v>
      </c>
      <c r="C4" s="774"/>
      <c r="D4" s="774"/>
      <c r="E4" s="774"/>
      <c r="F4" s="774"/>
      <c r="G4" s="774"/>
      <c r="H4" s="774"/>
      <c r="I4" s="774"/>
      <c r="J4" s="774"/>
      <c r="K4" s="774"/>
      <c r="L4" s="774"/>
      <c r="M4" s="774"/>
      <c r="N4" s="774"/>
      <c r="O4" s="774"/>
      <c r="P4" s="13" t="str">
        <f>'MASTER PubCo Inputs'!C20</f>
        <v>(in thousands of USD and shares, except price per share)</v>
      </c>
      <c r="Q4" s="1762"/>
      <c r="R4" s="1756"/>
      <c r="W4" s="1756" t="s">
        <v>89</v>
      </c>
      <c r="X4" s="1756" t="s">
        <v>90</v>
      </c>
    </row>
    <row r="5" spans="1:43" s="1767" customFormat="1" ht="13.5" thickTop="1">
      <c r="B5" s="1768"/>
      <c r="C5" s="1769"/>
      <c r="D5" s="1768"/>
      <c r="E5" s="1768"/>
      <c r="F5" s="1770"/>
      <c r="G5" s="1770"/>
      <c r="H5" s="1770"/>
      <c r="I5" s="1770"/>
      <c r="J5" s="1770"/>
      <c r="K5" s="1770"/>
      <c r="L5" s="1770"/>
      <c r="M5" s="1770"/>
      <c r="N5" s="1770"/>
      <c r="O5" s="1771"/>
      <c r="P5" s="1771"/>
      <c r="Q5" s="1772"/>
    </row>
    <row r="6" spans="1:43" s="1773" customFormat="1">
      <c r="B6" s="1774" t="s">
        <v>866</v>
      </c>
      <c r="C6" s="1775"/>
      <c r="D6" s="1775"/>
      <c r="E6" s="1775"/>
      <c r="F6" s="1775"/>
      <c r="G6" s="1775"/>
      <c r="H6" s="1775"/>
      <c r="I6" s="1775"/>
      <c r="J6" s="1775"/>
      <c r="K6" s="1775"/>
      <c r="L6" s="1775"/>
      <c r="M6" s="1775"/>
      <c r="N6" s="1775"/>
      <c r="O6" s="1775"/>
      <c r="P6" s="1776"/>
      <c r="Q6" s="1777"/>
      <c r="R6" s="1777"/>
      <c r="S6" s="1777"/>
      <c r="T6" s="1778"/>
      <c r="U6" s="1778"/>
    </row>
    <row r="7" spans="1:43" s="1779" customFormat="1" ht="27.75" customHeight="1">
      <c r="B7" s="1780"/>
      <c r="C7" s="1781"/>
      <c r="D7" s="3238" t="s">
        <v>1379</v>
      </c>
      <c r="E7" s="1781" t="s">
        <v>867</v>
      </c>
      <c r="F7" s="3238" t="s">
        <v>1339</v>
      </c>
      <c r="G7" s="3240" t="s">
        <v>868</v>
      </c>
      <c r="H7" s="3240" t="s">
        <v>869</v>
      </c>
      <c r="I7" s="3240"/>
      <c r="J7" s="3240" t="s">
        <v>870</v>
      </c>
      <c r="K7" s="3240" t="s">
        <v>1377</v>
      </c>
      <c r="L7" s="3240" t="s">
        <v>871</v>
      </c>
      <c r="M7" s="3240" t="s">
        <v>872</v>
      </c>
      <c r="N7" s="3240" t="s">
        <v>873</v>
      </c>
      <c r="O7" s="3240" t="s">
        <v>1378</v>
      </c>
      <c r="P7" s="3242" t="s">
        <v>1278</v>
      </c>
      <c r="Q7" s="1777"/>
      <c r="R7" s="1777"/>
      <c r="S7" s="3236" t="s">
        <v>870</v>
      </c>
      <c r="T7" s="3236" t="s">
        <v>1279</v>
      </c>
      <c r="U7" s="3236" t="s">
        <v>1280</v>
      </c>
      <c r="V7" s="3237" t="s">
        <v>874</v>
      </c>
      <c r="X7" s="3236" t="s">
        <v>875</v>
      </c>
      <c r="Y7" s="1782"/>
      <c r="Z7" s="1782"/>
      <c r="AA7" s="3236" t="s">
        <v>145</v>
      </c>
      <c r="AB7" s="3236" t="s">
        <v>1381</v>
      </c>
      <c r="AC7" s="3236" t="s">
        <v>1382</v>
      </c>
      <c r="AD7" s="3236" t="s">
        <v>1383</v>
      </c>
      <c r="AE7" s="3236" t="s">
        <v>1384</v>
      </c>
    </row>
    <row r="8" spans="1:43" s="1779" customFormat="1">
      <c r="B8" s="1783" t="s">
        <v>876</v>
      </c>
      <c r="C8" s="1784" t="s">
        <v>877</v>
      </c>
      <c r="D8" s="3239"/>
      <c r="E8" s="1784" t="s">
        <v>878</v>
      </c>
      <c r="F8" s="3239"/>
      <c r="G8" s="3241"/>
      <c r="H8" s="1785" t="s">
        <v>112</v>
      </c>
      <c r="I8" s="1785" t="s">
        <v>111</v>
      </c>
      <c r="J8" s="3241"/>
      <c r="K8" s="3241"/>
      <c r="L8" s="3241"/>
      <c r="M8" s="3241"/>
      <c r="N8" s="3241"/>
      <c r="O8" s="3241"/>
      <c r="P8" s="3243"/>
      <c r="Q8" s="1777"/>
      <c r="R8" s="1786" t="s">
        <v>1474</v>
      </c>
      <c r="S8" s="3236"/>
      <c r="T8" s="3236" t="s">
        <v>1279</v>
      </c>
      <c r="U8" s="3236"/>
      <c r="V8" s="3237"/>
      <c r="W8" s="1787" t="s">
        <v>1281</v>
      </c>
      <c r="X8" s="3236"/>
      <c r="Y8" s="1782" t="s">
        <v>95</v>
      </c>
      <c r="Z8" s="1782" t="s">
        <v>722</v>
      </c>
      <c r="AA8" s="3236"/>
      <c r="AB8" s="3236"/>
      <c r="AC8" s="3236"/>
      <c r="AD8" s="3236"/>
      <c r="AE8" s="3236"/>
    </row>
    <row r="9" spans="1:43" s="1788" customFormat="1" ht="13.5" customHeight="1">
      <c r="B9" s="1789"/>
      <c r="C9" s="1789"/>
      <c r="D9" s="1789"/>
      <c r="E9" s="1789"/>
      <c r="F9" s="1789"/>
      <c r="G9" s="1789"/>
      <c r="H9" s="1789"/>
      <c r="I9" s="1789"/>
      <c r="J9" s="1789"/>
      <c r="K9" s="1789"/>
      <c r="L9" s="1789"/>
      <c r="M9" s="1789"/>
      <c r="N9" s="1789"/>
      <c r="O9" s="1789"/>
      <c r="P9" s="1789"/>
      <c r="Q9" s="1777"/>
      <c r="R9" s="1777"/>
      <c r="S9" s="1777"/>
      <c r="T9" s="1790"/>
      <c r="U9" s="1790"/>
      <c r="AF9" s="1791" t="s">
        <v>110</v>
      </c>
    </row>
    <row r="10" spans="1:43" s="1788" customFormat="1" ht="13.5" customHeight="1">
      <c r="B10" s="1792" t="s">
        <v>1282</v>
      </c>
      <c r="C10" s="1789"/>
      <c r="D10" s="1789"/>
      <c r="E10" s="1789"/>
      <c r="F10" s="1793"/>
      <c r="G10" s="1789"/>
      <c r="H10" s="1789"/>
      <c r="I10" s="1789"/>
      <c r="J10" s="1789"/>
      <c r="K10" s="1789"/>
      <c r="L10" s="919"/>
      <c r="M10" s="1789"/>
      <c r="N10" s="1789"/>
      <c r="O10" s="1789"/>
      <c r="P10" s="1789"/>
      <c r="Q10" s="1777"/>
      <c r="R10" s="1777"/>
      <c r="S10" s="1777"/>
      <c r="T10" s="1790"/>
      <c r="U10" s="1790"/>
    </row>
    <row r="11" spans="1:43" s="1788" customFormat="1" ht="13.5" customHeight="1">
      <c r="B11" s="1794" t="s">
        <v>2617</v>
      </c>
      <c r="C11" s="1795" t="s">
        <v>2618</v>
      </c>
      <c r="D11" s="1796" t="s">
        <v>781</v>
      </c>
      <c r="E11" s="1797" t="s">
        <v>2619</v>
      </c>
      <c r="F11" s="1798">
        <v>43186</v>
      </c>
      <c r="G11" s="775">
        <v>16</v>
      </c>
      <c r="H11" s="775">
        <v>14</v>
      </c>
      <c r="I11" s="775">
        <v>16</v>
      </c>
      <c r="J11" s="2104">
        <v>20.85</v>
      </c>
      <c r="K11" s="1799">
        <f>+M11-L11</f>
        <v>27080.819000000003</v>
      </c>
      <c r="L11" s="975">
        <v>9000</v>
      </c>
      <c r="M11" s="975">
        <v>36080.819000000003</v>
      </c>
      <c r="N11" s="1777">
        <f>+G11*K11</f>
        <v>433293.10400000005</v>
      </c>
      <c r="O11" s="1777">
        <f>+G11*L11</f>
        <v>144000</v>
      </c>
      <c r="P11" s="1777">
        <f>+N11+O11</f>
        <v>577293.10400000005</v>
      </c>
      <c r="Q11" s="1777"/>
      <c r="R11" s="1777">
        <v>1</v>
      </c>
      <c r="S11" s="775">
        <f>J11</f>
        <v>20.85</v>
      </c>
      <c r="T11" s="1801">
        <f>S11*M11</f>
        <v>752285.0761500001</v>
      </c>
      <c r="U11" s="1802">
        <f>T11/P11-1</f>
        <v>0.30312500000000009</v>
      </c>
      <c r="V11" s="1803" t="s">
        <v>2620</v>
      </c>
      <c r="W11" s="2105" t="s">
        <v>2621</v>
      </c>
      <c r="X11" s="1805">
        <f>+N11+O11</f>
        <v>577293.10400000005</v>
      </c>
      <c r="Y11" s="1806"/>
      <c r="Z11" s="1806"/>
      <c r="AA11" s="976"/>
      <c r="AB11" s="977"/>
      <c r="AC11" s="977"/>
      <c r="AD11" s="1807"/>
      <c r="AE11" s="1807"/>
      <c r="AF11" s="1808"/>
    </row>
    <row r="12" spans="1:43" s="1788" customFormat="1" ht="13.5" customHeight="1">
      <c r="B12" s="1794" t="s">
        <v>2622</v>
      </c>
      <c r="C12" s="1795" t="s">
        <v>2623</v>
      </c>
      <c r="D12" s="1796" t="s">
        <v>781</v>
      </c>
      <c r="E12" s="1797" t="s">
        <v>2624</v>
      </c>
      <c r="F12" s="1798">
        <v>43096</v>
      </c>
      <c r="G12" s="775">
        <v>7.5</v>
      </c>
      <c r="H12" s="775">
        <v>6</v>
      </c>
      <c r="I12" s="775">
        <v>8</v>
      </c>
      <c r="J12" s="2104">
        <v>14.95</v>
      </c>
      <c r="K12" s="1799">
        <f>+M12-L12</f>
        <v>11307.255999999999</v>
      </c>
      <c r="L12" s="975">
        <v>9333.3330000000005</v>
      </c>
      <c r="M12" s="975">
        <v>20640.589</v>
      </c>
      <c r="N12" s="1777">
        <f>+G12*K12</f>
        <v>84804.42</v>
      </c>
      <c r="O12" s="1777">
        <f>+G12*L12</f>
        <v>69999.997499999998</v>
      </c>
      <c r="P12" s="1777">
        <f>+N12+O12</f>
        <v>154804.41749999998</v>
      </c>
      <c r="Q12" s="1777"/>
      <c r="R12" s="1777">
        <v>1</v>
      </c>
      <c r="S12" s="775">
        <f>J12</f>
        <v>14.95</v>
      </c>
      <c r="T12" s="1801">
        <f>S12*M12</f>
        <v>308576.80554999999</v>
      </c>
      <c r="U12" s="1802">
        <f>T12/P12-1</f>
        <v>0.9933333333333334</v>
      </c>
      <c r="V12" s="1803" t="s">
        <v>2625</v>
      </c>
      <c r="W12" s="2105" t="s">
        <v>2626</v>
      </c>
      <c r="X12" s="1805">
        <f>+N12+O12</f>
        <v>154804.41749999998</v>
      </c>
      <c r="Y12" s="1806"/>
      <c r="Z12" s="1806"/>
      <c r="AA12" s="976"/>
      <c r="AB12" s="977"/>
      <c r="AC12" s="977"/>
      <c r="AD12" s="1807"/>
      <c r="AE12" s="1807"/>
      <c r="AF12" s="1808"/>
    </row>
    <row r="13" spans="1:43" s="1788" customFormat="1" ht="13.5" customHeight="1">
      <c r="B13" s="1794" t="s">
        <v>1409</v>
      </c>
      <c r="C13" s="1795" t="s">
        <v>1410</v>
      </c>
      <c r="D13" s="1796" t="s">
        <v>781</v>
      </c>
      <c r="E13" s="1797" t="s">
        <v>1411</v>
      </c>
      <c r="F13" s="1798">
        <v>42997</v>
      </c>
      <c r="G13" s="775">
        <v>10</v>
      </c>
      <c r="H13" s="775">
        <v>9</v>
      </c>
      <c r="I13" s="775">
        <v>11</v>
      </c>
      <c r="J13" s="2104">
        <v>9.99</v>
      </c>
      <c r="K13" s="1799">
        <f>+M13-L13</f>
        <v>5683.2469999999994</v>
      </c>
      <c r="L13" s="975">
        <v>3960</v>
      </c>
      <c r="M13" s="975">
        <v>9643.2469999999994</v>
      </c>
      <c r="N13" s="1777">
        <f>+G13*K13</f>
        <v>56832.469999999994</v>
      </c>
      <c r="O13" s="1777">
        <f>+G13*L13</f>
        <v>39600</v>
      </c>
      <c r="P13" s="1777">
        <f>+N13+O13</f>
        <v>96432.47</v>
      </c>
      <c r="Q13" s="1777"/>
      <c r="R13" s="1777">
        <v>1</v>
      </c>
      <c r="S13" s="775">
        <f>J13</f>
        <v>9.99</v>
      </c>
      <c r="T13" s="1801">
        <f>S13*M13</f>
        <v>96336.037530000001</v>
      </c>
      <c r="U13" s="1802">
        <f>T13/P13-1</f>
        <v>-1.0000000000000009E-3</v>
      </c>
      <c r="V13" s="1803" t="s">
        <v>1412</v>
      </c>
      <c r="W13" s="1804" t="s">
        <v>1413</v>
      </c>
      <c r="X13" s="1805">
        <f>+N13+O13</f>
        <v>96432.47</v>
      </c>
      <c r="Y13" s="1806">
        <v>0</v>
      </c>
      <c r="Z13" s="1806">
        <v>3518</v>
      </c>
      <c r="AA13" s="976">
        <v>93314.47</v>
      </c>
      <c r="AB13" s="977">
        <v>1518</v>
      </c>
      <c r="AC13" s="977">
        <v>-46202</v>
      </c>
      <c r="AD13" s="1807">
        <v>61.471982872200265</v>
      </c>
      <c r="AE13" s="1807">
        <v>-2.0197062897710056</v>
      </c>
      <c r="AF13" s="1808">
        <v>0</v>
      </c>
    </row>
    <row r="14" spans="1:43" s="1788" customFormat="1" ht="13.5" customHeight="1">
      <c r="B14" s="1794" t="s">
        <v>791</v>
      </c>
      <c r="C14" s="1795" t="s">
        <v>789</v>
      </c>
      <c r="D14" s="1796" t="s">
        <v>856</v>
      </c>
      <c r="E14" s="1797" t="s">
        <v>884</v>
      </c>
      <c r="F14" s="1798">
        <v>42661</v>
      </c>
      <c r="G14" s="775">
        <v>14</v>
      </c>
      <c r="H14" s="775">
        <v>15</v>
      </c>
      <c r="I14" s="775">
        <v>17</v>
      </c>
      <c r="J14" s="775">
        <v>20.5</v>
      </c>
      <c r="K14" s="1799">
        <f t="shared" ref="K14:K29" si="0">+M14-L14</f>
        <v>35360.633999999998</v>
      </c>
      <c r="L14" s="975">
        <v>4000</v>
      </c>
      <c r="M14" s="975">
        <v>39360.633999999998</v>
      </c>
      <c r="N14" s="1799">
        <f t="shared" ref="N14:N29" si="1">+G14*K14</f>
        <v>495048.87599999999</v>
      </c>
      <c r="O14" s="1800">
        <f t="shared" ref="O14:O29" si="2">+G14*L14</f>
        <v>56000</v>
      </c>
      <c r="P14" s="1799">
        <f t="shared" ref="P14:P29" si="3">+N14+O14</f>
        <v>551048.87599999993</v>
      </c>
      <c r="Q14" s="1777"/>
      <c r="R14" s="1777">
        <v>1</v>
      </c>
      <c r="S14" s="775">
        <f>J14</f>
        <v>20.5</v>
      </c>
      <c r="T14" s="1801">
        <f t="shared" ref="T14:T29" si="4">S14*M14</f>
        <v>806892.99699999997</v>
      </c>
      <c r="U14" s="1802">
        <f t="shared" ref="U14:U29" si="5">T14/P14-1</f>
        <v>0.46428571428571441</v>
      </c>
      <c r="V14" s="1803" t="s">
        <v>790</v>
      </c>
      <c r="W14" s="1804" t="s">
        <v>792</v>
      </c>
      <c r="X14" s="1805">
        <f>+N14+O14</f>
        <v>551048.87599999993</v>
      </c>
      <c r="Y14" s="1806">
        <v>0</v>
      </c>
      <c r="Z14" s="1806">
        <v>246849</v>
      </c>
      <c r="AA14" s="976">
        <f>X14+Y14-Z14</f>
        <v>304199.87599999993</v>
      </c>
      <c r="AB14" s="977">
        <v>1518</v>
      </c>
      <c r="AC14" s="977">
        <v>-46202</v>
      </c>
      <c r="AD14" s="1807">
        <f>IFERROR(AA14/AB14,"n/a")</f>
        <v>200.39517523056648</v>
      </c>
      <c r="AE14" s="1807">
        <f>IFERROR(AA14/AC14,"n/a")</f>
        <v>-6.584127873252239</v>
      </c>
      <c r="AF14" s="1808">
        <f t="shared" ref="AF14:AF29" si="6">+P14-X14</f>
        <v>0</v>
      </c>
    </row>
    <row r="15" spans="1:43" s="1788" customFormat="1" ht="13.5" customHeight="1">
      <c r="A15" s="1809"/>
      <c r="B15" s="1794" t="s">
        <v>815</v>
      </c>
      <c r="C15" s="1795" t="s">
        <v>813</v>
      </c>
      <c r="D15" s="1796" t="s">
        <v>781</v>
      </c>
      <c r="E15" s="1797" t="s">
        <v>910</v>
      </c>
      <c r="F15" s="1798">
        <v>42571</v>
      </c>
      <c r="G15" s="1810">
        <v>15</v>
      </c>
      <c r="H15" s="1810">
        <v>14</v>
      </c>
      <c r="I15" s="1810">
        <v>16</v>
      </c>
      <c r="J15" s="1810">
        <v>14.4</v>
      </c>
      <c r="K15" s="1799">
        <f t="shared" si="0"/>
        <v>16020.378000000001</v>
      </c>
      <c r="L15" s="975">
        <v>5000</v>
      </c>
      <c r="M15" s="975">
        <v>21020.378000000001</v>
      </c>
      <c r="N15" s="1799">
        <f t="shared" si="1"/>
        <v>240305.67</v>
      </c>
      <c r="O15" s="1800">
        <f t="shared" si="2"/>
        <v>75000</v>
      </c>
      <c r="P15" s="1799">
        <f t="shared" si="3"/>
        <v>315305.67000000004</v>
      </c>
      <c r="Q15" s="1799"/>
      <c r="R15" s="1777">
        <v>1</v>
      </c>
      <c r="S15" s="775">
        <f t="shared" ref="S15:S29" si="7">J15</f>
        <v>14.4</v>
      </c>
      <c r="T15" s="1801">
        <f t="shared" si="4"/>
        <v>302693.44320000004</v>
      </c>
      <c r="U15" s="1802">
        <f t="shared" si="5"/>
        <v>-4.0000000000000036E-2</v>
      </c>
      <c r="V15" s="1811" t="s">
        <v>814</v>
      </c>
      <c r="W15" s="1804" t="s">
        <v>816</v>
      </c>
      <c r="X15" s="1805">
        <f t="shared" ref="X15:X29" si="8">+N15+O15</f>
        <v>315305.67000000004</v>
      </c>
      <c r="Y15" s="1805">
        <v>0</v>
      </c>
      <c r="Z15" s="1805">
        <v>59713</v>
      </c>
      <c r="AA15" s="976">
        <f t="shared" ref="AA15:AA29" si="9">X15+Y15-Z15</f>
        <v>255592.67000000004</v>
      </c>
      <c r="AB15" s="977">
        <v>0</v>
      </c>
      <c r="AC15" s="970">
        <v>-40429</v>
      </c>
      <c r="AD15" s="1807" t="str">
        <f t="shared" ref="AD15:AD29" si="10">IFERROR(AA15/AB15,"n/a")</f>
        <v>n/a</v>
      </c>
      <c r="AE15" s="1807">
        <f t="shared" ref="AE15:AE29" si="11">IFERROR(AA15/AC15,"n/a")</f>
        <v>-6.3220131588711084</v>
      </c>
      <c r="AF15" s="1808">
        <f t="shared" si="6"/>
        <v>0</v>
      </c>
      <c r="AG15" s="1812"/>
    </row>
    <row r="16" spans="1:43" s="1788" customFormat="1" ht="13.5" customHeight="1">
      <c r="A16" s="1809"/>
      <c r="B16" s="1794" t="s">
        <v>917</v>
      </c>
      <c r="C16" s="1795" t="s">
        <v>918</v>
      </c>
      <c r="D16" s="1796" t="s">
        <v>781</v>
      </c>
      <c r="E16" s="1797" t="s">
        <v>919</v>
      </c>
      <c r="F16" s="1798">
        <v>42522</v>
      </c>
      <c r="G16" s="1810">
        <v>6</v>
      </c>
      <c r="H16" s="1810">
        <v>5</v>
      </c>
      <c r="I16" s="1810">
        <v>6</v>
      </c>
      <c r="J16" s="1810">
        <v>7.0350000000000001</v>
      </c>
      <c r="K16" s="1799">
        <f t="shared" si="0"/>
        <v>6895.2960000000003</v>
      </c>
      <c r="L16" s="975">
        <v>1540.0260000000001</v>
      </c>
      <c r="M16" s="975">
        <v>8435.3220000000001</v>
      </c>
      <c r="N16" s="1799">
        <f t="shared" si="1"/>
        <v>41371.775999999998</v>
      </c>
      <c r="O16" s="1800">
        <f t="shared" si="2"/>
        <v>9240.1560000000009</v>
      </c>
      <c r="P16" s="1799">
        <f t="shared" si="3"/>
        <v>50611.932000000001</v>
      </c>
      <c r="Q16" s="1799"/>
      <c r="R16" s="1777">
        <v>1</v>
      </c>
      <c r="S16" s="775">
        <f t="shared" si="7"/>
        <v>7.0350000000000001</v>
      </c>
      <c r="T16" s="1801">
        <f t="shared" si="4"/>
        <v>59342.490270000002</v>
      </c>
      <c r="U16" s="1802">
        <f t="shared" si="5"/>
        <v>0.1725000000000001</v>
      </c>
      <c r="V16" s="1811" t="s">
        <v>920</v>
      </c>
      <c r="W16" s="1804" t="s">
        <v>921</v>
      </c>
      <c r="X16" s="1805">
        <f t="shared" si="8"/>
        <v>50611.932000000001</v>
      </c>
      <c r="Y16" s="1805">
        <v>450000</v>
      </c>
      <c r="Z16" s="1805">
        <v>28.09</v>
      </c>
      <c r="AA16" s="976">
        <f t="shared" si="9"/>
        <v>500583.842</v>
      </c>
      <c r="AB16" s="977">
        <v>0</v>
      </c>
      <c r="AC16" s="970">
        <v>0</v>
      </c>
      <c r="AD16" s="1807" t="str">
        <f t="shared" si="10"/>
        <v>n/a</v>
      </c>
      <c r="AE16" s="1807" t="str">
        <f t="shared" si="11"/>
        <v>n/a</v>
      </c>
      <c r="AF16" s="1808">
        <f t="shared" si="6"/>
        <v>0</v>
      </c>
      <c r="AG16" s="1812"/>
    </row>
    <row r="17" spans="1:42" s="1812" customFormat="1" ht="13.5" customHeight="1">
      <c r="A17" s="1809"/>
      <c r="B17" s="1794" t="s">
        <v>824</v>
      </c>
      <c r="C17" s="1797" t="s">
        <v>822</v>
      </c>
      <c r="D17" s="1796" t="s">
        <v>781</v>
      </c>
      <c r="E17" s="1797" t="s">
        <v>932</v>
      </c>
      <c r="F17" s="1798">
        <v>42507</v>
      </c>
      <c r="G17" s="1810">
        <v>5</v>
      </c>
      <c r="H17" s="1810">
        <v>0</v>
      </c>
      <c r="I17" s="1810">
        <v>0</v>
      </c>
      <c r="J17" s="1810">
        <v>5.18</v>
      </c>
      <c r="K17" s="1799">
        <f t="shared" si="0"/>
        <v>7883.2340000000004</v>
      </c>
      <c r="L17" s="975">
        <v>3700</v>
      </c>
      <c r="M17" s="975">
        <v>11583.234</v>
      </c>
      <c r="N17" s="1799">
        <f t="shared" si="1"/>
        <v>39416.17</v>
      </c>
      <c r="O17" s="1800">
        <f t="shared" si="2"/>
        <v>18500</v>
      </c>
      <c r="P17" s="1799">
        <f t="shared" si="3"/>
        <v>57916.17</v>
      </c>
      <c r="Q17" s="1799"/>
      <c r="R17" s="1777">
        <v>1</v>
      </c>
      <c r="S17" s="775">
        <f t="shared" si="7"/>
        <v>5.18</v>
      </c>
      <c r="T17" s="1801">
        <f t="shared" si="4"/>
        <v>60001.152119999999</v>
      </c>
      <c r="U17" s="1802">
        <f t="shared" si="5"/>
        <v>3.6000000000000032E-2</v>
      </c>
      <c r="V17" s="1811" t="s">
        <v>823</v>
      </c>
      <c r="W17" s="1804" t="s">
        <v>825</v>
      </c>
      <c r="X17" s="1805">
        <f t="shared" si="8"/>
        <v>57916.17</v>
      </c>
      <c r="Y17" s="1805">
        <v>19992000</v>
      </c>
      <c r="Z17" s="1805">
        <v>905</v>
      </c>
      <c r="AA17" s="976">
        <f t="shared" si="9"/>
        <v>20049011.170000002</v>
      </c>
      <c r="AB17" s="977">
        <v>0</v>
      </c>
      <c r="AC17" s="970">
        <v>-14899</v>
      </c>
      <c r="AD17" s="1807" t="str">
        <f t="shared" si="10"/>
        <v>n/a</v>
      </c>
      <c r="AE17" s="1807">
        <f t="shared" si="11"/>
        <v>-1345.6615323176054</v>
      </c>
      <c r="AF17" s="1808">
        <f t="shared" si="6"/>
        <v>0</v>
      </c>
      <c r="AG17" s="1788"/>
      <c r="AK17" s="1808"/>
      <c r="AL17" s="1813"/>
    </row>
    <row r="18" spans="1:42" s="1788" customFormat="1" ht="13.5" customHeight="1">
      <c r="A18" s="1809"/>
      <c r="B18" s="1794" t="s">
        <v>811</v>
      </c>
      <c r="C18" s="1797" t="s">
        <v>809</v>
      </c>
      <c r="D18" s="1796" t="s">
        <v>856</v>
      </c>
      <c r="E18" s="1797" t="s">
        <v>938</v>
      </c>
      <c r="F18" s="1798">
        <v>42495</v>
      </c>
      <c r="G18" s="1810">
        <v>18</v>
      </c>
      <c r="H18" s="1810">
        <v>16</v>
      </c>
      <c r="I18" s="1810">
        <v>18</v>
      </c>
      <c r="J18" s="1810">
        <v>28.8</v>
      </c>
      <c r="K18" s="1799">
        <f t="shared" si="0"/>
        <v>29096.264999999999</v>
      </c>
      <c r="L18" s="975">
        <v>6000</v>
      </c>
      <c r="M18" s="975">
        <v>35096.264999999999</v>
      </c>
      <c r="N18" s="1799">
        <f t="shared" si="1"/>
        <v>523732.77</v>
      </c>
      <c r="O18" s="1800">
        <f t="shared" si="2"/>
        <v>108000</v>
      </c>
      <c r="P18" s="1799">
        <f t="shared" si="3"/>
        <v>631732.77</v>
      </c>
      <c r="Q18" s="1799"/>
      <c r="R18" s="1777">
        <v>1</v>
      </c>
      <c r="S18" s="775">
        <f t="shared" si="7"/>
        <v>28.8</v>
      </c>
      <c r="T18" s="1801">
        <f t="shared" si="4"/>
        <v>1010772.432</v>
      </c>
      <c r="U18" s="1802">
        <f t="shared" si="5"/>
        <v>0.60000000000000009</v>
      </c>
      <c r="V18" s="1811" t="s">
        <v>810</v>
      </c>
      <c r="W18" s="1804" t="s">
        <v>812</v>
      </c>
      <c r="X18" s="1805">
        <f t="shared" si="8"/>
        <v>631732.77</v>
      </c>
      <c r="Y18" s="1805">
        <v>0</v>
      </c>
      <c r="Z18" s="1805">
        <v>75816</v>
      </c>
      <c r="AA18" s="976">
        <f t="shared" si="9"/>
        <v>555916.77</v>
      </c>
      <c r="AB18" s="977">
        <v>9364</v>
      </c>
      <c r="AC18" s="970">
        <v>-21770</v>
      </c>
      <c r="AD18" s="1807">
        <f t="shared" si="10"/>
        <v>59.367446604015377</v>
      </c>
      <c r="AE18" s="1807">
        <f t="shared" si="11"/>
        <v>-25.535910427193386</v>
      </c>
      <c r="AF18" s="1808">
        <f t="shared" si="6"/>
        <v>0</v>
      </c>
      <c r="AK18" s="1808"/>
      <c r="AL18" s="1813"/>
      <c r="AM18" s="1812"/>
    </row>
    <row r="19" spans="1:42" s="1788" customFormat="1" ht="13.5" customHeight="1">
      <c r="A19" s="1809"/>
      <c r="B19" s="1794" t="s">
        <v>943</v>
      </c>
      <c r="C19" s="1797" t="s">
        <v>944</v>
      </c>
      <c r="D19" s="1796" t="s">
        <v>1283</v>
      </c>
      <c r="E19" s="1797" t="s">
        <v>945</v>
      </c>
      <c r="F19" s="1798">
        <v>42466</v>
      </c>
      <c r="G19" s="1810">
        <v>10</v>
      </c>
      <c r="H19" s="1810">
        <v>16</v>
      </c>
      <c r="I19" s="1810">
        <v>18</v>
      </c>
      <c r="J19" s="1810">
        <v>8.7100000000000009</v>
      </c>
      <c r="K19" s="1799">
        <f t="shared" si="0"/>
        <v>7929.8320000000003</v>
      </c>
      <c r="L19" s="975">
        <v>5000</v>
      </c>
      <c r="M19" s="975">
        <v>12929.832</v>
      </c>
      <c r="N19" s="1799">
        <f t="shared" si="1"/>
        <v>79298.320000000007</v>
      </c>
      <c r="O19" s="1800">
        <f t="shared" si="2"/>
        <v>50000</v>
      </c>
      <c r="P19" s="1799">
        <f t="shared" si="3"/>
        <v>129298.32</v>
      </c>
      <c r="Q19" s="1799"/>
      <c r="R19" s="1777">
        <v>1</v>
      </c>
      <c r="S19" s="775">
        <f t="shared" si="7"/>
        <v>8.7100000000000009</v>
      </c>
      <c r="T19" s="1801">
        <f t="shared" si="4"/>
        <v>112618.83672000002</v>
      </c>
      <c r="U19" s="1802">
        <f t="shared" si="5"/>
        <v>-0.12899999999999989</v>
      </c>
      <c r="V19" s="1803" t="s">
        <v>946</v>
      </c>
      <c r="W19" s="1804" t="s">
        <v>947</v>
      </c>
      <c r="X19" s="1805">
        <f t="shared" si="8"/>
        <v>129298.32</v>
      </c>
      <c r="Y19" s="1805">
        <v>0</v>
      </c>
      <c r="Z19" s="1805">
        <v>29294</v>
      </c>
      <c r="AA19" s="976">
        <f t="shared" si="9"/>
        <v>100004.32</v>
      </c>
      <c r="AB19" s="977">
        <v>4890</v>
      </c>
      <c r="AC19" s="970">
        <v>-17383</v>
      </c>
      <c r="AD19" s="1807">
        <f t="shared" si="10"/>
        <v>20.450781186094073</v>
      </c>
      <c r="AE19" s="1807">
        <f t="shared" si="11"/>
        <v>-5.7529954553299207</v>
      </c>
      <c r="AF19" s="1808">
        <f t="shared" si="6"/>
        <v>0</v>
      </c>
      <c r="AK19" s="1800"/>
      <c r="AL19" s="1813"/>
      <c r="AM19" s="1812"/>
    </row>
    <row r="20" spans="1:42" s="1773" customFormat="1" ht="13.5" customHeight="1">
      <c r="A20" s="1809"/>
      <c r="B20" s="1794" t="s">
        <v>962</v>
      </c>
      <c r="C20" s="1797" t="s">
        <v>963</v>
      </c>
      <c r="D20" s="1796" t="s">
        <v>1283</v>
      </c>
      <c r="E20" s="1797" t="s">
        <v>964</v>
      </c>
      <c r="F20" s="1798">
        <v>42410</v>
      </c>
      <c r="G20" s="1810">
        <v>8</v>
      </c>
      <c r="H20" s="1810">
        <v>12</v>
      </c>
      <c r="I20" s="1810">
        <v>14</v>
      </c>
      <c r="J20" s="1810">
        <v>8.9600000000000009</v>
      </c>
      <c r="K20" s="1799">
        <f t="shared" si="0"/>
        <v>12861.478999999999</v>
      </c>
      <c r="L20" s="975">
        <v>6250</v>
      </c>
      <c r="M20" s="975">
        <v>19111.478999999999</v>
      </c>
      <c r="N20" s="1799">
        <f t="shared" si="1"/>
        <v>102891.83199999999</v>
      </c>
      <c r="O20" s="1800">
        <f t="shared" si="2"/>
        <v>50000</v>
      </c>
      <c r="P20" s="1799">
        <f t="shared" si="3"/>
        <v>152891.83199999999</v>
      </c>
      <c r="Q20" s="1799"/>
      <c r="R20" s="1777">
        <v>1</v>
      </c>
      <c r="S20" s="775">
        <f t="shared" si="7"/>
        <v>8.9600000000000009</v>
      </c>
      <c r="T20" s="1801">
        <f t="shared" si="4"/>
        <v>171238.85184000002</v>
      </c>
      <c r="U20" s="1802">
        <f t="shared" si="5"/>
        <v>0.12000000000000011</v>
      </c>
      <c r="V20" s="1803" t="s">
        <v>965</v>
      </c>
      <c r="W20" s="1804" t="s">
        <v>966</v>
      </c>
      <c r="X20" s="1805">
        <f t="shared" si="8"/>
        <v>152891.83199999999</v>
      </c>
      <c r="Y20" s="1805">
        <v>0</v>
      </c>
      <c r="Z20" s="1805">
        <v>20919</v>
      </c>
      <c r="AA20" s="976">
        <f t="shared" si="9"/>
        <v>131972.83199999999</v>
      </c>
      <c r="AB20" s="977">
        <v>5044</v>
      </c>
      <c r="AC20" s="970">
        <v>-29704</v>
      </c>
      <c r="AD20" s="1807">
        <f t="shared" si="10"/>
        <v>26.164320380650278</v>
      </c>
      <c r="AE20" s="1807">
        <f t="shared" si="11"/>
        <v>-4.442931322380824</v>
      </c>
      <c r="AF20" s="1808">
        <f t="shared" si="6"/>
        <v>0</v>
      </c>
      <c r="AG20" s="1788"/>
      <c r="AK20" s="1800"/>
      <c r="AL20" s="1813"/>
      <c r="AM20" s="1812"/>
    </row>
    <row r="21" spans="1:42" s="1773" customFormat="1" ht="13.5" customHeight="1">
      <c r="A21" s="1809"/>
      <c r="B21" s="1794" t="s">
        <v>803</v>
      </c>
      <c r="C21" s="1797" t="s">
        <v>801</v>
      </c>
      <c r="D21" s="1796" t="s">
        <v>781</v>
      </c>
      <c r="E21" s="1797" t="s">
        <v>967</v>
      </c>
      <c r="F21" s="1798">
        <v>42402</v>
      </c>
      <c r="G21" s="1810">
        <v>16</v>
      </c>
      <c r="H21" s="1810">
        <v>16</v>
      </c>
      <c r="I21" s="1810">
        <v>18</v>
      </c>
      <c r="J21" s="1810">
        <v>35.56</v>
      </c>
      <c r="K21" s="1799">
        <f t="shared" si="0"/>
        <v>29799.538</v>
      </c>
      <c r="L21" s="975">
        <v>5900</v>
      </c>
      <c r="M21" s="975">
        <v>35699.538</v>
      </c>
      <c r="N21" s="1799">
        <f t="shared" si="1"/>
        <v>476792.60800000001</v>
      </c>
      <c r="O21" s="1800">
        <f t="shared" si="2"/>
        <v>94400</v>
      </c>
      <c r="P21" s="1799">
        <f t="shared" si="3"/>
        <v>571192.60800000001</v>
      </c>
      <c r="Q21" s="1799"/>
      <c r="R21" s="1777">
        <v>1</v>
      </c>
      <c r="S21" s="775">
        <f t="shared" si="7"/>
        <v>35.56</v>
      </c>
      <c r="T21" s="1801">
        <f t="shared" si="4"/>
        <v>1269475.57128</v>
      </c>
      <c r="U21" s="1802">
        <f t="shared" si="5"/>
        <v>1.2225000000000001</v>
      </c>
      <c r="V21" s="1803" t="s">
        <v>802</v>
      </c>
      <c r="W21" s="1804" t="s">
        <v>804</v>
      </c>
      <c r="X21" s="1805">
        <f t="shared" si="8"/>
        <v>571192.60800000001</v>
      </c>
      <c r="Y21" s="1805">
        <v>1826000</v>
      </c>
      <c r="Z21" s="1805">
        <v>155301</v>
      </c>
      <c r="AA21" s="976">
        <f t="shared" si="9"/>
        <v>2241891.608</v>
      </c>
      <c r="AB21" s="977">
        <v>5655</v>
      </c>
      <c r="AC21" s="970">
        <v>-56081</v>
      </c>
      <c r="AD21" s="1807">
        <f t="shared" si="10"/>
        <v>396.44413934571173</v>
      </c>
      <c r="AE21" s="1807">
        <f t="shared" si="11"/>
        <v>-39.975956348852556</v>
      </c>
      <c r="AF21" s="1808">
        <f t="shared" si="6"/>
        <v>0</v>
      </c>
      <c r="AG21" s="1788"/>
      <c r="AK21" s="1800"/>
      <c r="AL21" s="1813"/>
      <c r="AM21" s="1812"/>
    </row>
    <row r="22" spans="1:42" s="1773" customFormat="1" ht="13.5" customHeight="1">
      <c r="A22" s="1809"/>
      <c r="B22" s="1794" t="s">
        <v>795</v>
      </c>
      <c r="C22" s="1797" t="s">
        <v>793</v>
      </c>
      <c r="D22" s="1796" t="s">
        <v>781</v>
      </c>
      <c r="E22" s="1797" t="s">
        <v>975</v>
      </c>
      <c r="F22" s="1798">
        <v>42318</v>
      </c>
      <c r="G22" s="1810">
        <v>16</v>
      </c>
      <c r="H22" s="1810">
        <v>15</v>
      </c>
      <c r="I22" s="1810">
        <v>17</v>
      </c>
      <c r="J22" s="1810">
        <v>13.785</v>
      </c>
      <c r="K22" s="1799">
        <f t="shared" si="0"/>
        <v>14558.296999999999</v>
      </c>
      <c r="L22" s="975">
        <v>6375</v>
      </c>
      <c r="M22" s="975">
        <v>20933.296999999999</v>
      </c>
      <c r="N22" s="1799">
        <f t="shared" si="1"/>
        <v>232932.75199999998</v>
      </c>
      <c r="O22" s="1800">
        <f t="shared" si="2"/>
        <v>102000</v>
      </c>
      <c r="P22" s="1799">
        <f t="shared" si="3"/>
        <v>334932.75199999998</v>
      </c>
      <c r="Q22" s="1799"/>
      <c r="R22" s="1777">
        <v>1</v>
      </c>
      <c r="S22" s="775">
        <f t="shared" si="7"/>
        <v>13.785</v>
      </c>
      <c r="T22" s="1801">
        <f t="shared" si="4"/>
        <v>288565.49914500001</v>
      </c>
      <c r="U22" s="1802">
        <f t="shared" si="5"/>
        <v>-0.13843749999999988</v>
      </c>
      <c r="V22" s="1803" t="s">
        <v>794</v>
      </c>
      <c r="W22" s="1804" t="s">
        <v>796</v>
      </c>
      <c r="X22" s="1805">
        <f t="shared" si="8"/>
        <v>334932.75199999998</v>
      </c>
      <c r="Y22" s="1805">
        <v>171000</v>
      </c>
      <c r="Z22" s="1805">
        <v>7779</v>
      </c>
      <c r="AA22" s="976">
        <f t="shared" si="9"/>
        <v>498153.75199999998</v>
      </c>
      <c r="AB22" s="977">
        <v>417</v>
      </c>
      <c r="AC22" s="970">
        <v>-31242</v>
      </c>
      <c r="AD22" s="1807">
        <f t="shared" si="10"/>
        <v>1194.613314148681</v>
      </c>
      <c r="AE22" s="1807">
        <f t="shared" si="11"/>
        <v>-15.945001984508034</v>
      </c>
      <c r="AF22" s="1808">
        <f t="shared" si="6"/>
        <v>0</v>
      </c>
      <c r="AG22" s="1788"/>
      <c r="AK22" s="1800"/>
      <c r="AL22" s="1813"/>
      <c r="AM22" s="1812"/>
    </row>
    <row r="23" spans="1:42" s="1773" customFormat="1" ht="13.5" customHeight="1">
      <c r="A23" s="1809"/>
      <c r="B23" s="1794" t="s">
        <v>992</v>
      </c>
      <c r="C23" s="1797" t="s">
        <v>993</v>
      </c>
      <c r="D23" s="1796" t="s">
        <v>781</v>
      </c>
      <c r="E23" s="1797" t="s">
        <v>994</v>
      </c>
      <c r="F23" s="1798">
        <v>42284</v>
      </c>
      <c r="G23" s="1810">
        <v>12</v>
      </c>
      <c r="H23" s="1810">
        <v>14</v>
      </c>
      <c r="I23" s="1810">
        <v>16</v>
      </c>
      <c r="J23" s="1810">
        <v>11.42</v>
      </c>
      <c r="K23" s="1799">
        <f t="shared" si="0"/>
        <v>28253.925999999999</v>
      </c>
      <c r="L23" s="975">
        <v>6666.6670000000004</v>
      </c>
      <c r="M23" s="975">
        <v>34920.593000000001</v>
      </c>
      <c r="N23" s="1799">
        <f t="shared" si="1"/>
        <v>339047.11199999996</v>
      </c>
      <c r="O23" s="1800">
        <f t="shared" si="2"/>
        <v>80000.004000000001</v>
      </c>
      <c r="P23" s="1799">
        <f t="shared" si="3"/>
        <v>419047.11599999998</v>
      </c>
      <c r="Q23" s="1799"/>
      <c r="R23" s="1777">
        <v>1</v>
      </c>
      <c r="S23" s="775">
        <f t="shared" si="7"/>
        <v>11.42</v>
      </c>
      <c r="T23" s="1801">
        <f t="shared" si="4"/>
        <v>398793.17206000001</v>
      </c>
      <c r="U23" s="1802">
        <f t="shared" si="5"/>
        <v>-4.8333333333333228E-2</v>
      </c>
      <c r="V23" s="1803" t="s">
        <v>995</v>
      </c>
      <c r="W23" s="1804" t="s">
        <v>996</v>
      </c>
      <c r="X23" s="1805">
        <f t="shared" si="8"/>
        <v>419047.11599999998</v>
      </c>
      <c r="Y23" s="1805">
        <v>2292000</v>
      </c>
      <c r="Z23" s="1805">
        <v>45842</v>
      </c>
      <c r="AA23" s="976">
        <f t="shared" si="9"/>
        <v>2665205.1159999999</v>
      </c>
      <c r="AB23" s="977">
        <v>9244</v>
      </c>
      <c r="AC23" s="970">
        <v>-51797</v>
      </c>
      <c r="AD23" s="1807">
        <f t="shared" si="10"/>
        <v>288.31729943747297</v>
      </c>
      <c r="AE23" s="1807">
        <f t="shared" si="11"/>
        <v>-51.454816224877888</v>
      </c>
      <c r="AF23" s="1808">
        <f t="shared" si="6"/>
        <v>0</v>
      </c>
      <c r="AG23" s="1788"/>
      <c r="AK23" s="1800"/>
      <c r="AL23" s="1813"/>
      <c r="AM23" s="1812"/>
    </row>
    <row r="24" spans="1:42" s="1773" customFormat="1" ht="13.5" customHeight="1">
      <c r="A24" s="1809"/>
      <c r="B24" s="1794" t="s">
        <v>799</v>
      </c>
      <c r="C24" s="1797" t="s">
        <v>797</v>
      </c>
      <c r="D24" s="1796" t="s">
        <v>781</v>
      </c>
      <c r="E24" s="1797" t="s">
        <v>1011</v>
      </c>
      <c r="F24" s="1798">
        <v>42263</v>
      </c>
      <c r="G24" s="1810">
        <v>22</v>
      </c>
      <c r="H24" s="1810">
        <v>17</v>
      </c>
      <c r="I24" s="1810">
        <v>19</v>
      </c>
      <c r="J24" s="1810">
        <v>18.55</v>
      </c>
      <c r="K24" s="1799">
        <f t="shared" si="0"/>
        <v>19050.707999999999</v>
      </c>
      <c r="L24" s="975">
        <v>6300</v>
      </c>
      <c r="M24" s="975">
        <v>25350.707999999999</v>
      </c>
      <c r="N24" s="1799">
        <f t="shared" si="1"/>
        <v>419115.576</v>
      </c>
      <c r="O24" s="1800">
        <f t="shared" si="2"/>
        <v>138600</v>
      </c>
      <c r="P24" s="1799">
        <f t="shared" si="3"/>
        <v>557715.576</v>
      </c>
      <c r="Q24" s="1799"/>
      <c r="R24" s="1777">
        <v>1</v>
      </c>
      <c r="S24" s="775">
        <f t="shared" si="7"/>
        <v>18.55</v>
      </c>
      <c r="T24" s="1801">
        <f t="shared" si="4"/>
        <v>470255.63339999999</v>
      </c>
      <c r="U24" s="1802">
        <f t="shared" si="5"/>
        <v>-0.15681818181818186</v>
      </c>
      <c r="V24" s="1814" t="s">
        <v>798</v>
      </c>
      <c r="W24" s="1804" t="s">
        <v>800</v>
      </c>
      <c r="X24" s="1805">
        <f t="shared" si="8"/>
        <v>557715.576</v>
      </c>
      <c r="Y24" s="1805">
        <v>0</v>
      </c>
      <c r="Z24" s="1805">
        <v>85215</v>
      </c>
      <c r="AA24" s="976">
        <f t="shared" si="9"/>
        <v>472500.576</v>
      </c>
      <c r="AB24" s="977">
        <v>8349</v>
      </c>
      <c r="AC24" s="970">
        <v>-38825</v>
      </c>
      <c r="AD24" s="1807">
        <f t="shared" si="10"/>
        <v>56.593673014732303</v>
      </c>
      <c r="AE24" s="1807">
        <f t="shared" si="11"/>
        <v>-12.170008396651642</v>
      </c>
      <c r="AF24" s="1808">
        <f t="shared" si="6"/>
        <v>0</v>
      </c>
      <c r="AG24" s="1815"/>
      <c r="AH24" s="1815"/>
      <c r="AI24" s="1815"/>
      <c r="AJ24" s="1815"/>
      <c r="AK24" s="1816"/>
      <c r="AL24" s="1813"/>
      <c r="AM24" s="1812"/>
      <c r="AN24" s="1815"/>
      <c r="AO24" s="1815"/>
      <c r="AP24" s="1815"/>
    </row>
    <row r="25" spans="1:42" s="1773" customFormat="1" ht="13.5" customHeight="1">
      <c r="A25" s="1809"/>
      <c r="B25" s="1794" t="s">
        <v>1022</v>
      </c>
      <c r="C25" s="1797" t="s">
        <v>1023</v>
      </c>
      <c r="D25" s="1796" t="s">
        <v>781</v>
      </c>
      <c r="E25" s="1797" t="s">
        <v>1024</v>
      </c>
      <c r="F25" s="1798">
        <v>42220</v>
      </c>
      <c r="G25" s="1810">
        <v>14</v>
      </c>
      <c r="H25" s="1810">
        <v>13</v>
      </c>
      <c r="I25" s="1810">
        <v>15</v>
      </c>
      <c r="J25" s="1810">
        <v>28.8</v>
      </c>
      <c r="K25" s="1799">
        <f t="shared" si="0"/>
        <v>5733.9629999999997</v>
      </c>
      <c r="L25" s="975">
        <v>3000</v>
      </c>
      <c r="M25" s="975">
        <v>8733.9629999999997</v>
      </c>
      <c r="N25" s="1799">
        <f t="shared" si="1"/>
        <v>80275.481999999989</v>
      </c>
      <c r="O25" s="1800">
        <f t="shared" si="2"/>
        <v>42000</v>
      </c>
      <c r="P25" s="1799">
        <f t="shared" si="3"/>
        <v>122275.48199999999</v>
      </c>
      <c r="Q25" s="1799"/>
      <c r="R25" s="1777">
        <v>1</v>
      </c>
      <c r="S25" s="775">
        <f t="shared" si="7"/>
        <v>28.8</v>
      </c>
      <c r="T25" s="1801">
        <f t="shared" si="4"/>
        <v>251538.13440000001</v>
      </c>
      <c r="U25" s="1802">
        <f t="shared" si="5"/>
        <v>1.0571428571428574</v>
      </c>
      <c r="V25" s="1814" t="s">
        <v>1025</v>
      </c>
      <c r="W25" s="1804" t="s">
        <v>1026</v>
      </c>
      <c r="X25" s="1805">
        <f t="shared" si="8"/>
        <v>122275.48199999999</v>
      </c>
      <c r="Y25" s="1805">
        <v>0</v>
      </c>
      <c r="Z25" s="1805">
        <v>7375.9800000000005</v>
      </c>
      <c r="AA25" s="976">
        <f t="shared" si="9"/>
        <v>114899.50199999999</v>
      </c>
      <c r="AB25" s="977">
        <v>255.92999999999998</v>
      </c>
      <c r="AC25" s="970">
        <v>-19887.91</v>
      </c>
      <c r="AD25" s="1807">
        <f t="shared" si="10"/>
        <v>448.94893916305239</v>
      </c>
      <c r="AE25" s="1807">
        <f t="shared" si="11"/>
        <v>-5.7773542820738824</v>
      </c>
      <c r="AF25" s="1808">
        <f t="shared" si="6"/>
        <v>0</v>
      </c>
      <c r="AG25" s="1817"/>
      <c r="AH25" s="1816"/>
      <c r="AI25" s="1817"/>
      <c r="AJ25" s="1818"/>
      <c r="AK25" s="1816"/>
      <c r="AL25" s="1813"/>
      <c r="AM25" s="1812"/>
      <c r="AN25" s="1814"/>
      <c r="AO25" s="1819"/>
      <c r="AP25" s="1819"/>
    </row>
    <row r="26" spans="1:42" s="1815" customFormat="1" ht="13.5" customHeight="1">
      <c r="A26" s="1809"/>
      <c r="B26" s="1794" t="s">
        <v>1073</v>
      </c>
      <c r="C26" s="1797" t="s">
        <v>1074</v>
      </c>
      <c r="D26" s="1796" t="s">
        <v>781</v>
      </c>
      <c r="E26" s="1797" t="s">
        <v>1075</v>
      </c>
      <c r="F26" s="1798">
        <v>42125</v>
      </c>
      <c r="G26" s="1810">
        <v>3.0585200000000001</v>
      </c>
      <c r="H26" s="1810">
        <v>0</v>
      </c>
      <c r="I26" s="1810">
        <v>0</v>
      </c>
      <c r="J26" s="1810">
        <v>3.2423000000000002</v>
      </c>
      <c r="K26" s="1799">
        <f t="shared" si="0"/>
        <v>117170.86200000002</v>
      </c>
      <c r="L26" s="975">
        <v>32569.046999999999</v>
      </c>
      <c r="M26" s="975">
        <v>149739.90900000001</v>
      </c>
      <c r="N26" s="1799">
        <f t="shared" si="1"/>
        <v>358369.42484424007</v>
      </c>
      <c r="O26" s="1800">
        <f t="shared" si="2"/>
        <v>99613.081630440007</v>
      </c>
      <c r="P26" s="1799">
        <f t="shared" si="3"/>
        <v>457982.50647468009</v>
      </c>
      <c r="Q26" s="1799"/>
      <c r="R26" s="1777">
        <v>1</v>
      </c>
      <c r="S26" s="775">
        <f t="shared" si="7"/>
        <v>3.2423000000000002</v>
      </c>
      <c r="T26" s="1801">
        <f t="shared" si="4"/>
        <v>485501.70695070009</v>
      </c>
      <c r="U26" s="1802">
        <f t="shared" si="5"/>
        <v>6.0087885644036998E-2</v>
      </c>
      <c r="V26" s="1803" t="s">
        <v>1076</v>
      </c>
      <c r="W26" s="1804" t="s">
        <v>1077</v>
      </c>
      <c r="X26" s="1805">
        <f t="shared" si="8"/>
        <v>457982.50647468009</v>
      </c>
      <c r="Y26" s="1805">
        <v>2081999.9999999998</v>
      </c>
      <c r="Z26" s="1805">
        <v>213</v>
      </c>
      <c r="AA26" s="976">
        <f t="shared" si="9"/>
        <v>2539769.5064746798</v>
      </c>
      <c r="AB26" s="977">
        <v>0</v>
      </c>
      <c r="AC26" s="970">
        <v>-13913</v>
      </c>
      <c r="AD26" s="1807" t="str">
        <f t="shared" si="10"/>
        <v>n/a</v>
      </c>
      <c r="AE26" s="1807">
        <f t="shared" si="11"/>
        <v>-182.54650373569177</v>
      </c>
      <c r="AF26" s="1808">
        <f t="shared" si="6"/>
        <v>0</v>
      </c>
      <c r="AG26" s="1788"/>
      <c r="AH26" s="1773"/>
      <c r="AI26" s="1773"/>
      <c r="AJ26" s="1773"/>
      <c r="AK26" s="1800"/>
      <c r="AL26" s="1813"/>
      <c r="AM26" s="1812"/>
      <c r="AN26" s="1773"/>
      <c r="AO26" s="1773"/>
      <c r="AP26" s="1773"/>
    </row>
    <row r="27" spans="1:42" s="1815" customFormat="1" ht="13.5" customHeight="1">
      <c r="A27" s="1809"/>
      <c r="B27" s="1794" t="s">
        <v>865</v>
      </c>
      <c r="C27" s="1797" t="s">
        <v>1078</v>
      </c>
      <c r="D27" s="1796" t="s">
        <v>1284</v>
      </c>
      <c r="E27" s="1797" t="s">
        <v>1079</v>
      </c>
      <c r="F27" s="1798">
        <v>42123</v>
      </c>
      <c r="G27" s="1810">
        <v>18</v>
      </c>
      <c r="H27" s="1810">
        <v>15</v>
      </c>
      <c r="I27" s="1810">
        <v>17</v>
      </c>
      <c r="J27" s="1810">
        <v>28.69</v>
      </c>
      <c r="K27" s="1799">
        <f t="shared" si="0"/>
        <v>17686.131000000001</v>
      </c>
      <c r="L27" s="975">
        <v>8145.8339999999998</v>
      </c>
      <c r="M27" s="975">
        <v>25831.965</v>
      </c>
      <c r="N27" s="1799">
        <f t="shared" si="1"/>
        <v>318350.35800000001</v>
      </c>
      <c r="O27" s="1800">
        <f t="shared" si="2"/>
        <v>146625.01199999999</v>
      </c>
      <c r="P27" s="1799">
        <f t="shared" si="3"/>
        <v>464975.37</v>
      </c>
      <c r="Q27" s="1799"/>
      <c r="R27" s="1777">
        <v>1</v>
      </c>
      <c r="S27" s="775">
        <f t="shared" si="7"/>
        <v>28.69</v>
      </c>
      <c r="T27" s="1801">
        <f t="shared" si="4"/>
        <v>741119.07585000002</v>
      </c>
      <c r="U27" s="1802">
        <f t="shared" si="5"/>
        <v>0.59388888888888891</v>
      </c>
      <c r="V27" s="1814" t="s">
        <v>1080</v>
      </c>
      <c r="W27" s="1804" t="s">
        <v>1285</v>
      </c>
      <c r="X27" s="1805">
        <f t="shared" si="8"/>
        <v>464975.37</v>
      </c>
      <c r="Y27" s="1805">
        <v>9042000</v>
      </c>
      <c r="Z27" s="1805">
        <v>47240</v>
      </c>
      <c r="AA27" s="976">
        <f t="shared" si="9"/>
        <v>9459735.3699999992</v>
      </c>
      <c r="AB27" s="977">
        <v>21982</v>
      </c>
      <c r="AC27" s="970">
        <v>-60899</v>
      </c>
      <c r="AD27" s="1807">
        <f t="shared" si="10"/>
        <v>430.3400677827313</v>
      </c>
      <c r="AE27" s="1807">
        <f t="shared" si="11"/>
        <v>-155.33482273928962</v>
      </c>
      <c r="AF27" s="1808">
        <f t="shared" si="6"/>
        <v>0</v>
      </c>
      <c r="AK27" s="1816"/>
      <c r="AL27" s="1813"/>
      <c r="AM27" s="1812"/>
    </row>
    <row r="28" spans="1:42" s="1815" customFormat="1" ht="13.5" customHeight="1">
      <c r="A28" s="1809"/>
      <c r="B28" s="1794" t="s">
        <v>1091</v>
      </c>
      <c r="C28" s="1797" t="s">
        <v>1092</v>
      </c>
      <c r="D28" s="1796" t="s">
        <v>781</v>
      </c>
      <c r="E28" s="1797" t="s">
        <v>1093</v>
      </c>
      <c r="F28" s="1798">
        <v>42108</v>
      </c>
      <c r="G28" s="1810">
        <v>16</v>
      </c>
      <c r="H28" s="1810">
        <v>14</v>
      </c>
      <c r="I28" s="1810">
        <v>16</v>
      </c>
      <c r="J28" s="1810">
        <v>16.32</v>
      </c>
      <c r="K28" s="1799">
        <f t="shared" si="0"/>
        <v>8694.1180000000004</v>
      </c>
      <c r="L28" s="975">
        <v>4800</v>
      </c>
      <c r="M28" s="975">
        <v>13494.118</v>
      </c>
      <c r="N28" s="1799">
        <f t="shared" si="1"/>
        <v>139105.88800000001</v>
      </c>
      <c r="O28" s="1800">
        <f t="shared" si="2"/>
        <v>76800</v>
      </c>
      <c r="P28" s="1799">
        <f t="shared" si="3"/>
        <v>215905.88800000001</v>
      </c>
      <c r="Q28" s="1799"/>
      <c r="R28" s="1777">
        <v>1</v>
      </c>
      <c r="S28" s="775">
        <f t="shared" si="7"/>
        <v>16.32</v>
      </c>
      <c r="T28" s="1801">
        <f t="shared" si="4"/>
        <v>220224.00576</v>
      </c>
      <c r="U28" s="1802">
        <f t="shared" si="5"/>
        <v>2.0000000000000018E-2</v>
      </c>
      <c r="V28" s="1804" t="s">
        <v>1094</v>
      </c>
      <c r="W28" s="1804" t="s">
        <v>1095</v>
      </c>
      <c r="X28" s="1805">
        <f t="shared" si="8"/>
        <v>215905.88800000001</v>
      </c>
      <c r="Y28" s="1805">
        <v>0</v>
      </c>
      <c r="Z28" s="1805">
        <v>22796</v>
      </c>
      <c r="AA28" s="976">
        <f t="shared" si="9"/>
        <v>193109.88800000001</v>
      </c>
      <c r="AB28" s="977">
        <v>0</v>
      </c>
      <c r="AC28" s="970">
        <v>-40241</v>
      </c>
      <c r="AD28" s="1807" t="str">
        <f t="shared" si="10"/>
        <v>n/a</v>
      </c>
      <c r="AE28" s="1807">
        <f t="shared" si="11"/>
        <v>-4.7988342238015953</v>
      </c>
      <c r="AF28" s="1808">
        <f t="shared" si="6"/>
        <v>0</v>
      </c>
      <c r="AG28" s="1773"/>
      <c r="AH28" s="1773"/>
      <c r="AI28" s="1773"/>
      <c r="AJ28" s="1800"/>
      <c r="AK28" s="1813"/>
      <c r="AL28" s="1812"/>
      <c r="AM28" s="1773"/>
      <c r="AN28" s="1773"/>
      <c r="AO28" s="1773"/>
    </row>
    <row r="29" spans="1:42" s="1815" customFormat="1" ht="13.5" customHeight="1">
      <c r="A29" s="1809"/>
      <c r="B29" s="1794" t="s">
        <v>1125</v>
      </c>
      <c r="C29" s="1797" t="s">
        <v>1126</v>
      </c>
      <c r="D29" s="1796" t="s">
        <v>781</v>
      </c>
      <c r="E29" s="1797" t="s">
        <v>1127</v>
      </c>
      <c r="F29" s="1798">
        <v>42032</v>
      </c>
      <c r="G29" s="1810">
        <v>16</v>
      </c>
      <c r="H29" s="1810">
        <v>12</v>
      </c>
      <c r="I29" s="1810">
        <v>14</v>
      </c>
      <c r="J29" s="1810">
        <v>17.385000000000002</v>
      </c>
      <c r="K29" s="1799">
        <f t="shared" si="0"/>
        <v>12405.409</v>
      </c>
      <c r="L29" s="975">
        <v>5400</v>
      </c>
      <c r="M29" s="975">
        <v>17805.409</v>
      </c>
      <c r="N29" s="1799">
        <f t="shared" si="1"/>
        <v>198486.54399999999</v>
      </c>
      <c r="O29" s="1800">
        <f t="shared" si="2"/>
        <v>86400</v>
      </c>
      <c r="P29" s="1799">
        <f t="shared" si="3"/>
        <v>284886.54399999999</v>
      </c>
      <c r="Q29" s="1799"/>
      <c r="R29" s="1777">
        <v>1</v>
      </c>
      <c r="S29" s="775">
        <f t="shared" si="7"/>
        <v>17.385000000000002</v>
      </c>
      <c r="T29" s="1801">
        <f t="shared" si="4"/>
        <v>309547.03546500002</v>
      </c>
      <c r="U29" s="1802">
        <f t="shared" si="5"/>
        <v>8.6562500000000098E-2</v>
      </c>
      <c r="V29" s="1804" t="s">
        <v>1128</v>
      </c>
      <c r="W29" s="1804" t="s">
        <v>1286</v>
      </c>
      <c r="X29" s="1805">
        <f t="shared" si="8"/>
        <v>284886.54399999999</v>
      </c>
      <c r="Y29" s="1805">
        <v>0</v>
      </c>
      <c r="Z29" s="1805">
        <v>0</v>
      </c>
      <c r="AA29" s="976">
        <f t="shared" si="9"/>
        <v>284886.54399999999</v>
      </c>
      <c r="AB29" s="977">
        <v>112.69</v>
      </c>
      <c r="AC29" s="970">
        <v>-37145.539999999994</v>
      </c>
      <c r="AD29" s="1807">
        <f t="shared" si="10"/>
        <v>2528.0552311651431</v>
      </c>
      <c r="AE29" s="1807">
        <f t="shared" si="11"/>
        <v>-7.6694683668618104</v>
      </c>
      <c r="AF29" s="1808">
        <f t="shared" si="6"/>
        <v>0</v>
      </c>
      <c r="AG29" s="1773"/>
      <c r="AH29" s="1773"/>
      <c r="AI29" s="1773"/>
      <c r="AJ29" s="1800"/>
      <c r="AK29" s="1813"/>
      <c r="AL29" s="1812"/>
      <c r="AM29" s="1773"/>
      <c r="AN29" s="1773"/>
      <c r="AO29" s="1773"/>
    </row>
    <row r="30" spans="1:42" s="1815" customFormat="1" ht="13.5" customHeight="1">
      <c r="A30" s="1809"/>
      <c r="B30" s="1794"/>
      <c r="C30" s="1797"/>
      <c r="D30" s="1796"/>
      <c r="E30" s="1797"/>
      <c r="F30" s="1798"/>
      <c r="G30" s="1810"/>
      <c r="H30" s="1810"/>
      <c r="I30" s="1810"/>
      <c r="J30" s="1810"/>
      <c r="K30" s="1799"/>
      <c r="L30" s="975"/>
      <c r="M30" s="975"/>
      <c r="N30" s="1799"/>
      <c r="O30" s="1800"/>
      <c r="P30" s="1799"/>
      <c r="Q30" s="1799"/>
      <c r="R30" s="1777"/>
      <c r="S30" s="775"/>
      <c r="T30" s="1801"/>
      <c r="U30" s="1802"/>
      <c r="V30" s="1804"/>
      <c r="W30" s="1804"/>
      <c r="X30" s="1805"/>
      <c r="Y30" s="1805"/>
      <c r="Z30" s="1805"/>
      <c r="AA30" s="976"/>
      <c r="AB30" s="977"/>
      <c r="AC30" s="970"/>
      <c r="AD30" s="1807"/>
      <c r="AE30" s="1807"/>
      <c r="AF30" s="1808"/>
      <c r="AG30" s="1773"/>
      <c r="AH30" s="1773"/>
      <c r="AI30" s="1773"/>
      <c r="AJ30" s="1800"/>
      <c r="AK30" s="1813"/>
      <c r="AL30" s="1812"/>
      <c r="AM30" s="1773"/>
      <c r="AN30" s="1773"/>
      <c r="AO30" s="1773"/>
    </row>
    <row r="31" spans="1:42" s="1815" customFormat="1" ht="13.5" customHeight="1">
      <c r="A31" s="1809"/>
      <c r="B31" s="1827" t="str">
        <f>B10&amp;" Metrics"</f>
        <v>Discovery / IND / Preclinical Metrics</v>
      </c>
      <c r="C31" s="1797"/>
      <c r="D31" s="1796"/>
      <c r="E31" s="1797"/>
      <c r="F31" s="1798"/>
      <c r="G31" s="1820"/>
      <c r="H31" s="1810"/>
      <c r="I31" s="1810"/>
      <c r="J31" s="1820"/>
      <c r="K31" s="1821"/>
      <c r="L31" s="1800"/>
      <c r="M31" s="1800"/>
      <c r="N31" s="1799"/>
      <c r="O31" s="1800"/>
      <c r="P31" s="1799"/>
      <c r="Q31" s="1799"/>
      <c r="R31" s="1799"/>
      <c r="S31" s="775"/>
      <c r="T31" s="1801"/>
      <c r="U31" s="1802"/>
      <c r="V31" s="1804"/>
      <c r="W31" s="1804"/>
      <c r="X31" s="1805"/>
      <c r="Y31" s="1805"/>
      <c r="Z31" s="1805"/>
      <c r="AA31" s="976"/>
      <c r="AB31" s="977"/>
      <c r="AC31" s="970"/>
      <c r="AD31" s="1807"/>
      <c r="AE31" s="1807"/>
      <c r="AF31" s="1808"/>
      <c r="AG31" s="1773"/>
      <c r="AH31" s="1773"/>
      <c r="AI31" s="1773"/>
      <c r="AJ31" s="1800"/>
      <c r="AK31" s="1813"/>
      <c r="AL31" s="1812"/>
      <c r="AM31" s="1773"/>
      <c r="AN31" s="1773"/>
      <c r="AO31" s="1773"/>
    </row>
    <row r="32" spans="1:42" s="1815" customFormat="1" ht="13.5" customHeight="1">
      <c r="A32" s="1809"/>
      <c r="B32" s="1822" t="s">
        <v>111</v>
      </c>
      <c r="C32" s="1823"/>
      <c r="D32" s="1823"/>
      <c r="E32" s="1823"/>
      <c r="F32" s="1823"/>
      <c r="G32" s="1823"/>
      <c r="H32" s="1823"/>
      <c r="I32" s="1823"/>
      <c r="J32" s="1823"/>
      <c r="K32" s="1823"/>
      <c r="L32" s="1823"/>
      <c r="M32" s="1823"/>
      <c r="N32" s="1824">
        <f>MAX(N11:N29)</f>
        <v>523732.77</v>
      </c>
      <c r="O32" s="1824"/>
      <c r="P32" s="2536">
        <f>MAX(P11:P29)</f>
        <v>631732.77</v>
      </c>
      <c r="Q32" s="1799"/>
      <c r="R32" s="1799"/>
      <c r="S32" s="1826">
        <f>MAX(S14:S29)</f>
        <v>35.56</v>
      </c>
      <c r="T32" s="1801"/>
      <c r="U32" s="1802"/>
      <c r="V32" s="1804"/>
      <c r="W32" s="1804"/>
      <c r="X32" s="1805"/>
      <c r="Y32" s="1805"/>
      <c r="Z32" s="1805"/>
      <c r="AA32" s="976"/>
      <c r="AB32" s="977"/>
      <c r="AC32" s="970"/>
      <c r="AD32" s="1807"/>
      <c r="AE32" s="1807"/>
      <c r="AF32" s="1808"/>
      <c r="AG32" s="1773"/>
      <c r="AH32" s="1773"/>
      <c r="AI32" s="1773"/>
      <c r="AJ32" s="1800"/>
      <c r="AK32" s="1813"/>
      <c r="AL32" s="1812"/>
      <c r="AM32" s="1773"/>
      <c r="AN32" s="1773"/>
      <c r="AO32" s="1773"/>
    </row>
    <row r="33" spans="1:41" s="1815" customFormat="1" ht="13.5" customHeight="1">
      <c r="A33" s="1809"/>
      <c r="B33" s="776" t="s">
        <v>115</v>
      </c>
      <c r="C33" s="777"/>
      <c r="D33" s="777"/>
      <c r="E33" s="777"/>
      <c r="F33" s="777"/>
      <c r="G33" s="777"/>
      <c r="H33" s="777"/>
      <c r="I33" s="777"/>
      <c r="J33" s="777"/>
      <c r="K33" s="777"/>
      <c r="L33" s="777"/>
      <c r="M33" s="777"/>
      <c r="N33" s="769">
        <f>_xlfn.QUARTILE.INC(N11:N29,3)</f>
        <v>388742.50042212004</v>
      </c>
      <c r="O33" s="769"/>
      <c r="P33" s="778">
        <f>_xlfn.QUARTILE.INC(P11:P29,3)</f>
        <v>508012.12299999996</v>
      </c>
      <c r="Q33" s="1799"/>
      <c r="R33" s="1799"/>
      <c r="S33" s="920">
        <f>_xlfn.QUARTILE.INC(S14:S29,3)</f>
        <v>22.547499999999999</v>
      </c>
      <c r="T33" s="1801"/>
      <c r="U33" s="1802"/>
      <c r="V33" s="1804"/>
      <c r="W33" s="1804"/>
      <c r="X33" s="1805"/>
      <c r="Y33" s="1805"/>
      <c r="Z33" s="1805"/>
      <c r="AA33" s="976"/>
      <c r="AB33" s="977"/>
      <c r="AC33" s="970"/>
      <c r="AD33" s="1807"/>
      <c r="AE33" s="1807"/>
      <c r="AF33" s="1808"/>
      <c r="AG33" s="1773"/>
      <c r="AH33" s="1773"/>
      <c r="AI33" s="1773"/>
      <c r="AJ33" s="1800"/>
      <c r="AK33" s="1813"/>
      <c r="AL33" s="1812"/>
      <c r="AM33" s="1773"/>
      <c r="AN33" s="1773"/>
      <c r="AO33" s="1773"/>
    </row>
    <row r="34" spans="1:41" s="1815" customFormat="1" ht="13.5" customHeight="1">
      <c r="A34" s="1809"/>
      <c r="B34" s="776" t="s">
        <v>43</v>
      </c>
      <c r="C34" s="777"/>
      <c r="D34" s="777"/>
      <c r="E34" s="777"/>
      <c r="F34" s="777"/>
      <c r="G34" s="777"/>
      <c r="H34" s="777"/>
      <c r="I34" s="777"/>
      <c r="J34" s="777"/>
      <c r="K34" s="777"/>
      <c r="L34" s="777"/>
      <c r="M34" s="777"/>
      <c r="N34" s="769">
        <f>AVERAGE(N11:N29)</f>
        <v>245235.32383390737</v>
      </c>
      <c r="O34" s="769"/>
      <c r="P34" s="778">
        <f>AVERAGE(P11:P29)</f>
        <v>323486.8107355095</v>
      </c>
      <c r="Q34" s="1799"/>
      <c r="R34" s="1799"/>
      <c r="S34" s="920">
        <f>AVERAGE(S14:S29)</f>
        <v>16.708581250000002</v>
      </c>
      <c r="T34" s="1801"/>
      <c r="U34" s="1802"/>
      <c r="V34" s="1804"/>
      <c r="W34" s="1804"/>
      <c r="X34" s="1805"/>
      <c r="Y34" s="1805"/>
      <c r="Z34" s="1805"/>
      <c r="AA34" s="976"/>
      <c r="AB34" s="977"/>
      <c r="AC34" s="970"/>
      <c r="AD34" s="1807"/>
      <c r="AE34" s="1807"/>
      <c r="AF34" s="1808"/>
      <c r="AG34" s="1773"/>
      <c r="AH34" s="1773"/>
      <c r="AI34" s="1773"/>
      <c r="AJ34" s="1800"/>
      <c r="AK34" s="1813"/>
      <c r="AL34" s="1812"/>
      <c r="AM34" s="1773"/>
      <c r="AN34" s="1773"/>
      <c r="AO34" s="1773"/>
    </row>
    <row r="35" spans="1:41" s="1815" customFormat="1" ht="13.5" customHeight="1">
      <c r="A35" s="1809"/>
      <c r="B35" s="776" t="s">
        <v>44</v>
      </c>
      <c r="C35" s="777"/>
      <c r="D35" s="777"/>
      <c r="E35" s="777"/>
      <c r="F35" s="777"/>
      <c r="G35" s="777"/>
      <c r="H35" s="777"/>
      <c r="I35" s="777"/>
      <c r="J35" s="777"/>
      <c r="K35" s="777"/>
      <c r="L35" s="777"/>
      <c r="M35" s="777"/>
      <c r="N35" s="769">
        <f>MEDIAN(N11:N29)</f>
        <v>232932.75199999998</v>
      </c>
      <c r="O35" s="769"/>
      <c r="P35" s="778">
        <f>MEDIAN(P11:P29)</f>
        <v>315305.67000000004</v>
      </c>
      <c r="Q35" s="1799"/>
      <c r="R35" s="1799"/>
      <c r="S35" s="920">
        <f>MEDIAN(S14:S29)</f>
        <v>15.36</v>
      </c>
      <c r="T35" s="1801"/>
      <c r="U35" s="1802"/>
      <c r="V35" s="1804"/>
      <c r="W35" s="1804"/>
      <c r="X35" s="1805"/>
      <c r="Y35" s="1805"/>
      <c r="Z35" s="1805"/>
      <c r="AA35" s="976"/>
      <c r="AB35" s="977"/>
      <c r="AC35" s="970"/>
      <c r="AD35" s="1807"/>
      <c r="AE35" s="1807"/>
      <c r="AF35" s="1808"/>
      <c r="AG35" s="1773"/>
      <c r="AH35" s="1773"/>
      <c r="AI35" s="1773"/>
      <c r="AJ35" s="1800"/>
      <c r="AK35" s="1813"/>
      <c r="AL35" s="1812"/>
      <c r="AM35" s="1773"/>
      <c r="AN35" s="1773"/>
      <c r="AO35" s="1773"/>
    </row>
    <row r="36" spans="1:41" s="1815" customFormat="1" ht="13.5" customHeight="1">
      <c r="A36" s="1809"/>
      <c r="B36" s="776" t="s">
        <v>114</v>
      </c>
      <c r="C36" s="777"/>
      <c r="D36" s="777"/>
      <c r="E36" s="777"/>
      <c r="F36" s="777"/>
      <c r="G36" s="777"/>
      <c r="H36" s="777"/>
      <c r="I36" s="777"/>
      <c r="J36" s="777"/>
      <c r="K36" s="777"/>
      <c r="L36" s="777"/>
      <c r="M36" s="777"/>
      <c r="N36" s="769">
        <f>_xlfn.QUARTILE.INC(N11:N29,1)</f>
        <v>82539.951000000001</v>
      </c>
      <c r="O36" s="769"/>
      <c r="P36" s="778">
        <f>_xlfn.QUARTILE.INC(P11:P29,1)</f>
        <v>141095.076</v>
      </c>
      <c r="Q36" s="1799"/>
      <c r="R36" s="1799"/>
      <c r="S36" s="920">
        <f>_xlfn.QUARTILE.INC(S14:S29,1)</f>
        <v>8.8975000000000009</v>
      </c>
      <c r="T36" s="1801"/>
      <c r="U36" s="1802"/>
      <c r="V36" s="1804"/>
      <c r="W36" s="1804"/>
      <c r="X36" s="1805"/>
      <c r="Y36" s="1805"/>
      <c r="Z36" s="1805"/>
      <c r="AA36" s="976"/>
      <c r="AB36" s="977"/>
      <c r="AC36" s="970"/>
      <c r="AD36" s="1807"/>
      <c r="AE36" s="1807"/>
      <c r="AF36" s="1808"/>
      <c r="AG36" s="1773"/>
      <c r="AH36" s="1773"/>
      <c r="AI36" s="1773"/>
      <c r="AJ36" s="1800"/>
      <c r="AK36" s="1813"/>
      <c r="AL36" s="1812"/>
      <c r="AM36" s="1773"/>
      <c r="AN36" s="1773"/>
      <c r="AO36" s="1773"/>
    </row>
    <row r="37" spans="1:41" s="1815" customFormat="1" ht="13.5" customHeight="1">
      <c r="A37" s="1809"/>
      <c r="B37" s="921" t="s">
        <v>112</v>
      </c>
      <c r="C37" s="779"/>
      <c r="D37" s="779"/>
      <c r="E37" s="779"/>
      <c r="F37" s="779"/>
      <c r="G37" s="779"/>
      <c r="H37" s="779"/>
      <c r="I37" s="779"/>
      <c r="J37" s="779"/>
      <c r="K37" s="779"/>
      <c r="L37" s="779"/>
      <c r="M37" s="779"/>
      <c r="N37" s="770">
        <f>MIN(N11:N29)</f>
        <v>39416.17</v>
      </c>
      <c r="O37" s="770"/>
      <c r="P37" s="780">
        <f>MIN(P11:P29)</f>
        <v>50611.932000000001</v>
      </c>
      <c r="Q37" s="1799"/>
      <c r="R37" s="1799"/>
      <c r="S37" s="922">
        <f>MIN(S14:S29)</f>
        <v>3.2423000000000002</v>
      </c>
      <c r="T37" s="1801"/>
      <c r="U37" s="1802"/>
      <c r="V37" s="1804"/>
      <c r="W37" s="1804"/>
      <c r="X37" s="1805"/>
      <c r="Y37" s="1805"/>
      <c r="Z37" s="1805"/>
      <c r="AA37" s="976"/>
      <c r="AB37" s="977"/>
      <c r="AC37" s="970"/>
      <c r="AD37" s="1807"/>
      <c r="AE37" s="1807"/>
      <c r="AF37" s="1808"/>
      <c r="AG37" s="1773"/>
      <c r="AH37" s="1773"/>
      <c r="AI37" s="1773"/>
      <c r="AJ37" s="1800"/>
      <c r="AK37" s="1813"/>
      <c r="AL37" s="1812"/>
      <c r="AM37" s="1773"/>
      <c r="AN37" s="1773"/>
      <c r="AO37" s="1773"/>
    </row>
    <row r="38" spans="1:41" s="1815" customFormat="1" ht="13.5" customHeight="1">
      <c r="A38" s="1809"/>
      <c r="B38" s="1794"/>
      <c r="C38" s="1797"/>
      <c r="D38" s="1796"/>
      <c r="E38" s="1797"/>
      <c r="F38" s="1798"/>
      <c r="G38" s="1820"/>
      <c r="H38" s="1810"/>
      <c r="I38" s="1810"/>
      <c r="J38" s="1820"/>
      <c r="K38" s="1821"/>
      <c r="L38" s="1800"/>
      <c r="M38" s="1800"/>
      <c r="N38" s="1799"/>
      <c r="O38" s="1800"/>
      <c r="P38" s="1799"/>
      <c r="Q38" s="1799"/>
      <c r="R38" s="1799"/>
      <c r="S38" s="775"/>
      <c r="T38" s="1801"/>
      <c r="U38" s="1802"/>
      <c r="V38" s="1804"/>
      <c r="W38" s="1804"/>
      <c r="X38" s="1808"/>
      <c r="Y38" s="1805"/>
      <c r="Z38" s="1805"/>
      <c r="AA38" s="976"/>
      <c r="AB38" s="977"/>
      <c r="AC38" s="970"/>
      <c r="AD38" s="1807"/>
      <c r="AE38" s="1807"/>
      <c r="AF38" s="1788"/>
      <c r="AG38" s="1773"/>
      <c r="AH38" s="1773"/>
      <c r="AI38" s="1773"/>
      <c r="AJ38" s="1800"/>
      <c r="AK38" s="1813"/>
      <c r="AL38" s="1812"/>
      <c r="AM38" s="1773"/>
      <c r="AN38" s="1773"/>
      <c r="AO38" s="1773"/>
    </row>
    <row r="39" spans="1:41" s="1815" customFormat="1" ht="13.5" customHeight="1">
      <c r="A39" s="1809"/>
      <c r="B39" s="1827" t="s">
        <v>1287</v>
      </c>
      <c r="C39" s="1797"/>
      <c r="D39" s="1796"/>
      <c r="E39" s="1797"/>
      <c r="F39" s="1798"/>
      <c r="G39" s="1820"/>
      <c r="H39" s="1810"/>
      <c r="I39" s="1810"/>
      <c r="J39" s="1820"/>
      <c r="K39" s="1821"/>
      <c r="L39" s="1800"/>
      <c r="M39" s="1800"/>
      <c r="N39" s="1799"/>
      <c r="O39" s="1800"/>
      <c r="P39" s="1799"/>
      <c r="Q39" s="1799"/>
      <c r="R39" s="1799"/>
      <c r="S39" s="775"/>
      <c r="T39" s="1801"/>
      <c r="U39" s="1802"/>
      <c r="V39" s="1804"/>
      <c r="W39" s="1804"/>
      <c r="X39" s="1808"/>
      <c r="Y39" s="1805"/>
      <c r="Z39" s="1805"/>
      <c r="AA39" s="976"/>
      <c r="AB39" s="977"/>
      <c r="AC39" s="970"/>
      <c r="AD39" s="1807"/>
      <c r="AE39" s="1807"/>
      <c r="AF39" s="1788"/>
      <c r="AG39" s="1773"/>
      <c r="AH39" s="1773"/>
      <c r="AI39" s="1773"/>
      <c r="AJ39" s="1800"/>
      <c r="AK39" s="1813"/>
      <c r="AL39" s="1812"/>
      <c r="AM39" s="1773"/>
      <c r="AN39" s="1773"/>
      <c r="AO39" s="1773"/>
    </row>
    <row r="40" spans="1:41" s="1815" customFormat="1" ht="13.5" customHeight="1">
      <c r="A40" s="1809"/>
      <c r="B40" s="1794" t="s">
        <v>2761</v>
      </c>
      <c r="C40" s="1797" t="s">
        <v>2762</v>
      </c>
      <c r="D40" s="1796" t="s">
        <v>2763</v>
      </c>
      <c r="E40" s="1797" t="s">
        <v>2764</v>
      </c>
      <c r="F40" s="1798">
        <v>43278</v>
      </c>
      <c r="G40" s="1820">
        <v>13</v>
      </c>
      <c r="H40" s="1810">
        <v>12</v>
      </c>
      <c r="I40" s="1810">
        <v>14</v>
      </c>
      <c r="J40" s="1820">
        <v>12.92</v>
      </c>
      <c r="K40" s="1799">
        <f>+M40-L40</f>
        <v>35427.667000000001</v>
      </c>
      <c r="L40" s="975">
        <v>7700</v>
      </c>
      <c r="M40" s="975">
        <v>43127.667000000001</v>
      </c>
      <c r="N40" s="1777">
        <f>+G40*K40</f>
        <v>460559.67100000003</v>
      </c>
      <c r="O40" s="1777">
        <f t="shared" ref="O40:O46" si="12">+G40*L40</f>
        <v>100100</v>
      </c>
      <c r="P40" s="1777">
        <f t="shared" ref="P40:P46" si="13">+N40+O40</f>
        <v>560659.67100000009</v>
      </c>
      <c r="Q40" s="1799"/>
      <c r="R40" s="1777">
        <v>1</v>
      </c>
      <c r="S40" s="775">
        <f>J40</f>
        <v>12.92</v>
      </c>
      <c r="T40" s="1801">
        <f>S40*M40</f>
        <v>557209.45764000004</v>
      </c>
      <c r="U40" s="1802">
        <f>T40/P40-1</f>
        <v>-6.1538461538462874E-3</v>
      </c>
      <c r="V40" s="2119" t="s">
        <v>2765</v>
      </c>
      <c r="W40" s="2120" t="s">
        <v>2766</v>
      </c>
      <c r="X40" s="1805">
        <f>+N40+O40</f>
        <v>560659.67100000009</v>
      </c>
      <c r="Y40" s="1805"/>
      <c r="Z40" s="1805"/>
      <c r="AA40" s="976"/>
      <c r="AB40" s="977"/>
      <c r="AC40" s="970"/>
      <c r="AD40" s="1807"/>
      <c r="AE40" s="1807"/>
      <c r="AF40" s="1788"/>
      <c r="AG40" s="1773"/>
      <c r="AH40" s="1773"/>
      <c r="AI40" s="1773"/>
      <c r="AJ40" s="1800"/>
      <c r="AK40" s="1813"/>
      <c r="AL40" s="1812"/>
      <c r="AM40" s="1773"/>
      <c r="AN40" s="1773"/>
      <c r="AO40" s="1773"/>
    </row>
    <row r="41" spans="1:41" s="1815" customFormat="1" ht="13.5" customHeight="1">
      <c r="A41" s="1809"/>
      <c r="B41" s="1794" t="s">
        <v>2767</v>
      </c>
      <c r="C41" s="1797" t="s">
        <v>2768</v>
      </c>
      <c r="D41" s="1796" t="s">
        <v>1059</v>
      </c>
      <c r="E41" s="1797" t="s">
        <v>2769</v>
      </c>
      <c r="F41" s="1798">
        <v>43278</v>
      </c>
      <c r="G41" s="1820">
        <v>16</v>
      </c>
      <c r="H41" s="1810">
        <v>14</v>
      </c>
      <c r="I41" s="1810">
        <v>16</v>
      </c>
      <c r="J41" s="1820">
        <v>15.73</v>
      </c>
      <c r="K41" s="1799">
        <f>+M41-L41</f>
        <v>22925.102999999999</v>
      </c>
      <c r="L41" s="975">
        <v>6700</v>
      </c>
      <c r="M41" s="975">
        <v>29625.102999999999</v>
      </c>
      <c r="N41" s="1777">
        <f>+G41*K41</f>
        <v>366801.64799999999</v>
      </c>
      <c r="O41" s="1777">
        <f t="shared" si="12"/>
        <v>107200</v>
      </c>
      <c r="P41" s="1777">
        <f t="shared" si="13"/>
        <v>474001.64799999999</v>
      </c>
      <c r="Q41" s="1799"/>
      <c r="R41" s="1777">
        <v>1</v>
      </c>
      <c r="S41" s="775">
        <f>J41</f>
        <v>15.73</v>
      </c>
      <c r="T41" s="1801">
        <f>S41*M41</f>
        <v>466002.87018999999</v>
      </c>
      <c r="U41" s="1802">
        <f>T41/P41-1</f>
        <v>-1.6874999999999973E-2</v>
      </c>
      <c r="V41" s="2119" t="s">
        <v>2770</v>
      </c>
      <c r="W41" s="2120" t="s">
        <v>2771</v>
      </c>
      <c r="X41" s="1805">
        <f>+N41+O41</f>
        <v>474001.64799999999</v>
      </c>
      <c r="Y41" s="1805"/>
      <c r="Z41" s="1805"/>
      <c r="AA41" s="976"/>
      <c r="AB41" s="977"/>
      <c r="AC41" s="970"/>
      <c r="AD41" s="1807"/>
      <c r="AE41" s="1807"/>
      <c r="AF41" s="1788"/>
      <c r="AG41" s="1773"/>
      <c r="AH41" s="1773"/>
      <c r="AI41" s="1773"/>
      <c r="AJ41" s="1800"/>
      <c r="AK41" s="1813"/>
      <c r="AL41" s="1812"/>
      <c r="AM41" s="1773"/>
      <c r="AN41" s="1773"/>
      <c r="AO41" s="1773"/>
    </row>
    <row r="42" spans="1:41" s="1815" customFormat="1" ht="13.5" customHeight="1">
      <c r="A42" s="1809"/>
      <c r="B42" s="1794" t="s">
        <v>2627</v>
      </c>
      <c r="C42" s="1797" t="s">
        <v>2760</v>
      </c>
      <c r="D42" s="1796" t="s">
        <v>517</v>
      </c>
      <c r="E42" s="1797" t="s">
        <v>2628</v>
      </c>
      <c r="F42" s="1798">
        <v>43277</v>
      </c>
      <c r="G42" s="1820">
        <v>16</v>
      </c>
      <c r="H42" s="1810">
        <v>15</v>
      </c>
      <c r="I42" s="1810">
        <v>17</v>
      </c>
      <c r="J42" s="1820">
        <v>11.92</v>
      </c>
      <c r="K42" s="1799">
        <f>+M42-L42</f>
        <v>21949.263999999999</v>
      </c>
      <c r="L42" s="975">
        <v>6250</v>
      </c>
      <c r="M42" s="975">
        <v>28199.263999999999</v>
      </c>
      <c r="N42" s="1777">
        <f>+G42*K42</f>
        <v>351188.22399999999</v>
      </c>
      <c r="O42" s="1777">
        <f t="shared" si="12"/>
        <v>100000</v>
      </c>
      <c r="P42" s="1777">
        <f t="shared" si="13"/>
        <v>451188.22399999999</v>
      </c>
      <c r="Q42" s="1799"/>
      <c r="R42" s="1777">
        <v>1</v>
      </c>
      <c r="S42" s="775">
        <f>J42</f>
        <v>11.92</v>
      </c>
      <c r="T42" s="1801">
        <f>S42*M42</f>
        <v>336135.22687999997</v>
      </c>
      <c r="U42" s="1802">
        <f>T42/P42-1</f>
        <v>-0.255</v>
      </c>
      <c r="V42" s="2119" t="s">
        <v>2772</v>
      </c>
      <c r="W42" s="2120" t="s">
        <v>2629</v>
      </c>
      <c r="X42" s="1805">
        <f>+N42+O42</f>
        <v>451188.22399999999</v>
      </c>
      <c r="Y42" s="1805"/>
      <c r="Z42" s="1805"/>
      <c r="AA42" s="976"/>
      <c r="AB42" s="977"/>
      <c r="AC42" s="970"/>
      <c r="AD42" s="1807"/>
      <c r="AE42" s="1807"/>
      <c r="AF42" s="1788"/>
      <c r="AG42" s="1773"/>
      <c r="AH42" s="1773"/>
      <c r="AI42" s="1773"/>
      <c r="AJ42" s="1800"/>
      <c r="AK42" s="1813"/>
      <c r="AL42" s="1812"/>
      <c r="AM42" s="1773"/>
      <c r="AN42" s="1773"/>
      <c r="AO42" s="1773"/>
    </row>
    <row r="43" spans="1:41" s="1815" customFormat="1" ht="13.5" customHeight="1">
      <c r="A43" s="1809"/>
      <c r="B43" s="1794" t="s">
        <v>2630</v>
      </c>
      <c r="C43" s="1797" t="s">
        <v>2631</v>
      </c>
      <c r="D43" s="1796" t="s">
        <v>983</v>
      </c>
      <c r="E43" s="1797" t="s">
        <v>2632</v>
      </c>
      <c r="F43" s="1798">
        <v>43272</v>
      </c>
      <c r="G43" s="1820">
        <v>17</v>
      </c>
      <c r="H43" s="1810">
        <v>15</v>
      </c>
      <c r="I43" s="1810">
        <v>17</v>
      </c>
      <c r="J43" s="1820">
        <v>26.19</v>
      </c>
      <c r="K43" s="1799">
        <f>+M43-L43</f>
        <v>29962.684000000001</v>
      </c>
      <c r="L43" s="975">
        <f>8823530/1000</f>
        <v>8823.5300000000007</v>
      </c>
      <c r="M43" s="975">
        <f>38786214/1000</f>
        <v>38786.214</v>
      </c>
      <c r="N43" s="1777">
        <f>+G43*K43</f>
        <v>509365.62800000003</v>
      </c>
      <c r="O43" s="1777">
        <f t="shared" si="12"/>
        <v>150000.01</v>
      </c>
      <c r="P43" s="1777">
        <f t="shared" si="13"/>
        <v>659365.63800000004</v>
      </c>
      <c r="Q43" s="1799"/>
      <c r="R43" s="1777">
        <v>1</v>
      </c>
      <c r="S43" s="775">
        <f t="shared" ref="S43:S48" si="14">J43</f>
        <v>26.19</v>
      </c>
      <c r="T43" s="1801">
        <f t="shared" ref="T43:T48" si="15">S43*M43</f>
        <v>1015810.94466</v>
      </c>
      <c r="U43" s="1802">
        <f t="shared" ref="U43:U48" si="16">T43/P43-1</f>
        <v>0.54058823529411759</v>
      </c>
      <c r="V43" s="2106" t="s">
        <v>2633</v>
      </c>
      <c r="W43" s="2107" t="s">
        <v>2634</v>
      </c>
      <c r="X43" s="1805">
        <f t="shared" ref="X43:X48" si="17">+N43+O43</f>
        <v>659365.63800000004</v>
      </c>
      <c r="Y43" s="1805"/>
      <c r="Z43" s="1805"/>
      <c r="AA43" s="976"/>
      <c r="AB43" s="977"/>
      <c r="AC43" s="970"/>
      <c r="AD43" s="1807"/>
      <c r="AE43" s="1807"/>
      <c r="AF43" s="1788"/>
      <c r="AG43" s="1773"/>
      <c r="AH43" s="1773"/>
      <c r="AI43" s="1773"/>
      <c r="AJ43" s="1800"/>
      <c r="AK43" s="1813"/>
      <c r="AL43" s="1812"/>
      <c r="AM43" s="1773"/>
      <c r="AN43" s="1773"/>
      <c r="AO43" s="1773"/>
    </row>
    <row r="44" spans="1:41" s="1815" customFormat="1" ht="13.5" customHeight="1">
      <c r="A44" s="1809"/>
      <c r="B44" s="2108" t="s">
        <v>2635</v>
      </c>
      <c r="C44" s="1797" t="s">
        <v>2636</v>
      </c>
      <c r="D44" s="1796" t="s">
        <v>1059</v>
      </c>
      <c r="E44" s="1797" t="s">
        <v>2637</v>
      </c>
      <c r="F44" s="1798">
        <v>43271</v>
      </c>
      <c r="G44" s="2109">
        <v>15</v>
      </c>
      <c r="H44" s="1810">
        <v>14</v>
      </c>
      <c r="I44" s="1810">
        <v>16</v>
      </c>
      <c r="J44" s="2110">
        <v>17.3</v>
      </c>
      <c r="K44" s="1799">
        <f>+M44-L44</f>
        <v>13321.522000000001</v>
      </c>
      <c r="L44" s="2111">
        <f>5000000/1000</f>
        <v>5000</v>
      </c>
      <c r="M44" s="2112">
        <f>18321522/1000</f>
        <v>18321.522000000001</v>
      </c>
      <c r="N44" s="1777">
        <f>+G44*K44</f>
        <v>199822.83000000002</v>
      </c>
      <c r="O44" s="1777">
        <f t="shared" si="12"/>
        <v>75000</v>
      </c>
      <c r="P44" s="1777">
        <f t="shared" si="13"/>
        <v>274822.83</v>
      </c>
      <c r="Q44" s="1799"/>
      <c r="R44" s="1777">
        <v>1</v>
      </c>
      <c r="S44" s="775">
        <f t="shared" si="14"/>
        <v>17.3</v>
      </c>
      <c r="T44" s="1801">
        <f t="shared" si="15"/>
        <v>316962.33060000004</v>
      </c>
      <c r="U44" s="1802">
        <f t="shared" si="16"/>
        <v>0.15333333333333332</v>
      </c>
      <c r="V44" s="2106" t="s">
        <v>2638</v>
      </c>
      <c r="W44" s="2107" t="s">
        <v>2639</v>
      </c>
      <c r="X44" s="1805">
        <f t="shared" si="17"/>
        <v>274822.83</v>
      </c>
      <c r="Y44" s="1805"/>
      <c r="Z44" s="1805"/>
      <c r="AA44" s="976"/>
      <c r="AB44" s="977"/>
      <c r="AC44" s="970"/>
      <c r="AD44" s="1807"/>
      <c r="AE44" s="1807"/>
      <c r="AF44" s="1788"/>
      <c r="AG44" s="1773"/>
      <c r="AH44" s="1773"/>
      <c r="AI44" s="1773"/>
      <c r="AJ44" s="1800"/>
      <c r="AK44" s="1813"/>
      <c r="AL44" s="1812"/>
      <c r="AM44" s="1773"/>
      <c r="AN44" s="1773"/>
      <c r="AO44" s="1773"/>
    </row>
    <row r="45" spans="1:41" s="1815" customFormat="1" ht="13.5" customHeight="1">
      <c r="A45" s="1809"/>
      <c r="B45" s="2108" t="s">
        <v>2640</v>
      </c>
      <c r="C45" s="1797" t="s">
        <v>2641</v>
      </c>
      <c r="D45" s="1796" t="s">
        <v>983</v>
      </c>
      <c r="E45" s="1797" t="s">
        <v>2642</v>
      </c>
      <c r="F45" s="1798">
        <v>43258</v>
      </c>
      <c r="G45" s="2109">
        <v>15</v>
      </c>
      <c r="H45" s="1810">
        <v>14</v>
      </c>
      <c r="I45" s="1810">
        <v>16</v>
      </c>
      <c r="J45" s="2110">
        <v>11.46</v>
      </c>
      <c r="K45" s="1799">
        <f t="shared" ref="K45:K53" si="18">+M45-L45</f>
        <v>22184.132000000001</v>
      </c>
      <c r="L45" s="2111">
        <f>5000000/1000</f>
        <v>5000</v>
      </c>
      <c r="M45" s="2112">
        <f>27184132/1000</f>
        <v>27184.132000000001</v>
      </c>
      <c r="N45" s="1777">
        <f t="shared" ref="N45:N53" si="19">+G45*K45</f>
        <v>332761.98000000004</v>
      </c>
      <c r="O45" s="1777">
        <f t="shared" si="12"/>
        <v>75000</v>
      </c>
      <c r="P45" s="1777">
        <f t="shared" si="13"/>
        <v>407761.98000000004</v>
      </c>
      <c r="Q45" s="1799"/>
      <c r="R45" s="1777">
        <v>1</v>
      </c>
      <c r="S45" s="775">
        <f t="shared" si="14"/>
        <v>11.46</v>
      </c>
      <c r="T45" s="1801">
        <f t="shared" si="15"/>
        <v>311530.15272000001</v>
      </c>
      <c r="U45" s="1802">
        <f t="shared" si="16"/>
        <v>-0.23599999999999999</v>
      </c>
      <c r="V45" s="2106" t="s">
        <v>2643</v>
      </c>
      <c r="W45" s="2107" t="s">
        <v>2644</v>
      </c>
      <c r="X45" s="1805">
        <f t="shared" si="17"/>
        <v>407761.98000000004</v>
      </c>
      <c r="Y45" s="1805"/>
      <c r="Z45" s="1805"/>
      <c r="AA45" s="976"/>
      <c r="AB45" s="977"/>
      <c r="AC45" s="970"/>
      <c r="AD45" s="1807"/>
      <c r="AE45" s="1807"/>
      <c r="AF45" s="1788"/>
      <c r="AG45" s="1773"/>
      <c r="AH45" s="1773"/>
      <c r="AI45" s="1773"/>
      <c r="AJ45" s="1800"/>
      <c r="AK45" s="1813"/>
      <c r="AL45" s="1812"/>
      <c r="AM45" s="1773"/>
      <c r="AN45" s="1773"/>
      <c r="AO45" s="1773"/>
    </row>
    <row r="46" spans="1:41" s="1815" customFormat="1" ht="13.5" customHeight="1">
      <c r="A46" s="1809"/>
      <c r="B46" s="1794" t="s">
        <v>2645</v>
      </c>
      <c r="C46" s="1797" t="s">
        <v>2646</v>
      </c>
      <c r="D46" s="1796" t="s">
        <v>517</v>
      </c>
      <c r="E46" s="1797" t="s">
        <v>2647</v>
      </c>
      <c r="F46" s="1798">
        <v>43243</v>
      </c>
      <c r="G46" s="1820">
        <v>14</v>
      </c>
      <c r="H46" s="1810">
        <v>13</v>
      </c>
      <c r="I46" s="1810">
        <v>15</v>
      </c>
      <c r="J46" s="1820">
        <v>21.62</v>
      </c>
      <c r="K46" s="1799">
        <f t="shared" si="18"/>
        <v>19080.536</v>
      </c>
      <c r="L46" s="975">
        <f>5360000/1000</f>
        <v>5360</v>
      </c>
      <c r="M46" s="975">
        <f>24440536/1000</f>
        <v>24440.536</v>
      </c>
      <c r="N46" s="1777">
        <f t="shared" si="19"/>
        <v>267127.50400000002</v>
      </c>
      <c r="O46" s="1777">
        <f t="shared" si="12"/>
        <v>75040</v>
      </c>
      <c r="P46" s="1777">
        <f t="shared" si="13"/>
        <v>342167.50400000002</v>
      </c>
      <c r="Q46" s="1799"/>
      <c r="R46" s="1777">
        <v>1</v>
      </c>
      <c r="S46" s="775">
        <f t="shared" si="14"/>
        <v>21.62</v>
      </c>
      <c r="T46" s="1801">
        <f t="shared" si="15"/>
        <v>528404.38832000003</v>
      </c>
      <c r="U46" s="1802">
        <f t="shared" si="16"/>
        <v>0.54428571428571426</v>
      </c>
      <c r="V46" s="2106" t="s">
        <v>2648</v>
      </c>
      <c r="W46" s="2107" t="s">
        <v>2649</v>
      </c>
      <c r="X46" s="1805">
        <f t="shared" si="17"/>
        <v>342167.50400000002</v>
      </c>
      <c r="Y46" s="1805"/>
      <c r="Z46" s="1805"/>
      <c r="AA46" s="976"/>
      <c r="AB46" s="977"/>
      <c r="AC46" s="970"/>
      <c r="AD46" s="1807"/>
      <c r="AE46" s="1807"/>
      <c r="AF46" s="1788"/>
      <c r="AG46" s="1773"/>
      <c r="AH46" s="1773"/>
      <c r="AI46" s="1773"/>
      <c r="AJ46" s="1800"/>
      <c r="AK46" s="1813"/>
      <c r="AL46" s="1812"/>
      <c r="AM46" s="1773"/>
      <c r="AN46" s="1773"/>
      <c r="AO46" s="1773"/>
    </row>
    <row r="47" spans="1:41" s="1815" customFormat="1" ht="13.5" customHeight="1">
      <c r="A47" s="1809"/>
      <c r="B47" s="1794" t="s">
        <v>2181</v>
      </c>
      <c r="C47" s="1797" t="s">
        <v>2650</v>
      </c>
      <c r="D47" s="1796" t="s">
        <v>517</v>
      </c>
      <c r="E47" s="1797" t="s">
        <v>2651</v>
      </c>
      <c r="F47" s="1798">
        <v>43228</v>
      </c>
      <c r="G47" s="1810">
        <v>16</v>
      </c>
      <c r="H47" s="1810">
        <v>15</v>
      </c>
      <c r="I47" s="1810">
        <v>17</v>
      </c>
      <c r="J47" s="1810">
        <v>16</v>
      </c>
      <c r="K47" s="1799">
        <f t="shared" si="18"/>
        <v>26558.353999999999</v>
      </c>
      <c r="L47" s="975">
        <v>5312.5</v>
      </c>
      <c r="M47" s="975">
        <v>31870.853999999999</v>
      </c>
      <c r="N47" s="1777">
        <f t="shared" si="19"/>
        <v>424933.66399999999</v>
      </c>
      <c r="O47" s="1777">
        <f t="shared" ref="O47:O53" si="20">+G47*L47</f>
        <v>85000</v>
      </c>
      <c r="P47" s="1777">
        <f t="shared" ref="P47:P53" si="21">+N47+O47</f>
        <v>509933.66399999999</v>
      </c>
      <c r="Q47" s="1799"/>
      <c r="R47" s="1777">
        <v>1</v>
      </c>
      <c r="S47" s="775">
        <f t="shared" si="14"/>
        <v>16</v>
      </c>
      <c r="T47" s="1801">
        <f t="shared" si="15"/>
        <v>509933.66399999999</v>
      </c>
      <c r="U47" s="1802">
        <f t="shared" si="16"/>
        <v>0</v>
      </c>
      <c r="V47" s="1803" t="s">
        <v>2652</v>
      </c>
      <c r="W47" s="2105" t="s">
        <v>2653</v>
      </c>
      <c r="X47" s="1805">
        <f t="shared" si="17"/>
        <v>509933.66399999999</v>
      </c>
      <c r="Y47" s="1805"/>
      <c r="Z47" s="1805"/>
      <c r="AA47" s="976"/>
      <c r="AB47" s="977"/>
      <c r="AC47" s="970"/>
      <c r="AD47" s="1807"/>
      <c r="AE47" s="1807"/>
      <c r="AF47" s="1788"/>
      <c r="AG47" s="1773"/>
      <c r="AH47" s="1773"/>
      <c r="AI47" s="1773"/>
      <c r="AJ47" s="1800"/>
      <c r="AK47" s="1813"/>
      <c r="AL47" s="1812"/>
      <c r="AM47" s="1773"/>
      <c r="AN47" s="1773"/>
      <c r="AO47" s="1773"/>
    </row>
    <row r="48" spans="1:41" s="1815" customFormat="1" ht="13.5" customHeight="1">
      <c r="A48" s="1809"/>
      <c r="B48" s="1794" t="s">
        <v>2654</v>
      </c>
      <c r="C48" s="1797" t="s">
        <v>2655</v>
      </c>
      <c r="D48" s="1796" t="s">
        <v>517</v>
      </c>
      <c r="E48" s="1797" t="s">
        <v>2656</v>
      </c>
      <c r="F48" s="1798">
        <v>43222</v>
      </c>
      <c r="G48" s="1810">
        <v>17</v>
      </c>
      <c r="H48" s="1810">
        <v>16</v>
      </c>
      <c r="I48" s="1810">
        <v>18</v>
      </c>
      <c r="J48" s="1810">
        <v>14.94</v>
      </c>
      <c r="K48" s="1799">
        <f t="shared" si="18"/>
        <v>36903.538</v>
      </c>
      <c r="L48" s="975">
        <v>5000</v>
      </c>
      <c r="M48" s="975">
        <v>41903.538</v>
      </c>
      <c r="N48" s="1777">
        <f t="shared" si="19"/>
        <v>627360.14599999995</v>
      </c>
      <c r="O48" s="1777">
        <f t="shared" si="20"/>
        <v>85000</v>
      </c>
      <c r="P48" s="1777">
        <f t="shared" si="21"/>
        <v>712360.14599999995</v>
      </c>
      <c r="Q48" s="1799"/>
      <c r="R48" s="1777">
        <v>1</v>
      </c>
      <c r="S48" s="775">
        <f t="shared" si="14"/>
        <v>14.94</v>
      </c>
      <c r="T48" s="1801">
        <f t="shared" si="15"/>
        <v>626038.85771999997</v>
      </c>
      <c r="U48" s="1802">
        <f t="shared" si="16"/>
        <v>-0.12117647058823522</v>
      </c>
      <c r="V48" s="1803" t="s">
        <v>2657</v>
      </c>
      <c r="W48" s="2105" t="s">
        <v>2658</v>
      </c>
      <c r="X48" s="1805">
        <f t="shared" si="17"/>
        <v>712360.14599999995</v>
      </c>
      <c r="Y48" s="1805"/>
      <c r="Z48" s="1805"/>
      <c r="AA48" s="976"/>
      <c r="AB48" s="977"/>
      <c r="AC48" s="970"/>
      <c r="AD48" s="1807"/>
      <c r="AE48" s="1807"/>
      <c r="AF48" s="1788"/>
      <c r="AG48" s="1773"/>
      <c r="AH48" s="1773"/>
      <c r="AI48" s="1773"/>
      <c r="AJ48" s="1800"/>
      <c r="AK48" s="1813"/>
      <c r="AL48" s="1812"/>
      <c r="AM48" s="1773"/>
      <c r="AN48" s="1773"/>
      <c r="AO48" s="1773"/>
    </row>
    <row r="49" spans="1:73" s="1815" customFormat="1" ht="13.5" customHeight="1">
      <c r="A49" s="1809"/>
      <c r="B49" s="1794" t="s">
        <v>2659</v>
      </c>
      <c r="C49" s="1797" t="s">
        <v>2660</v>
      </c>
      <c r="D49" s="1796" t="s">
        <v>517</v>
      </c>
      <c r="E49" s="1797" t="s">
        <v>2661</v>
      </c>
      <c r="F49" s="1798">
        <v>43208</v>
      </c>
      <c r="G49" s="1810">
        <v>15</v>
      </c>
      <c r="H49" s="1810">
        <v>13</v>
      </c>
      <c r="I49" s="1810">
        <v>15</v>
      </c>
      <c r="J49" s="1810">
        <v>13.39</v>
      </c>
      <c r="K49" s="1799">
        <f t="shared" si="18"/>
        <v>20397.314999999999</v>
      </c>
      <c r="L49" s="975">
        <v>7200</v>
      </c>
      <c r="M49" s="975">
        <v>27597.314999999999</v>
      </c>
      <c r="N49" s="1777">
        <f t="shared" si="19"/>
        <v>305959.72499999998</v>
      </c>
      <c r="O49" s="1777">
        <f t="shared" si="20"/>
        <v>108000</v>
      </c>
      <c r="P49" s="1777">
        <f t="shared" si="21"/>
        <v>413959.72499999998</v>
      </c>
      <c r="Q49" s="1799"/>
      <c r="R49" s="1777">
        <v>1</v>
      </c>
      <c r="S49" s="775">
        <f>J49</f>
        <v>13.39</v>
      </c>
      <c r="T49" s="1801">
        <f>S49*M49</f>
        <v>369528.04784999997</v>
      </c>
      <c r="U49" s="1802">
        <f>T49/P49-1</f>
        <v>-0.10733333333333339</v>
      </c>
      <c r="V49" s="1803" t="s">
        <v>2662</v>
      </c>
      <c r="W49" s="2105" t="s">
        <v>2663</v>
      </c>
      <c r="X49" s="1805">
        <f>+N49+O49</f>
        <v>413959.72499999998</v>
      </c>
      <c r="Y49" s="1805"/>
      <c r="Z49" s="1805"/>
      <c r="AA49" s="976"/>
      <c r="AB49" s="977"/>
      <c r="AC49" s="970"/>
      <c r="AD49" s="1807"/>
      <c r="AE49" s="1807"/>
      <c r="AF49" s="1788"/>
      <c r="AG49" s="1773"/>
      <c r="AH49" s="1773"/>
      <c r="AI49" s="1773"/>
      <c r="AJ49" s="1800"/>
      <c r="AK49" s="1813"/>
      <c r="AL49" s="1812"/>
      <c r="AM49" s="1773"/>
      <c r="AN49" s="1773"/>
      <c r="AO49" s="1773"/>
    </row>
    <row r="50" spans="1:73" s="1815" customFormat="1" ht="13.5" customHeight="1">
      <c r="A50" s="1809"/>
      <c r="B50" s="1794" t="s">
        <v>2664</v>
      </c>
      <c r="C50" s="1797" t="s">
        <v>2665</v>
      </c>
      <c r="D50" s="1796" t="s">
        <v>517</v>
      </c>
      <c r="E50" s="1797" t="s">
        <v>2666</v>
      </c>
      <c r="F50" s="1798">
        <v>43187</v>
      </c>
      <c r="G50" s="1810">
        <v>12</v>
      </c>
      <c r="H50" s="1810">
        <v>12</v>
      </c>
      <c r="I50" s="1810">
        <v>14</v>
      </c>
      <c r="J50" s="1810">
        <v>11.78</v>
      </c>
      <c r="K50" s="1799">
        <f t="shared" si="18"/>
        <v>23847.718000000001</v>
      </c>
      <c r="L50" s="975">
        <v>5770</v>
      </c>
      <c r="M50" s="975">
        <v>29617.718000000001</v>
      </c>
      <c r="N50" s="1777">
        <f t="shared" si="19"/>
        <v>286172.61600000004</v>
      </c>
      <c r="O50" s="1777">
        <f t="shared" si="20"/>
        <v>69240</v>
      </c>
      <c r="P50" s="1777">
        <f t="shared" si="21"/>
        <v>355412.61600000004</v>
      </c>
      <c r="Q50" s="1799"/>
      <c r="R50" s="1777">
        <v>1</v>
      </c>
      <c r="S50" s="775">
        <f>J50</f>
        <v>11.78</v>
      </c>
      <c r="T50" s="1801">
        <f>S50*M50</f>
        <v>348896.71804000001</v>
      </c>
      <c r="U50" s="1802">
        <f>T50/P50-1</f>
        <v>-1.8333333333333424E-2</v>
      </c>
      <c r="V50" s="1803" t="s">
        <v>2667</v>
      </c>
      <c r="W50" s="2105" t="s">
        <v>2668</v>
      </c>
      <c r="X50" s="1805">
        <f>+N50+O50</f>
        <v>355412.61600000004</v>
      </c>
      <c r="Y50" s="1805"/>
      <c r="Z50" s="1805"/>
      <c r="AA50" s="976"/>
      <c r="AB50" s="977"/>
      <c r="AC50" s="970"/>
      <c r="AD50" s="1807"/>
      <c r="AE50" s="1807"/>
      <c r="AF50" s="1788"/>
      <c r="AG50" s="1773"/>
      <c r="AH50" s="1773"/>
      <c r="AI50" s="1773"/>
      <c r="AJ50" s="1800"/>
      <c r="AK50" s="1813"/>
      <c r="AL50" s="1812"/>
      <c r="AM50" s="1773"/>
      <c r="AN50" s="1773"/>
      <c r="AO50" s="1773"/>
    </row>
    <row r="51" spans="1:73" s="1815" customFormat="1" ht="13.5" customHeight="1">
      <c r="A51" s="1809"/>
      <c r="B51" s="1794" t="s">
        <v>2669</v>
      </c>
      <c r="C51" s="1797" t="s">
        <v>2670</v>
      </c>
      <c r="D51" s="1796" t="s">
        <v>517</v>
      </c>
      <c r="E51" s="1797" t="s">
        <v>2671</v>
      </c>
      <c r="F51" s="1798">
        <v>43173</v>
      </c>
      <c r="G51" s="1810">
        <v>15</v>
      </c>
      <c r="H51" s="1810">
        <v>13</v>
      </c>
      <c r="I51" s="1810">
        <v>15</v>
      </c>
      <c r="J51" s="1810">
        <v>15.27</v>
      </c>
      <c r="K51" s="1799">
        <f t="shared" si="18"/>
        <v>34550.472000000002</v>
      </c>
      <c r="L51" s="975">
        <v>8000</v>
      </c>
      <c r="M51" s="975">
        <v>42550.472000000002</v>
      </c>
      <c r="N51" s="1777">
        <f t="shared" si="19"/>
        <v>518257.08</v>
      </c>
      <c r="O51" s="1777">
        <f t="shared" si="20"/>
        <v>120000</v>
      </c>
      <c r="P51" s="1777">
        <f t="shared" si="21"/>
        <v>638257.08000000007</v>
      </c>
      <c r="Q51" s="1799"/>
      <c r="R51" s="1777">
        <v>1</v>
      </c>
      <c r="S51" s="775">
        <f>J51</f>
        <v>15.27</v>
      </c>
      <c r="T51" s="1801">
        <f>S51*M51</f>
        <v>649745.70744000003</v>
      </c>
      <c r="U51" s="1802">
        <f>T51/P51-1</f>
        <v>1.8000000000000016E-2</v>
      </c>
      <c r="V51" s="1803" t="s">
        <v>2672</v>
      </c>
      <c r="W51" s="2105" t="s">
        <v>2673</v>
      </c>
      <c r="X51" s="1805">
        <f>+N51+O51</f>
        <v>638257.08000000007</v>
      </c>
      <c r="Y51" s="1805"/>
      <c r="Z51" s="1805"/>
      <c r="AA51" s="976"/>
      <c r="AB51" s="977"/>
      <c r="AC51" s="970"/>
      <c r="AD51" s="1807"/>
      <c r="AE51" s="1807"/>
      <c r="AF51" s="1788"/>
      <c r="AG51" s="1773"/>
      <c r="AH51" s="1773"/>
      <c r="AI51" s="1773"/>
      <c r="AJ51" s="1800"/>
      <c r="AK51" s="1813"/>
      <c r="AL51" s="1812"/>
      <c r="AM51" s="1773"/>
      <c r="AN51" s="1773"/>
      <c r="AO51" s="1773"/>
    </row>
    <row r="52" spans="1:73" s="1815" customFormat="1" ht="13.5" customHeight="1">
      <c r="A52" s="1809"/>
      <c r="B52" s="1794" t="s">
        <v>2674</v>
      </c>
      <c r="C52" s="1797" t="s">
        <v>2675</v>
      </c>
      <c r="D52" s="1796" t="s">
        <v>509</v>
      </c>
      <c r="E52" s="1797" t="s">
        <v>2676</v>
      </c>
      <c r="F52" s="1798">
        <v>43167</v>
      </c>
      <c r="G52" s="1810">
        <v>11</v>
      </c>
      <c r="H52" s="1810">
        <v>11</v>
      </c>
      <c r="I52" s="1810">
        <v>13</v>
      </c>
      <c r="J52" s="1810">
        <v>11.05</v>
      </c>
      <c r="K52" s="1799">
        <f t="shared" si="18"/>
        <v>10191</v>
      </c>
      <c r="L52" s="975">
        <v>5454.5450000000001</v>
      </c>
      <c r="M52" s="975">
        <v>15645.545</v>
      </c>
      <c r="N52" s="1777">
        <f t="shared" si="19"/>
        <v>112101</v>
      </c>
      <c r="O52" s="1777">
        <f t="shared" si="20"/>
        <v>59999.995000000003</v>
      </c>
      <c r="P52" s="1777">
        <f t="shared" si="21"/>
        <v>172100.995</v>
      </c>
      <c r="Q52" s="1799"/>
      <c r="R52" s="1777">
        <v>1</v>
      </c>
      <c r="S52" s="775">
        <f>J52</f>
        <v>11.05</v>
      </c>
      <c r="T52" s="1801">
        <f>S52*M52</f>
        <v>172883.27225000001</v>
      </c>
      <c r="U52" s="1802">
        <f>T52/P52-1</f>
        <v>4.5454545454546302E-3</v>
      </c>
      <c r="V52" s="1803" t="s">
        <v>2677</v>
      </c>
      <c r="W52" s="2105" t="s">
        <v>2678</v>
      </c>
      <c r="X52" s="1805">
        <f>+N52+O52</f>
        <v>172100.995</v>
      </c>
      <c r="Y52" s="1805"/>
      <c r="Z52" s="1805"/>
      <c r="AA52" s="976"/>
      <c r="AB52" s="977"/>
      <c r="AC52" s="970"/>
      <c r="AD52" s="1807"/>
      <c r="AE52" s="1807"/>
      <c r="AF52" s="1788"/>
      <c r="AG52" s="1773"/>
      <c r="AH52" s="1773"/>
      <c r="AI52" s="1773"/>
      <c r="AJ52" s="1800"/>
      <c r="AK52" s="1813"/>
      <c r="AL52" s="1812"/>
      <c r="AM52" s="1773"/>
      <c r="AN52" s="1773"/>
      <c r="AO52" s="1773"/>
    </row>
    <row r="53" spans="1:73" s="1815" customFormat="1" ht="13.5" customHeight="1">
      <c r="A53" s="1809"/>
      <c r="B53" s="1794" t="s">
        <v>2679</v>
      </c>
      <c r="C53" s="1797" t="s">
        <v>2680</v>
      </c>
      <c r="D53" s="1796" t="s">
        <v>983</v>
      </c>
      <c r="E53" s="1797" t="s">
        <v>2681</v>
      </c>
      <c r="F53" s="1798">
        <v>43125</v>
      </c>
      <c r="G53" s="1810">
        <v>16</v>
      </c>
      <c r="H53" s="1810">
        <v>16</v>
      </c>
      <c r="I53" s="1810">
        <v>18</v>
      </c>
      <c r="J53" s="1810">
        <v>29.56</v>
      </c>
      <c r="K53" s="1799">
        <f t="shared" si="18"/>
        <v>26338.521999999997</v>
      </c>
      <c r="L53" s="975">
        <v>7812.5</v>
      </c>
      <c r="M53" s="975">
        <v>34151.021999999997</v>
      </c>
      <c r="N53" s="1777">
        <f t="shared" si="19"/>
        <v>421416.35199999996</v>
      </c>
      <c r="O53" s="1777">
        <f t="shared" si="20"/>
        <v>125000</v>
      </c>
      <c r="P53" s="1777">
        <f t="shared" si="21"/>
        <v>546416.35199999996</v>
      </c>
      <c r="Q53" s="1799"/>
      <c r="R53" s="1777">
        <v>1</v>
      </c>
      <c r="S53" s="775">
        <f>J53</f>
        <v>29.56</v>
      </c>
      <c r="T53" s="1801">
        <f>S53*M53</f>
        <v>1009504.2103199998</v>
      </c>
      <c r="U53" s="1802">
        <f>T53/P53-1</f>
        <v>0.84749999999999992</v>
      </c>
      <c r="V53" s="1803" t="s">
        <v>2682</v>
      </c>
      <c r="W53" s="2105" t="s">
        <v>2683</v>
      </c>
      <c r="X53" s="1805">
        <f>+N53+O53</f>
        <v>546416.35199999996</v>
      </c>
      <c r="Y53" s="1805"/>
      <c r="Z53" s="1805"/>
      <c r="AA53" s="976"/>
      <c r="AB53" s="977"/>
      <c r="AC53" s="970"/>
      <c r="AD53" s="1807"/>
      <c r="AE53" s="1807"/>
      <c r="AF53" s="1788"/>
      <c r="AG53" s="1773"/>
      <c r="AH53" s="1773"/>
      <c r="AI53" s="1773"/>
      <c r="AJ53" s="1800"/>
      <c r="AK53" s="1813"/>
      <c r="AL53" s="1812"/>
      <c r="AM53" s="1773"/>
      <c r="AN53" s="1773"/>
      <c r="AO53" s="1773"/>
    </row>
    <row r="54" spans="1:73" s="1829" customFormat="1" ht="13.5" customHeight="1">
      <c r="A54" s="1809"/>
      <c r="B54" s="1794" t="s">
        <v>1475</v>
      </c>
      <c r="C54" s="1797" t="s">
        <v>1476</v>
      </c>
      <c r="D54" s="1796" t="s">
        <v>517</v>
      </c>
      <c r="E54" s="1797" t="s">
        <v>1477</v>
      </c>
      <c r="F54" s="1798">
        <v>43076</v>
      </c>
      <c r="G54" s="1810">
        <v>18</v>
      </c>
      <c r="H54" s="1810">
        <v>17</v>
      </c>
      <c r="I54" s="1810">
        <v>19</v>
      </c>
      <c r="J54" s="1810">
        <v>18.71</v>
      </c>
      <c r="K54" s="1799">
        <f t="shared" ref="K54:K83" si="22">+M54-L54</f>
        <v>74090.587</v>
      </c>
      <c r="L54" s="1800">
        <v>13888.888000000001</v>
      </c>
      <c r="M54" s="1800">
        <v>87979.475000000006</v>
      </c>
      <c r="N54" s="1799">
        <f t="shared" ref="N54:N83" si="23">+G54*K54</f>
        <v>1333630.5660000001</v>
      </c>
      <c r="O54" s="1800">
        <f t="shared" ref="O54:O83" si="24">+G54*L54</f>
        <v>249999.98400000003</v>
      </c>
      <c r="P54" s="1799">
        <f t="shared" ref="P54:P83" si="25">+N54+O54</f>
        <v>1583630.55</v>
      </c>
      <c r="Q54" s="1799"/>
      <c r="R54" s="1777">
        <v>1</v>
      </c>
      <c r="S54" s="775">
        <f t="shared" ref="S54:S83" si="26">J54</f>
        <v>18.71</v>
      </c>
      <c r="T54" s="1801">
        <f t="shared" ref="T54:T83" si="27">S54*M54</f>
        <v>1646095.9772500002</v>
      </c>
      <c r="U54" s="1802">
        <f t="shared" ref="U54:U83" si="28">T54/P54-1</f>
        <v>3.9444444444444615E-2</v>
      </c>
      <c r="V54" s="1803" t="s">
        <v>1478</v>
      </c>
      <c r="W54" s="1804" t="s">
        <v>1479</v>
      </c>
      <c r="X54" s="1805">
        <f t="shared" ref="X54:X83" si="29">+N54+O54</f>
        <v>1583630.55</v>
      </c>
      <c r="Y54" s="977"/>
      <c r="Z54" s="1828"/>
      <c r="AA54" s="976"/>
      <c r="AC54" s="977"/>
      <c r="AD54" s="1830"/>
      <c r="AE54" s="1830"/>
      <c r="AF54" s="1808"/>
      <c r="AG54" s="1788"/>
      <c r="AH54" s="1773"/>
      <c r="AI54" s="1773"/>
      <c r="AJ54" s="1773"/>
      <c r="AK54" s="1800"/>
      <c r="AL54" s="1813"/>
      <c r="AM54" s="1812"/>
      <c r="AN54" s="1773"/>
      <c r="AO54" s="1773"/>
      <c r="AP54" s="1773"/>
      <c r="AQ54" s="1815"/>
      <c r="AR54" s="1815"/>
      <c r="AS54" s="1815"/>
      <c r="AT54" s="1815"/>
      <c r="AU54" s="1815"/>
      <c r="AV54" s="1815"/>
      <c r="AW54" s="1815"/>
      <c r="AX54" s="1815"/>
      <c r="AY54" s="1815"/>
      <c r="AZ54" s="1815"/>
      <c r="BA54" s="1815"/>
      <c r="BB54" s="1815"/>
      <c r="BC54" s="1815"/>
      <c r="BD54" s="1815"/>
      <c r="BE54" s="1815"/>
      <c r="BF54" s="1815"/>
      <c r="BG54" s="1815"/>
      <c r="BH54" s="1815"/>
      <c r="BI54" s="1815"/>
      <c r="BJ54" s="1815"/>
      <c r="BK54" s="1815"/>
      <c r="BL54" s="1815"/>
      <c r="BM54" s="1815"/>
      <c r="BN54" s="1815"/>
      <c r="BO54" s="1815"/>
      <c r="BP54" s="1815"/>
      <c r="BQ54" s="1815"/>
      <c r="BR54" s="1815"/>
      <c r="BS54" s="1815"/>
      <c r="BT54" s="1815"/>
      <c r="BU54" s="1815"/>
    </row>
    <row r="55" spans="1:73" s="1829" customFormat="1" ht="13.5" customHeight="1">
      <c r="A55" s="1809"/>
      <c r="B55" s="1794" t="s">
        <v>1485</v>
      </c>
      <c r="C55" s="1797" t="s">
        <v>1486</v>
      </c>
      <c r="D55" s="1796" t="s">
        <v>517</v>
      </c>
      <c r="E55" s="1797" t="s">
        <v>1487</v>
      </c>
      <c r="F55" s="1798">
        <v>43040</v>
      </c>
      <c r="G55" s="1810">
        <v>14</v>
      </c>
      <c r="H55" s="1810">
        <v>14</v>
      </c>
      <c r="I55" s="1810">
        <v>16</v>
      </c>
      <c r="J55" s="1810">
        <v>12.14</v>
      </c>
      <c r="K55" s="1799">
        <f t="shared" si="22"/>
        <v>8397.6839999999993</v>
      </c>
      <c r="L55" s="1800">
        <v>5500</v>
      </c>
      <c r="M55" s="1800">
        <v>13897.683999999999</v>
      </c>
      <c r="N55" s="1799">
        <f t="shared" si="23"/>
        <v>117567.57599999999</v>
      </c>
      <c r="O55" s="1800">
        <f t="shared" si="24"/>
        <v>77000</v>
      </c>
      <c r="P55" s="1799">
        <f t="shared" si="25"/>
        <v>194567.576</v>
      </c>
      <c r="Q55" s="1799"/>
      <c r="R55" s="1777">
        <v>1</v>
      </c>
      <c r="S55" s="775">
        <f t="shared" si="26"/>
        <v>12.14</v>
      </c>
      <c r="T55" s="1801">
        <f t="shared" si="27"/>
        <v>168717.88376</v>
      </c>
      <c r="U55" s="1802">
        <f t="shared" si="28"/>
        <v>-0.1328571428571429</v>
      </c>
      <c r="V55" s="1803" t="s">
        <v>1488</v>
      </c>
      <c r="W55" s="1804" t="s">
        <v>1489</v>
      </c>
      <c r="X55" s="1805">
        <f t="shared" si="29"/>
        <v>194567.576</v>
      </c>
      <c r="Y55" s="977"/>
      <c r="Z55" s="1828"/>
      <c r="AA55" s="976"/>
      <c r="AC55" s="977"/>
      <c r="AD55" s="1830"/>
      <c r="AE55" s="1830"/>
      <c r="AF55" s="1808"/>
      <c r="AG55" s="1788"/>
      <c r="AH55" s="1773"/>
      <c r="AI55" s="1773"/>
      <c r="AJ55" s="1773"/>
      <c r="AK55" s="1800"/>
      <c r="AL55" s="1813"/>
      <c r="AM55" s="1812"/>
      <c r="AN55" s="1773"/>
      <c r="AO55" s="1773"/>
      <c r="AP55" s="1773"/>
      <c r="AQ55" s="1815"/>
      <c r="AR55" s="1815"/>
      <c r="AS55" s="1815"/>
      <c r="AT55" s="1815"/>
      <c r="AU55" s="1815"/>
      <c r="AV55" s="1815"/>
      <c r="AW55" s="1815"/>
      <c r="AX55" s="1815"/>
      <c r="AY55" s="1815"/>
      <c r="AZ55" s="1815"/>
      <c r="BA55" s="1815"/>
      <c r="BB55" s="1815"/>
      <c r="BC55" s="1815"/>
      <c r="BD55" s="1815"/>
      <c r="BE55" s="1815"/>
      <c r="BF55" s="1815"/>
      <c r="BG55" s="1815"/>
      <c r="BH55" s="1815"/>
      <c r="BI55" s="1815"/>
      <c r="BJ55" s="1815"/>
      <c r="BK55" s="1815"/>
      <c r="BL55" s="1815"/>
      <c r="BM55" s="1815"/>
      <c r="BN55" s="1815"/>
      <c r="BO55" s="1815"/>
      <c r="BP55" s="1815"/>
      <c r="BQ55" s="1815"/>
      <c r="BR55" s="1815"/>
      <c r="BS55" s="1815"/>
      <c r="BT55" s="1815"/>
      <c r="BU55" s="1815"/>
    </row>
    <row r="56" spans="1:73" s="1829" customFormat="1" ht="13.5" customHeight="1">
      <c r="A56" s="1809"/>
      <c r="B56" s="1794" t="s">
        <v>1404</v>
      </c>
      <c r="C56" s="1797" t="s">
        <v>1405</v>
      </c>
      <c r="D56" s="1796" t="s">
        <v>517</v>
      </c>
      <c r="E56" s="1797" t="s">
        <v>1406</v>
      </c>
      <c r="F56" s="1798">
        <v>43005</v>
      </c>
      <c r="G56" s="1810">
        <v>17</v>
      </c>
      <c r="H56" s="1810">
        <v>15</v>
      </c>
      <c r="I56" s="1810">
        <v>17</v>
      </c>
      <c r="J56" s="1810">
        <v>18.64</v>
      </c>
      <c r="K56" s="1799">
        <f t="shared" si="22"/>
        <v>25091.686000000002</v>
      </c>
      <c r="L56" s="1800">
        <v>7500</v>
      </c>
      <c r="M56" s="1800">
        <v>32591.686000000002</v>
      </c>
      <c r="N56" s="1799">
        <f t="shared" si="23"/>
        <v>426558.66200000001</v>
      </c>
      <c r="O56" s="1800">
        <f t="shared" si="24"/>
        <v>127500</v>
      </c>
      <c r="P56" s="1799">
        <f t="shared" si="25"/>
        <v>554058.66200000001</v>
      </c>
      <c r="Q56" s="1799"/>
      <c r="R56" s="1777">
        <v>1</v>
      </c>
      <c r="S56" s="775">
        <f t="shared" si="26"/>
        <v>18.64</v>
      </c>
      <c r="T56" s="1801">
        <f t="shared" si="27"/>
        <v>607509.02704000007</v>
      </c>
      <c r="U56" s="1802">
        <f t="shared" si="28"/>
        <v>9.6470588235294308E-2</v>
      </c>
      <c r="V56" s="1803" t="s">
        <v>1407</v>
      </c>
      <c r="W56" s="1804" t="s">
        <v>1408</v>
      </c>
      <c r="X56" s="1805">
        <f t="shared" si="29"/>
        <v>554058.66200000001</v>
      </c>
      <c r="Y56" s="977">
        <v>1575000</v>
      </c>
      <c r="Z56" s="1828">
        <v>93992000</v>
      </c>
      <c r="AA56" s="976"/>
      <c r="AC56" s="977"/>
      <c r="AD56" s="1830"/>
      <c r="AE56" s="1830"/>
      <c r="AF56" s="1808"/>
      <c r="AG56" s="1788"/>
      <c r="AH56" s="1773"/>
      <c r="AI56" s="1773"/>
      <c r="AJ56" s="1773"/>
      <c r="AK56" s="1800"/>
      <c r="AL56" s="1813"/>
      <c r="AM56" s="1812"/>
      <c r="AN56" s="1773"/>
      <c r="AO56" s="1773"/>
      <c r="AP56" s="1773"/>
      <c r="AQ56" s="1815"/>
      <c r="AR56" s="1815"/>
      <c r="AS56" s="1815"/>
      <c r="AT56" s="1815"/>
      <c r="AU56" s="1815"/>
      <c r="AV56" s="1815"/>
      <c r="AW56" s="1815"/>
      <c r="AX56" s="1815"/>
      <c r="AY56" s="1815"/>
      <c r="AZ56" s="1815"/>
      <c r="BA56" s="1815"/>
      <c r="BB56" s="1815"/>
      <c r="BC56" s="1815"/>
      <c r="BD56" s="1815"/>
      <c r="BE56" s="1815"/>
      <c r="BF56" s="1815"/>
      <c r="BG56" s="1815"/>
      <c r="BH56" s="1815"/>
      <c r="BI56" s="1815"/>
      <c r="BJ56" s="1815"/>
      <c r="BK56" s="1815"/>
      <c r="BL56" s="1815"/>
      <c r="BM56" s="1815"/>
      <c r="BN56" s="1815"/>
      <c r="BO56" s="1815"/>
      <c r="BP56" s="1815"/>
      <c r="BQ56" s="1815"/>
      <c r="BR56" s="1815"/>
      <c r="BS56" s="1815"/>
      <c r="BT56" s="1815"/>
      <c r="BU56" s="1815"/>
    </row>
    <row r="57" spans="1:73" s="1829" customFormat="1" ht="13.5" customHeight="1">
      <c r="A57" s="1809"/>
      <c r="B57" s="1794" t="s">
        <v>1490</v>
      </c>
      <c r="C57" s="1797" t="s">
        <v>1491</v>
      </c>
      <c r="D57" s="1796" t="s">
        <v>983</v>
      </c>
      <c r="E57" s="1797" t="s">
        <v>1492</v>
      </c>
      <c r="F57" s="1798">
        <v>43005</v>
      </c>
      <c r="G57" s="1810">
        <v>14</v>
      </c>
      <c r="H57" s="1810">
        <v>13</v>
      </c>
      <c r="I57" s="1810">
        <v>15</v>
      </c>
      <c r="J57" s="1810">
        <v>20.8</v>
      </c>
      <c r="K57" s="1799">
        <f t="shared" si="22"/>
        <v>22740.714</v>
      </c>
      <c r="L57" s="1800">
        <v>5360</v>
      </c>
      <c r="M57" s="1800">
        <v>28100.714</v>
      </c>
      <c r="N57" s="1799">
        <f t="shared" si="23"/>
        <v>318369.99599999998</v>
      </c>
      <c r="O57" s="1800">
        <f t="shared" si="24"/>
        <v>75040</v>
      </c>
      <c r="P57" s="1799">
        <f t="shared" si="25"/>
        <v>393409.99599999998</v>
      </c>
      <c r="Q57" s="1799"/>
      <c r="R57" s="1777">
        <v>1</v>
      </c>
      <c r="S57" s="775">
        <f t="shared" si="26"/>
        <v>20.8</v>
      </c>
      <c r="T57" s="1801">
        <f t="shared" si="27"/>
        <v>584494.85120000003</v>
      </c>
      <c r="U57" s="1802">
        <f t="shared" si="28"/>
        <v>0.48571428571428577</v>
      </c>
      <c r="V57" s="1803" t="s">
        <v>1493</v>
      </c>
      <c r="W57" s="1804" t="s">
        <v>1494</v>
      </c>
      <c r="X57" s="1805">
        <f t="shared" si="29"/>
        <v>393409.99599999998</v>
      </c>
      <c r="Y57" s="977"/>
      <c r="Z57" s="1828"/>
      <c r="AA57" s="976"/>
      <c r="AC57" s="977"/>
      <c r="AD57" s="1830"/>
      <c r="AE57" s="1830"/>
      <c r="AF57" s="1808"/>
      <c r="AG57" s="1788"/>
      <c r="AH57" s="1773"/>
      <c r="AI57" s="1773"/>
      <c r="AJ57" s="1773"/>
      <c r="AK57" s="1800"/>
      <c r="AL57" s="1813"/>
      <c r="AM57" s="1812"/>
      <c r="AN57" s="1773"/>
      <c r="AO57" s="1773"/>
      <c r="AP57" s="1773"/>
      <c r="AQ57" s="1815"/>
      <c r="AR57" s="1815"/>
      <c r="AS57" s="1815"/>
      <c r="AT57" s="1815"/>
      <c r="AU57" s="1815"/>
      <c r="AV57" s="1815"/>
      <c r="AW57" s="1815"/>
      <c r="AX57" s="1815"/>
      <c r="AY57" s="1815"/>
      <c r="AZ57" s="1815"/>
      <c r="BA57" s="1815"/>
      <c r="BB57" s="1815"/>
      <c r="BC57" s="1815"/>
      <c r="BD57" s="1815"/>
      <c r="BE57" s="1815"/>
      <c r="BF57" s="1815"/>
      <c r="BG57" s="1815"/>
      <c r="BH57" s="1815"/>
      <c r="BI57" s="1815"/>
      <c r="BJ57" s="1815"/>
      <c r="BK57" s="1815"/>
      <c r="BL57" s="1815"/>
      <c r="BM57" s="1815"/>
      <c r="BN57" s="1815"/>
      <c r="BO57" s="1815"/>
      <c r="BP57" s="1815"/>
      <c r="BQ57" s="1815"/>
      <c r="BR57" s="1815"/>
      <c r="BS57" s="1815"/>
      <c r="BT57" s="1815"/>
      <c r="BU57" s="1815"/>
    </row>
    <row r="58" spans="1:73" s="1829" customFormat="1" ht="13.5" customHeight="1">
      <c r="A58" s="1809"/>
      <c r="B58" s="1794" t="s">
        <v>1409</v>
      </c>
      <c r="C58" s="1797" t="s">
        <v>1410</v>
      </c>
      <c r="D58" s="1796" t="s">
        <v>517</v>
      </c>
      <c r="E58" s="1797" t="s">
        <v>1411</v>
      </c>
      <c r="F58" s="1798">
        <v>42997</v>
      </c>
      <c r="G58" s="1810">
        <v>10</v>
      </c>
      <c r="H58" s="1810">
        <v>9</v>
      </c>
      <c r="I58" s="1810">
        <v>11</v>
      </c>
      <c r="J58" s="1810">
        <v>9.99</v>
      </c>
      <c r="K58" s="1799">
        <f t="shared" si="22"/>
        <v>4084.884</v>
      </c>
      <c r="L58" s="1800">
        <v>3960</v>
      </c>
      <c r="M58" s="1800">
        <v>8044.884</v>
      </c>
      <c r="N58" s="1799">
        <f t="shared" si="23"/>
        <v>40848.839999999997</v>
      </c>
      <c r="O58" s="1800">
        <f t="shared" si="24"/>
        <v>39600</v>
      </c>
      <c r="P58" s="1799">
        <f t="shared" si="25"/>
        <v>80448.84</v>
      </c>
      <c r="Q58" s="1799"/>
      <c r="R58" s="1777">
        <v>1</v>
      </c>
      <c r="S58" s="775">
        <f t="shared" si="26"/>
        <v>9.99</v>
      </c>
      <c r="T58" s="1801">
        <f t="shared" si="27"/>
        <v>80368.391159999999</v>
      </c>
      <c r="U58" s="1802">
        <f t="shared" si="28"/>
        <v>-1.0000000000000009E-3</v>
      </c>
      <c r="V58" s="1803" t="s">
        <v>1412</v>
      </c>
      <c r="W58" s="1804" t="s">
        <v>1413</v>
      </c>
      <c r="X58" s="1805">
        <f t="shared" si="29"/>
        <v>80448.84</v>
      </c>
      <c r="Y58" s="977">
        <v>4142000.0000000005</v>
      </c>
      <c r="Z58" s="1828">
        <v>3518000</v>
      </c>
      <c r="AA58" s="976"/>
      <c r="AC58" s="977"/>
      <c r="AD58" s="1830"/>
      <c r="AE58" s="1830"/>
      <c r="AF58" s="1808"/>
      <c r="AG58" s="1788"/>
      <c r="AH58" s="1773"/>
      <c r="AI58" s="1773"/>
      <c r="AJ58" s="1773"/>
      <c r="AK58" s="1800"/>
      <c r="AL58" s="1813"/>
      <c r="AM58" s="1812"/>
      <c r="AN58" s="1773"/>
      <c r="AO58" s="1773"/>
      <c r="AP58" s="1773"/>
      <c r="AQ58" s="1815"/>
      <c r="AR58" s="1815"/>
      <c r="AS58" s="1815"/>
      <c r="AT58" s="1815"/>
      <c r="AU58" s="1815"/>
      <c r="AV58" s="1815"/>
      <c r="AW58" s="1815"/>
      <c r="AX58" s="1815"/>
      <c r="AY58" s="1815"/>
      <c r="AZ58" s="1815"/>
      <c r="BA58" s="1815"/>
      <c r="BB58" s="1815"/>
      <c r="BC58" s="1815"/>
      <c r="BD58" s="1815"/>
      <c r="BE58" s="1815"/>
      <c r="BF58" s="1815"/>
      <c r="BG58" s="1815"/>
      <c r="BH58" s="1815"/>
      <c r="BI58" s="1815"/>
      <c r="BJ58" s="1815"/>
      <c r="BK58" s="1815"/>
      <c r="BL58" s="1815"/>
      <c r="BM58" s="1815"/>
      <c r="BN58" s="1815"/>
      <c r="BO58" s="1815"/>
      <c r="BP58" s="1815"/>
      <c r="BQ58" s="1815"/>
      <c r="BR58" s="1815"/>
      <c r="BS58" s="1815"/>
      <c r="BT58" s="1815"/>
      <c r="BU58" s="1815"/>
    </row>
    <row r="59" spans="1:73" s="1829" customFormat="1" ht="13.5" customHeight="1">
      <c r="A59" s="1809"/>
      <c r="B59" s="1794" t="s">
        <v>1414</v>
      </c>
      <c r="C59" s="1797" t="s">
        <v>1415</v>
      </c>
      <c r="D59" s="1796" t="s">
        <v>517</v>
      </c>
      <c r="E59" s="1797" t="s">
        <v>1416</v>
      </c>
      <c r="F59" s="1798">
        <v>42913</v>
      </c>
      <c r="G59" s="1810">
        <v>15</v>
      </c>
      <c r="H59" s="1810">
        <v>14</v>
      </c>
      <c r="I59" s="1810">
        <v>16</v>
      </c>
      <c r="J59" s="1810">
        <v>14.61</v>
      </c>
      <c r="K59" s="1799">
        <f t="shared" si="22"/>
        <v>17645.620999999999</v>
      </c>
      <c r="L59" s="1800">
        <v>5000</v>
      </c>
      <c r="M59" s="1800">
        <v>22645.620999999999</v>
      </c>
      <c r="N59" s="1799">
        <f t="shared" si="23"/>
        <v>264684.315</v>
      </c>
      <c r="O59" s="1800">
        <f t="shared" si="24"/>
        <v>75000</v>
      </c>
      <c r="P59" s="1799">
        <f t="shared" si="25"/>
        <v>339684.315</v>
      </c>
      <c r="Q59" s="1799"/>
      <c r="R59" s="1777">
        <v>1</v>
      </c>
      <c r="S59" s="775">
        <f t="shared" si="26"/>
        <v>14.61</v>
      </c>
      <c r="T59" s="1801">
        <f t="shared" si="27"/>
        <v>330852.52280999999</v>
      </c>
      <c r="U59" s="1802">
        <f t="shared" si="28"/>
        <v>-2.6000000000000023E-2</v>
      </c>
      <c r="V59" s="1803" t="s">
        <v>1417</v>
      </c>
      <c r="W59" s="1804" t="s">
        <v>1418</v>
      </c>
      <c r="X59" s="1805">
        <f t="shared" si="29"/>
        <v>339684.315</v>
      </c>
      <c r="Y59" s="1828">
        <v>0</v>
      </c>
      <c r="Z59" s="1828">
        <v>88515</v>
      </c>
      <c r="AA59" s="976">
        <v>251169.315</v>
      </c>
      <c r="AB59" s="977">
        <v>0</v>
      </c>
      <c r="AC59" s="977">
        <v>0</v>
      </c>
      <c r="AD59" s="1830" t="s">
        <v>13</v>
      </c>
      <c r="AE59" s="1830" t="s">
        <v>13</v>
      </c>
      <c r="AF59" s="1808">
        <f>+P59-X59</f>
        <v>0</v>
      </c>
      <c r="AG59" s="1788"/>
      <c r="AH59" s="1773"/>
      <c r="AI59" s="1773"/>
      <c r="AJ59" s="1773"/>
      <c r="AK59" s="1800"/>
      <c r="AL59" s="1813"/>
      <c r="AM59" s="1812"/>
      <c r="AN59" s="1773"/>
      <c r="AO59" s="1773"/>
      <c r="AP59" s="1773"/>
      <c r="AQ59" s="1815"/>
      <c r="AR59" s="1815"/>
      <c r="AS59" s="1815"/>
      <c r="AT59" s="1815"/>
      <c r="AU59" s="1815"/>
      <c r="AV59" s="1815"/>
      <c r="AW59" s="1815"/>
      <c r="AX59" s="1815"/>
      <c r="AY59" s="1815"/>
      <c r="AZ59" s="1815"/>
      <c r="BA59" s="1815"/>
      <c r="BB59" s="1815"/>
      <c r="BC59" s="1815"/>
      <c r="BD59" s="1815"/>
      <c r="BE59" s="1815"/>
      <c r="BF59" s="1815"/>
      <c r="BG59" s="1815"/>
      <c r="BH59" s="1815"/>
      <c r="BI59" s="1815"/>
      <c r="BJ59" s="1815"/>
      <c r="BK59" s="1815"/>
      <c r="BL59" s="1815"/>
      <c r="BM59" s="1815"/>
      <c r="BN59" s="1815"/>
      <c r="BO59" s="1815"/>
      <c r="BP59" s="1815"/>
      <c r="BQ59" s="1815"/>
      <c r="BR59" s="1815"/>
      <c r="BS59" s="1815"/>
      <c r="BT59" s="1815"/>
      <c r="BU59" s="1815"/>
    </row>
    <row r="60" spans="1:73" s="1829" customFormat="1" ht="13.5" customHeight="1">
      <c r="A60" s="1831"/>
      <c r="B60" s="1832" t="s">
        <v>1419</v>
      </c>
      <c r="C60" s="1833" t="s">
        <v>1420</v>
      </c>
      <c r="D60" s="1834" t="s">
        <v>509</v>
      </c>
      <c r="E60" s="1833" t="s">
        <v>1421</v>
      </c>
      <c r="F60" s="1798">
        <v>42871</v>
      </c>
      <c r="G60" s="1810">
        <v>15</v>
      </c>
      <c r="H60" s="1810">
        <v>15</v>
      </c>
      <c r="I60" s="1810">
        <v>17</v>
      </c>
      <c r="J60" s="1810">
        <v>17.12</v>
      </c>
      <c r="K60" s="1799">
        <f t="shared" si="22"/>
        <v>20413.833999999999</v>
      </c>
      <c r="L60" s="1800">
        <v>6250</v>
      </c>
      <c r="M60" s="1800">
        <v>26663.833999999999</v>
      </c>
      <c r="N60" s="1799">
        <f t="shared" si="23"/>
        <v>306207.51</v>
      </c>
      <c r="O60" s="1800">
        <f t="shared" si="24"/>
        <v>93750</v>
      </c>
      <c r="P60" s="1799">
        <f t="shared" si="25"/>
        <v>399957.51</v>
      </c>
      <c r="Q60" s="1835"/>
      <c r="R60" s="1777">
        <v>1</v>
      </c>
      <c r="S60" s="775">
        <f t="shared" si="26"/>
        <v>17.12</v>
      </c>
      <c r="T60" s="1801">
        <f t="shared" si="27"/>
        <v>456484.83808000002</v>
      </c>
      <c r="U60" s="1802">
        <f t="shared" si="28"/>
        <v>0.14133333333333331</v>
      </c>
      <c r="V60" s="1836" t="s">
        <v>1422</v>
      </c>
      <c r="W60" s="1837" t="s">
        <v>1423</v>
      </c>
      <c r="X60" s="1838">
        <f t="shared" si="29"/>
        <v>399957.51</v>
      </c>
      <c r="Y60" s="1828">
        <v>0</v>
      </c>
      <c r="Z60" s="1828">
        <v>37726.520000000004</v>
      </c>
      <c r="AA60" s="976">
        <f>X60+Y60-Z60</f>
        <v>362230.99</v>
      </c>
      <c r="AB60" s="977">
        <v>522.42999999999995</v>
      </c>
      <c r="AC60" s="977">
        <v>-15381.439999999999</v>
      </c>
      <c r="AD60" s="1830">
        <f>IFERROR(AA60/AB60,"n/a")</f>
        <v>693.35794269088683</v>
      </c>
      <c r="AE60" s="1830">
        <f>IFERROR(AA60/AC60,"n/a")</f>
        <v>-23.549875044209127</v>
      </c>
      <c r="AF60" s="1839">
        <f>+P60-X60</f>
        <v>0</v>
      </c>
      <c r="AG60" s="1840"/>
      <c r="AH60" s="1840"/>
    </row>
    <row r="61" spans="1:73" s="1815" customFormat="1" ht="13.5" customHeight="1">
      <c r="A61" s="1809"/>
      <c r="B61" s="1794" t="s">
        <v>1495</v>
      </c>
      <c r="C61" s="1797" t="s">
        <v>1496</v>
      </c>
      <c r="D61" s="1796" t="s">
        <v>517</v>
      </c>
      <c r="E61" s="1797" t="s">
        <v>1497</v>
      </c>
      <c r="F61" s="1798">
        <v>42852</v>
      </c>
      <c r="G61" s="1810">
        <v>13</v>
      </c>
      <c r="H61" s="1810">
        <v>13</v>
      </c>
      <c r="I61" s="1810">
        <v>16</v>
      </c>
      <c r="J61" s="1810">
        <v>12.67601</v>
      </c>
      <c r="K61" s="1799">
        <f t="shared" si="22"/>
        <v>20424.460999999999</v>
      </c>
      <c r="L61" s="1800">
        <v>4500</v>
      </c>
      <c r="M61" s="1800">
        <v>24924.460999999999</v>
      </c>
      <c r="N61" s="1799">
        <f t="shared" si="23"/>
        <v>265517.99300000002</v>
      </c>
      <c r="O61" s="1800">
        <f t="shared" si="24"/>
        <v>58500</v>
      </c>
      <c r="P61" s="1799">
        <f t="shared" si="25"/>
        <v>324017.99300000002</v>
      </c>
      <c r="Q61" s="1799"/>
      <c r="R61" s="1777">
        <v>1</v>
      </c>
      <c r="S61" s="775">
        <f t="shared" si="26"/>
        <v>12.67601</v>
      </c>
      <c r="T61" s="1801">
        <f t="shared" si="27"/>
        <v>315942.71688060998</v>
      </c>
      <c r="U61" s="1802">
        <f t="shared" si="28"/>
        <v>-2.4922307692307855E-2</v>
      </c>
      <c r="V61" s="1803" t="s">
        <v>1498</v>
      </c>
      <c r="W61" s="1804" t="s">
        <v>1499</v>
      </c>
      <c r="X61" s="1805">
        <f t="shared" si="29"/>
        <v>324017.99300000002</v>
      </c>
      <c r="Y61" s="977"/>
      <c r="Z61" s="1828"/>
      <c r="AA61" s="976"/>
      <c r="AB61" s="1829"/>
      <c r="AC61" s="977"/>
      <c r="AD61" s="1830"/>
      <c r="AE61" s="1830"/>
      <c r="AF61" s="1808"/>
      <c r="AG61" s="1788"/>
      <c r="AH61" s="1773"/>
      <c r="AI61" s="1773"/>
      <c r="AJ61" s="1773"/>
      <c r="AK61" s="1800"/>
      <c r="AL61" s="1813"/>
      <c r="AM61" s="1812"/>
      <c r="AN61" s="1773"/>
      <c r="AO61" s="1773"/>
      <c r="AP61" s="1773"/>
    </row>
    <row r="62" spans="1:73" s="1815" customFormat="1" ht="13.5" customHeight="1">
      <c r="A62" s="1809"/>
      <c r="B62" s="1794" t="s">
        <v>1288</v>
      </c>
      <c r="C62" s="1797" t="s">
        <v>1289</v>
      </c>
      <c r="D62" s="1796" t="s">
        <v>983</v>
      </c>
      <c r="E62" s="1797" t="s">
        <v>1290</v>
      </c>
      <c r="F62" s="1798">
        <v>42761</v>
      </c>
      <c r="G62" s="1810">
        <v>16</v>
      </c>
      <c r="H62" s="1810">
        <v>13</v>
      </c>
      <c r="I62" s="1810">
        <v>15</v>
      </c>
      <c r="J62" s="1810">
        <v>19.84</v>
      </c>
      <c r="K62" s="1799">
        <f t="shared" si="22"/>
        <v>24802.026000000002</v>
      </c>
      <c r="L62" s="1800">
        <f>5360000/1000</f>
        <v>5360</v>
      </c>
      <c r="M62" s="1800">
        <f>30162026/1000</f>
        <v>30162.026000000002</v>
      </c>
      <c r="N62" s="1799">
        <f t="shared" si="23"/>
        <v>396832.41600000003</v>
      </c>
      <c r="O62" s="1800">
        <f t="shared" si="24"/>
        <v>85760</v>
      </c>
      <c r="P62" s="1799">
        <f t="shared" si="25"/>
        <v>482592.41600000003</v>
      </c>
      <c r="Q62" s="1799"/>
      <c r="R62" s="1777">
        <v>1</v>
      </c>
      <c r="S62" s="775">
        <f t="shared" si="26"/>
        <v>19.84</v>
      </c>
      <c r="T62" s="1801">
        <f t="shared" si="27"/>
        <v>598414.59584000008</v>
      </c>
      <c r="U62" s="1802">
        <f t="shared" si="28"/>
        <v>0.24</v>
      </c>
      <c r="V62" s="1803" t="s">
        <v>1290</v>
      </c>
      <c r="W62" s="1804" t="s">
        <v>1385</v>
      </c>
      <c r="X62" s="1805">
        <f t="shared" si="29"/>
        <v>482592.41600000003</v>
      </c>
      <c r="Y62" s="1805">
        <v>0</v>
      </c>
      <c r="Z62" s="1805">
        <v>89317</v>
      </c>
      <c r="AA62" s="976">
        <f t="shared" ref="AA62:AA83" si="30">X62+Y62-Z62</f>
        <v>393275.41600000003</v>
      </c>
      <c r="AB62" s="977">
        <v>0</v>
      </c>
      <c r="AC62" s="970">
        <v>-40216</v>
      </c>
      <c r="AD62" s="1807" t="str">
        <f t="shared" ref="AD62:AD83" si="31">IFERROR(AA62/AB62,"n/a")</f>
        <v>n/a</v>
      </c>
      <c r="AE62" s="1807">
        <f t="shared" ref="AE62:AE83" si="32">IFERROR(AA62/AC62,"n/a")</f>
        <v>-9.779078376765467</v>
      </c>
      <c r="AF62" s="1808">
        <f t="shared" ref="AF62:AF83" si="33">+P62-X62</f>
        <v>0</v>
      </c>
      <c r="AG62" s="1773"/>
      <c r="AH62" s="1773"/>
      <c r="AI62" s="1773"/>
      <c r="AJ62" s="1800"/>
      <c r="AK62" s="1813"/>
      <c r="AL62" s="1812"/>
      <c r="AM62" s="1773"/>
      <c r="AN62" s="1773"/>
      <c r="AO62" s="1773"/>
    </row>
    <row r="63" spans="1:73" s="1788" customFormat="1" ht="13.5" customHeight="1">
      <c r="B63" s="1794" t="s">
        <v>1291</v>
      </c>
      <c r="C63" s="1797" t="s">
        <v>1292</v>
      </c>
      <c r="D63" s="1796" t="s">
        <v>517</v>
      </c>
      <c r="E63" s="1797" t="s">
        <v>1293</v>
      </c>
      <c r="F63" s="1798">
        <v>42760</v>
      </c>
      <c r="G63" s="775">
        <v>15</v>
      </c>
      <c r="H63" s="775">
        <v>14</v>
      </c>
      <c r="I63" s="775">
        <v>16</v>
      </c>
      <c r="J63" s="775">
        <v>24.6</v>
      </c>
      <c r="K63" s="1799">
        <f t="shared" si="22"/>
        <v>14159.332999999999</v>
      </c>
      <c r="L63" s="975">
        <f>4000000/1000</f>
        <v>4000</v>
      </c>
      <c r="M63" s="975">
        <f>18159333/1000</f>
        <v>18159.332999999999</v>
      </c>
      <c r="N63" s="1799">
        <f t="shared" si="23"/>
        <v>212389.995</v>
      </c>
      <c r="O63" s="1800">
        <f t="shared" si="24"/>
        <v>60000</v>
      </c>
      <c r="P63" s="1799">
        <f t="shared" si="25"/>
        <v>272389.995</v>
      </c>
      <c r="Q63" s="1777"/>
      <c r="R63" s="1777">
        <v>1</v>
      </c>
      <c r="S63" s="775">
        <f t="shared" si="26"/>
        <v>24.6</v>
      </c>
      <c r="T63" s="1801">
        <f t="shared" si="27"/>
        <v>446719.59179999999</v>
      </c>
      <c r="U63" s="1802">
        <f t="shared" si="28"/>
        <v>0.6399999999999999</v>
      </c>
      <c r="V63" s="1803" t="s">
        <v>1294</v>
      </c>
      <c r="W63" s="1804" t="s">
        <v>1386</v>
      </c>
      <c r="X63" s="1805">
        <f t="shared" si="29"/>
        <v>272389.995</v>
      </c>
      <c r="Y63" s="1805">
        <v>4983000</v>
      </c>
      <c r="Z63" s="1805">
        <v>47134</v>
      </c>
      <c r="AA63" s="976">
        <f t="shared" si="30"/>
        <v>5208255.9950000001</v>
      </c>
      <c r="AB63" s="977">
        <v>19308</v>
      </c>
      <c r="AC63" s="970">
        <v>-2817</v>
      </c>
      <c r="AD63" s="1807">
        <f t="shared" si="31"/>
        <v>269.74601175678475</v>
      </c>
      <c r="AE63" s="1807">
        <f t="shared" si="32"/>
        <v>-1848.8661679091233</v>
      </c>
      <c r="AF63" s="1808">
        <f t="shared" si="33"/>
        <v>0</v>
      </c>
    </row>
    <row r="64" spans="1:73" s="1788" customFormat="1" ht="13.5" customHeight="1">
      <c r="B64" s="1794" t="s">
        <v>879</v>
      </c>
      <c r="C64" s="1797" t="s">
        <v>880</v>
      </c>
      <c r="D64" s="1796" t="s">
        <v>517</v>
      </c>
      <c r="E64" s="1797" t="s">
        <v>881</v>
      </c>
      <c r="F64" s="1798">
        <v>42668</v>
      </c>
      <c r="G64" s="775">
        <v>13</v>
      </c>
      <c r="H64" s="775">
        <v>12</v>
      </c>
      <c r="I64" s="775">
        <v>14</v>
      </c>
      <c r="J64" s="775">
        <v>13.14</v>
      </c>
      <c r="K64" s="1799">
        <f t="shared" si="22"/>
        <v>14439.55</v>
      </c>
      <c r="L64" s="975">
        <v>7049.23</v>
      </c>
      <c r="M64" s="975">
        <v>21488.78</v>
      </c>
      <c r="N64" s="1799">
        <f t="shared" si="23"/>
        <v>187714.15</v>
      </c>
      <c r="O64" s="1800">
        <f t="shared" si="24"/>
        <v>91639.989999999991</v>
      </c>
      <c r="P64" s="1799">
        <f t="shared" si="25"/>
        <v>279354.14</v>
      </c>
      <c r="Q64" s="1777"/>
      <c r="R64" s="1777">
        <v>1</v>
      </c>
      <c r="S64" s="775">
        <f t="shared" si="26"/>
        <v>13.14</v>
      </c>
      <c r="T64" s="1801">
        <f t="shared" si="27"/>
        <v>282362.56919999997</v>
      </c>
      <c r="U64" s="1802">
        <f t="shared" si="28"/>
        <v>1.0769230769230642E-2</v>
      </c>
      <c r="V64" s="1803" t="s">
        <v>882</v>
      </c>
      <c r="W64" s="1804" t="s">
        <v>883</v>
      </c>
      <c r="X64" s="1805">
        <f t="shared" si="29"/>
        <v>279354.14</v>
      </c>
      <c r="Y64" s="1805">
        <v>0</v>
      </c>
      <c r="Z64" s="1805">
        <v>40246</v>
      </c>
      <c r="AA64" s="976">
        <f t="shared" si="30"/>
        <v>239108.14</v>
      </c>
      <c r="AB64" s="977">
        <v>6845</v>
      </c>
      <c r="AC64" s="970">
        <v>-15697</v>
      </c>
      <c r="AD64" s="1807">
        <f t="shared" si="31"/>
        <v>34.931795471146827</v>
      </c>
      <c r="AE64" s="1807">
        <f t="shared" si="32"/>
        <v>-15.232728546856087</v>
      </c>
      <c r="AF64" s="1808">
        <f t="shared" si="33"/>
        <v>0</v>
      </c>
    </row>
    <row r="65" spans="1:42" s="1788" customFormat="1" ht="13.5" customHeight="1">
      <c r="A65" s="1809"/>
      <c r="B65" s="1794" t="s">
        <v>885</v>
      </c>
      <c r="C65" s="1797" t="s">
        <v>886</v>
      </c>
      <c r="D65" s="1796" t="s">
        <v>1295</v>
      </c>
      <c r="E65" s="1797" t="s">
        <v>887</v>
      </c>
      <c r="F65" s="1798">
        <v>42654</v>
      </c>
      <c r="G65" s="775">
        <v>5.5</v>
      </c>
      <c r="H65" s="775">
        <v>6</v>
      </c>
      <c r="I65" s="775">
        <v>8</v>
      </c>
      <c r="J65" s="775">
        <v>4.74</v>
      </c>
      <c r="K65" s="1799">
        <f t="shared" si="22"/>
        <v>8671.0879999999997</v>
      </c>
      <c r="L65" s="975">
        <v>960</v>
      </c>
      <c r="M65" s="975">
        <v>9631.0879999999997</v>
      </c>
      <c r="N65" s="1799">
        <f t="shared" si="23"/>
        <v>47690.983999999997</v>
      </c>
      <c r="O65" s="1800">
        <f t="shared" si="24"/>
        <v>5280</v>
      </c>
      <c r="P65" s="1799">
        <f t="shared" si="25"/>
        <v>52970.983999999997</v>
      </c>
      <c r="Q65" s="1799"/>
      <c r="R65" s="1777">
        <v>1</v>
      </c>
      <c r="S65" s="775">
        <f t="shared" si="26"/>
        <v>4.74</v>
      </c>
      <c r="T65" s="1801">
        <f t="shared" si="27"/>
        <v>45651.357120000001</v>
      </c>
      <c r="U65" s="1802">
        <f t="shared" si="28"/>
        <v>-0.13818181818181807</v>
      </c>
      <c r="V65" s="1803" t="s">
        <v>888</v>
      </c>
      <c r="W65" s="1804" t="s">
        <v>889</v>
      </c>
      <c r="X65" s="1805">
        <f t="shared" si="29"/>
        <v>52970.983999999997</v>
      </c>
      <c r="Y65" s="1805">
        <v>9242640</v>
      </c>
      <c r="Z65" s="1805">
        <v>1354.64</v>
      </c>
      <c r="AA65" s="976">
        <f t="shared" si="30"/>
        <v>9294256.3439999986</v>
      </c>
      <c r="AB65" s="977">
        <v>0</v>
      </c>
      <c r="AC65" s="970">
        <v>-4114.3599999999997</v>
      </c>
      <c r="AD65" s="1807" t="str">
        <f t="shared" si="31"/>
        <v>n/a</v>
      </c>
      <c r="AE65" s="1807">
        <f t="shared" si="32"/>
        <v>-2258.9798520304494</v>
      </c>
      <c r="AF65" s="1808">
        <f t="shared" si="33"/>
        <v>0</v>
      </c>
    </row>
    <row r="66" spans="1:42" s="1788" customFormat="1" ht="13.5" customHeight="1">
      <c r="A66" s="1809"/>
      <c r="B66" s="1794" t="s">
        <v>895</v>
      </c>
      <c r="C66" s="1797" t="s">
        <v>896</v>
      </c>
      <c r="D66" s="1796" t="s">
        <v>517</v>
      </c>
      <c r="E66" s="1797" t="s">
        <v>897</v>
      </c>
      <c r="F66" s="1798">
        <v>42592</v>
      </c>
      <c r="G66" s="775">
        <v>12</v>
      </c>
      <c r="H66" s="775">
        <v>11</v>
      </c>
      <c r="I66" s="775">
        <v>13</v>
      </c>
      <c r="J66" s="775">
        <v>12.4</v>
      </c>
      <c r="K66" s="1799">
        <f t="shared" si="22"/>
        <v>8823.5509999999995</v>
      </c>
      <c r="L66" s="975">
        <v>7500</v>
      </c>
      <c r="M66" s="975">
        <v>16323.550999999999</v>
      </c>
      <c r="N66" s="1799">
        <f t="shared" si="23"/>
        <v>105882.61199999999</v>
      </c>
      <c r="O66" s="1800">
        <f t="shared" si="24"/>
        <v>90000</v>
      </c>
      <c r="P66" s="1799">
        <f t="shared" si="25"/>
        <v>195882.61199999999</v>
      </c>
      <c r="Q66" s="1799"/>
      <c r="R66" s="1777">
        <v>1</v>
      </c>
      <c r="S66" s="775">
        <f t="shared" si="26"/>
        <v>12.4</v>
      </c>
      <c r="T66" s="1801">
        <f t="shared" si="27"/>
        <v>202412.0324</v>
      </c>
      <c r="U66" s="1802">
        <f t="shared" si="28"/>
        <v>3.3333333333333437E-2</v>
      </c>
      <c r="V66" s="1811" t="s">
        <v>898</v>
      </c>
      <c r="W66" s="1804" t="s">
        <v>899</v>
      </c>
      <c r="X66" s="1805">
        <f t="shared" si="29"/>
        <v>195882.61199999999</v>
      </c>
      <c r="Y66" s="1805">
        <v>0</v>
      </c>
      <c r="Z66" s="1805">
        <v>28629</v>
      </c>
      <c r="AA66" s="976">
        <f t="shared" si="30"/>
        <v>167253.61199999999</v>
      </c>
      <c r="AB66" s="977">
        <v>0</v>
      </c>
      <c r="AC66" s="970">
        <v>-22858</v>
      </c>
      <c r="AD66" s="1807" t="str">
        <f t="shared" si="31"/>
        <v>n/a</v>
      </c>
      <c r="AE66" s="1807">
        <f t="shared" si="32"/>
        <v>-7.3170711348324433</v>
      </c>
      <c r="AF66" s="1808">
        <f t="shared" si="33"/>
        <v>0</v>
      </c>
      <c r="AG66" s="1812"/>
    </row>
    <row r="67" spans="1:42" s="1788" customFormat="1" ht="13.5" customHeight="1">
      <c r="A67" s="1809"/>
      <c r="B67" s="1794" t="s">
        <v>819</v>
      </c>
      <c r="C67" s="1797" t="s">
        <v>817</v>
      </c>
      <c r="D67" s="1796" t="s">
        <v>517</v>
      </c>
      <c r="E67" s="1797" t="s">
        <v>911</v>
      </c>
      <c r="F67" s="1798">
        <v>42550</v>
      </c>
      <c r="G67" s="1810">
        <v>12.5</v>
      </c>
      <c r="H67" s="1810">
        <v>14</v>
      </c>
      <c r="I67" s="1810">
        <v>16</v>
      </c>
      <c r="J67" s="1810">
        <v>11.58</v>
      </c>
      <c r="K67" s="1799">
        <f t="shared" si="22"/>
        <v>18760.161</v>
      </c>
      <c r="L67" s="975">
        <v>4000</v>
      </c>
      <c r="M67" s="975">
        <v>22760.161</v>
      </c>
      <c r="N67" s="1799">
        <f t="shared" si="23"/>
        <v>234502.01250000001</v>
      </c>
      <c r="O67" s="1800">
        <f t="shared" si="24"/>
        <v>50000</v>
      </c>
      <c r="P67" s="1799">
        <f t="shared" si="25"/>
        <v>284502.01250000001</v>
      </c>
      <c r="Q67" s="1799"/>
      <c r="R67" s="1777">
        <v>1</v>
      </c>
      <c r="S67" s="775">
        <f t="shared" si="26"/>
        <v>11.58</v>
      </c>
      <c r="T67" s="1801">
        <f t="shared" si="27"/>
        <v>263562.66438000003</v>
      </c>
      <c r="U67" s="1802">
        <f t="shared" si="28"/>
        <v>-7.3599999999999888E-2</v>
      </c>
      <c r="V67" s="1811" t="s">
        <v>818</v>
      </c>
      <c r="W67" s="1804" t="s">
        <v>820</v>
      </c>
      <c r="X67" s="1805">
        <f t="shared" si="29"/>
        <v>284502.01250000001</v>
      </c>
      <c r="Y67" s="1805">
        <v>322000</v>
      </c>
      <c r="Z67" s="1805">
        <v>62133</v>
      </c>
      <c r="AA67" s="976">
        <f t="shared" si="30"/>
        <v>544369.01249999995</v>
      </c>
      <c r="AB67" s="977">
        <v>0</v>
      </c>
      <c r="AC67" s="970">
        <v>-40816</v>
      </c>
      <c r="AD67" s="1807" t="str">
        <f t="shared" si="31"/>
        <v>n/a</v>
      </c>
      <c r="AE67" s="1807">
        <f t="shared" si="32"/>
        <v>-13.337147503430026</v>
      </c>
      <c r="AF67" s="1808">
        <f t="shared" si="33"/>
        <v>0</v>
      </c>
      <c r="AG67" s="1812"/>
    </row>
    <row r="68" spans="1:42" s="1788" customFormat="1" ht="13.5" customHeight="1">
      <c r="A68" s="1809"/>
      <c r="B68" s="1794" t="s">
        <v>912</v>
      </c>
      <c r="C68" s="1797" t="s">
        <v>913</v>
      </c>
      <c r="D68" s="1796" t="s">
        <v>517</v>
      </c>
      <c r="E68" s="1797" t="s">
        <v>914</v>
      </c>
      <c r="F68" s="1798">
        <v>42542</v>
      </c>
      <c r="G68" s="1810">
        <v>14</v>
      </c>
      <c r="H68" s="1810">
        <v>14</v>
      </c>
      <c r="I68" s="1810">
        <v>16</v>
      </c>
      <c r="J68" s="1810">
        <v>13.77</v>
      </c>
      <c r="K68" s="1799">
        <f t="shared" si="22"/>
        <v>12899.585999999999</v>
      </c>
      <c r="L68" s="975">
        <v>5000</v>
      </c>
      <c r="M68" s="975">
        <v>17899.585999999999</v>
      </c>
      <c r="N68" s="1799">
        <f t="shared" si="23"/>
        <v>180594.204</v>
      </c>
      <c r="O68" s="1800">
        <f t="shared" si="24"/>
        <v>70000</v>
      </c>
      <c r="P68" s="1799">
        <f t="shared" si="25"/>
        <v>250594.204</v>
      </c>
      <c r="Q68" s="1799"/>
      <c r="R68" s="1777">
        <v>1</v>
      </c>
      <c r="S68" s="775">
        <f t="shared" si="26"/>
        <v>13.77</v>
      </c>
      <c r="T68" s="1801">
        <f t="shared" si="27"/>
        <v>246477.29921999999</v>
      </c>
      <c r="U68" s="1802">
        <f t="shared" si="28"/>
        <v>-1.6428571428571459E-2</v>
      </c>
      <c r="V68" s="1811" t="s">
        <v>915</v>
      </c>
      <c r="W68" s="1804" t="s">
        <v>916</v>
      </c>
      <c r="X68" s="1805">
        <f t="shared" si="29"/>
        <v>250594.204</v>
      </c>
      <c r="Y68" s="1805">
        <v>11842000</v>
      </c>
      <c r="Z68" s="1805">
        <v>17051</v>
      </c>
      <c r="AA68" s="976">
        <f t="shared" si="30"/>
        <v>12075543.204</v>
      </c>
      <c r="AB68" s="977">
        <v>7846</v>
      </c>
      <c r="AC68" s="970">
        <v>-25757</v>
      </c>
      <c r="AD68" s="1807">
        <f t="shared" si="31"/>
        <v>1539.0699979607443</v>
      </c>
      <c r="AE68" s="1807">
        <f t="shared" si="32"/>
        <v>-468.825686376519</v>
      </c>
      <c r="AF68" s="1808">
        <f t="shared" si="33"/>
        <v>0</v>
      </c>
      <c r="AG68" s="1812"/>
    </row>
    <row r="69" spans="1:42" s="1788" customFormat="1" ht="13.5" customHeight="1">
      <c r="A69" s="1809"/>
      <c r="B69" s="1794" t="s">
        <v>927</v>
      </c>
      <c r="C69" s="1797" t="s">
        <v>928</v>
      </c>
      <c r="D69" s="1796" t="s">
        <v>983</v>
      </c>
      <c r="E69" s="1797" t="s">
        <v>929</v>
      </c>
      <c r="F69" s="1798">
        <v>42508</v>
      </c>
      <c r="G69" s="1810">
        <v>10</v>
      </c>
      <c r="H69" s="1810">
        <v>14</v>
      </c>
      <c r="I69" s="1810">
        <v>16</v>
      </c>
      <c r="J69" s="1810">
        <v>9.1691500000000001</v>
      </c>
      <c r="K69" s="1799">
        <f t="shared" si="22"/>
        <v>8740.4410000000007</v>
      </c>
      <c r="L69" s="975">
        <v>5500</v>
      </c>
      <c r="M69" s="975">
        <v>14240.441000000001</v>
      </c>
      <c r="N69" s="1799">
        <f t="shared" si="23"/>
        <v>87404.41</v>
      </c>
      <c r="O69" s="1800">
        <f t="shared" si="24"/>
        <v>55000</v>
      </c>
      <c r="P69" s="1799">
        <f t="shared" si="25"/>
        <v>142404.41</v>
      </c>
      <c r="Q69" s="1799"/>
      <c r="R69" s="1777">
        <v>1</v>
      </c>
      <c r="S69" s="775">
        <f t="shared" si="26"/>
        <v>9.1691500000000001</v>
      </c>
      <c r="T69" s="1801">
        <f t="shared" si="27"/>
        <v>130572.73959515001</v>
      </c>
      <c r="U69" s="1802">
        <f t="shared" si="28"/>
        <v>-8.3084999999999964E-2</v>
      </c>
      <c r="V69" s="1811" t="s">
        <v>930</v>
      </c>
      <c r="W69" s="1804" t="s">
        <v>931</v>
      </c>
      <c r="X69" s="1805">
        <f t="shared" si="29"/>
        <v>142404.41</v>
      </c>
      <c r="Y69" s="1805">
        <v>709200</v>
      </c>
      <c r="Z69" s="1805">
        <v>35678.519999999997</v>
      </c>
      <c r="AA69" s="976">
        <f t="shared" si="30"/>
        <v>815925.89</v>
      </c>
      <c r="AB69" s="977">
        <v>2951.86</v>
      </c>
      <c r="AC69" s="970">
        <v>-22947.420000000002</v>
      </c>
      <c r="AD69" s="1807">
        <f t="shared" si="31"/>
        <v>276.41076812585965</v>
      </c>
      <c r="AE69" s="1807">
        <f t="shared" si="32"/>
        <v>-35.556323543125977</v>
      </c>
      <c r="AF69" s="1808">
        <f t="shared" si="33"/>
        <v>0</v>
      </c>
      <c r="AG69" s="1812"/>
    </row>
    <row r="70" spans="1:42" s="1788" customFormat="1" ht="13.5" customHeight="1">
      <c r="A70" s="1809"/>
      <c r="B70" s="1794" t="s">
        <v>933</v>
      </c>
      <c r="C70" s="1797" t="s">
        <v>934</v>
      </c>
      <c r="D70" s="1796" t="s">
        <v>517</v>
      </c>
      <c r="E70" s="1797" t="s">
        <v>935</v>
      </c>
      <c r="F70" s="1798">
        <v>42502</v>
      </c>
      <c r="G70" s="1810">
        <v>6</v>
      </c>
      <c r="H70" s="1810">
        <v>11</v>
      </c>
      <c r="I70" s="1810">
        <v>13</v>
      </c>
      <c r="J70" s="1810">
        <v>3.35</v>
      </c>
      <c r="K70" s="1799">
        <f t="shared" si="22"/>
        <v>16969.444</v>
      </c>
      <c r="L70" s="975">
        <v>5833.3339999999998</v>
      </c>
      <c r="M70" s="975">
        <v>22802.777999999998</v>
      </c>
      <c r="N70" s="1799">
        <f t="shared" si="23"/>
        <v>101816.66399999999</v>
      </c>
      <c r="O70" s="1800">
        <f t="shared" si="24"/>
        <v>35000.004000000001</v>
      </c>
      <c r="P70" s="1799">
        <f t="shared" si="25"/>
        <v>136816.66800000001</v>
      </c>
      <c r="Q70" s="1799"/>
      <c r="R70" s="1777">
        <v>1</v>
      </c>
      <c r="S70" s="775">
        <f t="shared" si="26"/>
        <v>3.35</v>
      </c>
      <c r="T70" s="1801">
        <f t="shared" si="27"/>
        <v>76389.306299999997</v>
      </c>
      <c r="U70" s="1802">
        <f t="shared" si="28"/>
        <v>-0.44166666666666676</v>
      </c>
      <c r="V70" s="1811" t="s">
        <v>936</v>
      </c>
      <c r="W70" s="1804" t="s">
        <v>937</v>
      </c>
      <c r="X70" s="1805">
        <f t="shared" si="29"/>
        <v>136816.66800000001</v>
      </c>
      <c r="Y70" s="1805">
        <v>15488800</v>
      </c>
      <c r="Z70" s="1805">
        <v>5582.26</v>
      </c>
      <c r="AA70" s="976">
        <f t="shared" si="30"/>
        <v>15620034.408</v>
      </c>
      <c r="AB70" s="977">
        <v>2979.58</v>
      </c>
      <c r="AC70" s="970">
        <v>-56013.52</v>
      </c>
      <c r="AD70" s="1807">
        <f t="shared" si="31"/>
        <v>5242.3611408319293</v>
      </c>
      <c r="AE70" s="1807">
        <f t="shared" si="32"/>
        <v>-278.86186063650348</v>
      </c>
      <c r="AF70" s="1808">
        <f t="shared" si="33"/>
        <v>0</v>
      </c>
      <c r="AK70" s="1808"/>
      <c r="AL70" s="1813"/>
      <c r="AM70" s="1812"/>
    </row>
    <row r="71" spans="1:42" s="1773" customFormat="1" ht="13.5" customHeight="1">
      <c r="A71" s="1809"/>
      <c r="B71" s="1794" t="s">
        <v>859</v>
      </c>
      <c r="C71" s="1797" t="s">
        <v>948</v>
      </c>
      <c r="D71" s="1796" t="s">
        <v>949</v>
      </c>
      <c r="E71" s="1797" t="s">
        <v>950</v>
      </c>
      <c r="F71" s="1798">
        <v>42451</v>
      </c>
      <c r="G71" s="1810">
        <v>15</v>
      </c>
      <c r="H71" s="1810">
        <v>15</v>
      </c>
      <c r="I71" s="1810">
        <v>17</v>
      </c>
      <c r="J71" s="1810">
        <v>15.13</v>
      </c>
      <c r="K71" s="1799">
        <f t="shared" si="22"/>
        <v>15706.356</v>
      </c>
      <c r="L71" s="975">
        <v>4700</v>
      </c>
      <c r="M71" s="975">
        <v>20406.356</v>
      </c>
      <c r="N71" s="1799">
        <f t="shared" si="23"/>
        <v>235595.34</v>
      </c>
      <c r="O71" s="1800">
        <f t="shared" si="24"/>
        <v>70500</v>
      </c>
      <c r="P71" s="1799">
        <f t="shared" si="25"/>
        <v>306095.33999999997</v>
      </c>
      <c r="Q71" s="1799"/>
      <c r="R71" s="1777">
        <v>1</v>
      </c>
      <c r="S71" s="775">
        <f t="shared" si="26"/>
        <v>15.13</v>
      </c>
      <c r="T71" s="1801">
        <f t="shared" si="27"/>
        <v>308748.16628</v>
      </c>
      <c r="U71" s="1802">
        <f t="shared" si="28"/>
        <v>8.6666666666668224E-3</v>
      </c>
      <c r="V71" s="1803" t="s">
        <v>951</v>
      </c>
      <c r="W71" s="1804" t="s">
        <v>952</v>
      </c>
      <c r="X71" s="1805">
        <f t="shared" si="29"/>
        <v>306095.33999999997</v>
      </c>
      <c r="Y71" s="1805">
        <v>0</v>
      </c>
      <c r="Z71" s="1805">
        <v>0</v>
      </c>
      <c r="AA71" s="976">
        <f t="shared" si="30"/>
        <v>306095.33999999997</v>
      </c>
      <c r="AB71" s="977">
        <v>0</v>
      </c>
      <c r="AC71" s="970">
        <v>-24113</v>
      </c>
      <c r="AD71" s="1807" t="str">
        <f t="shared" si="31"/>
        <v>n/a</v>
      </c>
      <c r="AE71" s="1807">
        <f t="shared" si="32"/>
        <v>-12.69420395637208</v>
      </c>
      <c r="AF71" s="1808">
        <f t="shared" si="33"/>
        <v>0</v>
      </c>
      <c r="AG71" s="1788"/>
      <c r="AK71" s="1800"/>
      <c r="AL71" s="1813"/>
      <c r="AM71" s="1812"/>
    </row>
    <row r="72" spans="1:42" s="1773" customFormat="1" ht="13.5" customHeight="1">
      <c r="A72" s="1809"/>
      <c r="B72" s="1794" t="s">
        <v>860</v>
      </c>
      <c r="C72" s="1797" t="s">
        <v>953</v>
      </c>
      <c r="D72" s="1796" t="s">
        <v>1059</v>
      </c>
      <c r="E72" s="1797" t="s">
        <v>954</v>
      </c>
      <c r="F72" s="1798">
        <v>42431</v>
      </c>
      <c r="G72" s="1810">
        <v>12</v>
      </c>
      <c r="H72" s="1810">
        <v>14</v>
      </c>
      <c r="I72" s="1810">
        <v>16</v>
      </c>
      <c r="J72" s="1810">
        <v>13.11</v>
      </c>
      <c r="K72" s="1799">
        <f t="shared" si="22"/>
        <v>12972.674999999999</v>
      </c>
      <c r="L72" s="975">
        <v>4400</v>
      </c>
      <c r="M72" s="975">
        <v>17372.674999999999</v>
      </c>
      <c r="N72" s="1799">
        <f t="shared" si="23"/>
        <v>155672.09999999998</v>
      </c>
      <c r="O72" s="1800">
        <f t="shared" si="24"/>
        <v>52800</v>
      </c>
      <c r="P72" s="1799">
        <f t="shared" si="25"/>
        <v>208472.09999999998</v>
      </c>
      <c r="Q72" s="1799"/>
      <c r="R72" s="1777">
        <v>1</v>
      </c>
      <c r="S72" s="775">
        <f t="shared" si="26"/>
        <v>13.11</v>
      </c>
      <c r="T72" s="1801">
        <f t="shared" si="27"/>
        <v>227755.76924999998</v>
      </c>
      <c r="U72" s="1802">
        <f t="shared" si="28"/>
        <v>9.2500000000000027E-2</v>
      </c>
      <c r="V72" s="1803" t="s">
        <v>955</v>
      </c>
      <c r="W72" s="1804" t="s">
        <v>956</v>
      </c>
      <c r="X72" s="1805">
        <f t="shared" si="29"/>
        <v>208472.09999999998</v>
      </c>
      <c r="Y72" s="1805">
        <v>0</v>
      </c>
      <c r="Z72" s="1805">
        <v>23179</v>
      </c>
      <c r="AA72" s="976">
        <f t="shared" si="30"/>
        <v>185293.09999999998</v>
      </c>
      <c r="AB72" s="977">
        <v>1220</v>
      </c>
      <c r="AC72" s="970">
        <v>-27113</v>
      </c>
      <c r="AD72" s="1807">
        <f t="shared" si="31"/>
        <v>151.87959016393441</v>
      </c>
      <c r="AE72" s="1807">
        <f t="shared" si="32"/>
        <v>-6.8341054106885988</v>
      </c>
      <c r="AF72" s="1808">
        <f t="shared" si="33"/>
        <v>0</v>
      </c>
      <c r="AG72" s="1788"/>
      <c r="AK72" s="1800"/>
      <c r="AL72" s="1813"/>
      <c r="AM72" s="1812"/>
    </row>
    <row r="73" spans="1:42" s="1773" customFormat="1" ht="13.5" customHeight="1">
      <c r="A73" s="1809"/>
      <c r="B73" s="1794" t="s">
        <v>957</v>
      </c>
      <c r="C73" s="1797" t="s">
        <v>958</v>
      </c>
      <c r="D73" s="1796" t="s">
        <v>517</v>
      </c>
      <c r="E73" s="1797" t="s">
        <v>959</v>
      </c>
      <c r="F73" s="1798">
        <v>42410</v>
      </c>
      <c r="G73" s="1810">
        <v>20</v>
      </c>
      <c r="H73" s="1810">
        <v>19</v>
      </c>
      <c r="I73" s="1810">
        <v>21</v>
      </c>
      <c r="J73" s="1810">
        <v>21.15</v>
      </c>
      <c r="K73" s="1799">
        <f t="shared" si="22"/>
        <v>17650.57</v>
      </c>
      <c r="L73" s="975">
        <v>4750</v>
      </c>
      <c r="M73" s="975">
        <v>22400.57</v>
      </c>
      <c r="N73" s="1799">
        <f t="shared" si="23"/>
        <v>353011.4</v>
      </c>
      <c r="O73" s="1800">
        <f t="shared" si="24"/>
        <v>95000</v>
      </c>
      <c r="P73" s="1799">
        <f t="shared" si="25"/>
        <v>448011.4</v>
      </c>
      <c r="Q73" s="1799"/>
      <c r="R73" s="1777">
        <v>1</v>
      </c>
      <c r="S73" s="775">
        <f t="shared" si="26"/>
        <v>21.15</v>
      </c>
      <c r="T73" s="1801">
        <f t="shared" si="27"/>
        <v>473772.05549999996</v>
      </c>
      <c r="U73" s="1802">
        <f t="shared" si="28"/>
        <v>5.7499999999999885E-2</v>
      </c>
      <c r="V73" s="1803" t="s">
        <v>960</v>
      </c>
      <c r="W73" s="1804" t="s">
        <v>961</v>
      </c>
      <c r="X73" s="1805">
        <f t="shared" si="29"/>
        <v>448011.4</v>
      </c>
      <c r="Y73" s="1805">
        <v>0</v>
      </c>
      <c r="Z73" s="1805">
        <v>69706.460000000006</v>
      </c>
      <c r="AA73" s="976">
        <f t="shared" si="30"/>
        <v>378304.94</v>
      </c>
      <c r="AB73" s="977">
        <v>0</v>
      </c>
      <c r="AC73" s="970">
        <v>-59309.03</v>
      </c>
      <c r="AD73" s="1807" t="str">
        <f t="shared" si="31"/>
        <v>n/a</v>
      </c>
      <c r="AE73" s="1807">
        <f t="shared" si="32"/>
        <v>-6.3785386474875754</v>
      </c>
      <c r="AF73" s="1808">
        <f t="shared" si="33"/>
        <v>0</v>
      </c>
      <c r="AG73" s="1788"/>
      <c r="AK73" s="1800"/>
      <c r="AL73" s="1813"/>
      <c r="AM73" s="1812"/>
    </row>
    <row r="74" spans="1:42" s="1773" customFormat="1" ht="13.5" customHeight="1">
      <c r="A74" s="1809"/>
      <c r="B74" s="1794" t="s">
        <v>721</v>
      </c>
      <c r="C74" s="1797" t="s">
        <v>972</v>
      </c>
      <c r="D74" s="1796" t="s">
        <v>509</v>
      </c>
      <c r="E74" s="1797" t="s">
        <v>973</v>
      </c>
      <c r="F74" s="1798">
        <v>42318</v>
      </c>
      <c r="G74" s="1810">
        <v>14</v>
      </c>
      <c r="H74" s="1810">
        <v>15</v>
      </c>
      <c r="I74" s="1810">
        <v>17</v>
      </c>
      <c r="J74" s="1810">
        <v>23.72</v>
      </c>
      <c r="K74" s="1799">
        <f t="shared" si="22"/>
        <v>21034.71</v>
      </c>
      <c r="L74" s="975">
        <v>5000</v>
      </c>
      <c r="M74" s="975">
        <v>26034.71</v>
      </c>
      <c r="N74" s="1799">
        <f t="shared" si="23"/>
        <v>294485.94</v>
      </c>
      <c r="O74" s="1800">
        <f t="shared" si="24"/>
        <v>70000</v>
      </c>
      <c r="P74" s="1799">
        <f t="shared" si="25"/>
        <v>364485.94</v>
      </c>
      <c r="Q74" s="1799"/>
      <c r="R74" s="1777">
        <v>1</v>
      </c>
      <c r="S74" s="775">
        <f t="shared" si="26"/>
        <v>23.72</v>
      </c>
      <c r="T74" s="1801">
        <f t="shared" si="27"/>
        <v>617543.32120000001</v>
      </c>
      <c r="U74" s="1802">
        <f t="shared" si="28"/>
        <v>0.69428571428571439</v>
      </c>
      <c r="V74" s="1814" t="s">
        <v>974</v>
      </c>
      <c r="W74" s="1804" t="s">
        <v>1296</v>
      </c>
      <c r="X74" s="1805">
        <f t="shared" si="29"/>
        <v>364485.94</v>
      </c>
      <c r="Y74" s="1805">
        <v>0</v>
      </c>
      <c r="Z74" s="1805">
        <v>84748</v>
      </c>
      <c r="AA74" s="976">
        <f t="shared" si="30"/>
        <v>279737.94</v>
      </c>
      <c r="AB74" s="977">
        <v>18424</v>
      </c>
      <c r="AC74" s="970">
        <v>-27932</v>
      </c>
      <c r="AD74" s="1807">
        <f t="shared" si="31"/>
        <v>15.183344550586192</v>
      </c>
      <c r="AE74" s="1807">
        <f t="shared" si="32"/>
        <v>-10.014962766719176</v>
      </c>
      <c r="AF74" s="1808">
        <f t="shared" si="33"/>
        <v>0</v>
      </c>
      <c r="AG74" s="1817"/>
      <c r="AH74" s="1816"/>
      <c r="AI74" s="1817"/>
      <c r="AJ74" s="1817"/>
      <c r="AK74" s="1816"/>
      <c r="AL74" s="1813"/>
      <c r="AM74" s="1812"/>
      <c r="AN74" s="1814"/>
      <c r="AO74" s="1819"/>
      <c r="AP74" s="1819"/>
    </row>
    <row r="75" spans="1:42" s="1773" customFormat="1" ht="13.5" customHeight="1">
      <c r="A75" s="1809"/>
      <c r="B75" s="1841" t="s">
        <v>976</v>
      </c>
      <c r="C75" s="1797" t="s">
        <v>977</v>
      </c>
      <c r="D75" s="1796" t="s">
        <v>517</v>
      </c>
      <c r="E75" s="1797" t="s">
        <v>978</v>
      </c>
      <c r="F75" s="1798">
        <v>42305</v>
      </c>
      <c r="G75" s="1810">
        <v>10</v>
      </c>
      <c r="H75" s="1810">
        <v>15</v>
      </c>
      <c r="I75" s="1810">
        <v>17</v>
      </c>
      <c r="J75" s="1810">
        <v>12.4</v>
      </c>
      <c r="K75" s="1799">
        <f t="shared" si="22"/>
        <v>20805.473000000002</v>
      </c>
      <c r="L75" s="975">
        <v>5437.5</v>
      </c>
      <c r="M75" s="975">
        <v>26242.973000000002</v>
      </c>
      <c r="N75" s="1799">
        <f t="shared" si="23"/>
        <v>208054.73</v>
      </c>
      <c r="O75" s="1800">
        <f t="shared" si="24"/>
        <v>54375</v>
      </c>
      <c r="P75" s="1799">
        <f t="shared" si="25"/>
        <v>262429.73</v>
      </c>
      <c r="Q75" s="1799"/>
      <c r="R75" s="1777">
        <v>1</v>
      </c>
      <c r="S75" s="775">
        <f t="shared" si="26"/>
        <v>12.4</v>
      </c>
      <c r="T75" s="1801">
        <f t="shared" si="27"/>
        <v>325412.86520000006</v>
      </c>
      <c r="U75" s="1802">
        <f t="shared" si="28"/>
        <v>0.24000000000000021</v>
      </c>
      <c r="V75" s="1814" t="s">
        <v>979</v>
      </c>
      <c r="W75" s="1804" t="s">
        <v>980</v>
      </c>
      <c r="X75" s="1805">
        <f t="shared" si="29"/>
        <v>262429.73</v>
      </c>
      <c r="Y75" s="1805">
        <v>0</v>
      </c>
      <c r="Z75" s="1805">
        <v>73076</v>
      </c>
      <c r="AA75" s="976">
        <f t="shared" si="30"/>
        <v>189353.72999999998</v>
      </c>
      <c r="AB75" s="977">
        <v>14199</v>
      </c>
      <c r="AC75" s="970">
        <v>-30529</v>
      </c>
      <c r="AD75" s="1807">
        <f t="shared" si="31"/>
        <v>13.335708852736106</v>
      </c>
      <c r="AE75" s="1807">
        <f t="shared" si="32"/>
        <v>-6.2024216318909886</v>
      </c>
      <c r="AF75" s="1808">
        <f t="shared" si="33"/>
        <v>0</v>
      </c>
      <c r="AG75" s="1817"/>
      <c r="AH75" s="1816"/>
      <c r="AI75" s="1817"/>
      <c r="AJ75" s="1817"/>
      <c r="AK75" s="1816"/>
      <c r="AL75" s="1813"/>
      <c r="AM75" s="1812"/>
      <c r="AN75" s="1814"/>
      <c r="AO75" s="1819"/>
      <c r="AP75" s="1819"/>
    </row>
    <row r="76" spans="1:42" s="1773" customFormat="1" ht="13.5" customHeight="1">
      <c r="A76" s="1809"/>
      <c r="B76" s="1794" t="s">
        <v>981</v>
      </c>
      <c r="C76" s="1797" t="s">
        <v>982</v>
      </c>
      <c r="D76" s="1796" t="s">
        <v>517</v>
      </c>
      <c r="E76" s="1797" t="s">
        <v>984</v>
      </c>
      <c r="F76" s="1798">
        <v>42298</v>
      </c>
      <c r="G76" s="1810">
        <v>13</v>
      </c>
      <c r="H76" s="1810">
        <v>14</v>
      </c>
      <c r="I76" s="1810">
        <v>16</v>
      </c>
      <c r="J76" s="1810">
        <v>13.45</v>
      </c>
      <c r="K76" s="1799">
        <f t="shared" si="22"/>
        <v>19379.574000000001</v>
      </c>
      <c r="L76" s="975">
        <v>5500</v>
      </c>
      <c r="M76" s="975">
        <v>24879.574000000001</v>
      </c>
      <c r="N76" s="1799">
        <f t="shared" si="23"/>
        <v>251934.462</v>
      </c>
      <c r="O76" s="1800">
        <f t="shared" si="24"/>
        <v>71500</v>
      </c>
      <c r="P76" s="1799">
        <f t="shared" si="25"/>
        <v>323434.462</v>
      </c>
      <c r="Q76" s="1799"/>
      <c r="R76" s="1777">
        <v>1</v>
      </c>
      <c r="S76" s="775">
        <f t="shared" si="26"/>
        <v>13.45</v>
      </c>
      <c r="T76" s="1801">
        <f t="shared" si="27"/>
        <v>334630.27029999997</v>
      </c>
      <c r="U76" s="1802">
        <f t="shared" si="28"/>
        <v>3.4615384615384492E-2</v>
      </c>
      <c r="V76" s="1803" t="s">
        <v>985</v>
      </c>
      <c r="W76" s="1804" t="s">
        <v>986</v>
      </c>
      <c r="X76" s="1805">
        <f t="shared" si="29"/>
        <v>323434.462</v>
      </c>
      <c r="Y76" s="1805">
        <v>1615000</v>
      </c>
      <c r="Z76" s="1805">
        <v>80653</v>
      </c>
      <c r="AA76" s="976">
        <f t="shared" si="30"/>
        <v>1857781.4620000001</v>
      </c>
      <c r="AB76" s="977">
        <v>8991</v>
      </c>
      <c r="AC76" s="970">
        <v>-40246</v>
      </c>
      <c r="AD76" s="1807">
        <f t="shared" si="31"/>
        <v>206.62678923367812</v>
      </c>
      <c r="AE76" s="1807">
        <f t="shared" si="32"/>
        <v>-46.160648561347713</v>
      </c>
      <c r="AF76" s="1808">
        <f t="shared" si="33"/>
        <v>0</v>
      </c>
      <c r="AG76" s="1788"/>
      <c r="AK76" s="1800"/>
      <c r="AL76" s="1813"/>
      <c r="AM76" s="1812"/>
    </row>
    <row r="77" spans="1:42" s="1773" customFormat="1" ht="13.5" customHeight="1">
      <c r="A77" s="1809"/>
      <c r="B77" s="1794" t="s">
        <v>1002</v>
      </c>
      <c r="C77" s="1797" t="s">
        <v>1003</v>
      </c>
      <c r="D77" s="1796" t="s">
        <v>517</v>
      </c>
      <c r="E77" s="1797" t="s">
        <v>1004</v>
      </c>
      <c r="F77" s="1798">
        <v>42277</v>
      </c>
      <c r="G77" s="1810">
        <v>7</v>
      </c>
      <c r="H77" s="1810">
        <v>13</v>
      </c>
      <c r="I77" s="1810">
        <v>15</v>
      </c>
      <c r="J77" s="1810">
        <v>5.78</v>
      </c>
      <c r="K77" s="1799">
        <f t="shared" si="22"/>
        <v>13806.725999999999</v>
      </c>
      <c r="L77" s="975">
        <v>6250</v>
      </c>
      <c r="M77" s="975">
        <v>20056.725999999999</v>
      </c>
      <c r="N77" s="1799">
        <f t="shared" si="23"/>
        <v>96647.081999999995</v>
      </c>
      <c r="O77" s="1800">
        <f t="shared" si="24"/>
        <v>43750</v>
      </c>
      <c r="P77" s="1799">
        <f t="shared" si="25"/>
        <v>140397.08199999999</v>
      </c>
      <c r="Q77" s="1799"/>
      <c r="R77" s="1777">
        <v>1</v>
      </c>
      <c r="S77" s="775">
        <f t="shared" si="26"/>
        <v>5.78</v>
      </c>
      <c r="T77" s="1801">
        <f t="shared" si="27"/>
        <v>115927.87628</v>
      </c>
      <c r="U77" s="1802">
        <f t="shared" si="28"/>
        <v>-0.17428571428571427</v>
      </c>
      <c r="V77" s="1803" t="s">
        <v>1005</v>
      </c>
      <c r="W77" s="1804" t="s">
        <v>1297</v>
      </c>
      <c r="X77" s="1805">
        <f t="shared" si="29"/>
        <v>140397.08199999999</v>
      </c>
      <c r="Y77" s="1805">
        <v>0</v>
      </c>
      <c r="Z77" s="1805">
        <v>41579</v>
      </c>
      <c r="AA77" s="976">
        <f t="shared" si="30"/>
        <v>98818.081999999995</v>
      </c>
      <c r="AB77" s="977">
        <v>0</v>
      </c>
      <c r="AC77" s="970">
        <v>-27374</v>
      </c>
      <c r="AD77" s="1807" t="str">
        <f t="shared" si="31"/>
        <v>n/a</v>
      </c>
      <c r="AE77" s="1807">
        <f t="shared" si="32"/>
        <v>-3.6099248191714763</v>
      </c>
      <c r="AF77" s="1808">
        <f t="shared" si="33"/>
        <v>0</v>
      </c>
      <c r="AG77" s="1788"/>
      <c r="AK77" s="1800"/>
      <c r="AL77" s="1813"/>
      <c r="AM77" s="1812"/>
    </row>
    <row r="78" spans="1:42" s="1773" customFormat="1" ht="13.5" customHeight="1">
      <c r="A78" s="1809"/>
      <c r="B78" s="1794" t="s">
        <v>1043</v>
      </c>
      <c r="C78" s="1797" t="s">
        <v>1044</v>
      </c>
      <c r="D78" s="1796" t="s">
        <v>983</v>
      </c>
      <c r="E78" s="1797" t="s">
        <v>1045</v>
      </c>
      <c r="F78" s="1798">
        <v>42179</v>
      </c>
      <c r="G78" s="1810">
        <v>12</v>
      </c>
      <c r="H78" s="1810">
        <v>13</v>
      </c>
      <c r="I78" s="1810">
        <v>15</v>
      </c>
      <c r="J78" s="1810">
        <v>13.9</v>
      </c>
      <c r="K78" s="1799">
        <f t="shared" si="22"/>
        <v>9547.7960000000003</v>
      </c>
      <c r="L78" s="975">
        <v>5000</v>
      </c>
      <c r="M78" s="975">
        <v>14547.796</v>
      </c>
      <c r="N78" s="1799">
        <f t="shared" si="23"/>
        <v>114573.552</v>
      </c>
      <c r="O78" s="1800">
        <f t="shared" si="24"/>
        <v>60000</v>
      </c>
      <c r="P78" s="1799">
        <f t="shared" si="25"/>
        <v>174573.552</v>
      </c>
      <c r="Q78" s="1799"/>
      <c r="R78" s="1777">
        <v>1</v>
      </c>
      <c r="S78" s="775">
        <f t="shared" si="26"/>
        <v>13.9</v>
      </c>
      <c r="T78" s="1801">
        <f t="shared" si="27"/>
        <v>202214.36440000002</v>
      </c>
      <c r="U78" s="1802">
        <f t="shared" si="28"/>
        <v>0.15833333333333344</v>
      </c>
      <c r="V78" s="1814" t="s">
        <v>1046</v>
      </c>
      <c r="W78" s="1804" t="s">
        <v>1298</v>
      </c>
      <c r="X78" s="1805">
        <f t="shared" si="29"/>
        <v>174573.552</v>
      </c>
      <c r="Y78" s="1805">
        <v>9656000</v>
      </c>
      <c r="Z78" s="1805">
        <v>24303</v>
      </c>
      <c r="AA78" s="976">
        <f t="shared" si="30"/>
        <v>9806270.5519999992</v>
      </c>
      <c r="AB78" s="977">
        <v>0</v>
      </c>
      <c r="AC78" s="970">
        <v>-35832</v>
      </c>
      <c r="AD78" s="1807" t="str">
        <f t="shared" si="31"/>
        <v>n/a</v>
      </c>
      <c r="AE78" s="1807">
        <f t="shared" si="32"/>
        <v>-273.67354744362581</v>
      </c>
      <c r="AF78" s="1808">
        <f t="shared" si="33"/>
        <v>0</v>
      </c>
      <c r="AG78" s="1817"/>
      <c r="AH78" s="1816"/>
      <c r="AI78" s="1817"/>
      <c r="AJ78" s="1818"/>
      <c r="AK78" s="1816"/>
      <c r="AL78" s="1813"/>
      <c r="AM78" s="1812"/>
      <c r="AN78" s="1814"/>
      <c r="AO78" s="1819"/>
      <c r="AP78" s="1819"/>
    </row>
    <row r="79" spans="1:42" s="1815" customFormat="1" ht="13.5" customHeight="1">
      <c r="A79" s="1809"/>
      <c r="B79" s="1794" t="s">
        <v>1053</v>
      </c>
      <c r="C79" s="1797" t="s">
        <v>1054</v>
      </c>
      <c r="D79" s="1796" t="s">
        <v>509</v>
      </c>
      <c r="E79" s="1797" t="s">
        <v>1055</v>
      </c>
      <c r="F79" s="1798">
        <v>42171</v>
      </c>
      <c r="G79" s="1810">
        <v>14</v>
      </c>
      <c r="H79" s="1810">
        <v>13</v>
      </c>
      <c r="I79" s="1810">
        <v>15</v>
      </c>
      <c r="J79" s="1810">
        <v>19.010000000000002</v>
      </c>
      <c r="K79" s="1799">
        <f t="shared" si="22"/>
        <v>9126.6830000000009</v>
      </c>
      <c r="L79" s="975">
        <v>5500</v>
      </c>
      <c r="M79" s="975">
        <v>14626.683000000001</v>
      </c>
      <c r="N79" s="1799">
        <f t="shared" si="23"/>
        <v>127773.56200000001</v>
      </c>
      <c r="O79" s="1800">
        <f t="shared" si="24"/>
        <v>77000</v>
      </c>
      <c r="P79" s="1799">
        <f t="shared" si="25"/>
        <v>204773.56200000001</v>
      </c>
      <c r="Q79" s="1799"/>
      <c r="R79" s="1777">
        <v>1</v>
      </c>
      <c r="S79" s="775">
        <f t="shared" si="26"/>
        <v>19.010000000000002</v>
      </c>
      <c r="T79" s="1801">
        <f t="shared" si="27"/>
        <v>278053.24383000005</v>
      </c>
      <c r="U79" s="1802">
        <f t="shared" si="28"/>
        <v>0.3578571428571431</v>
      </c>
      <c r="V79" s="1803" t="s">
        <v>1056</v>
      </c>
      <c r="W79" s="1804" t="s">
        <v>1057</v>
      </c>
      <c r="X79" s="1805">
        <f t="shared" si="29"/>
        <v>204773.56200000001</v>
      </c>
      <c r="Y79" s="1805">
        <v>0</v>
      </c>
      <c r="Z79" s="1805">
        <v>22864.5</v>
      </c>
      <c r="AA79" s="976">
        <f t="shared" si="30"/>
        <v>181909.06200000001</v>
      </c>
      <c r="AB79" s="977">
        <v>0</v>
      </c>
      <c r="AC79" s="970">
        <v>-29160</v>
      </c>
      <c r="AD79" s="1807" t="str">
        <f t="shared" si="31"/>
        <v>n/a</v>
      </c>
      <c r="AE79" s="1807">
        <f t="shared" si="32"/>
        <v>-6.2383080246913583</v>
      </c>
      <c r="AF79" s="1808">
        <f t="shared" si="33"/>
        <v>0</v>
      </c>
      <c r="AG79" s="1788"/>
      <c r="AH79" s="1773"/>
      <c r="AI79" s="1773"/>
      <c r="AJ79" s="1773"/>
      <c r="AK79" s="1800"/>
      <c r="AL79" s="1813"/>
      <c r="AM79" s="1812"/>
      <c r="AN79" s="1773"/>
      <c r="AO79" s="1773"/>
      <c r="AP79" s="1773"/>
    </row>
    <row r="80" spans="1:42" s="1815" customFormat="1" ht="13.5" customHeight="1">
      <c r="A80" s="1809"/>
      <c r="B80" s="1794" t="s">
        <v>1299</v>
      </c>
      <c r="C80" s="1797" t="s">
        <v>1058</v>
      </c>
      <c r="D80" s="1796" t="s">
        <v>1059</v>
      </c>
      <c r="E80" s="1797" t="s">
        <v>1060</v>
      </c>
      <c r="F80" s="1798">
        <v>42130</v>
      </c>
      <c r="G80" s="1810">
        <v>14</v>
      </c>
      <c r="H80" s="1810">
        <v>13</v>
      </c>
      <c r="I80" s="1810">
        <v>15</v>
      </c>
      <c r="J80" s="1810">
        <v>25.87</v>
      </c>
      <c r="K80" s="1799">
        <f t="shared" si="22"/>
        <v>17189.739000000001</v>
      </c>
      <c r="L80" s="975">
        <v>5360</v>
      </c>
      <c r="M80" s="975">
        <v>22549.739000000001</v>
      </c>
      <c r="N80" s="1799">
        <f t="shared" si="23"/>
        <v>240656.34600000002</v>
      </c>
      <c r="O80" s="1800">
        <f t="shared" si="24"/>
        <v>75040</v>
      </c>
      <c r="P80" s="1799">
        <f t="shared" si="25"/>
        <v>315696.34600000002</v>
      </c>
      <c r="Q80" s="1799"/>
      <c r="R80" s="1777">
        <v>1</v>
      </c>
      <c r="S80" s="775">
        <f t="shared" si="26"/>
        <v>25.87</v>
      </c>
      <c r="T80" s="1801">
        <f t="shared" si="27"/>
        <v>583361.74793000007</v>
      </c>
      <c r="U80" s="1802">
        <f t="shared" si="28"/>
        <v>0.84785714285714286</v>
      </c>
      <c r="V80" s="1803" t="s">
        <v>1061</v>
      </c>
      <c r="W80" s="1804" t="s">
        <v>1062</v>
      </c>
      <c r="X80" s="1805">
        <f t="shared" si="29"/>
        <v>315696.34600000002</v>
      </c>
      <c r="Y80" s="1805">
        <v>10276000</v>
      </c>
      <c r="Z80" s="1805">
        <v>13899</v>
      </c>
      <c r="AA80" s="976">
        <f t="shared" si="30"/>
        <v>10577797.346000001</v>
      </c>
      <c r="AB80" s="977">
        <v>0</v>
      </c>
      <c r="AC80" s="970">
        <v>-58426</v>
      </c>
      <c r="AD80" s="1807" t="str">
        <f t="shared" si="31"/>
        <v>n/a</v>
      </c>
      <c r="AE80" s="1807">
        <f t="shared" si="32"/>
        <v>-181.04606418375383</v>
      </c>
      <c r="AF80" s="1808">
        <f t="shared" si="33"/>
        <v>0</v>
      </c>
      <c r="AG80" s="1788"/>
      <c r="AH80" s="1773"/>
      <c r="AI80" s="1773"/>
      <c r="AJ80" s="1773"/>
      <c r="AK80" s="1800"/>
      <c r="AL80" s="1813"/>
      <c r="AM80" s="1812"/>
      <c r="AN80" s="1773"/>
      <c r="AO80" s="1773"/>
      <c r="AP80" s="1773"/>
    </row>
    <row r="81" spans="1:42" s="1815" customFormat="1" ht="13.5" customHeight="1">
      <c r="A81" s="1842"/>
      <c r="B81" s="1794" t="s">
        <v>1300</v>
      </c>
      <c r="C81" s="1797" t="s">
        <v>1301</v>
      </c>
      <c r="D81" s="1796" t="s">
        <v>983</v>
      </c>
      <c r="E81" s="1797" t="s">
        <v>1302</v>
      </c>
      <c r="F81" s="1798">
        <v>42130</v>
      </c>
      <c r="G81" s="1810">
        <v>17</v>
      </c>
      <c r="H81" s="1810">
        <v>15</v>
      </c>
      <c r="I81" s="1810">
        <v>17</v>
      </c>
      <c r="J81" s="1810">
        <v>15.34</v>
      </c>
      <c r="K81" s="1799">
        <f t="shared" si="22"/>
        <v>59535.316666666695</v>
      </c>
      <c r="L81" s="975">
        <v>9375</v>
      </c>
      <c r="M81" s="975">
        <v>68910.316666666695</v>
      </c>
      <c r="N81" s="1799">
        <f t="shared" si="23"/>
        <v>1012100.3833333338</v>
      </c>
      <c r="O81" s="1800">
        <f t="shared" si="24"/>
        <v>159375</v>
      </c>
      <c r="P81" s="1799">
        <f t="shared" si="25"/>
        <v>1171475.3833333338</v>
      </c>
      <c r="Q81" s="1799"/>
      <c r="R81" s="1777">
        <v>1</v>
      </c>
      <c r="S81" s="775">
        <f t="shared" si="26"/>
        <v>15.34</v>
      </c>
      <c r="T81" s="1801">
        <f t="shared" si="27"/>
        <v>1057084.257666667</v>
      </c>
      <c r="U81" s="1802">
        <f t="shared" si="28"/>
        <v>-9.764705882352942E-2</v>
      </c>
      <c r="V81" s="1803" t="s">
        <v>1303</v>
      </c>
      <c r="W81" s="1804" t="s">
        <v>1304</v>
      </c>
      <c r="X81" s="1805">
        <f t="shared" si="29"/>
        <v>1171475.3833333338</v>
      </c>
      <c r="Y81" s="1805">
        <v>0</v>
      </c>
      <c r="Z81" s="1805">
        <v>101564.72</v>
      </c>
      <c r="AA81" s="976">
        <f t="shared" si="30"/>
        <v>1069910.6633333338</v>
      </c>
      <c r="AB81" s="977">
        <v>12356.199999999999</v>
      </c>
      <c r="AC81" s="970">
        <v>-65690.23</v>
      </c>
      <c r="AD81" s="1807">
        <f t="shared" si="31"/>
        <v>86.588972607543894</v>
      </c>
      <c r="AE81" s="1807">
        <f t="shared" si="32"/>
        <v>-16.287211406221807</v>
      </c>
      <c r="AF81" s="1808">
        <f t="shared" si="33"/>
        <v>0</v>
      </c>
      <c r="AG81" s="1788"/>
      <c r="AH81" s="1773"/>
      <c r="AI81" s="1773"/>
      <c r="AJ81" s="1773"/>
      <c r="AK81" s="1800"/>
      <c r="AL81" s="1813"/>
      <c r="AM81" s="1812"/>
      <c r="AN81" s="1773"/>
      <c r="AO81" s="1773"/>
      <c r="AP81" s="1773"/>
    </row>
    <row r="82" spans="1:42" s="1815" customFormat="1" ht="13.5" customHeight="1">
      <c r="A82" s="1809"/>
      <c r="B82" s="1794" t="s">
        <v>1081</v>
      </c>
      <c r="C82" s="1797" t="s">
        <v>1082</v>
      </c>
      <c r="D82" s="1796" t="s">
        <v>517</v>
      </c>
      <c r="E82" s="1797" t="s">
        <v>1083</v>
      </c>
      <c r="F82" s="1798">
        <v>42122</v>
      </c>
      <c r="G82" s="1810">
        <v>8</v>
      </c>
      <c r="H82" s="1810">
        <v>10</v>
      </c>
      <c r="I82" s="1810">
        <v>12</v>
      </c>
      <c r="J82" s="1810">
        <v>8.23</v>
      </c>
      <c r="K82" s="1799">
        <f t="shared" si="22"/>
        <v>6154.3289999999997</v>
      </c>
      <c r="L82" s="975">
        <v>3000</v>
      </c>
      <c r="M82" s="975">
        <v>9154.3289999999997</v>
      </c>
      <c r="N82" s="1799">
        <f t="shared" si="23"/>
        <v>49234.631999999998</v>
      </c>
      <c r="O82" s="1800">
        <f t="shared" si="24"/>
        <v>24000</v>
      </c>
      <c r="P82" s="1799">
        <f t="shared" si="25"/>
        <v>73234.631999999998</v>
      </c>
      <c r="Q82" s="1799"/>
      <c r="R82" s="1777">
        <v>1</v>
      </c>
      <c r="S82" s="775">
        <f t="shared" si="26"/>
        <v>8.23</v>
      </c>
      <c r="T82" s="1801">
        <f t="shared" si="27"/>
        <v>75340.127670000002</v>
      </c>
      <c r="U82" s="1802">
        <f t="shared" si="28"/>
        <v>2.8750000000000053E-2</v>
      </c>
      <c r="V82" s="1814" t="s">
        <v>1084</v>
      </c>
      <c r="W82" s="1804" t="s">
        <v>1085</v>
      </c>
      <c r="X82" s="1805">
        <f t="shared" si="29"/>
        <v>73234.631999999998</v>
      </c>
      <c r="Y82" s="1805">
        <v>1568390</v>
      </c>
      <c r="Z82" s="1805">
        <v>755.86</v>
      </c>
      <c r="AA82" s="976">
        <f t="shared" si="30"/>
        <v>1640868.7719999999</v>
      </c>
      <c r="AB82" s="977">
        <v>0</v>
      </c>
      <c r="AC82" s="970">
        <v>0</v>
      </c>
      <c r="AD82" s="1807" t="str">
        <f t="shared" si="31"/>
        <v>n/a</v>
      </c>
      <c r="AE82" s="1807" t="str">
        <f t="shared" si="32"/>
        <v>n/a</v>
      </c>
      <c r="AF82" s="1808">
        <f t="shared" si="33"/>
        <v>0</v>
      </c>
      <c r="AK82" s="1816"/>
      <c r="AL82" s="1813"/>
      <c r="AM82" s="1812"/>
    </row>
    <row r="83" spans="1:42" s="1815" customFormat="1" ht="13.5" customHeight="1">
      <c r="A83" s="1842"/>
      <c r="B83" s="1794" t="s">
        <v>1139</v>
      </c>
      <c r="C83" s="1797" t="s">
        <v>1140</v>
      </c>
      <c r="D83" s="1796" t="s">
        <v>983</v>
      </c>
      <c r="E83" s="1797" t="s">
        <v>1141</v>
      </c>
      <c r="F83" s="1798">
        <v>41991</v>
      </c>
      <c r="G83" s="1810">
        <v>24</v>
      </c>
      <c r="H83" s="1810">
        <v>15</v>
      </c>
      <c r="I83" s="1810">
        <v>18</v>
      </c>
      <c r="J83" s="1810">
        <v>50.14</v>
      </c>
      <c r="K83" s="1799">
        <f t="shared" si="22"/>
        <v>65143.189000000006</v>
      </c>
      <c r="L83" s="975">
        <v>12676.353999999999</v>
      </c>
      <c r="M83" s="975">
        <v>77819.543000000005</v>
      </c>
      <c r="N83" s="1799">
        <f t="shared" si="23"/>
        <v>1563436.5360000001</v>
      </c>
      <c r="O83" s="1800">
        <f t="shared" si="24"/>
        <v>304232.49599999998</v>
      </c>
      <c r="P83" s="1799">
        <f t="shared" si="25"/>
        <v>1867669.0320000001</v>
      </c>
      <c r="Q83" s="1799"/>
      <c r="R83" s="1777">
        <v>1</v>
      </c>
      <c r="S83" s="775">
        <f t="shared" si="26"/>
        <v>50.14</v>
      </c>
      <c r="T83" s="1801">
        <f t="shared" si="27"/>
        <v>3901871.8860200001</v>
      </c>
      <c r="U83" s="1802">
        <f t="shared" si="28"/>
        <v>1.0891666666666664</v>
      </c>
      <c r="V83" s="1804" t="s">
        <v>1142</v>
      </c>
      <c r="W83" s="1804" t="s">
        <v>1143</v>
      </c>
      <c r="X83" s="1805">
        <f t="shared" si="29"/>
        <v>1867669.0320000001</v>
      </c>
      <c r="Y83" s="1805">
        <v>0</v>
      </c>
      <c r="Z83" s="1805">
        <v>35966</v>
      </c>
      <c r="AA83" s="976">
        <f t="shared" si="30"/>
        <v>1831703.0320000001</v>
      </c>
      <c r="AB83" s="977">
        <v>43131</v>
      </c>
      <c r="AC83" s="970">
        <v>-234013</v>
      </c>
      <c r="AD83" s="1807">
        <f t="shared" si="31"/>
        <v>42.468364563770841</v>
      </c>
      <c r="AE83" s="1807">
        <f t="shared" si="32"/>
        <v>-7.8273558819381837</v>
      </c>
      <c r="AF83" s="1808">
        <f t="shared" si="33"/>
        <v>0</v>
      </c>
      <c r="AK83" s="1816"/>
      <c r="AL83" s="1813"/>
      <c r="AM83" s="1812"/>
    </row>
    <row r="84" spans="1:42" s="1815" customFormat="1" ht="13.5" customHeight="1">
      <c r="A84" s="1809"/>
      <c r="B84" s="1794"/>
      <c r="C84" s="1797"/>
      <c r="D84" s="1796"/>
      <c r="E84" s="1797"/>
      <c r="F84" s="1798"/>
      <c r="G84" s="1820"/>
      <c r="H84" s="1810"/>
      <c r="I84" s="1810"/>
      <c r="J84" s="1820"/>
      <c r="K84" s="1821"/>
      <c r="L84" s="1800"/>
      <c r="M84" s="1800"/>
      <c r="N84" s="1799"/>
      <c r="O84" s="1800"/>
      <c r="P84" s="1799"/>
      <c r="Q84" s="1799"/>
      <c r="R84" s="1799"/>
      <c r="S84" s="775"/>
      <c r="T84" s="1801"/>
      <c r="U84" s="1802"/>
      <c r="V84" s="1814"/>
      <c r="W84" s="1804"/>
      <c r="X84" s="1805"/>
      <c r="Y84" s="1805"/>
      <c r="Z84" s="1805"/>
      <c r="AA84" s="976"/>
      <c r="AB84" s="977"/>
      <c r="AC84" s="970"/>
      <c r="AD84" s="1807"/>
      <c r="AE84" s="1807"/>
      <c r="AF84" s="1808"/>
      <c r="AK84" s="1816"/>
      <c r="AL84" s="1813"/>
      <c r="AM84" s="1812"/>
    </row>
    <row r="85" spans="1:42" s="1815" customFormat="1" ht="13.5" customHeight="1">
      <c r="A85" s="1809"/>
      <c r="B85" s="1827" t="str">
        <f>B39&amp;" Metrics"</f>
        <v>Phase I / I/Ib / I/IIa / Ib / Ib/II Metrics</v>
      </c>
      <c r="C85" s="1797"/>
      <c r="D85" s="1796"/>
      <c r="E85" s="1797"/>
      <c r="F85" s="1798"/>
      <c r="G85" s="1820"/>
      <c r="H85" s="1810"/>
      <c r="I85" s="1810"/>
      <c r="J85" s="1820"/>
      <c r="K85" s="1821"/>
      <c r="L85" s="1800"/>
      <c r="M85" s="1800"/>
      <c r="N85" s="1799"/>
      <c r="O85" s="1800"/>
      <c r="P85" s="1799"/>
      <c r="Q85" s="1799"/>
      <c r="R85" s="1799"/>
      <c r="S85" s="775"/>
      <c r="T85" s="1801"/>
      <c r="U85" s="1802"/>
      <c r="V85" s="1804"/>
      <c r="W85" s="1804"/>
      <c r="X85" s="1805"/>
      <c r="Y85" s="1805"/>
      <c r="Z85" s="1805"/>
      <c r="AA85" s="976"/>
      <c r="AB85" s="977"/>
      <c r="AC85" s="970"/>
      <c r="AD85" s="1807"/>
      <c r="AE85" s="1807"/>
      <c r="AF85" s="1808"/>
      <c r="AG85" s="1773"/>
      <c r="AH85" s="1773"/>
      <c r="AI85" s="1773"/>
      <c r="AJ85" s="1800"/>
      <c r="AK85" s="1813"/>
      <c r="AL85" s="1812"/>
      <c r="AM85" s="1773"/>
      <c r="AN85" s="1773"/>
      <c r="AO85" s="1773"/>
    </row>
    <row r="86" spans="1:42" s="1815" customFormat="1" ht="13.5" customHeight="1">
      <c r="A86" s="1809"/>
      <c r="B86" s="1822" t="s">
        <v>111</v>
      </c>
      <c r="C86" s="1823"/>
      <c r="D86" s="1823"/>
      <c r="E86" s="1823"/>
      <c r="F86" s="1823"/>
      <c r="G86" s="1823"/>
      <c r="H86" s="1823"/>
      <c r="I86" s="1823"/>
      <c r="J86" s="1823"/>
      <c r="K86" s="1823"/>
      <c r="L86" s="1823"/>
      <c r="M86" s="1823"/>
      <c r="N86" s="1824">
        <f>MAX(N40:N83)</f>
        <v>1563436.5360000001</v>
      </c>
      <c r="O86" s="1824"/>
      <c r="P86" s="2536">
        <f>MAX(P40:P83)</f>
        <v>1867669.0320000001</v>
      </c>
      <c r="Q86" s="1799"/>
      <c r="R86" s="1799"/>
      <c r="S86" s="1826">
        <f>MAX(S54:S83)</f>
        <v>50.14</v>
      </c>
      <c r="T86" s="1801"/>
      <c r="U86" s="1802"/>
      <c r="V86" s="1814"/>
      <c r="W86" s="1804"/>
      <c r="X86" s="1805"/>
      <c r="Y86" s="1805"/>
      <c r="Z86" s="1805"/>
      <c r="AA86" s="976"/>
      <c r="AB86" s="977"/>
      <c r="AC86" s="970"/>
      <c r="AD86" s="1807"/>
      <c r="AE86" s="1807"/>
      <c r="AF86" s="1808"/>
      <c r="AK86" s="1816"/>
      <c r="AL86" s="1813"/>
      <c r="AM86" s="1812"/>
    </row>
    <row r="87" spans="1:42" s="1815" customFormat="1" ht="13.5" customHeight="1">
      <c r="A87" s="1809"/>
      <c r="B87" s="776" t="s">
        <v>115</v>
      </c>
      <c r="C87" s="777"/>
      <c r="D87" s="777"/>
      <c r="E87" s="777"/>
      <c r="F87" s="777"/>
      <c r="G87" s="777"/>
      <c r="H87" s="777"/>
      <c r="I87" s="777"/>
      <c r="J87" s="777"/>
      <c r="K87" s="777"/>
      <c r="L87" s="777"/>
      <c r="M87" s="777"/>
      <c r="N87" s="769">
        <f>_xlfn.QUARTILE.INC(N40:N83,3)</f>
        <v>374309.33999999997</v>
      </c>
      <c r="O87" s="769"/>
      <c r="P87" s="778">
        <f>_xlfn.QUARTILE.INC(P40:P83,3)</f>
        <v>476149.33999999997</v>
      </c>
      <c r="Q87" s="1799"/>
      <c r="R87" s="1799"/>
      <c r="S87" s="920">
        <f>_xlfn.QUARTILE.INC(S54:S83,3)</f>
        <v>18.935000000000002</v>
      </c>
      <c r="T87" s="1801"/>
      <c r="U87" s="1802"/>
      <c r="V87" s="1814"/>
      <c r="W87" s="1804"/>
      <c r="X87" s="1805"/>
      <c r="Y87" s="1805"/>
      <c r="Z87" s="1805"/>
      <c r="AA87" s="976"/>
      <c r="AB87" s="977"/>
      <c r="AC87" s="970"/>
      <c r="AD87" s="1807"/>
      <c r="AE87" s="1807"/>
      <c r="AF87" s="1808"/>
      <c r="AK87" s="1816"/>
      <c r="AL87" s="1813"/>
      <c r="AM87" s="1812"/>
    </row>
    <row r="88" spans="1:42" s="1815" customFormat="1" ht="13.5" customHeight="1">
      <c r="A88" s="1809"/>
      <c r="B88" s="776" t="s">
        <v>43</v>
      </c>
      <c r="C88" s="777"/>
      <c r="D88" s="777"/>
      <c r="E88" s="777"/>
      <c r="F88" s="777"/>
      <c r="G88" s="777"/>
      <c r="H88" s="777"/>
      <c r="I88" s="777"/>
      <c r="J88" s="777"/>
      <c r="K88" s="777"/>
      <c r="L88" s="777"/>
      <c r="M88" s="777"/>
      <c r="N88" s="769">
        <f>AVERAGE(N40:N83)</f>
        <v>329891.29633712122</v>
      </c>
      <c r="O88" s="769"/>
      <c r="P88" s="778">
        <f>AVERAGE(P40:P83)</f>
        <v>416964.53449621203</v>
      </c>
      <c r="Q88" s="1799"/>
      <c r="R88" s="1799"/>
      <c r="S88" s="920">
        <f>AVERAGE(S54:S83)</f>
        <v>15.816838666666664</v>
      </c>
      <c r="T88" s="1801"/>
      <c r="U88" s="1802"/>
      <c r="V88" s="1814"/>
      <c r="W88" s="1804"/>
      <c r="X88" s="1805"/>
      <c r="Y88" s="1805"/>
      <c r="Z88" s="1805"/>
      <c r="AA88" s="976"/>
      <c r="AB88" s="977"/>
      <c r="AC88" s="970"/>
      <c r="AD88" s="1807"/>
      <c r="AE88" s="1807"/>
      <c r="AF88" s="1808"/>
      <c r="AK88" s="1816"/>
      <c r="AL88" s="1813"/>
      <c r="AM88" s="1812"/>
    </row>
    <row r="89" spans="1:42" s="1815" customFormat="1" ht="13.5" customHeight="1">
      <c r="A89" s="1809"/>
      <c r="B89" s="776" t="s">
        <v>44</v>
      </c>
      <c r="C89" s="777"/>
      <c r="D89" s="777"/>
      <c r="E89" s="777"/>
      <c r="F89" s="777"/>
      <c r="G89" s="777"/>
      <c r="H89" s="777"/>
      <c r="I89" s="777"/>
      <c r="J89" s="777"/>
      <c r="K89" s="777"/>
      <c r="L89" s="777"/>
      <c r="M89" s="777"/>
      <c r="N89" s="769">
        <f>MEDIAN(N40:N83)</f>
        <v>265101.15399999998</v>
      </c>
      <c r="O89" s="769"/>
      <c r="P89" s="778">
        <f>MEDIAN(P40:P83)</f>
        <v>331851.15399999998</v>
      </c>
      <c r="Q89" s="1799"/>
      <c r="R89" s="1799"/>
      <c r="S89" s="920">
        <f>MEDIAN(S54:S83)</f>
        <v>13.835000000000001</v>
      </c>
      <c r="T89" s="1801"/>
      <c r="U89" s="1802"/>
      <c r="V89" s="1814"/>
      <c r="W89" s="1804"/>
      <c r="X89" s="1805"/>
      <c r="Y89" s="1805"/>
      <c r="Z89" s="1805"/>
      <c r="AA89" s="976"/>
      <c r="AB89" s="977"/>
      <c r="AC89" s="970"/>
      <c r="AD89" s="1807"/>
      <c r="AE89" s="1807"/>
      <c r="AF89" s="1808"/>
      <c r="AK89" s="1816"/>
      <c r="AL89" s="1813"/>
      <c r="AM89" s="1812"/>
    </row>
    <row r="90" spans="1:42" s="1815" customFormat="1" ht="13.5" customHeight="1">
      <c r="A90" s="1809"/>
      <c r="B90" s="776" t="s">
        <v>114</v>
      </c>
      <c r="C90" s="777"/>
      <c r="D90" s="777"/>
      <c r="E90" s="777"/>
      <c r="F90" s="777"/>
      <c r="G90" s="777"/>
      <c r="H90" s="777"/>
      <c r="I90" s="777"/>
      <c r="J90" s="777"/>
      <c r="K90" s="777"/>
      <c r="L90" s="777"/>
      <c r="M90" s="777"/>
      <c r="N90" s="769">
        <f>_xlfn.QUARTILE.INC(N40:N83,1)</f>
        <v>148697.46549999999</v>
      </c>
      <c r="O90" s="769"/>
      <c r="P90" s="778">
        <f>_xlfn.QUARTILE.INC(P40:P83,1)</f>
        <v>207547.46549999999</v>
      </c>
      <c r="Q90" s="1799"/>
      <c r="R90" s="1799"/>
      <c r="S90" s="920">
        <f>_xlfn.QUARTILE.INC(S54:S83,1)</f>
        <v>12.205</v>
      </c>
      <c r="T90" s="1801">
        <v>1000</v>
      </c>
      <c r="U90" s="1802"/>
      <c r="V90" s="1814"/>
      <c r="W90" s="1804"/>
      <c r="X90" s="1805"/>
      <c r="Y90" s="1805"/>
      <c r="Z90" s="1805"/>
      <c r="AA90" s="976"/>
      <c r="AB90" s="977"/>
      <c r="AC90" s="970"/>
      <c r="AD90" s="1807"/>
      <c r="AE90" s="1807"/>
      <c r="AF90" s="1808"/>
      <c r="AK90" s="1816"/>
      <c r="AL90" s="1813"/>
      <c r="AM90" s="1812"/>
    </row>
    <row r="91" spans="1:42" s="1815" customFormat="1" ht="13.5" customHeight="1">
      <c r="A91" s="1809"/>
      <c r="B91" s="921" t="s">
        <v>112</v>
      </c>
      <c r="C91" s="779"/>
      <c r="D91" s="779"/>
      <c r="E91" s="779"/>
      <c r="F91" s="779"/>
      <c r="G91" s="779"/>
      <c r="H91" s="779"/>
      <c r="I91" s="779"/>
      <c r="J91" s="779"/>
      <c r="K91" s="779"/>
      <c r="L91" s="779"/>
      <c r="M91" s="779"/>
      <c r="N91" s="770">
        <f>MIN(N40:N83)</f>
        <v>40848.839999999997</v>
      </c>
      <c r="O91" s="770"/>
      <c r="P91" s="780">
        <f>MIN(P40:P83)</f>
        <v>52970.983999999997</v>
      </c>
      <c r="Q91" s="1799"/>
      <c r="R91" s="1799"/>
      <c r="S91" s="922">
        <f>MIN(S54:S83)</f>
        <v>3.35</v>
      </c>
      <c r="T91" s="1801"/>
      <c r="U91" s="1802"/>
      <c r="V91" s="1814"/>
      <c r="W91" s="1804"/>
      <c r="X91" s="1805"/>
      <c r="Y91" s="1805"/>
      <c r="Z91" s="1805"/>
      <c r="AA91" s="976"/>
      <c r="AB91" s="977"/>
      <c r="AC91" s="970"/>
      <c r="AD91" s="1807"/>
      <c r="AE91" s="1807"/>
      <c r="AF91" s="1808"/>
      <c r="AK91" s="1816"/>
      <c r="AL91" s="1813"/>
      <c r="AM91" s="1812"/>
    </row>
    <row r="92" spans="1:42" s="1815" customFormat="1" ht="13.5" customHeight="1">
      <c r="A92" s="1809"/>
      <c r="B92" s="1794"/>
      <c r="C92" s="1797"/>
      <c r="D92" s="1796"/>
      <c r="E92" s="1797"/>
      <c r="F92" s="1798"/>
      <c r="G92" s="1820"/>
      <c r="H92" s="1810"/>
      <c r="I92" s="1810"/>
      <c r="J92" s="1820"/>
      <c r="K92" s="1821"/>
      <c r="L92" s="1800"/>
      <c r="M92" s="1800"/>
      <c r="N92" s="1799"/>
      <c r="O92" s="1800"/>
      <c r="P92" s="1799"/>
      <c r="Q92" s="1799"/>
      <c r="R92" s="1799"/>
      <c r="S92" s="775"/>
      <c r="T92" s="1801"/>
      <c r="U92" s="1802"/>
      <c r="V92" s="1814"/>
      <c r="W92" s="1804"/>
      <c r="X92" s="1805"/>
      <c r="Y92" s="1805"/>
      <c r="Z92" s="1805"/>
      <c r="AA92" s="976"/>
      <c r="AB92" s="977"/>
      <c r="AC92" s="970"/>
      <c r="AD92" s="1807"/>
      <c r="AE92" s="1807"/>
      <c r="AF92" s="1808"/>
      <c r="AK92" s="1816"/>
      <c r="AL92" s="1813"/>
      <c r="AM92" s="1812"/>
    </row>
    <row r="93" spans="1:42" s="1815" customFormat="1" ht="13.5" customHeight="1">
      <c r="A93" s="1809"/>
      <c r="B93" s="1827" t="s">
        <v>1305</v>
      </c>
      <c r="C93" s="1797"/>
      <c r="D93" s="1796"/>
      <c r="E93" s="1797"/>
      <c r="F93" s="1798"/>
      <c r="G93" s="1820"/>
      <c r="H93" s="1810"/>
      <c r="I93" s="1810"/>
      <c r="J93" s="1820"/>
      <c r="K93" s="1821"/>
      <c r="L93" s="1800"/>
      <c r="M93" s="1800"/>
      <c r="N93" s="1799"/>
      <c r="O93" s="1800"/>
      <c r="P93" s="1799"/>
      <c r="Q93" s="1799"/>
      <c r="R93" s="1799"/>
      <c r="S93" s="775"/>
      <c r="T93" s="1801"/>
      <c r="U93" s="1802"/>
      <c r="V93" s="1814"/>
      <c r="W93" s="1804"/>
      <c r="X93" s="1805"/>
      <c r="Y93" s="1805"/>
      <c r="Z93" s="1805"/>
      <c r="AA93" s="976"/>
      <c r="AB93" s="977"/>
      <c r="AC93" s="970"/>
      <c r="AD93" s="1807"/>
      <c r="AE93" s="1807"/>
      <c r="AF93" s="1808"/>
      <c r="AK93" s="1816"/>
      <c r="AL93" s="1813"/>
      <c r="AM93" s="1812"/>
    </row>
    <row r="94" spans="1:42" s="1815" customFormat="1" ht="13.5" customHeight="1">
      <c r="A94" s="1809"/>
      <c r="B94" s="1794" t="s">
        <v>2776</v>
      </c>
      <c r="C94" s="2113" t="s">
        <v>2777</v>
      </c>
      <c r="D94" s="1796" t="s">
        <v>1144</v>
      </c>
      <c r="E94" s="2114" t="s">
        <v>2778</v>
      </c>
      <c r="F94" s="1798">
        <v>43278</v>
      </c>
      <c r="G94" s="1820">
        <v>8</v>
      </c>
      <c r="H94" s="1810">
        <v>10</v>
      </c>
      <c r="I94" s="1810">
        <v>12</v>
      </c>
      <c r="J94" s="1820">
        <v>6.6501000000000001</v>
      </c>
      <c r="K94" s="1799">
        <f t="shared" ref="K94:K104" si="34">+M94-L94</f>
        <v>10028.32</v>
      </c>
      <c r="L94" s="1800">
        <v>1333.3340000000001</v>
      </c>
      <c r="M94" s="1800">
        <v>11361.654</v>
      </c>
      <c r="N94" s="1799">
        <f t="shared" ref="N94:N104" si="35">+G94*K94</f>
        <v>80226.559999999998</v>
      </c>
      <c r="O94" s="1800">
        <f t="shared" ref="O94:O104" si="36">+G94*L94</f>
        <v>10666.672</v>
      </c>
      <c r="P94" s="1799">
        <f t="shared" ref="P94:P104" si="37">+N94+O94</f>
        <v>90893.232000000004</v>
      </c>
      <c r="Q94" s="1799"/>
      <c r="R94" s="1777">
        <v>1</v>
      </c>
      <c r="S94" s="775">
        <f t="shared" ref="S94:S104" si="38">J94</f>
        <v>6.6501000000000001</v>
      </c>
      <c r="T94" s="1801">
        <f t="shared" ref="T94:T104" si="39">S94*M94</f>
        <v>75556.135265400007</v>
      </c>
      <c r="U94" s="1802">
        <f t="shared" ref="U94:U104" si="40">T94/P94-1</f>
        <v>-0.16873749999999998</v>
      </c>
      <c r="V94" s="2106" t="s">
        <v>2779</v>
      </c>
      <c r="W94" s="2107" t="s">
        <v>2780</v>
      </c>
      <c r="X94" s="1805">
        <f t="shared" ref="X94:X99" si="41">+N94+O94</f>
        <v>90893.232000000004</v>
      </c>
      <c r="Y94" s="1805"/>
      <c r="Z94" s="1805"/>
      <c r="AA94" s="976"/>
      <c r="AB94" s="977"/>
      <c r="AC94" s="970"/>
      <c r="AD94" s="1807"/>
      <c r="AE94" s="1807"/>
      <c r="AF94" s="1808"/>
      <c r="AK94" s="1816"/>
      <c r="AL94" s="1813"/>
      <c r="AM94" s="1812"/>
    </row>
    <row r="95" spans="1:42" s="1815" customFormat="1" ht="13.5" customHeight="1">
      <c r="A95" s="1809"/>
      <c r="B95" s="1794" t="s">
        <v>2684</v>
      </c>
      <c r="C95" s="2113" t="s">
        <v>2685</v>
      </c>
      <c r="D95" s="1796" t="s">
        <v>510</v>
      </c>
      <c r="E95" s="2114" t="s">
        <v>2686</v>
      </c>
      <c r="F95" s="1798">
        <v>43271</v>
      </c>
      <c r="G95" s="1820">
        <v>19</v>
      </c>
      <c r="H95" s="1810">
        <v>16</v>
      </c>
      <c r="I95" s="1810">
        <v>18</v>
      </c>
      <c r="J95" s="1820">
        <v>28.56</v>
      </c>
      <c r="K95" s="1799">
        <f t="shared" si="34"/>
        <v>17901.687000000002</v>
      </c>
      <c r="L95" s="1800">
        <f>5247958/1000</f>
        <v>5247.9579999999996</v>
      </c>
      <c r="M95" s="1800">
        <f>23149645/1000</f>
        <v>23149.645</v>
      </c>
      <c r="N95" s="1799">
        <f t="shared" si="35"/>
        <v>340132.05300000001</v>
      </c>
      <c r="O95" s="1800">
        <f t="shared" si="36"/>
        <v>99711.20199999999</v>
      </c>
      <c r="P95" s="1799">
        <f t="shared" si="37"/>
        <v>439843.255</v>
      </c>
      <c r="Q95" s="1799"/>
      <c r="R95" s="1777">
        <v>1</v>
      </c>
      <c r="S95" s="775">
        <f t="shared" si="38"/>
        <v>28.56</v>
      </c>
      <c r="T95" s="1801">
        <f t="shared" si="39"/>
        <v>661153.86119999993</v>
      </c>
      <c r="U95" s="1802">
        <f t="shared" si="40"/>
        <v>0.50315789473684203</v>
      </c>
      <c r="V95" s="2106" t="s">
        <v>2687</v>
      </c>
      <c r="W95" s="2107" t="s">
        <v>2688</v>
      </c>
      <c r="X95" s="1805">
        <f t="shared" si="41"/>
        <v>439843.255</v>
      </c>
      <c r="Y95" s="1805"/>
      <c r="Z95" s="1805"/>
      <c r="AA95" s="976"/>
      <c r="AB95" s="977"/>
      <c r="AC95" s="970"/>
      <c r="AD95" s="1807"/>
      <c r="AE95" s="1807"/>
      <c r="AF95" s="1808"/>
      <c r="AK95" s="1816"/>
      <c r="AL95" s="1813"/>
      <c r="AM95" s="1812"/>
    </row>
    <row r="96" spans="1:42" s="1815" customFormat="1" ht="13.5" customHeight="1">
      <c r="A96" s="1809"/>
      <c r="B96" s="1794" t="s">
        <v>2689</v>
      </c>
      <c r="C96" s="2113" t="s">
        <v>2690</v>
      </c>
      <c r="D96" s="1796" t="s">
        <v>510</v>
      </c>
      <c r="E96" s="2114" t="s">
        <v>2691</v>
      </c>
      <c r="F96" s="1798">
        <v>43271</v>
      </c>
      <c r="G96" s="1820">
        <v>15</v>
      </c>
      <c r="H96" s="1810">
        <v>14</v>
      </c>
      <c r="I96" s="1810">
        <v>16</v>
      </c>
      <c r="J96" s="1820">
        <v>13.5</v>
      </c>
      <c r="K96" s="1799">
        <f t="shared" si="34"/>
        <v>27703.599999999999</v>
      </c>
      <c r="L96" s="1800">
        <f>6666667/1000</f>
        <v>6666.6670000000004</v>
      </c>
      <c r="M96" s="1800">
        <f>34370267/1000</f>
        <v>34370.267</v>
      </c>
      <c r="N96" s="1799">
        <f t="shared" si="35"/>
        <v>415554</v>
      </c>
      <c r="O96" s="1800">
        <f t="shared" si="36"/>
        <v>100000.005</v>
      </c>
      <c r="P96" s="1799">
        <f t="shared" si="37"/>
        <v>515554.005</v>
      </c>
      <c r="Q96" s="1799"/>
      <c r="R96" s="1777">
        <v>1</v>
      </c>
      <c r="S96" s="775">
        <f t="shared" si="38"/>
        <v>13.5</v>
      </c>
      <c r="T96" s="1801">
        <f t="shared" si="39"/>
        <v>463998.60450000002</v>
      </c>
      <c r="U96" s="1802">
        <f t="shared" si="40"/>
        <v>-9.9999999999999978E-2</v>
      </c>
      <c r="V96" s="2106" t="s">
        <v>2692</v>
      </c>
      <c r="W96" s="2107" t="s">
        <v>2693</v>
      </c>
      <c r="X96" s="1805">
        <f t="shared" si="41"/>
        <v>515554.005</v>
      </c>
      <c r="Y96" s="1805"/>
      <c r="Z96" s="1805"/>
      <c r="AA96" s="976"/>
      <c r="AB96" s="977"/>
      <c r="AC96" s="970"/>
      <c r="AD96" s="1807"/>
      <c r="AE96" s="1807"/>
      <c r="AF96" s="1808"/>
      <c r="AK96" s="1816"/>
      <c r="AL96" s="1813"/>
      <c r="AM96" s="1812"/>
    </row>
    <row r="97" spans="1:42" s="1815" customFormat="1" ht="13.5" customHeight="1">
      <c r="A97" s="1809"/>
      <c r="B97" s="1794" t="s">
        <v>2694</v>
      </c>
      <c r="C97" s="2113" t="s">
        <v>2695</v>
      </c>
      <c r="D97" s="1796" t="s">
        <v>510</v>
      </c>
      <c r="E97" s="2114" t="s">
        <v>2696</v>
      </c>
      <c r="F97" s="1798">
        <v>43271</v>
      </c>
      <c r="G97" s="1820">
        <v>16</v>
      </c>
      <c r="H97" s="1810">
        <v>14</v>
      </c>
      <c r="I97" s="1810">
        <v>16</v>
      </c>
      <c r="J97" s="1820">
        <v>24.17</v>
      </c>
      <c r="K97" s="1799">
        <f t="shared" si="34"/>
        <v>26136.225999999999</v>
      </c>
      <c r="L97" s="1800">
        <f>6399999/1000</f>
        <v>6399.9989999999998</v>
      </c>
      <c r="M97" s="1800">
        <f>32536225/1000</f>
        <v>32536.224999999999</v>
      </c>
      <c r="N97" s="1799">
        <f t="shared" si="35"/>
        <v>418179.61599999998</v>
      </c>
      <c r="O97" s="1800">
        <f t="shared" si="36"/>
        <v>102399.984</v>
      </c>
      <c r="P97" s="1799">
        <f t="shared" si="37"/>
        <v>520579.6</v>
      </c>
      <c r="Q97" s="1799"/>
      <c r="R97" s="1777">
        <v>1</v>
      </c>
      <c r="S97" s="775">
        <f t="shared" si="38"/>
        <v>24.17</v>
      </c>
      <c r="T97" s="1801">
        <f t="shared" si="39"/>
        <v>786400.55825</v>
      </c>
      <c r="U97" s="1802">
        <f t="shared" si="40"/>
        <v>0.51062500000000011</v>
      </c>
      <c r="V97" s="2106" t="s">
        <v>2697</v>
      </c>
      <c r="W97" s="2107" t="s">
        <v>2698</v>
      </c>
      <c r="X97" s="1805">
        <f t="shared" si="41"/>
        <v>520579.6</v>
      </c>
      <c r="Y97" s="1805"/>
      <c r="Z97" s="1805"/>
      <c r="AA97" s="976"/>
      <c r="AB97" s="977"/>
      <c r="AC97" s="970"/>
      <c r="AD97" s="1807"/>
      <c r="AE97" s="1807"/>
      <c r="AF97" s="1808"/>
      <c r="AK97" s="1816"/>
      <c r="AL97" s="1813"/>
      <c r="AM97" s="1812"/>
    </row>
    <row r="98" spans="1:42" s="1815" customFormat="1" ht="13.5" customHeight="1">
      <c r="A98" s="1809"/>
      <c r="B98" s="1794" t="s">
        <v>2699</v>
      </c>
      <c r="C98" s="2113" t="s">
        <v>2700</v>
      </c>
      <c r="D98" s="1796" t="s">
        <v>510</v>
      </c>
      <c r="E98" s="2114" t="s">
        <v>2701</v>
      </c>
      <c r="F98" s="1798">
        <v>43270</v>
      </c>
      <c r="G98" s="1820">
        <v>17</v>
      </c>
      <c r="H98" s="1810">
        <v>15</v>
      </c>
      <c r="I98" s="1810">
        <v>17</v>
      </c>
      <c r="J98" s="1820">
        <v>20.3</v>
      </c>
      <c r="K98" s="1799">
        <f t="shared" si="34"/>
        <v>29564.527000000002</v>
      </c>
      <c r="L98" s="1800">
        <f>6250000/1000</f>
        <v>6250</v>
      </c>
      <c r="M98" s="1800">
        <f>35814527/1000</f>
        <v>35814.527000000002</v>
      </c>
      <c r="N98" s="1799">
        <f t="shared" si="35"/>
        <v>502596.95900000003</v>
      </c>
      <c r="O98" s="1800">
        <f t="shared" si="36"/>
        <v>106250</v>
      </c>
      <c r="P98" s="1799">
        <f t="shared" si="37"/>
        <v>608846.95900000003</v>
      </c>
      <c r="Q98" s="1799"/>
      <c r="R98" s="1777">
        <v>1</v>
      </c>
      <c r="S98" s="775">
        <f t="shared" si="38"/>
        <v>20.3</v>
      </c>
      <c r="T98" s="1801">
        <f t="shared" si="39"/>
        <v>727034.89810000011</v>
      </c>
      <c r="U98" s="1802">
        <f t="shared" si="40"/>
        <v>0.19411764705882373</v>
      </c>
      <c r="V98" s="2106" t="s">
        <v>2702</v>
      </c>
      <c r="W98" s="2107" t="s">
        <v>2703</v>
      </c>
      <c r="X98" s="1805">
        <f t="shared" si="41"/>
        <v>608846.95900000003</v>
      </c>
      <c r="Y98" s="1805"/>
      <c r="Z98" s="1805"/>
      <c r="AA98" s="976"/>
      <c r="AB98" s="977"/>
      <c r="AC98" s="970"/>
      <c r="AD98" s="1807"/>
      <c r="AE98" s="1807"/>
      <c r="AF98" s="1808"/>
      <c r="AK98" s="1816"/>
      <c r="AL98" s="1813"/>
      <c r="AM98" s="1812"/>
    </row>
    <row r="99" spans="1:42" s="1815" customFormat="1" ht="13.5" customHeight="1">
      <c r="A99" s="1809"/>
      <c r="B99" s="1794" t="s">
        <v>2704</v>
      </c>
      <c r="C99" s="2115" t="s">
        <v>2705</v>
      </c>
      <c r="D99" s="1796" t="s">
        <v>510</v>
      </c>
      <c r="E99" s="2115" t="s">
        <v>2706</v>
      </c>
      <c r="F99" s="1798">
        <v>43243</v>
      </c>
      <c r="G99" s="1820">
        <v>18</v>
      </c>
      <c r="H99" s="2116">
        <v>17</v>
      </c>
      <c r="I99" s="2117">
        <v>19</v>
      </c>
      <c r="J99" s="1820">
        <v>19.22</v>
      </c>
      <c r="K99" s="1799">
        <f t="shared" si="34"/>
        <v>6270.5689999999995</v>
      </c>
      <c r="L99" s="1800">
        <f>8477777/1000</f>
        <v>8477.777</v>
      </c>
      <c r="M99" s="1800">
        <f>14748346/1000</f>
        <v>14748.346</v>
      </c>
      <c r="N99" s="1799">
        <f t="shared" si="35"/>
        <v>112870.242</v>
      </c>
      <c r="O99" s="1800">
        <f t="shared" si="36"/>
        <v>152599.986</v>
      </c>
      <c r="P99" s="1799">
        <f t="shared" si="37"/>
        <v>265470.228</v>
      </c>
      <c r="Q99" s="1799"/>
      <c r="R99" s="1777">
        <v>1</v>
      </c>
      <c r="S99" s="775">
        <f t="shared" si="38"/>
        <v>19.22</v>
      </c>
      <c r="T99" s="1801">
        <f t="shared" si="39"/>
        <v>283463.21012</v>
      </c>
      <c r="U99" s="1802">
        <f t="shared" si="40"/>
        <v>6.7777777777777715E-2</v>
      </c>
      <c r="V99" s="2106" t="s">
        <v>2707</v>
      </c>
      <c r="W99" s="2107" t="s">
        <v>2708</v>
      </c>
      <c r="X99" s="1805">
        <f t="shared" si="41"/>
        <v>265470.228</v>
      </c>
      <c r="Y99" s="1805"/>
      <c r="Z99" s="1805"/>
      <c r="AA99" s="976"/>
      <c r="AB99" s="977"/>
      <c r="AC99" s="970"/>
      <c r="AD99" s="1807"/>
      <c r="AE99" s="1807"/>
      <c r="AF99" s="1808"/>
      <c r="AK99" s="1816"/>
      <c r="AL99" s="1813"/>
      <c r="AM99" s="1812"/>
    </row>
    <row r="100" spans="1:42" s="1815" customFormat="1" ht="13.5" customHeight="1">
      <c r="A100" s="1809"/>
      <c r="B100" s="1794" t="s">
        <v>2709</v>
      </c>
      <c r="C100" s="1797" t="s">
        <v>2710</v>
      </c>
      <c r="D100" s="1796" t="s">
        <v>510</v>
      </c>
      <c r="E100" s="1797" t="s">
        <v>2711</v>
      </c>
      <c r="F100" s="1798">
        <v>43187</v>
      </c>
      <c r="G100" s="1810">
        <v>5</v>
      </c>
      <c r="H100" s="1810">
        <v>4</v>
      </c>
      <c r="I100" s="1810">
        <v>6</v>
      </c>
      <c r="J100" s="1810">
        <v>15.21</v>
      </c>
      <c r="K100" s="1799">
        <f t="shared" si="34"/>
        <v>11755.004000000001</v>
      </c>
      <c r="L100" s="975">
        <v>1280</v>
      </c>
      <c r="M100" s="975">
        <v>13035.004000000001</v>
      </c>
      <c r="N100" s="1799">
        <f t="shared" si="35"/>
        <v>58775.020000000004</v>
      </c>
      <c r="O100" s="1800">
        <f t="shared" si="36"/>
        <v>6400</v>
      </c>
      <c r="P100" s="1799">
        <f t="shared" si="37"/>
        <v>65175.020000000004</v>
      </c>
      <c r="Q100" s="1799"/>
      <c r="R100" s="1777">
        <v>1</v>
      </c>
      <c r="S100" s="775">
        <f t="shared" si="38"/>
        <v>15.21</v>
      </c>
      <c r="T100" s="1801">
        <f t="shared" si="39"/>
        <v>198262.41084000003</v>
      </c>
      <c r="U100" s="1802">
        <f t="shared" si="40"/>
        <v>2.0420000000000003</v>
      </c>
      <c r="V100" s="1803" t="s">
        <v>2712</v>
      </c>
      <c r="W100" s="2105" t="s">
        <v>2713</v>
      </c>
      <c r="X100" s="1805">
        <f>+N100+O100</f>
        <v>65175.020000000004</v>
      </c>
      <c r="Y100" s="1805"/>
      <c r="Z100" s="1805"/>
      <c r="AA100" s="976"/>
      <c r="AB100" s="977"/>
      <c r="AC100" s="970"/>
      <c r="AD100" s="1807"/>
      <c r="AE100" s="1807"/>
      <c r="AF100" s="1788"/>
      <c r="AG100" s="1773"/>
      <c r="AH100" s="1773"/>
      <c r="AI100" s="1773"/>
      <c r="AJ100" s="1800"/>
      <c r="AK100" s="1813"/>
      <c r="AL100" s="1812"/>
      <c r="AM100" s="1773"/>
      <c r="AN100" s="1773"/>
      <c r="AO100" s="1773"/>
    </row>
    <row r="101" spans="1:42" s="1815" customFormat="1" ht="13.5" customHeight="1">
      <c r="A101" s="1809"/>
      <c r="B101" s="1794" t="s">
        <v>2714</v>
      </c>
      <c r="C101" s="1797" t="s">
        <v>2715</v>
      </c>
      <c r="D101" s="1796" t="s">
        <v>510</v>
      </c>
      <c r="E101" s="1797" t="s">
        <v>2716</v>
      </c>
      <c r="F101" s="1798">
        <v>43131</v>
      </c>
      <c r="G101" s="1810">
        <v>12</v>
      </c>
      <c r="H101" s="1810">
        <v>11</v>
      </c>
      <c r="I101" s="1810">
        <v>13</v>
      </c>
      <c r="J101" s="1810">
        <v>10.96</v>
      </c>
      <c r="K101" s="1799">
        <f t="shared" si="34"/>
        <v>11735.069</v>
      </c>
      <c r="L101" s="975">
        <v>6250</v>
      </c>
      <c r="M101" s="975">
        <v>17985.069</v>
      </c>
      <c r="N101" s="1799">
        <f t="shared" si="35"/>
        <v>140820.82799999998</v>
      </c>
      <c r="O101" s="1800">
        <f t="shared" si="36"/>
        <v>75000</v>
      </c>
      <c r="P101" s="1799">
        <f t="shared" si="37"/>
        <v>215820.82799999998</v>
      </c>
      <c r="Q101" s="1799"/>
      <c r="R101" s="1777">
        <v>1</v>
      </c>
      <c r="S101" s="775">
        <f t="shared" si="38"/>
        <v>10.96</v>
      </c>
      <c r="T101" s="1801">
        <f t="shared" si="39"/>
        <v>197116.35624000002</v>
      </c>
      <c r="U101" s="1802">
        <f t="shared" si="40"/>
        <v>-8.6666666666666448E-2</v>
      </c>
      <c r="V101" s="1803" t="s">
        <v>2717</v>
      </c>
      <c r="W101" s="2105" t="s">
        <v>2718</v>
      </c>
      <c r="X101" s="1805">
        <f>+N101+O101</f>
        <v>215820.82799999998</v>
      </c>
      <c r="Y101" s="1805"/>
      <c r="Z101" s="1805"/>
      <c r="AA101" s="976"/>
      <c r="AB101" s="977"/>
      <c r="AC101" s="970"/>
      <c r="AD101" s="1807"/>
      <c r="AE101" s="1807"/>
      <c r="AF101" s="1788"/>
      <c r="AG101" s="1773"/>
      <c r="AH101" s="1773"/>
      <c r="AI101" s="1773"/>
      <c r="AJ101" s="1800"/>
      <c r="AK101" s="1813"/>
      <c r="AL101" s="1812"/>
      <c r="AM101" s="1773"/>
      <c r="AN101" s="1773"/>
      <c r="AO101" s="1773"/>
    </row>
    <row r="102" spans="1:42" s="1815" customFormat="1" ht="13.5" customHeight="1">
      <c r="A102" s="1809"/>
      <c r="B102" s="1794" t="s">
        <v>2719</v>
      </c>
      <c r="C102" s="1797" t="s">
        <v>2720</v>
      </c>
      <c r="D102" s="1796" t="s">
        <v>1049</v>
      </c>
      <c r="E102" s="1797" t="s">
        <v>2721</v>
      </c>
      <c r="F102" s="1798">
        <v>43125</v>
      </c>
      <c r="G102" s="1810">
        <v>15</v>
      </c>
      <c r="H102" s="1810">
        <v>14</v>
      </c>
      <c r="I102" s="1810">
        <v>16</v>
      </c>
      <c r="J102" s="1810">
        <v>20.85</v>
      </c>
      <c r="K102" s="1799">
        <f t="shared" si="34"/>
        <v>21529.647999999997</v>
      </c>
      <c r="L102" s="975">
        <v>5666.6670000000004</v>
      </c>
      <c r="M102" s="975">
        <v>27196.314999999999</v>
      </c>
      <c r="N102" s="1799">
        <f t="shared" si="35"/>
        <v>322944.71999999997</v>
      </c>
      <c r="O102" s="1800">
        <f t="shared" si="36"/>
        <v>85000.005000000005</v>
      </c>
      <c r="P102" s="1799">
        <f t="shared" si="37"/>
        <v>407944.72499999998</v>
      </c>
      <c r="Q102" s="1799"/>
      <c r="R102" s="1777">
        <v>1</v>
      </c>
      <c r="S102" s="775">
        <f t="shared" si="38"/>
        <v>20.85</v>
      </c>
      <c r="T102" s="1801">
        <f t="shared" si="39"/>
        <v>567043.16775000002</v>
      </c>
      <c r="U102" s="1802">
        <f t="shared" si="40"/>
        <v>0.39000000000000012</v>
      </c>
      <c r="V102" s="1803" t="s">
        <v>2722</v>
      </c>
      <c r="W102" s="2105" t="s">
        <v>2723</v>
      </c>
      <c r="X102" s="1805">
        <f>+N102+O102</f>
        <v>407944.72499999998</v>
      </c>
      <c r="Y102" s="1805"/>
      <c r="Z102" s="1805"/>
      <c r="AA102" s="976"/>
      <c r="AB102" s="977"/>
      <c r="AC102" s="970"/>
      <c r="AD102" s="1807"/>
      <c r="AE102" s="1807"/>
      <c r="AF102" s="1788"/>
      <c r="AG102" s="1773"/>
      <c r="AH102" s="1773"/>
      <c r="AI102" s="1773"/>
      <c r="AJ102" s="1800"/>
      <c r="AK102" s="1813"/>
      <c r="AL102" s="1812"/>
      <c r="AM102" s="1773"/>
      <c r="AN102" s="1773"/>
      <c r="AO102" s="1773"/>
    </row>
    <row r="103" spans="1:42" s="1815" customFormat="1" ht="13.5" customHeight="1">
      <c r="A103" s="1809"/>
      <c r="B103" s="1794" t="s">
        <v>2724</v>
      </c>
      <c r="C103" s="1797" t="s">
        <v>2725</v>
      </c>
      <c r="D103" s="1796" t="s">
        <v>510</v>
      </c>
      <c r="E103" s="1797" t="s">
        <v>2726</v>
      </c>
      <c r="F103" s="1798">
        <v>43124</v>
      </c>
      <c r="G103" s="1810">
        <v>17</v>
      </c>
      <c r="H103" s="1810">
        <v>14</v>
      </c>
      <c r="I103" s="1810">
        <v>16</v>
      </c>
      <c r="J103" s="1810">
        <v>34.729999999999997</v>
      </c>
      <c r="K103" s="1799">
        <f t="shared" si="34"/>
        <v>14927.998</v>
      </c>
      <c r="L103" s="975">
        <v>7000</v>
      </c>
      <c r="M103" s="975">
        <v>21927.998</v>
      </c>
      <c r="N103" s="1799">
        <f t="shared" si="35"/>
        <v>253775.96599999999</v>
      </c>
      <c r="O103" s="1800">
        <f t="shared" si="36"/>
        <v>119000</v>
      </c>
      <c r="P103" s="1799">
        <f t="shared" si="37"/>
        <v>372775.96600000001</v>
      </c>
      <c r="Q103" s="1799"/>
      <c r="R103" s="1777">
        <v>1</v>
      </c>
      <c r="S103" s="775">
        <f t="shared" si="38"/>
        <v>34.729999999999997</v>
      </c>
      <c r="T103" s="1801">
        <f t="shared" si="39"/>
        <v>761559.37053999992</v>
      </c>
      <c r="U103" s="1802">
        <f t="shared" si="40"/>
        <v>1.0429411764705878</v>
      </c>
      <c r="V103" s="1803" t="s">
        <v>2727</v>
      </c>
      <c r="W103" s="2105" t="s">
        <v>2728</v>
      </c>
      <c r="X103" s="1805">
        <f>+N103+O103</f>
        <v>372775.96600000001</v>
      </c>
      <c r="Y103" s="1805"/>
      <c r="Z103" s="1805"/>
      <c r="AA103" s="976"/>
      <c r="AB103" s="977"/>
      <c r="AC103" s="970"/>
      <c r="AD103" s="1807"/>
      <c r="AE103" s="1807"/>
      <c r="AF103" s="1788"/>
      <c r="AG103" s="1773"/>
      <c r="AH103" s="1773"/>
      <c r="AI103" s="1773"/>
      <c r="AJ103" s="1800"/>
      <c r="AK103" s="1813"/>
      <c r="AL103" s="1812"/>
      <c r="AM103" s="1773"/>
      <c r="AN103" s="1773"/>
      <c r="AO103" s="1773"/>
    </row>
    <row r="104" spans="1:42" s="1815" customFormat="1" ht="13.5" customHeight="1">
      <c r="A104" s="1809"/>
      <c r="B104" s="1794" t="s">
        <v>2729</v>
      </c>
      <c r="C104" s="1797" t="s">
        <v>2730</v>
      </c>
      <c r="D104" s="1796" t="s">
        <v>510</v>
      </c>
      <c r="E104" s="1797" t="s">
        <v>2731</v>
      </c>
      <c r="F104" s="1798">
        <v>43124</v>
      </c>
      <c r="G104" s="1810">
        <v>10</v>
      </c>
      <c r="H104" s="1810">
        <v>10</v>
      </c>
      <c r="I104" s="1810">
        <v>12</v>
      </c>
      <c r="J104" s="1810">
        <v>9.5500000000000007</v>
      </c>
      <c r="K104" s="1799">
        <f t="shared" si="34"/>
        <v>7206.7710000000006</v>
      </c>
      <c r="L104" s="975">
        <v>2730</v>
      </c>
      <c r="M104" s="975">
        <v>9936.7710000000006</v>
      </c>
      <c r="N104" s="1799">
        <f t="shared" si="35"/>
        <v>72067.710000000006</v>
      </c>
      <c r="O104" s="1800">
        <f t="shared" si="36"/>
        <v>27300</v>
      </c>
      <c r="P104" s="1799">
        <f t="shared" si="37"/>
        <v>99367.71</v>
      </c>
      <c r="Q104" s="1799"/>
      <c r="R104" s="1777">
        <v>1</v>
      </c>
      <c r="S104" s="775">
        <f t="shared" si="38"/>
        <v>9.5500000000000007</v>
      </c>
      <c r="T104" s="1801">
        <f t="shared" si="39"/>
        <v>94896.163050000017</v>
      </c>
      <c r="U104" s="1802">
        <f t="shared" si="40"/>
        <v>-4.4999999999999929E-2</v>
      </c>
      <c r="V104" s="1803" t="s">
        <v>2732</v>
      </c>
      <c r="W104" s="2105" t="s">
        <v>2733</v>
      </c>
      <c r="X104" s="1805">
        <f>+N104+O104</f>
        <v>99367.71</v>
      </c>
      <c r="Y104" s="1805"/>
      <c r="Z104" s="1805"/>
      <c r="AA104" s="976"/>
      <c r="AB104" s="977"/>
      <c r="AC104" s="970"/>
      <c r="AD104" s="1807"/>
      <c r="AE104" s="1807"/>
      <c r="AF104" s="1788"/>
      <c r="AG104" s="1773"/>
      <c r="AH104" s="1773"/>
      <c r="AI104" s="1773"/>
      <c r="AJ104" s="1800"/>
      <c r="AK104" s="1813"/>
      <c r="AL104" s="1812"/>
      <c r="AM104" s="1773"/>
      <c r="AN104" s="1773"/>
      <c r="AO104" s="1773"/>
    </row>
    <row r="105" spans="1:42" s="1815" customFormat="1" ht="13.5" customHeight="1">
      <c r="A105" s="1809"/>
      <c r="B105" s="1794" t="s">
        <v>1480</v>
      </c>
      <c r="C105" s="1797" t="s">
        <v>1481</v>
      </c>
      <c r="D105" s="1796" t="s">
        <v>510</v>
      </c>
      <c r="E105" s="1797" t="s">
        <v>1482</v>
      </c>
      <c r="F105" s="1798">
        <v>43075</v>
      </c>
      <c r="G105" s="1810">
        <v>24</v>
      </c>
      <c r="H105" s="1810">
        <v>24</v>
      </c>
      <c r="I105" s="1810">
        <v>27</v>
      </c>
      <c r="J105" s="1810">
        <v>22.72</v>
      </c>
      <c r="K105" s="1799">
        <f t="shared" ref="K105:K140" si="42">+M105-L105</f>
        <v>20640.356</v>
      </c>
      <c r="L105" s="1800">
        <v>6250</v>
      </c>
      <c r="M105" s="1800">
        <v>26890.356</v>
      </c>
      <c r="N105" s="1799">
        <f t="shared" ref="N105:N140" si="43">+G105*K105</f>
        <v>495368.54399999999</v>
      </c>
      <c r="O105" s="1800">
        <f t="shared" ref="O105:O140" si="44">+G105*L105</f>
        <v>150000</v>
      </c>
      <c r="P105" s="1799">
        <f t="shared" ref="P105:P140" si="45">+N105+O105</f>
        <v>645368.54399999999</v>
      </c>
      <c r="Q105" s="1799"/>
      <c r="R105" s="1777">
        <v>1</v>
      </c>
      <c r="S105" s="775">
        <f t="shared" ref="S105:S140" si="46">J105</f>
        <v>22.72</v>
      </c>
      <c r="T105" s="1801">
        <f t="shared" ref="T105:T140" si="47">S105*M105</f>
        <v>610948.88831999991</v>
      </c>
      <c r="U105" s="1802">
        <f t="shared" ref="U105:U140" si="48">T105/P105-1</f>
        <v>-5.3333333333333455E-2</v>
      </c>
      <c r="V105" s="1803" t="s">
        <v>1483</v>
      </c>
      <c r="W105" s="1804" t="s">
        <v>1484</v>
      </c>
      <c r="X105" s="1805">
        <f t="shared" ref="X105:X140" si="49">+N105+O105</f>
        <v>645368.54399999999</v>
      </c>
      <c r="Y105" s="1828"/>
      <c r="Z105" s="1828"/>
      <c r="AA105" s="976"/>
      <c r="AB105" s="977"/>
      <c r="AC105" s="977"/>
      <c r="AD105" s="1830"/>
      <c r="AE105" s="1830"/>
      <c r="AF105" s="1808"/>
      <c r="AG105" s="1788"/>
      <c r="AH105" s="1773"/>
      <c r="AI105" s="1773"/>
      <c r="AJ105" s="1773"/>
      <c r="AK105" s="1800"/>
      <c r="AL105" s="1813"/>
      <c r="AM105" s="1812"/>
      <c r="AN105" s="1773"/>
      <c r="AO105" s="1773"/>
      <c r="AP105" s="1773"/>
    </row>
    <row r="106" spans="1:42" s="1815" customFormat="1" ht="13.5" customHeight="1">
      <c r="A106" s="1809"/>
      <c r="B106" s="1794" t="s">
        <v>1424</v>
      </c>
      <c r="C106" s="1797" t="s">
        <v>1425</v>
      </c>
      <c r="D106" s="1796" t="s">
        <v>510</v>
      </c>
      <c r="E106" s="1797" t="s">
        <v>1426</v>
      </c>
      <c r="F106" s="1798">
        <v>43054</v>
      </c>
      <c r="G106" s="1810">
        <v>10</v>
      </c>
      <c r="H106" s="1810">
        <v>15</v>
      </c>
      <c r="I106" s="1810">
        <v>17</v>
      </c>
      <c r="J106" s="1810">
        <v>11.2</v>
      </c>
      <c r="K106" s="1799">
        <f t="shared" si="42"/>
        <v>9694.3829999999998</v>
      </c>
      <c r="L106" s="1800">
        <v>4000</v>
      </c>
      <c r="M106" s="1800">
        <v>13694.383</v>
      </c>
      <c r="N106" s="1799">
        <f t="shared" si="43"/>
        <v>96943.83</v>
      </c>
      <c r="O106" s="1800">
        <f t="shared" si="44"/>
        <v>40000</v>
      </c>
      <c r="P106" s="1799">
        <f t="shared" si="45"/>
        <v>136943.83000000002</v>
      </c>
      <c r="Q106" s="1799"/>
      <c r="R106" s="1777">
        <v>1</v>
      </c>
      <c r="S106" s="775">
        <f t="shared" si="46"/>
        <v>11.2</v>
      </c>
      <c r="T106" s="1801">
        <f t="shared" si="47"/>
        <v>153377.08959999998</v>
      </c>
      <c r="U106" s="1802">
        <f t="shared" si="48"/>
        <v>0.11999999999999966</v>
      </c>
      <c r="V106" s="1803" t="s">
        <v>1427</v>
      </c>
      <c r="W106" s="1804" t="s">
        <v>1428</v>
      </c>
      <c r="X106" s="1805">
        <f t="shared" si="49"/>
        <v>136943.83000000002</v>
      </c>
      <c r="Y106" s="1828"/>
      <c r="Z106" s="1828"/>
      <c r="AA106" s="976"/>
      <c r="AB106" s="977"/>
      <c r="AC106" s="977"/>
      <c r="AD106" s="1830"/>
      <c r="AE106" s="1830"/>
      <c r="AF106" s="1808"/>
      <c r="AG106" s="1788"/>
      <c r="AH106" s="1773"/>
      <c r="AI106" s="1773"/>
      <c r="AJ106" s="1773"/>
      <c r="AK106" s="1800"/>
      <c r="AL106" s="1813"/>
      <c r="AM106" s="1812"/>
      <c r="AN106" s="1773"/>
      <c r="AO106" s="1773"/>
      <c r="AP106" s="1773"/>
    </row>
    <row r="107" spans="1:42" s="1815" customFormat="1" ht="13.5" customHeight="1">
      <c r="A107" s="1809"/>
      <c r="B107" s="1794" t="s">
        <v>1430</v>
      </c>
      <c r="C107" s="1797" t="s">
        <v>1431</v>
      </c>
      <c r="D107" s="1796" t="s">
        <v>510</v>
      </c>
      <c r="E107" s="1797" t="s">
        <v>1432</v>
      </c>
      <c r="F107" s="1798">
        <v>43047</v>
      </c>
      <c r="G107" s="1810">
        <v>15</v>
      </c>
      <c r="H107" s="1810">
        <v>14</v>
      </c>
      <c r="I107" s="1810">
        <v>16</v>
      </c>
      <c r="J107" s="1810">
        <v>19.190000000000001</v>
      </c>
      <c r="K107" s="1799">
        <f t="shared" si="42"/>
        <v>16743.972000000002</v>
      </c>
      <c r="L107" s="1800">
        <v>6667</v>
      </c>
      <c r="M107" s="1800">
        <v>23410.972000000002</v>
      </c>
      <c r="N107" s="1799">
        <f t="shared" si="43"/>
        <v>251159.58000000002</v>
      </c>
      <c r="O107" s="1800">
        <f t="shared" si="44"/>
        <v>100005</v>
      </c>
      <c r="P107" s="1799">
        <f t="shared" si="45"/>
        <v>351164.58</v>
      </c>
      <c r="Q107" s="1799"/>
      <c r="R107" s="1777">
        <v>1</v>
      </c>
      <c r="S107" s="775">
        <f t="shared" si="46"/>
        <v>19.190000000000001</v>
      </c>
      <c r="T107" s="1801">
        <f t="shared" si="47"/>
        <v>449256.55268000008</v>
      </c>
      <c r="U107" s="1802">
        <f t="shared" si="48"/>
        <v>0.27933333333333343</v>
      </c>
      <c r="V107" s="1803" t="s">
        <v>1433</v>
      </c>
      <c r="W107" s="1804" t="s">
        <v>1434</v>
      </c>
      <c r="X107" s="1805">
        <f t="shared" si="49"/>
        <v>351164.58</v>
      </c>
      <c r="Y107" s="1828"/>
      <c r="Z107" s="1828"/>
      <c r="AA107" s="976"/>
      <c r="AB107" s="977"/>
      <c r="AC107" s="977"/>
      <c r="AD107" s="1830"/>
      <c r="AE107" s="1830"/>
      <c r="AF107" s="1808"/>
      <c r="AG107" s="1788"/>
      <c r="AH107" s="1773"/>
      <c r="AI107" s="1773"/>
      <c r="AJ107" s="1773"/>
      <c r="AK107" s="1800"/>
      <c r="AL107" s="1813"/>
      <c r="AM107" s="1812"/>
      <c r="AN107" s="1773"/>
      <c r="AO107" s="1773"/>
      <c r="AP107" s="1773"/>
    </row>
    <row r="108" spans="1:42" s="1815" customFormat="1" ht="13.5" customHeight="1">
      <c r="A108" s="1809"/>
      <c r="B108" s="1794" t="s">
        <v>1435</v>
      </c>
      <c r="C108" s="1797" t="s">
        <v>1436</v>
      </c>
      <c r="D108" s="1796" t="s">
        <v>510</v>
      </c>
      <c r="E108" s="1797" t="s">
        <v>1437</v>
      </c>
      <c r="F108" s="1798">
        <v>43047</v>
      </c>
      <c r="G108" s="1810">
        <v>14</v>
      </c>
      <c r="H108" s="1810">
        <v>13</v>
      </c>
      <c r="I108" s="1810">
        <v>15</v>
      </c>
      <c r="J108" s="1810">
        <v>14.38</v>
      </c>
      <c r="K108" s="1799">
        <f t="shared" si="42"/>
        <v>38542.936999999998</v>
      </c>
      <c r="L108" s="1800">
        <v>10714</v>
      </c>
      <c r="M108" s="1800">
        <v>49256.936999999998</v>
      </c>
      <c r="N108" s="1799">
        <f t="shared" si="43"/>
        <v>539601.11800000002</v>
      </c>
      <c r="O108" s="1800">
        <f t="shared" si="44"/>
        <v>149996</v>
      </c>
      <c r="P108" s="1799">
        <f t="shared" si="45"/>
        <v>689597.11800000002</v>
      </c>
      <c r="Q108" s="1799"/>
      <c r="R108" s="1777">
        <v>1</v>
      </c>
      <c r="S108" s="775">
        <f t="shared" si="46"/>
        <v>14.38</v>
      </c>
      <c r="T108" s="1801">
        <f t="shared" si="47"/>
        <v>708314.75406000006</v>
      </c>
      <c r="U108" s="1802">
        <f t="shared" si="48"/>
        <v>2.7142857142857135E-2</v>
      </c>
      <c r="V108" s="1803" t="s">
        <v>1438</v>
      </c>
      <c r="W108" s="1804" t="s">
        <v>1439</v>
      </c>
      <c r="X108" s="1805">
        <f t="shared" si="49"/>
        <v>689597.11800000002</v>
      </c>
      <c r="Y108" s="1828"/>
      <c r="Z108" s="1828"/>
      <c r="AA108" s="976"/>
      <c r="AB108" s="977"/>
      <c r="AC108" s="977"/>
      <c r="AD108" s="1830"/>
      <c r="AE108" s="1830"/>
      <c r="AF108" s="1808"/>
      <c r="AG108" s="1788"/>
      <c r="AH108" s="1773"/>
      <c r="AI108" s="1773"/>
      <c r="AJ108" s="1773"/>
      <c r="AK108" s="1800"/>
      <c r="AL108" s="1813"/>
      <c r="AM108" s="1812"/>
      <c r="AN108" s="1773"/>
      <c r="AO108" s="1773"/>
      <c r="AP108" s="1773"/>
    </row>
    <row r="109" spans="1:42" s="1815" customFormat="1" ht="13.5" customHeight="1">
      <c r="A109" s="1809"/>
      <c r="B109" s="1794" t="s">
        <v>1500</v>
      </c>
      <c r="C109" s="1797" t="s">
        <v>1501</v>
      </c>
      <c r="D109" s="1796" t="s">
        <v>510</v>
      </c>
      <c r="E109" s="1797" t="s">
        <v>1502</v>
      </c>
      <c r="F109" s="1798">
        <v>43040</v>
      </c>
      <c r="G109" s="1810">
        <v>14</v>
      </c>
      <c r="H109" s="1810">
        <v>14</v>
      </c>
      <c r="I109" s="1810">
        <v>16</v>
      </c>
      <c r="J109" s="1810">
        <v>14</v>
      </c>
      <c r="K109" s="1799">
        <f t="shared" si="42"/>
        <v>15288.515000000003</v>
      </c>
      <c r="L109" s="1800">
        <v>5333.3329999999996</v>
      </c>
      <c r="M109" s="1800">
        <v>20621.848000000002</v>
      </c>
      <c r="N109" s="1799">
        <f t="shared" si="43"/>
        <v>214039.21000000005</v>
      </c>
      <c r="O109" s="1800">
        <f t="shared" si="44"/>
        <v>74666.661999999997</v>
      </c>
      <c r="P109" s="1799">
        <f t="shared" si="45"/>
        <v>288705.87200000003</v>
      </c>
      <c r="Q109" s="1799"/>
      <c r="R109" s="1777">
        <v>1</v>
      </c>
      <c r="S109" s="775">
        <f t="shared" si="46"/>
        <v>14</v>
      </c>
      <c r="T109" s="1801">
        <f t="shared" si="47"/>
        <v>288705.87200000003</v>
      </c>
      <c r="U109" s="1802">
        <f t="shared" si="48"/>
        <v>0</v>
      </c>
      <c r="V109" s="1803" t="s">
        <v>1503</v>
      </c>
      <c r="W109" s="1804" t="s">
        <v>1504</v>
      </c>
      <c r="X109" s="1805">
        <f t="shared" si="49"/>
        <v>288705.87200000003</v>
      </c>
      <c r="Y109" s="1828"/>
      <c r="Z109" s="1828"/>
      <c r="AA109" s="976"/>
      <c r="AB109" s="977"/>
      <c r="AC109" s="977"/>
      <c r="AD109" s="1830"/>
      <c r="AE109" s="1830"/>
      <c r="AF109" s="1808"/>
      <c r="AG109" s="1788"/>
      <c r="AH109" s="1773"/>
      <c r="AI109" s="1773"/>
      <c r="AJ109" s="1773"/>
      <c r="AK109" s="1800"/>
      <c r="AL109" s="1813"/>
      <c r="AM109" s="1812"/>
      <c r="AN109" s="1773"/>
      <c r="AO109" s="1773"/>
      <c r="AP109" s="1773"/>
    </row>
    <row r="110" spans="1:42" s="1815" customFormat="1" ht="13.5" customHeight="1">
      <c r="A110" s="1809"/>
      <c r="B110" s="1794" t="s">
        <v>1453</v>
      </c>
      <c r="C110" s="1797" t="s">
        <v>1454</v>
      </c>
      <c r="D110" s="1796" t="s">
        <v>510</v>
      </c>
      <c r="E110" s="1797" t="s">
        <v>1455</v>
      </c>
      <c r="F110" s="1798">
        <v>43012</v>
      </c>
      <c r="G110" s="1810">
        <v>17</v>
      </c>
      <c r="H110" s="1810">
        <v>14</v>
      </c>
      <c r="I110" s="1810">
        <v>16</v>
      </c>
      <c r="J110" s="1810">
        <v>25.89</v>
      </c>
      <c r="K110" s="1799">
        <f t="shared" si="42"/>
        <v>20081.484</v>
      </c>
      <c r="L110" s="1800">
        <v>7050</v>
      </c>
      <c r="M110" s="1800">
        <v>27131.484</v>
      </c>
      <c r="N110" s="1799">
        <f t="shared" si="43"/>
        <v>341385.228</v>
      </c>
      <c r="O110" s="1800">
        <f t="shared" si="44"/>
        <v>119850</v>
      </c>
      <c r="P110" s="1799">
        <f t="shared" si="45"/>
        <v>461235.228</v>
      </c>
      <c r="Q110" s="1799"/>
      <c r="R110" s="1777">
        <v>1</v>
      </c>
      <c r="S110" s="775">
        <f t="shared" si="46"/>
        <v>25.89</v>
      </c>
      <c r="T110" s="1801">
        <f t="shared" si="47"/>
        <v>702434.12076000008</v>
      </c>
      <c r="U110" s="1802">
        <f t="shared" si="48"/>
        <v>0.52294117647058846</v>
      </c>
      <c r="V110" s="1803" t="s">
        <v>1456</v>
      </c>
      <c r="W110" s="1804" t="s">
        <v>1457</v>
      </c>
      <c r="X110" s="1805">
        <f t="shared" si="49"/>
        <v>461235.228</v>
      </c>
      <c r="Y110" s="1828"/>
      <c r="Z110" s="1828"/>
      <c r="AA110" s="976"/>
      <c r="AB110" s="977"/>
      <c r="AC110" s="977"/>
      <c r="AD110" s="1830"/>
      <c r="AE110" s="1830"/>
      <c r="AF110" s="1808"/>
      <c r="AG110" s="1788"/>
      <c r="AH110" s="1773"/>
      <c r="AI110" s="1773"/>
      <c r="AJ110" s="1773"/>
      <c r="AK110" s="1800"/>
      <c r="AL110" s="1813"/>
      <c r="AM110" s="1812"/>
      <c r="AN110" s="1773"/>
      <c r="AO110" s="1773"/>
      <c r="AP110" s="1773"/>
    </row>
    <row r="111" spans="1:42" s="1815" customFormat="1" ht="13.5" customHeight="1">
      <c r="A111" s="1809"/>
      <c r="B111" s="1794" t="s">
        <v>1505</v>
      </c>
      <c r="C111" s="1797" t="s">
        <v>1506</v>
      </c>
      <c r="D111" s="1796" t="s">
        <v>510</v>
      </c>
      <c r="E111" s="1797" t="s">
        <v>1507</v>
      </c>
      <c r="F111" s="1798">
        <v>42948</v>
      </c>
      <c r="G111" s="1810">
        <v>15</v>
      </c>
      <c r="H111" s="1810">
        <v>13</v>
      </c>
      <c r="I111" s="1810">
        <v>15</v>
      </c>
      <c r="J111" s="1810">
        <v>17</v>
      </c>
      <c r="K111" s="1799">
        <f t="shared" si="42"/>
        <v>22526.583999999999</v>
      </c>
      <c r="L111" s="1800">
        <v>8000</v>
      </c>
      <c r="M111" s="1800">
        <v>30526.583999999999</v>
      </c>
      <c r="N111" s="1799">
        <f t="shared" si="43"/>
        <v>337898.76</v>
      </c>
      <c r="O111" s="1800">
        <f t="shared" si="44"/>
        <v>120000</v>
      </c>
      <c r="P111" s="1799">
        <f t="shared" si="45"/>
        <v>457898.76</v>
      </c>
      <c r="Q111" s="1799"/>
      <c r="R111" s="1777">
        <v>1</v>
      </c>
      <c r="S111" s="775">
        <f t="shared" si="46"/>
        <v>17</v>
      </c>
      <c r="T111" s="1801">
        <f t="shared" si="47"/>
        <v>518951.92799999996</v>
      </c>
      <c r="U111" s="1802">
        <f t="shared" si="48"/>
        <v>0.1333333333333333</v>
      </c>
      <c r="V111" s="1803" t="s">
        <v>1508</v>
      </c>
      <c r="W111" s="1804" t="s">
        <v>1509</v>
      </c>
      <c r="X111" s="1805">
        <f t="shared" si="49"/>
        <v>457898.76</v>
      </c>
      <c r="Y111" s="1828"/>
      <c r="Z111" s="1828"/>
      <c r="AA111" s="976"/>
      <c r="AB111" s="977"/>
      <c r="AC111" s="977"/>
      <c r="AD111" s="1830"/>
      <c r="AE111" s="1830"/>
      <c r="AF111" s="1808"/>
      <c r="AG111" s="1788"/>
      <c r="AH111" s="1773"/>
      <c r="AI111" s="1773"/>
      <c r="AJ111" s="1773"/>
      <c r="AK111" s="1800"/>
      <c r="AL111" s="1813"/>
      <c r="AM111" s="1812"/>
      <c r="AN111" s="1773"/>
      <c r="AO111" s="1773"/>
      <c r="AP111" s="1773"/>
    </row>
    <row r="112" spans="1:42" s="1815" customFormat="1" ht="13.5" customHeight="1">
      <c r="A112" s="1809"/>
      <c r="B112" s="1794" t="s">
        <v>1440</v>
      </c>
      <c r="C112" s="1797" t="s">
        <v>1441</v>
      </c>
      <c r="D112" s="1796" t="s">
        <v>1049</v>
      </c>
      <c r="E112" s="1797" t="s">
        <v>1442</v>
      </c>
      <c r="F112" s="1798">
        <v>42942</v>
      </c>
      <c r="G112" s="1810">
        <v>15</v>
      </c>
      <c r="H112" s="1810">
        <v>14</v>
      </c>
      <c r="I112" s="1810">
        <v>16</v>
      </c>
      <c r="J112" s="1810">
        <v>24.1</v>
      </c>
      <c r="K112" s="1799">
        <f t="shared" si="42"/>
        <v>15555</v>
      </c>
      <c r="L112" s="1800">
        <v>4333</v>
      </c>
      <c r="M112" s="1800">
        <v>19888</v>
      </c>
      <c r="N112" s="1799">
        <f t="shared" si="43"/>
        <v>233325</v>
      </c>
      <c r="O112" s="1800">
        <f t="shared" si="44"/>
        <v>64995</v>
      </c>
      <c r="P112" s="1799">
        <f t="shared" si="45"/>
        <v>298320</v>
      </c>
      <c r="Q112" s="1799"/>
      <c r="R112" s="1777">
        <v>1</v>
      </c>
      <c r="S112" s="775">
        <f t="shared" si="46"/>
        <v>24.1</v>
      </c>
      <c r="T112" s="1801">
        <f t="shared" si="47"/>
        <v>479300.80000000005</v>
      </c>
      <c r="U112" s="1802">
        <f t="shared" si="48"/>
        <v>0.60666666666666691</v>
      </c>
      <c r="V112" s="1803" t="s">
        <v>1442</v>
      </c>
      <c r="W112" s="1804" t="s">
        <v>1443</v>
      </c>
      <c r="X112" s="1805">
        <f t="shared" si="49"/>
        <v>298320</v>
      </c>
      <c r="Y112" s="1828" t="s">
        <v>1429</v>
      </c>
      <c r="Z112" s="1828">
        <v>31719000</v>
      </c>
      <c r="AA112" s="976">
        <v>-31420676</v>
      </c>
      <c r="AB112" s="977"/>
      <c r="AC112" s="977"/>
      <c r="AD112" s="1830"/>
      <c r="AE112" s="1830"/>
      <c r="AF112" s="1808" t="s">
        <v>1429</v>
      </c>
      <c r="AG112" s="1788"/>
      <c r="AH112" s="1773"/>
      <c r="AI112" s="1773"/>
      <c r="AJ112" s="1773"/>
      <c r="AK112" s="1800"/>
      <c r="AL112" s="1813"/>
      <c r="AM112" s="1812"/>
      <c r="AN112" s="1773"/>
      <c r="AO112" s="1773"/>
      <c r="AP112" s="1773"/>
    </row>
    <row r="113" spans="1:73" s="1815" customFormat="1" ht="13.5" customHeight="1">
      <c r="A113" s="1809"/>
      <c r="B113" s="1794" t="s">
        <v>1444</v>
      </c>
      <c r="C113" s="1797" t="s">
        <v>1445</v>
      </c>
      <c r="D113" s="1796" t="s">
        <v>1144</v>
      </c>
      <c r="E113" s="1797" t="s">
        <v>1446</v>
      </c>
      <c r="F113" s="1798">
        <v>42914</v>
      </c>
      <c r="G113" s="1810">
        <v>15</v>
      </c>
      <c r="H113" s="1810">
        <v>15</v>
      </c>
      <c r="I113" s="1810">
        <v>17</v>
      </c>
      <c r="J113" s="1810">
        <v>13.19</v>
      </c>
      <c r="K113" s="1799">
        <f t="shared" si="42"/>
        <v>10960.208000000001</v>
      </c>
      <c r="L113" s="1800">
        <v>3750</v>
      </c>
      <c r="M113" s="1800">
        <v>14710.208000000001</v>
      </c>
      <c r="N113" s="1799">
        <f t="shared" si="43"/>
        <v>164403.12</v>
      </c>
      <c r="O113" s="1800">
        <f t="shared" si="44"/>
        <v>56250</v>
      </c>
      <c r="P113" s="1799">
        <f t="shared" si="45"/>
        <v>220653.12</v>
      </c>
      <c r="Q113" s="1799"/>
      <c r="R113" s="1777">
        <v>1</v>
      </c>
      <c r="S113" s="775">
        <f t="shared" si="46"/>
        <v>13.19</v>
      </c>
      <c r="T113" s="1801">
        <f t="shared" si="47"/>
        <v>194027.64352000001</v>
      </c>
      <c r="U113" s="1802">
        <f t="shared" si="48"/>
        <v>-0.12066666666666659</v>
      </c>
      <c r="V113" s="1803" t="s">
        <v>1510</v>
      </c>
      <c r="W113" s="1804" t="s">
        <v>1447</v>
      </c>
      <c r="X113" s="1805">
        <f t="shared" si="49"/>
        <v>220653.12</v>
      </c>
      <c r="Y113" s="1828"/>
      <c r="Z113" s="1828"/>
      <c r="AA113" s="976"/>
      <c r="AB113" s="977"/>
      <c r="AC113" s="977"/>
      <c r="AD113" s="1830"/>
      <c r="AE113" s="1830"/>
      <c r="AF113" s="1808"/>
      <c r="AG113" s="1788"/>
      <c r="AH113" s="1773"/>
      <c r="AI113" s="1773"/>
      <c r="AJ113" s="1773"/>
      <c r="AK113" s="1800"/>
      <c r="AL113" s="1813"/>
      <c r="AM113" s="1812"/>
      <c r="AN113" s="1773"/>
      <c r="AO113" s="1773"/>
      <c r="AP113" s="1773"/>
    </row>
    <row r="114" spans="1:73" s="1815" customFormat="1" ht="13.5" customHeight="1">
      <c r="A114" s="1809"/>
      <c r="B114" s="1794" t="s">
        <v>1444</v>
      </c>
      <c r="C114" s="1797" t="s">
        <v>1445</v>
      </c>
      <c r="D114" s="1796" t="s">
        <v>1144</v>
      </c>
      <c r="E114" s="1797" t="s">
        <v>1446</v>
      </c>
      <c r="F114" s="1798">
        <v>42914</v>
      </c>
      <c r="G114" s="1810">
        <v>15</v>
      </c>
      <c r="H114" s="1810">
        <v>15</v>
      </c>
      <c r="I114" s="1810">
        <v>17</v>
      </c>
      <c r="J114" s="1810">
        <v>13.19</v>
      </c>
      <c r="K114" s="1799">
        <f t="shared" si="42"/>
        <v>10960</v>
      </c>
      <c r="L114" s="1800">
        <v>3750</v>
      </c>
      <c r="M114" s="1800">
        <v>14710</v>
      </c>
      <c r="N114" s="1799">
        <f t="shared" si="43"/>
        <v>164400</v>
      </c>
      <c r="O114" s="1800">
        <f t="shared" si="44"/>
        <v>56250</v>
      </c>
      <c r="P114" s="1799">
        <f t="shared" si="45"/>
        <v>220650</v>
      </c>
      <c r="Q114" s="1799"/>
      <c r="R114" s="1777">
        <v>1</v>
      </c>
      <c r="S114" s="775">
        <f t="shared" si="46"/>
        <v>13.19</v>
      </c>
      <c r="T114" s="1801">
        <f t="shared" si="47"/>
        <v>194024.9</v>
      </c>
      <c r="U114" s="1802">
        <f t="shared" si="48"/>
        <v>-0.1206666666666667</v>
      </c>
      <c r="V114" s="1803" t="s">
        <v>1446</v>
      </c>
      <c r="W114" s="1804" t="s">
        <v>1447</v>
      </c>
      <c r="X114" s="1805">
        <f t="shared" si="49"/>
        <v>220650</v>
      </c>
      <c r="Y114" s="1828" t="s">
        <v>1429</v>
      </c>
      <c r="Z114" s="1828">
        <v>8029000</v>
      </c>
      <c r="AA114" s="976">
        <v>-7808347</v>
      </c>
      <c r="AB114" s="977"/>
      <c r="AC114" s="977"/>
      <c r="AD114" s="1830"/>
      <c r="AE114" s="1830"/>
      <c r="AF114" s="1808" t="s">
        <v>1429</v>
      </c>
      <c r="AG114" s="1788"/>
      <c r="AH114" s="1773"/>
      <c r="AI114" s="1773"/>
      <c r="AJ114" s="1773"/>
      <c r="AK114" s="1800"/>
      <c r="AL114" s="1813"/>
      <c r="AM114" s="1812"/>
      <c r="AN114" s="1773"/>
      <c r="AO114" s="1773"/>
      <c r="AP114" s="1773"/>
    </row>
    <row r="115" spans="1:73" s="1815" customFormat="1" ht="13.5" customHeight="1">
      <c r="A115" s="1809"/>
      <c r="B115" s="1794" t="s">
        <v>1448</v>
      </c>
      <c r="C115" s="1797" t="s">
        <v>1449</v>
      </c>
      <c r="D115" s="1796" t="s">
        <v>510</v>
      </c>
      <c r="E115" s="1797" t="s">
        <v>1450</v>
      </c>
      <c r="F115" s="1798">
        <v>42912</v>
      </c>
      <c r="G115" s="1810">
        <v>6</v>
      </c>
      <c r="H115" s="1810">
        <v>9</v>
      </c>
      <c r="I115" s="1810">
        <v>11</v>
      </c>
      <c r="J115" s="1810">
        <v>6.98</v>
      </c>
      <c r="K115" s="1799">
        <f t="shared" si="42"/>
        <v>3341.4680000000008</v>
      </c>
      <c r="L115" s="1800">
        <v>5500</v>
      </c>
      <c r="M115" s="1800">
        <v>8841.4680000000008</v>
      </c>
      <c r="N115" s="1799">
        <f t="shared" si="43"/>
        <v>20048.808000000005</v>
      </c>
      <c r="O115" s="1800">
        <f t="shared" si="44"/>
        <v>33000</v>
      </c>
      <c r="P115" s="1799">
        <f t="shared" si="45"/>
        <v>53048.808000000005</v>
      </c>
      <c r="Q115" s="1799"/>
      <c r="R115" s="1777">
        <v>1</v>
      </c>
      <c r="S115" s="775">
        <f t="shared" si="46"/>
        <v>6.98</v>
      </c>
      <c r="T115" s="1801">
        <f t="shared" si="47"/>
        <v>61713.446640000009</v>
      </c>
      <c r="U115" s="1802">
        <f t="shared" si="48"/>
        <v>0.16333333333333333</v>
      </c>
      <c r="V115" s="1803" t="s">
        <v>1451</v>
      </c>
      <c r="W115" s="1804" t="s">
        <v>1452</v>
      </c>
      <c r="X115" s="1805">
        <f t="shared" si="49"/>
        <v>53048.808000000005</v>
      </c>
      <c r="Y115" s="1828">
        <v>5982</v>
      </c>
      <c r="Z115" s="1828">
        <v>0</v>
      </c>
      <c r="AA115" s="976">
        <v>59030.808000000005</v>
      </c>
      <c r="AB115" s="977">
        <v>0</v>
      </c>
      <c r="AC115" s="977">
        <v>0</v>
      </c>
      <c r="AD115" s="1830" t="s">
        <v>13</v>
      </c>
      <c r="AE115" s="1830" t="s">
        <v>13</v>
      </c>
      <c r="AF115" s="1808">
        <f>+P115-X115</f>
        <v>0</v>
      </c>
      <c r="AG115" s="1788"/>
      <c r="AH115" s="1773"/>
      <c r="AI115" s="1773"/>
      <c r="AJ115" s="1773"/>
      <c r="AK115" s="1800"/>
      <c r="AL115" s="1813"/>
      <c r="AM115" s="1812"/>
      <c r="AN115" s="1773"/>
      <c r="AO115" s="1773"/>
      <c r="AP115" s="1773"/>
    </row>
    <row r="116" spans="1:73" s="1815" customFormat="1" ht="13.5" customHeight="1">
      <c r="A116" s="1809"/>
      <c r="B116" s="1794" t="s">
        <v>1387</v>
      </c>
      <c r="C116" s="1797" t="s">
        <v>1388</v>
      </c>
      <c r="D116" s="1796" t="s">
        <v>510</v>
      </c>
      <c r="E116" s="1797" t="s">
        <v>1389</v>
      </c>
      <c r="F116" s="1798">
        <v>42859</v>
      </c>
      <c r="G116" s="1810">
        <v>15</v>
      </c>
      <c r="H116" s="1810">
        <v>15</v>
      </c>
      <c r="I116" s="1810">
        <v>17</v>
      </c>
      <c r="J116" s="1810">
        <v>12.15</v>
      </c>
      <c r="K116" s="1799">
        <f t="shared" si="42"/>
        <v>18851.937000000002</v>
      </c>
      <c r="L116" s="1800">
        <v>5750</v>
      </c>
      <c r="M116" s="1800">
        <v>24601.937000000002</v>
      </c>
      <c r="N116" s="1799">
        <f t="shared" si="43"/>
        <v>282779.05500000005</v>
      </c>
      <c r="O116" s="1800">
        <f t="shared" si="44"/>
        <v>86250</v>
      </c>
      <c r="P116" s="1799">
        <f t="shared" si="45"/>
        <v>369029.05500000005</v>
      </c>
      <c r="Q116" s="1799"/>
      <c r="R116" s="1777">
        <v>1</v>
      </c>
      <c r="S116" s="775">
        <f t="shared" si="46"/>
        <v>12.15</v>
      </c>
      <c r="T116" s="1801">
        <f t="shared" si="47"/>
        <v>298913.53455000004</v>
      </c>
      <c r="U116" s="1802">
        <f t="shared" si="48"/>
        <v>-0.19000000000000006</v>
      </c>
      <c r="V116" s="1814" t="s">
        <v>1390</v>
      </c>
      <c r="W116" s="1804" t="s">
        <v>1391</v>
      </c>
      <c r="X116" s="1805">
        <f t="shared" si="49"/>
        <v>369029.05500000005</v>
      </c>
      <c r="Y116" s="1828">
        <f>_xll.ciqfunctions.udf.CIQ(C116, "IQ_TOTAL_DEBT", , F116, , , "USD")*1000</f>
        <v>0</v>
      </c>
      <c r="Z116" s="1828">
        <f>_xll.ciqfunctions.udf.CIQ(C116, "IQ_CASH_EQUIV", , F116, , , "USD")*1000</f>
        <v>51939.66</v>
      </c>
      <c r="AA116" s="976">
        <f>X116+Y116-Z116</f>
        <v>317089.39500000002</v>
      </c>
      <c r="AB116" s="977" t="e">
        <f>_xll.ciqfunctions.udf.CIQ($C116, "IQ_TOTAL_REV", IQ_LTM, $F$14, $Y$2, $Y$1, $Y$3, $Y$4)*1000</f>
        <v>#VALUE!</v>
      </c>
      <c r="AC116" s="977" t="e">
        <f>_xll.ciqfunctions.udf.CIQ($C116, "IQ_EBITDA", IQ_LTM, $F$14, $Y$2, $Y$1, $Y$3, $Y$4)*1000</f>
        <v>#VALUE!</v>
      </c>
      <c r="AD116" s="1830" t="str">
        <f>IFERROR(AA116/AB116,"n/a")</f>
        <v>n/a</v>
      </c>
      <c r="AE116" s="1830" t="str">
        <f>IFERROR(AA116/AC116,"n/a")</f>
        <v>n/a</v>
      </c>
      <c r="AF116" s="1808">
        <f>+P116-X116</f>
        <v>0</v>
      </c>
      <c r="AK116" s="1816"/>
      <c r="AL116" s="1813"/>
      <c r="AM116" s="1812"/>
    </row>
    <row r="117" spans="1:73" s="1815" customFormat="1" ht="13.5" customHeight="1">
      <c r="A117" s="1809"/>
      <c r="B117" s="1794" t="s">
        <v>1511</v>
      </c>
      <c r="C117" s="1797" t="s">
        <v>1512</v>
      </c>
      <c r="D117" s="1796" t="s">
        <v>1144</v>
      </c>
      <c r="E117" s="1797" t="s">
        <v>1513</v>
      </c>
      <c r="F117" s="1798">
        <v>42858</v>
      </c>
      <c r="G117" s="1810">
        <v>13</v>
      </c>
      <c r="H117" s="1810">
        <v>12</v>
      </c>
      <c r="I117" s="1810">
        <v>14</v>
      </c>
      <c r="J117" s="1810">
        <v>18.64</v>
      </c>
      <c r="K117" s="1799">
        <f t="shared" si="42"/>
        <v>7499.17</v>
      </c>
      <c r="L117" s="1800">
        <v>4473.3729999999996</v>
      </c>
      <c r="M117" s="1800">
        <v>11972.543</v>
      </c>
      <c r="N117" s="1799">
        <f t="shared" si="43"/>
        <v>97489.21</v>
      </c>
      <c r="O117" s="1800">
        <f t="shared" si="44"/>
        <v>58153.848999999995</v>
      </c>
      <c r="P117" s="1799">
        <f t="shared" si="45"/>
        <v>155643.05900000001</v>
      </c>
      <c r="Q117" s="1799"/>
      <c r="R117" s="1777">
        <v>1</v>
      </c>
      <c r="S117" s="775">
        <f t="shared" si="46"/>
        <v>18.64</v>
      </c>
      <c r="T117" s="1801">
        <f t="shared" si="47"/>
        <v>223168.20152</v>
      </c>
      <c r="U117" s="1802">
        <f t="shared" si="48"/>
        <v>0.43384615384615377</v>
      </c>
      <c r="V117" s="1803" t="s">
        <v>1514</v>
      </c>
      <c r="W117" s="1804" t="s">
        <v>1515</v>
      </c>
      <c r="X117" s="1805">
        <f t="shared" si="49"/>
        <v>155643.05900000001</v>
      </c>
      <c r="Y117" s="1828"/>
      <c r="Z117" s="1828"/>
      <c r="AA117" s="976"/>
      <c r="AB117" s="977"/>
      <c r="AC117" s="977"/>
      <c r="AD117" s="1830"/>
      <c r="AE117" s="1830"/>
      <c r="AF117" s="1808"/>
      <c r="AG117" s="1788"/>
      <c r="AH117" s="1773"/>
      <c r="AI117" s="1773"/>
      <c r="AJ117" s="1773"/>
      <c r="AK117" s="1800"/>
      <c r="AL117" s="1813"/>
      <c r="AM117" s="1812"/>
      <c r="AN117" s="1773"/>
      <c r="AO117" s="1773"/>
      <c r="AP117" s="1773"/>
    </row>
    <row r="118" spans="1:73" s="1815" customFormat="1" ht="13.5" customHeight="1">
      <c r="A118" s="1809"/>
      <c r="B118" s="1794" t="s">
        <v>1392</v>
      </c>
      <c r="C118" s="1797" t="s">
        <v>1393</v>
      </c>
      <c r="D118" s="1796" t="s">
        <v>1308</v>
      </c>
      <c r="E118" s="1797" t="s">
        <v>1394</v>
      </c>
      <c r="F118" s="1798">
        <v>42858</v>
      </c>
      <c r="G118" s="1820">
        <v>17</v>
      </c>
      <c r="H118" s="1810">
        <v>14</v>
      </c>
      <c r="I118" s="1810">
        <v>16</v>
      </c>
      <c r="J118" s="1820">
        <v>21.87</v>
      </c>
      <c r="K118" s="1799">
        <f t="shared" si="42"/>
        <v>24330.582999999999</v>
      </c>
      <c r="L118" s="1800">
        <v>8333.3330000000005</v>
      </c>
      <c r="M118" s="1800">
        <v>32663.916000000001</v>
      </c>
      <c r="N118" s="1799">
        <f t="shared" si="43"/>
        <v>413619.91099999996</v>
      </c>
      <c r="O118" s="1800">
        <f t="shared" si="44"/>
        <v>141666.66100000002</v>
      </c>
      <c r="P118" s="1799">
        <f t="shared" si="45"/>
        <v>555286.57199999993</v>
      </c>
      <c r="Q118" s="1799"/>
      <c r="R118" s="1777">
        <v>1</v>
      </c>
      <c r="S118" s="775">
        <f t="shared" si="46"/>
        <v>21.87</v>
      </c>
      <c r="T118" s="1801">
        <f t="shared" si="47"/>
        <v>714359.84292000008</v>
      </c>
      <c r="U118" s="1802">
        <f t="shared" si="48"/>
        <v>0.28647058823529448</v>
      </c>
      <c r="V118" s="1814" t="s">
        <v>1396</v>
      </c>
      <c r="W118" s="1804" t="s">
        <v>1395</v>
      </c>
      <c r="X118" s="1805">
        <f t="shared" si="49"/>
        <v>555286.57199999993</v>
      </c>
      <c r="Y118" s="1828">
        <f>_xll.ciqfunctions.udf.CIQ(C118, "IQ_TOTAL_DEBT", , F118, , , "USD")*1000</f>
        <v>4811</v>
      </c>
      <c r="Z118" s="1828">
        <f>_xll.ciqfunctions.udf.CIQ(C118, "IQ_CASH_EQUIV", , F118, , , "USD")*1000</f>
        <v>23565</v>
      </c>
      <c r="AA118" s="976">
        <f t="shared" ref="AA118:AA138" si="50">X118+Y118-Z118</f>
        <v>536532.57199999993</v>
      </c>
      <c r="AB118" s="977" t="e">
        <f>_xll.ciqfunctions.udf.CIQ($C118, "IQ_TOTAL_REV", IQ_LTM, $F$14, $Y$2, $Y$1, $Y$3, $Y$4)*1000</f>
        <v>#VALUE!</v>
      </c>
      <c r="AC118" s="977" t="e">
        <f>_xll.ciqfunctions.udf.CIQ($C118, "IQ_EBITDA", IQ_LTM, $F$14, $Y$2, $Y$1, $Y$3, $Y$4)*1000</f>
        <v>#VALUE!</v>
      </c>
      <c r="AD118" s="1830" t="str">
        <f t="shared" ref="AD118:AD138" si="51">IFERROR(AA118/AB118,"n/a")</f>
        <v>n/a</v>
      </c>
      <c r="AE118" s="1830" t="str">
        <f t="shared" ref="AE118:AE138" si="52">IFERROR(AA118/AC118,"n/a")</f>
        <v>n/a</v>
      </c>
      <c r="AF118" s="1808">
        <f t="shared" ref="AF118:AF138" si="53">+P118-X118</f>
        <v>0</v>
      </c>
      <c r="AK118" s="1816"/>
      <c r="AL118" s="1813"/>
      <c r="AM118" s="1812"/>
    </row>
    <row r="119" spans="1:73" s="1815" customFormat="1" ht="13.5" customHeight="1">
      <c r="A119" s="1809"/>
      <c r="B119" s="1794" t="s">
        <v>1306</v>
      </c>
      <c r="C119" s="1797" t="s">
        <v>1307</v>
      </c>
      <c r="D119" s="1796" t="s">
        <v>1308</v>
      </c>
      <c r="E119" s="1797" t="s">
        <v>1309</v>
      </c>
      <c r="F119" s="1798">
        <v>42837</v>
      </c>
      <c r="G119" s="1810">
        <v>10</v>
      </c>
      <c r="H119" s="1810">
        <v>10</v>
      </c>
      <c r="I119" s="1810">
        <v>12</v>
      </c>
      <c r="J119" s="1810">
        <v>16.690000000000001</v>
      </c>
      <c r="K119" s="1799">
        <f t="shared" si="42"/>
        <v>9897.3070000000007</v>
      </c>
      <c r="L119" s="975">
        <v>7250</v>
      </c>
      <c r="M119" s="975">
        <v>17147.307000000001</v>
      </c>
      <c r="N119" s="1799">
        <f t="shared" si="43"/>
        <v>98973.07</v>
      </c>
      <c r="O119" s="1800">
        <f t="shared" si="44"/>
        <v>72500</v>
      </c>
      <c r="P119" s="1799">
        <f t="shared" si="45"/>
        <v>171473.07</v>
      </c>
      <c r="Q119" s="1799"/>
      <c r="R119" s="1777">
        <v>1</v>
      </c>
      <c r="S119" s="775">
        <f t="shared" si="46"/>
        <v>16.690000000000001</v>
      </c>
      <c r="T119" s="1801">
        <f t="shared" si="47"/>
        <v>286188.55383000005</v>
      </c>
      <c r="U119" s="1802">
        <f t="shared" si="48"/>
        <v>0.66900000000000026</v>
      </c>
      <c r="V119" s="1814" t="s">
        <v>1310</v>
      </c>
      <c r="W119" s="1804" t="s">
        <v>1311</v>
      </c>
      <c r="X119" s="1805">
        <f t="shared" si="49"/>
        <v>171473.07</v>
      </c>
      <c r="Y119" s="1805">
        <v>20839000</v>
      </c>
      <c r="Z119" s="1805">
        <v>5510</v>
      </c>
      <c r="AA119" s="976">
        <f t="shared" si="50"/>
        <v>21004963.07</v>
      </c>
      <c r="AB119" s="977">
        <v>54</v>
      </c>
      <c r="AC119" s="970">
        <v>-25990</v>
      </c>
      <c r="AD119" s="1807">
        <f t="shared" si="51"/>
        <v>388980.7975925926</v>
      </c>
      <c r="AE119" s="1807">
        <f t="shared" si="52"/>
        <v>-808.19403886110047</v>
      </c>
      <c r="AF119" s="1808">
        <f t="shared" si="53"/>
        <v>0</v>
      </c>
      <c r="AK119" s="1816"/>
      <c r="AL119" s="1813"/>
      <c r="AM119" s="1812"/>
    </row>
    <row r="120" spans="1:73" s="1815" customFormat="1" ht="13.5" customHeight="1">
      <c r="A120" s="1809"/>
      <c r="B120" s="1794" t="s">
        <v>1312</v>
      </c>
      <c r="C120" s="1797" t="s">
        <v>1313</v>
      </c>
      <c r="D120" s="1796" t="s">
        <v>1049</v>
      </c>
      <c r="E120" s="1797" t="s">
        <v>1314</v>
      </c>
      <c r="F120" s="1798">
        <v>42760</v>
      </c>
      <c r="G120" s="775">
        <v>15</v>
      </c>
      <c r="H120" s="775">
        <v>14</v>
      </c>
      <c r="I120" s="775">
        <v>16</v>
      </c>
      <c r="J120" s="775">
        <v>13.99</v>
      </c>
      <c r="K120" s="1799">
        <f t="shared" si="42"/>
        <v>23181.261999999999</v>
      </c>
      <c r="L120" s="975">
        <f>6450000/1000</f>
        <v>6450</v>
      </c>
      <c r="M120" s="975">
        <f>29631262/1000</f>
        <v>29631.261999999999</v>
      </c>
      <c r="N120" s="1799">
        <f t="shared" si="43"/>
        <v>347718.93</v>
      </c>
      <c r="O120" s="1800">
        <f t="shared" si="44"/>
        <v>96750</v>
      </c>
      <c r="P120" s="1799">
        <f t="shared" si="45"/>
        <v>444468.93</v>
      </c>
      <c r="Q120" s="1799"/>
      <c r="R120" s="1777">
        <v>1</v>
      </c>
      <c r="S120" s="775">
        <f t="shared" si="46"/>
        <v>13.99</v>
      </c>
      <c r="T120" s="1801">
        <f t="shared" si="47"/>
        <v>414541.35537999996</v>
      </c>
      <c r="U120" s="1802">
        <f t="shared" si="48"/>
        <v>-6.7333333333333356E-2</v>
      </c>
      <c r="V120" s="1811" t="s">
        <v>1314</v>
      </c>
      <c r="W120" s="1804" t="s">
        <v>1315</v>
      </c>
      <c r="X120" s="1805">
        <f t="shared" si="49"/>
        <v>444468.93</v>
      </c>
      <c r="Y120" s="1805">
        <v>0</v>
      </c>
      <c r="Z120" s="1805">
        <v>38910</v>
      </c>
      <c r="AA120" s="976">
        <f t="shared" si="50"/>
        <v>405558.93</v>
      </c>
      <c r="AB120" s="977">
        <v>0</v>
      </c>
      <c r="AC120" s="970">
        <v>-20977</v>
      </c>
      <c r="AD120" s="1807" t="str">
        <f t="shared" si="51"/>
        <v>n/a</v>
      </c>
      <c r="AE120" s="1807">
        <f t="shared" si="52"/>
        <v>-19.333504790961531</v>
      </c>
      <c r="AF120" s="1808">
        <f t="shared" si="53"/>
        <v>0</v>
      </c>
      <c r="AG120" s="1812"/>
      <c r="AH120" s="1788"/>
      <c r="AI120" s="1788"/>
      <c r="AJ120" s="1788"/>
      <c r="AK120" s="1788"/>
      <c r="AL120" s="1788"/>
      <c r="AM120" s="1788" t="s">
        <v>1316</v>
      </c>
      <c r="AN120" s="1788" t="s">
        <v>1317</v>
      </c>
      <c r="AO120" s="1788" t="s">
        <v>1318</v>
      </c>
      <c r="AP120" s="1788"/>
      <c r="AQ120" s="1788">
        <v>6450000</v>
      </c>
      <c r="AR120" s="1788">
        <v>6450000</v>
      </c>
      <c r="AS120" s="1788">
        <v>29631262</v>
      </c>
      <c r="AT120" s="1788"/>
      <c r="AU120" s="1788">
        <f>AQ120-AW120</f>
        <v>0</v>
      </c>
      <c r="AV120" s="1788">
        <f>AS120-AY120</f>
        <v>0</v>
      </c>
      <c r="AW120" s="1788">
        <v>6450000</v>
      </c>
      <c r="AX120" s="1788">
        <f>AW120+BA120</f>
        <v>7417500</v>
      </c>
      <c r="AY120" s="1788">
        <v>29631262</v>
      </c>
      <c r="AZ120" s="1788">
        <f>AY120+BA120</f>
        <v>30598762</v>
      </c>
      <c r="BA120" s="1788">
        <v>967500</v>
      </c>
      <c r="BB120" s="1788">
        <f>BC120*J120</f>
        <v>414541327.40000004</v>
      </c>
      <c r="BC120" s="1788">
        <v>29631260</v>
      </c>
      <c r="BD120" s="1788">
        <f>+J120*M120</f>
        <v>414541.35537999996</v>
      </c>
      <c r="BE120" s="1788">
        <v>42761</v>
      </c>
      <c r="BF120" s="1788">
        <f>+BE120+30</f>
        <v>42791</v>
      </c>
      <c r="BG120" s="1788">
        <f>BE120+90</f>
        <v>42851</v>
      </c>
      <c r="BH120" s="1788">
        <v>29631260</v>
      </c>
      <c r="BI120" s="1788">
        <v>13.62</v>
      </c>
      <c r="BJ120" s="1788">
        <f>BI120*BH120</f>
        <v>403577761.19999999</v>
      </c>
      <c r="BK120" s="1788" t="s">
        <v>1319</v>
      </c>
      <c r="BL120" s="1788">
        <v>38910000</v>
      </c>
      <c r="BM120" s="1788">
        <v>0</v>
      </c>
      <c r="BN120" s="1788">
        <f>_xll.ciqfunctions.udf.CIQ(C120, "IQ_MARKETCAP", $BN$1)*1000000</f>
        <v>589048650</v>
      </c>
      <c r="BO120" s="1788">
        <v>123139750</v>
      </c>
      <c r="BP120" s="1788">
        <f>(BN120-BO120)/BN120</f>
        <v>0.79095147743738992</v>
      </c>
      <c r="BQ120" s="1788"/>
      <c r="BR120" s="1788" t="s">
        <v>1320</v>
      </c>
      <c r="BS120" s="1788"/>
      <c r="BT120" s="1788"/>
      <c r="BU120" s="1788" t="b">
        <f>IF(ABS(O120-P120)&lt;100,TRUE,FALSE)</f>
        <v>0</v>
      </c>
    </row>
    <row r="121" spans="1:73" s="1788" customFormat="1" ht="13.5" customHeight="1">
      <c r="A121" s="1809"/>
      <c r="B121" s="1794" t="s">
        <v>900</v>
      </c>
      <c r="C121" s="1797" t="s">
        <v>901</v>
      </c>
      <c r="D121" s="1796" t="s">
        <v>510</v>
      </c>
      <c r="E121" s="1797" t="s">
        <v>902</v>
      </c>
      <c r="F121" s="1798">
        <v>42586</v>
      </c>
      <c r="G121" s="775">
        <v>10</v>
      </c>
      <c r="H121" s="775">
        <v>11</v>
      </c>
      <c r="I121" s="775">
        <v>13</v>
      </c>
      <c r="J121" s="775">
        <v>13.23</v>
      </c>
      <c r="K121" s="1799">
        <f t="shared" si="42"/>
        <v>5431.6149999999998</v>
      </c>
      <c r="L121" s="975">
        <v>3000</v>
      </c>
      <c r="M121" s="975">
        <v>8431.6149999999998</v>
      </c>
      <c r="N121" s="1799">
        <f t="shared" si="43"/>
        <v>54316.149999999994</v>
      </c>
      <c r="O121" s="1800">
        <f t="shared" si="44"/>
        <v>30000</v>
      </c>
      <c r="P121" s="1799">
        <f t="shared" si="45"/>
        <v>84316.15</v>
      </c>
      <c r="Q121" s="1799"/>
      <c r="R121" s="1777">
        <v>1</v>
      </c>
      <c r="S121" s="775">
        <f t="shared" si="46"/>
        <v>13.23</v>
      </c>
      <c r="T121" s="1801">
        <f t="shared" si="47"/>
        <v>111550.26645</v>
      </c>
      <c r="U121" s="1802">
        <f t="shared" si="48"/>
        <v>0.32299999999999995</v>
      </c>
      <c r="V121" s="1811" t="s">
        <v>903</v>
      </c>
      <c r="W121" s="1804" t="s">
        <v>904</v>
      </c>
      <c r="X121" s="1805">
        <f t="shared" si="49"/>
        <v>84316.15</v>
      </c>
      <c r="Y121" s="1805">
        <v>6461000</v>
      </c>
      <c r="Z121" s="1805">
        <v>1629</v>
      </c>
      <c r="AA121" s="976">
        <f t="shared" si="50"/>
        <v>6543687.1500000004</v>
      </c>
      <c r="AB121" s="977">
        <v>0</v>
      </c>
      <c r="AC121" s="970">
        <v>0</v>
      </c>
      <c r="AD121" s="1807" t="str">
        <f t="shared" si="51"/>
        <v>n/a</v>
      </c>
      <c r="AE121" s="1807" t="str">
        <f t="shared" si="52"/>
        <v>n/a</v>
      </c>
      <c r="AF121" s="1808">
        <f t="shared" si="53"/>
        <v>0</v>
      </c>
      <c r="AG121" s="1812"/>
    </row>
    <row r="122" spans="1:73" s="1788" customFormat="1" ht="13.5" customHeight="1">
      <c r="A122" s="1809"/>
      <c r="B122" s="1794" t="s">
        <v>905</v>
      </c>
      <c r="C122" s="1797" t="s">
        <v>906</v>
      </c>
      <c r="D122" s="1796" t="s">
        <v>510</v>
      </c>
      <c r="E122" s="1797" t="s">
        <v>907</v>
      </c>
      <c r="F122" s="1798">
        <v>42577</v>
      </c>
      <c r="G122" s="1810">
        <v>12</v>
      </c>
      <c r="H122" s="1810">
        <v>0</v>
      </c>
      <c r="I122" s="1810">
        <v>0</v>
      </c>
      <c r="J122" s="1810">
        <v>10.06</v>
      </c>
      <c r="K122" s="1799">
        <f t="shared" si="42"/>
        <v>38620.332000000002</v>
      </c>
      <c r="L122" s="975">
        <v>6250</v>
      </c>
      <c r="M122" s="975">
        <v>44870.332000000002</v>
      </c>
      <c r="N122" s="1799">
        <f t="shared" si="43"/>
        <v>463443.98400000005</v>
      </c>
      <c r="O122" s="1800">
        <f t="shared" si="44"/>
        <v>75000</v>
      </c>
      <c r="P122" s="1799">
        <f t="shared" si="45"/>
        <v>538443.98400000005</v>
      </c>
      <c r="Q122" s="1799"/>
      <c r="R122" s="1777">
        <v>1</v>
      </c>
      <c r="S122" s="775">
        <f t="shared" si="46"/>
        <v>10.06</v>
      </c>
      <c r="T122" s="1801">
        <f t="shared" si="47"/>
        <v>451395.53992000007</v>
      </c>
      <c r="U122" s="1802">
        <f t="shared" si="48"/>
        <v>-0.16166666666666663</v>
      </c>
      <c r="V122" s="1811" t="s">
        <v>908</v>
      </c>
      <c r="W122" s="1804" t="s">
        <v>909</v>
      </c>
      <c r="X122" s="1805">
        <f t="shared" si="49"/>
        <v>538443.98400000005</v>
      </c>
      <c r="Y122" s="1805">
        <v>221589000</v>
      </c>
      <c r="Z122" s="1805">
        <v>8601</v>
      </c>
      <c r="AA122" s="976">
        <f t="shared" si="50"/>
        <v>222118842.984</v>
      </c>
      <c r="AB122" s="977">
        <v>35305</v>
      </c>
      <c r="AC122" s="970">
        <v>-74119</v>
      </c>
      <c r="AD122" s="1807">
        <f t="shared" si="51"/>
        <v>6291.4273611103245</v>
      </c>
      <c r="AE122" s="1807">
        <f t="shared" si="52"/>
        <v>-2996.7868290721676</v>
      </c>
      <c r="AF122" s="1808">
        <f t="shared" si="53"/>
        <v>0</v>
      </c>
      <c r="AG122" s="1812"/>
    </row>
    <row r="123" spans="1:73" s="1788" customFormat="1" ht="13.5" customHeight="1">
      <c r="A123" s="1809"/>
      <c r="B123" s="1843" t="s">
        <v>939</v>
      </c>
      <c r="C123" s="1797" t="s">
        <v>940</v>
      </c>
      <c r="D123" s="1796" t="s">
        <v>510</v>
      </c>
      <c r="E123" s="1797" t="s">
        <v>941</v>
      </c>
      <c r="F123" s="1798">
        <v>42495</v>
      </c>
      <c r="G123" s="1810">
        <v>12</v>
      </c>
      <c r="H123" s="1810">
        <v>13</v>
      </c>
      <c r="I123" s="1810">
        <v>15</v>
      </c>
      <c r="J123" s="1810">
        <v>11.2</v>
      </c>
      <c r="K123" s="1799">
        <f t="shared" si="42"/>
        <v>6171.0910000000003</v>
      </c>
      <c r="L123" s="975">
        <v>920</v>
      </c>
      <c r="M123" s="975">
        <v>7091.0910000000003</v>
      </c>
      <c r="N123" s="1799">
        <f t="shared" si="43"/>
        <v>74053.092000000004</v>
      </c>
      <c r="O123" s="1800">
        <f t="shared" si="44"/>
        <v>11040</v>
      </c>
      <c r="P123" s="1799">
        <f t="shared" si="45"/>
        <v>85093.092000000004</v>
      </c>
      <c r="Q123" s="1799"/>
      <c r="R123" s="1777">
        <v>1</v>
      </c>
      <c r="S123" s="775">
        <f t="shared" si="46"/>
        <v>11.2</v>
      </c>
      <c r="T123" s="1801">
        <f t="shared" si="47"/>
        <v>79420.219199999992</v>
      </c>
      <c r="U123" s="1802">
        <f t="shared" si="48"/>
        <v>-6.6666666666666763E-2</v>
      </c>
      <c r="V123" s="1803" t="s">
        <v>942</v>
      </c>
      <c r="W123" s="1804" t="s">
        <v>1321</v>
      </c>
      <c r="X123" s="1805">
        <f t="shared" si="49"/>
        <v>85093.092000000004</v>
      </c>
      <c r="Y123" s="1805">
        <v>0</v>
      </c>
      <c r="Z123" s="1805">
        <v>4347</v>
      </c>
      <c r="AA123" s="976">
        <f t="shared" si="50"/>
        <v>80746.092000000004</v>
      </c>
      <c r="AB123" s="977">
        <v>717</v>
      </c>
      <c r="AC123" s="970">
        <v>-18116</v>
      </c>
      <c r="AD123" s="1807">
        <f t="shared" si="51"/>
        <v>112.61658577405858</v>
      </c>
      <c r="AE123" s="1807">
        <f t="shared" si="52"/>
        <v>-4.4571700154559508</v>
      </c>
      <c r="AF123" s="1808">
        <f t="shared" si="53"/>
        <v>0</v>
      </c>
      <c r="AK123" s="1800"/>
      <c r="AL123" s="1813"/>
      <c r="AM123" s="1812"/>
    </row>
    <row r="124" spans="1:73" s="1788" customFormat="1" ht="13.5" customHeight="1">
      <c r="A124" s="1809"/>
      <c r="B124" s="1794" t="s">
        <v>987</v>
      </c>
      <c r="C124" s="1797" t="s">
        <v>988</v>
      </c>
      <c r="D124" s="1796" t="s">
        <v>510</v>
      </c>
      <c r="E124" s="1797" t="s">
        <v>989</v>
      </c>
      <c r="F124" s="1798">
        <v>42291</v>
      </c>
      <c r="G124" s="1810">
        <v>6.5</v>
      </c>
      <c r="H124" s="1810">
        <v>6</v>
      </c>
      <c r="I124" s="1810">
        <v>7</v>
      </c>
      <c r="J124" s="1810">
        <v>3.13</v>
      </c>
      <c r="K124" s="1799">
        <f t="shared" si="42"/>
        <v>4630.143</v>
      </c>
      <c r="L124" s="975">
        <v>4000</v>
      </c>
      <c r="M124" s="975">
        <v>8630.143</v>
      </c>
      <c r="N124" s="1799">
        <f t="shared" si="43"/>
        <v>30095.929499999998</v>
      </c>
      <c r="O124" s="1800">
        <f t="shared" si="44"/>
        <v>26000</v>
      </c>
      <c r="P124" s="1799">
        <f t="shared" si="45"/>
        <v>56095.929499999998</v>
      </c>
      <c r="Q124" s="1799"/>
      <c r="R124" s="1777">
        <v>1</v>
      </c>
      <c r="S124" s="775">
        <f t="shared" si="46"/>
        <v>3.13</v>
      </c>
      <c r="T124" s="1801">
        <f t="shared" si="47"/>
        <v>27012.347589999998</v>
      </c>
      <c r="U124" s="1802">
        <f t="shared" si="48"/>
        <v>-0.51846153846153853</v>
      </c>
      <c r="V124" s="1803" t="s">
        <v>990</v>
      </c>
      <c r="W124" s="1804" t="s">
        <v>991</v>
      </c>
      <c r="X124" s="1805">
        <f t="shared" si="49"/>
        <v>56095.929499999998</v>
      </c>
      <c r="Y124" s="1805">
        <v>7052960</v>
      </c>
      <c r="Z124" s="1805">
        <v>6142.86</v>
      </c>
      <c r="AA124" s="976">
        <f t="shared" si="50"/>
        <v>7102913.0694999993</v>
      </c>
      <c r="AB124" s="977">
        <v>650.49</v>
      </c>
      <c r="AC124" s="970">
        <v>-13304.04</v>
      </c>
      <c r="AD124" s="1807">
        <f t="shared" si="51"/>
        <v>10919.3270757429</v>
      </c>
      <c r="AE124" s="1807">
        <f t="shared" si="52"/>
        <v>-533.891439705533</v>
      </c>
      <c r="AF124" s="1808">
        <f t="shared" si="53"/>
        <v>0</v>
      </c>
      <c r="AH124" s="1773"/>
      <c r="AI124" s="1773"/>
      <c r="AJ124" s="1773"/>
      <c r="AK124" s="1800"/>
      <c r="AL124" s="1813"/>
      <c r="AM124" s="1812"/>
      <c r="AN124" s="1773"/>
      <c r="AO124" s="1773"/>
      <c r="AP124" s="1773"/>
      <c r="AQ124" s="1773"/>
      <c r="AR124" s="1773"/>
      <c r="AS124" s="1773"/>
      <c r="AT124" s="1773"/>
      <c r="AU124" s="1773"/>
      <c r="AV124" s="1773"/>
      <c r="AW124" s="1773"/>
      <c r="AX124" s="1773"/>
      <c r="AY124" s="1773"/>
      <c r="AZ124" s="1773"/>
      <c r="BA124" s="1773"/>
      <c r="BB124" s="1773"/>
      <c r="BC124" s="1773"/>
      <c r="BD124" s="1773"/>
      <c r="BE124" s="1773"/>
      <c r="BF124" s="1773"/>
      <c r="BG124" s="1773"/>
      <c r="BH124" s="1773"/>
      <c r="BI124" s="1773"/>
      <c r="BJ124" s="1773"/>
      <c r="BK124" s="1773"/>
      <c r="BL124" s="1773"/>
      <c r="BM124" s="1773"/>
      <c r="BN124" s="1773"/>
      <c r="BO124" s="1773"/>
      <c r="BP124" s="1773"/>
      <c r="BQ124" s="1773"/>
      <c r="BR124" s="1773"/>
      <c r="BS124" s="1773"/>
      <c r="BT124" s="1773"/>
      <c r="BU124" s="1773"/>
    </row>
    <row r="125" spans="1:73" s="1773" customFormat="1" ht="13.5" customHeight="1">
      <c r="A125" s="1809"/>
      <c r="B125" s="1794" t="s">
        <v>997</v>
      </c>
      <c r="C125" s="1797" t="s">
        <v>998</v>
      </c>
      <c r="D125" s="1796" t="s">
        <v>510</v>
      </c>
      <c r="E125" s="1797" t="s">
        <v>999</v>
      </c>
      <c r="F125" s="1798">
        <v>42283</v>
      </c>
      <c r="G125" s="1810">
        <v>11</v>
      </c>
      <c r="H125" s="1810">
        <v>14</v>
      </c>
      <c r="I125" s="1810">
        <v>16</v>
      </c>
      <c r="J125" s="1810">
        <v>14.67</v>
      </c>
      <c r="K125" s="1799">
        <f t="shared" si="42"/>
        <v>14407.503000000001</v>
      </c>
      <c r="L125" s="975">
        <v>5000</v>
      </c>
      <c r="M125" s="975">
        <v>19407.503000000001</v>
      </c>
      <c r="N125" s="1799">
        <f t="shared" si="43"/>
        <v>158482.533</v>
      </c>
      <c r="O125" s="1800">
        <f t="shared" si="44"/>
        <v>55000</v>
      </c>
      <c r="P125" s="1799">
        <f t="shared" si="45"/>
        <v>213482.533</v>
      </c>
      <c r="Q125" s="1799"/>
      <c r="R125" s="1777">
        <v>1</v>
      </c>
      <c r="S125" s="775">
        <f t="shared" si="46"/>
        <v>14.67</v>
      </c>
      <c r="T125" s="1801">
        <f t="shared" si="47"/>
        <v>284708.06901000004</v>
      </c>
      <c r="U125" s="1802">
        <f t="shared" si="48"/>
        <v>0.33363636363636373</v>
      </c>
      <c r="V125" s="1803" t="s">
        <v>1000</v>
      </c>
      <c r="W125" s="1804" t="s">
        <v>1001</v>
      </c>
      <c r="X125" s="1805">
        <f t="shared" si="49"/>
        <v>213482.533</v>
      </c>
      <c r="Y125" s="1805">
        <v>0</v>
      </c>
      <c r="Z125" s="1805">
        <v>9853</v>
      </c>
      <c r="AA125" s="976">
        <f t="shared" si="50"/>
        <v>203629.533</v>
      </c>
      <c r="AB125" s="977">
        <v>0</v>
      </c>
      <c r="AC125" s="970">
        <v>-37068</v>
      </c>
      <c r="AD125" s="1807" t="str">
        <f t="shared" si="51"/>
        <v>n/a</v>
      </c>
      <c r="AE125" s="1807">
        <f t="shared" si="52"/>
        <v>-5.4934049044998376</v>
      </c>
      <c r="AF125" s="1808">
        <f t="shared" si="53"/>
        <v>0</v>
      </c>
      <c r="AG125" s="1788"/>
      <c r="AK125" s="1800"/>
      <c r="AL125" s="1813"/>
      <c r="AM125" s="1812"/>
    </row>
    <row r="126" spans="1:73" s="1773" customFormat="1" ht="13.5" customHeight="1">
      <c r="A126" s="1809"/>
      <c r="B126" s="1794" t="s">
        <v>1006</v>
      </c>
      <c r="C126" s="1797" t="s">
        <v>1007</v>
      </c>
      <c r="D126" s="1796" t="s">
        <v>510</v>
      </c>
      <c r="E126" s="1797" t="s">
        <v>1008</v>
      </c>
      <c r="F126" s="1798">
        <v>42277</v>
      </c>
      <c r="G126" s="1810">
        <v>11</v>
      </c>
      <c r="H126" s="1810">
        <v>14</v>
      </c>
      <c r="I126" s="1810">
        <v>16</v>
      </c>
      <c r="J126" s="1810">
        <v>17.88</v>
      </c>
      <c r="K126" s="1799">
        <f t="shared" si="42"/>
        <v>20181.25</v>
      </c>
      <c r="L126" s="975">
        <v>7315.1509999999998</v>
      </c>
      <c r="M126" s="975">
        <v>27496.401000000002</v>
      </c>
      <c r="N126" s="1799">
        <f t="shared" si="43"/>
        <v>221993.75</v>
      </c>
      <c r="O126" s="1800">
        <f t="shared" si="44"/>
        <v>80466.660999999993</v>
      </c>
      <c r="P126" s="1799">
        <f t="shared" si="45"/>
        <v>302460.41099999996</v>
      </c>
      <c r="Q126" s="1799"/>
      <c r="R126" s="1777">
        <v>1</v>
      </c>
      <c r="S126" s="775">
        <f t="shared" si="46"/>
        <v>17.88</v>
      </c>
      <c r="T126" s="1801">
        <f t="shared" si="47"/>
        <v>491635.64987999998</v>
      </c>
      <c r="U126" s="1802">
        <f t="shared" si="48"/>
        <v>0.62545454545454549</v>
      </c>
      <c r="V126" s="1803" t="s">
        <v>1009</v>
      </c>
      <c r="W126" s="1804" t="s">
        <v>1010</v>
      </c>
      <c r="X126" s="1805">
        <f t="shared" si="49"/>
        <v>302460.41099999996</v>
      </c>
      <c r="Y126" s="1805">
        <v>5864400</v>
      </c>
      <c r="Z126" s="1805">
        <v>58465.08</v>
      </c>
      <c r="AA126" s="976">
        <f t="shared" si="50"/>
        <v>6108395.3310000002</v>
      </c>
      <c r="AB126" s="977">
        <v>0</v>
      </c>
      <c r="AC126" s="970">
        <v>-35591.700000000004</v>
      </c>
      <c r="AD126" s="1807" t="str">
        <f t="shared" si="51"/>
        <v>n/a</v>
      </c>
      <c r="AE126" s="1807">
        <f t="shared" si="52"/>
        <v>-171.62415200735001</v>
      </c>
      <c r="AF126" s="1808">
        <f t="shared" si="53"/>
        <v>0</v>
      </c>
      <c r="AG126" s="1788"/>
      <c r="AK126" s="1800"/>
      <c r="AL126" s="1813"/>
      <c r="AM126" s="1812"/>
    </row>
    <row r="127" spans="1:73" s="1773" customFormat="1" ht="13.5" customHeight="1">
      <c r="A127" s="1809"/>
      <c r="B127" s="1841" t="s">
        <v>1012</v>
      </c>
      <c r="C127" s="1797" t="s">
        <v>1013</v>
      </c>
      <c r="D127" s="1796" t="s">
        <v>510</v>
      </c>
      <c r="E127" s="1797" t="s">
        <v>1014</v>
      </c>
      <c r="F127" s="1798">
        <v>42227</v>
      </c>
      <c r="G127" s="1810">
        <v>20</v>
      </c>
      <c r="H127" s="1810">
        <v>16</v>
      </c>
      <c r="I127" s="1810">
        <v>18</v>
      </c>
      <c r="J127" s="1810">
        <v>52.72</v>
      </c>
      <c r="K127" s="1799">
        <f t="shared" si="42"/>
        <v>21808.456999999999</v>
      </c>
      <c r="L127" s="975">
        <v>6000</v>
      </c>
      <c r="M127" s="975">
        <v>27808.456999999999</v>
      </c>
      <c r="N127" s="1799">
        <f t="shared" si="43"/>
        <v>436169.13999999996</v>
      </c>
      <c r="O127" s="1800">
        <f t="shared" si="44"/>
        <v>120000</v>
      </c>
      <c r="P127" s="1799">
        <f t="shared" si="45"/>
        <v>556169.1399999999</v>
      </c>
      <c r="Q127" s="1799"/>
      <c r="R127" s="1777">
        <v>1</v>
      </c>
      <c r="S127" s="775">
        <f t="shared" si="46"/>
        <v>52.72</v>
      </c>
      <c r="T127" s="1801">
        <f t="shared" si="47"/>
        <v>1466061.85304</v>
      </c>
      <c r="U127" s="1802">
        <f t="shared" si="48"/>
        <v>1.6360000000000006</v>
      </c>
      <c r="V127" s="1814" t="s">
        <v>1015</v>
      </c>
      <c r="W127" s="1804" t="s">
        <v>1016</v>
      </c>
      <c r="X127" s="1805">
        <f t="shared" si="49"/>
        <v>556169.1399999999</v>
      </c>
      <c r="Y127" s="1805">
        <v>0</v>
      </c>
      <c r="Z127" s="1805">
        <v>45800</v>
      </c>
      <c r="AA127" s="976">
        <f t="shared" si="50"/>
        <v>510369.1399999999</v>
      </c>
      <c r="AB127" s="977">
        <v>0</v>
      </c>
      <c r="AC127" s="970">
        <v>-63892</v>
      </c>
      <c r="AD127" s="1807" t="str">
        <f t="shared" si="51"/>
        <v>n/a</v>
      </c>
      <c r="AE127" s="1807">
        <f t="shared" si="52"/>
        <v>-7.9879975583797647</v>
      </c>
      <c r="AF127" s="1808">
        <f t="shared" si="53"/>
        <v>0</v>
      </c>
      <c r="AG127" s="1817"/>
      <c r="AH127" s="1816"/>
      <c r="AI127" s="1817"/>
      <c r="AJ127" s="1817"/>
      <c r="AK127" s="1816"/>
      <c r="AL127" s="1813"/>
      <c r="AM127" s="1812"/>
      <c r="AN127" s="1814"/>
      <c r="AO127" s="1819"/>
      <c r="AP127" s="1819"/>
    </row>
    <row r="128" spans="1:73" s="1773" customFormat="1" ht="13.5" customHeight="1">
      <c r="A128" s="1809"/>
      <c r="B128" s="1794" t="s">
        <v>1017</v>
      </c>
      <c r="C128" s="1797" t="s">
        <v>1018</v>
      </c>
      <c r="D128" s="1796" t="s">
        <v>510</v>
      </c>
      <c r="E128" s="1797" t="s">
        <v>1019</v>
      </c>
      <c r="F128" s="1798">
        <v>42221</v>
      </c>
      <c r="G128" s="1810">
        <v>16</v>
      </c>
      <c r="H128" s="1810">
        <v>14</v>
      </c>
      <c r="I128" s="1810">
        <v>16</v>
      </c>
      <c r="J128" s="1810">
        <v>22.59</v>
      </c>
      <c r="K128" s="1799">
        <f t="shared" si="42"/>
        <v>30679.538</v>
      </c>
      <c r="L128" s="975">
        <v>10000</v>
      </c>
      <c r="M128" s="975">
        <v>40679.538</v>
      </c>
      <c r="N128" s="1799">
        <f t="shared" si="43"/>
        <v>490872.60800000001</v>
      </c>
      <c r="O128" s="1800">
        <f t="shared" si="44"/>
        <v>160000</v>
      </c>
      <c r="P128" s="1799">
        <f t="shared" si="45"/>
        <v>650872.60800000001</v>
      </c>
      <c r="Q128" s="1799"/>
      <c r="R128" s="1777">
        <v>1</v>
      </c>
      <c r="S128" s="775">
        <f t="shared" si="46"/>
        <v>22.59</v>
      </c>
      <c r="T128" s="1801">
        <f t="shared" si="47"/>
        <v>918950.76341999997</v>
      </c>
      <c r="U128" s="1802">
        <f t="shared" si="48"/>
        <v>0.41187499999999999</v>
      </c>
      <c r="V128" s="1803" t="s">
        <v>1020</v>
      </c>
      <c r="W128" s="1804" t="s">
        <v>1021</v>
      </c>
      <c r="X128" s="1805">
        <f t="shared" si="49"/>
        <v>650872.60800000001</v>
      </c>
      <c r="Y128" s="1805">
        <v>0</v>
      </c>
      <c r="Z128" s="1805">
        <v>65313</v>
      </c>
      <c r="AA128" s="976">
        <f t="shared" si="50"/>
        <v>585559.60800000001</v>
      </c>
      <c r="AB128" s="977">
        <v>0</v>
      </c>
      <c r="AC128" s="970">
        <v>-58822</v>
      </c>
      <c r="AD128" s="1807" t="str">
        <f t="shared" si="51"/>
        <v>n/a</v>
      </c>
      <c r="AE128" s="1807">
        <f t="shared" si="52"/>
        <v>-9.9547721600761623</v>
      </c>
      <c r="AF128" s="1808">
        <f t="shared" si="53"/>
        <v>0</v>
      </c>
      <c r="AG128" s="1788"/>
      <c r="AK128" s="1800"/>
      <c r="AL128" s="1813"/>
      <c r="AM128" s="1812"/>
    </row>
    <row r="129" spans="1:73" s="1773" customFormat="1" ht="13.5" customHeight="1">
      <c r="A129" s="1842"/>
      <c r="B129" s="1794" t="s">
        <v>807</v>
      </c>
      <c r="C129" s="1797" t="s">
        <v>805</v>
      </c>
      <c r="D129" s="1796" t="s">
        <v>510</v>
      </c>
      <c r="E129" s="1797" t="s">
        <v>1027</v>
      </c>
      <c r="F129" s="1798">
        <v>42213</v>
      </c>
      <c r="G129" s="1810">
        <v>25</v>
      </c>
      <c r="H129" s="1810">
        <v>20</v>
      </c>
      <c r="I129" s="1810">
        <v>23</v>
      </c>
      <c r="J129" s="1810">
        <v>19.510000000000002</v>
      </c>
      <c r="K129" s="1799">
        <f t="shared" si="42"/>
        <v>70643.631999999998</v>
      </c>
      <c r="L129" s="975">
        <v>8288</v>
      </c>
      <c r="M129" s="975">
        <v>78931.631999999998</v>
      </c>
      <c r="N129" s="1799">
        <f t="shared" si="43"/>
        <v>1766090.8</v>
      </c>
      <c r="O129" s="1800">
        <f t="shared" si="44"/>
        <v>207200</v>
      </c>
      <c r="P129" s="1799">
        <f t="shared" si="45"/>
        <v>1973290.8</v>
      </c>
      <c r="Q129" s="1799"/>
      <c r="R129" s="1777">
        <v>1</v>
      </c>
      <c r="S129" s="775">
        <f t="shared" si="46"/>
        <v>19.510000000000002</v>
      </c>
      <c r="T129" s="1801">
        <f t="shared" si="47"/>
        <v>1539956.14032</v>
      </c>
      <c r="U129" s="1802">
        <f t="shared" si="48"/>
        <v>-0.21960000000000002</v>
      </c>
      <c r="V129" s="1803" t="s">
        <v>806</v>
      </c>
      <c r="W129" s="1804" t="s">
        <v>808</v>
      </c>
      <c r="X129" s="1805">
        <f t="shared" si="49"/>
        <v>1973290.8</v>
      </c>
      <c r="Y129" s="1805">
        <v>0</v>
      </c>
      <c r="Z129" s="1805">
        <v>49854</v>
      </c>
      <c r="AA129" s="976">
        <f t="shared" si="50"/>
        <v>1923436.8</v>
      </c>
      <c r="AB129" s="977">
        <v>43</v>
      </c>
      <c r="AC129" s="970">
        <v>-141477</v>
      </c>
      <c r="AD129" s="1807">
        <f t="shared" si="51"/>
        <v>44731.088372093021</v>
      </c>
      <c r="AE129" s="1807">
        <f t="shared" si="52"/>
        <v>-13.595402786318624</v>
      </c>
      <c r="AF129" s="1808">
        <f t="shared" si="53"/>
        <v>0</v>
      </c>
      <c r="AG129" s="1788"/>
      <c r="AK129" s="1800"/>
      <c r="AL129" s="1813"/>
      <c r="AM129" s="1812"/>
    </row>
    <row r="130" spans="1:73" s="1773" customFormat="1" ht="13.5" customHeight="1">
      <c r="A130" s="1809"/>
      <c r="B130" s="1794" t="s">
        <v>1038</v>
      </c>
      <c r="C130" s="1797" t="s">
        <v>1039</v>
      </c>
      <c r="D130" s="1796" t="s">
        <v>510</v>
      </c>
      <c r="E130" s="1797" t="s">
        <v>1040</v>
      </c>
      <c r="F130" s="1798">
        <v>42180</v>
      </c>
      <c r="G130" s="1810">
        <v>18</v>
      </c>
      <c r="H130" s="1810">
        <v>15</v>
      </c>
      <c r="I130" s="1810">
        <v>17</v>
      </c>
      <c r="J130" s="1810">
        <v>38.200000000000003</v>
      </c>
      <c r="K130" s="1799">
        <f t="shared" si="42"/>
        <v>30403.502</v>
      </c>
      <c r="L130" s="975">
        <v>7430.5550000000003</v>
      </c>
      <c r="M130" s="975">
        <v>37834.057000000001</v>
      </c>
      <c r="N130" s="1799">
        <f t="shared" si="43"/>
        <v>547263.03599999996</v>
      </c>
      <c r="O130" s="1800">
        <f t="shared" si="44"/>
        <v>133749.99</v>
      </c>
      <c r="P130" s="1799">
        <f t="shared" si="45"/>
        <v>681013.02599999995</v>
      </c>
      <c r="Q130" s="1799"/>
      <c r="R130" s="1777">
        <v>1</v>
      </c>
      <c r="S130" s="775">
        <f t="shared" si="46"/>
        <v>38.200000000000003</v>
      </c>
      <c r="T130" s="1801">
        <f t="shared" si="47"/>
        <v>1445260.9774000002</v>
      </c>
      <c r="U130" s="1802">
        <f t="shared" si="48"/>
        <v>1.1222222222222227</v>
      </c>
      <c r="V130" s="1814" t="s">
        <v>1041</v>
      </c>
      <c r="W130" s="1804" t="s">
        <v>1042</v>
      </c>
      <c r="X130" s="1805">
        <f t="shared" si="49"/>
        <v>681013.02599999995</v>
      </c>
      <c r="Y130" s="1805">
        <v>2216000</v>
      </c>
      <c r="Z130" s="1805">
        <v>45045</v>
      </c>
      <c r="AA130" s="976">
        <f t="shared" si="50"/>
        <v>2851968.0260000001</v>
      </c>
      <c r="AB130" s="977">
        <v>5714</v>
      </c>
      <c r="AC130" s="970">
        <v>-80629</v>
      </c>
      <c r="AD130" s="1807">
        <f t="shared" si="51"/>
        <v>499.11936051802593</v>
      </c>
      <c r="AE130" s="1807">
        <f t="shared" si="52"/>
        <v>-35.371491969390668</v>
      </c>
      <c r="AF130" s="1808">
        <f t="shared" si="53"/>
        <v>0</v>
      </c>
      <c r="AG130" s="1817"/>
      <c r="AH130" s="1816"/>
      <c r="AI130" s="1817"/>
      <c r="AJ130" s="1818"/>
      <c r="AK130" s="1816"/>
      <c r="AL130" s="1813"/>
      <c r="AM130" s="1812"/>
      <c r="AN130" s="1814"/>
      <c r="AO130" s="1819"/>
      <c r="AP130" s="1819"/>
    </row>
    <row r="131" spans="1:73" s="1773" customFormat="1" ht="13.5" customHeight="1">
      <c r="A131" s="1809"/>
      <c r="B131" s="1794" t="s">
        <v>1047</v>
      </c>
      <c r="C131" s="1797" t="s">
        <v>1048</v>
      </c>
      <c r="D131" s="1796" t="s">
        <v>1144</v>
      </c>
      <c r="E131" s="1797" t="s">
        <v>1050</v>
      </c>
      <c r="F131" s="1798">
        <v>42179</v>
      </c>
      <c r="G131" s="1810">
        <v>5</v>
      </c>
      <c r="H131" s="1810">
        <v>0</v>
      </c>
      <c r="I131" s="1810">
        <v>0</v>
      </c>
      <c r="J131" s="1810">
        <v>4.1599000000000004</v>
      </c>
      <c r="K131" s="1799">
        <f t="shared" si="42"/>
        <v>3788.0600000000004</v>
      </c>
      <c r="L131" s="975">
        <v>4000</v>
      </c>
      <c r="M131" s="975">
        <v>7788.06</v>
      </c>
      <c r="N131" s="1799">
        <f t="shared" si="43"/>
        <v>18940.300000000003</v>
      </c>
      <c r="O131" s="1800">
        <f t="shared" si="44"/>
        <v>20000</v>
      </c>
      <c r="P131" s="1799">
        <f t="shared" si="45"/>
        <v>38940.300000000003</v>
      </c>
      <c r="Q131" s="1799"/>
      <c r="R131" s="1777">
        <v>1</v>
      </c>
      <c r="S131" s="775">
        <f t="shared" si="46"/>
        <v>4.1599000000000004</v>
      </c>
      <c r="T131" s="1801">
        <f t="shared" si="47"/>
        <v>32397.550794000006</v>
      </c>
      <c r="U131" s="1802">
        <f t="shared" si="48"/>
        <v>-0.16801999999999995</v>
      </c>
      <c r="V131" s="1803" t="s">
        <v>1051</v>
      </c>
      <c r="W131" s="1804" t="s">
        <v>1052</v>
      </c>
      <c r="X131" s="1805">
        <f t="shared" si="49"/>
        <v>38940.300000000003</v>
      </c>
      <c r="Y131" s="1805">
        <v>0</v>
      </c>
      <c r="Z131" s="1805">
        <v>1975.31</v>
      </c>
      <c r="AA131" s="976">
        <f t="shared" si="50"/>
        <v>36964.990000000005</v>
      </c>
      <c r="AB131" s="977">
        <v>0</v>
      </c>
      <c r="AC131" s="970">
        <v>-12714.72</v>
      </c>
      <c r="AD131" s="1807" t="str">
        <f t="shared" si="51"/>
        <v>n/a</v>
      </c>
      <c r="AE131" s="1807">
        <f t="shared" si="52"/>
        <v>-2.9072594599015948</v>
      </c>
      <c r="AF131" s="1808">
        <f t="shared" si="53"/>
        <v>0</v>
      </c>
      <c r="AG131" s="1788"/>
      <c r="AK131" s="1800"/>
      <c r="AL131" s="1813"/>
      <c r="AM131" s="1812"/>
    </row>
    <row r="132" spans="1:73" s="1773" customFormat="1" ht="13.5" customHeight="1">
      <c r="A132" s="1809"/>
      <c r="B132" s="1794" t="s">
        <v>1086</v>
      </c>
      <c r="C132" s="1797" t="s">
        <v>1087</v>
      </c>
      <c r="D132" s="1796" t="s">
        <v>510</v>
      </c>
      <c r="E132" s="1797" t="s">
        <v>1088</v>
      </c>
      <c r="F132" s="1798">
        <v>42109</v>
      </c>
      <c r="G132" s="1810">
        <v>11</v>
      </c>
      <c r="H132" s="1810">
        <v>12</v>
      </c>
      <c r="I132" s="1810">
        <v>14</v>
      </c>
      <c r="J132" s="1810">
        <v>12.5</v>
      </c>
      <c r="K132" s="1799">
        <f t="shared" si="42"/>
        <v>8371.7650000000012</v>
      </c>
      <c r="L132" s="975">
        <v>5090.9089999999997</v>
      </c>
      <c r="M132" s="975">
        <v>13462.674000000001</v>
      </c>
      <c r="N132" s="1799">
        <f t="shared" si="43"/>
        <v>92089.415000000008</v>
      </c>
      <c r="O132" s="1800">
        <f t="shared" si="44"/>
        <v>55999.998999999996</v>
      </c>
      <c r="P132" s="1799">
        <f t="shared" si="45"/>
        <v>148089.41399999999</v>
      </c>
      <c r="Q132" s="1799"/>
      <c r="R132" s="1777">
        <v>1</v>
      </c>
      <c r="S132" s="775">
        <f t="shared" si="46"/>
        <v>12.5</v>
      </c>
      <c r="T132" s="1801">
        <f t="shared" si="47"/>
        <v>168283.42500000002</v>
      </c>
      <c r="U132" s="1802">
        <f t="shared" si="48"/>
        <v>0.13636363636363646</v>
      </c>
      <c r="V132" s="1814" t="s">
        <v>1089</v>
      </c>
      <c r="W132" s="1804" t="s">
        <v>1090</v>
      </c>
      <c r="X132" s="1805">
        <f t="shared" si="49"/>
        <v>148089.41399999999</v>
      </c>
      <c r="Y132" s="1805">
        <v>18146520</v>
      </c>
      <c r="Z132" s="1805">
        <v>10255.02</v>
      </c>
      <c r="AA132" s="976">
        <f t="shared" si="50"/>
        <v>18284354.394000001</v>
      </c>
      <c r="AB132" s="977">
        <v>0</v>
      </c>
      <c r="AC132" s="970">
        <v>-29908</v>
      </c>
      <c r="AD132" s="1807" t="str">
        <f t="shared" si="51"/>
        <v>n/a</v>
      </c>
      <c r="AE132" s="1807">
        <f t="shared" si="52"/>
        <v>-611.35329657616694</v>
      </c>
      <c r="AF132" s="1808">
        <f t="shared" si="53"/>
        <v>0</v>
      </c>
      <c r="AG132" s="1815"/>
      <c r="AH132" s="1815"/>
      <c r="AI132" s="1815"/>
      <c r="AJ132" s="1815"/>
      <c r="AK132" s="1816"/>
      <c r="AL132" s="1813"/>
      <c r="AM132" s="1812"/>
      <c r="AN132" s="1815"/>
      <c r="AO132" s="1815"/>
      <c r="AP132" s="1815"/>
      <c r="AQ132" s="1815"/>
      <c r="AR132" s="1815"/>
      <c r="AS132" s="1815"/>
      <c r="AT132" s="1815"/>
      <c r="AU132" s="1815"/>
      <c r="AV132" s="1815"/>
      <c r="AW132" s="1815"/>
      <c r="AX132" s="1815"/>
      <c r="AY132" s="1815"/>
      <c r="AZ132" s="1815"/>
      <c r="BA132" s="1815"/>
      <c r="BB132" s="1815"/>
      <c r="BC132" s="1815"/>
      <c r="BD132" s="1815"/>
      <c r="BE132" s="1815"/>
      <c r="BF132" s="1815"/>
      <c r="BG132" s="1815"/>
      <c r="BH132" s="1815"/>
      <c r="BI132" s="1815"/>
      <c r="BJ132" s="1815"/>
      <c r="BK132" s="1815"/>
      <c r="BL132" s="1815"/>
      <c r="BM132" s="1815"/>
      <c r="BN132" s="1815"/>
      <c r="BO132" s="1815"/>
      <c r="BP132" s="1815"/>
      <c r="BQ132" s="1815"/>
      <c r="BR132" s="1815"/>
      <c r="BS132" s="1815"/>
      <c r="BT132" s="1815"/>
      <c r="BU132" s="1815"/>
    </row>
    <row r="133" spans="1:73" s="1815" customFormat="1" ht="13.5" customHeight="1">
      <c r="A133" s="1809"/>
      <c r="B133" s="1794" t="s">
        <v>1096</v>
      </c>
      <c r="C133" s="1797" t="s">
        <v>1097</v>
      </c>
      <c r="D133" s="1796" t="s">
        <v>1049</v>
      </c>
      <c r="E133" s="1797" t="s">
        <v>1098</v>
      </c>
      <c r="F133" s="1798">
        <v>42108</v>
      </c>
      <c r="G133" s="1810">
        <v>17</v>
      </c>
      <c r="H133" s="1810">
        <v>14</v>
      </c>
      <c r="I133" s="1810">
        <v>16</v>
      </c>
      <c r="J133" s="1810">
        <v>31.47</v>
      </c>
      <c r="K133" s="1799">
        <f t="shared" si="42"/>
        <v>51950.504000000001</v>
      </c>
      <c r="L133" s="975">
        <v>7000</v>
      </c>
      <c r="M133" s="975">
        <v>58950.504000000001</v>
      </c>
      <c r="N133" s="1799">
        <f t="shared" si="43"/>
        <v>883158.56799999997</v>
      </c>
      <c r="O133" s="1800">
        <f t="shared" si="44"/>
        <v>119000</v>
      </c>
      <c r="P133" s="1799">
        <f t="shared" si="45"/>
        <v>1002158.568</v>
      </c>
      <c r="Q133" s="1799"/>
      <c r="R133" s="1777">
        <v>1</v>
      </c>
      <c r="S133" s="775">
        <f t="shared" si="46"/>
        <v>31.47</v>
      </c>
      <c r="T133" s="1801">
        <f t="shared" si="47"/>
        <v>1855172.3608800001</v>
      </c>
      <c r="U133" s="1802">
        <f t="shared" si="48"/>
        <v>0.85117647058823542</v>
      </c>
      <c r="V133" s="1804" t="s">
        <v>1099</v>
      </c>
      <c r="W133" s="1804" t="s">
        <v>1322</v>
      </c>
      <c r="X133" s="1805">
        <f t="shared" si="49"/>
        <v>1002158.568</v>
      </c>
      <c r="Y133" s="1805">
        <v>0</v>
      </c>
      <c r="Z133" s="1805">
        <v>119456</v>
      </c>
      <c r="AA133" s="976">
        <f t="shared" si="50"/>
        <v>882702.56799999997</v>
      </c>
      <c r="AB133" s="977">
        <v>96531</v>
      </c>
      <c r="AC133" s="970">
        <v>-17434</v>
      </c>
      <c r="AD133" s="1807">
        <f t="shared" si="51"/>
        <v>9.1442393428017947</v>
      </c>
      <c r="AE133" s="1807">
        <f t="shared" si="52"/>
        <v>-50.63109831364001</v>
      </c>
      <c r="AF133" s="1808">
        <f t="shared" si="53"/>
        <v>0</v>
      </c>
      <c r="AG133" s="1773"/>
      <c r="AH133" s="1773"/>
      <c r="AI133" s="1844"/>
      <c r="AJ133" s="1800"/>
      <c r="AK133" s="1813"/>
      <c r="AL133" s="1812"/>
      <c r="AM133" s="1773"/>
      <c r="AN133" s="1773"/>
      <c r="AO133" s="1773"/>
    </row>
    <row r="134" spans="1:73" s="1815" customFormat="1" ht="13.5" customHeight="1">
      <c r="A134" s="1809"/>
      <c r="B134" s="1794" t="s">
        <v>1105</v>
      </c>
      <c r="C134" s="1797" t="s">
        <v>1106</v>
      </c>
      <c r="D134" s="1796" t="s">
        <v>510</v>
      </c>
      <c r="E134" s="1797" t="s">
        <v>1107</v>
      </c>
      <c r="F134" s="1798">
        <v>42053</v>
      </c>
      <c r="G134" s="1810">
        <v>6</v>
      </c>
      <c r="H134" s="1810">
        <v>13</v>
      </c>
      <c r="I134" s="1810">
        <v>15</v>
      </c>
      <c r="J134" s="1810">
        <v>5.75</v>
      </c>
      <c r="K134" s="1799">
        <f t="shared" si="42"/>
        <v>9210.49</v>
      </c>
      <c r="L134" s="975">
        <v>6667</v>
      </c>
      <c r="M134" s="975">
        <v>15877.49</v>
      </c>
      <c r="N134" s="1799">
        <f t="shared" si="43"/>
        <v>55262.94</v>
      </c>
      <c r="O134" s="1800">
        <f t="shared" si="44"/>
        <v>40002</v>
      </c>
      <c r="P134" s="1799">
        <f t="shared" si="45"/>
        <v>95264.94</v>
      </c>
      <c r="Q134" s="1799"/>
      <c r="R134" s="1777">
        <v>1</v>
      </c>
      <c r="S134" s="775">
        <f t="shared" si="46"/>
        <v>5.75</v>
      </c>
      <c r="T134" s="1801">
        <f t="shared" si="47"/>
        <v>91295.567500000005</v>
      </c>
      <c r="U134" s="1802">
        <f t="shared" si="48"/>
        <v>-4.166666666666663E-2</v>
      </c>
      <c r="V134" s="1804" t="s">
        <v>1108</v>
      </c>
      <c r="W134" s="1804" t="s">
        <v>1109</v>
      </c>
      <c r="X134" s="1805">
        <f t="shared" si="49"/>
        <v>95264.94</v>
      </c>
      <c r="Y134" s="1805">
        <v>6274000</v>
      </c>
      <c r="Z134" s="1805">
        <v>5357</v>
      </c>
      <c r="AA134" s="976">
        <f t="shared" si="50"/>
        <v>6363907.9400000004</v>
      </c>
      <c r="AB134" s="977">
        <v>0</v>
      </c>
      <c r="AC134" s="970">
        <v>-32466</v>
      </c>
      <c r="AD134" s="1807" t="str">
        <f t="shared" si="51"/>
        <v>n/a</v>
      </c>
      <c r="AE134" s="1807">
        <f t="shared" si="52"/>
        <v>-196.01761658350276</v>
      </c>
      <c r="AF134" s="1808">
        <f t="shared" si="53"/>
        <v>0</v>
      </c>
      <c r="AG134" s="1773"/>
      <c r="AH134" s="1773"/>
      <c r="AI134" s="1844"/>
      <c r="AJ134" s="1800"/>
      <c r="AK134" s="1813"/>
      <c r="AL134" s="1812"/>
      <c r="AM134" s="1773"/>
      <c r="AN134" s="1773"/>
      <c r="AO134" s="1773"/>
    </row>
    <row r="135" spans="1:73" s="1815" customFormat="1" ht="13.5" customHeight="1">
      <c r="A135" s="1809"/>
      <c r="B135" s="1794" t="s">
        <v>1110</v>
      </c>
      <c r="C135" s="1797" t="s">
        <v>1111</v>
      </c>
      <c r="D135" s="1796" t="s">
        <v>510</v>
      </c>
      <c r="E135" s="1797" t="s">
        <v>1112</v>
      </c>
      <c r="F135" s="1798">
        <v>42048</v>
      </c>
      <c r="G135" s="1810">
        <v>12</v>
      </c>
      <c r="H135" s="1810">
        <v>14</v>
      </c>
      <c r="I135" s="1810">
        <v>16</v>
      </c>
      <c r="J135" s="1810">
        <v>9.75</v>
      </c>
      <c r="K135" s="1799">
        <f t="shared" si="42"/>
        <v>7905.3259999999991</v>
      </c>
      <c r="L135" s="975">
        <v>5000</v>
      </c>
      <c r="M135" s="975">
        <v>12905.325999999999</v>
      </c>
      <c r="N135" s="1799">
        <f t="shared" si="43"/>
        <v>94863.911999999982</v>
      </c>
      <c r="O135" s="1800">
        <f t="shared" si="44"/>
        <v>60000</v>
      </c>
      <c r="P135" s="1799">
        <f t="shared" si="45"/>
        <v>154863.91199999998</v>
      </c>
      <c r="Q135" s="1799"/>
      <c r="R135" s="1777">
        <v>1</v>
      </c>
      <c r="S135" s="775">
        <f t="shared" si="46"/>
        <v>9.75</v>
      </c>
      <c r="T135" s="1801">
        <f t="shared" si="47"/>
        <v>125826.92849999999</v>
      </c>
      <c r="U135" s="1802">
        <f t="shared" si="48"/>
        <v>-0.18749999999999989</v>
      </c>
      <c r="V135" s="1804" t="s">
        <v>1113</v>
      </c>
      <c r="W135" s="1804" t="s">
        <v>1114</v>
      </c>
      <c r="X135" s="1805">
        <f t="shared" si="49"/>
        <v>154863.91199999998</v>
      </c>
      <c r="Y135" s="1805">
        <v>0</v>
      </c>
      <c r="Z135" s="1805">
        <v>30605</v>
      </c>
      <c r="AA135" s="976">
        <f t="shared" si="50"/>
        <v>124258.91199999998</v>
      </c>
      <c r="AB135" s="977">
        <v>0</v>
      </c>
      <c r="AC135" s="970">
        <v>-32861</v>
      </c>
      <c r="AD135" s="1807" t="str">
        <f t="shared" si="51"/>
        <v>n/a</v>
      </c>
      <c r="AE135" s="1807">
        <f t="shared" si="52"/>
        <v>-3.7813490764127682</v>
      </c>
      <c r="AF135" s="1808">
        <f t="shared" si="53"/>
        <v>0</v>
      </c>
      <c r="AG135" s="1773"/>
      <c r="AH135" s="1773"/>
      <c r="AI135" s="1844"/>
      <c r="AJ135" s="1800"/>
      <c r="AK135" s="1813"/>
      <c r="AL135" s="1812"/>
      <c r="AM135" s="1773"/>
      <c r="AN135" s="1773"/>
      <c r="AO135" s="1773"/>
    </row>
    <row r="136" spans="1:73" s="1815" customFormat="1" ht="13.5" customHeight="1">
      <c r="A136" s="1809"/>
      <c r="B136" s="1794" t="s">
        <v>849</v>
      </c>
      <c r="C136" s="1797" t="s">
        <v>1121</v>
      </c>
      <c r="D136" s="1796" t="s">
        <v>510</v>
      </c>
      <c r="E136" s="1797" t="s">
        <v>1122</v>
      </c>
      <c r="F136" s="1798">
        <v>42033</v>
      </c>
      <c r="G136" s="1810">
        <v>10</v>
      </c>
      <c r="H136" s="1810">
        <v>12</v>
      </c>
      <c r="I136" s="1810">
        <v>14</v>
      </c>
      <c r="J136" s="1810">
        <v>13.43</v>
      </c>
      <c r="K136" s="1799">
        <f t="shared" si="42"/>
        <v>8492.8060000000005</v>
      </c>
      <c r="L136" s="975">
        <v>3600</v>
      </c>
      <c r="M136" s="975">
        <v>12092.806</v>
      </c>
      <c r="N136" s="1799">
        <f t="shared" si="43"/>
        <v>84928.06</v>
      </c>
      <c r="O136" s="1800">
        <f t="shared" si="44"/>
        <v>36000</v>
      </c>
      <c r="P136" s="1799">
        <f t="shared" si="45"/>
        <v>120928.06</v>
      </c>
      <c r="Q136" s="1799"/>
      <c r="R136" s="1777">
        <v>1</v>
      </c>
      <c r="S136" s="775">
        <f t="shared" si="46"/>
        <v>13.43</v>
      </c>
      <c r="T136" s="1801">
        <f t="shared" si="47"/>
        <v>162406.38458000001</v>
      </c>
      <c r="U136" s="1802">
        <f t="shared" si="48"/>
        <v>0.34300000000000019</v>
      </c>
      <c r="V136" s="1804" t="s">
        <v>1123</v>
      </c>
      <c r="W136" s="1804" t="s">
        <v>1124</v>
      </c>
      <c r="X136" s="1805">
        <f t="shared" si="49"/>
        <v>120928.06</v>
      </c>
      <c r="Y136" s="1805">
        <v>9464000</v>
      </c>
      <c r="Z136" s="1805">
        <v>39207</v>
      </c>
      <c r="AA136" s="976">
        <f t="shared" si="50"/>
        <v>9545721.0600000005</v>
      </c>
      <c r="AB136" s="977">
        <v>4592</v>
      </c>
      <c r="AC136" s="970">
        <v>-31294</v>
      </c>
      <c r="AD136" s="1807">
        <f t="shared" si="51"/>
        <v>2078.7720078397215</v>
      </c>
      <c r="AE136" s="1807">
        <f t="shared" si="52"/>
        <v>-305.03358663002496</v>
      </c>
      <c r="AF136" s="1808">
        <f t="shared" si="53"/>
        <v>0</v>
      </c>
      <c r="AI136" s="1845"/>
      <c r="AJ136" s="1816"/>
      <c r="AK136" s="1813"/>
      <c r="AL136" s="1812"/>
    </row>
    <row r="137" spans="1:73" s="1815" customFormat="1" ht="13.5" customHeight="1">
      <c r="A137" s="1809"/>
      <c r="B137" s="1794" t="s">
        <v>1129</v>
      </c>
      <c r="C137" s="1797" t="s">
        <v>1130</v>
      </c>
      <c r="D137" s="1796" t="s">
        <v>510</v>
      </c>
      <c r="E137" s="1797" t="s">
        <v>1131</v>
      </c>
      <c r="F137" s="1798">
        <v>42030</v>
      </c>
      <c r="G137" s="1810">
        <v>11</v>
      </c>
      <c r="H137" s="1810">
        <v>10</v>
      </c>
      <c r="I137" s="1810">
        <v>12</v>
      </c>
      <c r="J137" s="1810">
        <v>11.04</v>
      </c>
      <c r="K137" s="1799">
        <f t="shared" si="42"/>
        <v>7316.1119999999992</v>
      </c>
      <c r="L137" s="975">
        <v>4500</v>
      </c>
      <c r="M137" s="975">
        <v>11816.111999999999</v>
      </c>
      <c r="N137" s="1799">
        <f t="shared" si="43"/>
        <v>80477.231999999989</v>
      </c>
      <c r="O137" s="1800">
        <f t="shared" si="44"/>
        <v>49500</v>
      </c>
      <c r="P137" s="1799">
        <f t="shared" si="45"/>
        <v>129977.23199999999</v>
      </c>
      <c r="Q137" s="1799"/>
      <c r="R137" s="1777">
        <v>1</v>
      </c>
      <c r="S137" s="775">
        <f t="shared" si="46"/>
        <v>11.04</v>
      </c>
      <c r="T137" s="1801">
        <f t="shared" si="47"/>
        <v>130449.87647999998</v>
      </c>
      <c r="U137" s="1802">
        <f t="shared" si="48"/>
        <v>3.6363636363634377E-3</v>
      </c>
      <c r="V137" s="1804" t="s">
        <v>1132</v>
      </c>
      <c r="W137" s="1804" t="s">
        <v>1133</v>
      </c>
      <c r="X137" s="1805">
        <f t="shared" si="49"/>
        <v>129977.23199999999</v>
      </c>
      <c r="Y137" s="1805">
        <v>20263000</v>
      </c>
      <c r="Z137" s="1805">
        <v>2303</v>
      </c>
      <c r="AA137" s="976">
        <f t="shared" si="50"/>
        <v>20390674.232000001</v>
      </c>
      <c r="AB137" s="977">
        <v>0</v>
      </c>
      <c r="AC137" s="970">
        <v>-26747</v>
      </c>
      <c r="AD137" s="1807" t="str">
        <f t="shared" si="51"/>
        <v>n/a</v>
      </c>
      <c r="AE137" s="1807">
        <f t="shared" si="52"/>
        <v>-762.35369319923734</v>
      </c>
      <c r="AF137" s="1808">
        <f t="shared" si="53"/>
        <v>0</v>
      </c>
      <c r="AG137" s="1773"/>
      <c r="AH137" s="1773"/>
      <c r="AI137" s="1773"/>
      <c r="AJ137" s="1800"/>
      <c r="AK137" s="1813"/>
      <c r="AL137" s="1812"/>
      <c r="AM137" s="1773"/>
      <c r="AN137" s="1773"/>
      <c r="AO137" s="1773"/>
    </row>
    <row r="138" spans="1:73" s="1815" customFormat="1" ht="13.5" customHeight="1">
      <c r="A138" s="1842"/>
      <c r="B138" s="1794" t="s">
        <v>1134</v>
      </c>
      <c r="C138" s="1797" t="s">
        <v>1135</v>
      </c>
      <c r="D138" s="1796" t="s">
        <v>510</v>
      </c>
      <c r="E138" s="1797" t="s">
        <v>1136</v>
      </c>
      <c r="F138" s="1798">
        <v>41991</v>
      </c>
      <c r="G138" s="1810">
        <v>19</v>
      </c>
      <c r="H138" s="1810">
        <v>15</v>
      </c>
      <c r="I138" s="1810">
        <v>17</v>
      </c>
      <c r="J138" s="1810">
        <v>29.13</v>
      </c>
      <c r="K138" s="1799">
        <f t="shared" si="42"/>
        <v>18499.571</v>
      </c>
      <c r="L138" s="975">
        <v>8452.5</v>
      </c>
      <c r="M138" s="975">
        <v>26952.071</v>
      </c>
      <c r="N138" s="1799">
        <f t="shared" si="43"/>
        <v>351491.84899999999</v>
      </c>
      <c r="O138" s="1800">
        <f t="shared" si="44"/>
        <v>160597.5</v>
      </c>
      <c r="P138" s="1799">
        <f t="shared" si="45"/>
        <v>512089.34899999999</v>
      </c>
      <c r="Q138" s="1799"/>
      <c r="R138" s="1777">
        <v>1</v>
      </c>
      <c r="S138" s="775">
        <f t="shared" si="46"/>
        <v>29.13</v>
      </c>
      <c r="T138" s="1801">
        <f t="shared" si="47"/>
        <v>785113.82822999998</v>
      </c>
      <c r="U138" s="1802">
        <f t="shared" si="48"/>
        <v>0.53315789473684205</v>
      </c>
      <c r="V138" s="1804" t="s">
        <v>1137</v>
      </c>
      <c r="W138" s="1804" t="s">
        <v>1138</v>
      </c>
      <c r="X138" s="1805">
        <f t="shared" si="49"/>
        <v>512089.34899999999</v>
      </c>
      <c r="Y138" s="1805">
        <v>35663310</v>
      </c>
      <c r="Z138" s="1805">
        <v>213469</v>
      </c>
      <c r="AA138" s="976">
        <f t="shared" si="50"/>
        <v>35961930.348999999</v>
      </c>
      <c r="AB138" s="977">
        <v>284</v>
      </c>
      <c r="AC138" s="970">
        <v>-60286</v>
      </c>
      <c r="AD138" s="1807">
        <f t="shared" si="51"/>
        <v>126626.51531338028</v>
      </c>
      <c r="AE138" s="1807">
        <f t="shared" si="52"/>
        <v>-596.52208388348868</v>
      </c>
      <c r="AF138" s="1808">
        <f t="shared" si="53"/>
        <v>0</v>
      </c>
      <c r="AG138" s="1773"/>
      <c r="AH138" s="1773"/>
      <c r="AI138" s="1773"/>
      <c r="AJ138" s="1800"/>
      <c r="AK138" s="1813"/>
      <c r="AL138" s="1812"/>
      <c r="AM138" s="1773"/>
      <c r="AN138" s="1773"/>
      <c r="AO138" s="1773"/>
    </row>
    <row r="139" spans="1:73" s="1815" customFormat="1" ht="13.5" customHeight="1">
      <c r="A139" s="1809"/>
      <c r="B139" s="1794" t="s">
        <v>1516</v>
      </c>
      <c r="C139" s="1797" t="s">
        <v>1517</v>
      </c>
      <c r="D139" s="1796" t="s">
        <v>510</v>
      </c>
      <c r="E139" s="1797" t="s">
        <v>1518</v>
      </c>
      <c r="F139" s="1798">
        <v>41535</v>
      </c>
      <c r="G139" s="1810">
        <v>15</v>
      </c>
      <c r="H139" s="1810">
        <v>13</v>
      </c>
      <c r="I139" s="1810">
        <v>15</v>
      </c>
      <c r="J139" s="1810">
        <v>22.8</v>
      </c>
      <c r="K139" s="1799">
        <f t="shared" si="42"/>
        <v>20964.187999999998</v>
      </c>
      <c r="L139" s="1800">
        <v>5580</v>
      </c>
      <c r="M139" s="1800">
        <v>26544.187999999998</v>
      </c>
      <c r="N139" s="1799">
        <f t="shared" si="43"/>
        <v>314462.81999999995</v>
      </c>
      <c r="O139" s="1800">
        <f t="shared" si="44"/>
        <v>83700</v>
      </c>
      <c r="P139" s="1799">
        <f t="shared" si="45"/>
        <v>398162.81999999995</v>
      </c>
      <c r="Q139" s="1799"/>
      <c r="R139" s="1777">
        <v>1</v>
      </c>
      <c r="S139" s="775">
        <f t="shared" si="46"/>
        <v>22.8</v>
      </c>
      <c r="T139" s="1801">
        <f t="shared" si="47"/>
        <v>605207.48639999994</v>
      </c>
      <c r="U139" s="1802">
        <f t="shared" si="48"/>
        <v>0.52</v>
      </c>
      <c r="V139" s="1803" t="s">
        <v>1519</v>
      </c>
      <c r="W139" s="1804" t="s">
        <v>1520</v>
      </c>
      <c r="X139" s="1805">
        <f t="shared" si="49"/>
        <v>398162.81999999995</v>
      </c>
      <c r="Y139" s="1828"/>
      <c r="Z139" s="1828"/>
      <c r="AA139" s="976"/>
      <c r="AB139" s="977"/>
      <c r="AC139" s="977"/>
      <c r="AD139" s="1830"/>
      <c r="AE139" s="1830"/>
      <c r="AF139" s="1808"/>
      <c r="AG139" s="1788"/>
      <c r="AH139" s="1773"/>
      <c r="AI139" s="1773"/>
      <c r="AJ139" s="1773"/>
      <c r="AK139" s="1800"/>
      <c r="AL139" s="1813"/>
      <c r="AM139" s="1812"/>
      <c r="AN139" s="1773"/>
      <c r="AO139" s="1773"/>
      <c r="AP139" s="1773"/>
    </row>
    <row r="140" spans="1:73" s="1815" customFormat="1" ht="13.5" customHeight="1">
      <c r="A140" s="1842"/>
      <c r="B140" s="1794" t="s">
        <v>720</v>
      </c>
      <c r="C140" s="1797" t="s">
        <v>1323</v>
      </c>
      <c r="D140" s="1796" t="s">
        <v>1308</v>
      </c>
      <c r="E140" s="1797" t="s">
        <v>1324</v>
      </c>
      <c r="F140" s="1798">
        <v>41443</v>
      </c>
      <c r="G140" s="1810">
        <v>17</v>
      </c>
      <c r="H140" s="1810">
        <v>14</v>
      </c>
      <c r="I140" s="1810">
        <v>16</v>
      </c>
      <c r="J140" s="1810">
        <v>33.99</v>
      </c>
      <c r="K140" s="1799">
        <f t="shared" si="42"/>
        <v>16869.488000000001</v>
      </c>
      <c r="L140" s="975">
        <v>5000</v>
      </c>
      <c r="M140" s="975">
        <v>21869.488000000001</v>
      </c>
      <c r="N140" s="1799">
        <f t="shared" si="43"/>
        <v>286781.29600000003</v>
      </c>
      <c r="O140" s="1800">
        <f t="shared" si="44"/>
        <v>85000</v>
      </c>
      <c r="P140" s="1799">
        <f t="shared" si="45"/>
        <v>371781.29600000003</v>
      </c>
      <c r="Q140" s="1799"/>
      <c r="R140" s="1777">
        <v>1</v>
      </c>
      <c r="S140" s="775">
        <f t="shared" si="46"/>
        <v>33.99</v>
      </c>
      <c r="T140" s="1801">
        <f t="shared" si="47"/>
        <v>743343.8971200001</v>
      </c>
      <c r="U140" s="1802">
        <f t="shared" si="48"/>
        <v>0.99941176470588244</v>
      </c>
      <c r="V140" s="1804" t="s">
        <v>1325</v>
      </c>
      <c r="W140" s="1804" t="s">
        <v>1326</v>
      </c>
      <c r="X140" s="1805">
        <f t="shared" si="49"/>
        <v>371781.29600000003</v>
      </c>
      <c r="Y140" s="1805">
        <v>0</v>
      </c>
      <c r="Z140" s="1805">
        <v>131836</v>
      </c>
      <c r="AA140" s="976">
        <f>X140+Y140-Z140</f>
        <v>239945.29600000003</v>
      </c>
      <c r="AB140" s="977">
        <v>5846</v>
      </c>
      <c r="AC140" s="970">
        <v>-185088</v>
      </c>
      <c r="AD140" s="1807">
        <f>IFERROR(AA140/AB140,"n/a")</f>
        <v>41.044354430379755</v>
      </c>
      <c r="AE140" s="1807">
        <f>IFERROR(AA140/AC140,"n/a")</f>
        <v>-1.2963849412171509</v>
      </c>
      <c r="AF140" s="1808">
        <f>+P140-X140</f>
        <v>0</v>
      </c>
      <c r="AG140" s="1773"/>
      <c r="AH140" s="1773"/>
      <c r="AI140" s="1773"/>
      <c r="AJ140" s="1800"/>
      <c r="AK140" s="1813"/>
      <c r="AL140" s="1812"/>
      <c r="AM140" s="1773"/>
      <c r="AN140" s="1773"/>
      <c r="AO140" s="1773"/>
    </row>
    <row r="141" spans="1:73" s="1815" customFormat="1" ht="13.5" customHeight="1">
      <c r="A141" s="1842"/>
      <c r="B141" s="1794" t="s">
        <v>1158</v>
      </c>
      <c r="C141" s="1797" t="s">
        <v>1159</v>
      </c>
      <c r="D141" s="1796" t="s">
        <v>510</v>
      </c>
      <c r="E141" s="1797" t="s">
        <v>1160</v>
      </c>
      <c r="F141" s="1798">
        <v>41810</v>
      </c>
      <c r="G141" s="1810">
        <v>17</v>
      </c>
      <c r="H141" s="1810">
        <v>12</v>
      </c>
      <c r="I141" s="1810">
        <v>14</v>
      </c>
      <c r="J141" s="1810">
        <v>22.84</v>
      </c>
      <c r="K141" s="1799">
        <v>29366.629000000001</v>
      </c>
      <c r="L141" s="975">
        <v>8625</v>
      </c>
      <c r="M141" s="975">
        <v>37991.629000000001</v>
      </c>
      <c r="N141" s="1799">
        <v>499232.69300000003</v>
      </c>
      <c r="O141" s="1800">
        <v>146625</v>
      </c>
      <c r="P141" s="1799">
        <v>645857.69299999997</v>
      </c>
      <c r="Q141" s="1799"/>
      <c r="R141" s="1777">
        <v>1</v>
      </c>
      <c r="S141" s="775">
        <v>22.84</v>
      </c>
      <c r="T141" s="1801">
        <v>867728.80636000005</v>
      </c>
      <c r="U141" s="1802">
        <v>0.34352941176470608</v>
      </c>
      <c r="V141" s="1804" t="s">
        <v>1161</v>
      </c>
      <c r="W141" s="1804" t="s">
        <v>1162</v>
      </c>
      <c r="X141" s="1805">
        <v>645857.69299999997</v>
      </c>
      <c r="Y141" s="1805">
        <v>0</v>
      </c>
      <c r="Z141" s="1805">
        <v>18628.759999999998</v>
      </c>
      <c r="AA141" s="976">
        <v>627228.93299999996</v>
      </c>
      <c r="AB141" s="977">
        <v>19896</v>
      </c>
      <c r="AC141" s="970">
        <v>-170008</v>
      </c>
      <c r="AD141" s="1807">
        <v>31.52537861881785</v>
      </c>
      <c r="AE141" s="1807">
        <v>-3.6894083396075477</v>
      </c>
      <c r="AF141" s="1808">
        <v>0</v>
      </c>
      <c r="AG141" s="1773"/>
      <c r="AH141" s="1773"/>
      <c r="AI141" s="1773"/>
      <c r="AJ141" s="1800"/>
      <c r="AK141" s="1813"/>
      <c r="AL141" s="1812"/>
      <c r="AM141" s="1773"/>
      <c r="AN141" s="1773"/>
      <c r="AO141" s="1773"/>
    </row>
    <row r="142" spans="1:73" s="1815" customFormat="1" ht="13.5" customHeight="1">
      <c r="A142" s="1842"/>
      <c r="B142" s="1794" t="s">
        <v>2134</v>
      </c>
      <c r="C142" s="1797" t="s">
        <v>1163</v>
      </c>
      <c r="D142" s="1796" t="s">
        <v>1144</v>
      </c>
      <c r="E142" s="1797" t="s">
        <v>2271</v>
      </c>
      <c r="F142" s="1798">
        <v>41808</v>
      </c>
      <c r="G142" s="1810">
        <v>16</v>
      </c>
      <c r="H142" s="1810">
        <v>14</v>
      </c>
      <c r="I142" s="1810">
        <v>16</v>
      </c>
      <c r="J142" s="1810">
        <v>17.86</v>
      </c>
      <c r="K142" s="1799">
        <f>+M142-L142</f>
        <v>15807.011999999999</v>
      </c>
      <c r="L142" s="975">
        <v>6000</v>
      </c>
      <c r="M142" s="975">
        <v>21807.011999999999</v>
      </c>
      <c r="N142" s="1799">
        <f>+G142*K142</f>
        <v>252912.19199999998</v>
      </c>
      <c r="O142" s="1800">
        <f>+G142*L142</f>
        <v>96000</v>
      </c>
      <c r="P142" s="1799">
        <f>+N142+O142</f>
        <v>348912.19199999998</v>
      </c>
      <c r="Q142" s="1799"/>
      <c r="R142" s="1777">
        <v>1</v>
      </c>
      <c r="S142" s="775">
        <f>J142</f>
        <v>17.86</v>
      </c>
      <c r="T142" s="1801">
        <f>S142*M142</f>
        <v>389473.23431999999</v>
      </c>
      <c r="U142" s="1802">
        <f>T142/P142-1</f>
        <v>0.11624999999999996</v>
      </c>
      <c r="V142" s="1804" t="s">
        <v>2133</v>
      </c>
      <c r="W142" s="1804" t="s">
        <v>2272</v>
      </c>
      <c r="X142" s="1805">
        <f>+N142+O142</f>
        <v>348912.19199999998</v>
      </c>
      <c r="Y142" s="1805">
        <v>7376000</v>
      </c>
      <c r="Z142" s="1805">
        <v>38483000</v>
      </c>
      <c r="AA142" s="976">
        <f>X142+Y142-Z142</f>
        <v>-30758087.807999998</v>
      </c>
      <c r="AB142" s="977"/>
      <c r="AC142" s="970"/>
      <c r="AD142" s="1807" t="str">
        <f>IFERROR(AA142/AB142,"n/a")</f>
        <v>n/a</v>
      </c>
      <c r="AE142" s="1807" t="str">
        <f>IFERROR(AA142/AC142,"n/a")</f>
        <v>n/a</v>
      </c>
      <c r="AF142" s="1808">
        <f>+P142-X142</f>
        <v>0</v>
      </c>
      <c r="AG142" s="1773"/>
      <c r="AH142" s="1773"/>
      <c r="AI142" s="1773"/>
      <c r="AJ142" s="1800"/>
      <c r="AK142" s="1813"/>
      <c r="AL142" s="1812"/>
      <c r="AM142" s="1773"/>
      <c r="AN142" s="1773"/>
      <c r="AO142" s="1773"/>
    </row>
    <row r="143" spans="1:73" s="1841" customFormat="1" ht="13.5" customHeight="1">
      <c r="A143" s="1809"/>
      <c r="B143" s="1794"/>
      <c r="C143" s="1797"/>
      <c r="D143" s="1796"/>
      <c r="E143" s="1797"/>
      <c r="F143" s="1798"/>
      <c r="G143" s="1820"/>
      <c r="H143" s="1810"/>
      <c r="I143" s="1810"/>
      <c r="J143" s="1820"/>
      <c r="K143" s="1821"/>
      <c r="L143" s="1800"/>
      <c r="M143" s="1800"/>
      <c r="N143" s="1799"/>
      <c r="O143" s="1800"/>
      <c r="P143" s="1799"/>
      <c r="Q143" s="1799"/>
      <c r="R143" s="1799"/>
      <c r="S143" s="775"/>
      <c r="T143" s="1846"/>
      <c r="U143" s="1847"/>
      <c r="V143" s="1848"/>
      <c r="W143" s="1848"/>
      <c r="X143" s="1800"/>
      <c r="Y143" s="1805"/>
      <c r="Z143" s="1805"/>
      <c r="AA143" s="976"/>
      <c r="AB143" s="977"/>
      <c r="AC143" s="970"/>
      <c r="AD143" s="1807"/>
      <c r="AE143" s="1807"/>
      <c r="AF143" s="1809"/>
      <c r="AJ143" s="1800"/>
      <c r="AK143" s="1797"/>
      <c r="AL143" s="1809"/>
    </row>
    <row r="144" spans="1:73" s="1815" customFormat="1" ht="13.5" customHeight="1">
      <c r="A144" s="1809"/>
      <c r="B144" s="1827" t="str">
        <f>B93&amp;" Metrics"</f>
        <v>Phase II / IIa / IIb / II/III Metrics</v>
      </c>
      <c r="C144" s="1797"/>
      <c r="D144" s="1796"/>
      <c r="E144" s="1797"/>
      <c r="F144" s="1798"/>
      <c r="G144" s="1820"/>
      <c r="H144" s="1810"/>
      <c r="I144" s="1810"/>
      <c r="J144" s="1820"/>
      <c r="K144" s="1821"/>
      <c r="L144" s="1800"/>
      <c r="M144" s="1800"/>
      <c r="N144" s="1799"/>
      <c r="O144" s="1800"/>
      <c r="P144" s="1799"/>
      <c r="Q144" s="1799"/>
      <c r="R144" s="1799"/>
      <c r="S144" s="775"/>
      <c r="T144" s="1801"/>
      <c r="U144" s="1802"/>
      <c r="V144" s="1804"/>
      <c r="W144" s="1804"/>
      <c r="X144" s="1805"/>
      <c r="Y144" s="1805"/>
      <c r="Z144" s="1805"/>
      <c r="AA144" s="976"/>
      <c r="AB144" s="977"/>
      <c r="AC144" s="970"/>
      <c r="AD144" s="1807"/>
      <c r="AE144" s="1807"/>
      <c r="AF144" s="1808"/>
      <c r="AG144" s="1773"/>
      <c r="AH144" s="1773"/>
      <c r="AI144" s="1773"/>
      <c r="AJ144" s="1800"/>
      <c r="AK144" s="1813"/>
      <c r="AL144" s="1812"/>
      <c r="AM144" s="1773"/>
      <c r="AN144" s="1773"/>
      <c r="AO144" s="1773"/>
    </row>
    <row r="145" spans="1:42" s="1815" customFormat="1" ht="13.5" customHeight="1">
      <c r="A145" s="1809"/>
      <c r="B145" s="1822" t="s">
        <v>111</v>
      </c>
      <c r="C145" s="1823"/>
      <c r="D145" s="1823"/>
      <c r="E145" s="1823"/>
      <c r="F145" s="1823"/>
      <c r="G145" s="1823"/>
      <c r="H145" s="1823"/>
      <c r="I145" s="1823"/>
      <c r="J145" s="1823"/>
      <c r="K145" s="1823"/>
      <c r="L145" s="1823"/>
      <c r="M145" s="1823"/>
      <c r="N145" s="1824">
        <f>MAX(N94:N142)</f>
        <v>1766090.8</v>
      </c>
      <c r="O145" s="1824"/>
      <c r="P145" s="2536">
        <f>MAX(P94:P142)</f>
        <v>1973290.8</v>
      </c>
      <c r="Q145" s="1799"/>
      <c r="R145" s="1799"/>
      <c r="S145" s="1826">
        <f>MAX(S105:S140)</f>
        <v>52.72</v>
      </c>
      <c r="T145" s="1801"/>
      <c r="U145" s="1802"/>
      <c r="V145" s="1814"/>
      <c r="W145" s="1804"/>
      <c r="X145" s="1805"/>
      <c r="Y145" s="1805"/>
      <c r="Z145" s="1805"/>
      <c r="AA145" s="976"/>
      <c r="AB145" s="977"/>
      <c r="AC145" s="970"/>
      <c r="AD145" s="1807"/>
      <c r="AE145" s="1807"/>
      <c r="AF145" s="1808"/>
      <c r="AK145" s="1816"/>
      <c r="AL145" s="1813"/>
      <c r="AM145" s="1812"/>
    </row>
    <row r="146" spans="1:42" s="1815" customFormat="1" ht="13.5" customHeight="1">
      <c r="A146" s="1809"/>
      <c r="B146" s="776" t="s">
        <v>115</v>
      </c>
      <c r="C146" s="777"/>
      <c r="D146" s="777"/>
      <c r="E146" s="777"/>
      <c r="F146" s="777"/>
      <c r="G146" s="777"/>
      <c r="H146" s="777"/>
      <c r="I146" s="777"/>
      <c r="J146" s="777"/>
      <c r="K146" s="777"/>
      <c r="L146" s="777"/>
      <c r="M146" s="777"/>
      <c r="N146" s="769">
        <f>_xlfn.QUARTILE.INC(N94:N142,3)</f>
        <v>413619.91099999996</v>
      </c>
      <c r="O146" s="769"/>
      <c r="P146" s="778">
        <f>_xlfn.QUARTILE.INC(P94:P142,3)</f>
        <v>515554.005</v>
      </c>
      <c r="Q146" s="1799"/>
      <c r="R146" s="1799"/>
      <c r="S146" s="920">
        <f>_xlfn.QUARTILE.INC(S105:S140,3)</f>
        <v>22.622499999999999</v>
      </c>
      <c r="T146" s="1801"/>
      <c r="U146" s="1802"/>
      <c r="V146" s="1814"/>
      <c r="W146" s="1804"/>
      <c r="X146" s="1805"/>
      <c r="Y146" s="1805"/>
      <c r="Z146" s="1805"/>
      <c r="AA146" s="976"/>
      <c r="AB146" s="977"/>
      <c r="AC146" s="970"/>
      <c r="AD146" s="1807"/>
      <c r="AE146" s="1807"/>
      <c r="AF146" s="1808"/>
      <c r="AK146" s="1816"/>
      <c r="AL146" s="1813"/>
      <c r="AM146" s="1812"/>
    </row>
    <row r="147" spans="1:42" s="1815" customFormat="1" ht="13.5" customHeight="1">
      <c r="A147" s="1809"/>
      <c r="B147" s="776" t="s">
        <v>43</v>
      </c>
      <c r="C147" s="777"/>
      <c r="D147" s="777"/>
      <c r="E147" s="777"/>
      <c r="F147" s="777"/>
      <c r="G147" s="777"/>
      <c r="H147" s="777"/>
      <c r="I147" s="777"/>
      <c r="J147" s="777"/>
      <c r="K147" s="777"/>
      <c r="L147" s="777"/>
      <c r="M147" s="777"/>
      <c r="N147" s="769">
        <f>AVERAGE(N94:N142)</f>
        <v>287234.2723979592</v>
      </c>
      <c r="O147" s="769"/>
      <c r="P147" s="778">
        <f>AVERAGE(P94:P142)</f>
        <v>372041.25558163278</v>
      </c>
      <c r="Q147" s="1799"/>
      <c r="R147" s="1799"/>
      <c r="S147" s="920">
        <f>AVERAGE(S105:S140)</f>
        <v>17.844163888888886</v>
      </c>
      <c r="T147" s="1801"/>
      <c r="U147" s="1802"/>
      <c r="V147" s="1814"/>
      <c r="W147" s="1804"/>
      <c r="X147" s="1805"/>
      <c r="Y147" s="1805"/>
      <c r="Z147" s="1805"/>
      <c r="AA147" s="976"/>
      <c r="AB147" s="977"/>
      <c r="AC147" s="970"/>
      <c r="AD147" s="1807"/>
      <c r="AE147" s="1807"/>
      <c r="AF147" s="1808"/>
      <c r="AK147" s="1816"/>
      <c r="AL147" s="1813"/>
      <c r="AM147" s="1812"/>
    </row>
    <row r="148" spans="1:42" s="1815" customFormat="1" ht="13.5" customHeight="1">
      <c r="A148" s="1809"/>
      <c r="B148" s="776" t="s">
        <v>44</v>
      </c>
      <c r="C148" s="777"/>
      <c r="D148" s="777"/>
      <c r="E148" s="777"/>
      <c r="F148" s="777"/>
      <c r="G148" s="777"/>
      <c r="H148" s="777"/>
      <c r="I148" s="777"/>
      <c r="J148" s="777"/>
      <c r="K148" s="777"/>
      <c r="L148" s="777"/>
      <c r="M148" s="777"/>
      <c r="N148" s="769">
        <f>MEDIAN(N94:N142)</f>
        <v>251159.58000000002</v>
      </c>
      <c r="O148" s="769"/>
      <c r="P148" s="778">
        <f>MEDIAN(P94:P142)</f>
        <v>348912.19199999998</v>
      </c>
      <c r="Q148" s="1799"/>
      <c r="R148" s="1799"/>
      <c r="S148" s="920">
        <f>MEDIAN(S105:S140)</f>
        <v>14.525</v>
      </c>
      <c r="T148" s="1801"/>
      <c r="U148" s="1802"/>
      <c r="V148" s="1814"/>
      <c r="W148" s="1804"/>
      <c r="X148" s="1805"/>
      <c r="Y148" s="1805"/>
      <c r="Z148" s="1805"/>
      <c r="AA148" s="976"/>
      <c r="AB148" s="977"/>
      <c r="AC148" s="970"/>
      <c r="AD148" s="1807"/>
      <c r="AE148" s="1807"/>
      <c r="AF148" s="1808"/>
      <c r="AK148" s="1816"/>
      <c r="AL148" s="1813"/>
      <c r="AM148" s="1812"/>
    </row>
    <row r="149" spans="1:42" s="1815" customFormat="1" ht="13.5" customHeight="1">
      <c r="A149" s="1809"/>
      <c r="B149" s="776" t="s">
        <v>114</v>
      </c>
      <c r="C149" s="777"/>
      <c r="D149" s="777"/>
      <c r="E149" s="777"/>
      <c r="F149" s="777"/>
      <c r="G149" s="777"/>
      <c r="H149" s="777"/>
      <c r="I149" s="777"/>
      <c r="J149" s="777"/>
      <c r="K149" s="777"/>
      <c r="L149" s="777"/>
      <c r="M149" s="777"/>
      <c r="N149" s="769">
        <f>_xlfn.QUARTILE.INC(N94:N142,1)</f>
        <v>94863.911999999982</v>
      </c>
      <c r="O149" s="769"/>
      <c r="P149" s="778">
        <f>_xlfn.QUARTILE.INC(P94:P142,1)</f>
        <v>148089.41399999999</v>
      </c>
      <c r="Q149" s="1799"/>
      <c r="R149" s="1799"/>
      <c r="S149" s="920">
        <f>_xlfn.QUARTILE.INC(S105:S140,1)</f>
        <v>11.9125</v>
      </c>
      <c r="T149" s="1801"/>
      <c r="U149" s="1802"/>
      <c r="V149" s="1814"/>
      <c r="W149" s="1804"/>
      <c r="X149" s="1805"/>
      <c r="Y149" s="1805"/>
      <c r="Z149" s="1805"/>
      <c r="AA149" s="976"/>
      <c r="AB149" s="977"/>
      <c r="AC149" s="970"/>
      <c r="AD149" s="1807"/>
      <c r="AE149" s="1807"/>
      <c r="AF149" s="1808"/>
      <c r="AK149" s="1816"/>
      <c r="AL149" s="1813"/>
      <c r="AM149" s="1812"/>
    </row>
    <row r="150" spans="1:42" s="1815" customFormat="1" ht="13.5" customHeight="1">
      <c r="A150" s="1809"/>
      <c r="B150" s="921" t="s">
        <v>112</v>
      </c>
      <c r="C150" s="779"/>
      <c r="D150" s="779"/>
      <c r="E150" s="779"/>
      <c r="F150" s="779"/>
      <c r="G150" s="779"/>
      <c r="H150" s="779"/>
      <c r="I150" s="779"/>
      <c r="J150" s="779"/>
      <c r="K150" s="779"/>
      <c r="L150" s="779"/>
      <c r="M150" s="779"/>
      <c r="N150" s="770">
        <f>MIN(N94:N142)</f>
        <v>18940.300000000003</v>
      </c>
      <c r="O150" s="770"/>
      <c r="P150" s="780">
        <f>MIN(P94:P142)</f>
        <v>38940.300000000003</v>
      </c>
      <c r="Q150" s="1799"/>
      <c r="R150" s="1799"/>
      <c r="S150" s="922">
        <f>MIN(S105:S140)</f>
        <v>3.13</v>
      </c>
      <c r="T150" s="1801"/>
      <c r="U150" s="1802"/>
      <c r="V150" s="1814"/>
      <c r="W150" s="1804"/>
      <c r="X150" s="1805"/>
      <c r="Y150" s="1805"/>
      <c r="Z150" s="1805"/>
      <c r="AA150" s="976"/>
      <c r="AB150" s="977"/>
      <c r="AC150" s="970"/>
      <c r="AD150" s="1807"/>
      <c r="AE150" s="1807"/>
      <c r="AF150" s="1808"/>
      <c r="AK150" s="1816"/>
      <c r="AL150" s="1813"/>
      <c r="AM150" s="1812"/>
    </row>
    <row r="151" spans="1:42" s="1815" customFormat="1" ht="13.5" customHeight="1">
      <c r="A151" s="1809"/>
      <c r="B151" s="1794"/>
      <c r="C151" s="1797"/>
      <c r="D151" s="1796"/>
      <c r="E151" s="1797"/>
      <c r="F151" s="1798"/>
      <c r="G151" s="1820"/>
      <c r="H151" s="1810"/>
      <c r="I151" s="1810"/>
      <c r="J151" s="1820"/>
      <c r="K151" s="1821"/>
      <c r="L151" s="1800"/>
      <c r="M151" s="1800"/>
      <c r="N151" s="1799"/>
      <c r="O151" s="1800"/>
      <c r="P151" s="1799"/>
      <c r="Q151" s="1799"/>
      <c r="R151" s="1799"/>
      <c r="S151" s="775"/>
      <c r="T151" s="1801"/>
      <c r="U151" s="1802"/>
      <c r="V151" s="1814"/>
      <c r="W151" s="1804"/>
      <c r="X151" s="1805"/>
      <c r="Y151" s="1805"/>
      <c r="Z151" s="1805"/>
      <c r="AA151" s="976"/>
      <c r="AB151" s="977"/>
      <c r="AC151" s="970"/>
      <c r="AD151" s="1807"/>
      <c r="AE151" s="1807"/>
      <c r="AF151" s="1808"/>
      <c r="AK151" s="1816"/>
      <c r="AL151" s="1813"/>
      <c r="AM151" s="1812"/>
    </row>
    <row r="152" spans="1:42" s="1815" customFormat="1" ht="13.5" customHeight="1">
      <c r="A152" s="1809"/>
      <c r="B152" s="1827" t="s">
        <v>1521</v>
      </c>
      <c r="C152" s="1797"/>
      <c r="D152" s="1796"/>
      <c r="E152" s="1797"/>
      <c r="F152" s="1798"/>
      <c r="G152" s="1820"/>
      <c r="H152" s="1810"/>
      <c r="I152" s="1810"/>
      <c r="J152" s="1820"/>
      <c r="K152" s="1821"/>
      <c r="L152" s="1800"/>
      <c r="M152" s="1800"/>
      <c r="N152" s="1799"/>
      <c r="O152" s="1800"/>
      <c r="P152" s="1799"/>
      <c r="Q152" s="1799"/>
      <c r="R152" s="1799"/>
      <c r="S152" s="775"/>
      <c r="T152" s="1801"/>
      <c r="U152" s="1802"/>
      <c r="V152" s="1804"/>
      <c r="W152" s="1804"/>
      <c r="X152" s="1808"/>
      <c r="Y152" s="1805"/>
      <c r="Z152" s="1805"/>
      <c r="AA152" s="976"/>
      <c r="AB152" s="977"/>
      <c r="AC152" s="970"/>
      <c r="AD152" s="1807"/>
      <c r="AE152" s="1807"/>
      <c r="AF152" s="1788"/>
      <c r="AG152" s="1773"/>
      <c r="AH152" s="1773"/>
      <c r="AI152" s="1773"/>
      <c r="AJ152" s="1800"/>
      <c r="AK152" s="1813"/>
      <c r="AL152" s="1812"/>
      <c r="AM152" s="1773"/>
      <c r="AN152" s="1773"/>
      <c r="AO152" s="1773"/>
    </row>
    <row r="153" spans="1:42" s="1815" customFormat="1" ht="13.5" customHeight="1">
      <c r="A153" s="1809"/>
      <c r="B153" s="1794" t="s">
        <v>2773</v>
      </c>
      <c r="C153" s="2113" t="s">
        <v>2774</v>
      </c>
      <c r="D153" s="1796" t="s">
        <v>518</v>
      </c>
      <c r="E153" s="2114" t="s">
        <v>2775</v>
      </c>
      <c r="F153" s="1798">
        <v>43278</v>
      </c>
      <c r="G153" s="1820">
        <v>19</v>
      </c>
      <c r="H153" s="1810">
        <v>16</v>
      </c>
      <c r="I153" s="1810">
        <v>18</v>
      </c>
      <c r="J153" s="1820">
        <v>32.94</v>
      </c>
      <c r="K153" s="1799">
        <f t="shared" ref="K153:K161" si="54">+M153-L153</f>
        <v>28489.449000000001</v>
      </c>
      <c r="L153" s="1800">
        <v>11700</v>
      </c>
      <c r="M153" s="1800">
        <v>40189.449000000001</v>
      </c>
      <c r="N153" s="969">
        <f t="shared" ref="N153:N161" si="55">+G153*K153</f>
        <v>541299.53099999996</v>
      </c>
      <c r="O153" s="969">
        <f t="shared" ref="O153:O161" si="56">+G153*L153</f>
        <v>222300</v>
      </c>
      <c r="P153" s="969">
        <f t="shared" ref="P153:P161" si="57">+N153+O153</f>
        <v>763599.53099999996</v>
      </c>
      <c r="Q153" s="1799"/>
      <c r="R153" s="1777">
        <v>1</v>
      </c>
      <c r="S153" s="775">
        <f t="shared" ref="S153:S158" si="58">J153</f>
        <v>32.94</v>
      </c>
      <c r="T153" s="1801">
        <f t="shared" ref="T153:T158" si="59">S153*M153</f>
        <v>1323840.4500599999</v>
      </c>
      <c r="U153" s="1802">
        <f t="shared" ref="U153:U158" si="60">T153/P153-1</f>
        <v>0.73368421052631572</v>
      </c>
      <c r="V153" s="2118" t="s">
        <v>2781</v>
      </c>
      <c r="W153" s="2107" t="s">
        <v>2782</v>
      </c>
      <c r="X153" s="1805">
        <f t="shared" ref="X153:X158" si="61">+N153+O153</f>
        <v>763599.53099999996</v>
      </c>
      <c r="Y153" s="1805"/>
      <c r="Z153" s="1805"/>
      <c r="AA153" s="976"/>
      <c r="AB153" s="977"/>
      <c r="AC153" s="970"/>
      <c r="AD153" s="1807"/>
      <c r="AE153" s="1807"/>
      <c r="AF153" s="1788"/>
      <c r="AG153" s="1773"/>
      <c r="AH153" s="1773"/>
      <c r="AI153" s="1773"/>
      <c r="AJ153" s="1800"/>
      <c r="AK153" s="1813"/>
      <c r="AL153" s="1812"/>
      <c r="AM153" s="1773"/>
      <c r="AN153" s="1773"/>
      <c r="AO153" s="1773"/>
    </row>
    <row r="154" spans="1:42" s="1815" customFormat="1" ht="13.5" customHeight="1">
      <c r="A154" s="1809"/>
      <c r="B154" s="1794" t="s">
        <v>2734</v>
      </c>
      <c r="C154" s="2113" t="s">
        <v>2735</v>
      </c>
      <c r="D154" s="1796" t="s">
        <v>518</v>
      </c>
      <c r="E154" s="2114" t="s">
        <v>2736</v>
      </c>
      <c r="F154" s="1798">
        <v>43271</v>
      </c>
      <c r="G154" s="1820">
        <v>15</v>
      </c>
      <c r="H154" s="1810">
        <v>14</v>
      </c>
      <c r="I154" s="1810">
        <v>16</v>
      </c>
      <c r="J154" s="1820">
        <v>18.98</v>
      </c>
      <c r="K154" s="1799">
        <f t="shared" si="54"/>
        <v>14035.651000000002</v>
      </c>
      <c r="L154" s="1800">
        <f>5700000/1000</f>
        <v>5700</v>
      </c>
      <c r="M154" s="1800">
        <f>19735651/1000</f>
        <v>19735.651000000002</v>
      </c>
      <c r="N154" s="969">
        <f t="shared" si="55"/>
        <v>210534.76500000001</v>
      </c>
      <c r="O154" s="969">
        <f t="shared" si="56"/>
        <v>85500</v>
      </c>
      <c r="P154" s="969">
        <f t="shared" si="57"/>
        <v>296034.76500000001</v>
      </c>
      <c r="Q154" s="1799"/>
      <c r="R154" s="1777">
        <v>1</v>
      </c>
      <c r="S154" s="775">
        <f t="shared" si="58"/>
        <v>18.98</v>
      </c>
      <c r="T154" s="1801">
        <f t="shared" si="59"/>
        <v>374582.65598000004</v>
      </c>
      <c r="U154" s="1802">
        <f t="shared" si="60"/>
        <v>0.26533333333333342</v>
      </c>
      <c r="V154" s="2118" t="s">
        <v>2737</v>
      </c>
      <c r="W154" s="2107" t="s">
        <v>2738</v>
      </c>
      <c r="X154" s="1805">
        <f t="shared" si="61"/>
        <v>296034.76500000001</v>
      </c>
      <c r="Y154" s="1805"/>
      <c r="Z154" s="1805"/>
      <c r="AA154" s="976"/>
      <c r="AB154" s="977"/>
      <c r="AC154" s="970"/>
      <c r="AD154" s="1807"/>
      <c r="AE154" s="1807"/>
      <c r="AF154" s="1788"/>
      <c r="AG154" s="1773"/>
      <c r="AH154" s="1773"/>
      <c r="AI154" s="1773"/>
      <c r="AJ154" s="1800"/>
      <c r="AK154" s="1813"/>
      <c r="AL154" s="1812"/>
      <c r="AM154" s="1773"/>
      <c r="AN154" s="1773"/>
      <c r="AO154" s="1773"/>
    </row>
    <row r="155" spans="1:42" s="1815" customFormat="1" ht="13.5" customHeight="1">
      <c r="A155" s="1809"/>
      <c r="B155" s="1794" t="s">
        <v>2739</v>
      </c>
      <c r="C155" s="2113" t="s">
        <v>2740</v>
      </c>
      <c r="D155" s="1796" t="s">
        <v>518</v>
      </c>
      <c r="E155" s="2114" t="s">
        <v>2741</v>
      </c>
      <c r="F155" s="1798">
        <v>43265</v>
      </c>
      <c r="G155" s="1820">
        <v>15</v>
      </c>
      <c r="H155" s="1810">
        <v>14</v>
      </c>
      <c r="I155" s="1810">
        <v>16</v>
      </c>
      <c r="J155" s="1820">
        <v>19.73</v>
      </c>
      <c r="K155" s="1799">
        <f t="shared" si="54"/>
        <v>19946.370999999999</v>
      </c>
      <c r="L155" s="1800">
        <f>5000000/1000</f>
        <v>5000</v>
      </c>
      <c r="M155" s="1800">
        <f>24946371/1000</f>
        <v>24946.370999999999</v>
      </c>
      <c r="N155" s="969">
        <f t="shared" si="55"/>
        <v>299195.565</v>
      </c>
      <c r="O155" s="969">
        <f t="shared" si="56"/>
        <v>75000</v>
      </c>
      <c r="P155" s="969">
        <f t="shared" si="57"/>
        <v>374195.565</v>
      </c>
      <c r="Q155" s="1799"/>
      <c r="R155" s="1777">
        <v>1</v>
      </c>
      <c r="S155" s="775">
        <f t="shared" si="58"/>
        <v>19.73</v>
      </c>
      <c r="T155" s="1801">
        <f t="shared" si="59"/>
        <v>492191.89983000001</v>
      </c>
      <c r="U155" s="1802">
        <f t="shared" si="60"/>
        <v>0.31533333333333324</v>
      </c>
      <c r="V155" s="2118" t="s">
        <v>2742</v>
      </c>
      <c r="W155" s="2107" t="s">
        <v>2743</v>
      </c>
      <c r="X155" s="1805">
        <f t="shared" si="61"/>
        <v>374195.565</v>
      </c>
      <c r="Y155" s="1805"/>
      <c r="Z155" s="1805"/>
      <c r="AA155" s="976"/>
      <c r="AB155" s="977"/>
      <c r="AC155" s="970"/>
      <c r="AD155" s="1807"/>
      <c r="AE155" s="1807"/>
      <c r="AF155" s="1788"/>
      <c r="AG155" s="1773"/>
      <c r="AH155" s="1773"/>
      <c r="AI155" s="1773"/>
      <c r="AJ155" s="1800"/>
      <c r="AK155" s="1813"/>
      <c r="AL155" s="1812"/>
      <c r="AM155" s="1773"/>
      <c r="AN155" s="1773"/>
      <c r="AO155" s="1773"/>
    </row>
    <row r="156" spans="1:42" s="1815" customFormat="1" ht="13.5" customHeight="1">
      <c r="A156" s="1809"/>
      <c r="B156" s="1794" t="s">
        <v>2744</v>
      </c>
      <c r="C156" s="2113" t="s">
        <v>2745</v>
      </c>
      <c r="D156" s="1796" t="s">
        <v>518</v>
      </c>
      <c r="E156" s="2114" t="s">
        <v>2746</v>
      </c>
      <c r="F156" s="1798">
        <v>43244</v>
      </c>
      <c r="G156" s="1820">
        <v>13</v>
      </c>
      <c r="H156" s="2109">
        <v>14</v>
      </c>
      <c r="I156" s="2110">
        <v>16</v>
      </c>
      <c r="J156" s="1820">
        <v>12.17</v>
      </c>
      <c r="K156" s="1799">
        <f t="shared" si="54"/>
        <v>7809.4230000000007</v>
      </c>
      <c r="L156" s="1800">
        <f>6150000/1000</f>
        <v>6150</v>
      </c>
      <c r="M156" s="1800">
        <f>13959423/1000</f>
        <v>13959.423000000001</v>
      </c>
      <c r="N156" s="969">
        <f t="shared" si="55"/>
        <v>101522.49900000001</v>
      </c>
      <c r="O156" s="969">
        <f t="shared" si="56"/>
        <v>79950</v>
      </c>
      <c r="P156" s="969">
        <f t="shared" si="57"/>
        <v>181472.49900000001</v>
      </c>
      <c r="Q156" s="1799"/>
      <c r="R156" s="1777">
        <v>1</v>
      </c>
      <c r="S156" s="775">
        <f t="shared" si="58"/>
        <v>12.17</v>
      </c>
      <c r="T156" s="1801">
        <f t="shared" si="59"/>
        <v>169886.17791</v>
      </c>
      <c r="U156" s="1802">
        <f t="shared" si="60"/>
        <v>-6.3846153846153886E-2</v>
      </c>
      <c r="V156" s="2106" t="s">
        <v>2747</v>
      </c>
      <c r="W156" s="2107" t="s">
        <v>2748</v>
      </c>
      <c r="X156" s="1805">
        <f t="shared" si="61"/>
        <v>181472.49900000001</v>
      </c>
      <c r="Y156" s="1805"/>
      <c r="Z156" s="1805"/>
      <c r="AA156" s="976"/>
      <c r="AB156" s="977"/>
      <c r="AC156" s="970"/>
      <c r="AD156" s="1807"/>
      <c r="AE156" s="1807"/>
      <c r="AF156" s="1808"/>
      <c r="AK156" s="1816"/>
      <c r="AL156" s="1813"/>
      <c r="AM156" s="1812"/>
    </row>
    <row r="157" spans="1:42" s="1815" customFormat="1" ht="13.5" customHeight="1">
      <c r="A157" s="1809"/>
      <c r="B157" s="1794" t="s">
        <v>2749</v>
      </c>
      <c r="C157" s="1797" t="s">
        <v>2750</v>
      </c>
      <c r="D157" s="1796" t="s">
        <v>2751</v>
      </c>
      <c r="E157" s="1797" t="s">
        <v>2752</v>
      </c>
      <c r="F157" s="1798">
        <v>43161</v>
      </c>
      <c r="G157" s="1810">
        <v>4.4329499999999999</v>
      </c>
      <c r="H157" s="1810">
        <v>4.4329499999999999</v>
      </c>
      <c r="I157" s="1810">
        <v>5.6643299999999996</v>
      </c>
      <c r="J157" s="1810">
        <v>3.81304</v>
      </c>
      <c r="K157" s="1799">
        <f t="shared" si="54"/>
        <v>41807.949999999997</v>
      </c>
      <c r="L157" s="975">
        <v>11111.111000000001</v>
      </c>
      <c r="M157" s="975">
        <v>52919.061000000002</v>
      </c>
      <c r="N157" s="969">
        <f t="shared" si="55"/>
        <v>185332.55195249998</v>
      </c>
      <c r="O157" s="969">
        <f t="shared" si="56"/>
        <v>49254.999507450004</v>
      </c>
      <c r="P157" s="969">
        <f t="shared" si="57"/>
        <v>234587.55145994999</v>
      </c>
      <c r="Q157" s="1799"/>
      <c r="R157" s="1777">
        <v>1</v>
      </c>
      <c r="S157" s="775">
        <f t="shared" si="58"/>
        <v>3.81304</v>
      </c>
      <c r="T157" s="1801">
        <f t="shared" si="59"/>
        <v>201782.49635544</v>
      </c>
      <c r="U157" s="1802">
        <f t="shared" si="60"/>
        <v>-0.13984141485917945</v>
      </c>
      <c r="V157" s="1803" t="s">
        <v>2753</v>
      </c>
      <c r="W157" s="2105" t="s">
        <v>2754</v>
      </c>
      <c r="X157" s="1805">
        <f t="shared" si="61"/>
        <v>234587.55145994999</v>
      </c>
      <c r="Y157" s="1805"/>
      <c r="Z157" s="1805"/>
      <c r="AA157" s="976"/>
      <c r="AB157" s="977"/>
      <c r="AC157" s="970"/>
      <c r="AD157" s="1807"/>
      <c r="AE157" s="1807"/>
      <c r="AF157" s="1788"/>
      <c r="AG157" s="1773"/>
      <c r="AH157" s="1773"/>
      <c r="AI157" s="1773"/>
      <c r="AJ157" s="1800"/>
      <c r="AK157" s="1813"/>
      <c r="AL157" s="1812"/>
      <c r="AM157" s="1773"/>
      <c r="AN157" s="1773"/>
      <c r="AO157" s="1773"/>
    </row>
    <row r="158" spans="1:42" s="1815" customFormat="1" ht="13.5" customHeight="1">
      <c r="A158" s="1809"/>
      <c r="B158" s="1794" t="s">
        <v>2755</v>
      </c>
      <c r="C158" s="1797" t="s">
        <v>2756</v>
      </c>
      <c r="D158" s="1796" t="s">
        <v>518</v>
      </c>
      <c r="E158" s="1797" t="s">
        <v>2757</v>
      </c>
      <c r="F158" s="1798">
        <v>43125</v>
      </c>
      <c r="G158" s="1810">
        <v>17</v>
      </c>
      <c r="H158" s="1810">
        <v>14</v>
      </c>
      <c r="I158" s="1810">
        <v>16</v>
      </c>
      <c r="J158" s="1810">
        <v>46.06</v>
      </c>
      <c r="K158" s="1799">
        <f t="shared" si="54"/>
        <v>21746.286</v>
      </c>
      <c r="L158" s="969">
        <v>7529.4120000000003</v>
      </c>
      <c r="M158" s="969">
        <v>29275.698</v>
      </c>
      <c r="N158" s="969">
        <f t="shared" si="55"/>
        <v>369686.86200000002</v>
      </c>
      <c r="O158" s="969">
        <f t="shared" si="56"/>
        <v>128000.004</v>
      </c>
      <c r="P158" s="969">
        <f t="shared" si="57"/>
        <v>497686.86600000004</v>
      </c>
      <c r="Q158" s="1799"/>
      <c r="R158" s="1777">
        <v>1</v>
      </c>
      <c r="S158" s="775">
        <f t="shared" si="58"/>
        <v>46.06</v>
      </c>
      <c r="T158" s="1801">
        <f t="shared" si="59"/>
        <v>1348438.6498800002</v>
      </c>
      <c r="U158" s="1802">
        <f t="shared" si="60"/>
        <v>1.7094117647058824</v>
      </c>
      <c r="V158" s="1803" t="s">
        <v>2758</v>
      </c>
      <c r="W158" s="2105" t="s">
        <v>2759</v>
      </c>
      <c r="X158" s="1805">
        <f t="shared" si="61"/>
        <v>497686.86600000004</v>
      </c>
      <c r="Y158" s="1805"/>
      <c r="Z158" s="1805"/>
      <c r="AA158" s="976"/>
      <c r="AB158" s="977"/>
      <c r="AC158" s="970"/>
      <c r="AD158" s="1807"/>
      <c r="AE158" s="1807"/>
      <c r="AF158" s="1788"/>
      <c r="AG158" s="1773"/>
      <c r="AH158" s="1773"/>
      <c r="AI158" s="1773"/>
      <c r="AJ158" s="1800"/>
      <c r="AK158" s="1813"/>
      <c r="AL158" s="1812"/>
      <c r="AM158" s="1773"/>
      <c r="AN158" s="1773"/>
      <c r="AO158" s="1773"/>
    </row>
    <row r="159" spans="1:42" s="1815" customFormat="1" ht="13.5" customHeight="1">
      <c r="A159" s="1809"/>
      <c r="B159" s="1794" t="s">
        <v>1522</v>
      </c>
      <c r="C159" s="1797" t="s">
        <v>1523</v>
      </c>
      <c r="D159" s="1796" t="s">
        <v>864</v>
      </c>
      <c r="E159" s="1797" t="s">
        <v>1524</v>
      </c>
      <c r="F159" s="1798">
        <v>43055</v>
      </c>
      <c r="G159" s="1810">
        <v>14</v>
      </c>
      <c r="H159" s="1810">
        <v>14</v>
      </c>
      <c r="I159" s="1810">
        <v>16</v>
      </c>
      <c r="J159" s="1810">
        <v>13.5</v>
      </c>
      <c r="K159" s="1799">
        <f t="shared" si="54"/>
        <v>11210.151000000002</v>
      </c>
      <c r="L159" s="969">
        <v>6400</v>
      </c>
      <c r="M159" s="969">
        <v>17610.151000000002</v>
      </c>
      <c r="N159" s="969">
        <f t="shared" si="55"/>
        <v>156942.11400000003</v>
      </c>
      <c r="O159" s="969">
        <f t="shared" si="56"/>
        <v>89600</v>
      </c>
      <c r="P159" s="969">
        <f t="shared" si="57"/>
        <v>246542.11400000003</v>
      </c>
      <c r="Q159" s="1799"/>
      <c r="R159" s="1777">
        <v>1</v>
      </c>
      <c r="S159" s="775">
        <f t="shared" ref="S159:S178" si="62">J159</f>
        <v>13.5</v>
      </c>
      <c r="T159" s="1801">
        <f t="shared" ref="T159:T178" si="63">S159*M159</f>
        <v>237737.03850000002</v>
      </c>
      <c r="U159" s="1802">
        <f t="shared" ref="U159:U165" si="64">T159/P159-1</f>
        <v>-3.5714285714285698E-2</v>
      </c>
      <c r="V159" s="1803" t="s">
        <v>1525</v>
      </c>
      <c r="W159" s="1804" t="s">
        <v>1526</v>
      </c>
      <c r="X159" s="1805"/>
      <c r="Y159" s="1828"/>
      <c r="Z159" s="1828"/>
      <c r="AA159" s="976"/>
      <c r="AB159" s="977"/>
      <c r="AC159" s="977"/>
      <c r="AD159" s="1830"/>
      <c r="AE159" s="1830"/>
      <c r="AF159" s="1808" t="s">
        <v>1429</v>
      </c>
      <c r="AG159" s="1788"/>
      <c r="AH159" s="1773"/>
      <c r="AI159" s="1773"/>
      <c r="AJ159" s="1773"/>
      <c r="AK159" s="1800"/>
      <c r="AL159" s="1813"/>
      <c r="AM159" s="1812"/>
      <c r="AN159" s="1773"/>
      <c r="AO159" s="1773"/>
      <c r="AP159" s="1773"/>
    </row>
    <row r="160" spans="1:42" s="1815" customFormat="1" ht="13.5" customHeight="1">
      <c r="A160" s="1809"/>
      <c r="B160" s="1794" t="s">
        <v>1527</v>
      </c>
      <c r="C160" s="1797" t="s">
        <v>1528</v>
      </c>
      <c r="D160" s="1796" t="s">
        <v>518</v>
      </c>
      <c r="E160" s="1797" t="s">
        <v>1529</v>
      </c>
      <c r="F160" s="1798">
        <v>43005</v>
      </c>
      <c r="G160" s="1810">
        <v>15</v>
      </c>
      <c r="H160" s="1810">
        <v>14</v>
      </c>
      <c r="I160" s="1810">
        <v>16</v>
      </c>
      <c r="J160" s="1810">
        <v>12.5</v>
      </c>
      <c r="K160" s="1799">
        <f t="shared" si="54"/>
        <v>24214.641</v>
      </c>
      <c r="L160" s="969">
        <v>6667</v>
      </c>
      <c r="M160" s="969">
        <v>30881.641</v>
      </c>
      <c r="N160" s="969">
        <f t="shared" si="55"/>
        <v>363219.61499999999</v>
      </c>
      <c r="O160" s="969">
        <f t="shared" si="56"/>
        <v>100005</v>
      </c>
      <c r="P160" s="969">
        <f t="shared" si="57"/>
        <v>463224.61499999999</v>
      </c>
      <c r="Q160" s="1799"/>
      <c r="R160" s="1777">
        <v>1</v>
      </c>
      <c r="S160" s="775">
        <f t="shared" si="62"/>
        <v>12.5</v>
      </c>
      <c r="T160" s="1801">
        <f t="shared" si="63"/>
        <v>386020.51250000001</v>
      </c>
      <c r="U160" s="1802">
        <f t="shared" si="64"/>
        <v>-0.16666666666666663</v>
      </c>
      <c r="V160" s="1803" t="s">
        <v>1530</v>
      </c>
      <c r="W160" s="1804" t="s">
        <v>1531</v>
      </c>
      <c r="X160" s="1805"/>
      <c r="Y160" s="1828"/>
      <c r="Z160" s="1828"/>
      <c r="AA160" s="976"/>
      <c r="AB160" s="977"/>
      <c r="AC160" s="977"/>
      <c r="AD160" s="1830"/>
      <c r="AE160" s="1830"/>
      <c r="AF160" s="1808" t="s">
        <v>1429</v>
      </c>
      <c r="AG160" s="1788"/>
      <c r="AH160" s="1773"/>
      <c r="AI160" s="1773"/>
      <c r="AJ160" s="1773"/>
      <c r="AK160" s="1800"/>
      <c r="AL160" s="1813"/>
      <c r="AM160" s="1812"/>
      <c r="AN160" s="1773"/>
      <c r="AO160" s="1773"/>
      <c r="AP160" s="1773"/>
    </row>
    <row r="161" spans="1:73" s="1815" customFormat="1" ht="13.5" customHeight="1">
      <c r="A161" s="1809"/>
      <c r="B161" s="1794" t="s">
        <v>1532</v>
      </c>
      <c r="C161" s="1797" t="s">
        <v>1533</v>
      </c>
      <c r="D161" s="1796" t="s">
        <v>861</v>
      </c>
      <c r="E161" s="1797" t="s">
        <v>1534</v>
      </c>
      <c r="F161" s="1798">
        <v>42998</v>
      </c>
      <c r="G161" s="1810">
        <v>18</v>
      </c>
      <c r="H161" s="1810">
        <v>16</v>
      </c>
      <c r="I161" s="1810">
        <v>18</v>
      </c>
      <c r="J161" s="1810">
        <v>28.64</v>
      </c>
      <c r="K161" s="1799">
        <f t="shared" si="54"/>
        <v>40972.57</v>
      </c>
      <c r="L161" s="969">
        <v>8333.3330000000005</v>
      </c>
      <c r="M161" s="969">
        <v>49305.902999999998</v>
      </c>
      <c r="N161" s="969">
        <f t="shared" si="55"/>
        <v>737506.26</v>
      </c>
      <c r="O161" s="969">
        <f t="shared" si="56"/>
        <v>149999.99400000001</v>
      </c>
      <c r="P161" s="969">
        <f t="shared" si="57"/>
        <v>887506.25399999996</v>
      </c>
      <c r="Q161" s="1799"/>
      <c r="R161" s="1777">
        <v>1</v>
      </c>
      <c r="S161" s="775">
        <f t="shared" si="62"/>
        <v>28.64</v>
      </c>
      <c r="T161" s="1801">
        <f t="shared" si="63"/>
        <v>1412121.06192</v>
      </c>
      <c r="U161" s="1802">
        <f t="shared" si="64"/>
        <v>0.59111111111111114</v>
      </c>
      <c r="V161" s="1803" t="s">
        <v>1535</v>
      </c>
      <c r="W161" s="1804" t="s">
        <v>1536</v>
      </c>
      <c r="X161" s="1805"/>
      <c r="Y161" s="1828"/>
      <c r="Z161" s="1828"/>
      <c r="AA161" s="976"/>
      <c r="AB161" s="977"/>
      <c r="AC161" s="977"/>
      <c r="AD161" s="1830"/>
      <c r="AE161" s="1830"/>
      <c r="AF161" s="1808" t="s">
        <v>1429</v>
      </c>
      <c r="AG161" s="1788"/>
      <c r="AH161" s="1773"/>
      <c r="AI161" s="1773"/>
      <c r="AJ161" s="1773"/>
      <c r="AK161" s="1800"/>
      <c r="AL161" s="1813"/>
      <c r="AM161" s="1812"/>
      <c r="AN161" s="1773"/>
      <c r="AO161" s="1773"/>
      <c r="AP161" s="1773"/>
    </row>
    <row r="162" spans="1:73" s="1815" customFormat="1" ht="13.5" customHeight="1">
      <c r="A162" s="1809"/>
      <c r="B162" s="1794" t="s">
        <v>1458</v>
      </c>
      <c r="C162" s="1797" t="s">
        <v>1459</v>
      </c>
      <c r="D162" s="1796" t="s">
        <v>518</v>
      </c>
      <c r="E162" s="1797" t="s">
        <v>1460</v>
      </c>
      <c r="F162" s="1798">
        <v>42935</v>
      </c>
      <c r="G162" s="1810">
        <v>15</v>
      </c>
      <c r="H162" s="1810">
        <v>14</v>
      </c>
      <c r="I162" s="1810">
        <v>16</v>
      </c>
      <c r="J162" s="1810">
        <v>21.36</v>
      </c>
      <c r="K162" s="1799">
        <f t="shared" ref="K162:K178" si="65">+M162-L162</f>
        <v>17283</v>
      </c>
      <c r="L162" s="969">
        <v>6000</v>
      </c>
      <c r="M162" s="969">
        <v>23283</v>
      </c>
      <c r="N162" s="969">
        <f t="shared" ref="N162:N178" si="66">+G162*K162</f>
        <v>259245</v>
      </c>
      <c r="O162" s="969">
        <f t="shared" ref="O162:O178" si="67">+G162*L162</f>
        <v>90000</v>
      </c>
      <c r="P162" s="969">
        <f t="shared" ref="P162:P178" si="68">+N162+O162</f>
        <v>349245</v>
      </c>
      <c r="Q162" s="1799"/>
      <c r="R162" s="1777">
        <v>1</v>
      </c>
      <c r="S162" s="775">
        <f t="shared" si="62"/>
        <v>21.36</v>
      </c>
      <c r="T162" s="1801">
        <f t="shared" si="63"/>
        <v>497324.88</v>
      </c>
      <c r="U162" s="1802">
        <f t="shared" si="64"/>
        <v>0.42399999999999993</v>
      </c>
      <c r="V162" s="1803" t="s">
        <v>1460</v>
      </c>
      <c r="W162" s="1804" t="s">
        <v>1461</v>
      </c>
      <c r="X162" s="1805">
        <f>+N162+O162</f>
        <v>349245</v>
      </c>
      <c r="Y162" s="1828">
        <v>9710000</v>
      </c>
      <c r="Z162" s="1828">
        <v>26350000</v>
      </c>
      <c r="AA162" s="976">
        <v>-16290749</v>
      </c>
      <c r="AB162" s="977"/>
      <c r="AC162" s="977"/>
      <c r="AD162" s="1830"/>
      <c r="AE162" s="1830"/>
      <c r="AF162" s="1808" t="s">
        <v>1429</v>
      </c>
      <c r="AG162" s="1788"/>
      <c r="AH162" s="1773"/>
      <c r="AI162" s="1773"/>
      <c r="AJ162" s="1773"/>
      <c r="AK162" s="1800"/>
      <c r="AL162" s="1813"/>
      <c r="AM162" s="1812"/>
      <c r="AN162" s="1773"/>
      <c r="AO162" s="1773"/>
      <c r="AP162" s="1773"/>
    </row>
    <row r="163" spans="1:73" s="1815" customFormat="1" ht="13.5" customHeight="1">
      <c r="A163" s="1809"/>
      <c r="B163" s="1794" t="s">
        <v>1537</v>
      </c>
      <c r="C163" s="1797" t="s">
        <v>1538</v>
      </c>
      <c r="D163" s="1796" t="s">
        <v>518</v>
      </c>
      <c r="E163" s="1797" t="s">
        <v>1539</v>
      </c>
      <c r="F163" s="1798">
        <v>42929</v>
      </c>
      <c r="G163" s="1810">
        <v>8</v>
      </c>
      <c r="H163" s="1810">
        <v>12</v>
      </c>
      <c r="I163" s="1810">
        <v>14</v>
      </c>
      <c r="J163" s="1810">
        <v>14.21</v>
      </c>
      <c r="K163" s="1799">
        <f t="shared" si="65"/>
        <v>48572.879000000001</v>
      </c>
      <c r="L163" s="969">
        <v>15625</v>
      </c>
      <c r="M163" s="969">
        <v>64197.879000000001</v>
      </c>
      <c r="N163" s="969">
        <f t="shared" si="66"/>
        <v>388583.03200000001</v>
      </c>
      <c r="O163" s="969">
        <f t="shared" si="67"/>
        <v>125000</v>
      </c>
      <c r="P163" s="969">
        <f t="shared" si="68"/>
        <v>513583.03200000001</v>
      </c>
      <c r="Q163" s="1799"/>
      <c r="R163" s="1777">
        <v>1</v>
      </c>
      <c r="S163" s="775">
        <f t="shared" si="62"/>
        <v>14.21</v>
      </c>
      <c r="T163" s="1801">
        <f t="shared" si="63"/>
        <v>912251.86059000005</v>
      </c>
      <c r="U163" s="1802">
        <f t="shared" si="64"/>
        <v>0.77625000000000011</v>
      </c>
      <c r="V163" s="1803" t="s">
        <v>1540</v>
      </c>
      <c r="W163" s="1804" t="s">
        <v>1541</v>
      </c>
      <c r="X163" s="1805"/>
      <c r="Y163" s="1828"/>
      <c r="Z163" s="1828"/>
      <c r="AA163" s="976"/>
      <c r="AB163" s="977"/>
      <c r="AC163" s="977"/>
      <c r="AD163" s="1830"/>
      <c r="AE163" s="1830"/>
      <c r="AF163" s="1808" t="s">
        <v>1429</v>
      </c>
      <c r="AG163" s="1788"/>
      <c r="AH163" s="1773"/>
      <c r="AI163" s="1773"/>
      <c r="AJ163" s="1773"/>
      <c r="AK163" s="1800"/>
      <c r="AL163" s="1813"/>
      <c r="AM163" s="1812"/>
      <c r="AN163" s="1773"/>
      <c r="AO163" s="1773"/>
      <c r="AP163" s="1773"/>
    </row>
    <row r="164" spans="1:73" s="1788" customFormat="1" ht="13.5" customHeight="1">
      <c r="A164" s="1809"/>
      <c r="B164" s="1794" t="s">
        <v>1462</v>
      </c>
      <c r="C164" s="1797" t="s">
        <v>1463</v>
      </c>
      <c r="D164" s="1796" t="s">
        <v>518</v>
      </c>
      <c r="E164" s="1797" t="s">
        <v>1464</v>
      </c>
      <c r="F164" s="1798">
        <v>42914</v>
      </c>
      <c r="G164" s="1810">
        <v>17</v>
      </c>
      <c r="H164" s="1810">
        <v>15</v>
      </c>
      <c r="I164" s="1810">
        <v>17</v>
      </c>
      <c r="J164" s="1810">
        <v>19.5</v>
      </c>
      <c r="K164" s="1799">
        <f t="shared" si="65"/>
        <v>20575.206999999999</v>
      </c>
      <c r="L164" s="969">
        <v>4415</v>
      </c>
      <c r="M164" s="969">
        <v>24990.206999999999</v>
      </c>
      <c r="N164" s="969">
        <f t="shared" si="66"/>
        <v>349778.51899999997</v>
      </c>
      <c r="O164" s="969">
        <f t="shared" si="67"/>
        <v>75055</v>
      </c>
      <c r="P164" s="969">
        <f t="shared" si="68"/>
        <v>424833.51899999997</v>
      </c>
      <c r="Q164" s="1799"/>
      <c r="R164" s="1777">
        <v>1</v>
      </c>
      <c r="S164" s="775">
        <f t="shared" si="62"/>
        <v>19.5</v>
      </c>
      <c r="T164" s="1801">
        <f t="shared" si="63"/>
        <v>487309.03649999999</v>
      </c>
      <c r="U164" s="1802">
        <f t="shared" si="64"/>
        <v>0.14705882352941191</v>
      </c>
      <c r="V164" s="1803" t="s">
        <v>1465</v>
      </c>
      <c r="W164" s="1804" t="s">
        <v>1466</v>
      </c>
      <c r="X164" s="1805">
        <f t="shared" ref="X164:X178" si="69">+N164+O164</f>
        <v>424833.51899999997</v>
      </c>
      <c r="Y164" s="1828">
        <v>13640</v>
      </c>
      <c r="Z164" s="1828">
        <v>28709</v>
      </c>
      <c r="AA164" s="976">
        <v>409764.51899999997</v>
      </c>
      <c r="AB164" s="977">
        <v>0</v>
      </c>
      <c r="AC164" s="977">
        <v>0</v>
      </c>
      <c r="AD164" s="1830" t="s">
        <v>13</v>
      </c>
      <c r="AE164" s="1830" t="s">
        <v>13</v>
      </c>
      <c r="AF164" s="1808">
        <f>+P164-X164</f>
        <v>0</v>
      </c>
      <c r="AH164" s="1773"/>
      <c r="AI164" s="1773"/>
      <c r="AJ164" s="1773"/>
      <c r="AK164" s="1800"/>
      <c r="AL164" s="1813"/>
      <c r="AM164" s="1812"/>
      <c r="AN164" s="1773"/>
      <c r="AO164" s="1773"/>
      <c r="AP164" s="1773"/>
      <c r="AQ164" s="1815"/>
      <c r="AR164" s="1815"/>
      <c r="AS164" s="1815"/>
      <c r="AT164" s="1815"/>
      <c r="AU164" s="1815"/>
      <c r="AV164" s="1815"/>
      <c r="AW164" s="1815"/>
      <c r="AX164" s="1815"/>
      <c r="AY164" s="1815"/>
      <c r="AZ164" s="1815"/>
      <c r="BA164" s="1815"/>
      <c r="BB164" s="1815"/>
      <c r="BC164" s="1815"/>
      <c r="BD164" s="1815"/>
      <c r="BE164" s="1815"/>
      <c r="BF164" s="1815"/>
      <c r="BG164" s="1815"/>
      <c r="BH164" s="1815"/>
      <c r="BI164" s="1815"/>
      <c r="BJ164" s="1815"/>
      <c r="BK164" s="1815"/>
      <c r="BL164" s="1815"/>
      <c r="BM164" s="1815"/>
      <c r="BN164" s="1815"/>
      <c r="BO164" s="1815"/>
      <c r="BP164" s="1815"/>
      <c r="BQ164" s="1815"/>
      <c r="BR164" s="1815"/>
      <c r="BS164" s="1815"/>
      <c r="BT164" s="1815"/>
      <c r="BU164" s="1815"/>
    </row>
    <row r="165" spans="1:73" s="1815" customFormat="1" ht="13.5" customHeight="1">
      <c r="A165" s="1809"/>
      <c r="B165" s="1794" t="s">
        <v>1467</v>
      </c>
      <c r="C165" s="1797" t="s">
        <v>1468</v>
      </c>
      <c r="D165" s="1796" t="s">
        <v>518</v>
      </c>
      <c r="E165" s="1797" t="s">
        <v>1469</v>
      </c>
      <c r="F165" s="1798">
        <v>42900</v>
      </c>
      <c r="G165" s="1810">
        <v>11</v>
      </c>
      <c r="H165" s="1810">
        <v>11</v>
      </c>
      <c r="I165" s="1810">
        <v>13</v>
      </c>
      <c r="J165" s="1810">
        <v>18.82</v>
      </c>
      <c r="K165" s="1799">
        <f t="shared" si="65"/>
        <v>49248.567999999999</v>
      </c>
      <c r="L165" s="969">
        <v>6000</v>
      </c>
      <c r="M165" s="969">
        <v>55248.567999999999</v>
      </c>
      <c r="N165" s="969">
        <f t="shared" si="66"/>
        <v>541734.24800000002</v>
      </c>
      <c r="O165" s="969">
        <f t="shared" si="67"/>
        <v>66000</v>
      </c>
      <c r="P165" s="969">
        <f t="shared" si="68"/>
        <v>607734.24800000002</v>
      </c>
      <c r="Q165" s="1799"/>
      <c r="R165" s="1777">
        <v>1</v>
      </c>
      <c r="S165" s="775">
        <f t="shared" si="62"/>
        <v>18.82</v>
      </c>
      <c r="T165" s="1801">
        <f t="shared" si="63"/>
        <v>1039778.04976</v>
      </c>
      <c r="U165" s="1802">
        <f t="shared" si="64"/>
        <v>0.71090909090909071</v>
      </c>
      <c r="V165" s="1803" t="s">
        <v>1470</v>
      </c>
      <c r="W165" s="1804" t="s">
        <v>1471</v>
      </c>
      <c r="X165" s="1805">
        <f t="shared" si="69"/>
        <v>607734.24800000002</v>
      </c>
      <c r="Y165" s="1828">
        <v>45816</v>
      </c>
      <c r="Z165" s="1828">
        <v>26034</v>
      </c>
      <c r="AA165" s="976">
        <v>627516.24800000002</v>
      </c>
      <c r="AB165" s="977">
        <v>0</v>
      </c>
      <c r="AC165" s="977">
        <v>0</v>
      </c>
      <c r="AD165" s="1830" t="s">
        <v>13</v>
      </c>
      <c r="AE165" s="1830" t="s">
        <v>13</v>
      </c>
      <c r="AF165" s="1808">
        <f>+P165-X165</f>
        <v>0</v>
      </c>
      <c r="AG165" s="1788"/>
      <c r="AH165" s="1773"/>
      <c r="AI165" s="1773"/>
      <c r="AJ165" s="1773"/>
      <c r="AK165" s="1800"/>
      <c r="AL165" s="1813"/>
      <c r="AM165" s="1812"/>
      <c r="AN165" s="1773"/>
      <c r="AO165" s="1773"/>
      <c r="AP165" s="1773"/>
    </row>
    <row r="166" spans="1:73" s="1815" customFormat="1" ht="13.5" customHeight="1">
      <c r="A166" s="1809"/>
      <c r="B166" s="1794" t="s">
        <v>1327</v>
      </c>
      <c r="C166" s="1795" t="s">
        <v>1328</v>
      </c>
      <c r="D166" s="1796" t="s">
        <v>518</v>
      </c>
      <c r="E166" s="1797" t="s">
        <v>1329</v>
      </c>
      <c r="F166" s="1798">
        <v>42802</v>
      </c>
      <c r="G166" s="775">
        <v>20</v>
      </c>
      <c r="H166" s="775">
        <v>20</v>
      </c>
      <c r="I166" s="775">
        <v>22</v>
      </c>
      <c r="J166" s="775">
        <v>20.100000000000001</v>
      </c>
      <c r="K166" s="1799">
        <f t="shared" si="65"/>
        <v>21381.206999999999</v>
      </c>
      <c r="L166" s="969">
        <v>174.286</v>
      </c>
      <c r="M166" s="969">
        <v>21555.492999999999</v>
      </c>
      <c r="N166" s="969">
        <f t="shared" si="66"/>
        <v>427624.13999999996</v>
      </c>
      <c r="O166" s="969">
        <f t="shared" si="67"/>
        <v>3485.7200000000003</v>
      </c>
      <c r="P166" s="969">
        <f t="shared" si="68"/>
        <v>431109.85999999993</v>
      </c>
      <c r="Q166" s="1799"/>
      <c r="R166" s="1777">
        <v>1</v>
      </c>
      <c r="S166" s="775">
        <f t="shared" si="62"/>
        <v>20.100000000000001</v>
      </c>
      <c r="T166" s="1801">
        <f t="shared" si="63"/>
        <v>433265.4093</v>
      </c>
      <c r="U166" s="1802">
        <f>IFERROR(T166/P166-1,"n/a")</f>
        <v>5.0000000000001155E-3</v>
      </c>
      <c r="V166" s="1803" t="s">
        <v>1330</v>
      </c>
      <c r="W166" s="1804" t="s">
        <v>1331</v>
      </c>
      <c r="X166" s="1805">
        <f t="shared" si="69"/>
        <v>431109.85999999993</v>
      </c>
      <c r="Y166" s="1805">
        <v>0</v>
      </c>
      <c r="Z166" s="1805">
        <v>17329</v>
      </c>
      <c r="AA166" s="976">
        <f t="shared" ref="AA166:AA173" si="70">X166+Y166-Z166</f>
        <v>413780.85999999993</v>
      </c>
      <c r="AB166" s="977">
        <v>0</v>
      </c>
      <c r="AC166" s="970">
        <v>-9209</v>
      </c>
      <c r="AD166" s="1807" t="str">
        <f t="shared" ref="AD166:AD178" si="71">IFERROR(AA166/AB166,"n/a")</f>
        <v>n/a</v>
      </c>
      <c r="AE166" s="1807">
        <f t="shared" ref="AE166:AE178" si="72">IFERROR(AA166/AC166,"n/a")</f>
        <v>-44.932224997285253</v>
      </c>
      <c r="AF166" s="1808">
        <f>+P166-X166</f>
        <v>0</v>
      </c>
      <c r="AG166" s="1788"/>
      <c r="AH166" s="1849" t="s">
        <v>1332</v>
      </c>
      <c r="AI166" s="1788"/>
      <c r="AJ166" s="1788"/>
      <c r="AK166" s="1788"/>
      <c r="AL166" s="1788"/>
      <c r="AM166" s="1788"/>
      <c r="AN166" s="1788"/>
      <c r="AO166" s="1788"/>
      <c r="AP166" s="1788"/>
      <c r="AQ166" s="1788"/>
      <c r="AR166" s="1788"/>
      <c r="AS166" s="1788"/>
      <c r="AT166" s="1788"/>
      <c r="AU166" s="1788"/>
      <c r="AV166" s="1788"/>
      <c r="AW166" s="1788"/>
      <c r="AX166" s="1788"/>
      <c r="AY166" s="1788"/>
      <c r="AZ166" s="1788"/>
      <c r="BA166" s="1788"/>
      <c r="BB166" s="1788"/>
      <c r="BC166" s="1788"/>
      <c r="BD166" s="1788"/>
      <c r="BE166" s="1788"/>
      <c r="BF166" s="1788"/>
      <c r="BG166" s="1788"/>
      <c r="BH166" s="1788"/>
      <c r="BI166" s="1788"/>
      <c r="BJ166" s="1788"/>
      <c r="BK166" s="1788"/>
      <c r="BL166" s="1788"/>
      <c r="BM166" s="1788"/>
      <c r="BN166" s="1788"/>
      <c r="BO166" s="1788"/>
      <c r="BP166" s="1788"/>
      <c r="BQ166" s="1788"/>
      <c r="BR166" s="1788"/>
      <c r="BS166" s="1788"/>
      <c r="BT166" s="1788"/>
      <c r="BU166" s="1788"/>
    </row>
    <row r="167" spans="1:73" s="1788" customFormat="1" ht="13.5" customHeight="1">
      <c r="A167" s="1809"/>
      <c r="B167" s="1794" t="s">
        <v>890</v>
      </c>
      <c r="C167" s="1795" t="s">
        <v>891</v>
      </c>
      <c r="D167" s="1796" t="s">
        <v>518</v>
      </c>
      <c r="E167" s="1797" t="s">
        <v>892</v>
      </c>
      <c r="F167" s="1798">
        <v>42633</v>
      </c>
      <c r="G167" s="775">
        <v>11</v>
      </c>
      <c r="H167" s="775">
        <v>11</v>
      </c>
      <c r="I167" s="775">
        <v>13</v>
      </c>
      <c r="J167" s="775">
        <v>20.59</v>
      </c>
      <c r="K167" s="1799">
        <f t="shared" si="65"/>
        <v>11223.659</v>
      </c>
      <c r="L167" s="969">
        <v>4100</v>
      </c>
      <c r="M167" s="969">
        <v>15323.659</v>
      </c>
      <c r="N167" s="969">
        <f t="shared" si="66"/>
        <v>123460.249</v>
      </c>
      <c r="O167" s="969">
        <f t="shared" si="67"/>
        <v>45100</v>
      </c>
      <c r="P167" s="969">
        <f t="shared" si="68"/>
        <v>168560.24900000001</v>
      </c>
      <c r="Q167" s="1799"/>
      <c r="R167" s="1777">
        <v>1</v>
      </c>
      <c r="S167" s="775">
        <f t="shared" si="62"/>
        <v>20.59</v>
      </c>
      <c r="T167" s="1801">
        <f t="shared" si="63"/>
        <v>315514.13880999997</v>
      </c>
      <c r="U167" s="1802">
        <f>T167/P167-1</f>
        <v>0.8718181818181816</v>
      </c>
      <c r="V167" s="1803" t="s">
        <v>893</v>
      </c>
      <c r="W167" s="1804" t="s">
        <v>894</v>
      </c>
      <c r="X167" s="1805">
        <f t="shared" si="69"/>
        <v>168560.24900000001</v>
      </c>
      <c r="Y167" s="1805">
        <v>5146000</v>
      </c>
      <c r="Z167" s="1805">
        <v>19602</v>
      </c>
      <c r="AA167" s="976">
        <f t="shared" si="70"/>
        <v>5294958.2489999998</v>
      </c>
      <c r="AB167" s="970">
        <v>0</v>
      </c>
      <c r="AC167" s="970">
        <v>-44204</v>
      </c>
      <c r="AD167" s="1807" t="str">
        <f t="shared" si="71"/>
        <v>n/a</v>
      </c>
      <c r="AE167" s="1807">
        <f t="shared" si="72"/>
        <v>-119.78459526287213</v>
      </c>
      <c r="AF167" s="1808">
        <f>+P167-X167</f>
        <v>0</v>
      </c>
    </row>
    <row r="168" spans="1:73" s="1809" customFormat="1" ht="13.5" customHeight="1">
      <c r="B168" s="1794" t="s">
        <v>1333</v>
      </c>
      <c r="C168" s="1797" t="s">
        <v>1334</v>
      </c>
      <c r="D168" s="1796" t="s">
        <v>518</v>
      </c>
      <c r="E168" s="1797" t="s">
        <v>1335</v>
      </c>
      <c r="F168" s="1798">
        <v>42522</v>
      </c>
      <c r="G168" s="775">
        <v>7</v>
      </c>
      <c r="H168" s="775">
        <v>14</v>
      </c>
      <c r="I168" s="775">
        <v>16</v>
      </c>
      <c r="J168" s="775">
        <v>6.78</v>
      </c>
      <c r="K168" s="1799">
        <f t="shared" si="65"/>
        <v>12251.079</v>
      </c>
      <c r="L168" s="969">
        <f>4000000/1000</f>
        <v>4000</v>
      </c>
      <c r="M168" s="969">
        <f>16251079/1000</f>
        <v>16251.079</v>
      </c>
      <c r="N168" s="969">
        <f t="shared" si="66"/>
        <v>85757.553</v>
      </c>
      <c r="O168" s="969">
        <f t="shared" si="67"/>
        <v>28000</v>
      </c>
      <c r="P168" s="969">
        <f t="shared" si="68"/>
        <v>113757.553</v>
      </c>
      <c r="Q168" s="1799"/>
      <c r="R168" s="1777">
        <v>1</v>
      </c>
      <c r="S168" s="775">
        <f t="shared" si="62"/>
        <v>6.78</v>
      </c>
      <c r="T168" s="1801">
        <f t="shared" si="63"/>
        <v>110182.31562000001</v>
      </c>
      <c r="U168" s="1847">
        <v>-3.1428571428571361E-2</v>
      </c>
      <c r="V168" s="1850" t="s">
        <v>1335</v>
      </c>
      <c r="W168" s="1848" t="s">
        <v>1336</v>
      </c>
      <c r="X168" s="1851">
        <f t="shared" si="69"/>
        <v>113757.553</v>
      </c>
      <c r="Y168" s="1805">
        <v>6035000</v>
      </c>
      <c r="Z168" s="1805">
        <v>15887</v>
      </c>
      <c r="AA168" s="976">
        <f t="shared" si="70"/>
        <v>6132870.5530000003</v>
      </c>
      <c r="AB168" s="970">
        <v>510</v>
      </c>
      <c r="AC168" s="970">
        <v>-18864</v>
      </c>
      <c r="AD168" s="1807">
        <f t="shared" si="71"/>
        <v>12025.236378431373</v>
      </c>
      <c r="AE168" s="1807">
        <f t="shared" si="72"/>
        <v>-325.10976213952506</v>
      </c>
      <c r="AF168" s="1800"/>
    </row>
    <row r="169" spans="1:73" s="1788" customFormat="1" ht="13.5" customHeight="1">
      <c r="A169" s="1809"/>
      <c r="B169" s="1794" t="s">
        <v>922</v>
      </c>
      <c r="C169" s="1795" t="s">
        <v>923</v>
      </c>
      <c r="D169" s="1796" t="s">
        <v>518</v>
      </c>
      <c r="E169" s="1797" t="s">
        <v>924</v>
      </c>
      <c r="F169" s="1798">
        <v>42515</v>
      </c>
      <c r="G169" s="1810">
        <v>11</v>
      </c>
      <c r="H169" s="1810">
        <v>14</v>
      </c>
      <c r="I169" s="1810">
        <v>16</v>
      </c>
      <c r="J169" s="1810">
        <v>20.14</v>
      </c>
      <c r="K169" s="1799">
        <f t="shared" si="65"/>
        <v>15998.106</v>
      </c>
      <c r="L169" s="969">
        <v>5500</v>
      </c>
      <c r="M169" s="969">
        <v>21498.106</v>
      </c>
      <c r="N169" s="969">
        <f t="shared" si="66"/>
        <v>175979.166</v>
      </c>
      <c r="O169" s="969">
        <f t="shared" si="67"/>
        <v>60500</v>
      </c>
      <c r="P169" s="969">
        <f t="shared" si="68"/>
        <v>236479.166</v>
      </c>
      <c r="Q169" s="1799"/>
      <c r="R169" s="1777">
        <v>1</v>
      </c>
      <c r="S169" s="775">
        <f t="shared" si="62"/>
        <v>20.14</v>
      </c>
      <c r="T169" s="1801">
        <f t="shared" si="63"/>
        <v>432971.85483999999</v>
      </c>
      <c r="U169" s="1802">
        <f t="shared" ref="U169:U178" si="73">T169/P169-1</f>
        <v>0.83090909090909082</v>
      </c>
      <c r="V169" s="1811" t="s">
        <v>925</v>
      </c>
      <c r="W169" s="1804" t="s">
        <v>926</v>
      </c>
      <c r="X169" s="1805">
        <f t="shared" si="69"/>
        <v>236479.166</v>
      </c>
      <c r="Y169" s="1805">
        <v>0</v>
      </c>
      <c r="Z169" s="1805">
        <v>41853</v>
      </c>
      <c r="AA169" s="976">
        <f t="shared" si="70"/>
        <v>194626.166</v>
      </c>
      <c r="AB169" s="970">
        <v>49731</v>
      </c>
      <c r="AC169" s="970">
        <v>-641</v>
      </c>
      <c r="AD169" s="1807">
        <f t="shared" si="71"/>
        <v>3.9135783716394199</v>
      </c>
      <c r="AE169" s="1807">
        <f t="shared" si="72"/>
        <v>-303.62896411856474</v>
      </c>
      <c r="AF169" s="1808">
        <f t="shared" ref="AF169:AF178" si="74">+P169-X169</f>
        <v>0</v>
      </c>
      <c r="AG169" s="1812"/>
    </row>
    <row r="170" spans="1:73" s="1773" customFormat="1" ht="13.5" customHeight="1">
      <c r="A170" s="1809"/>
      <c r="B170" s="1794" t="s">
        <v>968</v>
      </c>
      <c r="C170" s="1795" t="s">
        <v>1380</v>
      </c>
      <c r="D170" s="1796" t="s">
        <v>518</v>
      </c>
      <c r="E170" s="1797" t="s">
        <v>969</v>
      </c>
      <c r="F170" s="1798">
        <v>42327</v>
      </c>
      <c r="G170" s="1810">
        <v>9</v>
      </c>
      <c r="H170" s="1810">
        <v>11</v>
      </c>
      <c r="I170" s="1810">
        <v>13</v>
      </c>
      <c r="J170" s="1810">
        <v>9.11</v>
      </c>
      <c r="K170" s="1799">
        <f t="shared" si="65"/>
        <v>13470.476999999999</v>
      </c>
      <c r="L170" s="969">
        <v>5666.6670000000004</v>
      </c>
      <c r="M170" s="969">
        <v>19137.144</v>
      </c>
      <c r="N170" s="969">
        <f t="shared" si="66"/>
        <v>121234.29299999999</v>
      </c>
      <c r="O170" s="969">
        <f t="shared" si="67"/>
        <v>51000.003000000004</v>
      </c>
      <c r="P170" s="969">
        <f t="shared" si="68"/>
        <v>172234.296</v>
      </c>
      <c r="Q170" s="1799"/>
      <c r="R170" s="1777">
        <v>1</v>
      </c>
      <c r="S170" s="775">
        <f t="shared" si="62"/>
        <v>9.11</v>
      </c>
      <c r="T170" s="1801">
        <f t="shared" si="63"/>
        <v>174339.38183999999</v>
      </c>
      <c r="U170" s="1802">
        <f t="shared" si="73"/>
        <v>1.2222222222222134E-2</v>
      </c>
      <c r="V170" s="1814" t="s">
        <v>970</v>
      </c>
      <c r="W170" s="1804" t="s">
        <v>971</v>
      </c>
      <c r="X170" s="1805">
        <f t="shared" si="69"/>
        <v>172234.296</v>
      </c>
      <c r="Y170" s="1805">
        <v>15137820</v>
      </c>
      <c r="Z170" s="1805">
        <v>4620.87</v>
      </c>
      <c r="AA170" s="976">
        <f t="shared" si="70"/>
        <v>15305433.426000001</v>
      </c>
      <c r="AB170" s="970">
        <v>0</v>
      </c>
      <c r="AC170" s="970">
        <v>-17881.009999999998</v>
      </c>
      <c r="AD170" s="1807" t="str">
        <f t="shared" si="71"/>
        <v>n/a</v>
      </c>
      <c r="AE170" s="1807">
        <f t="shared" si="72"/>
        <v>-855.96022965145721</v>
      </c>
      <c r="AF170" s="1808">
        <f t="shared" si="74"/>
        <v>0</v>
      </c>
      <c r="AG170" s="1815"/>
      <c r="AH170" s="1815"/>
      <c r="AI170" s="1815"/>
      <c r="AJ170" s="1815"/>
      <c r="AK170" s="1816"/>
      <c r="AL170" s="1813"/>
      <c r="AM170" s="1812"/>
      <c r="AN170" s="1815"/>
      <c r="AO170" s="1815"/>
      <c r="AP170" s="1815"/>
    </row>
    <row r="171" spans="1:73" s="1773" customFormat="1" ht="13.5" customHeight="1">
      <c r="A171" s="1809"/>
      <c r="B171" s="1794" t="s">
        <v>1028</v>
      </c>
      <c r="C171" s="1797" t="s">
        <v>1029</v>
      </c>
      <c r="D171" s="1796" t="s">
        <v>518</v>
      </c>
      <c r="E171" s="1797" t="s">
        <v>1030</v>
      </c>
      <c r="F171" s="1798">
        <v>42208</v>
      </c>
      <c r="G171" s="1810">
        <v>15</v>
      </c>
      <c r="H171" s="1810">
        <v>14</v>
      </c>
      <c r="I171" s="1810">
        <v>16</v>
      </c>
      <c r="J171" s="1810">
        <v>24.9</v>
      </c>
      <c r="K171" s="1799">
        <f t="shared" si="65"/>
        <v>9688.7160000000003</v>
      </c>
      <c r="L171" s="969">
        <v>4800</v>
      </c>
      <c r="M171" s="969">
        <v>14488.716</v>
      </c>
      <c r="N171" s="969">
        <f t="shared" si="66"/>
        <v>145330.74</v>
      </c>
      <c r="O171" s="969">
        <f t="shared" si="67"/>
        <v>72000</v>
      </c>
      <c r="P171" s="969">
        <f t="shared" si="68"/>
        <v>217330.74</v>
      </c>
      <c r="Q171" s="1799"/>
      <c r="R171" s="1777">
        <v>1</v>
      </c>
      <c r="S171" s="775">
        <f t="shared" si="62"/>
        <v>24.9</v>
      </c>
      <c r="T171" s="1801">
        <f t="shared" si="63"/>
        <v>360769.02840000001</v>
      </c>
      <c r="U171" s="1802">
        <f t="shared" si="73"/>
        <v>0.66000000000000014</v>
      </c>
      <c r="V171" s="1803" t="s">
        <v>1031</v>
      </c>
      <c r="W171" s="1804" t="s">
        <v>1032</v>
      </c>
      <c r="X171" s="1805">
        <f t="shared" si="69"/>
        <v>217330.74</v>
      </c>
      <c r="Y171" s="1805">
        <v>29619000</v>
      </c>
      <c r="Z171" s="1805">
        <v>26169</v>
      </c>
      <c r="AA171" s="976">
        <f t="shared" si="70"/>
        <v>29810161.739999998</v>
      </c>
      <c r="AB171" s="970">
        <v>5948</v>
      </c>
      <c r="AC171" s="970">
        <v>-48634</v>
      </c>
      <c r="AD171" s="1807">
        <f t="shared" si="71"/>
        <v>5011.7958540685941</v>
      </c>
      <c r="AE171" s="1807">
        <f t="shared" si="72"/>
        <v>-612.94900152156924</v>
      </c>
      <c r="AF171" s="1808">
        <f t="shared" si="74"/>
        <v>0</v>
      </c>
      <c r="AG171" s="1788"/>
      <c r="AK171" s="1800"/>
      <c r="AL171" s="1813"/>
      <c r="AM171" s="1812"/>
    </row>
    <row r="172" spans="1:73" s="1815" customFormat="1" ht="13.5" customHeight="1">
      <c r="A172" s="1809"/>
      <c r="B172" s="1794" t="s">
        <v>1033</v>
      </c>
      <c r="C172" s="1797" t="s">
        <v>1034</v>
      </c>
      <c r="D172" s="1796" t="s">
        <v>1337</v>
      </c>
      <c r="E172" s="1797" t="s">
        <v>1035</v>
      </c>
      <c r="F172" s="1798">
        <v>42200</v>
      </c>
      <c r="G172" s="1810">
        <v>16</v>
      </c>
      <c r="H172" s="1810">
        <v>13</v>
      </c>
      <c r="I172" s="1810">
        <v>15</v>
      </c>
      <c r="J172" s="1810">
        <v>28.27</v>
      </c>
      <c r="K172" s="1799">
        <f t="shared" si="65"/>
        <v>16609.642</v>
      </c>
      <c r="L172" s="969">
        <v>6365</v>
      </c>
      <c r="M172" s="969">
        <v>22974.642</v>
      </c>
      <c r="N172" s="969">
        <f t="shared" si="66"/>
        <v>265754.272</v>
      </c>
      <c r="O172" s="969">
        <f t="shared" si="67"/>
        <v>101840</v>
      </c>
      <c r="P172" s="969">
        <f t="shared" si="68"/>
        <v>367594.272</v>
      </c>
      <c r="Q172" s="1799"/>
      <c r="R172" s="1777">
        <v>1</v>
      </c>
      <c r="S172" s="775">
        <f t="shared" si="62"/>
        <v>28.27</v>
      </c>
      <c r="T172" s="1801">
        <f t="shared" si="63"/>
        <v>649493.12933999998</v>
      </c>
      <c r="U172" s="1802">
        <f t="shared" si="73"/>
        <v>0.76687499999999997</v>
      </c>
      <c r="V172" s="1814" t="s">
        <v>1036</v>
      </c>
      <c r="W172" s="1804" t="s">
        <v>1037</v>
      </c>
      <c r="X172" s="1805">
        <f t="shared" si="69"/>
        <v>367594.272</v>
      </c>
      <c r="Y172" s="1805">
        <v>0</v>
      </c>
      <c r="Z172" s="1805">
        <v>70871.77</v>
      </c>
      <c r="AA172" s="976">
        <f t="shared" si="70"/>
        <v>296722.50199999998</v>
      </c>
      <c r="AB172" s="970">
        <v>0</v>
      </c>
      <c r="AC172" s="970">
        <v>-60684</v>
      </c>
      <c r="AD172" s="1807" t="str">
        <f t="shared" si="71"/>
        <v>n/a</v>
      </c>
      <c r="AE172" s="1807">
        <f t="shared" si="72"/>
        <v>-4.8896332146859134</v>
      </c>
      <c r="AF172" s="1808">
        <f t="shared" si="74"/>
        <v>0</v>
      </c>
      <c r="AG172" s="1817"/>
      <c r="AH172" s="1816"/>
      <c r="AI172" s="1817"/>
      <c r="AJ172" s="1818"/>
      <c r="AK172" s="1816"/>
      <c r="AL172" s="1813"/>
      <c r="AM172" s="1812"/>
      <c r="AN172" s="1814"/>
      <c r="AO172" s="1819"/>
      <c r="AP172" s="1819"/>
      <c r="AQ172" s="1773"/>
      <c r="AR172" s="1773"/>
      <c r="AS172" s="1773"/>
      <c r="AT172" s="1773"/>
      <c r="AU172" s="1773"/>
      <c r="AV172" s="1773"/>
      <c r="AW172" s="1773"/>
      <c r="AX172" s="1773"/>
      <c r="AY172" s="1773"/>
      <c r="AZ172" s="1773"/>
      <c r="BA172" s="1773"/>
      <c r="BB172" s="1773"/>
      <c r="BC172" s="1773"/>
      <c r="BD172" s="1773"/>
      <c r="BE172" s="1773"/>
      <c r="BF172" s="1773"/>
      <c r="BG172" s="1773"/>
      <c r="BH172" s="1773"/>
      <c r="BI172" s="1773"/>
      <c r="BJ172" s="1773"/>
      <c r="BK172" s="1773"/>
      <c r="BL172" s="1773"/>
      <c r="BM172" s="1773"/>
      <c r="BN172" s="1773"/>
      <c r="BO172" s="1773"/>
      <c r="BP172" s="1773"/>
      <c r="BQ172" s="1773"/>
      <c r="BR172" s="1773"/>
      <c r="BS172" s="1773"/>
      <c r="BT172" s="1773"/>
      <c r="BU172" s="1773"/>
    </row>
    <row r="173" spans="1:73" s="1815" customFormat="1" ht="13.5" customHeight="1">
      <c r="A173" s="1809"/>
      <c r="B173" s="1794" t="s">
        <v>1063</v>
      </c>
      <c r="C173" s="1797" t="s">
        <v>1064</v>
      </c>
      <c r="D173" s="1796" t="s">
        <v>1337</v>
      </c>
      <c r="E173" s="1797" t="s">
        <v>1065</v>
      </c>
      <c r="F173" s="1798">
        <v>42130</v>
      </c>
      <c r="G173" s="1810">
        <v>12</v>
      </c>
      <c r="H173" s="1810">
        <v>12</v>
      </c>
      <c r="I173" s="1810">
        <v>14</v>
      </c>
      <c r="J173" s="1810">
        <v>19.079999999999998</v>
      </c>
      <c r="K173" s="1799">
        <f t="shared" si="65"/>
        <v>13907.935000000001</v>
      </c>
      <c r="L173" s="969">
        <v>5800</v>
      </c>
      <c r="M173" s="969">
        <v>19707.935000000001</v>
      </c>
      <c r="N173" s="969">
        <f t="shared" si="66"/>
        <v>166895.22000000003</v>
      </c>
      <c r="O173" s="969">
        <f t="shared" si="67"/>
        <v>69600</v>
      </c>
      <c r="P173" s="969">
        <f t="shared" si="68"/>
        <v>236495.22000000003</v>
      </c>
      <c r="Q173" s="1799"/>
      <c r="R173" s="1777">
        <v>1</v>
      </c>
      <c r="S173" s="775">
        <f t="shared" si="62"/>
        <v>19.079999999999998</v>
      </c>
      <c r="T173" s="1801">
        <f t="shared" si="63"/>
        <v>376027.39980000001</v>
      </c>
      <c r="U173" s="1802">
        <f t="shared" si="73"/>
        <v>0.58999999999999986</v>
      </c>
      <c r="V173" s="1803" t="s">
        <v>1066</v>
      </c>
      <c r="W173" s="1804" t="s">
        <v>1067</v>
      </c>
      <c r="X173" s="1805">
        <f t="shared" si="69"/>
        <v>236495.22000000003</v>
      </c>
      <c r="Y173" s="1805">
        <v>13007000</v>
      </c>
      <c r="Z173" s="1805">
        <v>1634</v>
      </c>
      <c r="AA173" s="976">
        <f t="shared" si="70"/>
        <v>13241861.220000001</v>
      </c>
      <c r="AB173" s="970">
        <v>0</v>
      </c>
      <c r="AC173" s="970">
        <v>-58596</v>
      </c>
      <c r="AD173" s="1807" t="str">
        <f t="shared" si="71"/>
        <v>n/a</v>
      </c>
      <c r="AE173" s="1807">
        <f t="shared" si="72"/>
        <v>-225.98575363506043</v>
      </c>
      <c r="AF173" s="1808">
        <f t="shared" si="74"/>
        <v>0</v>
      </c>
      <c r="AG173" s="1788"/>
      <c r="AH173" s="1773"/>
      <c r="AI173" s="1773"/>
      <c r="AJ173" s="1773"/>
      <c r="AK173" s="1800"/>
      <c r="AL173" s="1813"/>
      <c r="AM173" s="1812"/>
      <c r="AN173" s="1773"/>
      <c r="AO173" s="1773"/>
      <c r="AP173" s="1773"/>
    </row>
    <row r="174" spans="1:73" s="1815" customFormat="1" ht="13.5" customHeight="1">
      <c r="A174" s="1809"/>
      <c r="B174" s="1794" t="s">
        <v>1068</v>
      </c>
      <c r="C174" s="1797" t="s">
        <v>1069</v>
      </c>
      <c r="D174" s="1796" t="s">
        <v>518</v>
      </c>
      <c r="E174" s="1797" t="s">
        <v>1070</v>
      </c>
      <c r="F174" s="1798">
        <v>42129</v>
      </c>
      <c r="G174" s="1810">
        <v>10</v>
      </c>
      <c r="H174" s="1810">
        <v>13</v>
      </c>
      <c r="I174" s="1810">
        <v>15</v>
      </c>
      <c r="J174" s="1810">
        <v>8.4499999999999993</v>
      </c>
      <c r="K174" s="1799">
        <f t="shared" si="65"/>
        <v>9638.9889999999996</v>
      </c>
      <c r="L174" s="969">
        <v>5500</v>
      </c>
      <c r="M174" s="969">
        <v>15138.989</v>
      </c>
      <c r="N174" s="969">
        <f t="shared" si="66"/>
        <v>96389.89</v>
      </c>
      <c r="O174" s="969">
        <f t="shared" si="67"/>
        <v>55000</v>
      </c>
      <c r="P174" s="969">
        <f t="shared" si="68"/>
        <v>151389.89000000001</v>
      </c>
      <c r="Q174" s="1799"/>
      <c r="R174" s="1777">
        <v>1</v>
      </c>
      <c r="S174" s="775">
        <f t="shared" si="62"/>
        <v>8.4499999999999993</v>
      </c>
      <c r="T174" s="1801">
        <f t="shared" si="63"/>
        <v>127924.45704999998</v>
      </c>
      <c r="U174" s="1802">
        <f t="shared" si="73"/>
        <v>-0.15500000000000014</v>
      </c>
      <c r="V174" s="1814" t="s">
        <v>1071</v>
      </c>
      <c r="W174" s="1804" t="s">
        <v>1072</v>
      </c>
      <c r="X174" s="1805">
        <f t="shared" si="69"/>
        <v>151389.89000000001</v>
      </c>
      <c r="Y174" s="1805" t="s">
        <v>13</v>
      </c>
      <c r="Z174" s="1805" t="s">
        <v>13</v>
      </c>
      <c r="AA174" s="1805" t="s">
        <v>13</v>
      </c>
      <c r="AB174" s="1805" t="s">
        <v>13</v>
      </c>
      <c r="AC174" s="1805" t="s">
        <v>13</v>
      </c>
      <c r="AD174" s="1807" t="str">
        <f t="shared" si="71"/>
        <v>n/a</v>
      </c>
      <c r="AE174" s="1807" t="str">
        <f t="shared" si="72"/>
        <v>n/a</v>
      </c>
      <c r="AF174" s="1808">
        <f t="shared" si="74"/>
        <v>0</v>
      </c>
      <c r="AK174" s="1852"/>
      <c r="AL174" s="1813"/>
      <c r="AM174" s="1812"/>
    </row>
    <row r="175" spans="1:73" s="1815" customFormat="1" ht="13.5" customHeight="1">
      <c r="A175" s="1809"/>
      <c r="B175" s="1794" t="s">
        <v>1100</v>
      </c>
      <c r="C175" s="1797" t="s">
        <v>1101</v>
      </c>
      <c r="D175" s="1796" t="s">
        <v>518</v>
      </c>
      <c r="E175" s="1797" t="s">
        <v>1102</v>
      </c>
      <c r="F175" s="1798">
        <v>42108</v>
      </c>
      <c r="G175" s="1810">
        <v>19</v>
      </c>
      <c r="H175" s="1810">
        <v>18</v>
      </c>
      <c r="I175" s="1810">
        <v>20</v>
      </c>
      <c r="J175" s="1810">
        <v>19.93</v>
      </c>
      <c r="K175" s="1799">
        <f t="shared" si="65"/>
        <v>27716.631000000001</v>
      </c>
      <c r="L175" s="969">
        <v>4000</v>
      </c>
      <c r="M175" s="969">
        <v>31716.631000000001</v>
      </c>
      <c r="N175" s="969">
        <f t="shared" si="66"/>
        <v>526615.98900000006</v>
      </c>
      <c r="O175" s="969">
        <f t="shared" si="67"/>
        <v>76000</v>
      </c>
      <c r="P175" s="969">
        <f t="shared" si="68"/>
        <v>602615.98900000006</v>
      </c>
      <c r="Q175" s="1799"/>
      <c r="R175" s="1777">
        <v>1</v>
      </c>
      <c r="S175" s="775">
        <f t="shared" si="62"/>
        <v>19.93</v>
      </c>
      <c r="T175" s="1801">
        <f t="shared" si="63"/>
        <v>632112.45582999999</v>
      </c>
      <c r="U175" s="1802">
        <f t="shared" si="73"/>
        <v>4.8947368421052406E-2</v>
      </c>
      <c r="V175" s="1804" t="s">
        <v>1103</v>
      </c>
      <c r="W175" s="1804" t="s">
        <v>1104</v>
      </c>
      <c r="X175" s="1805">
        <f t="shared" si="69"/>
        <v>602615.98900000006</v>
      </c>
      <c r="Y175" s="1805">
        <v>0</v>
      </c>
      <c r="Z175" s="1805">
        <v>57329</v>
      </c>
      <c r="AA175" s="976">
        <f>X175+Y175-Z175</f>
        <v>545286.98900000006</v>
      </c>
      <c r="AB175" s="970">
        <v>0</v>
      </c>
      <c r="AC175" s="970">
        <v>-46039</v>
      </c>
      <c r="AD175" s="1807" t="str">
        <f t="shared" si="71"/>
        <v>n/a</v>
      </c>
      <c r="AE175" s="1807">
        <f t="shared" si="72"/>
        <v>-11.844023306327246</v>
      </c>
      <c r="AF175" s="1808">
        <f t="shared" si="74"/>
        <v>0</v>
      </c>
      <c r="AG175" s="1773"/>
      <c r="AH175" s="1773"/>
      <c r="AI175" s="1844"/>
      <c r="AJ175" s="1800"/>
      <c r="AK175" s="1813"/>
      <c r="AL175" s="1812"/>
      <c r="AM175" s="1773"/>
      <c r="AN175" s="1773"/>
      <c r="AO175" s="1773"/>
    </row>
    <row r="176" spans="1:73" s="1773" customFormat="1" ht="13.5" customHeight="1">
      <c r="A176" s="1809"/>
      <c r="B176" s="1794" t="s">
        <v>1115</v>
      </c>
      <c r="C176" s="1797" t="s">
        <v>1116</v>
      </c>
      <c r="D176" s="1796" t="s">
        <v>518</v>
      </c>
      <c r="E176" s="1797" t="s">
        <v>1117</v>
      </c>
      <c r="F176" s="1798">
        <v>42047</v>
      </c>
      <c r="G176" s="1810">
        <v>6</v>
      </c>
      <c r="H176" s="1810">
        <v>12</v>
      </c>
      <c r="I176" s="1810">
        <v>14</v>
      </c>
      <c r="J176" s="1810">
        <v>3.1</v>
      </c>
      <c r="K176" s="1799">
        <f t="shared" si="65"/>
        <v>5645.3540000000003</v>
      </c>
      <c r="L176" s="969">
        <v>683.25</v>
      </c>
      <c r="M176" s="969">
        <v>6328.6040000000003</v>
      </c>
      <c r="N176" s="969">
        <f t="shared" si="66"/>
        <v>33872.124000000003</v>
      </c>
      <c r="O176" s="969">
        <f t="shared" si="67"/>
        <v>4099.5</v>
      </c>
      <c r="P176" s="969">
        <f t="shared" si="68"/>
        <v>37971.624000000003</v>
      </c>
      <c r="Q176" s="1799"/>
      <c r="R176" s="1777">
        <v>1</v>
      </c>
      <c r="S176" s="775">
        <f t="shared" si="62"/>
        <v>3.1</v>
      </c>
      <c r="T176" s="1801">
        <f t="shared" si="63"/>
        <v>19618.672400000003</v>
      </c>
      <c r="U176" s="1802">
        <f t="shared" si="73"/>
        <v>-0.48333333333333328</v>
      </c>
      <c r="V176" s="1804" t="s">
        <v>1118</v>
      </c>
      <c r="W176" s="1804" t="s">
        <v>1119</v>
      </c>
      <c r="X176" s="1805">
        <f t="shared" si="69"/>
        <v>37971.624000000003</v>
      </c>
      <c r="Y176" s="1805">
        <v>2842130</v>
      </c>
      <c r="Z176" s="1805">
        <v>311.09999999999997</v>
      </c>
      <c r="AA176" s="976">
        <f>X176+Y176-Z176</f>
        <v>2879790.5239999997</v>
      </c>
      <c r="AB176" s="970">
        <v>234.6</v>
      </c>
      <c r="AC176" s="970">
        <v>-10063.75</v>
      </c>
      <c r="AD176" s="1807">
        <f t="shared" si="71"/>
        <v>12275.321926683717</v>
      </c>
      <c r="AE176" s="1807">
        <f t="shared" si="72"/>
        <v>-286.15481545149669</v>
      </c>
      <c r="AF176" s="1808">
        <f t="shared" si="74"/>
        <v>0</v>
      </c>
      <c r="AG176" s="1815"/>
      <c r="AH176" s="1815"/>
      <c r="AI176" s="1815"/>
      <c r="AJ176" s="1816"/>
      <c r="AK176" s="1813"/>
      <c r="AL176" s="1812"/>
      <c r="AM176" s="1815"/>
      <c r="AN176" s="1815"/>
      <c r="AO176" s="1815"/>
      <c r="AP176" s="1815"/>
      <c r="AQ176" s="1815"/>
      <c r="AR176" s="1815"/>
      <c r="AS176" s="1815"/>
      <c r="AT176" s="1815"/>
      <c r="AU176" s="1815"/>
      <c r="AV176" s="1815"/>
      <c r="AW176" s="1815"/>
      <c r="AX176" s="1815"/>
      <c r="AY176" s="1815"/>
      <c r="AZ176" s="1815"/>
      <c r="BA176" s="1815"/>
      <c r="BB176" s="1815"/>
      <c r="BC176" s="1815"/>
      <c r="BD176" s="1815"/>
      <c r="BE176" s="1815"/>
      <c r="BF176" s="1815"/>
      <c r="BG176" s="1815"/>
      <c r="BH176" s="1815"/>
      <c r="BI176" s="1815"/>
      <c r="BJ176" s="1815"/>
      <c r="BK176" s="1815"/>
      <c r="BL176" s="1815"/>
      <c r="BM176" s="1815"/>
      <c r="BN176" s="1815"/>
      <c r="BO176" s="1815"/>
      <c r="BP176" s="1815"/>
      <c r="BQ176" s="1815"/>
      <c r="BR176" s="1815"/>
      <c r="BS176" s="1815"/>
      <c r="BT176" s="1815"/>
      <c r="BU176" s="1815"/>
    </row>
    <row r="177" spans="1:73" s="1773" customFormat="1" ht="13.5" customHeight="1">
      <c r="A177" s="1809"/>
      <c r="B177" s="1794" t="s">
        <v>787</v>
      </c>
      <c r="C177" s="1797" t="s">
        <v>785</v>
      </c>
      <c r="D177" s="1796" t="s">
        <v>518</v>
      </c>
      <c r="E177" s="1797" t="s">
        <v>1120</v>
      </c>
      <c r="F177" s="1798">
        <v>42033</v>
      </c>
      <c r="G177" s="1810">
        <v>23</v>
      </c>
      <c r="H177" s="1810">
        <v>15</v>
      </c>
      <c r="I177" s="1810">
        <v>17</v>
      </c>
      <c r="J177" s="1810">
        <v>57.59</v>
      </c>
      <c r="K177" s="1799">
        <v>16490.366999999998</v>
      </c>
      <c r="L177" s="969">
        <v>7000</v>
      </c>
      <c r="M177" s="969">
        <v>23490.366999999998</v>
      </c>
      <c r="N177" s="969">
        <v>379278.44099999999</v>
      </c>
      <c r="O177" s="969">
        <v>161000</v>
      </c>
      <c r="P177" s="969">
        <v>540278.44099999999</v>
      </c>
      <c r="Q177" s="1799"/>
      <c r="R177" s="1777">
        <v>1</v>
      </c>
      <c r="S177" s="775">
        <v>57.59</v>
      </c>
      <c r="T177" s="1801">
        <v>1352810.2355299999</v>
      </c>
      <c r="U177" s="1802">
        <v>1.5039130434782608</v>
      </c>
      <c r="V177" s="1804" t="s">
        <v>786</v>
      </c>
      <c r="W177" s="1804" t="s">
        <v>788</v>
      </c>
      <c r="X177" s="1805">
        <v>540278.44099999999</v>
      </c>
      <c r="Y177" s="1805">
        <v>0</v>
      </c>
      <c r="Z177" s="1805">
        <v>67272.599999999991</v>
      </c>
      <c r="AA177" s="976">
        <v>473005.84100000001</v>
      </c>
      <c r="AB177" s="970">
        <v>21077.84</v>
      </c>
      <c r="AC177" s="970">
        <v>-75140.02</v>
      </c>
      <c r="AD177" s="1807">
        <v>22.440906705810463</v>
      </c>
      <c r="AE177" s="1807">
        <v>-6.2949922158657925</v>
      </c>
      <c r="AF177" s="1808">
        <v>0</v>
      </c>
      <c r="AG177" s="1815"/>
      <c r="AH177" s="1815"/>
      <c r="AI177" s="1815"/>
      <c r="AJ177" s="1816"/>
      <c r="AK177" s="1813"/>
      <c r="AL177" s="1812"/>
      <c r="AM177" s="1815"/>
      <c r="AN177" s="1815"/>
      <c r="AO177" s="1815"/>
      <c r="AP177" s="1815"/>
      <c r="AQ177" s="1815"/>
      <c r="AR177" s="1815"/>
      <c r="AS177" s="1815"/>
      <c r="AT177" s="1815"/>
      <c r="AU177" s="1815"/>
      <c r="AV177" s="1815"/>
      <c r="AW177" s="1815"/>
      <c r="AX177" s="1815"/>
      <c r="AY177" s="1815"/>
      <c r="AZ177" s="1815"/>
      <c r="BA177" s="1815"/>
      <c r="BB177" s="1815"/>
      <c r="BC177" s="1815"/>
      <c r="BD177" s="1815"/>
      <c r="BE177" s="1815"/>
      <c r="BF177" s="1815"/>
      <c r="BG177" s="1815"/>
      <c r="BH177" s="1815"/>
      <c r="BI177" s="1815"/>
      <c r="BJ177" s="1815"/>
      <c r="BK177" s="1815"/>
      <c r="BL177" s="1815"/>
      <c r="BM177" s="1815"/>
      <c r="BN177" s="1815"/>
      <c r="BO177" s="1815"/>
      <c r="BP177" s="1815"/>
      <c r="BQ177" s="1815"/>
      <c r="BR177" s="1815"/>
      <c r="BS177" s="1815"/>
      <c r="BT177" s="1815"/>
      <c r="BU177" s="1815"/>
    </row>
    <row r="178" spans="1:73" s="1815" customFormat="1" ht="13.5" customHeight="1">
      <c r="A178" s="1809"/>
      <c r="B178" s="1794" t="s">
        <v>2157</v>
      </c>
      <c r="C178" s="1797" t="s">
        <v>2156</v>
      </c>
      <c r="D178" s="1796" t="s">
        <v>518</v>
      </c>
      <c r="E178" s="1797" t="s">
        <v>1340</v>
      </c>
      <c r="F178" s="1798">
        <v>41955</v>
      </c>
      <c r="G178" s="1810">
        <v>6.5</v>
      </c>
      <c r="H178" s="1810">
        <v>0</v>
      </c>
      <c r="I178" s="1810">
        <v>0</v>
      </c>
      <c r="J178" s="1810">
        <v>12.5</v>
      </c>
      <c r="K178" s="1799">
        <f t="shared" si="65"/>
        <v>4822.67</v>
      </c>
      <c r="L178" s="969">
        <v>1650</v>
      </c>
      <c r="M178" s="969">
        <v>6472.67</v>
      </c>
      <c r="N178" s="969">
        <f t="shared" si="66"/>
        <v>31347.355</v>
      </c>
      <c r="O178" s="969">
        <f t="shared" si="67"/>
        <v>10725</v>
      </c>
      <c r="P178" s="969">
        <f t="shared" si="68"/>
        <v>42072.354999999996</v>
      </c>
      <c r="Q178" s="1799"/>
      <c r="R178" s="1777">
        <v>1</v>
      </c>
      <c r="S178" s="775">
        <f t="shared" si="62"/>
        <v>12.5</v>
      </c>
      <c r="T178" s="1801">
        <f t="shared" si="63"/>
        <v>80908.375</v>
      </c>
      <c r="U178" s="1802">
        <f t="shared" si="73"/>
        <v>0.92307692307692335</v>
      </c>
      <c r="V178" s="1804" t="s">
        <v>1341</v>
      </c>
      <c r="W178" s="1804" t="s">
        <v>2273</v>
      </c>
      <c r="X178" s="1805">
        <f t="shared" si="69"/>
        <v>42072.354999999996</v>
      </c>
      <c r="Y178" s="1805">
        <v>14852350</v>
      </c>
      <c r="Z178" s="1805">
        <v>1207810</v>
      </c>
      <c r="AA178" s="976">
        <f>X178+Y178-Z178</f>
        <v>13686612.355</v>
      </c>
      <c r="AB178" s="970">
        <v>21077.84</v>
      </c>
      <c r="AC178" s="970">
        <v>-75140.02</v>
      </c>
      <c r="AD178" s="1807">
        <f t="shared" si="71"/>
        <v>649.33657125208276</v>
      </c>
      <c r="AE178" s="1807">
        <f t="shared" si="72"/>
        <v>-182.14810636196265</v>
      </c>
      <c r="AF178" s="1808">
        <f t="shared" si="74"/>
        <v>0</v>
      </c>
      <c r="AG178" s="1773"/>
      <c r="AH178" s="1773"/>
      <c r="AI178" s="1773"/>
      <c r="AJ178" s="1800"/>
      <c r="AK178" s="1813"/>
      <c r="AL178" s="1812"/>
      <c r="AM178" s="1773"/>
      <c r="AN178" s="1773"/>
      <c r="AO178" s="1773"/>
    </row>
    <row r="179" spans="1:73" s="1773" customFormat="1" ht="12.75" customHeight="1">
      <c r="A179" s="1841"/>
      <c r="B179" s="1794"/>
      <c r="C179" s="1794"/>
      <c r="D179" s="1794"/>
      <c r="E179" s="1794"/>
      <c r="F179" s="1853"/>
      <c r="G179" s="1853"/>
      <c r="H179" s="1853"/>
      <c r="I179" s="1853"/>
      <c r="J179" s="1853"/>
      <c r="K179" s="1853"/>
      <c r="L179" s="1853"/>
      <c r="M179" s="1853"/>
      <c r="N179" s="1853"/>
      <c r="O179" s="1853"/>
      <c r="P179" s="1853"/>
      <c r="Q179" s="1799"/>
      <c r="R179" s="1799"/>
      <c r="S179" s="1854"/>
    </row>
    <row r="180" spans="1:73" s="1815" customFormat="1" ht="13.5" customHeight="1">
      <c r="A180" s="1809"/>
      <c r="B180" s="1827" t="str">
        <f>B152&amp;" Metrics"</f>
        <v>Phase III, NDA Filed and Marketed Metrics</v>
      </c>
      <c r="C180" s="1797"/>
      <c r="D180" s="1796"/>
      <c r="E180" s="1797"/>
      <c r="F180" s="1798"/>
      <c r="G180" s="1820"/>
      <c r="H180" s="1810"/>
      <c r="I180" s="1810"/>
      <c r="J180" s="1820"/>
      <c r="K180" s="1821"/>
      <c r="L180" s="1800"/>
      <c r="M180" s="1800"/>
      <c r="N180" s="1799"/>
      <c r="O180" s="1800"/>
      <c r="P180" s="1799"/>
      <c r="Q180" s="1799"/>
      <c r="R180" s="1799"/>
      <c r="S180" s="775"/>
      <c r="T180" s="1801"/>
      <c r="U180" s="1802"/>
      <c r="V180" s="1804"/>
      <c r="W180" s="1804"/>
      <c r="X180" s="1805"/>
      <c r="Y180" s="1805"/>
      <c r="Z180" s="1805"/>
      <c r="AA180" s="976"/>
      <c r="AB180" s="977"/>
      <c r="AC180" s="970"/>
      <c r="AD180" s="1807"/>
      <c r="AE180" s="1807"/>
      <c r="AF180" s="1808"/>
      <c r="AG180" s="1773"/>
      <c r="AH180" s="1773"/>
      <c r="AI180" s="1773"/>
      <c r="AJ180" s="1800"/>
      <c r="AK180" s="1813"/>
      <c r="AL180" s="1812"/>
      <c r="AM180" s="1773"/>
      <c r="AN180" s="1773"/>
      <c r="AO180" s="1773"/>
    </row>
    <row r="181" spans="1:73" s="1773" customFormat="1" ht="12.75" customHeight="1">
      <c r="B181" s="1822" t="s">
        <v>111</v>
      </c>
      <c r="C181" s="1823"/>
      <c r="D181" s="1823"/>
      <c r="E181" s="1823"/>
      <c r="F181" s="1823"/>
      <c r="G181" s="1823"/>
      <c r="H181" s="1823"/>
      <c r="I181" s="1823"/>
      <c r="J181" s="1823"/>
      <c r="K181" s="1823"/>
      <c r="L181" s="1823"/>
      <c r="M181" s="1823"/>
      <c r="N181" s="1824">
        <f>MAX(N153:N178)</f>
        <v>737506.26</v>
      </c>
      <c r="O181" s="1824"/>
      <c r="P181" s="2536">
        <f>MAX(P153:P178)</f>
        <v>887506.25399999996</v>
      </c>
      <c r="Q181" s="1777"/>
      <c r="R181" s="1777"/>
      <c r="S181" s="1855">
        <f>MAX(S159:S178)</f>
        <v>57.59</v>
      </c>
    </row>
    <row r="182" spans="1:73" s="1773" customFormat="1" ht="12.75" customHeight="1">
      <c r="B182" s="776" t="s">
        <v>115</v>
      </c>
      <c r="C182" s="777"/>
      <c r="D182" s="777"/>
      <c r="E182" s="777"/>
      <c r="F182" s="777"/>
      <c r="G182" s="777"/>
      <c r="H182" s="777"/>
      <c r="I182" s="777"/>
      <c r="J182" s="777"/>
      <c r="K182" s="777"/>
      <c r="L182" s="777"/>
      <c r="M182" s="777"/>
      <c r="N182" s="769">
        <f>QUARTILE(N153:N178,3)</f>
        <v>376880.54625000001</v>
      </c>
      <c r="O182" s="769"/>
      <c r="P182" s="778">
        <f>QUARTILE(P153:P178,3)</f>
        <v>489071.30325</v>
      </c>
      <c r="Q182" s="1777"/>
      <c r="R182" s="1777"/>
      <c r="S182" s="1856">
        <f>QUARTILE(S159:S178,3)</f>
        <v>20.782499999999999</v>
      </c>
    </row>
    <row r="183" spans="1:73" s="1773" customFormat="1">
      <c r="B183" s="776" t="s">
        <v>43</v>
      </c>
      <c r="C183" s="777"/>
      <c r="D183" s="777"/>
      <c r="E183" s="777"/>
      <c r="F183" s="777"/>
      <c r="G183" s="777"/>
      <c r="H183" s="777"/>
      <c r="I183" s="777"/>
      <c r="J183" s="777"/>
      <c r="K183" s="777"/>
      <c r="L183" s="777"/>
      <c r="M183" s="777"/>
      <c r="N183" s="769">
        <f>AVERAGE(N153:N178)</f>
        <v>272466.15361355763</v>
      </c>
      <c r="O183" s="769"/>
      <c r="P183" s="778">
        <f>AVERAGE(P153:P178)</f>
        <v>352235.96978692117</v>
      </c>
      <c r="Q183" s="1777"/>
      <c r="R183" s="1777"/>
      <c r="S183" s="1856">
        <f>AVERAGE(S159:S178)</f>
        <v>18.953500000000002</v>
      </c>
    </row>
    <row r="184" spans="1:73" s="1773" customFormat="1">
      <c r="B184" s="776" t="s">
        <v>44</v>
      </c>
      <c r="C184" s="777"/>
      <c r="D184" s="777"/>
      <c r="E184" s="777"/>
      <c r="F184" s="777"/>
      <c r="G184" s="777"/>
      <c r="H184" s="777"/>
      <c r="I184" s="777"/>
      <c r="J184" s="777"/>
      <c r="K184" s="777"/>
      <c r="L184" s="777"/>
      <c r="M184" s="777"/>
      <c r="N184" s="769">
        <f>MEDIAN(N153:N178)</f>
        <v>234889.88250000001</v>
      </c>
      <c r="O184" s="769"/>
      <c r="P184" s="778">
        <f>MEDIAN(P153:P178)</f>
        <v>322639.88250000001</v>
      </c>
      <c r="Q184" s="1777"/>
      <c r="R184" s="1777"/>
      <c r="S184" s="1856">
        <f>MEDIAN(S159:S178)</f>
        <v>19.29</v>
      </c>
    </row>
    <row r="185" spans="1:73" s="1773" customFormat="1">
      <c r="B185" s="776" t="s">
        <v>114</v>
      </c>
      <c r="C185" s="777"/>
      <c r="D185" s="777"/>
      <c r="E185" s="777"/>
      <c r="F185" s="777"/>
      <c r="G185" s="777"/>
      <c r="H185" s="777"/>
      <c r="I185" s="777"/>
      <c r="J185" s="777"/>
      <c r="K185" s="777"/>
      <c r="L185" s="777"/>
      <c r="M185" s="777"/>
      <c r="N185" s="769">
        <f>QUARTILE(N153:N178,1)</f>
        <v>128927.87174999999</v>
      </c>
      <c r="O185" s="769"/>
      <c r="P185" s="778">
        <f>QUARTILE(P153:P178,1)</f>
        <v>190437.05924999999</v>
      </c>
      <c r="Q185" s="1777"/>
      <c r="R185" s="1777"/>
      <c r="S185" s="1856">
        <f>QUARTILE(S159:S178,1)</f>
        <v>12.5</v>
      </c>
    </row>
    <row r="186" spans="1:73" s="1773" customFormat="1">
      <c r="B186" s="921" t="s">
        <v>112</v>
      </c>
      <c r="C186" s="779"/>
      <c r="D186" s="779"/>
      <c r="E186" s="779"/>
      <c r="F186" s="779"/>
      <c r="G186" s="779"/>
      <c r="H186" s="779"/>
      <c r="I186" s="779"/>
      <c r="J186" s="779"/>
      <c r="K186" s="779"/>
      <c r="L186" s="779"/>
      <c r="M186" s="779"/>
      <c r="N186" s="770">
        <f>MIN(N153:N178)</f>
        <v>31347.355</v>
      </c>
      <c r="O186" s="770"/>
      <c r="P186" s="780">
        <f>MIN(P153:P178)</f>
        <v>37971.624000000003</v>
      </c>
      <c r="Q186" s="1777"/>
      <c r="R186" s="1777"/>
      <c r="S186" s="923">
        <f>MIN(S159:S178)</f>
        <v>3.1</v>
      </c>
    </row>
    <row r="187" spans="1:73" s="1773" customFormat="1">
      <c r="B187" s="1844"/>
      <c r="C187" s="1844"/>
      <c r="D187" s="1844"/>
      <c r="E187" s="1844"/>
      <c r="F187" s="1854"/>
      <c r="G187" s="1854"/>
      <c r="H187" s="1854"/>
      <c r="I187" s="1854"/>
      <c r="J187" s="1854"/>
      <c r="K187" s="1854"/>
      <c r="L187" s="1854"/>
      <c r="M187" s="1854"/>
      <c r="N187" s="1854"/>
      <c r="O187" s="1854"/>
      <c r="P187" s="1854"/>
      <c r="Q187" s="1777"/>
      <c r="R187" s="1777"/>
      <c r="S187" s="1854"/>
    </row>
    <row r="188" spans="1:73" s="1773" customFormat="1">
      <c r="B188" s="1857" t="s">
        <v>1338</v>
      </c>
      <c r="C188" s="1844"/>
      <c r="D188" s="1844"/>
      <c r="E188" s="1844"/>
      <c r="F188" s="1854"/>
      <c r="G188" s="1854"/>
      <c r="H188" s="1854"/>
      <c r="I188" s="1854"/>
      <c r="J188" s="1854"/>
      <c r="K188" s="1854"/>
      <c r="L188" s="1854"/>
      <c r="M188" s="1854"/>
      <c r="N188" s="1854"/>
      <c r="O188" s="1854"/>
      <c r="P188" s="1854"/>
      <c r="Q188" s="1777"/>
      <c r="R188" s="1777"/>
      <c r="S188" s="1854"/>
    </row>
    <row r="189" spans="1:73" s="1773" customFormat="1">
      <c r="B189" s="1822" t="s">
        <v>111</v>
      </c>
      <c r="C189" s="1823"/>
      <c r="D189" s="1823"/>
      <c r="E189" s="1823"/>
      <c r="F189" s="1823"/>
      <c r="G189" s="1823"/>
      <c r="H189" s="1823"/>
      <c r="I189" s="1823"/>
      <c r="J189" s="1823"/>
      <c r="K189" s="1823"/>
      <c r="L189" s="1823"/>
      <c r="M189" s="1823"/>
      <c r="N189" s="1824">
        <f t="array" ref="N189">MAX(IF($R$11:$R$178=1,N$11:N$178,""))</f>
        <v>1766090.8</v>
      </c>
      <c r="O189" s="1824"/>
      <c r="P189" s="2536">
        <f t="array" ref="P189">MAX(IF($R$11:$R$178=1,P$11:P$178,""))</f>
        <v>1973290.8</v>
      </c>
      <c r="Q189" s="1777"/>
      <c r="R189" s="769"/>
      <c r="S189" s="1854"/>
    </row>
    <row r="190" spans="1:73" s="1773" customFormat="1">
      <c r="B190" s="776" t="s">
        <v>115</v>
      </c>
      <c r="C190" s="777"/>
      <c r="D190" s="777"/>
      <c r="E190" s="777"/>
      <c r="F190" s="777"/>
      <c r="G190" s="777"/>
      <c r="H190" s="777"/>
      <c r="I190" s="777"/>
      <c r="J190" s="777"/>
      <c r="K190" s="777"/>
      <c r="L190" s="777"/>
      <c r="M190" s="777"/>
      <c r="N190" s="769">
        <f t="array" ref="N190">QUARTILE(IF($R$11:$R$178=1,N$11:N$178,""),3)</f>
        <v>386256.88425</v>
      </c>
      <c r="O190" s="769"/>
      <c r="P190" s="778">
        <f t="array" ref="P190">QUARTILE(IF($R$11:$R$178=1,P$11:P$178,""),3)</f>
        <v>506871.9645</v>
      </c>
      <c r="Q190" s="1777"/>
      <c r="R190" s="769"/>
      <c r="S190" s="1854"/>
    </row>
    <row r="191" spans="1:73" s="1773" customFormat="1">
      <c r="B191" s="776" t="s">
        <v>43</v>
      </c>
      <c r="C191" s="777"/>
      <c r="D191" s="777"/>
      <c r="E191" s="777"/>
      <c r="F191" s="777"/>
      <c r="G191" s="777"/>
      <c r="H191" s="777"/>
      <c r="I191" s="777"/>
      <c r="J191" s="777"/>
      <c r="K191" s="777"/>
      <c r="L191" s="777"/>
      <c r="M191" s="777"/>
      <c r="N191" s="769">
        <f t="array" ref="N191">AVERAGE(IF($R$11:$R$178=1,N$11:N$178,""))</f>
        <v>292270.19951543526</v>
      </c>
      <c r="O191" s="769"/>
      <c r="P191" s="778">
        <f t="array" ref="P191">AVERAGE(IF($R$11:$R$178=1,P$11:P$178,""))</f>
        <v>375948.15695484029</v>
      </c>
      <c r="Q191" s="1777"/>
      <c r="R191" s="769"/>
      <c r="S191" s="1854"/>
    </row>
    <row r="192" spans="1:73" s="1773" customFormat="1">
      <c r="B192" s="776" t="s">
        <v>44</v>
      </c>
      <c r="C192" s="777"/>
      <c r="D192" s="777"/>
      <c r="E192" s="777"/>
      <c r="F192" s="777"/>
      <c r="G192" s="777"/>
      <c r="H192" s="777"/>
      <c r="I192" s="777"/>
      <c r="J192" s="777"/>
      <c r="K192" s="777"/>
      <c r="L192" s="777"/>
      <c r="M192" s="777"/>
      <c r="N192" s="769">
        <f t="array" ref="N192">MEDIAN(IF($R$11:$R$178=1,N$11:N$178,""))</f>
        <v>251547.02100000001</v>
      </c>
      <c r="O192" s="769"/>
      <c r="P192" s="778">
        <f t="array" ref="P192">MEDIAN(IF($R$11:$R$178=1,P$11:P$178,""))</f>
        <v>329475.3725</v>
      </c>
      <c r="Q192" s="1777"/>
      <c r="R192" s="769"/>
      <c r="S192" s="1854"/>
    </row>
    <row r="193" spans="2:19" s="1773" customFormat="1">
      <c r="B193" s="776" t="s">
        <v>114</v>
      </c>
      <c r="C193" s="777"/>
      <c r="D193" s="777"/>
      <c r="E193" s="777"/>
      <c r="F193" s="777"/>
      <c r="G193" s="777"/>
      <c r="H193" s="777"/>
      <c r="I193" s="777"/>
      <c r="J193" s="777"/>
      <c r="K193" s="777"/>
      <c r="L193" s="777"/>
      <c r="M193" s="777"/>
      <c r="N193" s="769">
        <f t="array" ref="N193">QUARTILE(IF($R$11:$R$178=1,N$11:N$178,""),1)</f>
        <v>107437.209</v>
      </c>
      <c r="O193" s="769"/>
      <c r="P193" s="778">
        <f t="array" ref="P193">QUARTILE(IF($R$11:$R$178=1,P$11:P$178,""),1)</f>
        <v>172134.32024999999</v>
      </c>
      <c r="Q193" s="1777"/>
      <c r="R193" s="769"/>
      <c r="S193" s="1854"/>
    </row>
    <row r="194" spans="2:19" s="1773" customFormat="1">
      <c r="B194" s="921" t="s">
        <v>112</v>
      </c>
      <c r="C194" s="779"/>
      <c r="D194" s="779"/>
      <c r="E194" s="779"/>
      <c r="F194" s="779"/>
      <c r="G194" s="779"/>
      <c r="H194" s="779"/>
      <c r="I194" s="779"/>
      <c r="J194" s="779"/>
      <c r="K194" s="779"/>
      <c r="L194" s="779"/>
      <c r="M194" s="779"/>
      <c r="N194" s="770">
        <f t="array" ref="N194">MIN(IF($R$11:$R$178=1,N$11:N$178,""))</f>
        <v>18940.300000000003</v>
      </c>
      <c r="O194" s="770"/>
      <c r="P194" s="780">
        <f t="array" ref="P194">MIN(IF($R$11:$R$178=1,P$11:P$178,""))</f>
        <v>37971.624000000003</v>
      </c>
      <c r="Q194" s="1777"/>
      <c r="R194" s="769"/>
      <c r="S194" s="1854"/>
    </row>
    <row r="195" spans="2:19" s="1773" customFormat="1">
      <c r="F195" s="1858"/>
      <c r="G195" s="1858"/>
      <c r="H195" s="1858"/>
      <c r="I195" s="1858"/>
      <c r="J195" s="1858"/>
      <c r="K195" s="1858"/>
      <c r="L195" s="1858"/>
      <c r="M195" s="1858"/>
      <c r="N195" s="1858"/>
      <c r="O195" s="1858"/>
      <c r="P195" s="1858"/>
      <c r="Q195" s="1858"/>
      <c r="R195" s="1858"/>
      <c r="S195" s="1858"/>
    </row>
    <row r="196" spans="2:19" s="1773" customFormat="1">
      <c r="B196" s="8" t="s">
        <v>116</v>
      </c>
      <c r="C196" s="1859"/>
      <c r="D196" s="1859"/>
      <c r="E196" s="1859"/>
      <c r="F196" s="1859"/>
      <c r="G196" s="1859"/>
      <c r="H196" s="1859"/>
      <c r="I196" s="1859"/>
      <c r="J196" s="1859"/>
      <c r="K196" s="1859"/>
      <c r="L196" s="1859"/>
      <c r="M196" s="1859"/>
      <c r="N196" s="1859"/>
      <c r="O196" s="1859"/>
      <c r="P196" s="1859"/>
      <c r="Q196" s="1858"/>
      <c r="R196" s="1858"/>
      <c r="S196" s="1858"/>
    </row>
    <row r="197" spans="2:19">
      <c r="C197" s="1756" t="s">
        <v>1145</v>
      </c>
      <c r="S197" s="1758"/>
    </row>
    <row r="198" spans="2:19">
      <c r="C198" s="1756" t="s">
        <v>1146</v>
      </c>
      <c r="S198" s="1758"/>
    </row>
    <row r="199" spans="2:19">
      <c r="C199" s="1756" t="s">
        <v>1147</v>
      </c>
      <c r="S199" s="1758"/>
    </row>
    <row r="200" spans="2:19">
      <c r="C200" s="1756" t="s">
        <v>1164</v>
      </c>
      <c r="S200" s="1758"/>
    </row>
    <row r="201" spans="2:19">
      <c r="C201" s="1756" t="s">
        <v>1165</v>
      </c>
      <c r="S201" s="1758"/>
    </row>
    <row r="202" spans="2:19">
      <c r="C202" s="1756" t="s">
        <v>1148</v>
      </c>
      <c r="S202" s="1758"/>
    </row>
    <row r="203" spans="2:19">
      <c r="C203" s="1756" t="s">
        <v>821</v>
      </c>
      <c r="S203" s="1758"/>
    </row>
    <row r="204" spans="2:19">
      <c r="C204" s="1756" t="s">
        <v>1149</v>
      </c>
      <c r="S204" s="1758"/>
    </row>
    <row r="205" spans="2:19">
      <c r="C205" s="1756" t="s">
        <v>1150</v>
      </c>
      <c r="S205" s="1758"/>
    </row>
    <row r="206" spans="2:19">
      <c r="C206" s="1756" t="s">
        <v>1151</v>
      </c>
      <c r="S206" s="1758"/>
    </row>
    <row r="207" spans="2:19">
      <c r="C207" s="1756" t="s">
        <v>1152</v>
      </c>
      <c r="S207" s="1758"/>
    </row>
    <row r="208" spans="2:19">
      <c r="C208" s="1756" t="s">
        <v>1153</v>
      </c>
      <c r="S208" s="1758"/>
    </row>
    <row r="209" spans="3:19">
      <c r="C209" s="1756" t="s">
        <v>1154</v>
      </c>
      <c r="S209" s="1758"/>
    </row>
    <row r="210" spans="3:19">
      <c r="C210" s="1756" t="s">
        <v>1155</v>
      </c>
      <c r="S210" s="1758"/>
    </row>
    <row r="211" spans="3:19">
      <c r="C211" s="1756" t="s">
        <v>1156</v>
      </c>
      <c r="S211" s="1758"/>
    </row>
    <row r="212" spans="3:19">
      <c r="C212" s="1756" t="s">
        <v>1157</v>
      </c>
      <c r="S212" s="1758"/>
    </row>
    <row r="213" spans="3:19">
      <c r="C213" s="1756" t="s">
        <v>1159</v>
      </c>
      <c r="S213" s="1758"/>
    </row>
    <row r="214" spans="3:19">
      <c r="S214" s="1758"/>
    </row>
    <row r="215" spans="3:19">
      <c r="S215" s="1758"/>
    </row>
    <row r="216" spans="3:19">
      <c r="S216" s="1758"/>
    </row>
    <row r="217" spans="3:19">
      <c r="S217" s="1758"/>
    </row>
    <row r="218" spans="3:19">
      <c r="S218" s="1758"/>
    </row>
    <row r="219" spans="3:19">
      <c r="S219" s="1758"/>
    </row>
    <row r="220" spans="3:19">
      <c r="S220" s="1758"/>
    </row>
    <row r="221" spans="3:19">
      <c r="S221" s="1758"/>
    </row>
    <row r="222" spans="3:19">
      <c r="S222" s="1758"/>
    </row>
    <row r="223" spans="3:19">
      <c r="S223" s="1758"/>
    </row>
    <row r="224" spans="3:19">
      <c r="S224" s="1758"/>
    </row>
    <row r="225" spans="19:19">
      <c r="S225" s="1758"/>
    </row>
    <row r="226" spans="19:19">
      <c r="S226" s="1758"/>
    </row>
    <row r="227" spans="19:19">
      <c r="S227" s="1758"/>
    </row>
    <row r="228" spans="19:19">
      <c r="S228" s="1758"/>
    </row>
  </sheetData>
  <mergeCells count="21">
    <mergeCell ref="S7:S8"/>
    <mergeCell ref="D7:D8"/>
    <mergeCell ref="F7:F8"/>
    <mergeCell ref="G7:G8"/>
    <mergeCell ref="H7:I7"/>
    <mergeCell ref="J7:J8"/>
    <mergeCell ref="K7:K8"/>
    <mergeCell ref="L7:L8"/>
    <mergeCell ref="M7:M8"/>
    <mergeCell ref="N7:N8"/>
    <mergeCell ref="O7:O8"/>
    <mergeCell ref="P7:P8"/>
    <mergeCell ref="AC7:AC8"/>
    <mergeCell ref="AD7:AD8"/>
    <mergeCell ref="AE7:AE8"/>
    <mergeCell ref="T7:T8"/>
    <mergeCell ref="U7:U8"/>
    <mergeCell ref="V7:V8"/>
    <mergeCell ref="X7:X8"/>
    <mergeCell ref="AA7:AA8"/>
    <mergeCell ref="AB7:AB8"/>
  </mergeCells>
  <conditionalFormatting sqref="C4:E4">
    <cfRule type="cellIs" dxfId="500" priority="8" stopIfTrue="1" operator="equal">
      <formula>"input"</formula>
    </cfRule>
  </conditionalFormatting>
  <conditionalFormatting sqref="F4:G4">
    <cfRule type="cellIs" dxfId="499" priority="7" stopIfTrue="1" operator="equal">
      <formula>"input"</formula>
    </cfRule>
  </conditionalFormatting>
  <conditionalFormatting sqref="H4:I4">
    <cfRule type="cellIs" dxfId="498" priority="6" stopIfTrue="1" operator="equal">
      <formula>"input"</formula>
    </cfRule>
  </conditionalFormatting>
  <conditionalFormatting sqref="J4:K4">
    <cfRule type="cellIs" dxfId="497" priority="5" stopIfTrue="1" operator="equal">
      <formula>"input"</formula>
    </cfRule>
  </conditionalFormatting>
  <conditionalFormatting sqref="L4:M4">
    <cfRule type="cellIs" dxfId="496" priority="4" stopIfTrue="1" operator="equal">
      <formula>"input"</formula>
    </cfRule>
  </conditionalFormatting>
  <conditionalFormatting sqref="N4:O4">
    <cfRule type="cellIs" dxfId="495" priority="3" stopIfTrue="1" operator="equal">
      <formula>"input"</formula>
    </cfRule>
  </conditionalFormatting>
  <conditionalFormatting sqref="P4">
    <cfRule type="cellIs" dxfId="494" priority="2" stopIfTrue="1" operator="equal">
      <formula>"input"</formula>
    </cfRule>
  </conditionalFormatting>
  <conditionalFormatting sqref="B4">
    <cfRule type="cellIs" dxfId="493" priority="1" stopIfTrue="1" operator="equal">
      <formula>"input"</formula>
    </cfRule>
  </conditionalFormatting>
  <hyperlinks>
    <hyperlink ref="AH91" r:id="rId1" display="http://advicenne.com/pipeline/"/>
  </hyperlinks>
  <pageMargins left="0.5" right="0.5" top="0.5" bottom="0.5" header="0.5" footer="0.5"/>
  <pageSetup scale="79" fitToWidth="0" fitToHeight="0" orientation="landscape" r:id="rId2"/>
  <rowBreaks count="3" manualBreakCount="3">
    <brk id="49" max="16" man="1"/>
    <brk id="92" max="16" man="1"/>
    <brk id="130" max="16" man="1"/>
  </rowBreaks>
  <legacyDrawing r:id="rId3"/>
  <legacyDrawingHF r:id="rId4"/>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dimension ref="A1:AQ110"/>
  <sheetViews>
    <sheetView showGridLines="0" view="pageBreakPreview" topLeftCell="A13" zoomScale="85" zoomScaleNormal="100" zoomScaleSheetLayoutView="85" workbookViewId="0">
      <selection activeCell="N35" sqref="N35"/>
    </sheetView>
  </sheetViews>
  <sheetFormatPr defaultColWidth="10.6640625" defaultRowHeight="12.75" outlineLevelCol="1"/>
  <cols>
    <col min="1" max="1" width="4.5" style="1840" customWidth="1"/>
    <col min="2" max="2" width="43.6640625" style="1840" customWidth="1"/>
    <col min="3" max="3" width="19.83203125" style="1840" hidden="1" customWidth="1" outlineLevel="1"/>
    <col min="4" max="4" width="15.6640625" style="1840" customWidth="1" collapsed="1"/>
    <col min="5" max="5" width="15.1640625" style="1840" hidden="1" customWidth="1" outlineLevel="1"/>
    <col min="6" max="6" width="13.83203125" style="1862" customWidth="1" collapsed="1"/>
    <col min="7" max="7" width="13.83203125" style="1862" customWidth="1"/>
    <col min="8" max="9" width="14" style="1862" hidden="1" customWidth="1" outlineLevel="1"/>
    <col min="10" max="10" width="15" style="1862" customWidth="1" collapsed="1"/>
    <col min="11" max="11" width="13.5" style="1862" bestFit="1" customWidth="1"/>
    <col min="12" max="12" width="10.83203125" style="1862" bestFit="1" customWidth="1"/>
    <col min="13" max="13" width="14.5" style="1862" bestFit="1" customWidth="1"/>
    <col min="14" max="14" width="14.6640625" style="1862" bestFit="1" customWidth="1"/>
    <col min="15" max="15" width="13.5" style="1862" customWidth="1"/>
    <col min="16" max="16" width="14.6640625" style="1862" customWidth="1"/>
    <col min="17" max="17" width="4.5" style="1862" customWidth="1"/>
    <col min="18" max="18" width="28.83203125" style="1862" bestFit="1" customWidth="1"/>
    <col min="19" max="19" width="16.33203125" style="1840" customWidth="1"/>
    <col min="20" max="20" width="13.6640625" style="1840" customWidth="1"/>
    <col min="21" max="21" width="14.83203125" style="1840" customWidth="1"/>
    <col min="22" max="22" width="13.5" style="1840" bestFit="1" customWidth="1"/>
    <col min="23" max="23" width="55.83203125" style="1840" customWidth="1"/>
    <col min="24" max="24" width="16.1640625" style="1840" customWidth="1"/>
    <col min="25" max="25" width="22.33203125" style="1840" bestFit="1" customWidth="1"/>
    <col min="26" max="28" width="16.1640625" style="1840" customWidth="1"/>
    <col min="29" max="29" width="11.83203125" style="1840" customWidth="1"/>
    <col min="30" max="30" width="10.83203125" style="1840" customWidth="1"/>
    <col min="31" max="31" width="11.5" style="1840" bestFit="1" customWidth="1"/>
    <col min="32" max="35" width="10.6640625" style="1840"/>
    <col min="36" max="36" width="12.5" style="1840" bestFit="1" customWidth="1"/>
    <col min="37" max="37" width="15.1640625" style="1840" bestFit="1" customWidth="1"/>
    <col min="38" max="16384" width="10.6640625" style="1840"/>
  </cols>
  <sheetData>
    <row r="1" spans="1:43" ht="11.25" customHeight="1" thickBot="1">
      <c r="A1" s="1860"/>
      <c r="F1" s="1861"/>
      <c r="G1" s="1861"/>
      <c r="H1" s="1861"/>
      <c r="I1" s="1861"/>
      <c r="J1" s="1861"/>
      <c r="K1" s="1861"/>
      <c r="L1" s="1861"/>
      <c r="M1" s="1861"/>
      <c r="N1" s="1861"/>
      <c r="R1" s="1840"/>
      <c r="S1" s="1863"/>
      <c r="T1" s="1863"/>
      <c r="W1" s="1840" t="s">
        <v>398</v>
      </c>
      <c r="X1" s="1840" t="s">
        <v>400</v>
      </c>
      <c r="AQ1" s="1864"/>
    </row>
    <row r="2" spans="1:43" ht="16.5" thickTop="1">
      <c r="A2" s="1865"/>
      <c r="B2" s="10" t="str">
        <f>'MASTER PubCo Inputs'!$C$5</f>
        <v>Kallyope, Inc.</v>
      </c>
      <c r="C2" s="771"/>
      <c r="D2" s="771"/>
      <c r="E2" s="771"/>
      <c r="F2" s="771"/>
      <c r="G2" s="771"/>
      <c r="H2" s="771"/>
      <c r="I2" s="771"/>
      <c r="J2" s="771"/>
      <c r="K2" s="771"/>
      <c r="L2" s="771"/>
      <c r="M2" s="771"/>
      <c r="N2" s="771"/>
      <c r="O2" s="771"/>
      <c r="P2" s="771"/>
      <c r="Q2" s="1866"/>
      <c r="R2" s="772" t="s">
        <v>2269</v>
      </c>
      <c r="S2" s="1867"/>
      <c r="T2" s="1868"/>
      <c r="W2" s="1840" t="s">
        <v>739</v>
      </c>
      <c r="X2" s="1840" t="s">
        <v>740</v>
      </c>
    </row>
    <row r="3" spans="1:43" ht="15.75">
      <c r="A3" s="1865"/>
      <c r="B3" s="11" t="str">
        <f>VLOOKUP(B4,Outline!$E$8:$G$69,COLUMNS(Outline!$E$8:$G$8),FALSE)</f>
        <v>Exhibit H.11</v>
      </c>
      <c r="C3" s="773"/>
      <c r="D3" s="773"/>
      <c r="E3" s="773"/>
      <c r="F3" s="773"/>
      <c r="G3" s="773"/>
      <c r="H3" s="773"/>
      <c r="I3" s="773"/>
      <c r="J3" s="773"/>
      <c r="K3" s="773"/>
      <c r="L3" s="773"/>
      <c r="M3" s="773"/>
      <c r="N3" s="773"/>
      <c r="O3" s="773"/>
      <c r="P3" s="773"/>
      <c r="Q3" s="1866"/>
      <c r="R3" s="772"/>
      <c r="S3" s="1869"/>
      <c r="T3" s="1870"/>
      <c r="W3" s="1840" t="s">
        <v>399</v>
      </c>
      <c r="X3" s="1840" t="s">
        <v>401</v>
      </c>
    </row>
    <row r="4" spans="1:43" ht="16.5" thickBot="1">
      <c r="B4" s="12" t="s">
        <v>2274</v>
      </c>
      <c r="C4" s="774"/>
      <c r="D4" s="774"/>
      <c r="E4" s="774"/>
      <c r="F4" s="774"/>
      <c r="G4" s="774"/>
      <c r="H4" s="774"/>
      <c r="I4" s="774"/>
      <c r="J4" s="774"/>
      <c r="K4" s="774"/>
      <c r="L4" s="774"/>
      <c r="M4" s="774"/>
      <c r="N4" s="774"/>
      <c r="O4" s="774"/>
      <c r="P4" s="13" t="str">
        <f>'MASTER PubCo Inputs'!C20</f>
        <v>(in thousands of USD and shares, except price per share)</v>
      </c>
      <c r="Q4" s="1866"/>
      <c r="R4" s="1840"/>
      <c r="W4" s="1840" t="s">
        <v>89</v>
      </c>
      <c r="X4" s="1840" t="s">
        <v>90</v>
      </c>
    </row>
    <row r="5" spans="1:43" s="1871" customFormat="1" ht="13.5" thickTop="1">
      <c r="B5" s="1872"/>
      <c r="C5" s="1873"/>
      <c r="D5" s="1872"/>
      <c r="E5" s="1872"/>
      <c r="F5" s="1874"/>
      <c r="G5" s="1874"/>
      <c r="H5" s="1874"/>
      <c r="I5" s="1874"/>
      <c r="J5" s="1874"/>
      <c r="K5" s="1874"/>
      <c r="L5" s="1874"/>
      <c r="M5" s="1874"/>
      <c r="N5" s="1874"/>
      <c r="O5" s="1875"/>
      <c r="P5" s="1875"/>
      <c r="Q5" s="1835"/>
    </row>
    <row r="6" spans="1:43">
      <c r="B6" s="1774" t="s">
        <v>2275</v>
      </c>
      <c r="C6" s="1775"/>
      <c r="D6" s="1775"/>
      <c r="E6" s="1775"/>
      <c r="F6" s="1775"/>
      <c r="G6" s="1775"/>
      <c r="H6" s="1775"/>
      <c r="I6" s="1775"/>
      <c r="J6" s="1775"/>
      <c r="K6" s="1775"/>
      <c r="L6" s="1775"/>
      <c r="M6" s="1775"/>
      <c r="N6" s="1775"/>
      <c r="O6" s="1775"/>
      <c r="P6" s="1776"/>
      <c r="Q6" s="1866"/>
      <c r="R6" s="1866"/>
      <c r="S6" s="1866"/>
      <c r="T6" s="1876"/>
      <c r="U6" s="1876"/>
    </row>
    <row r="7" spans="1:43" s="1877" customFormat="1" ht="27.75" customHeight="1">
      <c r="B7" s="1878"/>
      <c r="C7" s="1879"/>
      <c r="D7" s="3246" t="s">
        <v>1379</v>
      </c>
      <c r="E7" s="1879" t="s">
        <v>867</v>
      </c>
      <c r="F7" s="3246" t="s">
        <v>1339</v>
      </c>
      <c r="G7" s="3248" t="s">
        <v>868</v>
      </c>
      <c r="H7" s="3248" t="s">
        <v>869</v>
      </c>
      <c r="I7" s="3248"/>
      <c r="J7" s="3248" t="s">
        <v>870</v>
      </c>
      <c r="K7" s="3248" t="s">
        <v>1377</v>
      </c>
      <c r="L7" s="3248" t="s">
        <v>871</v>
      </c>
      <c r="M7" s="3248" t="s">
        <v>872</v>
      </c>
      <c r="N7" s="3248" t="s">
        <v>873</v>
      </c>
      <c r="O7" s="3248" t="s">
        <v>1378</v>
      </c>
      <c r="P7" s="3250" t="s">
        <v>1278</v>
      </c>
      <c r="Q7" s="1866"/>
      <c r="R7" s="1866"/>
      <c r="S7" s="3244" t="s">
        <v>870</v>
      </c>
      <c r="T7" s="3244" t="s">
        <v>1279</v>
      </c>
      <c r="U7" s="3244" t="s">
        <v>1280</v>
      </c>
      <c r="V7" s="3245" t="s">
        <v>874</v>
      </c>
      <c r="X7" s="3244" t="s">
        <v>875</v>
      </c>
      <c r="Y7" s="1880"/>
      <c r="Z7" s="1880"/>
      <c r="AA7" s="3244" t="s">
        <v>145</v>
      </c>
      <c r="AB7" s="3244" t="s">
        <v>1381</v>
      </c>
      <c r="AC7" s="3244" t="s">
        <v>1382</v>
      </c>
      <c r="AD7" s="3244" t="s">
        <v>1383</v>
      </c>
      <c r="AE7" s="3244" t="s">
        <v>1384</v>
      </c>
    </row>
    <row r="8" spans="1:43" s="1877" customFormat="1">
      <c r="B8" s="1881" t="s">
        <v>876</v>
      </c>
      <c r="C8" s="1882" t="s">
        <v>877</v>
      </c>
      <c r="D8" s="3247"/>
      <c r="E8" s="1882" t="s">
        <v>878</v>
      </c>
      <c r="F8" s="3247"/>
      <c r="G8" s="3249"/>
      <c r="H8" s="1883" t="s">
        <v>112</v>
      </c>
      <c r="I8" s="1883" t="s">
        <v>111</v>
      </c>
      <c r="J8" s="3249"/>
      <c r="K8" s="3249"/>
      <c r="L8" s="3249"/>
      <c r="M8" s="3249"/>
      <c r="N8" s="3249"/>
      <c r="O8" s="3249"/>
      <c r="P8" s="3251"/>
      <c r="Q8" s="1866"/>
      <c r="R8" s="1884" t="s">
        <v>1474</v>
      </c>
      <c r="S8" s="3244"/>
      <c r="T8" s="3244" t="s">
        <v>1279</v>
      </c>
      <c r="U8" s="3244"/>
      <c r="V8" s="3245"/>
      <c r="W8" s="1885" t="s">
        <v>1281</v>
      </c>
      <c r="X8" s="3244"/>
      <c r="Y8" s="1880" t="s">
        <v>95</v>
      </c>
      <c r="Z8" s="1880" t="s">
        <v>722</v>
      </c>
      <c r="AA8" s="3244"/>
      <c r="AB8" s="3244"/>
      <c r="AC8" s="3244"/>
      <c r="AD8" s="3244"/>
      <c r="AE8" s="3244"/>
    </row>
    <row r="9" spans="1:43" s="1886" customFormat="1" ht="13.5" customHeight="1">
      <c r="B9" s="1887"/>
      <c r="C9" s="1887"/>
      <c r="D9" s="1887"/>
      <c r="E9" s="1887"/>
      <c r="F9" s="1887"/>
      <c r="G9" s="1887"/>
      <c r="H9" s="1887"/>
      <c r="I9" s="1887"/>
      <c r="J9" s="1887"/>
      <c r="K9" s="1887"/>
      <c r="L9" s="1887"/>
      <c r="M9" s="1887"/>
      <c r="N9" s="1887"/>
      <c r="O9" s="1887"/>
      <c r="P9" s="1887"/>
      <c r="Q9" s="1866"/>
      <c r="R9" s="1866"/>
      <c r="S9" s="1866"/>
      <c r="T9" s="1888"/>
      <c r="U9" s="1888"/>
      <c r="AF9" s="1889" t="s">
        <v>110</v>
      </c>
    </row>
    <row r="10" spans="1:43" s="1886" customFormat="1" ht="13.5" customHeight="1">
      <c r="B10" s="1890" t="s">
        <v>1282</v>
      </c>
      <c r="C10" s="1887"/>
      <c r="D10" s="1887"/>
      <c r="E10" s="1887"/>
      <c r="F10" s="1891"/>
      <c r="G10" s="1887"/>
      <c r="H10" s="1887"/>
      <c r="I10" s="1887"/>
      <c r="J10" s="1887"/>
      <c r="K10" s="1887"/>
      <c r="L10" s="919"/>
      <c r="M10" s="1887"/>
      <c r="N10" s="1887"/>
      <c r="O10" s="1887"/>
      <c r="P10" s="1887"/>
      <c r="Q10" s="1866"/>
      <c r="R10" s="1866"/>
      <c r="S10" s="1866"/>
      <c r="T10" s="1888"/>
      <c r="U10" s="1888"/>
    </row>
    <row r="11" spans="1:43" s="1788" customFormat="1" ht="13.5" customHeight="1">
      <c r="B11" s="1794" t="s">
        <v>2617</v>
      </c>
      <c r="C11" s="1795" t="s">
        <v>2618</v>
      </c>
      <c r="D11" s="1796" t="s">
        <v>781</v>
      </c>
      <c r="E11" s="1797" t="s">
        <v>2619</v>
      </c>
      <c r="F11" s="1798">
        <v>43186</v>
      </c>
      <c r="G11" s="775">
        <v>16</v>
      </c>
      <c r="H11" s="775">
        <v>14</v>
      </c>
      <c r="I11" s="775">
        <v>16</v>
      </c>
      <c r="J11" s="2104">
        <v>20.85</v>
      </c>
      <c r="K11" s="1799">
        <f>+M11-L11</f>
        <v>27080.819000000003</v>
      </c>
      <c r="L11" s="975">
        <v>9000</v>
      </c>
      <c r="M11" s="975">
        <v>36080.819000000003</v>
      </c>
      <c r="N11" s="1777">
        <f>+G11*K11</f>
        <v>433293.10400000005</v>
      </c>
      <c r="O11" s="1777">
        <f>+G11*L11</f>
        <v>144000</v>
      </c>
      <c r="P11" s="1777">
        <f>+N11+O11</f>
        <v>577293.10400000005</v>
      </c>
      <c r="Q11" s="1777"/>
      <c r="R11" s="1777">
        <v>1</v>
      </c>
      <c r="S11" s="775">
        <f>J11</f>
        <v>20.85</v>
      </c>
      <c r="T11" s="1801">
        <f>S11*M11</f>
        <v>752285.0761500001</v>
      </c>
      <c r="U11" s="1802">
        <f>T11/P11-1</f>
        <v>0.30312500000000009</v>
      </c>
      <c r="V11" s="1803" t="s">
        <v>2620</v>
      </c>
      <c r="W11" s="2105" t="s">
        <v>2621</v>
      </c>
      <c r="X11" s="1805">
        <f>+N11+O11</f>
        <v>577293.10400000005</v>
      </c>
      <c r="Y11" s="1806"/>
      <c r="Z11" s="1806"/>
      <c r="AA11" s="976"/>
      <c r="AB11" s="977"/>
      <c r="AC11" s="977"/>
      <c r="AD11" s="1807"/>
      <c r="AE11" s="1807"/>
      <c r="AF11" s="1808"/>
    </row>
    <row r="12" spans="1:43" s="1886" customFormat="1" ht="13.5" customHeight="1">
      <c r="A12" s="1831"/>
      <c r="B12" s="1832" t="s">
        <v>811</v>
      </c>
      <c r="C12" s="1833" t="s">
        <v>809</v>
      </c>
      <c r="D12" s="1834" t="s">
        <v>856</v>
      </c>
      <c r="E12" s="1833" t="s">
        <v>938</v>
      </c>
      <c r="F12" s="1892">
        <v>42495</v>
      </c>
      <c r="G12" s="1893">
        <v>18</v>
      </c>
      <c r="H12" s="1893">
        <v>16</v>
      </c>
      <c r="I12" s="1893">
        <v>18</v>
      </c>
      <c r="J12" s="1893">
        <v>28.8</v>
      </c>
      <c r="K12" s="1835">
        <f>+M12-L12</f>
        <v>29096.264999999999</v>
      </c>
      <c r="L12" s="975">
        <v>6000</v>
      </c>
      <c r="M12" s="975">
        <v>35096.264999999999</v>
      </c>
      <c r="N12" s="1835">
        <f>+G12*K12</f>
        <v>523732.77</v>
      </c>
      <c r="O12" s="1894">
        <f>+G12*L12</f>
        <v>108000</v>
      </c>
      <c r="P12" s="1835">
        <f>+N12+O12</f>
        <v>631732.77</v>
      </c>
      <c r="Q12" s="1835"/>
      <c r="R12" s="1866">
        <v>1</v>
      </c>
      <c r="S12" s="775">
        <f>J12</f>
        <v>28.8</v>
      </c>
      <c r="T12" s="1895">
        <f>S12*M12</f>
        <v>1010772.432</v>
      </c>
      <c r="U12" s="1896">
        <f>T12/P12-1</f>
        <v>0.60000000000000009</v>
      </c>
      <c r="V12" s="1897" t="s">
        <v>810</v>
      </c>
      <c r="W12" s="1837" t="s">
        <v>812</v>
      </c>
      <c r="X12" s="1838">
        <f>+N12+O12</f>
        <v>631732.77</v>
      </c>
      <c r="Y12" s="1838">
        <v>0</v>
      </c>
      <c r="Z12" s="1838">
        <v>75816</v>
      </c>
      <c r="AA12" s="976">
        <f>X12+Y12-Z12</f>
        <v>555916.77</v>
      </c>
      <c r="AB12" s="977">
        <v>9364</v>
      </c>
      <c r="AC12" s="970">
        <v>-21770</v>
      </c>
      <c r="AD12" s="1830">
        <f>IFERROR(AA12/AB12,"n/a")</f>
        <v>59.367446604015377</v>
      </c>
      <c r="AE12" s="1830">
        <f>IFERROR(AA12/AC12,"n/a")</f>
        <v>-25.535910427193386</v>
      </c>
      <c r="AF12" s="1839">
        <f>+P12-X12</f>
        <v>0</v>
      </c>
      <c r="AK12" s="1839"/>
      <c r="AL12" s="1898"/>
      <c r="AM12" s="1899"/>
    </row>
    <row r="13" spans="1:43" ht="13.5" customHeight="1">
      <c r="A13" s="1831"/>
      <c r="B13" s="1832" t="s">
        <v>795</v>
      </c>
      <c r="C13" s="1833" t="s">
        <v>793</v>
      </c>
      <c r="D13" s="1834" t="s">
        <v>781</v>
      </c>
      <c r="E13" s="1833" t="s">
        <v>975</v>
      </c>
      <c r="F13" s="1892">
        <v>42318</v>
      </c>
      <c r="G13" s="1893">
        <v>16</v>
      </c>
      <c r="H13" s="1893">
        <v>15</v>
      </c>
      <c r="I13" s="1893">
        <v>17</v>
      </c>
      <c r="J13" s="1893">
        <v>13.785</v>
      </c>
      <c r="K13" s="1835">
        <f>+M13-L13</f>
        <v>14558.296999999999</v>
      </c>
      <c r="L13" s="975">
        <v>6375</v>
      </c>
      <c r="M13" s="975">
        <v>20933.296999999999</v>
      </c>
      <c r="N13" s="1835">
        <f>+G13*K13</f>
        <v>232932.75199999998</v>
      </c>
      <c r="O13" s="1894">
        <f>+G13*L13</f>
        <v>102000</v>
      </c>
      <c r="P13" s="1835">
        <f>+N13+O13</f>
        <v>334932.75199999998</v>
      </c>
      <c r="Q13" s="1835"/>
      <c r="R13" s="1866">
        <v>1</v>
      </c>
      <c r="S13" s="775">
        <f>J13</f>
        <v>13.785</v>
      </c>
      <c r="T13" s="1895">
        <f>S13*M13</f>
        <v>288565.49914500001</v>
      </c>
      <c r="U13" s="1896">
        <f>T13/P13-1</f>
        <v>-0.13843749999999988</v>
      </c>
      <c r="V13" s="1836" t="s">
        <v>794</v>
      </c>
      <c r="W13" s="1837" t="s">
        <v>796</v>
      </c>
      <c r="X13" s="1838">
        <f>+N13+O13</f>
        <v>334932.75199999998</v>
      </c>
      <c r="Y13" s="1838">
        <v>171000</v>
      </c>
      <c r="Z13" s="1838">
        <v>7779</v>
      </c>
      <c r="AA13" s="976">
        <f>X13+Y13-Z13</f>
        <v>498153.75199999998</v>
      </c>
      <c r="AB13" s="977">
        <v>417</v>
      </c>
      <c r="AC13" s="970">
        <v>-31242</v>
      </c>
      <c r="AD13" s="1830">
        <f>IFERROR(AA13/AB13,"n/a")</f>
        <v>1194.613314148681</v>
      </c>
      <c r="AE13" s="1830">
        <f>IFERROR(AA13/AC13,"n/a")</f>
        <v>-15.945001984508034</v>
      </c>
      <c r="AF13" s="1839">
        <f>+P13-X13</f>
        <v>0</v>
      </c>
      <c r="AG13" s="1886"/>
      <c r="AK13" s="1894"/>
      <c r="AL13" s="1898"/>
      <c r="AM13" s="1899"/>
    </row>
    <row r="14" spans="1:43" ht="13.5" customHeight="1">
      <c r="A14" s="1831"/>
      <c r="B14" s="1832" t="s">
        <v>799</v>
      </c>
      <c r="C14" s="1833" t="s">
        <v>797</v>
      </c>
      <c r="D14" s="1834" t="s">
        <v>781</v>
      </c>
      <c r="E14" s="1833" t="s">
        <v>1011</v>
      </c>
      <c r="F14" s="1892">
        <v>42263</v>
      </c>
      <c r="G14" s="1893">
        <v>22</v>
      </c>
      <c r="H14" s="1893">
        <v>17</v>
      </c>
      <c r="I14" s="1893">
        <v>19</v>
      </c>
      <c r="J14" s="1893">
        <v>18.55</v>
      </c>
      <c r="K14" s="1835">
        <f>+M14-L14</f>
        <v>19050.707999999999</v>
      </c>
      <c r="L14" s="975">
        <v>6300</v>
      </c>
      <c r="M14" s="975">
        <v>25350.707999999999</v>
      </c>
      <c r="N14" s="1835">
        <f>+G14*K14</f>
        <v>419115.576</v>
      </c>
      <c r="O14" s="1894">
        <f>+G14*L14</f>
        <v>138600</v>
      </c>
      <c r="P14" s="1835">
        <f>+N14+O14</f>
        <v>557715.576</v>
      </c>
      <c r="Q14" s="1835"/>
      <c r="R14" s="1866">
        <v>1</v>
      </c>
      <c r="S14" s="775">
        <f>J14</f>
        <v>18.55</v>
      </c>
      <c r="T14" s="1895">
        <f>S14*M14</f>
        <v>470255.63339999999</v>
      </c>
      <c r="U14" s="1896">
        <f>T14/P14-1</f>
        <v>-0.15681818181818186</v>
      </c>
      <c r="V14" s="1900" t="s">
        <v>798</v>
      </c>
      <c r="W14" s="1837" t="s">
        <v>800</v>
      </c>
      <c r="X14" s="1838">
        <f>+N14+O14</f>
        <v>557715.576</v>
      </c>
      <c r="Y14" s="1838">
        <v>0</v>
      </c>
      <c r="Z14" s="1838">
        <v>85215</v>
      </c>
      <c r="AA14" s="976">
        <f>X14+Y14-Z14</f>
        <v>472500.576</v>
      </c>
      <c r="AB14" s="977">
        <v>8349</v>
      </c>
      <c r="AC14" s="970">
        <v>-38825</v>
      </c>
      <c r="AD14" s="1830">
        <f>IFERROR(AA14/AB14,"n/a")</f>
        <v>56.593673014732303</v>
      </c>
      <c r="AE14" s="1830">
        <f>IFERROR(AA14/AC14,"n/a")</f>
        <v>-12.170008396651642</v>
      </c>
      <c r="AF14" s="1839">
        <f>+P14-X14</f>
        <v>0</v>
      </c>
      <c r="AG14" s="1829"/>
      <c r="AH14" s="1829"/>
      <c r="AI14" s="1829"/>
      <c r="AJ14" s="1829"/>
      <c r="AK14" s="1901"/>
      <c r="AL14" s="1898"/>
      <c r="AM14" s="1899"/>
      <c r="AN14" s="1829"/>
      <c r="AO14" s="1829"/>
      <c r="AP14" s="1829"/>
    </row>
    <row r="15" spans="1:43" s="1829" customFormat="1" ht="13.5" customHeight="1">
      <c r="A15" s="1831"/>
      <c r="B15" s="1832"/>
      <c r="C15" s="1833"/>
      <c r="D15" s="1834"/>
      <c r="E15" s="1833"/>
      <c r="F15" s="1892"/>
      <c r="G15" s="1902"/>
      <c r="H15" s="1893"/>
      <c r="I15" s="1893"/>
      <c r="J15" s="1902"/>
      <c r="K15" s="1903"/>
      <c r="L15" s="1894"/>
      <c r="M15" s="1894"/>
      <c r="N15" s="1835"/>
      <c r="O15" s="1894"/>
      <c r="P15" s="1835"/>
      <c r="Q15" s="1835"/>
      <c r="R15" s="1835"/>
      <c r="S15" s="775"/>
      <c r="T15" s="1895"/>
      <c r="U15" s="1896"/>
      <c r="V15" s="1837"/>
      <c r="W15" s="1837"/>
      <c r="X15" s="1838"/>
      <c r="Y15" s="1838"/>
      <c r="Z15" s="1838"/>
      <c r="AA15" s="976"/>
      <c r="AB15" s="977"/>
      <c r="AC15" s="970"/>
      <c r="AD15" s="1830"/>
      <c r="AE15" s="1830"/>
      <c r="AF15" s="1839"/>
      <c r="AG15" s="1840"/>
      <c r="AH15" s="1840"/>
      <c r="AI15" s="1840"/>
      <c r="AJ15" s="1894"/>
      <c r="AK15" s="1898"/>
      <c r="AL15" s="1899"/>
      <c r="AM15" s="1840"/>
      <c r="AN15" s="1840"/>
      <c r="AO15" s="1840"/>
    </row>
    <row r="16" spans="1:43" s="1815" customFormat="1" ht="13.5" customHeight="1">
      <c r="A16" s="1809"/>
      <c r="B16" s="1827" t="str">
        <f>B10&amp;" Metrics"</f>
        <v>Discovery / IND / Preclinical Metrics</v>
      </c>
      <c r="C16" s="1797"/>
      <c r="D16" s="1796"/>
      <c r="E16" s="1797"/>
      <c r="F16" s="1798"/>
      <c r="G16" s="1820"/>
      <c r="H16" s="1810"/>
      <c r="I16" s="1810"/>
      <c r="J16" s="1820"/>
      <c r="K16" s="1821"/>
      <c r="L16" s="1800"/>
      <c r="M16" s="1800"/>
      <c r="N16" s="1799"/>
      <c r="O16" s="1800"/>
      <c r="P16" s="1799"/>
      <c r="Q16" s="1799"/>
      <c r="R16" s="1799"/>
      <c r="S16" s="775"/>
      <c r="T16" s="1801"/>
      <c r="U16" s="1802"/>
      <c r="V16" s="1804"/>
      <c r="W16" s="1804"/>
      <c r="X16" s="1805"/>
      <c r="Y16" s="1805"/>
      <c r="Z16" s="1805"/>
      <c r="AA16" s="976"/>
      <c r="AB16" s="977"/>
      <c r="AC16" s="970"/>
      <c r="AD16" s="1807"/>
      <c r="AE16" s="1807"/>
      <c r="AF16" s="1808"/>
      <c r="AG16" s="1773"/>
      <c r="AH16" s="1773"/>
      <c r="AI16" s="1773"/>
      <c r="AJ16" s="1800"/>
      <c r="AK16" s="1813"/>
      <c r="AL16" s="1812"/>
      <c r="AM16" s="1773"/>
      <c r="AN16" s="1773"/>
      <c r="AO16" s="1773"/>
    </row>
    <row r="17" spans="1:42" s="1829" customFormat="1" ht="13.5" customHeight="1">
      <c r="A17" s="1831"/>
      <c r="B17" s="1822" t="s">
        <v>111</v>
      </c>
      <c r="C17" s="1823"/>
      <c r="D17" s="1823"/>
      <c r="E17" s="1823"/>
      <c r="F17" s="1823"/>
      <c r="G17" s="1823"/>
      <c r="H17" s="1823"/>
      <c r="I17" s="1823"/>
      <c r="J17" s="1823"/>
      <c r="K17" s="1823"/>
      <c r="L17" s="1823"/>
      <c r="M17" s="1823"/>
      <c r="N17" s="1824">
        <f>MAX(N11:N14)</f>
        <v>523732.77</v>
      </c>
      <c r="O17" s="1824"/>
      <c r="P17" s="2536">
        <f>MAX(P11:P14)</f>
        <v>631732.77</v>
      </c>
      <c r="Q17" s="1835"/>
      <c r="R17" s="1835"/>
      <c r="S17" s="1826">
        <f>MAX(S12:S14)</f>
        <v>28.8</v>
      </c>
      <c r="T17" s="1895"/>
      <c r="U17" s="1896"/>
      <c r="V17" s="1837"/>
      <c r="W17" s="1837"/>
      <c r="X17" s="1838"/>
      <c r="Y17" s="1838"/>
      <c r="Z17" s="1838"/>
      <c r="AA17" s="976"/>
      <c r="AB17" s="977"/>
      <c r="AC17" s="970"/>
      <c r="AD17" s="1830"/>
      <c r="AE17" s="1830"/>
      <c r="AF17" s="1839"/>
      <c r="AG17" s="1840"/>
      <c r="AH17" s="1840"/>
      <c r="AI17" s="1840"/>
      <c r="AJ17" s="1894"/>
      <c r="AK17" s="1898"/>
      <c r="AL17" s="1899"/>
      <c r="AM17" s="1840"/>
      <c r="AN17" s="1840"/>
      <c r="AO17" s="1840"/>
    </row>
    <row r="18" spans="1:42" s="1829" customFormat="1" ht="13.5" customHeight="1">
      <c r="A18" s="1831"/>
      <c r="B18" s="776" t="s">
        <v>115</v>
      </c>
      <c r="C18" s="777"/>
      <c r="D18" s="777"/>
      <c r="E18" s="777"/>
      <c r="F18" s="777"/>
      <c r="G18" s="777"/>
      <c r="H18" s="777"/>
      <c r="I18" s="777"/>
      <c r="J18" s="777"/>
      <c r="K18" s="777"/>
      <c r="L18" s="777"/>
      <c r="M18" s="777"/>
      <c r="N18" s="769">
        <f>_xlfn.QUARTILE.INC(N11:N14,3)</f>
        <v>455903.02050000004</v>
      </c>
      <c r="O18" s="769"/>
      <c r="P18" s="778">
        <f>_xlfn.QUARTILE.INC(P11:P14,3)</f>
        <v>590903.0205000001</v>
      </c>
      <c r="Q18" s="1835"/>
      <c r="R18" s="1835"/>
      <c r="S18" s="920">
        <f>_xlfn.QUARTILE.INC(S12:S14,3)</f>
        <v>23.675000000000001</v>
      </c>
      <c r="T18" s="1895"/>
      <c r="U18" s="1896"/>
      <c r="V18" s="1837"/>
      <c r="W18" s="1837"/>
      <c r="X18" s="1838"/>
      <c r="Y18" s="1838"/>
      <c r="Z18" s="1838"/>
      <c r="AA18" s="976"/>
      <c r="AB18" s="977"/>
      <c r="AC18" s="970"/>
      <c r="AD18" s="1830"/>
      <c r="AE18" s="1830"/>
      <c r="AF18" s="1839"/>
      <c r="AG18" s="1840"/>
      <c r="AH18" s="1840"/>
      <c r="AI18" s="1840"/>
      <c r="AJ18" s="1894"/>
      <c r="AK18" s="1898"/>
      <c r="AL18" s="1899"/>
      <c r="AM18" s="1840"/>
      <c r="AN18" s="1840"/>
      <c r="AO18" s="1840"/>
    </row>
    <row r="19" spans="1:42" s="1829" customFormat="1" ht="13.5" customHeight="1">
      <c r="A19" s="1831"/>
      <c r="B19" s="776" t="s">
        <v>43</v>
      </c>
      <c r="C19" s="777"/>
      <c r="D19" s="777"/>
      <c r="E19" s="777"/>
      <c r="F19" s="777"/>
      <c r="G19" s="777"/>
      <c r="H19" s="777"/>
      <c r="I19" s="777"/>
      <c r="J19" s="777"/>
      <c r="K19" s="777"/>
      <c r="L19" s="777"/>
      <c r="M19" s="777"/>
      <c r="N19" s="769">
        <f>AVERAGE(N11:N14)</f>
        <v>402268.55050000001</v>
      </c>
      <c r="O19" s="769"/>
      <c r="P19" s="778">
        <f>AVERAGE(P11:P14)</f>
        <v>525418.55050000001</v>
      </c>
      <c r="Q19" s="1835"/>
      <c r="R19" s="1835"/>
      <c r="S19" s="920">
        <f>AVERAGE(S12:S14)</f>
        <v>20.378333333333334</v>
      </c>
      <c r="T19" s="1895"/>
      <c r="U19" s="1896"/>
      <c r="V19" s="1837"/>
      <c r="W19" s="1837"/>
      <c r="X19" s="1838"/>
      <c r="Y19" s="1838"/>
      <c r="Z19" s="1838"/>
      <c r="AA19" s="976"/>
      <c r="AB19" s="977"/>
      <c r="AC19" s="970"/>
      <c r="AD19" s="1830"/>
      <c r="AE19" s="1830"/>
      <c r="AF19" s="1839"/>
      <c r="AG19" s="1840"/>
      <c r="AH19" s="1840"/>
      <c r="AI19" s="1840"/>
      <c r="AJ19" s="1894"/>
      <c r="AK19" s="1898"/>
      <c r="AL19" s="1899"/>
      <c r="AM19" s="1840"/>
      <c r="AN19" s="1840"/>
      <c r="AO19" s="1840"/>
    </row>
    <row r="20" spans="1:42" s="1829" customFormat="1" ht="13.5" customHeight="1">
      <c r="A20" s="1831"/>
      <c r="B20" s="776" t="s">
        <v>44</v>
      </c>
      <c r="C20" s="777"/>
      <c r="D20" s="777"/>
      <c r="E20" s="777"/>
      <c r="F20" s="777"/>
      <c r="G20" s="777"/>
      <c r="H20" s="777"/>
      <c r="I20" s="777"/>
      <c r="J20" s="777"/>
      <c r="K20" s="777"/>
      <c r="L20" s="777"/>
      <c r="M20" s="777"/>
      <c r="N20" s="769">
        <f>MEDIAN(N11:N14)</f>
        <v>426204.34</v>
      </c>
      <c r="O20" s="769"/>
      <c r="P20" s="778">
        <f>MEDIAN(P11:P14)</f>
        <v>567504.34000000008</v>
      </c>
      <c r="Q20" s="1835"/>
      <c r="R20" s="1835"/>
      <c r="S20" s="920">
        <f>MEDIAN(S12:S14)</f>
        <v>18.55</v>
      </c>
      <c r="T20" s="1895"/>
      <c r="U20" s="1896"/>
      <c r="V20" s="1837"/>
      <c r="W20" s="1837"/>
      <c r="X20" s="1838"/>
      <c r="Y20" s="1838"/>
      <c r="Z20" s="1838"/>
      <c r="AA20" s="976"/>
      <c r="AB20" s="977"/>
      <c r="AC20" s="970"/>
      <c r="AD20" s="1830"/>
      <c r="AE20" s="1830"/>
      <c r="AF20" s="1839"/>
      <c r="AG20" s="1840"/>
      <c r="AH20" s="1840"/>
      <c r="AI20" s="1840"/>
      <c r="AJ20" s="1894"/>
      <c r="AK20" s="1898"/>
      <c r="AL20" s="1899"/>
      <c r="AM20" s="1840"/>
      <c r="AN20" s="1840"/>
      <c r="AO20" s="1840"/>
    </row>
    <row r="21" spans="1:42" s="1829" customFormat="1" ht="13.5" customHeight="1">
      <c r="A21" s="1831"/>
      <c r="B21" s="776" t="s">
        <v>114</v>
      </c>
      <c r="C21" s="777"/>
      <c r="D21" s="777"/>
      <c r="E21" s="777"/>
      <c r="F21" s="777"/>
      <c r="G21" s="777"/>
      <c r="H21" s="777"/>
      <c r="I21" s="777"/>
      <c r="J21" s="777"/>
      <c r="K21" s="777"/>
      <c r="L21" s="777"/>
      <c r="M21" s="777"/>
      <c r="N21" s="769">
        <f>_xlfn.QUARTILE.INC(N11:N14,1)</f>
        <v>372569.87</v>
      </c>
      <c r="O21" s="769"/>
      <c r="P21" s="778">
        <f>_xlfn.QUARTILE.INC(P11:P14,1)</f>
        <v>502019.87</v>
      </c>
      <c r="Q21" s="1835"/>
      <c r="R21" s="1835"/>
      <c r="S21" s="920">
        <f>_xlfn.QUARTILE.INC(S12:S14,1)</f>
        <v>16.1675</v>
      </c>
      <c r="T21" s="1895"/>
      <c r="U21" s="1896"/>
      <c r="V21" s="1837"/>
      <c r="W21" s="1837"/>
      <c r="X21" s="1838"/>
      <c r="Y21" s="1838"/>
      <c r="Z21" s="1838"/>
      <c r="AA21" s="976"/>
      <c r="AB21" s="977"/>
      <c r="AC21" s="970"/>
      <c r="AD21" s="1830"/>
      <c r="AE21" s="1830"/>
      <c r="AF21" s="1839"/>
      <c r="AG21" s="1840"/>
      <c r="AH21" s="1840"/>
      <c r="AI21" s="1840"/>
      <c r="AJ21" s="1894"/>
      <c r="AK21" s="1898"/>
      <c r="AL21" s="1899"/>
      <c r="AM21" s="1840"/>
      <c r="AN21" s="1840"/>
      <c r="AO21" s="1840"/>
    </row>
    <row r="22" spans="1:42" s="1829" customFormat="1" ht="13.5" customHeight="1">
      <c r="A22" s="1831"/>
      <c r="B22" s="921" t="s">
        <v>112</v>
      </c>
      <c r="C22" s="779"/>
      <c r="D22" s="779"/>
      <c r="E22" s="779"/>
      <c r="F22" s="779"/>
      <c r="G22" s="779"/>
      <c r="H22" s="779"/>
      <c r="I22" s="779"/>
      <c r="J22" s="779"/>
      <c r="K22" s="779"/>
      <c r="L22" s="779"/>
      <c r="M22" s="779"/>
      <c r="N22" s="770">
        <f>MIN(N11:N14)</f>
        <v>232932.75199999998</v>
      </c>
      <c r="O22" s="770"/>
      <c r="P22" s="780">
        <f>MIN(P11:P14)</f>
        <v>334932.75199999998</v>
      </c>
      <c r="Q22" s="1835"/>
      <c r="R22" s="1835"/>
      <c r="S22" s="922">
        <f>MIN(S12:S14)</f>
        <v>13.785</v>
      </c>
      <c r="T22" s="1895"/>
      <c r="U22" s="1896"/>
      <c r="V22" s="1837"/>
      <c r="W22" s="1837"/>
      <c r="X22" s="1838"/>
      <c r="Y22" s="1838"/>
      <c r="Z22" s="1838"/>
      <c r="AA22" s="976"/>
      <c r="AB22" s="977"/>
      <c r="AC22" s="970"/>
      <c r="AD22" s="1830"/>
      <c r="AE22" s="1830"/>
      <c r="AF22" s="1839"/>
      <c r="AG22" s="1840"/>
      <c r="AH22" s="1840"/>
      <c r="AI22" s="1840"/>
      <c r="AJ22" s="1894"/>
      <c r="AK22" s="1898"/>
      <c r="AL22" s="1899"/>
      <c r="AM22" s="1840"/>
      <c r="AN22" s="1840"/>
      <c r="AO22" s="1840"/>
    </row>
    <row r="23" spans="1:42" s="1829" customFormat="1" ht="13.5" customHeight="1">
      <c r="A23" s="1831"/>
      <c r="B23" s="1832"/>
      <c r="C23" s="1833"/>
      <c r="D23" s="1834"/>
      <c r="E23" s="1833"/>
      <c r="F23" s="1892"/>
      <c r="G23" s="1902"/>
      <c r="H23" s="1893"/>
      <c r="I23" s="1893"/>
      <c r="J23" s="1902"/>
      <c r="K23" s="1903"/>
      <c r="L23" s="1894"/>
      <c r="M23" s="1894"/>
      <c r="N23" s="1835"/>
      <c r="O23" s="1894"/>
      <c r="P23" s="1835"/>
      <c r="Q23" s="1835"/>
      <c r="R23" s="1835"/>
      <c r="S23" s="775"/>
      <c r="T23" s="1895"/>
      <c r="U23" s="1896"/>
      <c r="V23" s="1837"/>
      <c r="W23" s="1837"/>
      <c r="X23" s="1839"/>
      <c r="Y23" s="1838"/>
      <c r="Z23" s="1838"/>
      <c r="AA23" s="976"/>
      <c r="AB23" s="977"/>
      <c r="AC23" s="970"/>
      <c r="AD23" s="1830"/>
      <c r="AE23" s="1830"/>
      <c r="AF23" s="1886"/>
      <c r="AG23" s="1840"/>
      <c r="AH23" s="1840"/>
      <c r="AI23" s="1840"/>
      <c r="AJ23" s="1894"/>
      <c r="AK23" s="1898"/>
      <c r="AL23" s="1899"/>
      <c r="AM23" s="1840"/>
      <c r="AN23" s="1840"/>
      <c r="AO23" s="1840"/>
    </row>
    <row r="24" spans="1:42" s="1829" customFormat="1" ht="13.5" customHeight="1">
      <c r="A24" s="1831"/>
      <c r="B24" s="1904" t="s">
        <v>1287</v>
      </c>
      <c r="C24" s="1833"/>
      <c r="D24" s="1834"/>
      <c r="E24" s="1833"/>
      <c r="F24" s="1892"/>
      <c r="G24" s="1902"/>
      <c r="H24" s="1893"/>
      <c r="I24" s="1893"/>
      <c r="J24" s="1902"/>
      <c r="K24" s="1903"/>
      <c r="L24" s="1894"/>
      <c r="M24" s="1894"/>
      <c r="N24" s="1835"/>
      <c r="O24" s="1894"/>
      <c r="P24" s="1835"/>
      <c r="Q24" s="1835"/>
      <c r="R24" s="1835"/>
      <c r="S24" s="775"/>
      <c r="T24" s="1895"/>
      <c r="U24" s="1896"/>
      <c r="V24" s="1837"/>
      <c r="W24" s="1837"/>
      <c r="X24" s="1839"/>
      <c r="Y24" s="1838"/>
      <c r="Z24" s="1838"/>
      <c r="AA24" s="976"/>
      <c r="AB24" s="977"/>
      <c r="AC24" s="970"/>
      <c r="AD24" s="1830"/>
      <c r="AE24" s="1830"/>
      <c r="AF24" s="1886"/>
      <c r="AG24" s="1840"/>
      <c r="AH24" s="1840"/>
      <c r="AI24" s="1840"/>
      <c r="AJ24" s="1894"/>
      <c r="AK24" s="1898"/>
      <c r="AL24" s="1899"/>
      <c r="AM24" s="1840"/>
      <c r="AN24" s="1840"/>
      <c r="AO24" s="1840"/>
    </row>
    <row r="25" spans="1:42" s="1815" customFormat="1" ht="13.5" customHeight="1">
      <c r="A25" s="1809"/>
      <c r="B25" s="2108" t="s">
        <v>2640</v>
      </c>
      <c r="C25" s="1797" t="s">
        <v>2641</v>
      </c>
      <c r="D25" s="1796" t="s">
        <v>983</v>
      </c>
      <c r="E25" s="1797" t="s">
        <v>2642</v>
      </c>
      <c r="F25" s="1798">
        <v>43258</v>
      </c>
      <c r="G25" s="2109">
        <v>15</v>
      </c>
      <c r="H25" s="1810">
        <v>14</v>
      </c>
      <c r="I25" s="1810">
        <v>16</v>
      </c>
      <c r="J25" s="2110">
        <v>11.46</v>
      </c>
      <c r="K25" s="1799">
        <f t="shared" ref="K25:K31" si="0">+M25-L25</f>
        <v>22184.132000000001</v>
      </c>
      <c r="L25" s="2111">
        <f>5000000/1000</f>
        <v>5000</v>
      </c>
      <c r="M25" s="2112">
        <f>27184132/1000</f>
        <v>27184.132000000001</v>
      </c>
      <c r="N25" s="1777">
        <f t="shared" ref="N25:N31" si="1">+G25*K25</f>
        <v>332761.98000000004</v>
      </c>
      <c r="O25" s="1777">
        <f t="shared" ref="O25:O31" si="2">+G25*L25</f>
        <v>75000</v>
      </c>
      <c r="P25" s="1777">
        <f t="shared" ref="P25:P31" si="3">+N25+O25</f>
        <v>407761.98000000004</v>
      </c>
      <c r="Q25" s="1799"/>
      <c r="R25" s="1777">
        <v>1</v>
      </c>
      <c r="S25" s="775">
        <f>J25</f>
        <v>11.46</v>
      </c>
      <c r="T25" s="1801">
        <f>S25*M25</f>
        <v>311530.15272000001</v>
      </c>
      <c r="U25" s="1802">
        <f>T25/P25-1</f>
        <v>-0.23599999999999999</v>
      </c>
      <c r="V25" s="2106" t="s">
        <v>2643</v>
      </c>
      <c r="W25" s="2107" t="s">
        <v>2644</v>
      </c>
      <c r="X25" s="1805">
        <f>+N25+O25</f>
        <v>407761.98000000004</v>
      </c>
      <c r="Y25" s="1805"/>
      <c r="Z25" s="1805"/>
      <c r="AA25" s="976"/>
      <c r="AB25" s="977"/>
      <c r="AC25" s="970"/>
      <c r="AD25" s="1807"/>
      <c r="AE25" s="1807"/>
      <c r="AF25" s="1788"/>
      <c r="AG25" s="1773"/>
      <c r="AH25" s="1773"/>
      <c r="AI25" s="1773"/>
      <c r="AJ25" s="1800"/>
      <c r="AK25" s="1813"/>
      <c r="AL25" s="1812"/>
      <c r="AM25" s="1773"/>
      <c r="AN25" s="1773"/>
      <c r="AO25" s="1773"/>
    </row>
    <row r="26" spans="1:42" s="1815" customFormat="1" ht="13.5" customHeight="1">
      <c r="A26" s="1809"/>
      <c r="B26" s="1794" t="s">
        <v>2674</v>
      </c>
      <c r="C26" s="1797" t="s">
        <v>2675</v>
      </c>
      <c r="D26" s="1796" t="s">
        <v>509</v>
      </c>
      <c r="E26" s="1797" t="s">
        <v>2676</v>
      </c>
      <c r="F26" s="1798">
        <v>43167</v>
      </c>
      <c r="G26" s="1810">
        <v>11</v>
      </c>
      <c r="H26" s="1810">
        <v>11</v>
      </c>
      <c r="I26" s="1810">
        <v>13</v>
      </c>
      <c r="J26" s="1810">
        <v>11.05</v>
      </c>
      <c r="K26" s="1799">
        <f t="shared" si="0"/>
        <v>10191</v>
      </c>
      <c r="L26" s="975">
        <v>5454.5450000000001</v>
      </c>
      <c r="M26" s="975">
        <v>15645.545</v>
      </c>
      <c r="N26" s="1777">
        <f t="shared" si="1"/>
        <v>112101</v>
      </c>
      <c r="O26" s="1777">
        <f t="shared" si="2"/>
        <v>59999.995000000003</v>
      </c>
      <c r="P26" s="1777">
        <f t="shared" si="3"/>
        <v>172100.995</v>
      </c>
      <c r="Q26" s="1799"/>
      <c r="R26" s="1777">
        <v>1</v>
      </c>
      <c r="S26" s="775">
        <f t="shared" ref="S26:S31" si="4">J26</f>
        <v>11.05</v>
      </c>
      <c r="T26" s="1801">
        <f t="shared" ref="T26:T31" si="5">S26*M26</f>
        <v>172883.27225000001</v>
      </c>
      <c r="U26" s="1802">
        <f t="shared" ref="U26:U31" si="6">T26/P26-1</f>
        <v>4.5454545454546302E-3</v>
      </c>
      <c r="V26" s="1803" t="s">
        <v>2677</v>
      </c>
      <c r="W26" s="2105" t="s">
        <v>2678</v>
      </c>
      <c r="X26" s="1805">
        <f t="shared" ref="X26:X31" si="7">+N26+O26</f>
        <v>172100.995</v>
      </c>
      <c r="Y26" s="1805"/>
      <c r="Z26" s="1805"/>
      <c r="AA26" s="976"/>
      <c r="AB26" s="977"/>
      <c r="AC26" s="970"/>
      <c r="AD26" s="1807"/>
      <c r="AE26" s="1807"/>
      <c r="AF26" s="1788"/>
      <c r="AG26" s="1773"/>
      <c r="AH26" s="1773"/>
      <c r="AI26" s="1773"/>
      <c r="AJ26" s="1800"/>
      <c r="AK26" s="1813"/>
      <c r="AL26" s="1812"/>
      <c r="AM26" s="1773"/>
      <c r="AN26" s="1773"/>
      <c r="AO26" s="1773"/>
    </row>
    <row r="27" spans="1:42" s="1829" customFormat="1" ht="13.5" customHeight="1">
      <c r="A27" s="1831"/>
      <c r="B27" s="1832" t="s">
        <v>1475</v>
      </c>
      <c r="C27" s="1833" t="s">
        <v>1476</v>
      </c>
      <c r="D27" s="1834" t="s">
        <v>517</v>
      </c>
      <c r="E27" s="1833" t="s">
        <v>1477</v>
      </c>
      <c r="F27" s="1892">
        <v>43076</v>
      </c>
      <c r="G27" s="1893">
        <v>18</v>
      </c>
      <c r="H27" s="1893">
        <v>17</v>
      </c>
      <c r="I27" s="1893">
        <v>19</v>
      </c>
      <c r="J27" s="1893">
        <v>18.71</v>
      </c>
      <c r="K27" s="1835">
        <f t="shared" si="0"/>
        <v>74090.587</v>
      </c>
      <c r="L27" s="1894">
        <v>13888.888000000001</v>
      </c>
      <c r="M27" s="1894">
        <v>87979.475000000006</v>
      </c>
      <c r="N27" s="1835">
        <f t="shared" si="1"/>
        <v>1333630.5660000001</v>
      </c>
      <c r="O27" s="1894">
        <f t="shared" si="2"/>
        <v>249999.98400000003</v>
      </c>
      <c r="P27" s="1835">
        <f t="shared" si="3"/>
        <v>1583630.55</v>
      </c>
      <c r="Q27" s="1835"/>
      <c r="R27" s="1866">
        <v>1</v>
      </c>
      <c r="S27" s="775">
        <f t="shared" si="4"/>
        <v>18.71</v>
      </c>
      <c r="T27" s="1895">
        <f t="shared" si="5"/>
        <v>1646095.9772500002</v>
      </c>
      <c r="U27" s="1896">
        <f t="shared" si="6"/>
        <v>3.9444444444444615E-2</v>
      </c>
      <c r="V27" s="1836" t="s">
        <v>1478</v>
      </c>
      <c r="W27" s="1837" t="s">
        <v>1479</v>
      </c>
      <c r="X27" s="1838">
        <f t="shared" si="7"/>
        <v>1583630.55</v>
      </c>
      <c r="Y27" s="977"/>
      <c r="Z27" s="1828"/>
      <c r="AA27" s="976"/>
      <c r="AC27" s="977"/>
      <c r="AD27" s="1830"/>
      <c r="AE27" s="1830"/>
      <c r="AF27" s="1839"/>
      <c r="AG27" s="1886"/>
      <c r="AH27" s="1840"/>
      <c r="AI27" s="1840"/>
      <c r="AJ27" s="1840"/>
      <c r="AK27" s="1894"/>
      <c r="AL27" s="1898"/>
      <c r="AM27" s="1899"/>
      <c r="AN27" s="1840"/>
      <c r="AO27" s="1840"/>
      <c r="AP27" s="1840"/>
    </row>
    <row r="28" spans="1:42" s="1886" customFormat="1" ht="13.5" customHeight="1">
      <c r="B28" s="1832" t="s">
        <v>879</v>
      </c>
      <c r="C28" s="1833" t="s">
        <v>880</v>
      </c>
      <c r="D28" s="1834" t="s">
        <v>517</v>
      </c>
      <c r="E28" s="1833" t="s">
        <v>881</v>
      </c>
      <c r="F28" s="1892">
        <v>42668</v>
      </c>
      <c r="G28" s="775">
        <v>13</v>
      </c>
      <c r="H28" s="775">
        <v>12</v>
      </c>
      <c r="I28" s="775">
        <v>14</v>
      </c>
      <c r="J28" s="775">
        <v>13.14</v>
      </c>
      <c r="K28" s="1835">
        <f t="shared" si="0"/>
        <v>14439.55</v>
      </c>
      <c r="L28" s="975">
        <v>7049.23</v>
      </c>
      <c r="M28" s="975">
        <v>21488.78</v>
      </c>
      <c r="N28" s="1835">
        <f t="shared" si="1"/>
        <v>187714.15</v>
      </c>
      <c r="O28" s="1894">
        <f t="shared" si="2"/>
        <v>91639.989999999991</v>
      </c>
      <c r="P28" s="1835">
        <f t="shared" si="3"/>
        <v>279354.14</v>
      </c>
      <c r="Q28" s="1866"/>
      <c r="R28" s="1866">
        <v>1</v>
      </c>
      <c r="S28" s="775">
        <f t="shared" si="4"/>
        <v>13.14</v>
      </c>
      <c r="T28" s="1895">
        <f t="shared" si="5"/>
        <v>282362.56919999997</v>
      </c>
      <c r="U28" s="1896">
        <f t="shared" si="6"/>
        <v>1.0769230769230642E-2</v>
      </c>
      <c r="V28" s="1836" t="s">
        <v>882</v>
      </c>
      <c r="W28" s="1837" t="s">
        <v>883</v>
      </c>
      <c r="X28" s="1838">
        <f t="shared" si="7"/>
        <v>279354.14</v>
      </c>
      <c r="Y28" s="1838">
        <v>0</v>
      </c>
      <c r="Z28" s="1838">
        <v>40246</v>
      </c>
      <c r="AA28" s="976">
        <f>X28+Y28-Z28</f>
        <v>239108.14</v>
      </c>
      <c r="AB28" s="977">
        <v>6845</v>
      </c>
      <c r="AC28" s="970">
        <v>-15697</v>
      </c>
      <c r="AD28" s="1830">
        <f>IFERROR(AA28/AB28,"n/a")</f>
        <v>34.931795471146827</v>
      </c>
      <c r="AE28" s="1830">
        <f>IFERROR(AA28/AC28,"n/a")</f>
        <v>-15.232728546856087</v>
      </c>
      <c r="AF28" s="1839">
        <f>+P28-X28</f>
        <v>0</v>
      </c>
    </row>
    <row r="29" spans="1:42" ht="13.5" customHeight="1">
      <c r="A29" s="1831"/>
      <c r="B29" s="1832" t="s">
        <v>957</v>
      </c>
      <c r="C29" s="1833" t="s">
        <v>958</v>
      </c>
      <c r="D29" s="1834" t="s">
        <v>517</v>
      </c>
      <c r="E29" s="1833" t="s">
        <v>959</v>
      </c>
      <c r="F29" s="1892">
        <v>42410</v>
      </c>
      <c r="G29" s="1893">
        <v>20</v>
      </c>
      <c r="H29" s="1893">
        <v>19</v>
      </c>
      <c r="I29" s="1893">
        <v>21</v>
      </c>
      <c r="J29" s="1893">
        <v>21.15</v>
      </c>
      <c r="K29" s="1835">
        <f t="shared" si="0"/>
        <v>17650.57</v>
      </c>
      <c r="L29" s="975">
        <v>4750</v>
      </c>
      <c r="M29" s="975">
        <v>22400.57</v>
      </c>
      <c r="N29" s="1835">
        <f t="shared" si="1"/>
        <v>353011.4</v>
      </c>
      <c r="O29" s="1894">
        <f t="shared" si="2"/>
        <v>95000</v>
      </c>
      <c r="P29" s="1835">
        <f t="shared" si="3"/>
        <v>448011.4</v>
      </c>
      <c r="Q29" s="1835"/>
      <c r="R29" s="1866">
        <v>1</v>
      </c>
      <c r="S29" s="775">
        <f t="shared" si="4"/>
        <v>21.15</v>
      </c>
      <c r="T29" s="1895">
        <f t="shared" si="5"/>
        <v>473772.05549999996</v>
      </c>
      <c r="U29" s="1896">
        <f t="shared" si="6"/>
        <v>5.7499999999999885E-2</v>
      </c>
      <c r="V29" s="1836" t="s">
        <v>960</v>
      </c>
      <c r="W29" s="1837" t="s">
        <v>961</v>
      </c>
      <c r="X29" s="1838">
        <f t="shared" si="7"/>
        <v>448011.4</v>
      </c>
      <c r="Y29" s="1838">
        <v>0</v>
      </c>
      <c r="Z29" s="1838">
        <v>69706.460000000006</v>
      </c>
      <c r="AA29" s="976">
        <f>X29+Y29-Z29</f>
        <v>378304.94</v>
      </c>
      <c r="AB29" s="977">
        <v>0</v>
      </c>
      <c r="AC29" s="970">
        <v>-59309.03</v>
      </c>
      <c r="AD29" s="1830" t="str">
        <f>IFERROR(AA29/AB29,"n/a")</f>
        <v>n/a</v>
      </c>
      <c r="AE29" s="1830">
        <f>IFERROR(AA29/AC29,"n/a")</f>
        <v>-6.3785386474875754</v>
      </c>
      <c r="AF29" s="1839">
        <f>+P29-X29</f>
        <v>0</v>
      </c>
      <c r="AG29" s="1886"/>
      <c r="AK29" s="1894"/>
      <c r="AL29" s="1898"/>
      <c r="AM29" s="1899"/>
    </row>
    <row r="30" spans="1:42" ht="13.5" customHeight="1">
      <c r="A30" s="1831"/>
      <c r="B30" s="1832" t="s">
        <v>721</v>
      </c>
      <c r="C30" s="1833" t="s">
        <v>972</v>
      </c>
      <c r="D30" s="1834" t="s">
        <v>509</v>
      </c>
      <c r="E30" s="1833" t="s">
        <v>973</v>
      </c>
      <c r="F30" s="1892">
        <v>42318</v>
      </c>
      <c r="G30" s="1893">
        <v>14</v>
      </c>
      <c r="H30" s="1893">
        <v>15</v>
      </c>
      <c r="I30" s="1893">
        <v>17</v>
      </c>
      <c r="J30" s="1893">
        <v>23.72</v>
      </c>
      <c r="K30" s="1835">
        <f t="shared" si="0"/>
        <v>21034.71</v>
      </c>
      <c r="L30" s="975">
        <v>5000</v>
      </c>
      <c r="M30" s="975">
        <v>26034.71</v>
      </c>
      <c r="N30" s="1835">
        <f t="shared" si="1"/>
        <v>294485.94</v>
      </c>
      <c r="O30" s="1894">
        <f t="shared" si="2"/>
        <v>70000</v>
      </c>
      <c r="P30" s="1835">
        <f t="shared" si="3"/>
        <v>364485.94</v>
      </c>
      <c r="Q30" s="1835"/>
      <c r="R30" s="1866">
        <v>1</v>
      </c>
      <c r="S30" s="775">
        <f t="shared" si="4"/>
        <v>23.72</v>
      </c>
      <c r="T30" s="1895">
        <f t="shared" si="5"/>
        <v>617543.32120000001</v>
      </c>
      <c r="U30" s="1896">
        <f t="shared" si="6"/>
        <v>0.69428571428571439</v>
      </c>
      <c r="V30" s="1900" t="s">
        <v>974</v>
      </c>
      <c r="W30" s="1837" t="s">
        <v>1296</v>
      </c>
      <c r="X30" s="1838">
        <f t="shared" si="7"/>
        <v>364485.94</v>
      </c>
      <c r="Y30" s="1838">
        <v>0</v>
      </c>
      <c r="Z30" s="1838">
        <v>84748</v>
      </c>
      <c r="AA30" s="976">
        <f>X30+Y30-Z30</f>
        <v>279737.94</v>
      </c>
      <c r="AB30" s="977">
        <v>18424</v>
      </c>
      <c r="AC30" s="970">
        <v>-27932</v>
      </c>
      <c r="AD30" s="1830">
        <f>IFERROR(AA30/AB30,"n/a")</f>
        <v>15.183344550586192</v>
      </c>
      <c r="AE30" s="1830">
        <f>IFERROR(AA30/AC30,"n/a")</f>
        <v>-10.014962766719176</v>
      </c>
      <c r="AF30" s="1839">
        <f>+P30-X30</f>
        <v>0</v>
      </c>
      <c r="AG30" s="1905"/>
      <c r="AH30" s="1901"/>
      <c r="AI30" s="1905"/>
      <c r="AJ30" s="1905"/>
      <c r="AK30" s="1901"/>
      <c r="AL30" s="1898"/>
      <c r="AM30" s="1899"/>
      <c r="AN30" s="1900"/>
      <c r="AO30" s="1906"/>
      <c r="AP30" s="1906"/>
    </row>
    <row r="31" spans="1:42" ht="13.5" customHeight="1">
      <c r="A31" s="1831"/>
      <c r="B31" s="1832" t="s">
        <v>1043</v>
      </c>
      <c r="C31" s="1833" t="s">
        <v>1044</v>
      </c>
      <c r="D31" s="1834" t="s">
        <v>983</v>
      </c>
      <c r="E31" s="1833" t="s">
        <v>1045</v>
      </c>
      <c r="F31" s="1892">
        <v>42179</v>
      </c>
      <c r="G31" s="1893">
        <v>12</v>
      </c>
      <c r="H31" s="1893">
        <v>13</v>
      </c>
      <c r="I31" s="1893">
        <v>15</v>
      </c>
      <c r="J31" s="1893">
        <v>13.9</v>
      </c>
      <c r="K31" s="1835">
        <f t="shared" si="0"/>
        <v>9547.7960000000003</v>
      </c>
      <c r="L31" s="975">
        <v>5000</v>
      </c>
      <c r="M31" s="975">
        <v>14547.796</v>
      </c>
      <c r="N31" s="1835">
        <f t="shared" si="1"/>
        <v>114573.552</v>
      </c>
      <c r="O31" s="1894">
        <f t="shared" si="2"/>
        <v>60000</v>
      </c>
      <c r="P31" s="1835">
        <f t="shared" si="3"/>
        <v>174573.552</v>
      </c>
      <c r="Q31" s="1835"/>
      <c r="R31" s="1866">
        <v>1</v>
      </c>
      <c r="S31" s="775">
        <f t="shared" si="4"/>
        <v>13.9</v>
      </c>
      <c r="T31" s="1895">
        <f t="shared" si="5"/>
        <v>202214.36440000002</v>
      </c>
      <c r="U31" s="1896">
        <f t="shared" si="6"/>
        <v>0.15833333333333344</v>
      </c>
      <c r="V31" s="1900" t="s">
        <v>1046</v>
      </c>
      <c r="W31" s="1837" t="s">
        <v>1298</v>
      </c>
      <c r="X31" s="1838">
        <f t="shared" si="7"/>
        <v>174573.552</v>
      </c>
      <c r="Y31" s="1838">
        <v>9656000</v>
      </c>
      <c r="Z31" s="1838">
        <v>24303</v>
      </c>
      <c r="AA31" s="976">
        <f>X31+Y31-Z31</f>
        <v>9806270.5519999992</v>
      </c>
      <c r="AB31" s="977">
        <v>0</v>
      </c>
      <c r="AC31" s="970">
        <v>-35832</v>
      </c>
      <c r="AD31" s="1830" t="str">
        <f>IFERROR(AA31/AB31,"n/a")</f>
        <v>n/a</v>
      </c>
      <c r="AE31" s="1830">
        <f>IFERROR(AA31/AC31,"n/a")</f>
        <v>-273.67354744362581</v>
      </c>
      <c r="AF31" s="1839">
        <f>+P31-X31</f>
        <v>0</v>
      </c>
      <c r="AG31" s="1905"/>
      <c r="AH31" s="1901"/>
      <c r="AI31" s="1905"/>
      <c r="AJ31" s="1907"/>
      <c r="AK31" s="1901"/>
      <c r="AL31" s="1898"/>
      <c r="AM31" s="1899"/>
      <c r="AN31" s="1900"/>
      <c r="AO31" s="1906"/>
      <c r="AP31" s="1906"/>
    </row>
    <row r="32" spans="1:42" s="1829" customFormat="1" ht="13.5" customHeight="1">
      <c r="A32" s="1831"/>
      <c r="B32" s="1832"/>
      <c r="C32" s="1833"/>
      <c r="D32" s="1834"/>
      <c r="E32" s="1833"/>
      <c r="F32" s="1892"/>
      <c r="G32" s="1902"/>
      <c r="H32" s="1893"/>
      <c r="I32" s="1893"/>
      <c r="J32" s="1902"/>
      <c r="K32" s="1903"/>
      <c r="L32" s="1894"/>
      <c r="M32" s="1894"/>
      <c r="N32" s="1835"/>
      <c r="O32" s="1894"/>
      <c r="P32" s="1835"/>
      <c r="Q32" s="1835"/>
      <c r="R32" s="1835"/>
      <c r="S32" s="775"/>
      <c r="T32" s="1895"/>
      <c r="U32" s="1896"/>
      <c r="V32" s="1900"/>
      <c r="W32" s="1837"/>
      <c r="X32" s="1838"/>
      <c r="Y32" s="1838"/>
      <c r="Z32" s="1838"/>
      <c r="AA32" s="976"/>
      <c r="AB32" s="977"/>
      <c r="AC32" s="970"/>
      <c r="AD32" s="1830"/>
      <c r="AE32" s="1830"/>
      <c r="AF32" s="1839"/>
      <c r="AK32" s="1901"/>
      <c r="AL32" s="1898"/>
      <c r="AM32" s="1899"/>
    </row>
    <row r="33" spans="1:42" s="1815" customFormat="1" ht="13.5" customHeight="1">
      <c r="A33" s="1809"/>
      <c r="B33" s="1827" t="str">
        <f>B24&amp;" Metrics"</f>
        <v>Phase I / I/Ib / I/IIa / Ib / Ib/II Metrics</v>
      </c>
      <c r="C33" s="1797"/>
      <c r="D33" s="1796"/>
      <c r="E33" s="1797"/>
      <c r="F33" s="1798"/>
      <c r="G33" s="1820"/>
      <c r="H33" s="1810"/>
      <c r="I33" s="1810"/>
      <c r="J33" s="1820"/>
      <c r="K33" s="1821"/>
      <c r="L33" s="1800"/>
      <c r="M33" s="1800"/>
      <c r="N33" s="1799"/>
      <c r="O33" s="1800"/>
      <c r="P33" s="1799"/>
      <c r="Q33" s="1799"/>
      <c r="R33" s="1799"/>
      <c r="S33" s="775"/>
      <c r="T33" s="1801"/>
      <c r="U33" s="1802"/>
      <c r="V33" s="1804"/>
      <c r="W33" s="1804"/>
      <c r="X33" s="1805"/>
      <c r="Y33" s="1805"/>
      <c r="Z33" s="1805"/>
      <c r="AA33" s="976"/>
      <c r="AB33" s="977"/>
      <c r="AC33" s="970"/>
      <c r="AD33" s="1807"/>
      <c r="AE33" s="1807"/>
      <c r="AF33" s="1808"/>
      <c r="AG33" s="1773"/>
      <c r="AH33" s="1773"/>
      <c r="AI33" s="1773"/>
      <c r="AJ33" s="1800"/>
      <c r="AK33" s="1813"/>
      <c r="AL33" s="1812"/>
      <c r="AM33" s="1773"/>
      <c r="AN33" s="1773"/>
      <c r="AO33" s="1773"/>
    </row>
    <row r="34" spans="1:42" s="1829" customFormat="1" ht="13.5" customHeight="1">
      <c r="A34" s="1831"/>
      <c r="B34" s="1822" t="s">
        <v>111</v>
      </c>
      <c r="C34" s="1823"/>
      <c r="D34" s="1823"/>
      <c r="E34" s="1823"/>
      <c r="F34" s="1823"/>
      <c r="G34" s="1823"/>
      <c r="H34" s="1823"/>
      <c r="I34" s="1823"/>
      <c r="J34" s="1823"/>
      <c r="K34" s="1823"/>
      <c r="L34" s="1823"/>
      <c r="M34" s="1823"/>
      <c r="N34" s="1824">
        <f>MAX(N25:N31)</f>
        <v>1333630.5660000001</v>
      </c>
      <c r="O34" s="1824"/>
      <c r="P34" s="2536">
        <f>MAX(P25:P31)</f>
        <v>1583630.55</v>
      </c>
      <c r="Q34" s="1835"/>
      <c r="R34" s="1835"/>
      <c r="S34" s="1826">
        <f>MAX(S27:S31)</f>
        <v>23.72</v>
      </c>
      <c r="T34" s="1895"/>
      <c r="U34" s="1896"/>
      <c r="V34" s="1900"/>
      <c r="W34" s="1837"/>
      <c r="X34" s="1838"/>
      <c r="Y34" s="1838"/>
      <c r="Z34" s="1838"/>
      <c r="AA34" s="976"/>
      <c r="AB34" s="977"/>
      <c r="AC34" s="970"/>
      <c r="AD34" s="1830"/>
      <c r="AE34" s="1830"/>
      <c r="AF34" s="1839"/>
      <c r="AK34" s="1901"/>
      <c r="AL34" s="1898"/>
      <c r="AM34" s="1899"/>
    </row>
    <row r="35" spans="1:42" s="1829" customFormat="1" ht="13.5" customHeight="1">
      <c r="A35" s="1831"/>
      <c r="B35" s="776" t="s">
        <v>115</v>
      </c>
      <c r="C35" s="777"/>
      <c r="D35" s="777"/>
      <c r="E35" s="777"/>
      <c r="F35" s="777"/>
      <c r="G35" s="777"/>
      <c r="H35" s="777"/>
      <c r="I35" s="777"/>
      <c r="J35" s="777"/>
      <c r="K35" s="777"/>
      <c r="L35" s="777"/>
      <c r="M35" s="777"/>
      <c r="N35" s="769">
        <f>_xlfn.QUARTILE.INC(N25:N31,3)</f>
        <v>342886.69000000006</v>
      </c>
      <c r="O35" s="769"/>
      <c r="P35" s="778">
        <f>_xlfn.QUARTILE.INC(P25:P31,3)</f>
        <v>427886.69000000006</v>
      </c>
      <c r="Q35" s="1835"/>
      <c r="R35" s="1835"/>
      <c r="S35" s="920">
        <f>_xlfn.QUARTILE.INC(S27:S31,3)</f>
        <v>21.15</v>
      </c>
      <c r="T35" s="1895"/>
      <c r="U35" s="1896"/>
      <c r="V35" s="1900"/>
      <c r="W35" s="1837"/>
      <c r="X35" s="1838"/>
      <c r="Y35" s="1838"/>
      <c r="Z35" s="1838"/>
      <c r="AA35" s="976"/>
      <c r="AB35" s="977"/>
      <c r="AC35" s="970"/>
      <c r="AD35" s="1830"/>
      <c r="AE35" s="1830"/>
      <c r="AF35" s="1839"/>
      <c r="AK35" s="1901"/>
      <c r="AL35" s="1898"/>
      <c r="AM35" s="1899"/>
    </row>
    <row r="36" spans="1:42" s="1829" customFormat="1" ht="13.5" customHeight="1">
      <c r="A36" s="1831"/>
      <c r="B36" s="776" t="s">
        <v>43</v>
      </c>
      <c r="C36" s="777"/>
      <c r="D36" s="777"/>
      <c r="E36" s="777"/>
      <c r="F36" s="777"/>
      <c r="G36" s="777"/>
      <c r="H36" s="777"/>
      <c r="I36" s="777"/>
      <c r="J36" s="777"/>
      <c r="K36" s="777"/>
      <c r="L36" s="777"/>
      <c r="M36" s="777"/>
      <c r="N36" s="769">
        <f>AVERAGE(N25:N31)</f>
        <v>389754.08399999997</v>
      </c>
      <c r="O36" s="769"/>
      <c r="P36" s="778">
        <f>AVERAGE(P25:P31)</f>
        <v>489988.36528571433</v>
      </c>
      <c r="Q36" s="1835"/>
      <c r="R36" s="1835"/>
      <c r="S36" s="920">
        <f>AVERAGE(S27:S31)</f>
        <v>18.124000000000002</v>
      </c>
      <c r="T36" s="1895"/>
      <c r="U36" s="1896"/>
      <c r="V36" s="1900"/>
      <c r="W36" s="1837"/>
      <c r="X36" s="1838"/>
      <c r="Y36" s="1838"/>
      <c r="Z36" s="1838"/>
      <c r="AA36" s="976"/>
      <c r="AB36" s="977"/>
      <c r="AC36" s="970"/>
      <c r="AD36" s="1830"/>
      <c r="AE36" s="1830"/>
      <c r="AF36" s="1839"/>
      <c r="AK36" s="1901"/>
      <c r="AL36" s="1898"/>
      <c r="AM36" s="1899"/>
    </row>
    <row r="37" spans="1:42" s="1829" customFormat="1" ht="13.5" customHeight="1">
      <c r="A37" s="1831"/>
      <c r="B37" s="776" t="s">
        <v>44</v>
      </c>
      <c r="C37" s="777"/>
      <c r="D37" s="777"/>
      <c r="E37" s="777"/>
      <c r="F37" s="777"/>
      <c r="G37" s="777"/>
      <c r="H37" s="777"/>
      <c r="I37" s="777"/>
      <c r="J37" s="777"/>
      <c r="K37" s="777"/>
      <c r="L37" s="777"/>
      <c r="M37" s="777"/>
      <c r="N37" s="769">
        <f>MEDIAN(N25:N31)</f>
        <v>294485.94</v>
      </c>
      <c r="O37" s="769"/>
      <c r="P37" s="778">
        <f>MEDIAN(P25:P31)</f>
        <v>364485.94</v>
      </c>
      <c r="Q37" s="1835"/>
      <c r="R37" s="1835"/>
      <c r="S37" s="920">
        <f>MEDIAN(S27:S31)</f>
        <v>18.71</v>
      </c>
      <c r="T37" s="1895"/>
      <c r="U37" s="1896"/>
      <c r="V37" s="1900"/>
      <c r="W37" s="1837"/>
      <c r="X37" s="1838"/>
      <c r="Y37" s="1838"/>
      <c r="Z37" s="1838"/>
      <c r="AA37" s="976"/>
      <c r="AB37" s="977"/>
      <c r="AC37" s="970"/>
      <c r="AD37" s="1830"/>
      <c r="AE37" s="1830"/>
      <c r="AF37" s="1839"/>
      <c r="AK37" s="1901"/>
      <c r="AL37" s="1898"/>
      <c r="AM37" s="1899"/>
    </row>
    <row r="38" spans="1:42" s="1829" customFormat="1" ht="13.5" customHeight="1">
      <c r="A38" s="1831"/>
      <c r="B38" s="776" t="s">
        <v>114</v>
      </c>
      <c r="C38" s="777"/>
      <c r="D38" s="777"/>
      <c r="E38" s="777"/>
      <c r="F38" s="777"/>
      <c r="G38" s="777"/>
      <c r="H38" s="777"/>
      <c r="I38" s="777"/>
      <c r="J38" s="777"/>
      <c r="K38" s="777"/>
      <c r="L38" s="777"/>
      <c r="M38" s="777"/>
      <c r="N38" s="769">
        <f>_xlfn.QUARTILE.INC(N25:N31,1)</f>
        <v>151143.851</v>
      </c>
      <c r="O38" s="769"/>
      <c r="P38" s="778">
        <f>_xlfn.QUARTILE.INC(P25:P31,1)</f>
        <v>226963.84600000002</v>
      </c>
      <c r="Q38" s="1835"/>
      <c r="R38" s="1835"/>
      <c r="S38" s="920">
        <f>_xlfn.QUARTILE.INC(S27:S31,1)</f>
        <v>13.9</v>
      </c>
      <c r="T38" s="1895">
        <v>1000</v>
      </c>
      <c r="U38" s="1896"/>
      <c r="V38" s="1900"/>
      <c r="W38" s="1837"/>
      <c r="X38" s="1838"/>
      <c r="Y38" s="1838"/>
      <c r="Z38" s="1838"/>
      <c r="AA38" s="976"/>
      <c r="AB38" s="977"/>
      <c r="AC38" s="970"/>
      <c r="AD38" s="1830"/>
      <c r="AE38" s="1830"/>
      <c r="AF38" s="1839"/>
      <c r="AK38" s="1901"/>
      <c r="AL38" s="1898"/>
      <c r="AM38" s="1899"/>
    </row>
    <row r="39" spans="1:42" s="1829" customFormat="1" ht="13.5" customHeight="1">
      <c r="A39" s="1831"/>
      <c r="B39" s="921" t="s">
        <v>112</v>
      </c>
      <c r="C39" s="779"/>
      <c r="D39" s="779"/>
      <c r="E39" s="779"/>
      <c r="F39" s="779"/>
      <c r="G39" s="779"/>
      <c r="H39" s="779"/>
      <c r="I39" s="779"/>
      <c r="J39" s="779"/>
      <c r="K39" s="779"/>
      <c r="L39" s="779"/>
      <c r="M39" s="779"/>
      <c r="N39" s="770">
        <f>MIN(N25:N31)</f>
        <v>112101</v>
      </c>
      <c r="O39" s="770"/>
      <c r="P39" s="780">
        <f>MIN(P25:P31)</f>
        <v>172100.995</v>
      </c>
      <c r="Q39" s="1835"/>
      <c r="R39" s="1835"/>
      <c r="S39" s="922">
        <f>MIN(S27:S31)</f>
        <v>13.14</v>
      </c>
      <c r="T39" s="1895"/>
      <c r="U39" s="1896"/>
      <c r="V39" s="1900"/>
      <c r="W39" s="1837"/>
      <c r="X39" s="1838"/>
      <c r="Y39" s="1838"/>
      <c r="Z39" s="1838"/>
      <c r="AA39" s="976"/>
      <c r="AB39" s="977"/>
      <c r="AC39" s="970"/>
      <c r="AD39" s="1830"/>
      <c r="AE39" s="1830"/>
      <c r="AF39" s="1839"/>
      <c r="AK39" s="1901"/>
      <c r="AL39" s="1898"/>
      <c r="AM39" s="1899"/>
    </row>
    <row r="40" spans="1:42" s="1829" customFormat="1" ht="13.5" customHeight="1">
      <c r="A40" s="1831"/>
      <c r="B40" s="1832"/>
      <c r="C40" s="1833"/>
      <c r="D40" s="1834"/>
      <c r="E40" s="1833"/>
      <c r="F40" s="1892"/>
      <c r="G40" s="1902"/>
      <c r="H40" s="1893"/>
      <c r="I40" s="1893"/>
      <c r="J40" s="1902"/>
      <c r="K40" s="1903"/>
      <c r="L40" s="1894"/>
      <c r="M40" s="1894"/>
      <c r="N40" s="1835"/>
      <c r="O40" s="1894"/>
      <c r="P40" s="1835"/>
      <c r="Q40" s="1835"/>
      <c r="R40" s="1835"/>
      <c r="S40" s="775"/>
      <c r="T40" s="1895"/>
      <c r="U40" s="1896"/>
      <c r="V40" s="1900"/>
      <c r="W40" s="1837"/>
      <c r="X40" s="1838"/>
      <c r="Y40" s="1838"/>
      <c r="Z40" s="1838"/>
      <c r="AA40" s="976"/>
      <c r="AB40" s="977"/>
      <c r="AC40" s="970"/>
      <c r="AD40" s="1830"/>
      <c r="AE40" s="1830"/>
      <c r="AF40" s="1839"/>
      <c r="AK40" s="1901"/>
      <c r="AL40" s="1898"/>
      <c r="AM40" s="1899"/>
    </row>
    <row r="41" spans="1:42" s="1829" customFormat="1" ht="13.5" customHeight="1">
      <c r="A41" s="1831"/>
      <c r="B41" s="1904" t="s">
        <v>1305</v>
      </c>
      <c r="C41" s="1833"/>
      <c r="D41" s="1834"/>
      <c r="E41" s="1833"/>
      <c r="F41" s="1892"/>
      <c r="G41" s="1902"/>
      <c r="H41" s="1893"/>
      <c r="I41" s="1893"/>
      <c r="J41" s="1902"/>
      <c r="K41" s="1903"/>
      <c r="L41" s="1894"/>
      <c r="M41" s="1894"/>
      <c r="N41" s="1835"/>
      <c r="O41" s="1894"/>
      <c r="P41" s="1835"/>
      <c r="Q41" s="1835"/>
      <c r="R41" s="1835"/>
      <c r="S41" s="775"/>
      <c r="T41" s="1895"/>
      <c r="U41" s="1896"/>
      <c r="V41" s="1900"/>
      <c r="W41" s="1837"/>
      <c r="X41" s="1838"/>
      <c r="Y41" s="1838"/>
      <c r="Z41" s="1838"/>
      <c r="AA41" s="976"/>
      <c r="AB41" s="977"/>
      <c r="AC41" s="970"/>
      <c r="AD41" s="1830"/>
      <c r="AE41" s="1830"/>
      <c r="AF41" s="1839"/>
      <c r="AK41" s="1901"/>
      <c r="AL41" s="1898"/>
      <c r="AM41" s="1899"/>
    </row>
    <row r="42" spans="1:42" s="1815" customFormat="1" ht="13.5" customHeight="1">
      <c r="A42" s="1809"/>
      <c r="B42" s="1794" t="s">
        <v>2694</v>
      </c>
      <c r="C42" s="2113" t="s">
        <v>2695</v>
      </c>
      <c r="D42" s="1796" t="s">
        <v>510</v>
      </c>
      <c r="E42" s="2114" t="s">
        <v>2696</v>
      </c>
      <c r="F42" s="1798">
        <v>43271</v>
      </c>
      <c r="G42" s="1820">
        <v>16</v>
      </c>
      <c r="H42" s="1810">
        <v>14</v>
      </c>
      <c r="I42" s="1810">
        <v>16</v>
      </c>
      <c r="J42" s="1820">
        <v>24.17</v>
      </c>
      <c r="K42" s="1799">
        <f>+M42-L42</f>
        <v>26136.225999999999</v>
      </c>
      <c r="L42" s="1800">
        <f>6399999/1000</f>
        <v>6399.9989999999998</v>
      </c>
      <c r="M42" s="1800">
        <f>32536225/1000</f>
        <v>32536.224999999999</v>
      </c>
      <c r="N42" s="1799">
        <f>+G42*K42</f>
        <v>418179.61599999998</v>
      </c>
      <c r="O42" s="1800">
        <f>+G42*L42</f>
        <v>102399.984</v>
      </c>
      <c r="P42" s="1799">
        <f>+N42+O42</f>
        <v>520579.6</v>
      </c>
      <c r="Q42" s="1799"/>
      <c r="R42" s="1777">
        <v>1</v>
      </c>
      <c r="S42" s="775">
        <f>J42</f>
        <v>24.17</v>
      </c>
      <c r="T42" s="1801">
        <f>S42*M42</f>
        <v>786400.55825</v>
      </c>
      <c r="U42" s="1802">
        <f>T42/P42-1</f>
        <v>0.51062500000000011</v>
      </c>
      <c r="V42" s="2106" t="s">
        <v>2697</v>
      </c>
      <c r="W42" s="2107" t="s">
        <v>2698</v>
      </c>
      <c r="X42" s="1805">
        <f>+N42+O42</f>
        <v>520579.6</v>
      </c>
      <c r="Y42" s="1805"/>
      <c r="Z42" s="1805"/>
      <c r="AA42" s="976"/>
      <c r="AB42" s="977"/>
      <c r="AC42" s="970"/>
      <c r="AD42" s="1807"/>
      <c r="AE42" s="1807"/>
      <c r="AF42" s="1808"/>
      <c r="AK42" s="1816"/>
      <c r="AL42" s="1813"/>
      <c r="AM42" s="1812"/>
    </row>
    <row r="43" spans="1:42" s="1829" customFormat="1" ht="13.5" customHeight="1">
      <c r="A43" s="1831"/>
      <c r="B43" s="1832" t="s">
        <v>1453</v>
      </c>
      <c r="C43" s="1833" t="s">
        <v>1454</v>
      </c>
      <c r="D43" s="1834" t="s">
        <v>510</v>
      </c>
      <c r="E43" s="1833" t="s">
        <v>1455</v>
      </c>
      <c r="F43" s="1892">
        <v>43012</v>
      </c>
      <c r="G43" s="1893">
        <v>17</v>
      </c>
      <c r="H43" s="1893">
        <v>14</v>
      </c>
      <c r="I43" s="1893">
        <v>16</v>
      </c>
      <c r="J43" s="1893">
        <v>25.89</v>
      </c>
      <c r="K43" s="1835">
        <f t="shared" ref="K43:K48" si="8">+M43-L43</f>
        <v>20081.484</v>
      </c>
      <c r="L43" s="1894">
        <v>7050</v>
      </c>
      <c r="M43" s="1894">
        <v>27131.484</v>
      </c>
      <c r="N43" s="1835">
        <f t="shared" ref="N43:N48" si="9">+G43*K43</f>
        <v>341385.228</v>
      </c>
      <c r="O43" s="1894">
        <f t="shared" ref="O43:O48" si="10">+G43*L43</f>
        <v>119850</v>
      </c>
      <c r="P43" s="1835">
        <f t="shared" ref="P43:P48" si="11">+N43+O43</f>
        <v>461235.228</v>
      </c>
      <c r="Q43" s="1835"/>
      <c r="R43" s="1866">
        <v>1</v>
      </c>
      <c r="S43" s="775">
        <f t="shared" ref="S43:S48" si="12">J43</f>
        <v>25.89</v>
      </c>
      <c r="T43" s="1895">
        <f t="shared" ref="T43:T48" si="13">S43*M43</f>
        <v>702434.12076000008</v>
      </c>
      <c r="U43" s="1896">
        <f t="shared" ref="U43:U48" si="14">T43/P43-1</f>
        <v>0.52294117647058846</v>
      </c>
      <c r="V43" s="1836" t="s">
        <v>1456</v>
      </c>
      <c r="W43" s="1837" t="s">
        <v>1457</v>
      </c>
      <c r="X43" s="1838">
        <f t="shared" ref="X43:X48" si="15">+N43+O43</f>
        <v>461235.228</v>
      </c>
      <c r="Y43" s="1828"/>
      <c r="Z43" s="1828"/>
      <c r="AA43" s="976"/>
      <c r="AB43" s="977"/>
      <c r="AC43" s="977"/>
      <c r="AD43" s="1830"/>
      <c r="AE43" s="1830"/>
      <c r="AF43" s="1839"/>
      <c r="AG43" s="1886"/>
      <c r="AH43" s="1840"/>
      <c r="AI43" s="1840"/>
      <c r="AJ43" s="1840"/>
      <c r="AK43" s="1894"/>
      <c r="AL43" s="1898"/>
      <c r="AM43" s="1899"/>
      <c r="AN43" s="1840"/>
      <c r="AO43" s="1840"/>
      <c r="AP43" s="1840"/>
    </row>
    <row r="44" spans="1:42" s="1829" customFormat="1" ht="13.5" customHeight="1">
      <c r="A44" s="1831"/>
      <c r="B44" s="1832" t="s">
        <v>1387</v>
      </c>
      <c r="C44" s="1833" t="s">
        <v>1388</v>
      </c>
      <c r="D44" s="1834" t="s">
        <v>510</v>
      </c>
      <c r="E44" s="1833" t="s">
        <v>1389</v>
      </c>
      <c r="F44" s="1892">
        <v>42859</v>
      </c>
      <c r="G44" s="1893">
        <v>15</v>
      </c>
      <c r="H44" s="1893">
        <v>15</v>
      </c>
      <c r="I44" s="1893">
        <v>17</v>
      </c>
      <c r="J44" s="1893">
        <v>12.15</v>
      </c>
      <c r="K44" s="1835">
        <f t="shared" si="8"/>
        <v>18851.937000000002</v>
      </c>
      <c r="L44" s="1894">
        <v>5750</v>
      </c>
      <c r="M44" s="1894">
        <v>24601.937000000002</v>
      </c>
      <c r="N44" s="1835">
        <f t="shared" si="9"/>
        <v>282779.05500000005</v>
      </c>
      <c r="O44" s="1894">
        <f t="shared" si="10"/>
        <v>86250</v>
      </c>
      <c r="P44" s="1835">
        <f t="shared" si="11"/>
        <v>369029.05500000005</v>
      </c>
      <c r="Q44" s="1835"/>
      <c r="R44" s="1866">
        <v>1</v>
      </c>
      <c r="S44" s="775">
        <f t="shared" si="12"/>
        <v>12.15</v>
      </c>
      <c r="T44" s="1895">
        <f t="shared" si="13"/>
        <v>298913.53455000004</v>
      </c>
      <c r="U44" s="1896">
        <f t="shared" si="14"/>
        <v>-0.19000000000000006</v>
      </c>
      <c r="V44" s="1900" t="s">
        <v>1390</v>
      </c>
      <c r="W44" s="1837" t="s">
        <v>1391</v>
      </c>
      <c r="X44" s="1838">
        <f t="shared" si="15"/>
        <v>369029.05500000005</v>
      </c>
      <c r="Y44" s="1828"/>
      <c r="Z44" s="1828"/>
      <c r="AA44" s="976"/>
      <c r="AB44" s="977"/>
      <c r="AC44" s="977"/>
      <c r="AD44" s="1830"/>
      <c r="AE44" s="1830"/>
      <c r="AF44" s="1839"/>
      <c r="AK44" s="1901"/>
      <c r="AL44" s="1898"/>
      <c r="AM44" s="1899"/>
    </row>
    <row r="45" spans="1:42" s="1829" customFormat="1" ht="13.5" customHeight="1">
      <c r="A45" s="1831"/>
      <c r="B45" s="1832" t="s">
        <v>1392</v>
      </c>
      <c r="C45" s="1833" t="s">
        <v>1393</v>
      </c>
      <c r="D45" s="1834" t="s">
        <v>1308</v>
      </c>
      <c r="E45" s="1833" t="s">
        <v>1394</v>
      </c>
      <c r="F45" s="1892">
        <v>42858</v>
      </c>
      <c r="G45" s="1902">
        <v>17</v>
      </c>
      <c r="H45" s="1893">
        <v>14</v>
      </c>
      <c r="I45" s="1893">
        <v>16</v>
      </c>
      <c r="J45" s="1902">
        <v>21.87</v>
      </c>
      <c r="K45" s="1835">
        <f t="shared" si="8"/>
        <v>24330.582999999999</v>
      </c>
      <c r="L45" s="1894">
        <v>8333.3330000000005</v>
      </c>
      <c r="M45" s="1894">
        <v>32663.916000000001</v>
      </c>
      <c r="N45" s="1835">
        <f t="shared" si="9"/>
        <v>413619.91099999996</v>
      </c>
      <c r="O45" s="1894">
        <f t="shared" si="10"/>
        <v>141666.66100000002</v>
      </c>
      <c r="P45" s="1835">
        <f t="shared" si="11"/>
        <v>555286.57199999993</v>
      </c>
      <c r="Q45" s="1835"/>
      <c r="R45" s="1866">
        <v>1</v>
      </c>
      <c r="S45" s="775">
        <f t="shared" si="12"/>
        <v>21.87</v>
      </c>
      <c r="T45" s="1895">
        <f t="shared" si="13"/>
        <v>714359.84292000008</v>
      </c>
      <c r="U45" s="1896">
        <f t="shared" si="14"/>
        <v>0.28647058823529448</v>
      </c>
      <c r="V45" s="1900" t="s">
        <v>1396</v>
      </c>
      <c r="W45" s="1837" t="s">
        <v>1395</v>
      </c>
      <c r="X45" s="1838">
        <f t="shared" si="15"/>
        <v>555286.57199999993</v>
      </c>
      <c r="Y45" s="1828"/>
      <c r="Z45" s="1828"/>
      <c r="AA45" s="976"/>
      <c r="AB45" s="977"/>
      <c r="AC45" s="977"/>
      <c r="AD45" s="1830"/>
      <c r="AE45" s="1830"/>
      <c r="AF45" s="1839"/>
      <c r="AK45" s="1901"/>
      <c r="AL45" s="1898"/>
      <c r="AM45" s="1899"/>
    </row>
    <row r="46" spans="1:42" ht="13.5" customHeight="1">
      <c r="A46" s="1831"/>
      <c r="B46" s="1832" t="s">
        <v>1038</v>
      </c>
      <c r="C46" s="1833" t="s">
        <v>1039</v>
      </c>
      <c r="D46" s="1834" t="s">
        <v>510</v>
      </c>
      <c r="E46" s="1833" t="s">
        <v>1040</v>
      </c>
      <c r="F46" s="1892">
        <v>42180</v>
      </c>
      <c r="G46" s="1893">
        <v>18</v>
      </c>
      <c r="H46" s="1893">
        <v>15</v>
      </c>
      <c r="I46" s="1893">
        <v>17</v>
      </c>
      <c r="J46" s="1893">
        <v>38.200000000000003</v>
      </c>
      <c r="K46" s="1835">
        <f t="shared" si="8"/>
        <v>30403.502</v>
      </c>
      <c r="L46" s="975">
        <v>7430.5550000000003</v>
      </c>
      <c r="M46" s="975">
        <v>37834.057000000001</v>
      </c>
      <c r="N46" s="1835">
        <f t="shared" si="9"/>
        <v>547263.03599999996</v>
      </c>
      <c r="O46" s="1894">
        <f t="shared" si="10"/>
        <v>133749.99</v>
      </c>
      <c r="P46" s="1835">
        <f t="shared" si="11"/>
        <v>681013.02599999995</v>
      </c>
      <c r="Q46" s="1835"/>
      <c r="R46" s="1866">
        <v>1</v>
      </c>
      <c r="S46" s="775">
        <f t="shared" si="12"/>
        <v>38.200000000000003</v>
      </c>
      <c r="T46" s="1895">
        <f t="shared" si="13"/>
        <v>1445260.9774000002</v>
      </c>
      <c r="U46" s="1896">
        <f t="shared" si="14"/>
        <v>1.1222222222222227</v>
      </c>
      <c r="V46" s="1900" t="s">
        <v>1041</v>
      </c>
      <c r="W46" s="1837" t="s">
        <v>1042</v>
      </c>
      <c r="X46" s="1838">
        <f t="shared" si="15"/>
        <v>681013.02599999995</v>
      </c>
      <c r="Y46" s="1838"/>
      <c r="Z46" s="1838"/>
      <c r="AA46" s="976"/>
      <c r="AB46" s="977"/>
      <c r="AC46" s="970"/>
      <c r="AD46" s="1830"/>
      <c r="AE46" s="1830"/>
      <c r="AF46" s="1839"/>
      <c r="AG46" s="1905"/>
      <c r="AH46" s="1901"/>
      <c r="AI46" s="1905"/>
      <c r="AJ46" s="1907"/>
      <c r="AK46" s="1901"/>
      <c r="AL46" s="1898"/>
      <c r="AM46" s="1899"/>
      <c r="AN46" s="1900"/>
      <c r="AO46" s="1906"/>
      <c r="AP46" s="1906"/>
    </row>
    <row r="47" spans="1:42" ht="13.5" customHeight="1">
      <c r="A47" s="1831"/>
      <c r="B47" s="1832" t="s">
        <v>1047</v>
      </c>
      <c r="C47" s="1833" t="s">
        <v>1048</v>
      </c>
      <c r="D47" s="1834" t="s">
        <v>1144</v>
      </c>
      <c r="E47" s="1833" t="s">
        <v>1050</v>
      </c>
      <c r="F47" s="1892">
        <v>42179</v>
      </c>
      <c r="G47" s="1893">
        <v>5</v>
      </c>
      <c r="H47" s="1893">
        <v>0</v>
      </c>
      <c r="I47" s="1893">
        <v>0</v>
      </c>
      <c r="J47" s="1893">
        <v>4.1599000000000004</v>
      </c>
      <c r="K47" s="1835">
        <f t="shared" si="8"/>
        <v>3788.0600000000004</v>
      </c>
      <c r="L47" s="975">
        <v>4000</v>
      </c>
      <c r="M47" s="975">
        <v>7788.06</v>
      </c>
      <c r="N47" s="1835">
        <f t="shared" si="9"/>
        <v>18940.300000000003</v>
      </c>
      <c r="O47" s="1894">
        <f t="shared" si="10"/>
        <v>20000</v>
      </c>
      <c r="P47" s="1835">
        <f t="shared" si="11"/>
        <v>38940.300000000003</v>
      </c>
      <c r="Q47" s="1835"/>
      <c r="R47" s="1866">
        <v>1</v>
      </c>
      <c r="S47" s="775">
        <f t="shared" si="12"/>
        <v>4.1599000000000004</v>
      </c>
      <c r="T47" s="1895">
        <f t="shared" si="13"/>
        <v>32397.550794000006</v>
      </c>
      <c r="U47" s="1896">
        <f t="shared" si="14"/>
        <v>-0.16801999999999995</v>
      </c>
      <c r="V47" s="1836" t="s">
        <v>1051</v>
      </c>
      <c r="W47" s="1837" t="s">
        <v>1052</v>
      </c>
      <c r="X47" s="1838">
        <f t="shared" si="15"/>
        <v>38940.300000000003</v>
      </c>
      <c r="Y47" s="1838"/>
      <c r="Z47" s="1838"/>
      <c r="AA47" s="976"/>
      <c r="AB47" s="977"/>
      <c r="AC47" s="970"/>
      <c r="AD47" s="1830"/>
      <c r="AE47" s="1830"/>
      <c r="AF47" s="1839"/>
      <c r="AG47" s="1886"/>
      <c r="AK47" s="1894"/>
      <c r="AL47" s="1898"/>
      <c r="AM47" s="1899"/>
    </row>
    <row r="48" spans="1:42" s="1829" customFormat="1" ht="13.5" customHeight="1">
      <c r="A48" s="1908"/>
      <c r="B48" s="1832" t="s">
        <v>2134</v>
      </c>
      <c r="C48" s="1833" t="s">
        <v>1163</v>
      </c>
      <c r="D48" s="1834" t="s">
        <v>1144</v>
      </c>
      <c r="E48" s="1833" t="s">
        <v>2271</v>
      </c>
      <c r="F48" s="1892">
        <v>41808</v>
      </c>
      <c r="G48" s="1893">
        <v>16</v>
      </c>
      <c r="H48" s="1893">
        <v>14</v>
      </c>
      <c r="I48" s="1893">
        <v>16</v>
      </c>
      <c r="J48" s="1893">
        <v>17.86</v>
      </c>
      <c r="K48" s="1835">
        <f t="shared" si="8"/>
        <v>15807.011999999999</v>
      </c>
      <c r="L48" s="975">
        <v>6000</v>
      </c>
      <c r="M48" s="975">
        <v>21807.011999999999</v>
      </c>
      <c r="N48" s="1835">
        <f t="shared" si="9"/>
        <v>252912.19199999998</v>
      </c>
      <c r="O48" s="1894">
        <f t="shared" si="10"/>
        <v>96000</v>
      </c>
      <c r="P48" s="1835">
        <f t="shared" si="11"/>
        <v>348912.19199999998</v>
      </c>
      <c r="Q48" s="1835"/>
      <c r="R48" s="1866">
        <v>1</v>
      </c>
      <c r="S48" s="775">
        <f t="shared" si="12"/>
        <v>17.86</v>
      </c>
      <c r="T48" s="1895">
        <f t="shared" si="13"/>
        <v>389473.23431999999</v>
      </c>
      <c r="U48" s="1896">
        <f t="shared" si="14"/>
        <v>0.11624999999999996</v>
      </c>
      <c r="V48" s="1837" t="s">
        <v>2133</v>
      </c>
      <c r="W48" s="1837" t="s">
        <v>2272</v>
      </c>
      <c r="X48" s="1838">
        <f t="shared" si="15"/>
        <v>348912.19199999998</v>
      </c>
      <c r="Y48" s="1838"/>
      <c r="Z48" s="1838"/>
      <c r="AA48" s="976"/>
      <c r="AB48" s="977"/>
      <c r="AC48" s="970"/>
      <c r="AD48" s="1830"/>
      <c r="AE48" s="1830"/>
      <c r="AF48" s="1839"/>
      <c r="AG48" s="1840"/>
      <c r="AH48" s="1840"/>
      <c r="AI48" s="1840"/>
      <c r="AJ48" s="1894"/>
      <c r="AK48" s="1898"/>
      <c r="AL48" s="1899"/>
      <c r="AM48" s="1840"/>
      <c r="AN48" s="1840"/>
      <c r="AO48" s="1840"/>
    </row>
    <row r="49" spans="1:42" s="1871" customFormat="1" ht="13.5" customHeight="1">
      <c r="A49" s="1831"/>
      <c r="B49" s="1832"/>
      <c r="C49" s="1833"/>
      <c r="D49" s="1834"/>
      <c r="E49" s="1833"/>
      <c r="F49" s="1892"/>
      <c r="G49" s="1902"/>
      <c r="H49" s="1893"/>
      <c r="I49" s="1893"/>
      <c r="J49" s="1902"/>
      <c r="K49" s="1903"/>
      <c r="L49" s="1894"/>
      <c r="M49" s="1894"/>
      <c r="N49" s="1835"/>
      <c r="O49" s="1894"/>
      <c r="P49" s="1835"/>
      <c r="Q49" s="1835"/>
      <c r="R49" s="1835"/>
      <c r="S49" s="775"/>
      <c r="T49" s="1909"/>
      <c r="U49" s="1910"/>
      <c r="V49" s="1872"/>
      <c r="W49" s="1872"/>
      <c r="X49" s="1894"/>
      <c r="Y49" s="1838"/>
      <c r="Z49" s="1838"/>
      <c r="AA49" s="976"/>
      <c r="AB49" s="977"/>
      <c r="AC49" s="970"/>
      <c r="AD49" s="1830"/>
      <c r="AE49" s="1830"/>
      <c r="AF49" s="1831"/>
      <c r="AJ49" s="1894"/>
      <c r="AK49" s="1833"/>
      <c r="AL49" s="1831"/>
    </row>
    <row r="50" spans="1:42" s="1815" customFormat="1" ht="13.5" customHeight="1">
      <c r="A50" s="1809"/>
      <c r="B50" s="1827" t="str">
        <f>B41&amp;" Metrics"</f>
        <v>Phase II / IIa / IIb / II/III Metrics</v>
      </c>
      <c r="C50" s="1797"/>
      <c r="D50" s="1796"/>
      <c r="E50" s="1797"/>
      <c r="F50" s="1798"/>
      <c r="G50" s="1820"/>
      <c r="H50" s="1810"/>
      <c r="I50" s="1810"/>
      <c r="J50" s="1820"/>
      <c r="K50" s="1821"/>
      <c r="L50" s="1800"/>
      <c r="M50" s="1800"/>
      <c r="N50" s="1799"/>
      <c r="O50" s="1800"/>
      <c r="P50" s="1799"/>
      <c r="Q50" s="1799"/>
      <c r="R50" s="1799"/>
      <c r="S50" s="775"/>
      <c r="T50" s="1801"/>
      <c r="U50" s="1802"/>
      <c r="V50" s="1804"/>
      <c r="W50" s="1804"/>
      <c r="X50" s="1805"/>
      <c r="Y50" s="1805"/>
      <c r="Z50" s="1805"/>
      <c r="AA50" s="976"/>
      <c r="AB50" s="977"/>
      <c r="AC50" s="970"/>
      <c r="AD50" s="1807"/>
      <c r="AE50" s="1807"/>
      <c r="AF50" s="1808"/>
      <c r="AG50" s="1773"/>
      <c r="AH50" s="1773"/>
      <c r="AI50" s="1773"/>
      <c r="AJ50" s="1800"/>
      <c r="AK50" s="1813"/>
      <c r="AL50" s="1812"/>
      <c r="AM50" s="1773"/>
      <c r="AN50" s="1773"/>
      <c r="AO50" s="1773"/>
    </row>
    <row r="51" spans="1:42" s="1829" customFormat="1" ht="13.5" customHeight="1">
      <c r="A51" s="1831"/>
      <c r="B51" s="1822" t="s">
        <v>111</v>
      </c>
      <c r="C51" s="1823"/>
      <c r="D51" s="1823"/>
      <c r="E51" s="1823"/>
      <c r="F51" s="1823"/>
      <c r="G51" s="1823"/>
      <c r="H51" s="1823"/>
      <c r="I51" s="1823"/>
      <c r="J51" s="1823"/>
      <c r="K51" s="1823"/>
      <c r="L51" s="1823"/>
      <c r="M51" s="1823"/>
      <c r="N51" s="1824">
        <f>MAX(N42:N48)</f>
        <v>547263.03599999996</v>
      </c>
      <c r="O51" s="1824"/>
      <c r="P51" s="2536">
        <f>MAX(P42:P48)</f>
        <v>681013.02599999995</v>
      </c>
      <c r="Q51" s="1835"/>
      <c r="R51" s="1835"/>
      <c r="S51" s="1826">
        <f>MAX(S43:S47)</f>
        <v>38.200000000000003</v>
      </c>
      <c r="T51" s="1895"/>
      <c r="U51" s="1896"/>
      <c r="V51" s="1900"/>
      <c r="W51" s="1837"/>
      <c r="X51" s="1838"/>
      <c r="Y51" s="1838"/>
      <c r="Z51" s="1838"/>
      <c r="AA51" s="976"/>
      <c r="AB51" s="977"/>
      <c r="AC51" s="970"/>
      <c r="AD51" s="1830"/>
      <c r="AE51" s="1830"/>
      <c r="AF51" s="1839"/>
      <c r="AK51" s="1901"/>
      <c r="AL51" s="1898"/>
      <c r="AM51" s="1899"/>
    </row>
    <row r="52" spans="1:42" s="1829" customFormat="1" ht="13.5" customHeight="1">
      <c r="A52" s="1831"/>
      <c r="B52" s="776" t="s">
        <v>115</v>
      </c>
      <c r="C52" s="777"/>
      <c r="D52" s="777"/>
      <c r="E52" s="777"/>
      <c r="F52" s="777"/>
      <c r="G52" s="777"/>
      <c r="H52" s="777"/>
      <c r="I52" s="777"/>
      <c r="J52" s="777"/>
      <c r="K52" s="777"/>
      <c r="L52" s="777"/>
      <c r="M52" s="777"/>
      <c r="N52" s="769">
        <f>_xlfn.QUARTILE.INC(N42:N48,3)</f>
        <v>415899.7635</v>
      </c>
      <c r="O52" s="769"/>
      <c r="P52" s="778">
        <f>_xlfn.QUARTILE.INC(P42:P48,3)</f>
        <v>537933.08599999989</v>
      </c>
      <c r="Q52" s="1835"/>
      <c r="R52" s="1835"/>
      <c r="S52" s="920">
        <f>_xlfn.QUARTILE.INC(S43:S47,3)</f>
        <v>25.89</v>
      </c>
      <c r="T52" s="1895"/>
      <c r="U52" s="1896"/>
      <c r="V52" s="1900"/>
      <c r="W52" s="1837"/>
      <c r="X52" s="1838"/>
      <c r="Y52" s="1838"/>
      <c r="Z52" s="1838"/>
      <c r="AA52" s="976"/>
      <c r="AB52" s="977"/>
      <c r="AC52" s="970"/>
      <c r="AD52" s="1830"/>
      <c r="AE52" s="1830"/>
      <c r="AF52" s="1839"/>
      <c r="AK52" s="1901"/>
      <c r="AL52" s="1898"/>
      <c r="AM52" s="1899"/>
    </row>
    <row r="53" spans="1:42" s="1829" customFormat="1" ht="13.5" customHeight="1">
      <c r="A53" s="1831"/>
      <c r="B53" s="776" t="s">
        <v>43</v>
      </c>
      <c r="C53" s="777"/>
      <c r="D53" s="777"/>
      <c r="E53" s="777"/>
      <c r="F53" s="777"/>
      <c r="G53" s="777"/>
      <c r="H53" s="777"/>
      <c r="I53" s="777"/>
      <c r="J53" s="777"/>
      <c r="K53" s="777"/>
      <c r="L53" s="777"/>
      <c r="M53" s="777"/>
      <c r="N53" s="769">
        <f>AVERAGE(N42:N48)</f>
        <v>325011.33399999997</v>
      </c>
      <c r="O53" s="769"/>
      <c r="P53" s="778">
        <f>AVERAGE(P42:P48)</f>
        <v>424999.42471428559</v>
      </c>
      <c r="Q53" s="1835"/>
      <c r="R53" s="1835"/>
      <c r="S53" s="920">
        <f>AVERAGE(S43:S47)</f>
        <v>20.453980000000001</v>
      </c>
      <c r="T53" s="1895"/>
      <c r="U53" s="1896"/>
      <c r="V53" s="1900"/>
      <c r="W53" s="1837"/>
      <c r="X53" s="1838"/>
      <c r="Y53" s="1838"/>
      <c r="Z53" s="1838"/>
      <c r="AA53" s="976"/>
      <c r="AB53" s="977"/>
      <c r="AC53" s="970"/>
      <c r="AD53" s="1830"/>
      <c r="AE53" s="1830"/>
      <c r="AF53" s="1839"/>
      <c r="AK53" s="1901"/>
      <c r="AL53" s="1898"/>
      <c r="AM53" s="1899"/>
    </row>
    <row r="54" spans="1:42" s="1829" customFormat="1" ht="13.5" customHeight="1">
      <c r="A54" s="1831"/>
      <c r="B54" s="776" t="s">
        <v>44</v>
      </c>
      <c r="C54" s="777"/>
      <c r="D54" s="777"/>
      <c r="E54" s="777"/>
      <c r="F54" s="777"/>
      <c r="G54" s="777"/>
      <c r="H54" s="777"/>
      <c r="I54" s="777"/>
      <c r="J54" s="777"/>
      <c r="K54" s="777"/>
      <c r="L54" s="777"/>
      <c r="M54" s="777"/>
      <c r="N54" s="769">
        <f>MEDIAN(N42:N48)</f>
        <v>341385.228</v>
      </c>
      <c r="O54" s="769"/>
      <c r="P54" s="778">
        <f>MEDIAN(P42:P48)</f>
        <v>461235.228</v>
      </c>
      <c r="Q54" s="1835"/>
      <c r="R54" s="1835"/>
      <c r="S54" s="920">
        <f>MEDIAN(S43:S47)</f>
        <v>21.87</v>
      </c>
      <c r="T54" s="1895"/>
      <c r="U54" s="1896"/>
      <c r="V54" s="1900"/>
      <c r="W54" s="1837"/>
      <c r="X54" s="1838"/>
      <c r="Y54" s="1838"/>
      <c r="Z54" s="1838"/>
      <c r="AA54" s="976"/>
      <c r="AB54" s="977"/>
      <c r="AC54" s="970"/>
      <c r="AD54" s="1830"/>
      <c r="AE54" s="1830"/>
      <c r="AF54" s="1839"/>
      <c r="AK54" s="1901"/>
      <c r="AL54" s="1898"/>
      <c r="AM54" s="1899"/>
    </row>
    <row r="55" spans="1:42" s="1829" customFormat="1" ht="13.5" customHeight="1">
      <c r="A55" s="1831"/>
      <c r="B55" s="776" t="s">
        <v>114</v>
      </c>
      <c r="C55" s="777"/>
      <c r="D55" s="777"/>
      <c r="E55" s="777"/>
      <c r="F55" s="777"/>
      <c r="G55" s="777"/>
      <c r="H55" s="777"/>
      <c r="I55" s="777"/>
      <c r="J55" s="777"/>
      <c r="K55" s="777"/>
      <c r="L55" s="777"/>
      <c r="M55" s="777"/>
      <c r="N55" s="769">
        <f>_xlfn.QUARTILE.INC(N42:N48,1)</f>
        <v>267845.62349999999</v>
      </c>
      <c r="O55" s="769"/>
      <c r="P55" s="778">
        <f>_xlfn.QUARTILE.INC(P42:P48,1)</f>
        <v>358970.62349999999</v>
      </c>
      <c r="Q55" s="1835"/>
      <c r="R55" s="1835"/>
      <c r="S55" s="920">
        <f>_xlfn.QUARTILE.INC(S43:S47,1)</f>
        <v>12.15</v>
      </c>
      <c r="T55" s="1895"/>
      <c r="U55" s="1896"/>
      <c r="V55" s="1900"/>
      <c r="W55" s="1837"/>
      <c r="X55" s="1838"/>
      <c r="Y55" s="1838"/>
      <c r="Z55" s="1838"/>
      <c r="AA55" s="976"/>
      <c r="AB55" s="977"/>
      <c r="AC55" s="970"/>
      <c r="AD55" s="1830"/>
      <c r="AE55" s="1830"/>
      <c r="AF55" s="1839"/>
      <c r="AK55" s="1901"/>
      <c r="AL55" s="1898"/>
      <c r="AM55" s="1899"/>
    </row>
    <row r="56" spans="1:42" s="1829" customFormat="1" ht="13.5" customHeight="1">
      <c r="A56" s="1831"/>
      <c r="B56" s="921" t="s">
        <v>112</v>
      </c>
      <c r="C56" s="779"/>
      <c r="D56" s="779"/>
      <c r="E56" s="779"/>
      <c r="F56" s="779"/>
      <c r="G56" s="779"/>
      <c r="H56" s="779"/>
      <c r="I56" s="779"/>
      <c r="J56" s="779"/>
      <c r="K56" s="779"/>
      <c r="L56" s="779"/>
      <c r="M56" s="779"/>
      <c r="N56" s="770">
        <f>MIN(N42:N48)</f>
        <v>18940.300000000003</v>
      </c>
      <c r="O56" s="770"/>
      <c r="P56" s="780">
        <f>MIN(P42:P48)</f>
        <v>38940.300000000003</v>
      </c>
      <c r="Q56" s="1835"/>
      <c r="R56" s="1835"/>
      <c r="S56" s="922">
        <f>MIN(S43:S47)</f>
        <v>4.1599000000000004</v>
      </c>
      <c r="T56" s="1895"/>
      <c r="U56" s="1896"/>
      <c r="V56" s="1900"/>
      <c r="W56" s="1837"/>
      <c r="X56" s="1838"/>
      <c r="Y56" s="1838"/>
      <c r="Z56" s="1838"/>
      <c r="AA56" s="976"/>
      <c r="AB56" s="977"/>
      <c r="AC56" s="970"/>
      <c r="AD56" s="1830"/>
      <c r="AE56" s="1830"/>
      <c r="AF56" s="1839"/>
      <c r="AK56" s="1901"/>
      <c r="AL56" s="1898"/>
      <c r="AM56" s="1899"/>
    </row>
    <row r="57" spans="1:42" s="1829" customFormat="1" ht="13.5" customHeight="1">
      <c r="A57" s="1831"/>
      <c r="B57" s="1832"/>
      <c r="C57" s="1833"/>
      <c r="D57" s="1834"/>
      <c r="E57" s="1833"/>
      <c r="F57" s="1892"/>
      <c r="G57" s="1902"/>
      <c r="H57" s="1893"/>
      <c r="I57" s="1893"/>
      <c r="J57" s="1902"/>
      <c r="K57" s="1903"/>
      <c r="L57" s="1894"/>
      <c r="M57" s="1894"/>
      <c r="N57" s="1835"/>
      <c r="O57" s="1894"/>
      <c r="P57" s="1835"/>
      <c r="Q57" s="1835"/>
      <c r="R57" s="1835"/>
      <c r="S57" s="775"/>
      <c r="T57" s="1895"/>
      <c r="U57" s="1896"/>
      <c r="V57" s="1900"/>
      <c r="W57" s="1837"/>
      <c r="X57" s="1838"/>
      <c r="Y57" s="1838"/>
      <c r="Z57" s="1838"/>
      <c r="AA57" s="976"/>
      <c r="AB57" s="977"/>
      <c r="AC57" s="970"/>
      <c r="AD57" s="1830"/>
      <c r="AE57" s="1830"/>
      <c r="AF57" s="1839"/>
      <c r="AK57" s="1901"/>
      <c r="AL57" s="1898"/>
      <c r="AM57" s="1899"/>
    </row>
    <row r="58" spans="1:42" s="1829" customFormat="1" ht="13.5" customHeight="1">
      <c r="A58" s="1831"/>
      <c r="B58" s="1904" t="s">
        <v>1521</v>
      </c>
      <c r="C58" s="1833"/>
      <c r="D58" s="1834"/>
      <c r="E58" s="1833"/>
      <c r="F58" s="1892"/>
      <c r="G58" s="1902"/>
      <c r="H58" s="1893"/>
      <c r="I58" s="1893"/>
      <c r="J58" s="1902"/>
      <c r="K58" s="1903"/>
      <c r="L58" s="1894"/>
      <c r="M58" s="1894"/>
      <c r="N58" s="1835"/>
      <c r="O58" s="1894"/>
      <c r="P58" s="1835"/>
      <c r="Q58" s="1835"/>
      <c r="R58" s="1835"/>
      <c r="S58" s="775"/>
      <c r="T58" s="1895"/>
      <c r="U58" s="1896"/>
      <c r="V58" s="1837"/>
      <c r="W58" s="1837"/>
      <c r="X58" s="1839"/>
      <c r="Y58" s="1838"/>
      <c r="Z58" s="1838"/>
      <c r="AA58" s="976"/>
      <c r="AB58" s="977"/>
      <c r="AC58" s="970"/>
      <c r="AD58" s="1830"/>
      <c r="AE58" s="1830"/>
      <c r="AF58" s="1886"/>
      <c r="AG58" s="1840"/>
      <c r="AH58" s="1840"/>
      <c r="AI58" s="1840"/>
      <c r="AJ58" s="1894"/>
      <c r="AK58" s="1898"/>
      <c r="AL58" s="1899"/>
      <c r="AM58" s="1840"/>
      <c r="AN58" s="1840"/>
      <c r="AO58" s="1840"/>
    </row>
    <row r="59" spans="1:42" ht="13.5" customHeight="1">
      <c r="A59" s="1831"/>
      <c r="B59" s="1832" t="s">
        <v>968</v>
      </c>
      <c r="C59" s="1911" t="s">
        <v>1380</v>
      </c>
      <c r="D59" s="1834" t="s">
        <v>518</v>
      </c>
      <c r="E59" s="1833" t="s">
        <v>969</v>
      </c>
      <c r="F59" s="1892">
        <v>42327</v>
      </c>
      <c r="G59" s="1893">
        <v>9</v>
      </c>
      <c r="H59" s="1893">
        <v>11</v>
      </c>
      <c r="I59" s="1893">
        <v>13</v>
      </c>
      <c r="J59" s="1893">
        <v>9.11</v>
      </c>
      <c r="K59" s="1835">
        <f>+M59-L59</f>
        <v>13470.476999999999</v>
      </c>
      <c r="L59" s="969">
        <v>5666.6670000000004</v>
      </c>
      <c r="M59" s="969">
        <v>19137.144</v>
      </c>
      <c r="N59" s="969">
        <f>+G59*K59</f>
        <v>121234.29299999999</v>
      </c>
      <c r="O59" s="969">
        <f>+G59*L59</f>
        <v>51000.003000000004</v>
      </c>
      <c r="P59" s="969">
        <f>+N59+O59</f>
        <v>172234.296</v>
      </c>
      <c r="Q59" s="1835"/>
      <c r="R59" s="1866">
        <v>1</v>
      </c>
      <c r="S59" s="775">
        <f>J59</f>
        <v>9.11</v>
      </c>
      <c r="T59" s="1895">
        <f>S59*M59</f>
        <v>174339.38183999999</v>
      </c>
      <c r="U59" s="1896">
        <f>T59/P59-1</f>
        <v>1.2222222222222134E-2</v>
      </c>
      <c r="V59" s="1900" t="s">
        <v>970</v>
      </c>
      <c r="W59" s="1837" t="s">
        <v>971</v>
      </c>
      <c r="X59" s="1838">
        <f>+N59+O59</f>
        <v>172234.296</v>
      </c>
      <c r="Y59" s="1838">
        <v>15137820</v>
      </c>
      <c r="Z59" s="1838">
        <v>4620.87</v>
      </c>
      <c r="AA59" s="976">
        <f>X59+Y59-Z59</f>
        <v>15305433.426000001</v>
      </c>
      <c r="AB59" s="970">
        <v>0</v>
      </c>
      <c r="AC59" s="970">
        <v>-17881.009999999998</v>
      </c>
      <c r="AD59" s="1830" t="str">
        <f>IFERROR(AA59/AB59,"n/a")</f>
        <v>n/a</v>
      </c>
      <c r="AE59" s="1830">
        <f>IFERROR(AA59/AC59,"n/a")</f>
        <v>-855.96022965145721</v>
      </c>
      <c r="AF59" s="1839">
        <f>+P59-X59</f>
        <v>0</v>
      </c>
      <c r="AG59" s="1829"/>
      <c r="AH59" s="1829"/>
      <c r="AI59" s="1829"/>
      <c r="AJ59" s="1829"/>
      <c r="AK59" s="1901"/>
      <c r="AL59" s="1898"/>
      <c r="AM59" s="1899"/>
      <c r="AN59" s="1829"/>
      <c r="AO59" s="1829"/>
      <c r="AP59" s="1829"/>
    </row>
    <row r="60" spans="1:42" s="1829" customFormat="1" ht="13.5" customHeight="1">
      <c r="A60" s="1831"/>
      <c r="B60" s="1832" t="s">
        <v>2157</v>
      </c>
      <c r="C60" s="1833" t="s">
        <v>2156</v>
      </c>
      <c r="D60" s="1834" t="s">
        <v>518</v>
      </c>
      <c r="E60" s="1833" t="s">
        <v>1340</v>
      </c>
      <c r="F60" s="1892">
        <v>41955</v>
      </c>
      <c r="G60" s="1893">
        <v>6.5</v>
      </c>
      <c r="H60" s="1893">
        <v>0</v>
      </c>
      <c r="I60" s="1893">
        <v>0</v>
      </c>
      <c r="J60" s="1893">
        <v>12.5</v>
      </c>
      <c r="K60" s="1835">
        <f>+M60-L60</f>
        <v>4822.67</v>
      </c>
      <c r="L60" s="969">
        <v>1650</v>
      </c>
      <c r="M60" s="969">
        <v>6472.67</v>
      </c>
      <c r="N60" s="969">
        <f>+G60*K60</f>
        <v>31347.355</v>
      </c>
      <c r="O60" s="969">
        <f>+G60*L60</f>
        <v>10725</v>
      </c>
      <c r="P60" s="969">
        <f>+N60+O60</f>
        <v>42072.354999999996</v>
      </c>
      <c r="Q60" s="1835"/>
      <c r="R60" s="1866">
        <v>1</v>
      </c>
      <c r="S60" s="775">
        <f>J60</f>
        <v>12.5</v>
      </c>
      <c r="T60" s="1895">
        <f>S60*M60</f>
        <v>80908.375</v>
      </c>
      <c r="U60" s="1896">
        <f>T60/P60-1</f>
        <v>0.92307692307692335</v>
      </c>
      <c r="V60" s="1837" t="s">
        <v>1341</v>
      </c>
      <c r="W60" s="1837" t="s">
        <v>2273</v>
      </c>
      <c r="X60" s="1838">
        <f>+N60+O60</f>
        <v>42072.354999999996</v>
      </c>
      <c r="Y60" s="1838">
        <v>14852350</v>
      </c>
      <c r="Z60" s="1838">
        <v>1207810</v>
      </c>
      <c r="AA60" s="976">
        <f>X60+Y60-Z60</f>
        <v>13686612.355</v>
      </c>
      <c r="AB60" s="970">
        <v>21077.84</v>
      </c>
      <c r="AC60" s="970">
        <v>-75140.02</v>
      </c>
      <c r="AD60" s="1830">
        <f>IFERROR(AA60/AB60,"n/a")</f>
        <v>649.33657125208276</v>
      </c>
      <c r="AE60" s="1830">
        <f>IFERROR(AA60/AC60,"n/a")</f>
        <v>-182.14810636196265</v>
      </c>
      <c r="AF60" s="1839">
        <f>+P60-X60</f>
        <v>0</v>
      </c>
      <c r="AG60" s="1840"/>
      <c r="AH60" s="1840"/>
      <c r="AI60" s="1840"/>
      <c r="AJ60" s="1894"/>
      <c r="AK60" s="1898"/>
      <c r="AL60" s="1899"/>
      <c r="AM60" s="1840"/>
      <c r="AN60" s="1840"/>
      <c r="AO60" s="1840"/>
    </row>
    <row r="61" spans="1:42" ht="12.75" customHeight="1">
      <c r="A61" s="1871"/>
      <c r="B61" s="1832"/>
      <c r="C61" s="1832"/>
      <c r="D61" s="1832"/>
      <c r="E61" s="1832"/>
      <c r="F61" s="1912"/>
      <c r="G61" s="1912"/>
      <c r="H61" s="1912"/>
      <c r="I61" s="1912"/>
      <c r="J61" s="1912"/>
      <c r="K61" s="1912"/>
      <c r="L61" s="1912"/>
      <c r="M61" s="1912"/>
      <c r="N61" s="1912"/>
      <c r="O61" s="1912"/>
      <c r="P61" s="1912"/>
      <c r="Q61" s="1835"/>
      <c r="R61" s="1835"/>
      <c r="S61" s="1913"/>
    </row>
    <row r="62" spans="1:42" s="1815" customFormat="1" ht="13.5" customHeight="1">
      <c r="A62" s="1809"/>
      <c r="B62" s="1827" t="str">
        <f>B58&amp;" Metrics"</f>
        <v>Phase III, NDA Filed and Marketed Metrics</v>
      </c>
      <c r="C62" s="1797"/>
      <c r="D62" s="1796"/>
      <c r="E62" s="1797"/>
      <c r="F62" s="1798"/>
      <c r="G62" s="1820"/>
      <c r="H62" s="1810"/>
      <c r="I62" s="1810"/>
      <c r="J62" s="1820"/>
      <c r="K62" s="1821"/>
      <c r="L62" s="1800"/>
      <c r="M62" s="1800"/>
      <c r="N62" s="1799"/>
      <c r="O62" s="1800"/>
      <c r="P62" s="1799"/>
      <c r="Q62" s="1799"/>
      <c r="R62" s="1799"/>
      <c r="S62" s="775"/>
      <c r="T62" s="1801"/>
      <c r="U62" s="1802"/>
      <c r="V62" s="1804"/>
      <c r="W62" s="1804"/>
      <c r="X62" s="1805"/>
      <c r="Y62" s="1805"/>
      <c r="Z62" s="1805"/>
      <c r="AA62" s="976"/>
      <c r="AB62" s="977"/>
      <c r="AC62" s="970"/>
      <c r="AD62" s="1807"/>
      <c r="AE62" s="1807"/>
      <c r="AF62" s="1808"/>
      <c r="AG62" s="1773"/>
      <c r="AH62" s="1773"/>
      <c r="AI62" s="1773"/>
      <c r="AJ62" s="1800"/>
      <c r="AK62" s="1813"/>
      <c r="AL62" s="1812"/>
      <c r="AM62" s="1773"/>
      <c r="AN62" s="1773"/>
      <c r="AO62" s="1773"/>
    </row>
    <row r="63" spans="1:42" ht="12.75" customHeight="1">
      <c r="B63" s="1822" t="s">
        <v>111</v>
      </c>
      <c r="C63" s="1823"/>
      <c r="D63" s="1823"/>
      <c r="E63" s="1823"/>
      <c r="F63" s="1823"/>
      <c r="G63" s="1823"/>
      <c r="H63" s="1823"/>
      <c r="I63" s="1823"/>
      <c r="J63" s="1823"/>
      <c r="K63" s="1823"/>
      <c r="L63" s="1823"/>
      <c r="M63" s="1823"/>
      <c r="N63" s="1824">
        <f>MAX(N59:N60)</f>
        <v>121234.29299999999</v>
      </c>
      <c r="O63" s="1824"/>
      <c r="P63" s="1825">
        <f>MAX(P59:P60)</f>
        <v>172234.296</v>
      </c>
      <c r="Q63" s="1866"/>
      <c r="R63" s="1866"/>
      <c r="S63" s="1855">
        <f>MAX(S59:S60)</f>
        <v>12.5</v>
      </c>
    </row>
    <row r="64" spans="1:42" ht="12.75" customHeight="1">
      <c r="B64" s="776" t="s">
        <v>115</v>
      </c>
      <c r="C64" s="777"/>
      <c r="D64" s="777"/>
      <c r="E64" s="777"/>
      <c r="F64" s="777"/>
      <c r="G64" s="777"/>
      <c r="H64" s="777"/>
      <c r="I64" s="777"/>
      <c r="J64" s="777"/>
      <c r="K64" s="777"/>
      <c r="L64" s="777"/>
      <c r="M64" s="777"/>
      <c r="N64" s="769">
        <f>QUARTILE(N59:N60,3)</f>
        <v>98762.558499999999</v>
      </c>
      <c r="O64" s="769"/>
      <c r="P64" s="778">
        <f>QUARTILE(P59:P60,3)</f>
        <v>139693.81075</v>
      </c>
      <c r="Q64" s="1866"/>
      <c r="R64" s="1866"/>
      <c r="S64" s="1914">
        <f>QUARTILE(S59:S60,3)</f>
        <v>11.6525</v>
      </c>
    </row>
    <row r="65" spans="2:19">
      <c r="B65" s="776" t="s">
        <v>43</v>
      </c>
      <c r="C65" s="777"/>
      <c r="D65" s="777"/>
      <c r="E65" s="777"/>
      <c r="F65" s="777"/>
      <c r="G65" s="777"/>
      <c r="H65" s="777"/>
      <c r="I65" s="777"/>
      <c r="J65" s="777"/>
      <c r="K65" s="777"/>
      <c r="L65" s="777"/>
      <c r="M65" s="777"/>
      <c r="N65" s="769">
        <f>AVERAGE(N59:N60)</f>
        <v>76290.823999999993</v>
      </c>
      <c r="O65" s="769"/>
      <c r="P65" s="778">
        <f>AVERAGE(P59:P60)</f>
        <v>107153.32550000001</v>
      </c>
      <c r="Q65" s="1866"/>
      <c r="R65" s="1866"/>
      <c r="S65" s="1914">
        <f>AVERAGE(S59:S60)</f>
        <v>10.805</v>
      </c>
    </row>
    <row r="66" spans="2:19">
      <c r="B66" s="776" t="s">
        <v>44</v>
      </c>
      <c r="C66" s="777"/>
      <c r="D66" s="777"/>
      <c r="E66" s="777"/>
      <c r="F66" s="777"/>
      <c r="G66" s="777"/>
      <c r="H66" s="777"/>
      <c r="I66" s="777"/>
      <c r="J66" s="777"/>
      <c r="K66" s="777"/>
      <c r="L66" s="777"/>
      <c r="M66" s="777"/>
      <c r="N66" s="769">
        <f>MEDIAN(N59:N60)</f>
        <v>76290.823999999993</v>
      </c>
      <c r="O66" s="769"/>
      <c r="P66" s="778">
        <f>MEDIAN(P59:P60)</f>
        <v>107153.32550000001</v>
      </c>
      <c r="Q66" s="1866"/>
      <c r="R66" s="1866"/>
      <c r="S66" s="1914">
        <f>MEDIAN(S59:S60)</f>
        <v>10.805</v>
      </c>
    </row>
    <row r="67" spans="2:19">
      <c r="B67" s="776" t="s">
        <v>114</v>
      </c>
      <c r="C67" s="777"/>
      <c r="D67" s="777"/>
      <c r="E67" s="777"/>
      <c r="F67" s="777"/>
      <c r="G67" s="777"/>
      <c r="H67" s="777"/>
      <c r="I67" s="777"/>
      <c r="J67" s="777"/>
      <c r="K67" s="777"/>
      <c r="L67" s="777"/>
      <c r="M67" s="777"/>
      <c r="N67" s="769">
        <f>QUARTILE(N59:N60,1)</f>
        <v>53819.089500000002</v>
      </c>
      <c r="O67" s="769"/>
      <c r="P67" s="778">
        <f>QUARTILE(P59:P60,1)</f>
        <v>74612.840249999994</v>
      </c>
      <c r="Q67" s="1866"/>
      <c r="R67" s="1866"/>
      <c r="S67" s="1914">
        <f>QUARTILE(S59:S60,1)</f>
        <v>9.9574999999999996</v>
      </c>
    </row>
    <row r="68" spans="2:19">
      <c r="B68" s="921" t="s">
        <v>112</v>
      </c>
      <c r="C68" s="779"/>
      <c r="D68" s="779"/>
      <c r="E68" s="779"/>
      <c r="F68" s="779"/>
      <c r="G68" s="779"/>
      <c r="H68" s="779"/>
      <c r="I68" s="779"/>
      <c r="J68" s="779"/>
      <c r="K68" s="779"/>
      <c r="L68" s="779"/>
      <c r="M68" s="779"/>
      <c r="N68" s="770">
        <f>MIN(N59:N60)</f>
        <v>31347.355</v>
      </c>
      <c r="O68" s="770"/>
      <c r="P68" s="780">
        <f>MIN(P59:P60)</f>
        <v>42072.354999999996</v>
      </c>
      <c r="Q68" s="1866"/>
      <c r="R68" s="1866"/>
      <c r="S68" s="923">
        <f>MIN(S59:S60)</f>
        <v>9.11</v>
      </c>
    </row>
    <row r="69" spans="2:19">
      <c r="B69" s="1915"/>
      <c r="C69" s="1915"/>
      <c r="D69" s="1915"/>
      <c r="E69" s="1915"/>
      <c r="F69" s="1913"/>
      <c r="G69" s="1913"/>
      <c r="H69" s="1913"/>
      <c r="I69" s="1913"/>
      <c r="J69" s="1913"/>
      <c r="K69" s="1913"/>
      <c r="L69" s="1913"/>
      <c r="M69" s="1913"/>
      <c r="N69" s="1913"/>
      <c r="O69" s="1913"/>
      <c r="P69" s="1913"/>
      <c r="Q69" s="1866"/>
      <c r="R69" s="1866"/>
      <c r="S69" s="1913"/>
    </row>
    <row r="70" spans="2:19">
      <c r="B70" s="1916" t="s">
        <v>1338</v>
      </c>
      <c r="C70" s="1915"/>
      <c r="D70" s="1915"/>
      <c r="E70" s="1915"/>
      <c r="F70" s="1913"/>
      <c r="G70" s="1913"/>
      <c r="H70" s="1913"/>
      <c r="I70" s="1913"/>
      <c r="J70" s="1913"/>
      <c r="K70" s="1913"/>
      <c r="L70" s="1913"/>
      <c r="M70" s="1913"/>
      <c r="N70" s="1913"/>
      <c r="O70" s="1913"/>
      <c r="P70" s="1913"/>
      <c r="Q70" s="1866"/>
      <c r="R70" s="1866"/>
      <c r="S70" s="1913"/>
    </row>
    <row r="71" spans="2:19">
      <c r="B71" s="1822" t="s">
        <v>111</v>
      </c>
      <c r="C71" s="1823"/>
      <c r="D71" s="1823"/>
      <c r="E71" s="1823"/>
      <c r="F71" s="1823"/>
      <c r="G71" s="1823"/>
      <c r="H71" s="1823"/>
      <c r="I71" s="1823"/>
      <c r="J71" s="1823"/>
      <c r="K71" s="1823"/>
      <c r="L71" s="1823"/>
      <c r="M71" s="1823"/>
      <c r="N71" s="1824">
        <f t="array" ref="N71">MAX(IF($R$11:$R$60=1,N$11:N$60,""))</f>
        <v>1333630.5660000001</v>
      </c>
      <c r="O71" s="1824"/>
      <c r="P71" s="1825">
        <f t="array" ref="P71">MAX(IF($R$12:$R$60=1,P$12:P$60,""))</f>
        <v>1583630.55</v>
      </c>
      <c r="Q71" s="1866"/>
      <c r="R71" s="769"/>
      <c r="S71" s="1913"/>
    </row>
    <row r="72" spans="2:19">
      <c r="B72" s="776" t="s">
        <v>115</v>
      </c>
      <c r="C72" s="777"/>
      <c r="D72" s="777"/>
      <c r="E72" s="777"/>
      <c r="F72" s="777"/>
      <c r="G72" s="777"/>
      <c r="H72" s="777"/>
      <c r="I72" s="777"/>
      <c r="J72" s="777"/>
      <c r="K72" s="777"/>
      <c r="L72" s="777"/>
      <c r="M72" s="777"/>
      <c r="N72" s="769">
        <f t="array" ref="N72">QUARTILE(IF($R$11:$R$60=1,N$11:N$60,""),3)</f>
        <v>418413.60599999997</v>
      </c>
      <c r="O72" s="769"/>
      <c r="P72" s="778">
        <f t="array" ref="P72">QUARTILE(IF($R$12:$R$60=1,P$12:P$60,""),3)</f>
        <v>537933.08599999989</v>
      </c>
      <c r="Q72" s="1866"/>
      <c r="R72" s="769"/>
      <c r="S72" s="1913"/>
    </row>
    <row r="73" spans="2:19">
      <c r="B73" s="776" t="s">
        <v>43</v>
      </c>
      <c r="C73" s="777"/>
      <c r="D73" s="777"/>
      <c r="E73" s="777"/>
      <c r="F73" s="777"/>
      <c r="G73" s="777"/>
      <c r="H73" s="777"/>
      <c r="I73" s="777"/>
      <c r="J73" s="777"/>
      <c r="K73" s="777"/>
      <c r="L73" s="777"/>
      <c r="M73" s="777"/>
      <c r="N73" s="769">
        <f t="array" ref="N73">AVERAGE(IF($R$11:$R$60=1,N$11:N$60,""))</f>
        <v>338250.6888</v>
      </c>
      <c r="O73" s="769"/>
      <c r="P73" s="778">
        <f t="array" ref="P73">AVERAGE(IF($R$12:$R$60=1,P$12:P$60,""))</f>
        <v>428610.64626315783</v>
      </c>
      <c r="Q73" s="1866"/>
      <c r="R73" s="769"/>
      <c r="S73" s="1913"/>
    </row>
    <row r="74" spans="2:19">
      <c r="B74" s="776" t="s">
        <v>44</v>
      </c>
      <c r="C74" s="777"/>
      <c r="D74" s="777"/>
      <c r="E74" s="777"/>
      <c r="F74" s="777"/>
      <c r="G74" s="777"/>
      <c r="H74" s="777"/>
      <c r="I74" s="777"/>
      <c r="J74" s="777"/>
      <c r="K74" s="777"/>
      <c r="L74" s="777"/>
      <c r="M74" s="777"/>
      <c r="N74" s="769">
        <f t="array" ref="N74">MEDIAN(IF($R$11:$R$60=1,N$11:N$60,""))</f>
        <v>313623.96000000002</v>
      </c>
      <c r="O74" s="769"/>
      <c r="P74" s="778">
        <f t="array" ref="P74">MEDIAN(IF($R$12:$R$60=1,P$12:P$60,""))</f>
        <v>369029.05500000005</v>
      </c>
      <c r="Q74" s="1866"/>
      <c r="R74" s="769"/>
      <c r="S74" s="1913"/>
    </row>
    <row r="75" spans="2:19">
      <c r="B75" s="776" t="s">
        <v>114</v>
      </c>
      <c r="C75" s="777"/>
      <c r="D75" s="777"/>
      <c r="E75" s="777"/>
      <c r="F75" s="777"/>
      <c r="G75" s="777"/>
      <c r="H75" s="777"/>
      <c r="I75" s="777"/>
      <c r="J75" s="777"/>
      <c r="K75" s="777"/>
      <c r="L75" s="777"/>
      <c r="M75" s="777"/>
      <c r="N75" s="769">
        <f t="array" ref="N75">QUARTILE(IF($R$11:$R$60=1,N$11:N$60,""),1)</f>
        <v>171094.18575</v>
      </c>
      <c r="O75" s="769"/>
      <c r="P75" s="778">
        <f t="array" ref="P75">QUARTILE(IF($R$12:$R$60=1,P$12:P$60,""),1)</f>
        <v>226963.84600000002</v>
      </c>
      <c r="Q75" s="1866"/>
      <c r="R75" s="769"/>
      <c r="S75" s="1913"/>
    </row>
    <row r="76" spans="2:19">
      <c r="B76" s="921" t="s">
        <v>112</v>
      </c>
      <c r="C76" s="779"/>
      <c r="D76" s="779"/>
      <c r="E76" s="779"/>
      <c r="F76" s="779"/>
      <c r="G76" s="779"/>
      <c r="H76" s="779"/>
      <c r="I76" s="779"/>
      <c r="J76" s="779"/>
      <c r="K76" s="779"/>
      <c r="L76" s="779"/>
      <c r="M76" s="779"/>
      <c r="N76" s="770">
        <f t="array" ref="N76">MIN(IF($R$11:$R$60=1,N$11:N$60,""))</f>
        <v>18940.300000000003</v>
      </c>
      <c r="O76" s="770"/>
      <c r="P76" s="780">
        <f t="array" ref="P76">MIN(IF($R$12:$R$60=1,P$12:P$60,""))</f>
        <v>38940.300000000003</v>
      </c>
      <c r="Q76" s="1866"/>
      <c r="R76" s="769"/>
      <c r="S76" s="1913"/>
    </row>
    <row r="77" spans="2:19">
      <c r="S77" s="1862"/>
    </row>
    <row r="78" spans="2:19">
      <c r="B78" s="8" t="s">
        <v>116</v>
      </c>
      <c r="C78" s="1917"/>
      <c r="D78" s="1917"/>
      <c r="E78" s="1917"/>
      <c r="F78" s="1917"/>
      <c r="G78" s="1917"/>
      <c r="H78" s="1917"/>
      <c r="I78" s="1917"/>
      <c r="J78" s="1917"/>
      <c r="K78" s="1917"/>
      <c r="L78" s="1917"/>
      <c r="M78" s="1917"/>
      <c r="N78" s="1917"/>
      <c r="O78" s="1917"/>
      <c r="P78" s="1917"/>
      <c r="S78" s="1862"/>
    </row>
    <row r="79" spans="2:19">
      <c r="C79" s="1840" t="s">
        <v>1145</v>
      </c>
      <c r="S79" s="1862"/>
    </row>
    <row r="80" spans="2:19">
      <c r="C80" s="1840" t="s">
        <v>1146</v>
      </c>
      <c r="S80" s="1862"/>
    </row>
    <row r="81" spans="3:19">
      <c r="C81" s="1840" t="s">
        <v>1147</v>
      </c>
      <c r="S81" s="1862"/>
    </row>
    <row r="82" spans="3:19">
      <c r="C82" s="1840" t="s">
        <v>1164</v>
      </c>
      <c r="S82" s="1862"/>
    </row>
    <row r="83" spans="3:19">
      <c r="C83" s="1840" t="s">
        <v>1165</v>
      </c>
      <c r="S83" s="1862"/>
    </row>
    <row r="84" spans="3:19">
      <c r="C84" s="1840" t="s">
        <v>1148</v>
      </c>
      <c r="S84" s="1862"/>
    </row>
    <row r="85" spans="3:19">
      <c r="C85" s="1840" t="s">
        <v>821</v>
      </c>
      <c r="S85" s="1862"/>
    </row>
    <row r="86" spans="3:19">
      <c r="C86" s="1840" t="s">
        <v>1149</v>
      </c>
      <c r="S86" s="1862"/>
    </row>
    <row r="87" spans="3:19">
      <c r="C87" s="1840" t="s">
        <v>1150</v>
      </c>
      <c r="S87" s="1862"/>
    </row>
    <row r="88" spans="3:19">
      <c r="C88" s="1840" t="s">
        <v>1151</v>
      </c>
      <c r="S88" s="1862"/>
    </row>
    <row r="89" spans="3:19">
      <c r="C89" s="1840" t="s">
        <v>1152</v>
      </c>
      <c r="S89" s="1862"/>
    </row>
    <row r="90" spans="3:19">
      <c r="C90" s="1840" t="s">
        <v>1153</v>
      </c>
      <c r="S90" s="1862"/>
    </row>
    <row r="91" spans="3:19">
      <c r="C91" s="1840" t="s">
        <v>1154</v>
      </c>
      <c r="S91" s="1862"/>
    </row>
    <row r="92" spans="3:19">
      <c r="C92" s="1840" t="s">
        <v>1155</v>
      </c>
      <c r="S92" s="1862"/>
    </row>
    <row r="93" spans="3:19">
      <c r="C93" s="1840" t="s">
        <v>1156</v>
      </c>
      <c r="S93" s="1862"/>
    </row>
    <row r="94" spans="3:19">
      <c r="C94" s="1840" t="s">
        <v>1157</v>
      </c>
      <c r="S94" s="1862"/>
    </row>
    <row r="95" spans="3:19">
      <c r="C95" s="1840" t="s">
        <v>1159</v>
      </c>
      <c r="S95" s="1862"/>
    </row>
    <row r="96" spans="3:19">
      <c r="S96" s="1862"/>
    </row>
    <row r="97" spans="19:19">
      <c r="S97" s="1862"/>
    </row>
    <row r="98" spans="19:19">
      <c r="S98" s="1862"/>
    </row>
    <row r="99" spans="19:19">
      <c r="S99" s="1862"/>
    </row>
    <row r="100" spans="19:19">
      <c r="S100" s="1862"/>
    </row>
    <row r="101" spans="19:19">
      <c r="S101" s="1862"/>
    </row>
    <row r="102" spans="19:19">
      <c r="S102" s="1862"/>
    </row>
    <row r="103" spans="19:19">
      <c r="S103" s="1862"/>
    </row>
    <row r="104" spans="19:19">
      <c r="S104" s="1862"/>
    </row>
    <row r="105" spans="19:19">
      <c r="S105" s="1862"/>
    </row>
    <row r="106" spans="19:19">
      <c r="S106" s="1862"/>
    </row>
    <row r="107" spans="19:19">
      <c r="S107" s="1862"/>
    </row>
    <row r="108" spans="19:19">
      <c r="S108" s="1862"/>
    </row>
    <row r="109" spans="19:19">
      <c r="S109" s="1862"/>
    </row>
    <row r="110" spans="19:19">
      <c r="S110" s="1862"/>
    </row>
  </sheetData>
  <mergeCells count="21">
    <mergeCell ref="S7:S8"/>
    <mergeCell ref="D7:D8"/>
    <mergeCell ref="F7:F8"/>
    <mergeCell ref="G7:G8"/>
    <mergeCell ref="H7:I7"/>
    <mergeCell ref="J7:J8"/>
    <mergeCell ref="K7:K8"/>
    <mergeCell ref="L7:L8"/>
    <mergeCell ref="M7:M8"/>
    <mergeCell ref="N7:N8"/>
    <mergeCell ref="O7:O8"/>
    <mergeCell ref="P7:P8"/>
    <mergeCell ref="AC7:AC8"/>
    <mergeCell ref="AD7:AD8"/>
    <mergeCell ref="AE7:AE8"/>
    <mergeCell ref="T7:T8"/>
    <mergeCell ref="U7:U8"/>
    <mergeCell ref="V7:V8"/>
    <mergeCell ref="X7:X8"/>
    <mergeCell ref="AA7:AA8"/>
    <mergeCell ref="AB7:AB8"/>
  </mergeCells>
  <conditionalFormatting sqref="C4:E4">
    <cfRule type="cellIs" dxfId="492" priority="9" stopIfTrue="1" operator="equal">
      <formula>"input"</formula>
    </cfRule>
  </conditionalFormatting>
  <conditionalFormatting sqref="F4:G4">
    <cfRule type="cellIs" dxfId="491" priority="8" stopIfTrue="1" operator="equal">
      <formula>"input"</formula>
    </cfRule>
  </conditionalFormatting>
  <conditionalFormatting sqref="H4:I4">
    <cfRule type="cellIs" dxfId="490" priority="7" stopIfTrue="1" operator="equal">
      <formula>"input"</formula>
    </cfRule>
  </conditionalFormatting>
  <conditionalFormatting sqref="J4:K4">
    <cfRule type="cellIs" dxfId="489" priority="6" stopIfTrue="1" operator="equal">
      <formula>"input"</formula>
    </cfRule>
  </conditionalFormatting>
  <conditionalFormatting sqref="L4:M4">
    <cfRule type="cellIs" dxfId="488" priority="5" stopIfTrue="1" operator="equal">
      <formula>"input"</formula>
    </cfRule>
  </conditionalFormatting>
  <conditionalFormatting sqref="N4:O4">
    <cfRule type="cellIs" dxfId="487" priority="4" stopIfTrue="1" operator="equal">
      <formula>"input"</formula>
    </cfRule>
  </conditionalFormatting>
  <conditionalFormatting sqref="B4">
    <cfRule type="cellIs" dxfId="486" priority="2" stopIfTrue="1" operator="equal">
      <formula>"input"</formula>
    </cfRule>
  </conditionalFormatting>
  <conditionalFormatting sqref="P4">
    <cfRule type="cellIs" dxfId="485" priority="1" stopIfTrue="1" operator="equal">
      <formula>"input"</formula>
    </cfRule>
  </conditionalFormatting>
  <hyperlinks>
    <hyperlink ref="AH39" r:id="rId1" display="http://advicenne.com/pipeline/"/>
  </hyperlinks>
  <pageMargins left="0.5" right="0.5" top="0.5" bottom="0.5" header="0.5" footer="0.5"/>
  <pageSetup scale="80" fitToWidth="0" fitToHeight="0" orientation="landscape" r:id="rId2"/>
  <rowBreaks count="1" manualBreakCount="1">
    <brk id="46" max="16" man="1"/>
  </rowBreaks>
  <legacyDrawing r:id="rId3"/>
  <legacyDrawingHF r:id="rId4"/>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dimension ref="A1:R134"/>
  <sheetViews>
    <sheetView showGridLines="0" view="pageBreakPreview" topLeftCell="A34" zoomScale="70" zoomScaleNormal="100" zoomScaleSheetLayoutView="70" workbookViewId="0">
      <selection activeCell="I57" sqref="I57"/>
    </sheetView>
  </sheetViews>
  <sheetFormatPr defaultColWidth="9.33203125" defaultRowHeight="12.75"/>
  <cols>
    <col min="1" max="1" width="4.5" style="868" customWidth="1"/>
    <col min="2" max="2" width="10.83203125" style="868" customWidth="1"/>
    <col min="3" max="3" width="14.5" style="868" customWidth="1"/>
    <col min="4" max="5" width="39.5" style="868" customWidth="1"/>
    <col min="6" max="6" width="17.83203125" style="1918" bestFit="1" customWidth="1"/>
    <col min="7" max="10" width="12.33203125" style="868" customWidth="1"/>
    <col min="11" max="12" width="4.5" style="868" customWidth="1"/>
    <col min="13" max="13" width="11.6640625" style="868" customWidth="1"/>
    <col min="14" max="14" width="9.33203125" style="765"/>
    <col min="15" max="15" width="9.33203125" style="1919"/>
    <col min="16" max="16384" width="9.33203125" style="868"/>
  </cols>
  <sheetData>
    <row r="1" spans="2:15" ht="13.5" thickBot="1"/>
    <row r="2" spans="2:15" ht="16.5" thickTop="1">
      <c r="B2" s="10" t="str">
        <f>'MASTER PubCo Inputs'!$C$5</f>
        <v>Kallyope, Inc.</v>
      </c>
      <c r="C2" s="10"/>
      <c r="D2" s="10"/>
      <c r="E2" s="10"/>
      <c r="F2" s="372"/>
      <c r="G2" s="10"/>
      <c r="H2" s="10"/>
      <c r="I2" s="10"/>
      <c r="J2" s="10"/>
    </row>
    <row r="3" spans="2:15" ht="15.75">
      <c r="B3" s="11" t="str">
        <f>VLOOKUP(B4,Outline!$E$8:$G$69,COLUMNS(Outline!$E$8:$G$8),FALSE)</f>
        <v>Exhibit H.12</v>
      </c>
      <c r="C3" s="11"/>
      <c r="D3" s="11"/>
      <c r="E3" s="11"/>
      <c r="F3" s="1920"/>
      <c r="G3" s="11"/>
      <c r="H3" s="11"/>
      <c r="I3" s="11"/>
      <c r="J3" s="11"/>
    </row>
    <row r="4" spans="2:15" ht="16.5" thickBot="1">
      <c r="B4" s="12" t="s">
        <v>2276</v>
      </c>
      <c r="C4" s="12"/>
      <c r="D4" s="12"/>
      <c r="E4" s="12"/>
      <c r="F4" s="373"/>
      <c r="G4" s="12"/>
      <c r="H4" s="12"/>
      <c r="I4" s="12"/>
      <c r="J4" s="13" t="str">
        <f>'MASTER PubCo Inputs'!C24</f>
        <v>(in millions of USD)</v>
      </c>
    </row>
    <row r="5" spans="2:15" ht="13.5" thickTop="1"/>
    <row r="6" spans="2:15" s="1924" customFormat="1" ht="42" customHeight="1">
      <c r="B6" s="1921" t="s">
        <v>842</v>
      </c>
      <c r="C6" s="1922" t="s">
        <v>843</v>
      </c>
      <c r="D6" s="1922" t="s">
        <v>844</v>
      </c>
      <c r="E6" s="1922" t="s">
        <v>845</v>
      </c>
      <c r="F6" s="1922" t="s">
        <v>2277</v>
      </c>
      <c r="G6" s="1922" t="s">
        <v>847</v>
      </c>
      <c r="H6" s="1922" t="s">
        <v>2278</v>
      </c>
      <c r="I6" s="1922" t="s">
        <v>846</v>
      </c>
      <c r="J6" s="1923" t="s">
        <v>848</v>
      </c>
      <c r="L6" s="1925"/>
      <c r="M6" s="1926" t="s">
        <v>2279</v>
      </c>
      <c r="N6" s="1927" t="s">
        <v>2280</v>
      </c>
      <c r="O6" s="1928" t="s">
        <v>546</v>
      </c>
    </row>
    <row r="7" spans="2:15" s="1924" customFormat="1" ht="15">
      <c r="B7" s="1929"/>
      <c r="C7" s="1929"/>
      <c r="D7" s="1930"/>
      <c r="E7" s="1930"/>
      <c r="F7" s="1929"/>
      <c r="G7" s="1931"/>
      <c r="H7" s="1931"/>
      <c r="I7" s="1931"/>
      <c r="J7" s="1931"/>
      <c r="L7" s="1925"/>
      <c r="M7" s="1932"/>
      <c r="N7" s="1932"/>
      <c r="O7" s="1932"/>
    </row>
    <row r="8" spans="2:15" s="405" customFormat="1">
      <c r="B8" s="1933" t="s">
        <v>2281</v>
      </c>
      <c r="C8" s="1738"/>
      <c r="D8" s="149"/>
      <c r="E8" s="149"/>
      <c r="F8" s="151"/>
      <c r="G8" s="1934"/>
      <c r="H8" s="1935"/>
      <c r="I8" s="1934"/>
      <c r="J8" s="1934"/>
      <c r="L8" s="1936"/>
      <c r="M8" s="1936"/>
      <c r="N8" s="1936"/>
      <c r="O8" s="1936"/>
    </row>
    <row r="9" spans="2:15" s="405" customFormat="1">
      <c r="B9" s="1937">
        <v>43199</v>
      </c>
      <c r="C9" s="1738" t="s">
        <v>2282</v>
      </c>
      <c r="D9" s="506" t="s">
        <v>2791</v>
      </c>
      <c r="E9" s="506" t="s">
        <v>2410</v>
      </c>
      <c r="F9" s="392" t="s">
        <v>2314</v>
      </c>
      <c r="G9" s="1938">
        <v>30</v>
      </c>
      <c r="H9" s="1939">
        <v>300</v>
      </c>
      <c r="I9" s="1938">
        <f>G9+H9</f>
        <v>330</v>
      </c>
      <c r="J9" s="1940">
        <f t="shared" ref="J9:J52" si="0">IFERROR(G9/I9,"n/a")</f>
        <v>9.0909090909090912E-2</v>
      </c>
      <c r="L9" s="1936">
        <v>1</v>
      </c>
      <c r="M9" s="1936" t="s">
        <v>2792</v>
      </c>
      <c r="N9" s="1936" t="s">
        <v>2354</v>
      </c>
      <c r="O9" s="1936" t="s">
        <v>2793</v>
      </c>
    </row>
    <row r="10" spans="2:15" s="405" customFormat="1">
      <c r="B10" s="1937">
        <v>42985</v>
      </c>
      <c r="C10" s="1738" t="s">
        <v>2282</v>
      </c>
      <c r="D10" s="506" t="s">
        <v>2174</v>
      </c>
      <c r="E10" s="506" t="s">
        <v>2283</v>
      </c>
      <c r="F10" s="392" t="s">
        <v>2284</v>
      </c>
      <c r="G10" s="1938">
        <v>15</v>
      </c>
      <c r="H10" s="1939">
        <v>90</v>
      </c>
      <c r="I10" s="1938">
        <f>G10+H10</f>
        <v>105</v>
      </c>
      <c r="J10" s="1940">
        <f t="shared" si="0"/>
        <v>0.14285714285714285</v>
      </c>
      <c r="L10" s="1936">
        <v>1</v>
      </c>
      <c r="M10" s="1936" t="s">
        <v>2285</v>
      </c>
      <c r="N10" s="1936" t="s">
        <v>2286</v>
      </c>
      <c r="O10" s="1936" t="s">
        <v>2287</v>
      </c>
    </row>
    <row r="11" spans="2:15" s="405" customFormat="1">
      <c r="B11" s="1937">
        <v>42975</v>
      </c>
      <c r="C11" s="1738" t="s">
        <v>2282</v>
      </c>
      <c r="D11" s="506" t="s">
        <v>2288</v>
      </c>
      <c r="E11" s="506" t="s">
        <v>2289</v>
      </c>
      <c r="F11" s="392" t="s">
        <v>2284</v>
      </c>
      <c r="G11" s="1938" t="s">
        <v>13</v>
      </c>
      <c r="H11" s="1938" t="s">
        <v>13</v>
      </c>
      <c r="I11" s="1938" t="s">
        <v>13</v>
      </c>
      <c r="J11" s="1940" t="str">
        <f t="shared" si="0"/>
        <v>n/a</v>
      </c>
      <c r="L11" s="1936">
        <v>1</v>
      </c>
      <c r="M11" s="1936" t="s">
        <v>2290</v>
      </c>
      <c r="N11" s="1936" t="s">
        <v>2291</v>
      </c>
      <c r="O11" s="1936" t="s">
        <v>2292</v>
      </c>
    </row>
    <row r="12" spans="2:15" s="405" customFormat="1">
      <c r="B12" s="1937">
        <v>42836</v>
      </c>
      <c r="C12" s="1738" t="s">
        <v>2282</v>
      </c>
      <c r="D12" s="506" t="s">
        <v>2293</v>
      </c>
      <c r="E12" s="506" t="s">
        <v>2294</v>
      </c>
      <c r="F12" s="392" t="s">
        <v>2284</v>
      </c>
      <c r="G12" s="1938" t="s">
        <v>13</v>
      </c>
      <c r="H12" s="1938" t="s">
        <v>13</v>
      </c>
      <c r="I12" s="1938" t="s">
        <v>13</v>
      </c>
      <c r="J12" s="1940" t="str">
        <f t="shared" si="0"/>
        <v>n/a</v>
      </c>
      <c r="L12" s="1936">
        <v>1</v>
      </c>
      <c r="M12" s="1936" t="s">
        <v>2295</v>
      </c>
      <c r="N12" s="1936" t="s">
        <v>2296</v>
      </c>
      <c r="O12" s="1936" t="s">
        <v>2297</v>
      </c>
    </row>
    <row r="13" spans="2:15" s="405" customFormat="1">
      <c r="B13" s="1937">
        <v>42800</v>
      </c>
      <c r="C13" s="1738" t="s">
        <v>2282</v>
      </c>
      <c r="D13" s="506" t="s">
        <v>2298</v>
      </c>
      <c r="E13" s="506" t="s">
        <v>2299</v>
      </c>
      <c r="F13" s="392" t="s">
        <v>2284</v>
      </c>
      <c r="G13" s="1938" t="s">
        <v>13</v>
      </c>
      <c r="H13" s="1938" t="s">
        <v>13</v>
      </c>
      <c r="I13" s="1938" t="s">
        <v>13</v>
      </c>
      <c r="J13" s="1940" t="str">
        <f t="shared" si="0"/>
        <v>n/a</v>
      </c>
      <c r="L13" s="1936">
        <v>1</v>
      </c>
      <c r="M13" s="1936" t="s">
        <v>2300</v>
      </c>
      <c r="N13" s="1936" t="s">
        <v>2301</v>
      </c>
      <c r="O13" s="1936" t="s">
        <v>2302</v>
      </c>
    </row>
    <row r="14" spans="2:15" s="405" customFormat="1">
      <c r="B14" s="1937">
        <v>42719</v>
      </c>
      <c r="C14" s="1738" t="s">
        <v>2282</v>
      </c>
      <c r="D14" s="506" t="s">
        <v>853</v>
      </c>
      <c r="E14" s="506" t="s">
        <v>2303</v>
      </c>
      <c r="F14" s="392" t="s">
        <v>2284</v>
      </c>
      <c r="G14" s="1938">
        <v>45</v>
      </c>
      <c r="H14" s="1939">
        <v>250</v>
      </c>
      <c r="I14" s="1938">
        <f>G14+H14</f>
        <v>295</v>
      </c>
      <c r="J14" s="1940">
        <f t="shared" si="0"/>
        <v>0.15254237288135594</v>
      </c>
      <c r="L14" s="1936">
        <v>1</v>
      </c>
      <c r="M14" s="1936" t="s">
        <v>2304</v>
      </c>
      <c r="N14" s="1936" t="s">
        <v>2305</v>
      </c>
      <c r="O14" s="1936" t="s">
        <v>2306</v>
      </c>
    </row>
    <row r="15" spans="2:15" s="405" customFormat="1">
      <c r="B15" s="1937">
        <v>42655</v>
      </c>
      <c r="C15" s="1738" t="s">
        <v>2307</v>
      </c>
      <c r="D15" s="506" t="s">
        <v>2308</v>
      </c>
      <c r="E15" s="506" t="s">
        <v>2309</v>
      </c>
      <c r="F15" s="392" t="s">
        <v>2284</v>
      </c>
      <c r="G15" s="1938" t="s">
        <v>13</v>
      </c>
      <c r="H15" s="1938" t="s">
        <v>13</v>
      </c>
      <c r="I15" s="1938" t="s">
        <v>13</v>
      </c>
      <c r="J15" s="1940" t="str">
        <f t="shared" si="0"/>
        <v>n/a</v>
      </c>
      <c r="L15" s="1936">
        <v>1</v>
      </c>
      <c r="M15" s="1936" t="s">
        <v>2310</v>
      </c>
      <c r="N15" s="1936" t="s">
        <v>2311</v>
      </c>
      <c r="O15" s="1936" t="s">
        <v>2312</v>
      </c>
    </row>
    <row r="16" spans="2:15" s="405" customFormat="1">
      <c r="B16" s="1937">
        <v>42643</v>
      </c>
      <c r="C16" s="1738" t="s">
        <v>2282</v>
      </c>
      <c r="D16" s="506" t="s">
        <v>2313</v>
      </c>
      <c r="E16" s="506" t="s">
        <v>2308</v>
      </c>
      <c r="F16" s="392" t="s">
        <v>2314</v>
      </c>
      <c r="G16" s="1938" t="s">
        <v>13</v>
      </c>
      <c r="H16" s="1938" t="s">
        <v>13</v>
      </c>
      <c r="I16" s="1938" t="s">
        <v>13</v>
      </c>
      <c r="J16" s="1940" t="str">
        <f t="shared" si="0"/>
        <v>n/a</v>
      </c>
      <c r="L16" s="1936">
        <v>1</v>
      </c>
      <c r="M16" s="1936" t="s">
        <v>2315</v>
      </c>
      <c r="N16" s="1936" t="s">
        <v>2316</v>
      </c>
      <c r="O16" s="1936" t="s">
        <v>2317</v>
      </c>
    </row>
    <row r="17" spans="1:18" s="405" customFormat="1" ht="27" customHeight="1">
      <c r="B17" s="1941">
        <v>42636</v>
      </c>
      <c r="C17" s="1942" t="s">
        <v>2318</v>
      </c>
      <c r="D17" s="1943" t="s">
        <v>2319</v>
      </c>
      <c r="E17" s="1943" t="s">
        <v>2320</v>
      </c>
      <c r="F17" s="1944" t="s">
        <v>2284</v>
      </c>
      <c r="G17" s="1945" t="s">
        <v>13</v>
      </c>
      <c r="H17" s="1946" t="s">
        <v>13</v>
      </c>
      <c r="I17" s="1946" t="s">
        <v>13</v>
      </c>
      <c r="J17" s="1947" t="str">
        <f t="shared" si="0"/>
        <v>n/a</v>
      </c>
      <c r="L17" s="1936">
        <v>1</v>
      </c>
      <c r="M17" s="1936" t="s">
        <v>2321</v>
      </c>
      <c r="N17" s="1936" t="s">
        <v>2322</v>
      </c>
      <c r="O17" s="1936"/>
    </row>
    <row r="18" spans="1:18" s="405" customFormat="1" ht="25.5">
      <c r="B18" s="1937">
        <v>42633</v>
      </c>
      <c r="C18" s="1738" t="s">
        <v>2282</v>
      </c>
      <c r="D18" s="506" t="s">
        <v>2323</v>
      </c>
      <c r="E18" s="506" t="s">
        <v>2324</v>
      </c>
      <c r="F18" s="392" t="s">
        <v>2314</v>
      </c>
      <c r="G18" s="1938" t="s">
        <v>13</v>
      </c>
      <c r="H18" s="1938" t="s">
        <v>13</v>
      </c>
      <c r="I18" s="1938" t="s">
        <v>13</v>
      </c>
      <c r="J18" s="1940" t="str">
        <f t="shared" si="0"/>
        <v>n/a</v>
      </c>
      <c r="L18" s="1936">
        <v>1</v>
      </c>
      <c r="M18" s="1936" t="s">
        <v>2325</v>
      </c>
      <c r="N18" s="1936" t="s">
        <v>2316</v>
      </c>
      <c r="O18" s="1936" t="s">
        <v>2326</v>
      </c>
    </row>
    <row r="19" spans="1:18" s="405" customFormat="1">
      <c r="B19" s="1937">
        <v>42607</v>
      </c>
      <c r="C19" s="1738" t="s">
        <v>2282</v>
      </c>
      <c r="D19" s="506" t="s">
        <v>2327</v>
      </c>
      <c r="E19" s="506" t="s">
        <v>2328</v>
      </c>
      <c r="F19" s="392" t="s">
        <v>2284</v>
      </c>
      <c r="G19" s="1938">
        <v>6</v>
      </c>
      <c r="H19" s="1939">
        <v>1000</v>
      </c>
      <c r="I19" s="1938">
        <f>G19+H19</f>
        <v>1006</v>
      </c>
      <c r="J19" s="1940">
        <f t="shared" si="0"/>
        <v>5.9642147117296221E-3</v>
      </c>
      <c r="L19" s="1936">
        <v>1</v>
      </c>
      <c r="M19" s="1936" t="s">
        <v>2329</v>
      </c>
      <c r="N19" s="1936" t="s">
        <v>2286</v>
      </c>
      <c r="O19" s="1936" t="s">
        <v>2330</v>
      </c>
    </row>
    <row r="20" spans="1:18" s="405" customFormat="1">
      <c r="B20" s="1937">
        <v>42607</v>
      </c>
      <c r="C20" s="1738" t="s">
        <v>2282</v>
      </c>
      <c r="D20" s="506" t="s">
        <v>2328</v>
      </c>
      <c r="E20" s="506" t="s">
        <v>2331</v>
      </c>
      <c r="F20" s="392" t="s">
        <v>2284</v>
      </c>
      <c r="G20" s="1938" t="s">
        <v>13</v>
      </c>
      <c r="H20" s="1938" t="s">
        <v>13</v>
      </c>
      <c r="I20" s="1938" t="s">
        <v>13</v>
      </c>
      <c r="J20" s="1940" t="str">
        <f t="shared" si="0"/>
        <v>n/a</v>
      </c>
      <c r="L20" s="1936">
        <v>1</v>
      </c>
      <c r="M20" s="1936" t="s">
        <v>2332</v>
      </c>
      <c r="N20" s="1936" t="s">
        <v>2333</v>
      </c>
      <c r="O20" s="1936" t="s">
        <v>2334</v>
      </c>
    </row>
    <row r="21" spans="1:18" s="405" customFormat="1" ht="25.5">
      <c r="B21" s="1937">
        <v>42607</v>
      </c>
      <c r="C21" s="1738" t="s">
        <v>2282</v>
      </c>
      <c r="D21" s="506" t="s">
        <v>2328</v>
      </c>
      <c r="E21" s="506" t="s">
        <v>2335</v>
      </c>
      <c r="F21" s="392" t="s">
        <v>2284</v>
      </c>
      <c r="G21" s="1938" t="s">
        <v>13</v>
      </c>
      <c r="H21" s="1938" t="s">
        <v>13</v>
      </c>
      <c r="I21" s="1938" t="s">
        <v>13</v>
      </c>
      <c r="J21" s="1940" t="str">
        <f t="shared" si="0"/>
        <v>n/a</v>
      </c>
      <c r="L21" s="1936">
        <v>1</v>
      </c>
      <c r="M21" s="1936" t="s">
        <v>2336</v>
      </c>
      <c r="N21" s="1936" t="s">
        <v>2286</v>
      </c>
      <c r="O21" s="1936" t="s">
        <v>2337</v>
      </c>
    </row>
    <row r="22" spans="1:18" s="405" customFormat="1">
      <c r="B22" s="1937">
        <v>42607</v>
      </c>
      <c r="C22" s="1738" t="s">
        <v>2307</v>
      </c>
      <c r="D22" s="506" t="s">
        <v>854</v>
      </c>
      <c r="E22" s="506" t="s">
        <v>2338</v>
      </c>
      <c r="F22" s="392" t="s">
        <v>2284</v>
      </c>
      <c r="G22" s="1938" t="s">
        <v>13</v>
      </c>
      <c r="H22" s="1938" t="s">
        <v>13</v>
      </c>
      <c r="I22" s="1938" t="s">
        <v>13</v>
      </c>
      <c r="J22" s="1940" t="str">
        <f t="shared" si="0"/>
        <v>n/a</v>
      </c>
      <c r="L22" s="1936">
        <v>1</v>
      </c>
      <c r="M22" s="1936" t="s">
        <v>2339</v>
      </c>
      <c r="N22" s="1936" t="s">
        <v>2340</v>
      </c>
      <c r="O22" s="1936" t="s">
        <v>2341</v>
      </c>
    </row>
    <row r="23" spans="1:18" s="405" customFormat="1">
      <c r="B23" s="1937">
        <v>42597</v>
      </c>
      <c r="C23" s="1738" t="s">
        <v>2282</v>
      </c>
      <c r="D23" s="506" t="s">
        <v>2342</v>
      </c>
      <c r="E23" s="506" t="s">
        <v>2343</v>
      </c>
      <c r="F23" s="392" t="s">
        <v>2314</v>
      </c>
      <c r="G23" s="1938" t="s">
        <v>13</v>
      </c>
      <c r="H23" s="1938" t="s">
        <v>13</v>
      </c>
      <c r="I23" s="1938" t="s">
        <v>13</v>
      </c>
      <c r="J23" s="1940" t="str">
        <f t="shared" si="0"/>
        <v>n/a</v>
      </c>
      <c r="L23" s="1936">
        <v>1</v>
      </c>
      <c r="M23" s="1936" t="s">
        <v>2344</v>
      </c>
      <c r="N23" s="1936" t="s">
        <v>2345</v>
      </c>
      <c r="O23" s="1936" t="s">
        <v>2346</v>
      </c>
    </row>
    <row r="24" spans="1:18" s="405" customFormat="1">
      <c r="B24" s="1937">
        <v>42570</v>
      </c>
      <c r="C24" s="1738" t="s">
        <v>2282</v>
      </c>
      <c r="D24" s="506" t="s">
        <v>850</v>
      </c>
      <c r="E24" s="506" t="s">
        <v>2347</v>
      </c>
      <c r="F24" s="392" t="s">
        <v>2314</v>
      </c>
      <c r="G24" s="1938">
        <v>10</v>
      </c>
      <c r="H24" s="1939">
        <v>800</v>
      </c>
      <c r="I24" s="1938">
        <f>G24+H24</f>
        <v>810</v>
      </c>
      <c r="J24" s="1940">
        <f t="shared" si="0"/>
        <v>1.2345679012345678E-2</v>
      </c>
      <c r="L24" s="1936">
        <v>1</v>
      </c>
      <c r="M24" s="1936" t="s">
        <v>2348</v>
      </c>
      <c r="N24" s="1936" t="s">
        <v>2349</v>
      </c>
      <c r="O24" s="1936" t="s">
        <v>2350</v>
      </c>
    </row>
    <row r="25" spans="1:18" s="405" customFormat="1" ht="15">
      <c r="A25" s="1924"/>
      <c r="B25" s="1937">
        <v>42471</v>
      </c>
      <c r="C25" s="1738" t="s">
        <v>2307</v>
      </c>
      <c r="D25" s="506" t="s">
        <v>2351</v>
      </c>
      <c r="E25" s="506" t="s">
        <v>2352</v>
      </c>
      <c r="F25" s="392" t="s">
        <v>2284</v>
      </c>
      <c r="G25" s="1938">
        <v>1.5</v>
      </c>
      <c r="H25" s="1938">
        <f>I25-G25</f>
        <v>78.5</v>
      </c>
      <c r="I25" s="1938">
        <v>80</v>
      </c>
      <c r="J25" s="1940">
        <f t="shared" si="0"/>
        <v>1.8749999999999999E-2</v>
      </c>
      <c r="K25" s="1924"/>
      <c r="L25" s="1936">
        <v>1</v>
      </c>
      <c r="M25" s="1925" t="s">
        <v>2353</v>
      </c>
      <c r="N25" s="1925" t="s">
        <v>2354</v>
      </c>
      <c r="O25" s="1925"/>
      <c r="P25" s="1924"/>
      <c r="Q25" s="1924"/>
      <c r="R25" s="1924"/>
    </row>
    <row r="26" spans="1:18" s="405" customFormat="1">
      <c r="B26" s="1937">
        <v>42465</v>
      </c>
      <c r="C26" s="1738" t="s">
        <v>2282</v>
      </c>
      <c r="D26" s="506" t="s">
        <v>2355</v>
      </c>
      <c r="E26" s="506" t="s">
        <v>2356</v>
      </c>
      <c r="F26" s="392" t="s">
        <v>2314</v>
      </c>
      <c r="G26" s="1938" t="s">
        <v>13</v>
      </c>
      <c r="H26" s="1938" t="s">
        <v>13</v>
      </c>
      <c r="I26" s="1938" t="s">
        <v>13</v>
      </c>
      <c r="J26" s="1940" t="str">
        <f t="shared" si="0"/>
        <v>n/a</v>
      </c>
      <c r="L26" s="1936">
        <v>1</v>
      </c>
      <c r="M26" s="1936" t="s">
        <v>2357</v>
      </c>
      <c r="N26" s="1936" t="s">
        <v>2316</v>
      </c>
      <c r="O26" s="1936" t="s">
        <v>2358</v>
      </c>
    </row>
    <row r="27" spans="1:18" s="405" customFormat="1">
      <c r="B27" s="1937">
        <v>42428</v>
      </c>
      <c r="C27" s="1738" t="s">
        <v>2307</v>
      </c>
      <c r="D27" s="506" t="s">
        <v>2359</v>
      </c>
      <c r="E27" s="506" t="s">
        <v>2360</v>
      </c>
      <c r="F27" s="392" t="s">
        <v>2284</v>
      </c>
      <c r="G27" s="1938" t="s">
        <v>13</v>
      </c>
      <c r="H27" s="1938" t="s">
        <v>13</v>
      </c>
      <c r="I27" s="1938" t="s">
        <v>13</v>
      </c>
      <c r="J27" s="1940" t="str">
        <f t="shared" si="0"/>
        <v>n/a</v>
      </c>
      <c r="L27" s="1936">
        <v>1</v>
      </c>
      <c r="M27" s="1936" t="s">
        <v>2361</v>
      </c>
      <c r="N27" s="1936" t="s">
        <v>2362</v>
      </c>
      <c r="O27" s="1936" t="s">
        <v>2363</v>
      </c>
    </row>
    <row r="28" spans="1:18" s="405" customFormat="1">
      <c r="B28" s="1937">
        <v>42410</v>
      </c>
      <c r="C28" s="1738" t="s">
        <v>2282</v>
      </c>
      <c r="D28" s="506" t="s">
        <v>2364</v>
      </c>
      <c r="E28" s="506" t="s">
        <v>2365</v>
      </c>
      <c r="F28" s="392" t="s">
        <v>2284</v>
      </c>
      <c r="G28" s="1938" t="s">
        <v>13</v>
      </c>
      <c r="H28" s="1938" t="s">
        <v>13</v>
      </c>
      <c r="I28" s="1938" t="s">
        <v>13</v>
      </c>
      <c r="J28" s="1940" t="str">
        <f t="shared" si="0"/>
        <v>n/a</v>
      </c>
      <c r="L28" s="1936">
        <v>1</v>
      </c>
      <c r="M28" s="1936" t="s">
        <v>2366</v>
      </c>
      <c r="N28" s="1936" t="s">
        <v>2286</v>
      </c>
      <c r="O28" s="1936" t="s">
        <v>2367</v>
      </c>
    </row>
    <row r="29" spans="1:18" s="405" customFormat="1">
      <c r="B29" s="1937">
        <v>42410</v>
      </c>
      <c r="C29" s="1738" t="s">
        <v>2282</v>
      </c>
      <c r="D29" s="506" t="s">
        <v>852</v>
      </c>
      <c r="E29" s="506" t="s">
        <v>2368</v>
      </c>
      <c r="F29" s="392" t="s">
        <v>2284</v>
      </c>
      <c r="G29" s="1938" t="s">
        <v>13</v>
      </c>
      <c r="H29" s="1938" t="s">
        <v>13</v>
      </c>
      <c r="I29" s="1938" t="s">
        <v>13</v>
      </c>
      <c r="J29" s="1940" t="str">
        <f t="shared" si="0"/>
        <v>n/a</v>
      </c>
      <c r="L29" s="1936">
        <v>1</v>
      </c>
      <c r="M29" s="1936" t="s">
        <v>2369</v>
      </c>
      <c r="N29" s="1936" t="s">
        <v>2370</v>
      </c>
      <c r="O29" s="1936"/>
    </row>
    <row r="30" spans="1:18" s="405" customFormat="1">
      <c r="B30" s="1937">
        <v>42381</v>
      </c>
      <c r="C30" s="1738" t="s">
        <v>2282</v>
      </c>
      <c r="D30" s="506" t="s">
        <v>2371</v>
      </c>
      <c r="E30" s="506" t="s">
        <v>2372</v>
      </c>
      <c r="F30" s="392" t="s">
        <v>2314</v>
      </c>
      <c r="G30" s="1938" t="s">
        <v>13</v>
      </c>
      <c r="H30" s="1938" t="s">
        <v>13</v>
      </c>
      <c r="I30" s="1938" t="s">
        <v>13</v>
      </c>
      <c r="J30" s="1940" t="str">
        <f t="shared" si="0"/>
        <v>n/a</v>
      </c>
      <c r="L30" s="1936">
        <v>1</v>
      </c>
      <c r="M30" s="1936" t="s">
        <v>2373</v>
      </c>
      <c r="N30" s="1936" t="s">
        <v>2374</v>
      </c>
      <c r="O30" s="1936"/>
    </row>
    <row r="31" spans="1:18" s="405" customFormat="1">
      <c r="B31" s="1937">
        <v>42376</v>
      </c>
      <c r="C31" s="1738" t="s">
        <v>2282</v>
      </c>
      <c r="D31" s="506" t="s">
        <v>2371</v>
      </c>
      <c r="E31" s="506" t="s">
        <v>2375</v>
      </c>
      <c r="F31" s="392" t="s">
        <v>2314</v>
      </c>
      <c r="G31" s="1938" t="s">
        <v>13</v>
      </c>
      <c r="H31" s="1938" t="s">
        <v>13</v>
      </c>
      <c r="I31" s="1938" t="s">
        <v>13</v>
      </c>
      <c r="J31" s="1940" t="str">
        <f t="shared" si="0"/>
        <v>n/a</v>
      </c>
      <c r="L31" s="1936">
        <v>1</v>
      </c>
      <c r="M31" s="1936" t="s">
        <v>2376</v>
      </c>
      <c r="N31" s="1936" t="s">
        <v>2362</v>
      </c>
      <c r="O31" s="1936" t="s">
        <v>2377</v>
      </c>
    </row>
    <row r="32" spans="1:18" s="405" customFormat="1">
      <c r="B32" s="1937">
        <v>42348</v>
      </c>
      <c r="C32" s="1738" t="s">
        <v>2282</v>
      </c>
      <c r="D32" s="506" t="s">
        <v>853</v>
      </c>
      <c r="E32" s="506" t="s">
        <v>2378</v>
      </c>
      <c r="F32" s="392" t="s">
        <v>2314</v>
      </c>
      <c r="G32" s="1938">
        <v>40</v>
      </c>
      <c r="H32" s="1939" t="s">
        <v>13</v>
      </c>
      <c r="I32" s="1938" t="s">
        <v>13</v>
      </c>
      <c r="J32" s="1940" t="str">
        <f t="shared" si="0"/>
        <v>n/a</v>
      </c>
      <c r="L32" s="1936">
        <v>1</v>
      </c>
      <c r="M32" s="1936" t="s">
        <v>2379</v>
      </c>
      <c r="N32" s="1936" t="s">
        <v>2380</v>
      </c>
      <c r="O32" s="1936" t="s">
        <v>2381</v>
      </c>
    </row>
    <row r="33" spans="1:18" s="405" customFormat="1">
      <c r="B33" s="1937">
        <v>42345</v>
      </c>
      <c r="C33" s="1738" t="s">
        <v>2282</v>
      </c>
      <c r="D33" s="506" t="s">
        <v>2371</v>
      </c>
      <c r="E33" s="506" t="s">
        <v>2382</v>
      </c>
      <c r="F33" s="392" t="s">
        <v>2314</v>
      </c>
      <c r="G33" s="1938" t="s">
        <v>13</v>
      </c>
      <c r="H33" s="1938" t="s">
        <v>13</v>
      </c>
      <c r="I33" s="1938" t="s">
        <v>13</v>
      </c>
      <c r="J33" s="1940" t="str">
        <f t="shared" si="0"/>
        <v>n/a</v>
      </c>
      <c r="L33" s="1936">
        <v>1</v>
      </c>
      <c r="M33" s="1936" t="s">
        <v>2383</v>
      </c>
      <c r="N33" s="1936" t="s">
        <v>2384</v>
      </c>
      <c r="O33" s="1936"/>
    </row>
    <row r="34" spans="1:18" s="405" customFormat="1">
      <c r="B34" s="1937">
        <v>42293</v>
      </c>
      <c r="C34" s="1738" t="s">
        <v>2282</v>
      </c>
      <c r="D34" s="506" t="s">
        <v>2385</v>
      </c>
      <c r="E34" s="506" t="s">
        <v>2386</v>
      </c>
      <c r="F34" s="392" t="s">
        <v>2314</v>
      </c>
      <c r="G34" s="1938">
        <v>20</v>
      </c>
      <c r="H34" s="1939">
        <v>80</v>
      </c>
      <c r="I34" s="1938">
        <v>125</v>
      </c>
      <c r="J34" s="1940">
        <f t="shared" si="0"/>
        <v>0.16</v>
      </c>
      <c r="L34" s="1936">
        <v>1</v>
      </c>
      <c r="M34" s="1936" t="s">
        <v>2387</v>
      </c>
      <c r="N34" s="1936" t="s">
        <v>2388</v>
      </c>
      <c r="O34" s="1936" t="s">
        <v>2389</v>
      </c>
    </row>
    <row r="35" spans="1:18" s="405" customFormat="1">
      <c r="B35" s="1937">
        <v>42291</v>
      </c>
      <c r="C35" s="1738" t="s">
        <v>2282</v>
      </c>
      <c r="D35" s="506" t="s">
        <v>850</v>
      </c>
      <c r="E35" s="506" t="s">
        <v>2372</v>
      </c>
      <c r="F35" s="392" t="s">
        <v>2314</v>
      </c>
      <c r="G35" s="1938" t="s">
        <v>13</v>
      </c>
      <c r="H35" s="1939">
        <v>337.336495066167</v>
      </c>
      <c r="I35" s="1938" t="s">
        <v>13</v>
      </c>
      <c r="J35" s="1940" t="str">
        <f t="shared" si="0"/>
        <v>n/a</v>
      </c>
      <c r="L35" s="1936">
        <v>1</v>
      </c>
      <c r="M35" s="1936" t="s">
        <v>2390</v>
      </c>
      <c r="N35" s="1936" t="s">
        <v>2391</v>
      </c>
      <c r="O35" s="1936"/>
    </row>
    <row r="36" spans="1:18" s="1924" customFormat="1" ht="15">
      <c r="A36" s="405"/>
      <c r="B36" s="1937">
        <v>42209</v>
      </c>
      <c r="C36" s="1738" t="s">
        <v>2307</v>
      </c>
      <c r="D36" s="506" t="s">
        <v>2392</v>
      </c>
      <c r="E36" s="506" t="s">
        <v>2299</v>
      </c>
      <c r="F36" s="392" t="s">
        <v>2284</v>
      </c>
      <c r="G36" s="1938" t="s">
        <v>13</v>
      </c>
      <c r="H36" s="1938" t="s">
        <v>13</v>
      </c>
      <c r="I36" s="1938" t="s">
        <v>13</v>
      </c>
      <c r="J36" s="1940" t="str">
        <f t="shared" si="0"/>
        <v>n/a</v>
      </c>
      <c r="K36" s="405"/>
      <c r="L36" s="1936">
        <v>1</v>
      </c>
      <c r="M36" s="1936" t="s">
        <v>2393</v>
      </c>
      <c r="N36" s="1936" t="s">
        <v>2362</v>
      </c>
      <c r="O36" s="1936" t="s">
        <v>2394</v>
      </c>
      <c r="P36" s="405"/>
      <c r="Q36" s="405"/>
      <c r="R36" s="405"/>
    </row>
    <row r="37" spans="1:18" s="405" customFormat="1" ht="27" customHeight="1">
      <c r="B37" s="1937">
        <v>42198</v>
      </c>
      <c r="C37" s="1738" t="s">
        <v>2318</v>
      </c>
      <c r="D37" s="506" t="s">
        <v>2395</v>
      </c>
      <c r="E37" s="506" t="s">
        <v>2396</v>
      </c>
      <c r="F37" s="392" t="s">
        <v>2284</v>
      </c>
      <c r="G37" s="1938" t="s">
        <v>13</v>
      </c>
      <c r="H37" s="1938" t="s">
        <v>13</v>
      </c>
      <c r="I37" s="1938" t="s">
        <v>13</v>
      </c>
      <c r="J37" s="1940" t="str">
        <f t="shared" si="0"/>
        <v>n/a</v>
      </c>
      <c r="L37" s="1936">
        <v>1</v>
      </c>
      <c r="M37" s="1936" t="s">
        <v>2397</v>
      </c>
      <c r="N37" s="1936" t="s">
        <v>2391</v>
      </c>
      <c r="O37" s="1936"/>
    </row>
    <row r="38" spans="1:18" s="405" customFormat="1" ht="27.75" customHeight="1">
      <c r="B38" s="1937">
        <v>42157</v>
      </c>
      <c r="C38" s="1738" t="s">
        <v>2318</v>
      </c>
      <c r="D38" s="506" t="s">
        <v>855</v>
      </c>
      <c r="E38" s="506" t="s">
        <v>2398</v>
      </c>
      <c r="F38" s="392" t="s">
        <v>2284</v>
      </c>
      <c r="G38" s="1938" t="s">
        <v>13</v>
      </c>
      <c r="H38" s="1939" t="s">
        <v>13</v>
      </c>
      <c r="I38" s="1938">
        <v>760</v>
      </c>
      <c r="J38" s="1940" t="str">
        <f t="shared" si="0"/>
        <v>n/a</v>
      </c>
      <c r="L38" s="1936">
        <v>1</v>
      </c>
      <c r="M38" s="1936" t="s">
        <v>2399</v>
      </c>
      <c r="N38" s="1936" t="s">
        <v>2384</v>
      </c>
      <c r="O38" s="1936" t="s">
        <v>2400</v>
      </c>
    </row>
    <row r="39" spans="1:18" s="405" customFormat="1">
      <c r="B39" s="1937">
        <v>42135</v>
      </c>
      <c r="C39" s="1738" t="s">
        <v>2282</v>
      </c>
      <c r="D39" s="506" t="s">
        <v>862</v>
      </c>
      <c r="E39" s="506" t="s">
        <v>863</v>
      </c>
      <c r="F39" s="392" t="s">
        <v>2314</v>
      </c>
      <c r="G39" s="1938">
        <v>1.5</v>
      </c>
      <c r="H39" s="1939" t="s">
        <v>13</v>
      </c>
      <c r="I39" s="1938" t="s">
        <v>13</v>
      </c>
      <c r="J39" s="1940" t="str">
        <f t="shared" si="0"/>
        <v>n/a</v>
      </c>
      <c r="L39" s="1936">
        <v>1</v>
      </c>
      <c r="M39" s="1936" t="s">
        <v>2401</v>
      </c>
      <c r="N39" s="1936" t="s">
        <v>2402</v>
      </c>
      <c r="O39" s="1936"/>
    </row>
    <row r="40" spans="1:18" s="405" customFormat="1">
      <c r="B40" s="1937">
        <v>42110</v>
      </c>
      <c r="C40" s="1738" t="s">
        <v>2282</v>
      </c>
      <c r="D40" s="506" t="s">
        <v>2395</v>
      </c>
      <c r="E40" s="506" t="s">
        <v>2403</v>
      </c>
      <c r="F40" s="392" t="s">
        <v>2284</v>
      </c>
      <c r="G40" s="1938" t="s">
        <v>13</v>
      </c>
      <c r="H40" s="1938" t="s">
        <v>13</v>
      </c>
      <c r="I40" s="1938" t="s">
        <v>13</v>
      </c>
      <c r="J40" s="1940" t="str">
        <f t="shared" si="0"/>
        <v>n/a</v>
      </c>
      <c r="L40" s="1936">
        <v>1</v>
      </c>
      <c r="M40" s="1936" t="s">
        <v>2404</v>
      </c>
      <c r="N40" s="1936" t="s">
        <v>2391</v>
      </c>
      <c r="O40" s="1936"/>
    </row>
    <row r="41" spans="1:18" s="405" customFormat="1">
      <c r="B41" s="1937">
        <v>42009</v>
      </c>
      <c r="C41" s="1738" t="s">
        <v>2282</v>
      </c>
      <c r="D41" s="506" t="s">
        <v>2405</v>
      </c>
      <c r="E41" s="506" t="s">
        <v>2406</v>
      </c>
      <c r="F41" s="392" t="s">
        <v>2314</v>
      </c>
      <c r="G41" s="1938" t="s">
        <v>13</v>
      </c>
      <c r="H41" s="1939">
        <v>70</v>
      </c>
      <c r="I41" s="1938" t="s">
        <v>13</v>
      </c>
      <c r="J41" s="1940" t="str">
        <f t="shared" si="0"/>
        <v>n/a</v>
      </c>
      <c r="L41" s="1936">
        <v>1</v>
      </c>
      <c r="M41" s="1936" t="s">
        <v>2407</v>
      </c>
      <c r="N41" s="1936" t="s">
        <v>2408</v>
      </c>
      <c r="O41" s="1936" t="s">
        <v>2409</v>
      </c>
    </row>
    <row r="42" spans="1:18" s="405" customFormat="1">
      <c r="B42" s="1937">
        <v>42009</v>
      </c>
      <c r="C42" s="1738" t="s">
        <v>2282</v>
      </c>
      <c r="D42" s="506" t="s">
        <v>850</v>
      </c>
      <c r="E42" s="506" t="s">
        <v>2410</v>
      </c>
      <c r="F42" s="392" t="s">
        <v>2284</v>
      </c>
      <c r="G42" s="1938">
        <v>35</v>
      </c>
      <c r="H42" s="1939">
        <v>800</v>
      </c>
      <c r="I42" s="1938">
        <f>G42+H42</f>
        <v>835</v>
      </c>
      <c r="J42" s="1940">
        <f t="shared" si="0"/>
        <v>4.1916167664670656E-2</v>
      </c>
      <c r="L42" s="1936">
        <v>1</v>
      </c>
      <c r="M42" s="1936" t="s">
        <v>2411</v>
      </c>
      <c r="N42" s="1936" t="s">
        <v>2412</v>
      </c>
      <c r="O42" s="1936"/>
    </row>
    <row r="43" spans="1:18" s="405" customFormat="1">
      <c r="B43" s="1937">
        <v>41781</v>
      </c>
      <c r="C43" s="1738" t="s">
        <v>2282</v>
      </c>
      <c r="D43" s="506" t="s">
        <v>2413</v>
      </c>
      <c r="E43" s="506" t="s">
        <v>2414</v>
      </c>
      <c r="F43" s="392" t="s">
        <v>2314</v>
      </c>
      <c r="G43" s="1938" t="s">
        <v>13</v>
      </c>
      <c r="H43" s="1938" t="s">
        <v>13</v>
      </c>
      <c r="I43" s="1938" t="s">
        <v>13</v>
      </c>
      <c r="J43" s="1940" t="str">
        <f t="shared" si="0"/>
        <v>n/a</v>
      </c>
      <c r="L43" s="1936">
        <v>1</v>
      </c>
      <c r="M43" s="1936" t="s">
        <v>2415</v>
      </c>
      <c r="N43" s="1936" t="s">
        <v>2416</v>
      </c>
      <c r="O43" s="1936" t="s">
        <v>2417</v>
      </c>
    </row>
    <row r="44" spans="1:18" s="405" customFormat="1">
      <c r="B44" s="1937">
        <v>41772</v>
      </c>
      <c r="C44" s="1738" t="s">
        <v>2282</v>
      </c>
      <c r="D44" s="506" t="s">
        <v>2418</v>
      </c>
      <c r="E44" s="506" t="s">
        <v>2419</v>
      </c>
      <c r="F44" s="392" t="s">
        <v>2314</v>
      </c>
      <c r="G44" s="1938" t="s">
        <v>13</v>
      </c>
      <c r="H44" s="1938" t="s">
        <v>13</v>
      </c>
      <c r="I44" s="1938" t="s">
        <v>13</v>
      </c>
      <c r="J44" s="1940" t="str">
        <f t="shared" si="0"/>
        <v>n/a</v>
      </c>
      <c r="L44" s="1936">
        <v>1</v>
      </c>
      <c r="M44" s="1936" t="s">
        <v>2420</v>
      </c>
      <c r="N44" s="1936" t="s">
        <v>2316</v>
      </c>
      <c r="O44" s="1936" t="s">
        <v>2421</v>
      </c>
    </row>
    <row r="45" spans="1:18" s="405" customFormat="1" ht="15">
      <c r="A45" s="1924"/>
      <c r="B45" s="1937">
        <v>41654</v>
      </c>
      <c r="C45" s="1738" t="s">
        <v>2307</v>
      </c>
      <c r="D45" s="506" t="s">
        <v>2422</v>
      </c>
      <c r="E45" s="506" t="s">
        <v>2423</v>
      </c>
      <c r="F45" s="392" t="s">
        <v>2424</v>
      </c>
      <c r="G45" s="1938" t="s">
        <v>13</v>
      </c>
      <c r="H45" s="1938" t="s">
        <v>13</v>
      </c>
      <c r="I45" s="1938" t="s">
        <v>13</v>
      </c>
      <c r="J45" s="1940" t="str">
        <f t="shared" si="0"/>
        <v>n/a</v>
      </c>
      <c r="K45" s="1924"/>
      <c r="L45" s="1936">
        <v>1</v>
      </c>
      <c r="M45" s="1925" t="s">
        <v>2425</v>
      </c>
      <c r="N45" s="1925" t="s">
        <v>2391</v>
      </c>
      <c r="O45" s="1925"/>
      <c r="P45" s="1924"/>
      <c r="Q45" s="1924"/>
      <c r="R45" s="1924"/>
    </row>
    <row r="46" spans="1:18" s="405" customFormat="1" ht="27.75" customHeight="1">
      <c r="A46" s="1924"/>
      <c r="B46" s="1937">
        <v>41649</v>
      </c>
      <c r="C46" s="1738" t="s">
        <v>2318</v>
      </c>
      <c r="D46" s="506" t="s">
        <v>2426</v>
      </c>
      <c r="E46" s="506" t="s">
        <v>2427</v>
      </c>
      <c r="F46" s="392" t="s">
        <v>2284</v>
      </c>
      <c r="G46" s="1938" t="s">
        <v>13</v>
      </c>
      <c r="H46" s="1938" t="s">
        <v>13</v>
      </c>
      <c r="I46" s="1938" t="s">
        <v>13</v>
      </c>
      <c r="J46" s="1940" t="str">
        <f t="shared" si="0"/>
        <v>n/a</v>
      </c>
      <c r="K46" s="1924"/>
      <c r="L46" s="1936">
        <v>1</v>
      </c>
      <c r="M46" s="1925" t="s">
        <v>2428</v>
      </c>
      <c r="N46" s="1925" t="s">
        <v>2429</v>
      </c>
      <c r="O46" s="1925"/>
      <c r="P46" s="1924"/>
      <c r="R46" s="1924"/>
    </row>
    <row r="47" spans="1:18" s="405" customFormat="1">
      <c r="B47" s="1937">
        <v>41452</v>
      </c>
      <c r="C47" s="1738" t="s">
        <v>2282</v>
      </c>
      <c r="D47" s="506" t="s">
        <v>850</v>
      </c>
      <c r="E47" s="506" t="s">
        <v>2430</v>
      </c>
      <c r="F47" s="392" t="s">
        <v>2314</v>
      </c>
      <c r="G47" s="1938" t="s">
        <v>13</v>
      </c>
      <c r="H47" s="1939" t="s">
        <v>13</v>
      </c>
      <c r="I47" s="1939">
        <v>241</v>
      </c>
      <c r="J47" s="1940" t="str">
        <f t="shared" si="0"/>
        <v>n/a</v>
      </c>
      <c r="L47" s="1936">
        <v>1</v>
      </c>
      <c r="M47" s="1936" t="s">
        <v>2431</v>
      </c>
      <c r="N47" s="1936" t="s">
        <v>2391</v>
      </c>
      <c r="O47" s="1936"/>
    </row>
    <row r="48" spans="1:18" s="405" customFormat="1">
      <c r="B48" s="1937">
        <v>41389</v>
      </c>
      <c r="C48" s="1738" t="s">
        <v>2282</v>
      </c>
      <c r="D48" s="506" t="s">
        <v>2432</v>
      </c>
      <c r="E48" s="506" t="s">
        <v>2433</v>
      </c>
      <c r="F48" s="392" t="s">
        <v>2314</v>
      </c>
      <c r="G48" s="1938" t="s">
        <v>13</v>
      </c>
      <c r="H48" s="1938" t="s">
        <v>13</v>
      </c>
      <c r="I48" s="1938" t="s">
        <v>13</v>
      </c>
      <c r="J48" s="1940" t="str">
        <f t="shared" si="0"/>
        <v>n/a</v>
      </c>
      <c r="L48" s="1936">
        <v>1</v>
      </c>
      <c r="M48" s="1936" t="s">
        <v>2434</v>
      </c>
      <c r="N48" s="1936" t="s">
        <v>2316</v>
      </c>
      <c r="O48" s="1936" t="s">
        <v>2435</v>
      </c>
    </row>
    <row r="49" spans="1:18" s="405" customFormat="1">
      <c r="B49" s="1937">
        <v>41318</v>
      </c>
      <c r="C49" s="1738" t="s">
        <v>2282</v>
      </c>
      <c r="D49" s="506" t="s">
        <v>2436</v>
      </c>
      <c r="E49" s="506" t="s">
        <v>2299</v>
      </c>
      <c r="F49" s="392" t="s">
        <v>2314</v>
      </c>
      <c r="G49" s="1938" t="s">
        <v>13</v>
      </c>
      <c r="H49" s="1938" t="s">
        <v>13</v>
      </c>
      <c r="I49" s="1938" t="s">
        <v>13</v>
      </c>
      <c r="J49" s="1940" t="str">
        <f t="shared" si="0"/>
        <v>n/a</v>
      </c>
      <c r="L49" s="1936">
        <v>1</v>
      </c>
      <c r="M49" s="1936" t="s">
        <v>2437</v>
      </c>
      <c r="N49" s="1936" t="s">
        <v>2362</v>
      </c>
      <c r="O49" s="1948" t="s">
        <v>2438</v>
      </c>
    </row>
    <row r="50" spans="1:18" s="1924" customFormat="1" ht="15">
      <c r="A50" s="405"/>
      <c r="B50" s="1937">
        <v>41260</v>
      </c>
      <c r="C50" s="1738" t="s">
        <v>2282</v>
      </c>
      <c r="D50" s="506" t="s">
        <v>2439</v>
      </c>
      <c r="E50" s="506" t="s">
        <v>2440</v>
      </c>
      <c r="F50" s="392" t="s">
        <v>2314</v>
      </c>
      <c r="G50" s="1938">
        <v>3.141</v>
      </c>
      <c r="H50" s="1939">
        <f>2.094+2.094</f>
        <v>4.1879999999999997</v>
      </c>
      <c r="I50" s="1945">
        <f>G50+H50</f>
        <v>7.3289999999999997</v>
      </c>
      <c r="J50" s="1940">
        <f t="shared" si="0"/>
        <v>0.4285714285714286</v>
      </c>
      <c r="K50" s="405"/>
      <c r="L50" s="1936">
        <v>1</v>
      </c>
      <c r="M50" s="1936" t="s">
        <v>2441</v>
      </c>
      <c r="N50" s="1936" t="s">
        <v>2442</v>
      </c>
      <c r="O50" s="1936" t="s">
        <v>2443</v>
      </c>
      <c r="P50" s="405"/>
      <c r="Q50" s="405"/>
      <c r="R50" s="405"/>
    </row>
    <row r="51" spans="1:18" s="1924" customFormat="1" ht="15">
      <c r="A51" s="405"/>
      <c r="B51" s="1937">
        <v>41253</v>
      </c>
      <c r="C51" s="1738" t="s">
        <v>2282</v>
      </c>
      <c r="D51" s="506" t="s">
        <v>2444</v>
      </c>
      <c r="E51" s="506" t="s">
        <v>2347</v>
      </c>
      <c r="F51" s="392" t="s">
        <v>2284</v>
      </c>
      <c r="G51" s="1938">
        <v>30</v>
      </c>
      <c r="H51" s="1939">
        <v>200</v>
      </c>
      <c r="I51" s="1938">
        <f>G51+H51</f>
        <v>230</v>
      </c>
      <c r="J51" s="1940">
        <f t="shared" si="0"/>
        <v>0.13043478260869565</v>
      </c>
      <c r="K51" s="405"/>
      <c r="L51" s="1936">
        <v>1</v>
      </c>
      <c r="M51" s="1936" t="s">
        <v>2445</v>
      </c>
      <c r="N51" s="1936" t="s">
        <v>2446</v>
      </c>
      <c r="O51" s="1936" t="s">
        <v>2447</v>
      </c>
      <c r="P51" s="405"/>
      <c r="Q51" s="405"/>
      <c r="R51" s="405"/>
    </row>
    <row r="52" spans="1:18" s="405" customFormat="1">
      <c r="B52" s="1937">
        <v>40574</v>
      </c>
      <c r="C52" s="1738" t="s">
        <v>2282</v>
      </c>
      <c r="D52" s="506" t="s">
        <v>2347</v>
      </c>
      <c r="E52" s="506" t="s">
        <v>2448</v>
      </c>
      <c r="F52" s="392" t="s">
        <v>2314</v>
      </c>
      <c r="G52" s="1938" t="s">
        <v>13</v>
      </c>
      <c r="H52" s="1938" t="s">
        <v>13</v>
      </c>
      <c r="I52" s="1938" t="s">
        <v>13</v>
      </c>
      <c r="J52" s="1940" t="str">
        <f t="shared" si="0"/>
        <v>n/a</v>
      </c>
      <c r="L52" s="1936">
        <v>1</v>
      </c>
      <c r="M52" s="1936" t="s">
        <v>2449</v>
      </c>
      <c r="N52" s="1936" t="s">
        <v>2416</v>
      </c>
      <c r="O52" s="1936" t="s">
        <v>2450</v>
      </c>
    </row>
    <row r="53" spans="1:18" s="405" customFormat="1">
      <c r="C53" s="1949"/>
      <c r="D53" s="6"/>
      <c r="E53" s="6"/>
      <c r="F53" s="1936"/>
      <c r="L53" s="1936"/>
      <c r="M53" s="1936"/>
      <c r="N53" s="1936"/>
      <c r="O53" s="1936"/>
    </row>
    <row r="54" spans="1:18" s="405" customFormat="1">
      <c r="B54" s="1827" t="str">
        <f>B8&amp;" Metrics"</f>
        <v>Pre-Clinical and Research Project Metrics</v>
      </c>
      <c r="C54" s="1949"/>
      <c r="D54" s="6"/>
      <c r="E54" s="6"/>
      <c r="F54" s="1936"/>
      <c r="L54" s="1936"/>
      <c r="M54" s="1936"/>
      <c r="N54" s="1936"/>
      <c r="O54" s="1936"/>
    </row>
    <row r="55" spans="1:18" s="405" customFormat="1">
      <c r="B55" s="1950" t="s">
        <v>111</v>
      </c>
      <c r="C55" s="1951"/>
      <c r="D55" s="1952"/>
      <c r="E55" s="1952"/>
      <c r="F55" s="1953"/>
      <c r="G55" s="1824">
        <f>MAX(G9:G52)</f>
        <v>45</v>
      </c>
      <c r="H55" s="1824">
        <f>MAX(H9:H52)</f>
        <v>1000</v>
      </c>
      <c r="I55" s="1824">
        <f>MAX(I9:I52)</f>
        <v>1006</v>
      </c>
      <c r="J55" s="1954">
        <f>MAX(J9:J52)</f>
        <v>0.4285714285714286</v>
      </c>
      <c r="L55" s="1936"/>
      <c r="M55" s="1955"/>
      <c r="N55" s="1955"/>
      <c r="O55" s="1936"/>
    </row>
    <row r="56" spans="1:18" s="405" customFormat="1">
      <c r="B56" s="366" t="s">
        <v>115</v>
      </c>
      <c r="C56" s="1956"/>
      <c r="D56" s="1957"/>
      <c r="E56" s="1957"/>
      <c r="F56" s="1955"/>
      <c r="G56" s="769">
        <f>_xlfn.QUARTILE.INC(G9:G52,3)</f>
        <v>31.25</v>
      </c>
      <c r="H56" s="769">
        <f>_xlfn.QUARTILE.INC(H9:H52,3)</f>
        <v>453.00237129962522</v>
      </c>
      <c r="I56" s="769">
        <f>_xlfn.QUARTILE.INC(I9:I52,3)</f>
        <v>772.5</v>
      </c>
      <c r="J56" s="1958">
        <f>_xlfn.QUARTILE.INC(J9:J52,3)</f>
        <v>0.15012106537530268</v>
      </c>
      <c r="L56" s="1936"/>
      <c r="M56" s="1955"/>
      <c r="N56" s="1955"/>
      <c r="O56" s="1936"/>
    </row>
    <row r="57" spans="1:18" s="405" customFormat="1">
      <c r="B57" s="366" t="s">
        <v>43</v>
      </c>
      <c r="C57" s="1956"/>
      <c r="D57" s="1957"/>
      <c r="E57" s="1957"/>
      <c r="F57" s="1955"/>
      <c r="G57" s="769">
        <f>AVERAGE(G9:G52)</f>
        <v>19.761749999999999</v>
      </c>
      <c r="H57" s="769">
        <f>AVERAGE(H9:H52)</f>
        <v>334.1687079221806</v>
      </c>
      <c r="I57" s="769">
        <f>AVERAGE(I9:I52)</f>
        <v>402.02741666666662</v>
      </c>
      <c r="J57" s="1958">
        <f>AVERAGE(J9:J52)</f>
        <v>0.11842908792164597</v>
      </c>
      <c r="L57" s="1936"/>
      <c r="M57" s="1955"/>
      <c r="N57" s="1955"/>
      <c r="O57" s="1936"/>
    </row>
    <row r="58" spans="1:18" s="405" customFormat="1">
      <c r="B58" s="366" t="s">
        <v>44</v>
      </c>
      <c r="C58" s="1956"/>
      <c r="D58" s="1957"/>
      <c r="E58" s="1957"/>
      <c r="F58" s="1955"/>
      <c r="G58" s="769">
        <f>MEDIAN(G9:G52)</f>
        <v>17.5</v>
      </c>
      <c r="H58" s="769">
        <f>MEDIAN(H9:H52)</f>
        <v>225</v>
      </c>
      <c r="I58" s="769">
        <f>MEDIAN(I9:I52)</f>
        <v>268</v>
      </c>
      <c r="J58" s="1958">
        <f>MEDIAN(J9:J52)</f>
        <v>0.11067193675889328</v>
      </c>
      <c r="L58" s="1936"/>
      <c r="M58" s="1955"/>
      <c r="N58" s="1955"/>
      <c r="O58" s="1936"/>
    </row>
    <row r="59" spans="1:18" s="405" customFormat="1">
      <c r="B59" s="366" t="s">
        <v>114</v>
      </c>
      <c r="C59" s="1956"/>
      <c r="D59" s="1957"/>
      <c r="E59" s="1957"/>
      <c r="F59" s="1955"/>
      <c r="G59" s="769">
        <f>_xlfn.QUARTILE.INC(G9:G52,1)</f>
        <v>5.2852499999999996</v>
      </c>
      <c r="H59" s="769">
        <f>_xlfn.QUARTILE.INC(H9:H52,1)</f>
        <v>79.625</v>
      </c>
      <c r="I59" s="769">
        <f>_xlfn.QUARTILE.INC(I9:I52,1)</f>
        <v>120</v>
      </c>
      <c r="J59" s="1958">
        <f>_xlfn.QUARTILE.INC(J9:J52,1)</f>
        <v>2.4541541916167663E-2</v>
      </c>
      <c r="L59" s="1936"/>
      <c r="M59" s="1955"/>
      <c r="N59" s="1955"/>
      <c r="O59" s="1936"/>
    </row>
    <row r="60" spans="1:18" s="405" customFormat="1">
      <c r="B60" s="1959" t="s">
        <v>112</v>
      </c>
      <c r="C60" s="1960"/>
      <c r="D60" s="1961"/>
      <c r="E60" s="1961"/>
      <c r="F60" s="1962"/>
      <c r="G60" s="770">
        <f>MIN(G9:G52)</f>
        <v>1.5</v>
      </c>
      <c r="H60" s="770">
        <f>MIN(H9:H52)</f>
        <v>4.1879999999999997</v>
      </c>
      <c r="I60" s="770">
        <f>MIN(I9:I52)</f>
        <v>7.3289999999999997</v>
      </c>
      <c r="J60" s="1963">
        <f>MIN(J9:J52)</f>
        <v>5.9642147117296221E-3</v>
      </c>
      <c r="L60" s="1936"/>
      <c r="M60" s="1955"/>
      <c r="N60" s="1955"/>
      <c r="O60" s="1936"/>
    </row>
    <row r="61" spans="1:18" s="405" customFormat="1">
      <c r="C61" s="1949"/>
      <c r="D61" s="6"/>
      <c r="E61" s="6"/>
      <c r="F61" s="1936"/>
      <c r="L61" s="1936"/>
      <c r="M61" s="1936"/>
      <c r="N61" s="1936"/>
      <c r="O61" s="1936"/>
    </row>
    <row r="62" spans="1:18" s="78" customFormat="1">
      <c r="B62" s="1964" t="s">
        <v>2451</v>
      </c>
      <c r="C62" s="1738"/>
      <c r="D62" s="1965"/>
      <c r="E62" s="1965"/>
      <c r="F62" s="1738"/>
      <c r="G62" s="1260"/>
      <c r="H62" s="1260"/>
      <c r="I62" s="1260"/>
      <c r="J62" s="1260"/>
      <c r="L62" s="391"/>
      <c r="M62" s="391"/>
      <c r="N62" s="391"/>
      <c r="O62" s="391"/>
    </row>
    <row r="63" spans="1:18" s="405" customFormat="1">
      <c r="B63" s="1937">
        <v>43052</v>
      </c>
      <c r="C63" s="1738" t="s">
        <v>2282</v>
      </c>
      <c r="D63" s="506" t="s">
        <v>2452</v>
      </c>
      <c r="E63" s="506" t="s">
        <v>2142</v>
      </c>
      <c r="F63" s="1738" t="s">
        <v>518</v>
      </c>
      <c r="G63" s="1938" t="s">
        <v>13</v>
      </c>
      <c r="H63" s="1938" t="s">
        <v>13</v>
      </c>
      <c r="I63" s="1938" t="s">
        <v>13</v>
      </c>
      <c r="J63" s="1940" t="str">
        <f t="shared" ref="J63:J84" si="1">IFERROR(G63/I63,"n/a")</f>
        <v>n/a</v>
      </c>
      <c r="L63" s="1936">
        <v>1</v>
      </c>
      <c r="M63" s="1936" t="s">
        <v>2453</v>
      </c>
      <c r="N63" s="1936" t="s">
        <v>2454</v>
      </c>
      <c r="O63" s="1936" t="s">
        <v>2455</v>
      </c>
      <c r="P63" s="1966"/>
    </row>
    <row r="64" spans="1:18" s="405" customFormat="1">
      <c r="B64" s="1937">
        <v>42983</v>
      </c>
      <c r="C64" s="1738" t="s">
        <v>2282</v>
      </c>
      <c r="D64" s="506" t="s">
        <v>2456</v>
      </c>
      <c r="E64" s="506" t="s">
        <v>2457</v>
      </c>
      <c r="F64" s="1738" t="s">
        <v>518</v>
      </c>
      <c r="G64" s="1938" t="s">
        <v>13</v>
      </c>
      <c r="H64" s="1938" t="s">
        <v>13</v>
      </c>
      <c r="I64" s="1938" t="s">
        <v>13</v>
      </c>
      <c r="J64" s="1940" t="str">
        <f t="shared" si="1"/>
        <v>n/a</v>
      </c>
      <c r="L64" s="1936">
        <v>1</v>
      </c>
      <c r="M64" s="1936" t="s">
        <v>2458</v>
      </c>
      <c r="N64" s="1936" t="s">
        <v>2454</v>
      </c>
      <c r="O64" s="1936" t="s">
        <v>2459</v>
      </c>
      <c r="P64" s="1966"/>
    </row>
    <row r="65" spans="2:16" s="405" customFormat="1">
      <c r="B65" s="1937">
        <v>42830</v>
      </c>
      <c r="C65" s="1738" t="s">
        <v>2282</v>
      </c>
      <c r="D65" s="506" t="s">
        <v>858</v>
      </c>
      <c r="E65" s="506" t="s">
        <v>2460</v>
      </c>
      <c r="F65" s="1738" t="s">
        <v>518</v>
      </c>
      <c r="G65" s="1938" t="s">
        <v>13</v>
      </c>
      <c r="H65" s="1938" t="s">
        <v>13</v>
      </c>
      <c r="I65" s="1938" t="s">
        <v>13</v>
      </c>
      <c r="J65" s="1940" t="str">
        <f t="shared" si="1"/>
        <v>n/a</v>
      </c>
      <c r="L65" s="1936">
        <v>1</v>
      </c>
      <c r="M65" s="1936" t="s">
        <v>2461</v>
      </c>
      <c r="N65" s="1936" t="s">
        <v>2462</v>
      </c>
      <c r="O65" s="1936" t="s">
        <v>2463</v>
      </c>
      <c r="P65" s="1966"/>
    </row>
    <row r="66" spans="2:16" s="405" customFormat="1">
      <c r="B66" s="1937">
        <v>42807</v>
      </c>
      <c r="C66" s="1738" t="s">
        <v>2282</v>
      </c>
      <c r="D66" s="506" t="s">
        <v>2464</v>
      </c>
      <c r="E66" s="506" t="s">
        <v>2465</v>
      </c>
      <c r="F66" s="1738" t="s">
        <v>517</v>
      </c>
      <c r="G66" s="1938" t="s">
        <v>13</v>
      </c>
      <c r="H66" s="1938" t="s">
        <v>13</v>
      </c>
      <c r="I66" s="1938" t="s">
        <v>13</v>
      </c>
      <c r="J66" s="1940" t="str">
        <f t="shared" si="1"/>
        <v>n/a</v>
      </c>
      <c r="L66" s="1936">
        <v>1</v>
      </c>
      <c r="M66" s="1936" t="s">
        <v>2466</v>
      </c>
      <c r="N66" s="1936" t="s">
        <v>2467</v>
      </c>
      <c r="O66" s="1936" t="s">
        <v>2468</v>
      </c>
      <c r="P66" s="1966"/>
    </row>
    <row r="67" spans="2:16" s="405" customFormat="1">
      <c r="B67" s="1937">
        <v>42775</v>
      </c>
      <c r="C67" s="1738" t="s">
        <v>2282</v>
      </c>
      <c r="D67" s="506" t="s">
        <v>2469</v>
      </c>
      <c r="E67" s="506" t="s">
        <v>2470</v>
      </c>
      <c r="F67" s="1738" t="s">
        <v>517</v>
      </c>
      <c r="G67" s="1938">
        <v>30</v>
      </c>
      <c r="H67" s="1938">
        <v>115</v>
      </c>
      <c r="I67" s="1938">
        <f>G67+H67</f>
        <v>145</v>
      </c>
      <c r="J67" s="1940">
        <f t="shared" si="1"/>
        <v>0.20689655172413793</v>
      </c>
      <c r="L67" s="1936">
        <v>1</v>
      </c>
      <c r="M67" s="1936" t="s">
        <v>2471</v>
      </c>
      <c r="N67" s="1936" t="s">
        <v>2472</v>
      </c>
      <c r="O67" s="1936" t="s">
        <v>2473</v>
      </c>
      <c r="P67" s="1966"/>
    </row>
    <row r="68" spans="2:16" s="405" customFormat="1">
      <c r="B68" s="1937">
        <v>42745</v>
      </c>
      <c r="C68" s="1738" t="s">
        <v>2282</v>
      </c>
      <c r="D68" s="1943" t="s">
        <v>2474</v>
      </c>
      <c r="E68" s="506" t="s">
        <v>2475</v>
      </c>
      <c r="F68" s="1738" t="s">
        <v>518</v>
      </c>
      <c r="G68" s="1938" t="s">
        <v>13</v>
      </c>
      <c r="H68" s="1938" t="s">
        <v>13</v>
      </c>
      <c r="I68" s="1938" t="s">
        <v>13</v>
      </c>
      <c r="J68" s="1940" t="str">
        <f t="shared" si="1"/>
        <v>n/a</v>
      </c>
      <c r="L68" s="1936">
        <v>1</v>
      </c>
      <c r="M68" s="1936" t="s">
        <v>2476</v>
      </c>
      <c r="N68" s="1936" t="s">
        <v>2462</v>
      </c>
      <c r="O68" s="1936" t="s">
        <v>2477</v>
      </c>
      <c r="P68" s="1936" t="s">
        <v>2478</v>
      </c>
    </row>
    <row r="69" spans="2:16" s="405" customFormat="1">
      <c r="B69" s="1937">
        <v>42723</v>
      </c>
      <c r="C69" s="1738" t="s">
        <v>2282</v>
      </c>
      <c r="D69" s="506" t="s">
        <v>2479</v>
      </c>
      <c r="E69" s="506" t="s">
        <v>2142</v>
      </c>
      <c r="F69" s="1738" t="s">
        <v>518</v>
      </c>
      <c r="G69" s="1938" t="s">
        <v>13</v>
      </c>
      <c r="H69" s="1938" t="s">
        <v>13</v>
      </c>
      <c r="I69" s="1938" t="s">
        <v>13</v>
      </c>
      <c r="J69" s="1940" t="str">
        <f t="shared" si="1"/>
        <v>n/a</v>
      </c>
      <c r="L69" s="1936">
        <v>1</v>
      </c>
      <c r="M69" s="1936" t="s">
        <v>2480</v>
      </c>
      <c r="N69" s="1936" t="s">
        <v>2481</v>
      </c>
      <c r="O69" s="1936" t="s">
        <v>2482</v>
      </c>
      <c r="P69" s="1966"/>
    </row>
    <row r="70" spans="2:16" s="405" customFormat="1">
      <c r="B70" s="1937">
        <v>42635</v>
      </c>
      <c r="C70" s="1738" t="s">
        <v>2282</v>
      </c>
      <c r="D70" s="506" t="s">
        <v>2483</v>
      </c>
      <c r="E70" s="506" t="s">
        <v>2484</v>
      </c>
      <c r="F70" s="1738" t="s">
        <v>510</v>
      </c>
      <c r="G70" s="1938">
        <v>1.3</v>
      </c>
      <c r="H70" s="1938">
        <f>3.5+145</f>
        <v>148.5</v>
      </c>
      <c r="I70" s="1938">
        <f>G70+H70</f>
        <v>149.80000000000001</v>
      </c>
      <c r="J70" s="1940">
        <f t="shared" si="1"/>
        <v>8.678237650200267E-3</v>
      </c>
      <c r="L70" s="1936">
        <v>1</v>
      </c>
      <c r="M70" s="1936" t="s">
        <v>2485</v>
      </c>
      <c r="N70" s="1936" t="s">
        <v>2486</v>
      </c>
      <c r="O70" s="1936" t="s">
        <v>2487</v>
      </c>
      <c r="P70" s="1966"/>
    </row>
    <row r="71" spans="2:16" s="405" customFormat="1" ht="25.5">
      <c r="B71" s="1937">
        <v>42521</v>
      </c>
      <c r="C71" s="1738" t="s">
        <v>2488</v>
      </c>
      <c r="D71" s="506" t="s">
        <v>2489</v>
      </c>
      <c r="E71" s="506" t="s">
        <v>2490</v>
      </c>
      <c r="F71" s="1738" t="s">
        <v>517</v>
      </c>
      <c r="G71" s="1938" t="s">
        <v>13</v>
      </c>
      <c r="H71" s="1938" t="s">
        <v>13</v>
      </c>
      <c r="I71" s="1938" t="s">
        <v>13</v>
      </c>
      <c r="J71" s="1940" t="str">
        <f t="shared" si="1"/>
        <v>n/a</v>
      </c>
      <c r="L71" s="1936">
        <v>1</v>
      </c>
      <c r="M71" s="1936" t="s">
        <v>2491</v>
      </c>
      <c r="N71" s="1936" t="s">
        <v>2472</v>
      </c>
      <c r="O71" s="1936" t="s">
        <v>2492</v>
      </c>
      <c r="P71" s="1966"/>
    </row>
    <row r="72" spans="2:16" s="405" customFormat="1" ht="12.75" customHeight="1">
      <c r="B72" s="1937">
        <v>42467</v>
      </c>
      <c r="C72" s="1738" t="s">
        <v>2282</v>
      </c>
      <c r="D72" s="506" t="s">
        <v>2174</v>
      </c>
      <c r="E72" s="506" t="s">
        <v>2493</v>
      </c>
      <c r="F72" s="1738" t="s">
        <v>517</v>
      </c>
      <c r="G72" s="1938">
        <v>125</v>
      </c>
      <c r="H72" s="1938">
        <f>665+2500</f>
        <v>3165</v>
      </c>
      <c r="I72" s="1938">
        <f>G72+H72</f>
        <v>3290</v>
      </c>
      <c r="J72" s="1940">
        <f t="shared" si="1"/>
        <v>3.7993920972644375E-2</v>
      </c>
      <c r="L72" s="1936">
        <v>1</v>
      </c>
      <c r="M72" s="1936" t="s">
        <v>2494</v>
      </c>
      <c r="N72" s="1936" t="s">
        <v>2495</v>
      </c>
      <c r="O72" s="1936" t="s">
        <v>2496</v>
      </c>
      <c r="P72" s="1966"/>
    </row>
    <row r="73" spans="2:16" s="405" customFormat="1">
      <c r="B73" s="1937">
        <v>42464</v>
      </c>
      <c r="C73" s="1738" t="s">
        <v>2282</v>
      </c>
      <c r="D73" s="506" t="s">
        <v>2497</v>
      </c>
      <c r="E73" s="506" t="s">
        <v>2498</v>
      </c>
      <c r="F73" s="1738" t="s">
        <v>518</v>
      </c>
      <c r="G73" s="1938" t="s">
        <v>13</v>
      </c>
      <c r="H73" s="1938" t="s">
        <v>13</v>
      </c>
      <c r="I73" s="1938" t="s">
        <v>13</v>
      </c>
      <c r="J73" s="1940" t="str">
        <f t="shared" si="1"/>
        <v>n/a</v>
      </c>
      <c r="L73" s="1936">
        <v>1</v>
      </c>
      <c r="M73" s="1936" t="s">
        <v>2499</v>
      </c>
      <c r="N73" s="1936" t="s">
        <v>2462</v>
      </c>
      <c r="O73" s="1936" t="s">
        <v>2500</v>
      </c>
      <c r="P73" s="1966"/>
    </row>
    <row r="74" spans="2:16" s="405" customFormat="1" ht="25.5">
      <c r="B74" s="1937">
        <v>42444</v>
      </c>
      <c r="C74" s="1738" t="s">
        <v>2488</v>
      </c>
      <c r="D74" s="506" t="s">
        <v>2501</v>
      </c>
      <c r="E74" s="506" t="s">
        <v>2502</v>
      </c>
      <c r="F74" s="1738" t="s">
        <v>2503</v>
      </c>
      <c r="G74" s="1938">
        <v>50</v>
      </c>
      <c r="H74" s="1938">
        <v>275</v>
      </c>
      <c r="I74" s="1938">
        <f>SUM(G74:H74)</f>
        <v>325</v>
      </c>
      <c r="J74" s="1940">
        <f t="shared" si="1"/>
        <v>0.15384615384615385</v>
      </c>
      <c r="L74" s="1936">
        <v>1</v>
      </c>
      <c r="M74" s="1936" t="s">
        <v>2504</v>
      </c>
      <c r="N74" s="1936" t="s">
        <v>2384</v>
      </c>
      <c r="O74" s="1936" t="s">
        <v>2505</v>
      </c>
      <c r="P74" s="1966"/>
    </row>
    <row r="75" spans="2:16" s="405" customFormat="1">
      <c r="B75" s="1937">
        <v>42429</v>
      </c>
      <c r="C75" s="1738" t="s">
        <v>2282</v>
      </c>
      <c r="D75" s="506" t="s">
        <v>2506</v>
      </c>
      <c r="E75" s="506" t="s">
        <v>2507</v>
      </c>
      <c r="F75" s="1738" t="s">
        <v>510</v>
      </c>
      <c r="G75" s="1938" t="s">
        <v>13</v>
      </c>
      <c r="H75" s="1938" t="s">
        <v>13</v>
      </c>
      <c r="I75" s="1938" t="s">
        <v>13</v>
      </c>
      <c r="J75" s="1940" t="str">
        <f t="shared" si="1"/>
        <v>n/a</v>
      </c>
      <c r="L75" s="1936">
        <v>1</v>
      </c>
      <c r="M75" s="1936" t="s">
        <v>2508</v>
      </c>
      <c r="N75" s="1936" t="s">
        <v>2509</v>
      </c>
      <c r="O75" s="1936"/>
    </row>
    <row r="76" spans="2:16" s="405" customFormat="1">
      <c r="B76" s="1937">
        <v>42380</v>
      </c>
      <c r="C76" s="1738" t="s">
        <v>2282</v>
      </c>
      <c r="D76" s="506" t="s">
        <v>2510</v>
      </c>
      <c r="E76" s="506" t="s">
        <v>2511</v>
      </c>
      <c r="F76" s="1738" t="s">
        <v>510</v>
      </c>
      <c r="G76" s="1938">
        <v>120</v>
      </c>
      <c r="H76" s="1939">
        <v>660</v>
      </c>
      <c r="I76" s="1938">
        <v>1900</v>
      </c>
      <c r="J76" s="1940">
        <f t="shared" si="1"/>
        <v>6.3157894736842107E-2</v>
      </c>
      <c r="L76" s="1936">
        <v>1</v>
      </c>
      <c r="M76" s="1936" t="s">
        <v>2512</v>
      </c>
      <c r="N76" s="1936" t="s">
        <v>2513</v>
      </c>
      <c r="O76" s="1936"/>
    </row>
    <row r="77" spans="2:16" s="405" customFormat="1">
      <c r="B77" s="1937">
        <v>42256</v>
      </c>
      <c r="C77" s="1738" t="s">
        <v>2282</v>
      </c>
      <c r="D77" s="506" t="s">
        <v>2514</v>
      </c>
      <c r="E77" s="506" t="s">
        <v>2515</v>
      </c>
      <c r="F77" s="1738" t="s">
        <v>510</v>
      </c>
      <c r="G77" s="1938">
        <v>60</v>
      </c>
      <c r="H77" s="1938">
        <v>484</v>
      </c>
      <c r="I77" s="1938">
        <f>SUM(G77:H77)</f>
        <v>544</v>
      </c>
      <c r="J77" s="1940">
        <f t="shared" si="1"/>
        <v>0.11029411764705882</v>
      </c>
      <c r="L77" s="1936">
        <v>1</v>
      </c>
      <c r="M77" s="1936" t="s">
        <v>2516</v>
      </c>
      <c r="N77" s="1936" t="s">
        <v>2517</v>
      </c>
      <c r="O77" s="1936"/>
    </row>
    <row r="78" spans="2:16" s="405" customFormat="1" ht="25.5">
      <c r="B78" s="1937">
        <v>42058</v>
      </c>
      <c r="C78" s="1738" t="s">
        <v>2488</v>
      </c>
      <c r="D78" s="506" t="s">
        <v>2518</v>
      </c>
      <c r="E78" s="506" t="s">
        <v>2519</v>
      </c>
      <c r="F78" s="1738" t="s">
        <v>518</v>
      </c>
      <c r="G78" s="1938" t="s">
        <v>13</v>
      </c>
      <c r="H78" s="1938" t="s">
        <v>13</v>
      </c>
      <c r="I78" s="1938" t="s">
        <v>13</v>
      </c>
      <c r="J78" s="1940" t="str">
        <f t="shared" si="1"/>
        <v>n/a</v>
      </c>
      <c r="L78" s="1936">
        <v>1</v>
      </c>
      <c r="M78" s="1936" t="s">
        <v>2520</v>
      </c>
      <c r="N78" s="1936" t="s">
        <v>2521</v>
      </c>
      <c r="O78" s="1936"/>
    </row>
    <row r="79" spans="2:16" s="405" customFormat="1" ht="25.5">
      <c r="B79" s="1937">
        <v>42010</v>
      </c>
      <c r="C79" s="1738" t="s">
        <v>2488</v>
      </c>
      <c r="D79" s="506" t="s">
        <v>2522</v>
      </c>
      <c r="E79" s="506" t="s">
        <v>2523</v>
      </c>
      <c r="F79" s="1738" t="s">
        <v>510</v>
      </c>
      <c r="G79" s="1938" t="s">
        <v>13</v>
      </c>
      <c r="H79" s="1938" t="s">
        <v>13</v>
      </c>
      <c r="I79" s="1938">
        <v>470</v>
      </c>
      <c r="J79" s="1940" t="str">
        <f t="shared" si="1"/>
        <v>n/a</v>
      </c>
      <c r="L79" s="1936">
        <v>1</v>
      </c>
      <c r="M79" s="1936" t="s">
        <v>2524</v>
      </c>
      <c r="N79" s="1936" t="s">
        <v>2354</v>
      </c>
      <c r="O79" s="1936"/>
    </row>
    <row r="80" spans="2:16" s="405" customFormat="1">
      <c r="B80" s="1937">
        <v>41934</v>
      </c>
      <c r="C80" s="1738" t="s">
        <v>2282</v>
      </c>
      <c r="D80" s="506" t="s">
        <v>2525</v>
      </c>
      <c r="E80" s="506" t="s">
        <v>2526</v>
      </c>
      <c r="F80" s="1738" t="s">
        <v>510</v>
      </c>
      <c r="G80" s="1938">
        <v>40</v>
      </c>
      <c r="H80" s="1939" t="s">
        <v>13</v>
      </c>
      <c r="I80" s="1939" t="s">
        <v>13</v>
      </c>
      <c r="J80" s="1940" t="str">
        <f t="shared" si="1"/>
        <v>n/a</v>
      </c>
      <c r="K80" s="718"/>
      <c r="L80" s="1936">
        <v>1</v>
      </c>
      <c r="M80" s="1936" t="s">
        <v>2527</v>
      </c>
      <c r="N80" s="1936" t="s">
        <v>2528</v>
      </c>
      <c r="O80" s="1936"/>
    </row>
    <row r="81" spans="2:16" s="405" customFormat="1">
      <c r="B81" s="1937">
        <v>41898</v>
      </c>
      <c r="C81" s="1738" t="s">
        <v>2282</v>
      </c>
      <c r="D81" s="506" t="s">
        <v>2413</v>
      </c>
      <c r="E81" s="506" t="s">
        <v>2529</v>
      </c>
      <c r="F81" s="1738" t="s">
        <v>517</v>
      </c>
      <c r="G81" s="1938" t="s">
        <v>13</v>
      </c>
      <c r="H81" s="1938" t="s">
        <v>13</v>
      </c>
      <c r="I81" s="1938" t="s">
        <v>13</v>
      </c>
      <c r="J81" s="1940" t="str">
        <f t="shared" si="1"/>
        <v>n/a</v>
      </c>
      <c r="L81" s="1936">
        <v>1</v>
      </c>
      <c r="M81" s="1936" t="s">
        <v>2530</v>
      </c>
      <c r="N81" s="1936" t="s">
        <v>2531</v>
      </c>
      <c r="O81" s="1936" t="s">
        <v>2532</v>
      </c>
      <c r="P81" s="1966"/>
    </row>
    <row r="82" spans="2:16" s="405" customFormat="1" ht="25.5">
      <c r="B82" s="1937">
        <v>41791</v>
      </c>
      <c r="C82" s="1738" t="s">
        <v>2488</v>
      </c>
      <c r="D82" s="506" t="s">
        <v>2533</v>
      </c>
      <c r="E82" s="506" t="s">
        <v>2534</v>
      </c>
      <c r="F82" s="1738" t="s">
        <v>518</v>
      </c>
      <c r="G82" s="1938">
        <v>85</v>
      </c>
      <c r="H82" s="1939" t="s">
        <v>13</v>
      </c>
      <c r="I82" s="1938" t="s">
        <v>13</v>
      </c>
      <c r="J82" s="1940" t="str">
        <f t="shared" si="1"/>
        <v>n/a</v>
      </c>
      <c r="L82" s="1936">
        <v>1</v>
      </c>
      <c r="M82" s="1936" t="s">
        <v>2535</v>
      </c>
      <c r="N82" s="1936" t="s">
        <v>2536</v>
      </c>
      <c r="O82" s="1936"/>
    </row>
    <row r="83" spans="2:16" s="405" customFormat="1">
      <c r="B83" s="1937">
        <v>41753</v>
      </c>
      <c r="C83" s="1738" t="s">
        <v>2282</v>
      </c>
      <c r="D83" s="506" t="s">
        <v>853</v>
      </c>
      <c r="E83" s="506" t="s">
        <v>2537</v>
      </c>
      <c r="F83" s="1738" t="s">
        <v>510</v>
      </c>
      <c r="G83" s="1938">
        <v>710</v>
      </c>
      <c r="H83" s="1939">
        <v>815</v>
      </c>
      <c r="I83" s="1938">
        <f>G83+H83+1050</f>
        <v>2575</v>
      </c>
      <c r="J83" s="1940">
        <f t="shared" si="1"/>
        <v>0.27572815533980582</v>
      </c>
      <c r="L83" s="1936">
        <v>1</v>
      </c>
      <c r="M83" s="1936" t="s">
        <v>2538</v>
      </c>
      <c r="N83" s="1936" t="s">
        <v>2539</v>
      </c>
      <c r="O83" s="1936" t="s">
        <v>2540</v>
      </c>
    </row>
    <row r="84" spans="2:16" s="405" customFormat="1">
      <c r="B84" s="1937">
        <v>41730</v>
      </c>
      <c r="C84" s="1738" t="s">
        <v>2282</v>
      </c>
      <c r="D84" s="506" t="s">
        <v>2541</v>
      </c>
      <c r="E84" s="506" t="s">
        <v>2542</v>
      </c>
      <c r="F84" s="1738" t="s">
        <v>518</v>
      </c>
      <c r="G84" s="1938">
        <v>6.9</v>
      </c>
      <c r="H84" s="1939">
        <f>I84-G84</f>
        <v>129.744</v>
      </c>
      <c r="I84" s="1938">
        <v>136.64400000000001</v>
      </c>
      <c r="J84" s="1940">
        <f t="shared" si="1"/>
        <v>5.0496179854219725E-2</v>
      </c>
      <c r="K84" s="824" t="s">
        <v>209</v>
      </c>
      <c r="L84" s="1936">
        <v>1</v>
      </c>
      <c r="M84" s="1936" t="s">
        <v>2543</v>
      </c>
      <c r="N84" s="1936" t="s">
        <v>2544</v>
      </c>
      <c r="O84" s="1936" t="s">
        <v>2545</v>
      </c>
    </row>
    <row r="85" spans="2:16" s="405" customFormat="1">
      <c r="B85" s="1967"/>
      <c r="C85" s="1738"/>
      <c r="D85" s="6"/>
      <c r="E85" s="6"/>
      <c r="F85" s="151"/>
      <c r="G85" s="403"/>
      <c r="H85" s="479"/>
      <c r="I85" s="403"/>
      <c r="J85" s="403"/>
      <c r="L85" s="1936"/>
      <c r="M85" s="1936"/>
      <c r="N85" s="1936"/>
      <c r="O85" s="1936"/>
    </row>
    <row r="86" spans="2:16" s="405" customFormat="1">
      <c r="B86" s="1827" t="str">
        <f>B62&amp;" Metrics"</f>
        <v>Phase I, II and III Metrics</v>
      </c>
      <c r="C86" s="1949"/>
      <c r="D86" s="6"/>
      <c r="E86" s="6"/>
      <c r="F86" s="1936"/>
      <c r="L86" s="1936"/>
      <c r="M86" s="1936"/>
      <c r="N86" s="1936"/>
      <c r="O86" s="1936"/>
    </row>
    <row r="87" spans="2:16" s="405" customFormat="1">
      <c r="B87" s="1950" t="s">
        <v>111</v>
      </c>
      <c r="C87" s="1951"/>
      <c r="D87" s="1952"/>
      <c r="E87" s="1952"/>
      <c r="F87" s="1953"/>
      <c r="G87" s="1824">
        <f>MAX(G63:G84)</f>
        <v>710</v>
      </c>
      <c r="H87" s="1824">
        <f>MAX(H63:H84)</f>
        <v>3165</v>
      </c>
      <c r="I87" s="1824">
        <f>MAX(I63:I84)</f>
        <v>3290</v>
      </c>
      <c r="J87" s="1954">
        <f>MAX(J63:J84)</f>
        <v>0.27572815533980582</v>
      </c>
      <c r="L87" s="1936"/>
      <c r="M87" s="1955"/>
      <c r="N87" s="1955"/>
      <c r="O87" s="1936"/>
    </row>
    <row r="88" spans="2:16" s="405" customFormat="1">
      <c r="B88" s="366" t="s">
        <v>115</v>
      </c>
      <c r="C88" s="1956"/>
      <c r="D88" s="1957"/>
      <c r="E88" s="1957"/>
      <c r="F88" s="1955"/>
      <c r="G88" s="769">
        <f>_xlfn.QUARTILE.INC(G63:G84,3)</f>
        <v>111.25</v>
      </c>
      <c r="H88" s="769">
        <f>_xlfn.QUARTILE.INC(H63:H84,3)</f>
        <v>698.75</v>
      </c>
      <c r="I88" s="769">
        <f>_xlfn.QUARTILE.INC(I63:I84,3)</f>
        <v>1900</v>
      </c>
      <c r="J88" s="1958">
        <f>_xlfn.QUARTILE.INC(J63:J84,3)</f>
        <v>0.16710875331564987</v>
      </c>
      <c r="L88" s="1936"/>
      <c r="M88" s="1955"/>
      <c r="N88" s="1955"/>
      <c r="O88" s="1936"/>
    </row>
    <row r="89" spans="2:16" s="405" customFormat="1">
      <c r="B89" s="366" t="s">
        <v>43</v>
      </c>
      <c r="C89" s="1956"/>
      <c r="D89" s="1957"/>
      <c r="E89" s="1957"/>
      <c r="F89" s="1955"/>
      <c r="G89" s="769">
        <f>AVERAGE(G63:G84)</f>
        <v>122.82000000000001</v>
      </c>
      <c r="H89" s="769">
        <f>AVERAGE(H63:H84)</f>
        <v>724.03049999999996</v>
      </c>
      <c r="I89" s="769">
        <f>AVERAGE(I63:I84)</f>
        <v>1059.4937777777777</v>
      </c>
      <c r="J89" s="1958">
        <f>AVERAGE(J63:J84)</f>
        <v>0.11338640147138286</v>
      </c>
      <c r="L89" s="1936"/>
      <c r="M89" s="1955"/>
      <c r="N89" s="1955"/>
      <c r="O89" s="1936"/>
    </row>
    <row r="90" spans="2:16" s="405" customFormat="1">
      <c r="B90" s="366" t="s">
        <v>44</v>
      </c>
      <c r="C90" s="1956"/>
      <c r="D90" s="1957"/>
      <c r="E90" s="1957"/>
      <c r="F90" s="1955"/>
      <c r="G90" s="769">
        <f>MEDIAN(G63:G84)</f>
        <v>55</v>
      </c>
      <c r="H90" s="769">
        <f>MEDIAN(H63:H84)</f>
        <v>379.5</v>
      </c>
      <c r="I90" s="769">
        <f>MEDIAN(I63:I84)</f>
        <v>470</v>
      </c>
      <c r="J90" s="1958">
        <f>MEDIAN(J63:J84)</f>
        <v>8.6726006191950464E-2</v>
      </c>
      <c r="L90" s="1936"/>
      <c r="M90" s="1955"/>
      <c r="N90" s="1955"/>
      <c r="O90" s="1936"/>
    </row>
    <row r="91" spans="2:16" s="405" customFormat="1">
      <c r="B91" s="366" t="s">
        <v>114</v>
      </c>
      <c r="C91" s="1956"/>
      <c r="D91" s="1957"/>
      <c r="E91" s="1957"/>
      <c r="F91" s="1955"/>
      <c r="G91" s="769">
        <f>_xlfn.QUARTILE.INC(G63:G84,1)</f>
        <v>32.5</v>
      </c>
      <c r="H91" s="769">
        <f>_xlfn.QUARTILE.INC(H63:H84,1)</f>
        <v>143.81100000000001</v>
      </c>
      <c r="I91" s="769">
        <f>_xlfn.QUARTILE.INC(I63:I84,1)</f>
        <v>149.80000000000001</v>
      </c>
      <c r="J91" s="1958">
        <f>_xlfn.QUARTILE.INC(J63:J84,1)</f>
        <v>4.7370615133825886E-2</v>
      </c>
      <c r="L91" s="1936"/>
      <c r="M91" s="1955"/>
      <c r="N91" s="1955"/>
      <c r="O91" s="1936"/>
    </row>
    <row r="92" spans="2:16" s="405" customFormat="1">
      <c r="B92" s="1959" t="s">
        <v>112</v>
      </c>
      <c r="C92" s="1960"/>
      <c r="D92" s="1961"/>
      <c r="E92" s="1961"/>
      <c r="F92" s="1962"/>
      <c r="G92" s="770">
        <f>MIN(G63:G84)</f>
        <v>1.3</v>
      </c>
      <c r="H92" s="770">
        <f>MIN(H63:H84)</f>
        <v>115</v>
      </c>
      <c r="I92" s="770">
        <f>MIN(I63:I84)</f>
        <v>136.64400000000001</v>
      </c>
      <c r="J92" s="1963">
        <f>MIN(J63:J84)</f>
        <v>8.678237650200267E-3</v>
      </c>
      <c r="L92" s="1936"/>
      <c r="M92" s="1955"/>
      <c r="N92" s="1955"/>
      <c r="O92" s="1936"/>
    </row>
    <row r="93" spans="2:16" s="405" customFormat="1">
      <c r="C93" s="1949"/>
      <c r="D93" s="6"/>
      <c r="E93" s="6"/>
      <c r="F93" s="1936"/>
      <c r="L93" s="1936"/>
      <c r="M93" s="1936"/>
      <c r="N93" s="1936"/>
      <c r="O93" s="1936"/>
    </row>
    <row r="94" spans="2:16" s="1924" customFormat="1" ht="15">
      <c r="B94" s="1" t="s">
        <v>631</v>
      </c>
      <c r="C94" s="1949"/>
      <c r="D94" s="6"/>
      <c r="E94" s="6"/>
      <c r="F94" s="1936"/>
      <c r="G94" s="405"/>
      <c r="H94" s="405"/>
      <c r="I94" s="405"/>
      <c r="J94" s="405"/>
      <c r="L94" s="1925"/>
      <c r="M94" s="1925"/>
      <c r="N94" s="1925"/>
      <c r="O94" s="1925"/>
    </row>
    <row r="95" spans="2:16" s="405" customFormat="1">
      <c r="B95" s="1950" t="s">
        <v>111</v>
      </c>
      <c r="C95" s="1951"/>
      <c r="D95" s="1952"/>
      <c r="E95" s="1952"/>
      <c r="F95" s="1953"/>
      <c r="G95" s="1824">
        <f t="array" ref="G95">MAX(IF($L$9:$L$84=1,G$9:G$84,""))</f>
        <v>710</v>
      </c>
      <c r="H95" s="1824">
        <f t="array" ref="H95">MAX(IF($L$9:$L$84=1,H$9:H$84,""))</f>
        <v>3165</v>
      </c>
      <c r="I95" s="1824">
        <f t="array" ref="I95">MAX(IF($L$9:$L$84=1,I$9:I$84,""))</f>
        <v>3290</v>
      </c>
      <c r="J95" s="1954">
        <f t="array" ref="J95">MAX(IF($L$9:$L$84=1,J$9:J$84,""))</f>
        <v>0.4285714285714286</v>
      </c>
      <c r="L95" s="1936"/>
      <c r="M95" s="1953"/>
      <c r="N95" s="1968"/>
      <c r="O95" s="1936"/>
    </row>
    <row r="96" spans="2:16" s="405" customFormat="1">
      <c r="B96" s="366" t="s">
        <v>115</v>
      </c>
      <c r="C96" s="1956"/>
      <c r="D96" s="1957"/>
      <c r="E96" s="1957"/>
      <c r="F96" s="1955"/>
      <c r="G96" s="769">
        <f t="array" ref="G96">_xlfn.QUARTILE.INC(IF($L$9:$L$84=1,G$9:G$84,""),3)</f>
        <v>48.75</v>
      </c>
      <c r="H96" s="769">
        <f t="array" ref="H96">_xlfn.QUARTILE.INC(IF($L$9:$L$84=1,H$9:H$84,""),3)</f>
        <v>695</v>
      </c>
      <c r="I96" s="769">
        <f t="array" ref="I96">_xlfn.QUARTILE.INC(IF($L$9:$L$84=1,I$9:I$84,""),3)</f>
        <v>810</v>
      </c>
      <c r="J96" s="1958">
        <f t="array" ref="J96">_xlfn.QUARTILE.INC(IF($L$9:$L$84=1,J$9:J$84,""),3)</f>
        <v>0.15352020860495438</v>
      </c>
      <c r="L96" s="1936"/>
      <c r="M96" s="1955"/>
      <c r="N96" s="1969"/>
      <c r="O96" s="1936"/>
    </row>
    <row r="97" spans="1:15" s="1924" customFormat="1" ht="15">
      <c r="B97" s="366" t="s">
        <v>43</v>
      </c>
      <c r="C97" s="1956"/>
      <c r="D97" s="1957"/>
      <c r="E97" s="1957"/>
      <c r="F97" s="1955"/>
      <c r="G97" s="769">
        <f t="array" ref="G97">AVERAGE(IF($L$9:$L$84=1,G$9:G$84,""))</f>
        <v>66.606409090909096</v>
      </c>
      <c r="H97" s="769">
        <f t="array" ref="H97">AVERAGE(IF($L$9:$L$84=1,H$9:H$84,""))</f>
        <v>490.11342475330838</v>
      </c>
      <c r="I97" s="769">
        <f t="array" ref="I97">AVERAGE(IF($L$9:$L$84=1,I$9:I$84,""))</f>
        <v>683.79871428571437</v>
      </c>
      <c r="J97" s="1958">
        <f t="array" ref="J97">AVERAGE(IF($L$9:$L$84=1,J$9:J$84,""))</f>
        <v>0.11618789394375126</v>
      </c>
      <c r="L97" s="1925"/>
      <c r="M97" s="1955"/>
      <c r="N97" s="1969"/>
      <c r="O97" s="1925"/>
    </row>
    <row r="98" spans="1:15" s="1924" customFormat="1" ht="15">
      <c r="B98" s="366" t="s">
        <v>44</v>
      </c>
      <c r="C98" s="1956"/>
      <c r="D98" s="1957"/>
      <c r="E98" s="1957"/>
      <c r="F98" s="1955"/>
      <c r="G98" s="769">
        <f t="array" ref="G98">MEDIAN(IF($L$9:$L$84=1,G$9:G$84,""))</f>
        <v>30</v>
      </c>
      <c r="H98" s="769">
        <f t="array" ref="H98">MEDIAN(IF($L$9:$L$84=1,H$9:H$84,""))</f>
        <v>262.5</v>
      </c>
      <c r="I98" s="769">
        <f t="array" ref="I98">MEDIAN(IF($L$9:$L$84=1,I$9:I$84,""))</f>
        <v>325</v>
      </c>
      <c r="J98" s="1958">
        <f t="array" ref="J98">MEDIAN(IF($L$9:$L$84=1,J$9:J$84,""))</f>
        <v>0.10060160427807487</v>
      </c>
      <c r="L98" s="1925"/>
      <c r="M98" s="1955"/>
      <c r="N98" s="1969"/>
      <c r="O98" s="1925"/>
    </row>
    <row r="99" spans="1:15" s="1924" customFormat="1" ht="15">
      <c r="B99" s="366" t="s">
        <v>114</v>
      </c>
      <c r="C99" s="1956"/>
      <c r="D99" s="1957"/>
      <c r="E99" s="1957"/>
      <c r="F99" s="1955"/>
      <c r="G99" s="769">
        <f t="array" ref="G99">_xlfn.QUARTILE.INC(IF($L$9:$L$84=1,G$9:G$84,""),1)</f>
        <v>7.6750000000000007</v>
      </c>
      <c r="H99" s="769">
        <f t="array" ref="H99">_xlfn.QUARTILE.INC(IF($L$9:$L$84=1,H$9:H$84,""),1)</f>
        <v>108.75</v>
      </c>
      <c r="I99" s="769">
        <f t="array" ref="I99">_xlfn.QUARTILE.INC(IF($L$9:$L$84=1,I$9:I$84,""),1)</f>
        <v>145</v>
      </c>
      <c r="J99" s="1958">
        <f t="array" ref="J99">_xlfn.QUARTILE.INC(IF($L$9:$L$84=1,J$9:J$84,""),1)</f>
        <v>3.8974482645650947E-2</v>
      </c>
      <c r="L99" s="1925"/>
      <c r="M99" s="1955"/>
      <c r="N99" s="1969"/>
      <c r="O99" s="1925"/>
    </row>
    <row r="100" spans="1:15" s="1924" customFormat="1" ht="15">
      <c r="B100" s="1959" t="s">
        <v>112</v>
      </c>
      <c r="C100" s="1960"/>
      <c r="D100" s="1961"/>
      <c r="E100" s="1961"/>
      <c r="F100" s="1962"/>
      <c r="G100" s="770">
        <f t="array" ref="G100">MIN(IF($L$9:$L$84=1,G$9:G$84,""))</f>
        <v>1.3</v>
      </c>
      <c r="H100" s="770">
        <f t="array" ref="H100">MIN(IF($L$9:$L$84=1,H$9:H$84,""))</f>
        <v>4.1879999999999997</v>
      </c>
      <c r="I100" s="770">
        <f t="array" ref="I100">MIN(IF($L$9:$L$84=1,I$9:I$84,""))</f>
        <v>7.3289999999999997</v>
      </c>
      <c r="J100" s="1963">
        <f t="array" ref="J100">MIN(IF($L$9:$L$84=1,J$9:J$84,""))</f>
        <v>5.9642147117296221E-3</v>
      </c>
      <c r="L100" s="1925"/>
      <c r="M100" s="1962"/>
      <c r="N100" s="1970"/>
      <c r="O100" s="1925"/>
    </row>
    <row r="101" spans="1:15" s="1971" customFormat="1" ht="15">
      <c r="B101" s="312"/>
      <c r="C101" s="347"/>
      <c r="D101" s="1972"/>
      <c r="E101" s="1972"/>
      <c r="F101" s="1973"/>
      <c r="G101" s="1974"/>
      <c r="H101" s="312"/>
      <c r="I101" s="1974"/>
      <c r="J101" s="1974"/>
      <c r="L101" s="1975"/>
      <c r="M101" s="1973"/>
      <c r="N101" s="1973"/>
      <c r="O101" s="1975"/>
    </row>
    <row r="102" spans="1:15" s="1924" customFormat="1" ht="15">
      <c r="B102" s="8" t="s">
        <v>86</v>
      </c>
      <c r="C102" s="1949"/>
      <c r="D102" s="6"/>
      <c r="E102" s="6"/>
      <c r="F102" s="1936"/>
      <c r="G102" s="405"/>
      <c r="H102" s="405"/>
      <c r="I102" s="405"/>
      <c r="J102" s="405"/>
      <c r="L102" s="1925"/>
      <c r="M102" s="1925"/>
      <c r="N102" s="1925"/>
      <c r="O102" s="1925"/>
    </row>
    <row r="103" spans="1:15" s="1924" customFormat="1" ht="15">
      <c r="A103" s="718" t="s">
        <v>210</v>
      </c>
      <c r="B103" s="405" t="s">
        <v>2546</v>
      </c>
      <c r="C103" s="1949"/>
      <c r="D103" s="6"/>
      <c r="E103" s="6"/>
      <c r="F103" s="1936"/>
      <c r="G103" s="405"/>
      <c r="H103" s="405"/>
      <c r="I103" s="405"/>
      <c r="J103" s="405"/>
      <c r="L103" s="1925"/>
      <c r="M103" s="1925"/>
      <c r="N103" s="1925"/>
      <c r="O103" s="1925"/>
    </row>
    <row r="104" spans="1:15" s="1924" customFormat="1" ht="15">
      <c r="A104" s="718" t="s">
        <v>209</v>
      </c>
      <c r="B104" s="405" t="s">
        <v>2547</v>
      </c>
      <c r="C104" s="1949"/>
      <c r="D104" s="6"/>
      <c r="E104" s="6"/>
      <c r="F104" s="1936"/>
      <c r="G104" s="405"/>
      <c r="H104" s="405"/>
      <c r="I104" s="405"/>
      <c r="J104" s="405"/>
      <c r="L104" s="1925"/>
      <c r="M104" s="1925"/>
      <c r="N104" s="1925"/>
      <c r="O104" s="1925"/>
    </row>
    <row r="105" spans="1:15" s="1924" customFormat="1" ht="15">
      <c r="B105" s="405"/>
      <c r="C105" s="1949"/>
      <c r="D105" s="6"/>
      <c r="E105" s="6"/>
      <c r="F105" s="1936"/>
      <c r="G105" s="405"/>
      <c r="H105" s="405"/>
      <c r="I105" s="405"/>
      <c r="J105" s="405"/>
      <c r="L105" s="1925"/>
      <c r="M105" s="1925"/>
      <c r="N105" s="1925"/>
      <c r="O105" s="1925"/>
    </row>
    <row r="106" spans="1:15" s="1924" customFormat="1" ht="15">
      <c r="B106" s="405"/>
      <c r="C106" s="1949"/>
      <c r="D106" s="6"/>
      <c r="E106" s="6"/>
      <c r="F106" s="1936"/>
      <c r="G106" s="405"/>
      <c r="H106" s="405"/>
      <c r="I106" s="405"/>
      <c r="J106" s="405"/>
      <c r="L106" s="1925"/>
      <c r="M106" s="1925"/>
      <c r="N106" s="1925"/>
      <c r="O106" s="1925"/>
    </row>
    <row r="107" spans="1:15" s="1924" customFormat="1" ht="15">
      <c r="B107" s="405"/>
      <c r="C107" s="1949"/>
      <c r="D107" s="6"/>
      <c r="E107" s="6"/>
      <c r="F107" s="1936"/>
      <c r="G107" s="405"/>
      <c r="H107" s="405"/>
      <c r="I107" s="405"/>
      <c r="J107" s="405"/>
      <c r="L107" s="1925"/>
      <c r="M107" s="1925"/>
      <c r="N107" s="1925"/>
      <c r="O107" s="1925"/>
    </row>
    <row r="108" spans="1:15" s="1924" customFormat="1" ht="15">
      <c r="B108" s="405"/>
      <c r="C108" s="1949"/>
      <c r="D108" s="6"/>
      <c r="E108" s="6"/>
      <c r="F108" s="1936"/>
      <c r="G108" s="405"/>
      <c r="H108" s="405"/>
      <c r="I108" s="405"/>
      <c r="J108" s="405"/>
      <c r="L108" s="1925"/>
      <c r="M108" s="1925"/>
      <c r="N108" s="1925"/>
      <c r="O108" s="1925"/>
    </row>
    <row r="109" spans="1:15" s="1924" customFormat="1" ht="15">
      <c r="B109" s="405"/>
      <c r="C109" s="1949"/>
      <c r="D109" s="6"/>
      <c r="E109" s="6"/>
      <c r="F109" s="1936"/>
      <c r="G109" s="405"/>
      <c r="H109" s="405"/>
      <c r="I109" s="405"/>
      <c r="J109" s="405"/>
      <c r="L109" s="1925"/>
      <c r="M109" s="1925"/>
      <c r="N109" s="1925"/>
      <c r="O109" s="1925"/>
    </row>
    <row r="110" spans="1:15" s="1924" customFormat="1" ht="15">
      <c r="B110" s="405"/>
      <c r="C110" s="1949"/>
      <c r="D110" s="6"/>
      <c r="E110" s="6"/>
      <c r="F110" s="1936"/>
      <c r="G110" s="405"/>
      <c r="H110" s="405"/>
      <c r="I110" s="405"/>
      <c r="J110" s="405"/>
      <c r="L110" s="1925"/>
      <c r="M110" s="1925"/>
      <c r="N110" s="1925"/>
      <c r="O110" s="1925"/>
    </row>
    <row r="111" spans="1:15" s="1924" customFormat="1" ht="15">
      <c r="B111" s="405"/>
      <c r="C111" s="1949"/>
      <c r="D111" s="6"/>
      <c r="E111" s="6"/>
      <c r="F111" s="1936"/>
      <c r="G111" s="405"/>
      <c r="H111" s="405"/>
      <c r="I111" s="405"/>
      <c r="J111" s="405"/>
      <c r="L111" s="1925"/>
      <c r="M111" s="1925"/>
      <c r="N111" s="1925"/>
      <c r="O111" s="1925"/>
    </row>
    <row r="112" spans="1:15" s="1924" customFormat="1" ht="15">
      <c r="B112" s="405"/>
      <c r="C112" s="1949"/>
      <c r="D112" s="6"/>
      <c r="E112" s="6"/>
      <c r="F112" s="1936"/>
      <c r="G112" s="405"/>
      <c r="H112" s="405"/>
      <c r="I112" s="405"/>
      <c r="J112" s="405"/>
      <c r="L112" s="1925"/>
      <c r="M112" s="1925"/>
      <c r="N112" s="1925"/>
      <c r="O112" s="1925"/>
    </row>
    <row r="113" spans="2:15" s="1924" customFormat="1" ht="15">
      <c r="B113" s="405"/>
      <c r="C113" s="1949"/>
      <c r="D113" s="6"/>
      <c r="E113" s="6"/>
      <c r="F113" s="1936"/>
      <c r="G113" s="405"/>
      <c r="H113" s="405"/>
      <c r="I113" s="405"/>
      <c r="J113" s="405"/>
      <c r="L113" s="1925"/>
      <c r="M113" s="1925"/>
      <c r="N113" s="1925"/>
      <c r="O113" s="1925"/>
    </row>
    <row r="114" spans="2:15" s="1924" customFormat="1" ht="15">
      <c r="B114" s="405"/>
      <c r="C114" s="1949"/>
      <c r="D114" s="6"/>
      <c r="E114" s="6"/>
      <c r="F114" s="1936"/>
      <c r="G114" s="405"/>
      <c r="H114" s="405"/>
      <c r="I114" s="405"/>
      <c r="J114" s="405"/>
      <c r="L114" s="1925"/>
      <c r="M114" s="1925"/>
      <c r="N114" s="1925"/>
      <c r="O114" s="1925"/>
    </row>
    <row r="115" spans="2:15" s="1924" customFormat="1" ht="15">
      <c r="B115" s="405"/>
      <c r="C115" s="1949"/>
      <c r="D115" s="6"/>
      <c r="E115" s="6"/>
      <c r="F115" s="1936"/>
      <c r="G115" s="405"/>
      <c r="H115" s="405"/>
      <c r="I115" s="405"/>
      <c r="J115" s="405"/>
      <c r="L115" s="1925"/>
      <c r="M115" s="1925"/>
      <c r="N115" s="1925"/>
      <c r="O115" s="1925"/>
    </row>
    <row r="116" spans="2:15" s="1924" customFormat="1" ht="15">
      <c r="B116" s="405"/>
      <c r="C116" s="1949"/>
      <c r="D116" s="6"/>
      <c r="E116" s="6"/>
      <c r="F116" s="1936"/>
      <c r="G116" s="405"/>
      <c r="H116" s="405"/>
      <c r="I116" s="405"/>
      <c r="J116" s="405"/>
      <c r="L116" s="1925"/>
      <c r="M116" s="1925"/>
      <c r="N116" s="1925"/>
      <c r="O116" s="1925"/>
    </row>
    <row r="117" spans="2:15" s="1924" customFormat="1" ht="15">
      <c r="B117" s="405"/>
      <c r="C117" s="1949"/>
      <c r="D117" s="6"/>
      <c r="E117" s="6"/>
      <c r="F117" s="1936"/>
      <c r="G117" s="405"/>
      <c r="H117" s="405"/>
      <c r="I117" s="405"/>
      <c r="J117" s="405"/>
      <c r="L117" s="1925"/>
      <c r="M117" s="1925"/>
      <c r="N117" s="1925"/>
      <c r="O117" s="1925"/>
    </row>
    <row r="118" spans="2:15" s="1924" customFormat="1" ht="15">
      <c r="B118" s="405"/>
      <c r="C118" s="1949"/>
      <c r="D118" s="6"/>
      <c r="E118" s="6"/>
      <c r="F118" s="1936"/>
      <c r="G118" s="405"/>
      <c r="H118" s="405"/>
      <c r="I118" s="405"/>
      <c r="J118" s="405"/>
      <c r="L118" s="1925"/>
      <c r="M118" s="1925"/>
      <c r="N118" s="1925"/>
      <c r="O118" s="1925"/>
    </row>
    <row r="119" spans="2:15" s="1924" customFormat="1" ht="15">
      <c r="B119" s="405"/>
      <c r="C119" s="1949"/>
      <c r="D119" s="6"/>
      <c r="E119" s="6"/>
      <c r="F119" s="1936"/>
      <c r="G119" s="405"/>
      <c r="H119" s="405"/>
      <c r="I119" s="405"/>
      <c r="J119" s="405"/>
      <c r="L119" s="1925"/>
      <c r="M119" s="1925"/>
      <c r="N119" s="1925"/>
      <c r="O119" s="1925"/>
    </row>
    <row r="120" spans="2:15" s="1924" customFormat="1" ht="15">
      <c r="B120" s="405"/>
      <c r="C120" s="1949"/>
      <c r="D120" s="6"/>
      <c r="E120" s="6"/>
      <c r="F120" s="1936"/>
      <c r="G120" s="405"/>
      <c r="H120" s="405"/>
      <c r="I120" s="405"/>
      <c r="J120" s="405"/>
      <c r="L120" s="1925"/>
      <c r="M120" s="1925"/>
      <c r="N120" s="1925"/>
      <c r="O120" s="1925"/>
    </row>
    <row r="121" spans="2:15" s="1924" customFormat="1" ht="15">
      <c r="B121" s="405"/>
      <c r="C121" s="1949"/>
      <c r="D121" s="6"/>
      <c r="E121" s="6"/>
      <c r="F121" s="1936"/>
      <c r="G121" s="405"/>
      <c r="H121" s="405"/>
      <c r="I121" s="405"/>
      <c r="J121" s="405"/>
      <c r="L121" s="1925"/>
      <c r="M121" s="1925"/>
      <c r="N121" s="1925"/>
      <c r="O121" s="1925"/>
    </row>
    <row r="122" spans="2:15" s="1924" customFormat="1" ht="15">
      <c r="B122" s="405"/>
      <c r="C122" s="1949"/>
      <c r="D122" s="6"/>
      <c r="E122" s="6"/>
      <c r="F122" s="1936"/>
      <c r="G122" s="405"/>
      <c r="H122" s="405"/>
      <c r="I122" s="405"/>
      <c r="J122" s="405"/>
      <c r="L122" s="1925"/>
      <c r="M122" s="1925"/>
      <c r="N122" s="1925"/>
      <c r="O122" s="1925"/>
    </row>
    <row r="123" spans="2:15" s="1924" customFormat="1" ht="15">
      <c r="B123" s="405"/>
      <c r="C123" s="1949"/>
      <c r="D123" s="6"/>
      <c r="E123" s="6"/>
      <c r="F123" s="1936"/>
      <c r="G123" s="405"/>
      <c r="H123" s="405"/>
      <c r="I123" s="405"/>
      <c r="J123" s="405"/>
      <c r="L123" s="1925"/>
      <c r="M123" s="1925"/>
      <c r="N123" s="1925"/>
      <c r="O123" s="1925"/>
    </row>
    <row r="124" spans="2:15" s="1924" customFormat="1" ht="15">
      <c r="B124" s="405"/>
      <c r="C124" s="1949"/>
      <c r="D124" s="6"/>
      <c r="E124" s="6"/>
      <c r="F124" s="1936"/>
      <c r="G124" s="405"/>
      <c r="H124" s="405"/>
      <c r="I124" s="405"/>
      <c r="J124" s="405"/>
      <c r="L124" s="1925"/>
      <c r="M124" s="1925"/>
      <c r="N124" s="1925"/>
      <c r="O124" s="1925"/>
    </row>
    <row r="125" spans="2:15" s="1924" customFormat="1" ht="15">
      <c r="B125" s="405"/>
      <c r="C125" s="1949"/>
      <c r="D125" s="6"/>
      <c r="E125" s="6"/>
      <c r="F125" s="1936"/>
      <c r="G125" s="405"/>
      <c r="H125" s="405"/>
      <c r="I125" s="405"/>
      <c r="J125" s="405"/>
      <c r="L125" s="1925"/>
      <c r="M125" s="1925"/>
      <c r="N125" s="1925"/>
      <c r="O125" s="1925"/>
    </row>
    <row r="126" spans="2:15" s="1924" customFormat="1" ht="15">
      <c r="B126" s="405"/>
      <c r="C126" s="1949"/>
      <c r="D126" s="6"/>
      <c r="E126" s="6"/>
      <c r="F126" s="1936"/>
      <c r="G126" s="405"/>
      <c r="H126" s="405"/>
      <c r="I126" s="405"/>
      <c r="J126" s="405"/>
      <c r="L126" s="1925"/>
      <c r="M126" s="1925"/>
      <c r="N126" s="1925"/>
      <c r="O126" s="1925"/>
    </row>
    <row r="127" spans="2:15" s="1924" customFormat="1" ht="15">
      <c r="B127" s="405"/>
      <c r="C127" s="1949"/>
      <c r="D127" s="6"/>
      <c r="E127" s="6"/>
      <c r="F127" s="1936"/>
      <c r="G127" s="405"/>
      <c r="H127" s="405"/>
      <c r="I127" s="405"/>
      <c r="J127" s="405"/>
      <c r="L127" s="1925"/>
      <c r="M127" s="1925"/>
      <c r="N127" s="1925"/>
      <c r="O127" s="1925"/>
    </row>
    <row r="128" spans="2:15" s="1924" customFormat="1" ht="15">
      <c r="B128" s="405"/>
      <c r="C128" s="1949"/>
      <c r="D128" s="6"/>
      <c r="E128" s="6"/>
      <c r="F128" s="1936"/>
      <c r="G128" s="405"/>
      <c r="H128" s="405"/>
      <c r="I128" s="405"/>
      <c r="J128" s="405"/>
      <c r="L128" s="1925"/>
      <c r="M128" s="1925"/>
      <c r="N128" s="1925"/>
      <c r="O128" s="1925"/>
    </row>
    <row r="129" spans="3:15" s="1924" customFormat="1" ht="15">
      <c r="C129" s="1976"/>
      <c r="D129" s="1977"/>
      <c r="E129" s="1977"/>
      <c r="F129" s="1925"/>
      <c r="L129" s="1925"/>
      <c r="M129" s="1925"/>
      <c r="N129" s="1925"/>
      <c r="O129" s="1925"/>
    </row>
    <row r="130" spans="3:15" s="1924" customFormat="1" ht="15">
      <c r="C130" s="1976"/>
      <c r="D130" s="1977"/>
      <c r="E130" s="1977"/>
      <c r="F130" s="1925"/>
      <c r="L130" s="1925"/>
      <c r="M130" s="1925"/>
      <c r="N130" s="1925"/>
      <c r="O130" s="1925"/>
    </row>
    <row r="131" spans="3:15" s="1924" customFormat="1" ht="15">
      <c r="C131" s="1976"/>
      <c r="D131" s="1977"/>
      <c r="E131" s="1977"/>
      <c r="F131" s="1925"/>
      <c r="L131" s="1925"/>
      <c r="M131" s="1925"/>
      <c r="N131" s="1925"/>
      <c r="O131" s="1925"/>
    </row>
    <row r="132" spans="3:15" s="1924" customFormat="1" ht="15">
      <c r="C132" s="1976"/>
      <c r="D132" s="1977"/>
      <c r="E132" s="1977"/>
      <c r="F132" s="1925"/>
      <c r="L132" s="1925"/>
      <c r="M132" s="1925"/>
      <c r="N132" s="1925"/>
      <c r="O132" s="1925"/>
    </row>
    <row r="133" spans="3:15" s="1924" customFormat="1" ht="15">
      <c r="C133" s="1976"/>
      <c r="D133" s="1977"/>
      <c r="E133" s="1977"/>
      <c r="F133" s="1925"/>
      <c r="L133" s="1925"/>
      <c r="M133" s="1925"/>
      <c r="N133" s="1925"/>
      <c r="O133" s="1925"/>
    </row>
    <row r="134" spans="3:15" s="1924" customFormat="1" ht="15">
      <c r="C134" s="1976"/>
      <c r="D134" s="1977"/>
      <c r="E134" s="1977"/>
      <c r="F134" s="1925"/>
      <c r="L134" s="1925"/>
      <c r="M134" s="1925"/>
      <c r="N134" s="1925"/>
      <c r="O134" s="1925"/>
    </row>
  </sheetData>
  <conditionalFormatting sqref="C4:E4">
    <cfRule type="cellIs" dxfId="484" priority="3" stopIfTrue="1" operator="equal">
      <formula>"input"</formula>
    </cfRule>
  </conditionalFormatting>
  <conditionalFormatting sqref="F4:I4">
    <cfRule type="cellIs" dxfId="483" priority="4" stopIfTrue="1" operator="equal">
      <formula>"input"</formula>
    </cfRule>
  </conditionalFormatting>
  <conditionalFormatting sqref="J4">
    <cfRule type="cellIs" dxfId="482" priority="2" stopIfTrue="1" operator="equal">
      <formula>"input"</formula>
    </cfRule>
  </conditionalFormatting>
  <conditionalFormatting sqref="B4">
    <cfRule type="cellIs" dxfId="481" priority="1" stopIfTrue="1" operator="equal">
      <formula>"input"</formula>
    </cfRule>
  </conditionalFormatting>
  <hyperlinks>
    <hyperlink ref="L89" r:id="rId1" display="http://www.fiercebiotech.com/biotech/genentech-south-korean-pharma-up-to-910m-raf-inhibitor-deal"/>
    <hyperlink ref="O49" r:id="rId2"/>
  </hyperlinks>
  <pageMargins left="0.5" right="0.5" top="0.5" bottom="0.5" header="0.5" footer="0.5"/>
  <pageSetup scale="85" orientation="landscape" r:id="rId3"/>
  <rowBreaks count="2" manualBreakCount="2">
    <brk id="37" max="10" man="1"/>
    <brk id="70" max="10" man="1"/>
  </rowBreaks>
  <legacyDrawing r:id="rId4"/>
  <legacyDrawingHF r:id="rId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1"/>
    <pageSetUpPr fitToPage="1"/>
  </sheetPr>
  <dimension ref="B4:J28"/>
  <sheetViews>
    <sheetView showGridLines="0" view="pageBreakPreview" zoomScale="60" zoomScaleNormal="100" workbookViewId="0">
      <selection activeCell="D31" sqref="D31"/>
    </sheetView>
  </sheetViews>
  <sheetFormatPr defaultColWidth="9.33203125" defaultRowHeight="15"/>
  <cols>
    <col min="1" max="1" width="4.5" style="291" customWidth="1"/>
    <col min="2" max="2" width="3.83203125" style="291" customWidth="1"/>
    <col min="3" max="3" width="15.83203125" style="291" customWidth="1"/>
    <col min="4" max="4" width="115.83203125" style="292" customWidth="1"/>
    <col min="5" max="5" width="8.33203125" style="291" customWidth="1"/>
    <col min="6" max="6" width="3.83203125" style="291" customWidth="1"/>
    <col min="7" max="7" width="4.5" style="291" customWidth="1"/>
    <col min="8" max="8" width="9.33203125" style="291"/>
    <col min="9" max="9" width="21.33203125" style="291" customWidth="1"/>
    <col min="10" max="10" width="19" style="291" bestFit="1" customWidth="1"/>
    <col min="11" max="16384" width="9.33203125" style="291"/>
  </cols>
  <sheetData>
    <row r="4" spans="2:8">
      <c r="H4" s="949"/>
    </row>
    <row r="6" spans="2:8">
      <c r="B6" s="293"/>
      <c r="C6" s="282"/>
      <c r="D6" s="283"/>
      <c r="E6" s="282"/>
      <c r="F6" s="282"/>
    </row>
    <row r="7" spans="2:8" ht="15.75" thickBot="1">
      <c r="B7" s="293"/>
      <c r="C7" s="282"/>
      <c r="D7" s="283"/>
      <c r="E7" s="282"/>
      <c r="F7" s="282"/>
    </row>
    <row r="8" spans="2:8" ht="15.75" thickTop="1">
      <c r="B8" s="14"/>
      <c r="C8" s="294"/>
      <c r="D8" s="295"/>
      <c r="E8" s="294"/>
      <c r="F8" s="294"/>
    </row>
    <row r="9" spans="2:8" s="296" customFormat="1" ht="40.5">
      <c r="B9" s="297"/>
      <c r="C9" s="300"/>
      <c r="D9" s="316" t="str">
        <f>+'MASTER PubCo Inputs'!C8</f>
        <v>IRC 409A and ASC 718 Common Stock Independent Appraisal</v>
      </c>
      <c r="E9" s="298"/>
      <c r="F9" s="298"/>
    </row>
    <row r="10" spans="2:8">
      <c r="B10" s="284"/>
      <c r="C10" s="300"/>
      <c r="D10" s="317"/>
      <c r="E10" s="300"/>
      <c r="F10" s="300"/>
    </row>
    <row r="11" spans="2:8" ht="23.25">
      <c r="B11" s="284"/>
      <c r="C11" s="300"/>
      <c r="D11" s="285" t="s">
        <v>565</v>
      </c>
      <c r="E11" s="300"/>
      <c r="F11" s="300"/>
    </row>
    <row r="12" spans="2:8" ht="19.5">
      <c r="B12" s="284"/>
      <c r="C12" s="300"/>
      <c r="D12" s="318" t="s">
        <v>392</v>
      </c>
      <c r="E12" s="300"/>
      <c r="F12" s="300"/>
    </row>
    <row r="13" spans="2:8" ht="23.25">
      <c r="B13" s="284"/>
      <c r="C13" s="300"/>
      <c r="D13" s="285" t="str">
        <f>IF('MASTER PubCo Inputs'!C5="","",'MASTER PubCo Inputs'!C5)</f>
        <v>Kallyope, Inc.</v>
      </c>
      <c r="E13" s="300"/>
      <c r="F13" s="300"/>
    </row>
    <row r="14" spans="2:8">
      <c r="B14" s="284"/>
      <c r="C14" s="300"/>
      <c r="D14" s="317"/>
      <c r="E14" s="300"/>
      <c r="F14" s="300"/>
    </row>
    <row r="15" spans="2:8" ht="23.25">
      <c r="B15" s="284"/>
      <c r="C15" s="300"/>
      <c r="D15" s="285" t="str">
        <f>"Valuation Date as of "&amp;TEXT('MASTER PubCo Inputs'!$C$6,"mmmm d, yyyy")&amp;""</f>
        <v>Valuation Date as of June 30, 2018</v>
      </c>
      <c r="E15" s="300"/>
      <c r="F15" s="300"/>
    </row>
    <row r="16" spans="2:8" ht="15.75" thickBot="1">
      <c r="B16" s="286"/>
      <c r="C16" s="301"/>
      <c r="D16" s="302"/>
      <c r="E16" s="301"/>
      <c r="F16" s="301"/>
    </row>
    <row r="17" spans="4:10" ht="15.75" thickTop="1"/>
    <row r="19" spans="4:10" ht="18.75">
      <c r="D19" s="287" t="s">
        <v>393</v>
      </c>
    </row>
    <row r="20" spans="4:10" ht="18.75">
      <c r="D20" s="288" t="str">
        <f ca="1">TEXT(J20,"mmmm d, yyyy")</f>
        <v>September 3, 2018</v>
      </c>
      <c r="I20" s="291" t="s">
        <v>395</v>
      </c>
      <c r="J20" s="315">
        <f ca="1">Title!J20</f>
        <v>43346</v>
      </c>
    </row>
    <row r="25" spans="4:10" ht="23.25">
      <c r="D25" s="867" t="s">
        <v>776</v>
      </c>
    </row>
    <row r="27" spans="4:10" ht="18.75">
      <c r="D27" s="289" t="s">
        <v>575</v>
      </c>
    </row>
    <row r="28" spans="4:10" ht="37.5">
      <c r="D28" s="290" t="s">
        <v>394</v>
      </c>
    </row>
  </sheetData>
  <pageMargins left="0.5" right="0.5" top="0.5" bottom="0.5" header="0.5" footer="0.5"/>
  <pageSetup scale="98" orientation="landscape"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B1:F26"/>
  <sheetViews>
    <sheetView showGridLines="0" view="pageBreakPreview" zoomScaleNormal="145" zoomScaleSheetLayoutView="100" workbookViewId="0">
      <selection activeCell="D31" sqref="D31"/>
    </sheetView>
  </sheetViews>
  <sheetFormatPr defaultRowHeight="12.75"/>
  <cols>
    <col min="1" max="1" width="4.5" style="405" customWidth="1"/>
    <col min="2" max="2" width="20.83203125" style="405" customWidth="1"/>
    <col min="3" max="4" width="14.83203125" style="405" customWidth="1"/>
    <col min="5" max="5" width="64.1640625" style="411" customWidth="1"/>
    <col min="6" max="6" width="30.83203125" style="405" customWidth="1"/>
    <col min="7" max="7" width="4.5" style="405" customWidth="1"/>
    <col min="8" max="8" width="2.83203125" style="405" customWidth="1"/>
    <col min="9" max="16384" width="9.33203125" style="405"/>
  </cols>
  <sheetData>
    <row r="1" spans="2:6" ht="10.7" customHeight="1" thickBot="1"/>
    <row r="2" spans="2:6" ht="16.5" customHeight="1" thickTop="1">
      <c r="B2" s="10" t="str">
        <f>'MASTER PubCo Inputs'!$C$5</f>
        <v>Kallyope, Inc.</v>
      </c>
      <c r="C2" s="10"/>
      <c r="D2" s="10"/>
      <c r="E2" s="372"/>
      <c r="F2" s="10"/>
    </row>
    <row r="3" spans="2:6" ht="16.5" customHeight="1" thickBot="1">
      <c r="B3" s="12" t="s">
        <v>1272</v>
      </c>
      <c r="C3" s="12"/>
      <c r="D3" s="12"/>
      <c r="E3" s="373"/>
      <c r="F3" s="12"/>
    </row>
    <row r="4" spans="2:6" ht="12.75" customHeight="1" thickTop="1"/>
    <row r="5" spans="2:6" ht="12.75" customHeight="1"/>
    <row r="6" spans="2:6" ht="12.75" customHeight="1">
      <c r="B6" s="369" t="s">
        <v>1273</v>
      </c>
      <c r="C6" s="1"/>
      <c r="D6" s="1"/>
      <c r="E6" s="2053" t="s">
        <v>1274</v>
      </c>
      <c r="F6" s="1"/>
    </row>
    <row r="7" spans="2:6" ht="12.75" customHeight="1">
      <c r="B7" s="384" t="str">
        <f>Outline!B50</f>
        <v>#1</v>
      </c>
      <c r="C7" s="1"/>
      <c r="D7" s="1"/>
      <c r="E7" s="314" t="str">
        <f>Outline!E50</f>
        <v>Valuation Summary - rNPV Analysis</v>
      </c>
      <c r="F7" s="1"/>
    </row>
    <row r="8" spans="2:6">
      <c r="B8" s="384" t="str">
        <f>Outline!B51</f>
        <v>#2</v>
      </c>
      <c r="E8" s="314" t="str">
        <f>Outline!E51</f>
        <v>Milestone Calculation</v>
      </c>
    </row>
    <row r="9" spans="2:6">
      <c r="B9" s="384" t="str">
        <f>Outline!B52</f>
        <v>#3</v>
      </c>
      <c r="E9" s="314" t="str">
        <f>Outline!E52</f>
        <v>Fixed Research Payments</v>
      </c>
    </row>
    <row r="10" spans="2:6">
      <c r="B10" s="384" t="str">
        <f>Outline!B53</f>
        <v>#4</v>
      </c>
      <c r="E10" s="314" t="str">
        <f>Outline!E53</f>
        <v>rNPV Assumptions - Obesity</v>
      </c>
    </row>
    <row r="11" spans="2:6">
      <c r="B11" s="384" t="str">
        <f>Outline!B54</f>
        <v>#5</v>
      </c>
      <c r="E11" s="314" t="str">
        <f>Outline!E54</f>
        <v>rNPV Analysis - Obesity</v>
      </c>
    </row>
    <row r="12" spans="2:6">
      <c r="B12" s="384" t="str">
        <f>Outline!B55</f>
        <v>#6</v>
      </c>
      <c r="E12" s="314" t="str">
        <f>Outline!E59</f>
        <v>Penetration Curves</v>
      </c>
    </row>
    <row r="13" spans="2:6">
      <c r="B13" s="384" t="str">
        <f>Outline!B56</f>
        <v>#7</v>
      </c>
      <c r="E13" s="314" t="str">
        <f>Outline!E60</f>
        <v>Discount Rate Support</v>
      </c>
    </row>
    <row r="14" spans="2:6">
      <c r="B14" s="384" t="str">
        <f>Outline!B57</f>
        <v>#8</v>
      </c>
      <c r="E14" s="314" t="str">
        <f>Outline!E61</f>
        <v>Weighted Average Cost of Capital - CAPM-Based</v>
      </c>
    </row>
    <row r="15" spans="2:6">
      <c r="B15" s="384" t="str">
        <f>Outline!B58</f>
        <v>#9</v>
      </c>
      <c r="E15" s="314" t="str">
        <f>Outline!E62</f>
        <v>YTW - Large Pharmaceuticals Companies</v>
      </c>
    </row>
    <row r="16" spans="2:6">
      <c r="B16" s="384" t="str">
        <f>Outline!B59</f>
        <v>#10</v>
      </c>
      <c r="E16" s="314" t="str">
        <f>Outline!E63</f>
        <v>Summary of Obesity Drug Worldwide Forecasts</v>
      </c>
    </row>
    <row r="17" spans="2:5">
      <c r="B17" s="384" t="str">
        <f>Outline!B60</f>
        <v>#11</v>
      </c>
      <c r="E17" s="314" t="str">
        <f>Outline!E64</f>
        <v>Summary of Diabetes Drug Worldwide Forecasts</v>
      </c>
    </row>
    <row r="18" spans="2:5">
      <c r="B18" s="384" t="str">
        <f>Outline!B61</f>
        <v>#12</v>
      </c>
      <c r="E18" s="314" t="str">
        <f>Outline!E65</f>
        <v>Summary of NASH Drug Worldwide Forecasts</v>
      </c>
    </row>
    <row r="19" spans="2:5">
      <c r="B19" s="384" t="str">
        <f>Outline!B62</f>
        <v>#13</v>
      </c>
      <c r="E19" s="314" t="str">
        <f>Outline!E66</f>
        <v>Timeline and Development Cost Research</v>
      </c>
    </row>
    <row r="20" spans="2:5">
      <c r="B20" s="384" t="str">
        <f>Outline!B63</f>
        <v>#14</v>
      </c>
      <c r="E20" s="314" t="str">
        <f>Outline!E67</f>
        <v>FDA Drug Timelines &amp; Probabilities</v>
      </c>
    </row>
    <row r="21" spans="2:5">
      <c r="B21" s="384" t="str">
        <f>Outline!B64</f>
        <v>#15</v>
      </c>
      <c r="E21" s="314" t="str">
        <f>Outline!E68</f>
        <v>rNPV - Probability of Technical Success</v>
      </c>
    </row>
    <row r="22" spans="2:5">
      <c r="B22" s="384" t="str">
        <f>Outline!B65</f>
        <v>#16</v>
      </c>
      <c r="E22" s="314" t="str">
        <f>Outline!E69</f>
        <v>Patent Exclusivity</v>
      </c>
    </row>
    <row r="23" spans="2:5">
      <c r="B23" s="384"/>
      <c r="E23" s="314"/>
    </row>
    <row r="24" spans="2:5">
      <c r="E24" s="405"/>
    </row>
    <row r="25" spans="2:5">
      <c r="E25" s="405"/>
    </row>
    <row r="26" spans="2:5">
      <c r="E26" s="405"/>
    </row>
  </sheetData>
  <conditionalFormatting sqref="B3:F3">
    <cfRule type="cellIs" dxfId="480" priority="28" stopIfTrue="1" operator="equal">
      <formula>"input"</formula>
    </cfRule>
  </conditionalFormatting>
  <conditionalFormatting sqref="B7:B23">
    <cfRule type="expression" dxfId="479" priority="27">
      <formula>OR($B7="Exhibits",$B7="Workpapers")</formula>
    </cfRule>
  </conditionalFormatting>
  <pageMargins left="0.5" right="0.5" top="0.5" bottom="0.5" header="0.5" footer="0.5"/>
  <pageSetup scale="98" orientation="landscape"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2"/>
  <sheetViews>
    <sheetView showGridLines="0" view="pageBreakPreview" zoomScale="85" zoomScaleNormal="100" zoomScaleSheetLayoutView="85" workbookViewId="0">
      <selection activeCell="D15" sqref="D15"/>
    </sheetView>
  </sheetViews>
  <sheetFormatPr defaultRowHeight="12.75"/>
  <cols>
    <col min="1" max="1" width="4.5" style="2168" customWidth="1"/>
    <col min="2" max="2" width="75.1640625" style="2168" customWidth="1"/>
    <col min="3" max="3" width="3.83203125" style="2168" customWidth="1"/>
    <col min="4" max="4" width="27.83203125" style="2168" bestFit="1" customWidth="1"/>
    <col min="5" max="5" width="3.83203125" style="2168" customWidth="1"/>
    <col min="6" max="6" width="27.83203125" style="2168" customWidth="1"/>
    <col min="7" max="7" width="4.5" style="2168" customWidth="1"/>
    <col min="8" max="16384" width="9.33203125" style="2168"/>
  </cols>
  <sheetData>
    <row r="1" spans="2:6" s="720" customFormat="1" ht="10.7" customHeight="1" thickBot="1"/>
    <row r="2" spans="2:6" s="720" customFormat="1" ht="16.5" customHeight="1" thickTop="1">
      <c r="B2" s="10" t="str">
        <f>'MASTER PubCo Inputs'!$C$5</f>
        <v>Kallyope, Inc.</v>
      </c>
      <c r="C2" s="10"/>
      <c r="D2" s="10"/>
      <c r="E2" s="10"/>
      <c r="F2" s="10"/>
    </row>
    <row r="3" spans="2:6" s="720" customFormat="1" ht="15.75" customHeight="1">
      <c r="B3" s="11" t="str">
        <f>VLOOKUP(B4,Outline!$E$8:$G$69,COLUMNS(Outline!$E$8:$G$8),FALSE)</f>
        <v>Workpaper #1</v>
      </c>
      <c r="C3" s="11"/>
      <c r="D3" s="11"/>
      <c r="E3" s="11"/>
      <c r="F3" s="11"/>
    </row>
    <row r="4" spans="2:6" s="720" customFormat="1" ht="16.5" customHeight="1" thickBot="1">
      <c r="B4" s="12" t="s">
        <v>2823</v>
      </c>
      <c r="C4" s="12"/>
      <c r="D4" s="12"/>
      <c r="E4" s="12"/>
      <c r="F4" s="13" t="str">
        <f>'MASTER PubCo Inputs'!C21</f>
        <v>(in thousands of USD)</v>
      </c>
    </row>
    <row r="5" spans="2:6" s="720" customFormat="1" ht="12.75" customHeight="1" thickTop="1"/>
    <row r="6" spans="2:6" s="720" customFormat="1" ht="12.75" customHeight="1"/>
    <row r="7" spans="2:6" s="720" customFormat="1" ht="25.5">
      <c r="B7" s="2154" t="s">
        <v>181</v>
      </c>
      <c r="D7" s="2155" t="s">
        <v>2824</v>
      </c>
      <c r="F7" s="2156" t="s">
        <v>70</v>
      </c>
    </row>
    <row r="8" spans="2:6" s="720" customFormat="1">
      <c r="D8" s="2001"/>
    </row>
    <row r="9" spans="2:6" s="720" customFormat="1">
      <c r="B9" s="720" t="s">
        <v>2855</v>
      </c>
      <c r="D9" s="2001"/>
    </row>
    <row r="10" spans="2:6" s="720" customFormat="1">
      <c r="B10" s="2157" t="s">
        <v>847</v>
      </c>
      <c r="D10" s="2158">
        <v>5000</v>
      </c>
      <c r="F10" s="2159" t="s">
        <v>210</v>
      </c>
    </row>
    <row r="11" spans="2:6" s="720" customFormat="1">
      <c r="B11" s="2157" t="s">
        <v>2930</v>
      </c>
      <c r="D11" s="2160">
        <f>'Milestone Calcs'!J16*1000</f>
        <v>2241.0085101360896</v>
      </c>
      <c r="F11" s="3140" t="str">
        <f>'Milestone Calcs'!B3</f>
        <v>Workpaper #2</v>
      </c>
    </row>
    <row r="12" spans="2:6" s="720" customFormat="1">
      <c r="B12" s="2157" t="s">
        <v>2916</v>
      </c>
      <c r="D12" s="2160">
        <f>'Fixed Research Payments'!C29*1000</f>
        <v>2671.2037153397437</v>
      </c>
      <c r="F12" s="3140" t="str">
        <f>'Fixed Research Payments'!B3</f>
        <v>Workpaper #3</v>
      </c>
    </row>
    <row r="13" spans="2:6" s="720" customFormat="1" ht="12.75" customHeight="1">
      <c r="B13" s="2157" t="s">
        <v>2912</v>
      </c>
      <c r="D13" s="2160">
        <f>'rNPV Analysis_Obesity'!C56*1000</f>
        <v>227.87622247686733</v>
      </c>
      <c r="F13" s="2584" t="str">
        <f>'rNPV Analysis_Obesity'!B3</f>
        <v>Workpaper #5</v>
      </c>
    </row>
    <row r="14" spans="2:6" s="720" customFormat="1">
      <c r="B14" s="2157" t="s">
        <v>2913</v>
      </c>
      <c r="D14" s="3148">
        <f>'rNPV Analysis_Diabetes'!C56*1000</f>
        <v>219.68806954502176</v>
      </c>
      <c r="F14" s="2584" t="str">
        <f>'rNPV Analysis_Diabetes'!B3</f>
        <v>Workpaper #7</v>
      </c>
    </row>
    <row r="15" spans="2:6" s="720" customFormat="1">
      <c r="B15" s="2157" t="s">
        <v>2914</v>
      </c>
      <c r="D15" s="3148">
        <f>'rNPV Analysis_NASH'!C56*1000</f>
        <v>186.92968826234787</v>
      </c>
      <c r="F15" s="2161" t="str">
        <f>'rNPV Analysis_NASH'!B3</f>
        <v>Workpaper #9</v>
      </c>
    </row>
    <row r="16" spans="2:6" s="720" customFormat="1">
      <c r="B16" s="2162" t="s">
        <v>2915</v>
      </c>
      <c r="D16" s="2163">
        <f>SUM(D10:D15)</f>
        <v>10546.706205760069</v>
      </c>
      <c r="F16" s="2161"/>
    </row>
    <row r="17" spans="1:6" s="720" customFormat="1">
      <c r="B17" s="2157"/>
      <c r="D17" s="2160"/>
      <c r="F17" s="2161"/>
    </row>
    <row r="18" spans="1:6" s="720" customFormat="1"/>
    <row r="19" spans="1:6" s="720" customFormat="1" ht="13.5" thickBot="1">
      <c r="B19" s="2164" t="s">
        <v>4384</v>
      </c>
      <c r="C19" s="2164"/>
      <c r="D19" s="2165">
        <f>ROUND(SUM(D16:D17),-1)</f>
        <v>10550</v>
      </c>
      <c r="E19" s="725"/>
    </row>
    <row r="20" spans="1:6" s="720" customFormat="1"/>
    <row r="21" spans="1:6" s="720" customFormat="1"/>
    <row r="22" spans="1:6" s="720" customFormat="1">
      <c r="B22" s="2166" t="s">
        <v>86</v>
      </c>
    </row>
    <row r="23" spans="1:6" s="720" customFormat="1">
      <c r="A23" s="2167" t="s">
        <v>210</v>
      </c>
      <c r="B23" s="391" t="s">
        <v>2935</v>
      </c>
    </row>
    <row r="24" spans="1:6" s="720" customFormat="1"/>
    <row r="25" spans="1:6" s="720" customFormat="1"/>
    <row r="26" spans="1:6" s="720" customFormat="1"/>
    <row r="27" spans="1:6" s="720" customFormat="1"/>
    <row r="28" spans="1:6" s="720" customFormat="1"/>
    <row r="29" spans="1:6" s="720" customFormat="1"/>
    <row r="30" spans="1:6" s="720" customFormat="1"/>
    <row r="31" spans="1:6" s="720" customFormat="1"/>
    <row r="32" spans="1:6" s="720" customFormat="1"/>
    <row r="33" s="720" customFormat="1"/>
    <row r="34" s="720" customFormat="1"/>
    <row r="35" s="720" customFormat="1"/>
    <row r="36" s="720" customFormat="1"/>
    <row r="37" s="720" customFormat="1"/>
    <row r="38" s="720" customFormat="1"/>
    <row r="39" s="720" customFormat="1"/>
    <row r="40" s="720" customFormat="1"/>
    <row r="41" s="720" customFormat="1"/>
    <row r="42" s="720" customFormat="1"/>
    <row r="43" s="720" customFormat="1"/>
    <row r="44" s="720" customFormat="1"/>
    <row r="45" s="720" customFormat="1"/>
    <row r="46" s="720" customFormat="1"/>
    <row r="47" s="720" customFormat="1"/>
    <row r="48" s="720" customFormat="1"/>
    <row r="49" s="720" customFormat="1"/>
    <row r="50" s="720" customFormat="1"/>
    <row r="51" s="720" customFormat="1"/>
    <row r="52" s="720" customFormat="1"/>
    <row r="53" s="720" customFormat="1"/>
    <row r="54" s="720" customFormat="1"/>
    <row r="55" s="720" customFormat="1"/>
    <row r="56" s="720" customFormat="1"/>
    <row r="57" s="720" customFormat="1"/>
    <row r="58" s="720" customFormat="1"/>
    <row r="59" s="720" customFormat="1"/>
    <row r="60" s="720" customFormat="1"/>
    <row r="61" s="720" customFormat="1"/>
    <row r="62" s="720" customFormat="1"/>
  </sheetData>
  <conditionalFormatting sqref="B4:D4">
    <cfRule type="cellIs" dxfId="478" priority="4" stopIfTrue="1" operator="equal">
      <formula>"input"</formula>
    </cfRule>
  </conditionalFormatting>
  <conditionalFormatting sqref="E4">
    <cfRule type="cellIs" dxfId="477" priority="3" stopIfTrue="1" operator="equal">
      <formula>"input"</formula>
    </cfRule>
  </conditionalFormatting>
  <conditionalFormatting sqref="F4">
    <cfRule type="cellIs" dxfId="476" priority="1" stopIfTrue="1" operator="equal">
      <formula>"input"</formula>
    </cfRule>
  </conditionalFormatting>
  <conditionalFormatting sqref="F4">
    <cfRule type="cellIs" dxfId="475" priority="2" stopIfTrue="1" operator="equal">
      <formula>"input"</formula>
    </cfRule>
  </conditionalFormatting>
  <pageMargins left="0.5" right="0.5" top="0.5" bottom="0.5" header="0.5" footer="0.5"/>
  <pageSetup fitToWidth="0" fitToHeight="0" orientation="landscape" r:id="rId1"/>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89"/>
  <sheetViews>
    <sheetView showGridLines="0" view="pageBreakPreview" zoomScaleNormal="100" zoomScaleSheetLayoutView="100" workbookViewId="0">
      <selection activeCell="B4" sqref="B4"/>
    </sheetView>
  </sheetViews>
  <sheetFormatPr defaultRowHeight="12.75"/>
  <cols>
    <col min="1" max="1" width="4.5" style="2168" customWidth="1"/>
    <col min="2" max="2" width="36.1640625" style="2168" customWidth="1"/>
    <col min="3" max="3" width="17.33203125" style="2168" customWidth="1"/>
    <col min="4" max="4" width="17" style="2168" customWidth="1"/>
    <col min="5" max="5" width="15" style="2168" customWidth="1"/>
    <col min="6" max="7" width="14.1640625" style="2168" customWidth="1"/>
    <col min="8" max="8" width="19.5" style="2168" customWidth="1"/>
    <col min="9" max="10" width="15" style="2168" customWidth="1"/>
    <col min="11" max="11" width="14.33203125" style="2168" customWidth="1"/>
    <col min="12" max="12" width="4.5" style="2168" customWidth="1"/>
    <col min="13" max="13" width="14" style="2168" customWidth="1"/>
    <col min="14" max="14" width="15.5" style="2168" bestFit="1" customWidth="1"/>
    <col min="15" max="15" width="16.83203125" style="2168" bestFit="1" customWidth="1"/>
    <col min="16" max="16384" width="9.33203125" style="2168"/>
  </cols>
  <sheetData>
    <row r="1" spans="2:25" ht="13.5" thickBot="1">
      <c r="S1" s="3149"/>
    </row>
    <row r="2" spans="2:25" ht="16.5" thickTop="1">
      <c r="B2" s="10" t="str">
        <f>'MASTER PubCo Inputs'!$C$5</f>
        <v>Kallyope, Inc.</v>
      </c>
      <c r="C2" s="10"/>
      <c r="D2" s="10"/>
      <c r="E2" s="10"/>
      <c r="F2" s="10"/>
      <c r="G2" s="10"/>
      <c r="H2" s="10"/>
      <c r="I2" s="10"/>
      <c r="J2" s="10"/>
      <c r="K2" s="10"/>
    </row>
    <row r="3" spans="2:25" ht="15.75">
      <c r="B3" s="11" t="str">
        <f>VLOOKUP(B4,Outline!$E$8:$G$69,COLUMNS(Outline!$E$8:$G$8),FALSE)</f>
        <v>Workpaper #2</v>
      </c>
      <c r="C3" s="11"/>
      <c r="D3" s="11"/>
      <c r="E3" s="11"/>
      <c r="F3" s="11"/>
      <c r="G3" s="11"/>
      <c r="H3" s="11"/>
      <c r="I3" s="11"/>
      <c r="J3" s="11"/>
      <c r="K3" s="11"/>
    </row>
    <row r="4" spans="2:25" ht="16.5" thickBot="1">
      <c r="B4" s="12" t="s">
        <v>2917</v>
      </c>
      <c r="C4" s="12"/>
      <c r="D4" s="12"/>
      <c r="E4" s="12"/>
      <c r="F4" s="12"/>
      <c r="G4" s="12"/>
      <c r="H4" s="12"/>
      <c r="I4" s="12"/>
      <c r="J4" s="13"/>
      <c r="K4" s="13" t="str">
        <f>'MASTER PubCo Inputs'!$C$24</f>
        <v>(in millions of USD)</v>
      </c>
      <c r="M4" s="2169" t="s">
        <v>346</v>
      </c>
      <c r="N4" s="2170">
        <f>'MASTER PubCo Inputs'!C6</f>
        <v>43281</v>
      </c>
    </row>
    <row r="5" spans="2:25" s="720" customFormat="1" ht="7.5" customHeight="1" thickTop="1"/>
    <row r="6" spans="2:25" s="720" customFormat="1">
      <c r="B6" s="2171" t="s">
        <v>2825</v>
      </c>
      <c r="C6" s="2172"/>
      <c r="D6" s="2173"/>
      <c r="E6" s="1171"/>
      <c r="F6" s="2171" t="s">
        <v>4364</v>
      </c>
      <c r="G6" s="2172"/>
      <c r="H6" s="2172"/>
      <c r="I6" s="3165"/>
    </row>
    <row r="7" spans="2:25" s="720" customFormat="1">
      <c r="B7" s="3160" t="s">
        <v>2826</v>
      </c>
      <c r="C7" s="3139"/>
      <c r="D7" s="3164">
        <f>'WACC CAPM_rNPV'!H14</f>
        <v>0.2</v>
      </c>
      <c r="E7" s="2174" t="s">
        <v>210</v>
      </c>
      <c r="F7" s="2972" t="s">
        <v>3655</v>
      </c>
      <c r="G7" s="3139"/>
      <c r="H7" s="3139"/>
      <c r="I7" s="3138">
        <v>0.5</v>
      </c>
      <c r="J7" s="2003" t="s">
        <v>209</v>
      </c>
    </row>
    <row r="8" spans="2:25" s="720" customFormat="1" ht="5.0999999999999996" customHeight="1">
      <c r="N8" s="2178"/>
      <c r="O8" s="1171"/>
      <c r="P8" s="1171"/>
    </row>
    <row r="9" spans="2:25" s="720" customFormat="1">
      <c r="F9" s="3166" t="s">
        <v>1356</v>
      </c>
      <c r="G9" s="2172"/>
      <c r="H9" s="3173" t="s">
        <v>4370</v>
      </c>
      <c r="I9" s="3167" t="s">
        <v>4361</v>
      </c>
      <c r="N9" s="2178"/>
      <c r="O9" s="1171"/>
      <c r="P9" s="1171"/>
    </row>
    <row r="10" spans="2:25" s="720" customFormat="1">
      <c r="F10" s="2439" t="s">
        <v>4365</v>
      </c>
      <c r="G10" s="3156"/>
      <c r="H10" s="3171">
        <v>1</v>
      </c>
      <c r="I10" s="3158">
        <v>2.5</v>
      </c>
      <c r="J10" s="2003" t="s">
        <v>4376</v>
      </c>
      <c r="N10" s="2178"/>
      <c r="O10" s="1171"/>
      <c r="P10" s="1171"/>
    </row>
    <row r="11" spans="2:25" s="720" customFormat="1">
      <c r="F11" s="2176" t="s">
        <v>4366</v>
      </c>
      <c r="G11" s="2177"/>
      <c r="H11" s="3172">
        <v>0.35</v>
      </c>
      <c r="I11" s="3159">
        <v>3</v>
      </c>
      <c r="J11" s="2003" t="s">
        <v>4376</v>
      </c>
      <c r="N11" s="2178"/>
      <c r="O11" s="1171"/>
      <c r="P11" s="1171"/>
    </row>
    <row r="12" spans="2:25" s="720" customFormat="1">
      <c r="N12" s="2178"/>
      <c r="O12" s="1171"/>
      <c r="P12" s="1171"/>
    </row>
    <row r="13" spans="2:25" s="720" customFormat="1" ht="38.25">
      <c r="B13" s="2462" t="s">
        <v>514</v>
      </c>
      <c r="C13" s="2541" t="s">
        <v>2907</v>
      </c>
      <c r="D13" s="2465" t="s">
        <v>2861</v>
      </c>
      <c r="E13" s="2179" t="s">
        <v>4373</v>
      </c>
      <c r="F13" s="2180" t="s">
        <v>2805</v>
      </c>
      <c r="G13" s="2286" t="s">
        <v>4375</v>
      </c>
      <c r="H13" s="2301" t="s">
        <v>4360</v>
      </c>
      <c r="I13" s="2286" t="s">
        <v>167</v>
      </c>
      <c r="J13" s="2458" t="s">
        <v>2860</v>
      </c>
      <c r="N13" s="2182"/>
      <c r="O13" s="2182"/>
      <c r="P13" s="2168"/>
      <c r="Q13" s="2168"/>
      <c r="R13" s="2168"/>
      <c r="V13" s="2168"/>
      <c r="W13" s="2168"/>
      <c r="X13" s="2168"/>
      <c r="Y13" s="2168"/>
    </row>
    <row r="14" spans="2:25" s="720" customFormat="1" ht="25.5">
      <c r="B14" s="2463" t="s">
        <v>2858</v>
      </c>
      <c r="C14" s="2464">
        <v>43465</v>
      </c>
      <c r="D14" s="2460">
        <f>YEARFRAC('Milestone Calcs'!N4,'Milestone Calcs'!C14,3)</f>
        <v>0.50410958904109593</v>
      </c>
      <c r="E14" s="2302">
        <v>0.9</v>
      </c>
      <c r="F14" s="2303">
        <f>E14</f>
        <v>0.9</v>
      </c>
      <c r="G14" s="2307">
        <v>2</v>
      </c>
      <c r="H14" s="2306">
        <f>F14*G14</f>
        <v>1.8</v>
      </c>
      <c r="I14" s="2305">
        <f>1/(1+$D$7)^D14</f>
        <v>0.91218720159156352</v>
      </c>
      <c r="J14" s="2308">
        <f>H14*I14</f>
        <v>1.6419369628648144</v>
      </c>
      <c r="K14" s="1171"/>
      <c r="N14" s="2182"/>
      <c r="O14" s="2182"/>
    </row>
    <row r="15" spans="2:25" s="720" customFormat="1" ht="25.5">
      <c r="B15" s="2461" t="s">
        <v>2859</v>
      </c>
      <c r="C15" s="2464">
        <f>EOMONTH(N4,D15*12)</f>
        <v>44196</v>
      </c>
      <c r="D15" s="3157">
        <f>I10</f>
        <v>2.5</v>
      </c>
      <c r="E15" s="3174">
        <f>H11</f>
        <v>0.35</v>
      </c>
      <c r="F15" s="2304">
        <f>F14*E15</f>
        <v>0.315</v>
      </c>
      <c r="G15" s="2307">
        <v>3</v>
      </c>
      <c r="H15" s="2308">
        <f t="shared" ref="H15" si="0">F15*G15</f>
        <v>0.94500000000000006</v>
      </c>
      <c r="I15" s="2309">
        <f>1/(1+$D$7)^D15</f>
        <v>0.63393814526060899</v>
      </c>
      <c r="J15" s="2308">
        <f t="shared" ref="J15" si="1">H15*I15</f>
        <v>0.59907154727127554</v>
      </c>
      <c r="K15" s="1171"/>
      <c r="N15" s="2182"/>
      <c r="O15" s="2182"/>
    </row>
    <row r="16" spans="2:25" s="720" customFormat="1">
      <c r="B16" s="2427" t="s">
        <v>2899</v>
      </c>
      <c r="C16" s="2466"/>
      <c r="D16" s="2467"/>
      <c r="E16" s="2468"/>
      <c r="F16" s="2469"/>
      <c r="G16" s="2470"/>
      <c r="H16" s="2471"/>
      <c r="I16" s="2470"/>
      <c r="J16" s="2472">
        <f>SUM(J14:J15)</f>
        <v>2.2410085101360897</v>
      </c>
      <c r="K16"/>
      <c r="L16"/>
      <c r="N16" s="2182"/>
      <c r="O16" s="2182"/>
    </row>
    <row r="17" spans="1:25" s="720" customFormat="1" ht="12.75" customHeight="1">
      <c r="H17" s="1197"/>
      <c r="N17" s="1171"/>
      <c r="O17" s="1171"/>
    </row>
    <row r="18" spans="1:25" s="2203" customFormat="1" ht="12.75" customHeight="1">
      <c r="D18" s="2168"/>
      <c r="E18" s="2213"/>
      <c r="F18" s="2168"/>
      <c r="G18" s="2168"/>
      <c r="H18" s="2214"/>
      <c r="P18" s="720"/>
      <c r="Q18" s="720"/>
      <c r="R18" s="720"/>
      <c r="S18" s="720"/>
      <c r="T18" s="720"/>
      <c r="U18" s="720"/>
      <c r="V18" s="720"/>
      <c r="W18" s="720"/>
      <c r="X18" s="720"/>
      <c r="Y18" s="720"/>
    </row>
    <row r="19" spans="1:25" s="720" customFormat="1" ht="12.75" customHeight="1">
      <c r="B19" s="2215"/>
      <c r="C19" s="2216"/>
      <c r="D19" s="2216"/>
      <c r="E19" s="2217"/>
      <c r="F19" s="2218"/>
      <c r="G19" s="2218"/>
      <c r="H19" s="2218"/>
    </row>
    <row r="20" spans="1:25" s="720" customFormat="1">
      <c r="B20" s="2166" t="s">
        <v>86</v>
      </c>
    </row>
    <row r="21" spans="1:25" s="720" customFormat="1" ht="12.75" customHeight="1">
      <c r="A21" s="2167" t="s">
        <v>210</v>
      </c>
      <c r="B21" s="2219" t="str">
        <f>"Refer to "&amp;'WACC CAPM_rNPV'!B3&amp;"."</f>
        <v>Refer to Workpaper #12.</v>
      </c>
      <c r="C21" s="2219"/>
      <c r="D21" s="2219"/>
      <c r="E21" s="2219"/>
      <c r="F21" s="2219"/>
      <c r="G21" s="2219"/>
      <c r="H21" s="2219"/>
      <c r="I21" s="2219"/>
      <c r="J21" s="2219"/>
      <c r="K21" s="2220"/>
    </row>
    <row r="22" spans="1:25" s="720" customFormat="1" ht="12.75" customHeight="1">
      <c r="A22" s="763" t="s">
        <v>209</v>
      </c>
      <c r="B22" s="3142" t="s">
        <v>4363</v>
      </c>
      <c r="C22" s="2219"/>
      <c r="D22" s="2219"/>
      <c r="E22" s="2219"/>
      <c r="F22" s="2219"/>
      <c r="G22" s="2219"/>
      <c r="H22" s="2219"/>
      <c r="I22" s="2219"/>
      <c r="J22" s="2219"/>
      <c r="K22" s="2220"/>
    </row>
    <row r="23" spans="1:25" s="720" customFormat="1" ht="27" customHeight="1">
      <c r="A23" s="763" t="s">
        <v>246</v>
      </c>
      <c r="B23" s="3252" t="s">
        <v>4368</v>
      </c>
      <c r="C23" s="3252"/>
      <c r="D23" s="3252"/>
      <c r="E23" s="3252"/>
      <c r="F23" s="3252"/>
      <c r="G23" s="3252"/>
      <c r="H23" s="3252"/>
      <c r="I23" s="3252"/>
      <c r="J23" s="3252"/>
      <c r="K23" s="3252"/>
    </row>
    <row r="24" spans="1:25" s="720" customFormat="1" ht="12.75" customHeight="1">
      <c r="A24" s="763" t="s">
        <v>247</v>
      </c>
      <c r="B24" s="2219" t="str">
        <f>"Based on the published studies and discussions with Management. Refer to "&amp;'PoTS _rNPV'!B3&amp;"."</f>
        <v>Based on the published studies and discussions with Management. Refer to Workpaper #19.</v>
      </c>
      <c r="C24" s="2219"/>
      <c r="D24" s="2219"/>
      <c r="E24" s="2219"/>
      <c r="F24" s="2219"/>
      <c r="G24" s="2219"/>
      <c r="H24" s="2219"/>
      <c r="I24" s="2219"/>
      <c r="J24" s="2219"/>
      <c r="K24" s="2220"/>
    </row>
    <row r="25" spans="1:25" s="720" customFormat="1"/>
    <row r="26" spans="1:25" s="720" customFormat="1"/>
    <row r="27" spans="1:25" s="720" customFormat="1"/>
    <row r="28" spans="1:25" s="720" customFormat="1">
      <c r="P28" s="1171"/>
      <c r="Q28" s="1171"/>
    </row>
    <row r="29" spans="1:25" s="720" customFormat="1">
      <c r="P29" s="1171"/>
      <c r="Q29" s="1171"/>
    </row>
    <row r="30" spans="1:25" s="720" customFormat="1">
      <c r="O30" s="3150"/>
      <c r="P30" s="3151"/>
      <c r="Q30" s="3151"/>
      <c r="R30" s="3151"/>
      <c r="S30" s="3151"/>
      <c r="T30" s="3151"/>
      <c r="U30" s="3151"/>
      <c r="V30" s="3151"/>
      <c r="W30" s="3151"/>
      <c r="X30" s="3152"/>
    </row>
    <row r="31" spans="1:25" s="720" customFormat="1">
      <c r="O31" s="2439"/>
      <c r="P31" s="1171"/>
      <c r="Q31" s="1171"/>
      <c r="R31" s="1197">
        <v>0.22600000000000001</v>
      </c>
      <c r="S31" s="1197">
        <v>0.223</v>
      </c>
      <c r="T31" s="1197">
        <v>0.19800000000000001</v>
      </c>
      <c r="U31" s="1197">
        <v>0.20699999999999999</v>
      </c>
      <c r="V31" s="1197">
        <v>0.217</v>
      </c>
      <c r="W31" s="1171"/>
      <c r="X31" s="2440"/>
    </row>
    <row r="32" spans="1:25" s="720" customFormat="1">
      <c r="O32" s="3153" t="s">
        <v>4026</v>
      </c>
      <c r="P32" s="2177"/>
      <c r="Q32" s="2177"/>
      <c r="R32" s="2177"/>
      <c r="S32" s="2177"/>
      <c r="T32" s="2177"/>
      <c r="U32" s="2177"/>
      <c r="V32" s="2177"/>
      <c r="W32" s="2177"/>
      <c r="X32" s="3154">
        <f>AVERAGE(R31:V31)</f>
        <v>0.2142</v>
      </c>
    </row>
    <row r="33" spans="16:17" s="720" customFormat="1">
      <c r="P33" s="2182"/>
      <c r="Q33" s="1171"/>
    </row>
    <row r="34" spans="16:17" s="720" customFormat="1">
      <c r="P34" s="1171"/>
      <c r="Q34" s="1171"/>
    </row>
    <row r="35" spans="16:17" s="720" customFormat="1">
      <c r="P35" s="1171"/>
      <c r="Q35" s="1171"/>
    </row>
    <row r="36" spans="16:17" s="720" customFormat="1">
      <c r="P36" s="1171"/>
      <c r="Q36" s="1171"/>
    </row>
    <row r="37" spans="16:17" s="720" customFormat="1">
      <c r="P37" s="1171"/>
      <c r="Q37" s="1171"/>
    </row>
    <row r="38" spans="16:17" s="720" customFormat="1">
      <c r="P38" s="1171"/>
      <c r="Q38" s="1171"/>
    </row>
    <row r="39" spans="16:17" s="720" customFormat="1">
      <c r="P39" s="1171"/>
      <c r="Q39" s="1171"/>
    </row>
    <row r="40" spans="16:17" s="720" customFormat="1">
      <c r="P40" s="1171"/>
      <c r="Q40" s="1171"/>
    </row>
    <row r="41" spans="16:17" s="720" customFormat="1"/>
    <row r="42" spans="16:17" s="720" customFormat="1"/>
    <row r="43" spans="16:17" s="720" customFormat="1"/>
    <row r="44" spans="16:17" s="720" customFormat="1"/>
    <row r="45" spans="16:17" s="720" customFormat="1"/>
    <row r="46" spans="16:17" s="720" customFormat="1"/>
    <row r="47" spans="16:17" s="720" customFormat="1"/>
    <row r="48" spans="16:17" s="720" customFormat="1"/>
    <row r="49" s="720" customFormat="1"/>
    <row r="50" s="720" customFormat="1"/>
    <row r="51" s="720" customFormat="1"/>
    <row r="52" s="720" customFormat="1"/>
    <row r="53" s="720" customFormat="1"/>
    <row r="54" s="720" customFormat="1"/>
    <row r="55" s="720" customFormat="1"/>
    <row r="56" s="720" customFormat="1"/>
    <row r="57" s="720" customFormat="1"/>
    <row r="58" s="720" customFormat="1"/>
    <row r="59" s="720" customFormat="1"/>
    <row r="60" s="720" customFormat="1"/>
    <row r="61" s="720" customFormat="1"/>
    <row r="62" s="720" customFormat="1"/>
    <row r="63" s="720" customFormat="1"/>
    <row r="64" s="720" customFormat="1"/>
    <row r="65" s="720" customFormat="1"/>
    <row r="66" s="720" customFormat="1"/>
    <row r="67" s="720" customFormat="1"/>
    <row r="68" s="720" customFormat="1"/>
    <row r="69" s="720" customFormat="1"/>
    <row r="70" s="720" customFormat="1"/>
    <row r="71" s="720" customFormat="1"/>
    <row r="72" s="720" customFormat="1"/>
    <row r="73" s="720" customFormat="1"/>
    <row r="74" s="720" customFormat="1"/>
    <row r="75" s="720" customFormat="1"/>
    <row r="76" s="720" customFormat="1"/>
    <row r="77" s="720" customFormat="1"/>
    <row r="78" s="720" customFormat="1"/>
    <row r="79" s="720" customFormat="1"/>
    <row r="80" s="720" customFormat="1"/>
    <row r="81" s="720" customFormat="1"/>
    <row r="82" s="720" customFormat="1"/>
    <row r="83" s="720" customFormat="1"/>
    <row r="84" s="720" customFormat="1"/>
    <row r="85" s="720" customFormat="1"/>
    <row r="86" s="720" customFormat="1"/>
    <row r="87" s="720" customFormat="1"/>
    <row r="88" s="720" customFormat="1"/>
    <row r="89" s="720" customFormat="1"/>
    <row r="90" s="720" customFormat="1"/>
    <row r="91" s="720" customFormat="1"/>
    <row r="92" s="720" customFormat="1"/>
    <row r="93" s="720" customFormat="1"/>
    <row r="94" s="720" customFormat="1"/>
    <row r="95" s="720" customFormat="1"/>
    <row r="96" s="720" customFormat="1"/>
    <row r="97" s="720" customFormat="1"/>
    <row r="98" s="720" customFormat="1"/>
    <row r="99" s="720" customFormat="1"/>
    <row r="100" s="720" customFormat="1"/>
    <row r="101" s="720" customFormat="1"/>
    <row r="102" s="720" customFormat="1"/>
    <row r="103" s="720" customFormat="1"/>
    <row r="104" s="720" customFormat="1"/>
    <row r="105" s="720" customFormat="1"/>
    <row r="106" s="720" customFormat="1"/>
    <row r="107" s="720" customFormat="1"/>
    <row r="108" s="720" customFormat="1"/>
    <row r="109" s="720" customFormat="1"/>
    <row r="110" s="720" customFormat="1"/>
    <row r="111" s="720" customFormat="1"/>
    <row r="112" s="720" customFormat="1"/>
    <row r="113" s="720" customFormat="1"/>
    <row r="114" s="720" customFormat="1"/>
    <row r="115" s="720" customFormat="1"/>
    <row r="116" s="720" customFormat="1"/>
    <row r="117" s="720" customFormat="1"/>
    <row r="118" s="720" customFormat="1"/>
    <row r="119" s="720" customFormat="1"/>
    <row r="120" s="720" customFormat="1"/>
    <row r="121" s="720" customFormat="1"/>
    <row r="122" s="720" customFormat="1"/>
    <row r="123" s="720" customFormat="1"/>
    <row r="124" s="720" customFormat="1"/>
    <row r="125" s="720" customFormat="1"/>
    <row r="126" s="720" customFormat="1"/>
    <row r="127" s="720" customFormat="1"/>
    <row r="128" s="720" customFormat="1"/>
    <row r="129" s="720" customFormat="1"/>
    <row r="130" s="720" customFormat="1"/>
    <row r="131" s="720" customFormat="1"/>
    <row r="132" s="720" customFormat="1"/>
    <row r="133" s="720" customFormat="1"/>
    <row r="134" s="720" customFormat="1"/>
    <row r="135" s="720" customFormat="1"/>
    <row r="136" s="720" customFormat="1"/>
    <row r="137" s="720" customFormat="1"/>
    <row r="138" s="720" customFormat="1"/>
    <row r="139" s="720" customFormat="1"/>
    <row r="140" s="720" customFormat="1"/>
    <row r="141" s="720" customFormat="1"/>
    <row r="142" s="720" customFormat="1"/>
    <row r="143" s="720" customFormat="1"/>
    <row r="144" s="720" customFormat="1"/>
    <row r="145" s="720" customFormat="1"/>
    <row r="146" s="720" customFormat="1"/>
    <row r="147" s="720" customFormat="1"/>
    <row r="148" s="720" customFormat="1"/>
    <row r="149" s="720" customFormat="1"/>
    <row r="150" s="720" customFormat="1"/>
    <row r="151" s="720" customFormat="1"/>
    <row r="152" s="720" customFormat="1"/>
    <row r="153" s="720" customFormat="1"/>
    <row r="154" s="720" customFormat="1"/>
    <row r="155" s="720" customFormat="1"/>
    <row r="156" s="720" customFormat="1"/>
    <row r="157" s="720" customFormat="1"/>
    <row r="158" s="720" customFormat="1"/>
    <row r="159" s="720" customFormat="1"/>
    <row r="160" s="720" customFormat="1"/>
    <row r="161" s="720" customFormat="1"/>
    <row r="162" s="720" customFormat="1"/>
    <row r="163" s="720" customFormat="1"/>
    <row r="164" s="720" customFormat="1"/>
    <row r="165" s="720" customFormat="1"/>
    <row r="166" s="720" customFormat="1"/>
    <row r="167" s="720" customFormat="1"/>
    <row r="168" s="720" customFormat="1"/>
    <row r="169" s="720" customFormat="1"/>
    <row r="170" s="720" customFormat="1"/>
    <row r="171" s="720" customFormat="1"/>
    <row r="172" s="720" customFormat="1"/>
    <row r="173" s="720" customFormat="1"/>
    <row r="174" s="720" customFormat="1"/>
    <row r="175" s="720" customFormat="1"/>
    <row r="176" s="720" customFormat="1"/>
    <row r="177" s="720" customFormat="1"/>
    <row r="178" s="720" customFormat="1"/>
    <row r="179" s="720" customFormat="1"/>
    <row r="180" s="720" customFormat="1"/>
    <row r="181" s="720" customFormat="1"/>
    <row r="182" s="720" customFormat="1"/>
    <row r="183" s="720" customFormat="1"/>
    <row r="184" s="720" customFormat="1"/>
    <row r="185" s="720" customFormat="1"/>
    <row r="186" s="720" customFormat="1"/>
    <row r="187" s="720" customFormat="1"/>
    <row r="188" s="720" customFormat="1"/>
    <row r="189" s="720" customFormat="1"/>
  </sheetData>
  <mergeCells count="1">
    <mergeCell ref="B23:K23"/>
  </mergeCells>
  <conditionalFormatting sqref="B4:J4">
    <cfRule type="cellIs" dxfId="474" priority="2" stopIfTrue="1" operator="equal">
      <formula>"input"</formula>
    </cfRule>
  </conditionalFormatting>
  <conditionalFormatting sqref="K4">
    <cfRule type="cellIs" dxfId="473" priority="1" stopIfTrue="1" operator="equal">
      <formula>"input"</formula>
    </cfRule>
  </conditionalFormatting>
  <pageMargins left="0.5" right="0.5" top="0.5" bottom="0.5" header="0.5" footer="0.5"/>
  <pageSetup scale="80" orientation="landscape"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FD37"/>
  <sheetViews>
    <sheetView showGridLines="0" view="pageBreakPreview" topLeftCell="L15" zoomScale="85" zoomScaleNormal="100" zoomScaleSheetLayoutView="85" workbookViewId="0">
      <selection activeCell="V19" sqref="V19"/>
    </sheetView>
  </sheetViews>
  <sheetFormatPr defaultColWidth="9.33203125" defaultRowHeight="12.75" outlineLevelRow="1" outlineLevelCol="1"/>
  <cols>
    <col min="1" max="1" width="4.5" style="720" customWidth="1"/>
    <col min="2" max="2" width="46.5" style="720" customWidth="1"/>
    <col min="3" max="3" width="12.83203125" style="720" customWidth="1"/>
    <col min="4" max="5" width="4.1640625" style="720" customWidth="1"/>
    <col min="6" max="21" width="22.1640625" style="720" customWidth="1"/>
    <col min="22" max="27" width="29.1640625" style="720" customWidth="1"/>
    <col min="28" max="29" width="22.1640625" style="720" hidden="1" customWidth="1" outlineLevel="1"/>
    <col min="30" max="33" width="20.83203125" style="720" hidden="1" customWidth="1" outlineLevel="1"/>
    <col min="34" max="34" width="4.5" style="1984" customWidth="1" collapsed="1"/>
    <col min="35" max="36" width="9.33203125" style="720"/>
    <col min="37" max="37" width="24" style="720" customWidth="1"/>
    <col min="38" max="16384" width="9.33203125" style="720"/>
  </cols>
  <sheetData>
    <row r="1" spans="1:41" s="2168" customFormat="1" ht="13.5" thickBot="1">
      <c r="AH1" s="2222"/>
    </row>
    <row r="2" spans="1:41" s="2168" customFormat="1" ht="16.5" thickTop="1">
      <c r="B2" s="10" t="s">
        <v>1608</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2222"/>
      <c r="AJ2" s="720"/>
      <c r="AK2" s="720"/>
      <c r="AL2" s="720"/>
      <c r="AM2" s="720"/>
      <c r="AN2" s="720"/>
      <c r="AO2" s="720"/>
    </row>
    <row r="3" spans="1:41" s="2168" customFormat="1" ht="15.75">
      <c r="B3" s="11" t="s">
        <v>2890</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2222"/>
      <c r="AJ3" s="720"/>
      <c r="AK3" s="720"/>
      <c r="AL3" s="720"/>
      <c r="AM3" s="720"/>
      <c r="AN3" s="720"/>
      <c r="AO3" s="720"/>
    </row>
    <row r="4" spans="1:41" s="2168" customFormat="1" ht="15.75" customHeight="1" thickBot="1">
      <c r="B4" s="12" t="s">
        <v>2916</v>
      </c>
      <c r="C4" s="12"/>
      <c r="D4" s="12"/>
      <c r="E4" s="12"/>
      <c r="F4" s="12"/>
      <c r="G4" s="12"/>
      <c r="H4" s="12"/>
      <c r="I4" s="13" t="str">
        <f>'MASTER PubCo Inputs'!$C$24</f>
        <v>(in millions of USD)</v>
      </c>
      <c r="J4" s="12"/>
      <c r="K4" s="12"/>
      <c r="L4" s="13"/>
      <c r="M4" s="13" t="str">
        <f>'MASTER PubCo Inputs'!$C$24</f>
        <v>(in millions of USD)</v>
      </c>
      <c r="N4" s="13"/>
      <c r="O4" s="12"/>
      <c r="P4" s="12"/>
      <c r="Q4" s="13" t="str">
        <f>'MASTER PubCo Inputs'!$C$24</f>
        <v>(in millions of USD)</v>
      </c>
      <c r="R4" s="13"/>
      <c r="S4" s="12"/>
      <c r="T4" s="13"/>
      <c r="U4" s="13" t="str">
        <f>'MASTER PubCo Inputs'!$C$24</f>
        <v>(in millions of USD)</v>
      </c>
      <c r="V4" s="13"/>
      <c r="W4" s="13"/>
      <c r="X4" s="13" t="str">
        <f>'MASTER PubCo Inputs'!$C$24</f>
        <v>(in millions of USD)</v>
      </c>
      <c r="Y4" s="13"/>
      <c r="Z4" s="13"/>
      <c r="AA4" s="13" t="str">
        <f>'MASTER PubCo Inputs'!$C$24</f>
        <v>(in millions of USD)</v>
      </c>
      <c r="AB4" s="13"/>
      <c r="AC4" s="13" t="str">
        <f>'MASTER PubCo Inputs'!$C$24</f>
        <v>(in millions of USD)</v>
      </c>
      <c r="AD4" s="13"/>
      <c r="AE4" s="12"/>
      <c r="AF4" s="12"/>
      <c r="AG4" s="13" t="str">
        <f>'MASTER PubCo Inputs'!$C$24</f>
        <v>(in millions of USD)</v>
      </c>
      <c r="AH4" s="2222"/>
      <c r="AI4" s="720"/>
      <c r="AJ4" s="720"/>
      <c r="AK4" s="720"/>
      <c r="AL4" s="720"/>
      <c r="AM4" s="720"/>
      <c r="AN4" s="720"/>
      <c r="AO4" s="720"/>
    </row>
    <row r="5" spans="1:41" ht="13.5" thickTop="1"/>
    <row r="6" spans="1:41">
      <c r="B6" s="2974" t="s">
        <v>3656</v>
      </c>
      <c r="C6" s="3161">
        <f>SUM('Milestone Calcs'!I10:I11)*4</f>
        <v>22</v>
      </c>
    </row>
    <row r="8" spans="1:41">
      <c r="B8" s="2223"/>
    </row>
    <row r="9" spans="1:41" hidden="1" outlineLevel="1">
      <c r="B9" s="720" t="s">
        <v>2911</v>
      </c>
      <c r="F9" s="720">
        <f>COUNTA($F11:F11)</f>
        <v>1</v>
      </c>
      <c r="G9" s="720">
        <f>COUNTA($F11:G11)</f>
        <v>2</v>
      </c>
      <c r="H9" s="720">
        <f>COUNTA($F11:H11)</f>
        <v>3</v>
      </c>
      <c r="I9" s="720">
        <f>COUNTA($F11:I11)</f>
        <v>4</v>
      </c>
      <c r="J9" s="720">
        <f>COUNTA($F11:J11)</f>
        <v>5</v>
      </c>
      <c r="K9" s="720">
        <f>COUNTA($F11:K11)</f>
        <v>6</v>
      </c>
      <c r="L9" s="720">
        <f>COUNTA($F11:L11)</f>
        <v>7</v>
      </c>
      <c r="M9" s="720">
        <f>COUNTA($F11:M11)</f>
        <v>8</v>
      </c>
      <c r="N9" s="720">
        <f>COUNTA($F11:N11)</f>
        <v>9</v>
      </c>
      <c r="O9" s="720">
        <f>COUNTA($F11:O11)</f>
        <v>10</v>
      </c>
      <c r="P9" s="720">
        <f>COUNTA($F11:P11)</f>
        <v>11</v>
      </c>
      <c r="Q9" s="720">
        <f>COUNTA($F11:Q11)</f>
        <v>12</v>
      </c>
      <c r="R9" s="720">
        <f>COUNTA($F11:R11)</f>
        <v>13</v>
      </c>
      <c r="S9" s="720">
        <f>COUNTA($F11:S11)</f>
        <v>14</v>
      </c>
      <c r="T9" s="720">
        <f>COUNTA($F11:T11)</f>
        <v>15</v>
      </c>
      <c r="U9" s="720">
        <f>COUNTA($F11:U11)</f>
        <v>16</v>
      </c>
      <c r="V9" s="720">
        <f>COUNTA($F11:V11)</f>
        <v>17</v>
      </c>
      <c r="W9" s="720">
        <f>COUNTA($F11:W11)</f>
        <v>18</v>
      </c>
      <c r="X9" s="720">
        <f>COUNTA($F11:X11)</f>
        <v>19</v>
      </c>
      <c r="Y9" s="720">
        <f>COUNTA($F11:Y11)</f>
        <v>20</v>
      </c>
      <c r="Z9" s="720">
        <f>COUNTA($F11:Z11)</f>
        <v>21</v>
      </c>
      <c r="AA9" s="720">
        <f>COUNTA($F11:AA11)</f>
        <v>22</v>
      </c>
      <c r="AB9" s="720">
        <f>COUNTA($F11:AB11)</f>
        <v>23</v>
      </c>
      <c r="AC9" s="720">
        <f>COUNTA($F11:AC11)</f>
        <v>24</v>
      </c>
      <c r="AD9" s="720">
        <f>COUNTA($F11:AD11)</f>
        <v>25</v>
      </c>
      <c r="AE9" s="720">
        <f>COUNTA($F11:AE11)</f>
        <v>26</v>
      </c>
      <c r="AF9" s="720">
        <f>COUNTA($F11:AF11)</f>
        <v>27</v>
      </c>
      <c r="AG9" s="720">
        <f>COUNTA($F11:AG11)</f>
        <v>28</v>
      </c>
    </row>
    <row r="10" spans="1:41" collapsed="1">
      <c r="A10" s="1171"/>
      <c r="B10" s="2495" t="s">
        <v>2840</v>
      </c>
      <c r="C10" s="2475"/>
      <c r="D10" s="2475"/>
      <c r="E10" s="2475"/>
      <c r="F10" s="2475">
        <f>YEAR(F11)</f>
        <v>2018</v>
      </c>
      <c r="G10" s="2475">
        <f t="shared" ref="G10:AG10" si="0">YEAR(G11)</f>
        <v>2018</v>
      </c>
      <c r="H10" s="2475">
        <f t="shared" si="0"/>
        <v>2019</v>
      </c>
      <c r="I10" s="2496">
        <f t="shared" si="0"/>
        <v>2019</v>
      </c>
      <c r="J10" s="2475">
        <f t="shared" si="0"/>
        <v>2019</v>
      </c>
      <c r="K10" s="2475">
        <f t="shared" si="0"/>
        <v>2019</v>
      </c>
      <c r="L10" s="2475">
        <f t="shared" si="0"/>
        <v>2020</v>
      </c>
      <c r="M10" s="2496">
        <f t="shared" si="0"/>
        <v>2020</v>
      </c>
      <c r="N10" s="2475">
        <f t="shared" si="0"/>
        <v>2020</v>
      </c>
      <c r="O10" s="2475">
        <f t="shared" si="0"/>
        <v>2020</v>
      </c>
      <c r="P10" s="2475">
        <f t="shared" si="0"/>
        <v>2021</v>
      </c>
      <c r="Q10" s="2496">
        <f t="shared" si="0"/>
        <v>2021</v>
      </c>
      <c r="R10" s="2475">
        <f t="shared" si="0"/>
        <v>2021</v>
      </c>
      <c r="S10" s="2475">
        <f t="shared" si="0"/>
        <v>2021</v>
      </c>
      <c r="T10" s="2475">
        <f t="shared" si="0"/>
        <v>2022</v>
      </c>
      <c r="U10" s="3213">
        <f t="shared" si="0"/>
        <v>2022</v>
      </c>
      <c r="V10" s="2475">
        <f t="shared" si="0"/>
        <v>2022</v>
      </c>
      <c r="W10" s="2475">
        <f t="shared" si="0"/>
        <v>2022</v>
      </c>
      <c r="X10" s="3170">
        <f t="shared" si="0"/>
        <v>2023</v>
      </c>
      <c r="Y10" s="2475">
        <f t="shared" si="0"/>
        <v>2023</v>
      </c>
      <c r="Z10" s="2475">
        <f t="shared" si="0"/>
        <v>2023</v>
      </c>
      <c r="AA10" s="3170">
        <f t="shared" si="0"/>
        <v>2023</v>
      </c>
      <c r="AB10" s="2475">
        <f t="shared" si="0"/>
        <v>2024</v>
      </c>
      <c r="AC10" s="3005">
        <f t="shared" si="0"/>
        <v>2024</v>
      </c>
      <c r="AD10" s="2475">
        <f t="shared" si="0"/>
        <v>2024</v>
      </c>
      <c r="AE10" s="2475">
        <f t="shared" si="0"/>
        <v>2024</v>
      </c>
      <c r="AF10" s="2475">
        <f t="shared" si="0"/>
        <v>2025</v>
      </c>
      <c r="AG10" s="3005">
        <f t="shared" si="0"/>
        <v>2025</v>
      </c>
    </row>
    <row r="11" spans="1:41">
      <c r="A11" s="1171"/>
      <c r="B11" s="2287"/>
      <c r="C11" s="2288"/>
      <c r="D11" s="2288"/>
      <c r="E11" s="2288"/>
      <c r="F11" s="3168">
        <v>43373</v>
      </c>
      <c r="G11" s="3168">
        <f>EOMONTH(F11,3)</f>
        <v>43465</v>
      </c>
      <c r="H11" s="3168">
        <f t="shared" ref="H11:AG11" si="1">EOMONTH(G11,3)</f>
        <v>43555</v>
      </c>
      <c r="I11" s="3169">
        <f t="shared" si="1"/>
        <v>43646</v>
      </c>
      <c r="J11" s="3168">
        <f t="shared" si="1"/>
        <v>43738</v>
      </c>
      <c r="K11" s="3168">
        <f t="shared" si="1"/>
        <v>43830</v>
      </c>
      <c r="L11" s="3168">
        <f t="shared" si="1"/>
        <v>43921</v>
      </c>
      <c r="M11" s="3169">
        <f t="shared" si="1"/>
        <v>44012</v>
      </c>
      <c r="N11" s="3168">
        <f t="shared" si="1"/>
        <v>44104</v>
      </c>
      <c r="O11" s="3168">
        <f t="shared" si="1"/>
        <v>44196</v>
      </c>
      <c r="P11" s="3168">
        <f t="shared" si="1"/>
        <v>44286</v>
      </c>
      <c r="Q11" s="3169">
        <f t="shared" si="1"/>
        <v>44377</v>
      </c>
      <c r="R11" s="3168">
        <f t="shared" si="1"/>
        <v>44469</v>
      </c>
      <c r="S11" s="3168">
        <f t="shared" si="1"/>
        <v>44561</v>
      </c>
      <c r="T11" s="3168">
        <f t="shared" si="1"/>
        <v>44651</v>
      </c>
      <c r="U11" s="3169">
        <f t="shared" si="1"/>
        <v>44742</v>
      </c>
      <c r="V11" s="3168">
        <f t="shared" si="1"/>
        <v>44834</v>
      </c>
      <c r="W11" s="3168">
        <f t="shared" si="1"/>
        <v>44926</v>
      </c>
      <c r="X11" s="3169">
        <f t="shared" si="1"/>
        <v>45016</v>
      </c>
      <c r="Y11" s="3168">
        <f t="shared" si="1"/>
        <v>45107</v>
      </c>
      <c r="Z11" s="3168">
        <f t="shared" si="1"/>
        <v>45199</v>
      </c>
      <c r="AA11" s="3169">
        <f t="shared" si="1"/>
        <v>45291</v>
      </c>
      <c r="AB11" s="3168">
        <f t="shared" si="1"/>
        <v>45382</v>
      </c>
      <c r="AC11" s="3169">
        <f t="shared" si="1"/>
        <v>45473</v>
      </c>
      <c r="AD11" s="3168">
        <f t="shared" si="1"/>
        <v>45565</v>
      </c>
      <c r="AE11" s="3168">
        <f t="shared" si="1"/>
        <v>45657</v>
      </c>
      <c r="AF11" s="3168">
        <f t="shared" si="1"/>
        <v>45747</v>
      </c>
      <c r="AG11" s="3169">
        <f t="shared" si="1"/>
        <v>45838</v>
      </c>
    </row>
    <row r="12" spans="1:41" ht="34.5" customHeight="1">
      <c r="A12" s="1171"/>
      <c r="B12" s="2226" t="s">
        <v>514</v>
      </c>
      <c r="C12" s="2227"/>
      <c r="D12" s="2227"/>
      <c r="E12" s="2227"/>
      <c r="F12" s="2227" t="str">
        <f>IF(F9&lt;='Milestone Calcs'!$I$10*4,'Milestone Calcs'!$F$10,'Milestone Calcs'!$F$11)</f>
        <v>Phase A Research</v>
      </c>
      <c r="G12" s="2227" t="str">
        <f>IF(G9&lt;='Milestone Calcs'!$I$10*4,'Milestone Calcs'!$F$10,'Milestone Calcs'!$F$11)</f>
        <v>Phase A Research</v>
      </c>
      <c r="H12" s="2227" t="str">
        <f>IF(H9&lt;='Milestone Calcs'!$I$10*4,'Milestone Calcs'!$F$10,'Milestone Calcs'!$F$11)</f>
        <v>Phase A Research</v>
      </c>
      <c r="I12" s="2501" t="str">
        <f>IF(I9&lt;='Milestone Calcs'!$I$10*4,'Milestone Calcs'!$F$10,'Milestone Calcs'!$F$11)</f>
        <v>Phase A Research</v>
      </c>
      <c r="J12" s="2227" t="str">
        <f>IF(J9&lt;='Milestone Calcs'!$I$10*4,'Milestone Calcs'!$F$10,'Milestone Calcs'!$F$11)</f>
        <v>Phase A Research</v>
      </c>
      <c r="K12" s="2227" t="str">
        <f>IF(K9&lt;='Milestone Calcs'!$I$10*4,'Milestone Calcs'!$F$10,'Milestone Calcs'!$F$11)</f>
        <v>Phase A Research</v>
      </c>
      <c r="L12" s="2227" t="str">
        <f>IF(L9&lt;='Milestone Calcs'!$I$10*4,'Milestone Calcs'!$F$10,'Milestone Calcs'!$F$11)</f>
        <v>Phase A Research</v>
      </c>
      <c r="M12" s="2501" t="str">
        <f>IF(M9&lt;='Milestone Calcs'!$I$10*4,'Milestone Calcs'!$F$10,'Milestone Calcs'!$F$11)</f>
        <v>Phase A Research</v>
      </c>
      <c r="N12" s="2227" t="str">
        <f>IF(N9&lt;='Milestone Calcs'!$I$10*4,'Milestone Calcs'!$F$10,'Milestone Calcs'!$F$11)</f>
        <v>Phase A Research</v>
      </c>
      <c r="O12" s="2227" t="str">
        <f>IF(O9&lt;='Milestone Calcs'!$I$10*4,'Milestone Calcs'!$F$10,'Milestone Calcs'!$F$11)</f>
        <v>Phase A Research</v>
      </c>
      <c r="P12" s="2227" t="str">
        <f>IF(P9&lt;='Milestone Calcs'!$I$10*4,'Milestone Calcs'!$F$10,'Milestone Calcs'!$F$11)</f>
        <v>Phase B Research</v>
      </c>
      <c r="Q12" s="2501" t="str">
        <f>IF(Q9&lt;='Milestone Calcs'!$I$10*4,'Milestone Calcs'!$F$10,'Milestone Calcs'!$F$11)</f>
        <v>Phase B Research</v>
      </c>
      <c r="R12" s="2227" t="str">
        <f>IF(R9&lt;='Milestone Calcs'!$I$10*4,'Milestone Calcs'!$F$10,'Milestone Calcs'!$F$11)</f>
        <v>Phase B Research</v>
      </c>
      <c r="S12" s="2227" t="str">
        <f>IF(S9&lt;='Milestone Calcs'!$I$10*4,'Milestone Calcs'!$F$10,'Milestone Calcs'!$F$11)</f>
        <v>Phase B Research</v>
      </c>
      <c r="T12" s="2227" t="str">
        <f>IF(T9&lt;='Milestone Calcs'!$I$10*4,'Milestone Calcs'!$F$10,'Milestone Calcs'!$F$11)</f>
        <v>Phase B Research</v>
      </c>
      <c r="U12" s="2501" t="str">
        <f>IF(U9&lt;='Milestone Calcs'!$I$10*4,'Milestone Calcs'!$F$10,'Milestone Calcs'!$F$11)</f>
        <v>Phase B Research</v>
      </c>
      <c r="V12" s="2227" t="str">
        <f>IF(V9&lt;='Milestone Calcs'!$I$10*4,'Milestone Calcs'!$F$10,'Milestone Calcs'!$F$11)</f>
        <v>Phase B Research</v>
      </c>
      <c r="W12" s="2227" t="str">
        <f>IF(W9&lt;='Milestone Calcs'!$I$10*4,'Milestone Calcs'!$F$10,'Milestone Calcs'!$F$11)</f>
        <v>Phase B Research</v>
      </c>
      <c r="X12" s="2501" t="str">
        <f>IF(X9&lt;='Milestone Calcs'!$I$10*4,'Milestone Calcs'!$F$10,'Milestone Calcs'!$F$11)</f>
        <v>Phase B Research</v>
      </c>
      <c r="Y12" s="2227" t="str">
        <f>IF(Y9&lt;='Milestone Calcs'!$I$10*4,'Milestone Calcs'!$F$10,'Milestone Calcs'!$F$11)</f>
        <v>Phase B Research</v>
      </c>
      <c r="Z12" s="2227" t="str">
        <f>IF(Z9&lt;='Milestone Calcs'!$I$10*4,'Milestone Calcs'!$F$10,'Milestone Calcs'!$F$11)</f>
        <v>Phase B Research</v>
      </c>
      <c r="AA12" s="2501" t="str">
        <f>IF(AA9&lt;='Milestone Calcs'!$I$10*4,'Milestone Calcs'!$F$10,'Milestone Calcs'!$F$11)</f>
        <v>Phase B Research</v>
      </c>
      <c r="AB12" s="2227" t="str">
        <f>IF(AB9&lt;='Milestone Calcs'!$I$10*4,'Milestone Calcs'!$F$10,'Milestone Calcs'!$F$11)</f>
        <v>Phase B Research</v>
      </c>
      <c r="AC12" s="2501" t="str">
        <f>IF(AC9&lt;='Milestone Calcs'!$I$10*4,'Milestone Calcs'!$F$10,'Milestone Calcs'!$F$11)</f>
        <v>Phase B Research</v>
      </c>
      <c r="AD12" s="2227" t="str">
        <f>IF(AD9&lt;='Milestone Calcs'!$I$10*4,'Milestone Calcs'!$F$10,'Milestone Calcs'!$F$11)</f>
        <v>Phase B Research</v>
      </c>
      <c r="AE12" s="2227" t="str">
        <f>IF(AE9&lt;='Milestone Calcs'!$I$10*4,'Milestone Calcs'!$F$10,'Milestone Calcs'!$F$11)</f>
        <v>Phase B Research</v>
      </c>
      <c r="AF12" s="2227" t="str">
        <f>IF(AF9&lt;='Milestone Calcs'!$I$10*4,'Milestone Calcs'!$F$10,'Milestone Calcs'!$F$11)</f>
        <v>Phase B Research</v>
      </c>
      <c r="AG12" s="2501" t="str">
        <f>IF(AG9&lt;='Milestone Calcs'!$I$10*4,'Milestone Calcs'!$F$10,'Milestone Calcs'!$F$11)</f>
        <v>Phase B Research</v>
      </c>
    </row>
    <row r="13" spans="1:41" ht="12.75" customHeight="1">
      <c r="C13" s="2239"/>
    </row>
    <row r="14" spans="1:41">
      <c r="B14" s="2223" t="s">
        <v>4385</v>
      </c>
      <c r="F14" s="3181">
        <f>IF(F9&lt;=$C$6,'Milestone Calcs'!$I$7,0)</f>
        <v>0.5</v>
      </c>
      <c r="G14" s="3181">
        <f>IF(G9&lt;=$C$6,'Milestone Calcs'!$I$7,0)</f>
        <v>0.5</v>
      </c>
      <c r="H14" s="3181">
        <f>IF(H9&lt;=$C$6,'Milestone Calcs'!$I$7,0)</f>
        <v>0.5</v>
      </c>
      <c r="I14" s="3181">
        <f>IF(I9&lt;=$C$6,'Milestone Calcs'!$I$7,0)</f>
        <v>0.5</v>
      </c>
      <c r="J14" s="3181">
        <f>IF(J9&lt;=$C$6,'Milestone Calcs'!$I$7,0)</f>
        <v>0.5</v>
      </c>
      <c r="K14" s="3181">
        <f>IF(K9&lt;=$C$6,'Milestone Calcs'!$I$7,0)</f>
        <v>0.5</v>
      </c>
      <c r="L14" s="3181">
        <f>IF(L9&lt;=$C$6,'Milestone Calcs'!$I$7,0)</f>
        <v>0.5</v>
      </c>
      <c r="M14" s="3181">
        <f>IF(M9&lt;=$C$6,'Milestone Calcs'!$I$7,0)</f>
        <v>0.5</v>
      </c>
      <c r="N14" s="3181">
        <f>IF(N9&lt;=$C$6,'Milestone Calcs'!$I$7,0)</f>
        <v>0.5</v>
      </c>
      <c r="O14" s="3181">
        <f>IF(O9&lt;=$C$6,'Milestone Calcs'!$I$7,0)</f>
        <v>0.5</v>
      </c>
      <c r="P14" s="3181">
        <f>IF(P9&lt;=$C$6,'Milestone Calcs'!$I$7,0)</f>
        <v>0.5</v>
      </c>
      <c r="Q14" s="3181">
        <f>IF(Q9&lt;=$C$6,'Milestone Calcs'!$I$7,0)</f>
        <v>0.5</v>
      </c>
      <c r="R14" s="3181">
        <f>IF(R9&lt;=$C$6,'Milestone Calcs'!$I$7,0)</f>
        <v>0.5</v>
      </c>
      <c r="S14" s="3181">
        <f>IF(S9&lt;=$C$6,'Milestone Calcs'!$I$7,0)</f>
        <v>0.5</v>
      </c>
      <c r="T14" s="3181">
        <f>IF(T9&lt;=$C$6,'Milestone Calcs'!$I$7,0)</f>
        <v>0.5</v>
      </c>
      <c r="U14" s="3181">
        <f>IF(U9&lt;=$C$6,'Milestone Calcs'!$I$7,0)</f>
        <v>0.5</v>
      </c>
      <c r="V14" s="3181">
        <f>IF(V9&lt;=$C$6,'Milestone Calcs'!$I$7,0)</f>
        <v>0.5</v>
      </c>
      <c r="W14" s="3181">
        <f>IF(W9&lt;=$C$6,'Milestone Calcs'!$I$7,0)</f>
        <v>0.5</v>
      </c>
      <c r="X14" s="3181">
        <f>IF(X9&lt;=$C$6,'Milestone Calcs'!$I$7,0)</f>
        <v>0.5</v>
      </c>
      <c r="Y14" s="3181">
        <f>IF(Y9&lt;=$C$6,'Milestone Calcs'!$I$7,0)</f>
        <v>0.5</v>
      </c>
      <c r="Z14" s="3181">
        <f>IF(Z9&lt;=$C$6,'Milestone Calcs'!$I$7,0)</f>
        <v>0.5</v>
      </c>
      <c r="AA14" s="3181">
        <f>IF(AA9&lt;=$C$6,'Milestone Calcs'!$I$7,0)</f>
        <v>0.5</v>
      </c>
      <c r="AB14" s="2973">
        <f>IF(AB9&lt;=$C$6,'Milestone Calcs'!$I$7,0)</f>
        <v>0</v>
      </c>
      <c r="AC14" s="2973">
        <f>IF(AC9&lt;=$C$6,'Milestone Calcs'!$I$7,0)</f>
        <v>0</v>
      </c>
      <c r="AD14" s="2973">
        <f>IF(AD9&lt;=$C$6,'Milestone Calcs'!$I$7,0)</f>
        <v>0</v>
      </c>
      <c r="AE14" s="2973">
        <f>IF(AE9&lt;=$C$6,'Milestone Calcs'!$I$7,0)</f>
        <v>0</v>
      </c>
      <c r="AF14" s="2973">
        <f>IF(AF9&lt;=$C$6,'Milestone Calcs'!$I$7,0)</f>
        <v>0</v>
      </c>
      <c r="AG14" s="2973">
        <f>IF(AG9&lt;=$C$6,'Milestone Calcs'!$I$7,0)</f>
        <v>0</v>
      </c>
    </row>
    <row r="15" spans="1:41" s="1984" customFormat="1" ht="8.1" customHeight="1">
      <c r="A15" s="720"/>
      <c r="B15" s="2157"/>
      <c r="C15" s="1171"/>
      <c r="D15" s="720"/>
      <c r="E15" s="720"/>
      <c r="F15" s="720"/>
      <c r="G15" s="720"/>
      <c r="H15" s="720"/>
      <c r="I15" s="720"/>
      <c r="J15" s="720"/>
      <c r="K15" s="720"/>
      <c r="L15" s="720"/>
      <c r="M15" s="720"/>
      <c r="N15" s="720"/>
      <c r="O15" s="720"/>
      <c r="P15" s="720"/>
      <c r="Q15" s="720"/>
      <c r="R15" s="720"/>
      <c r="S15" s="720"/>
      <c r="T15" s="720"/>
      <c r="U15" s="720"/>
      <c r="V15" s="720"/>
      <c r="W15" s="720"/>
      <c r="X15" s="720"/>
      <c r="Y15" s="720"/>
      <c r="Z15" s="720"/>
      <c r="AA15" s="720"/>
      <c r="AB15" s="720"/>
      <c r="AC15" s="720"/>
      <c r="AD15" s="720"/>
      <c r="AE15" s="720"/>
      <c r="AF15" s="720"/>
      <c r="AG15" s="720"/>
      <c r="AI15" s="720"/>
      <c r="AJ15" s="720"/>
      <c r="AK15" s="720"/>
      <c r="AL15" s="720"/>
      <c r="AM15" s="720"/>
      <c r="AN15" s="720"/>
      <c r="AO15" s="720"/>
    </row>
    <row r="16" spans="1:41" s="1984" customFormat="1">
      <c r="A16" s="720"/>
      <c r="B16" s="2232" t="s">
        <v>4369</v>
      </c>
      <c r="C16" s="720"/>
      <c r="D16" s="720"/>
      <c r="E16" s="720"/>
      <c r="F16" s="2235">
        <f>IF(F11&lt;'Milestone Calcs'!$C$15,'Milestone Calcs'!$H$10,'Milestone Calcs'!$H$11)</f>
        <v>1</v>
      </c>
      <c r="G16" s="2235">
        <f>IF(G11&lt;'Milestone Calcs'!$C$15,'Milestone Calcs'!$H$10,'Milestone Calcs'!$H$11)</f>
        <v>1</v>
      </c>
      <c r="H16" s="2235">
        <f>IF(H11&lt;'Milestone Calcs'!$C$15,'Milestone Calcs'!$H$10,'Milestone Calcs'!$H$11)</f>
        <v>1</v>
      </c>
      <c r="I16" s="2235">
        <f>IF(I11&lt;'Milestone Calcs'!$C$15,'Milestone Calcs'!$H$10,'Milestone Calcs'!$H$11)</f>
        <v>1</v>
      </c>
      <c r="J16" s="2235">
        <f>IF(J11&lt;'Milestone Calcs'!$C$15,'Milestone Calcs'!$H$10,'Milestone Calcs'!$H$11)</f>
        <v>1</v>
      </c>
      <c r="K16" s="2235">
        <f>IF(K11&lt;'Milestone Calcs'!$C$15,'Milestone Calcs'!$H$10,'Milestone Calcs'!$H$11)</f>
        <v>1</v>
      </c>
      <c r="L16" s="2235">
        <f>IF(L11&lt;'Milestone Calcs'!$C$15,'Milestone Calcs'!$H$10,'Milestone Calcs'!$H$11)</f>
        <v>1</v>
      </c>
      <c r="M16" s="2235">
        <f>IF(M11&lt;'Milestone Calcs'!$C$15,'Milestone Calcs'!$H$10,'Milestone Calcs'!$H$11)</f>
        <v>1</v>
      </c>
      <c r="N16" s="2235">
        <f>IF(N11&lt;'Milestone Calcs'!$C$15,'Milestone Calcs'!$H$10,'Milestone Calcs'!$H$11)</f>
        <v>1</v>
      </c>
      <c r="O16" s="2235">
        <f>IF(O11&lt;'Milestone Calcs'!$C$15,'Milestone Calcs'!$H$10,'Milestone Calcs'!$H$11)</f>
        <v>0.35</v>
      </c>
      <c r="P16" s="2235">
        <f>IF(P11&lt;'Milestone Calcs'!$C$15,'Milestone Calcs'!$H$10,'Milestone Calcs'!$H$11)</f>
        <v>0.35</v>
      </c>
      <c r="Q16" s="2235">
        <f>IF(Q11&lt;'Milestone Calcs'!$C$15,'Milestone Calcs'!$H$10,'Milestone Calcs'!$H$11)</f>
        <v>0.35</v>
      </c>
      <c r="R16" s="2235">
        <f>IF(R11&lt;'Milestone Calcs'!$C$15,'Milestone Calcs'!$H$10,'Milestone Calcs'!$H$11)</f>
        <v>0.35</v>
      </c>
      <c r="S16" s="2235">
        <f>IF(S11&lt;'Milestone Calcs'!$C$15,'Milestone Calcs'!$H$10,'Milestone Calcs'!$H$11)</f>
        <v>0.35</v>
      </c>
      <c r="T16" s="2235">
        <f>IF(T11&lt;'Milestone Calcs'!$C$15,'Milestone Calcs'!$H$10,'Milestone Calcs'!$H$11)</f>
        <v>0.35</v>
      </c>
      <c r="U16" s="2235">
        <f>IF(U11&lt;'Milestone Calcs'!$C$15,'Milestone Calcs'!$H$10,'Milestone Calcs'!$H$11)</f>
        <v>0.35</v>
      </c>
      <c r="V16" s="2235">
        <f>IF(V11&lt;'Milestone Calcs'!$C$15,'Milestone Calcs'!$H$10,'Milestone Calcs'!$H$11)</f>
        <v>0.35</v>
      </c>
      <c r="W16" s="2235">
        <f>IF(W11&lt;'Milestone Calcs'!$C$15,'Milestone Calcs'!$H$10,'Milestone Calcs'!$H$11)</f>
        <v>0.35</v>
      </c>
      <c r="X16" s="2235">
        <f>IF(X11&lt;'Milestone Calcs'!$C$15,'Milestone Calcs'!$H$10,'Milestone Calcs'!$H$11)</f>
        <v>0.35</v>
      </c>
      <c r="Y16" s="2235">
        <f>IF(Y11&lt;'Milestone Calcs'!$C$15,'Milestone Calcs'!$H$10,'Milestone Calcs'!$H$11)</f>
        <v>0.35</v>
      </c>
      <c r="Z16" s="2235">
        <f>IF(Z11&lt;'Milestone Calcs'!$C$15,'Milestone Calcs'!$H$10,'Milestone Calcs'!$H$11)</f>
        <v>0.35</v>
      </c>
      <c r="AA16" s="2235">
        <f>IF(AA11&lt;'Milestone Calcs'!$C$15,'Milestone Calcs'!$H$10,'Milestone Calcs'!$H$11)</f>
        <v>0.35</v>
      </c>
      <c r="AB16" s="2235">
        <f>IF(AB11&lt;'Milestone Calcs'!$C$15,'Milestone Calcs'!$H$10,'Milestone Calcs'!$H$11)</f>
        <v>0.35</v>
      </c>
      <c r="AC16" s="2235">
        <f>IF(AC11&lt;'Milestone Calcs'!$C$15,'Milestone Calcs'!$H$10,'Milestone Calcs'!$H$11)</f>
        <v>0.35</v>
      </c>
      <c r="AD16" s="2235">
        <f>IF(AD11&lt;'Milestone Calcs'!$C$15,'Milestone Calcs'!$H$10,'Milestone Calcs'!$H$11)</f>
        <v>0.35</v>
      </c>
      <c r="AE16" s="2235">
        <f>IF(AE11&lt;'Milestone Calcs'!$C$15,'Milestone Calcs'!$H$10,'Milestone Calcs'!$H$11)</f>
        <v>0.35</v>
      </c>
      <c r="AF16" s="2235">
        <f>IF(AF11&lt;'Milestone Calcs'!$C$15,'Milestone Calcs'!$H$10,'Milestone Calcs'!$H$11)</f>
        <v>0.35</v>
      </c>
      <c r="AG16" s="2235">
        <f>IF(AG11&lt;'Milestone Calcs'!$C$15,'Milestone Calcs'!$H$10,'Milestone Calcs'!$H$11)</f>
        <v>0.35</v>
      </c>
      <c r="AI16" s="720"/>
      <c r="AJ16" s="720"/>
      <c r="AK16" s="720"/>
      <c r="AL16" s="720"/>
      <c r="AM16" s="720"/>
      <c r="AN16" s="720"/>
      <c r="AO16" s="720"/>
    </row>
    <row r="17" spans="1:16384" s="1984" customFormat="1">
      <c r="A17" s="720"/>
      <c r="B17" s="2223" t="s">
        <v>2844</v>
      </c>
      <c r="C17" s="720"/>
      <c r="D17" s="720"/>
      <c r="E17" s="720"/>
      <c r="F17" s="3182">
        <f>F14*F16</f>
        <v>0.5</v>
      </c>
      <c r="G17" s="3182">
        <f t="shared" ref="G17:R17" si="2">G14*G16</f>
        <v>0.5</v>
      </c>
      <c r="H17" s="3182">
        <f t="shared" si="2"/>
        <v>0.5</v>
      </c>
      <c r="I17" s="3182">
        <f t="shared" si="2"/>
        <v>0.5</v>
      </c>
      <c r="J17" s="3182">
        <f t="shared" si="2"/>
        <v>0.5</v>
      </c>
      <c r="K17" s="3182">
        <f t="shared" si="2"/>
        <v>0.5</v>
      </c>
      <c r="L17" s="3182">
        <f t="shared" si="2"/>
        <v>0.5</v>
      </c>
      <c r="M17" s="3182">
        <f t="shared" si="2"/>
        <v>0.5</v>
      </c>
      <c r="N17" s="3182">
        <f t="shared" si="2"/>
        <v>0.5</v>
      </c>
      <c r="O17" s="3182">
        <f t="shared" si="2"/>
        <v>0.17499999999999999</v>
      </c>
      <c r="P17" s="3182">
        <f t="shared" si="2"/>
        <v>0.17499999999999999</v>
      </c>
      <c r="Q17" s="3182">
        <f t="shared" si="2"/>
        <v>0.17499999999999999</v>
      </c>
      <c r="R17" s="3182">
        <f t="shared" si="2"/>
        <v>0.17499999999999999</v>
      </c>
      <c r="S17" s="3182">
        <f t="shared" ref="S17:AG17" si="3">S14*S16</f>
        <v>0.17499999999999999</v>
      </c>
      <c r="T17" s="3182">
        <f t="shared" si="3"/>
        <v>0.17499999999999999</v>
      </c>
      <c r="U17" s="3182">
        <f t="shared" si="3"/>
        <v>0.17499999999999999</v>
      </c>
      <c r="V17" s="3182">
        <f t="shared" si="3"/>
        <v>0.17499999999999999</v>
      </c>
      <c r="W17" s="3182">
        <f t="shared" ref="W17:Z17" si="4">W14*W16</f>
        <v>0.17499999999999999</v>
      </c>
      <c r="X17" s="3182">
        <f t="shared" si="4"/>
        <v>0.17499999999999999</v>
      </c>
      <c r="Y17" s="3182">
        <f t="shared" si="4"/>
        <v>0.17499999999999999</v>
      </c>
      <c r="Z17" s="3182">
        <f t="shared" si="4"/>
        <v>0.17499999999999999</v>
      </c>
      <c r="AA17" s="3182">
        <f t="shared" ref="AA17:AE17" si="5">AA14*AA16</f>
        <v>0.17499999999999999</v>
      </c>
      <c r="AB17" s="2499">
        <f t="shared" si="5"/>
        <v>0</v>
      </c>
      <c r="AC17" s="2499">
        <f t="shared" si="5"/>
        <v>0</v>
      </c>
      <c r="AD17" s="2499">
        <f t="shared" si="5"/>
        <v>0</v>
      </c>
      <c r="AE17" s="2499">
        <f t="shared" si="5"/>
        <v>0</v>
      </c>
      <c r="AF17" s="2499">
        <f t="shared" si="3"/>
        <v>0</v>
      </c>
      <c r="AG17" s="2499">
        <f t="shared" si="3"/>
        <v>0</v>
      </c>
      <c r="AI17" s="720"/>
      <c r="AJ17" s="720"/>
      <c r="AK17" s="720"/>
      <c r="AL17" s="720"/>
      <c r="AM17" s="720"/>
      <c r="AN17" s="720"/>
      <c r="AO17" s="720"/>
    </row>
    <row r="18" spans="1:16384" customFormat="1">
      <c r="B18" s="2223"/>
      <c r="C18" s="2245"/>
    </row>
    <row r="19" spans="1:16384" s="2219" customFormat="1" ht="25.5">
      <c r="A19" s="2252"/>
      <c r="B19" s="2969" t="s">
        <v>4386</v>
      </c>
      <c r="C19" s="2252"/>
      <c r="D19" s="2252"/>
      <c r="E19" s="2252"/>
      <c r="F19" s="2970">
        <v>0.5</v>
      </c>
      <c r="G19" s="2971">
        <f>F19</f>
        <v>0.5</v>
      </c>
      <c r="H19" s="2971">
        <f t="shared" ref="H19:R19" si="6">G19</f>
        <v>0.5</v>
      </c>
      <c r="I19" s="2971">
        <f t="shared" si="6"/>
        <v>0.5</v>
      </c>
      <c r="J19" s="2971">
        <f t="shared" si="6"/>
        <v>0.5</v>
      </c>
      <c r="K19" s="2971">
        <f t="shared" si="6"/>
        <v>0.5</v>
      </c>
      <c r="L19" s="2971">
        <f t="shared" si="6"/>
        <v>0.5</v>
      </c>
      <c r="M19" s="2971">
        <f t="shared" si="6"/>
        <v>0.5</v>
      </c>
      <c r="N19" s="2971">
        <f t="shared" si="6"/>
        <v>0.5</v>
      </c>
      <c r="O19" s="2971">
        <f t="shared" si="6"/>
        <v>0.5</v>
      </c>
      <c r="P19" s="2970">
        <v>0.25</v>
      </c>
      <c r="Q19" s="2971">
        <f t="shared" si="6"/>
        <v>0.25</v>
      </c>
      <c r="R19" s="2971">
        <f t="shared" si="6"/>
        <v>0.25</v>
      </c>
      <c r="S19" s="2971">
        <f t="shared" ref="S19:AG19" si="7">R19</f>
        <v>0.25</v>
      </c>
      <c r="T19" s="2971">
        <f t="shared" si="7"/>
        <v>0.25</v>
      </c>
      <c r="U19" s="2971">
        <f t="shared" si="7"/>
        <v>0.25</v>
      </c>
      <c r="V19" s="2971">
        <f t="shared" si="7"/>
        <v>0.25</v>
      </c>
      <c r="W19" s="2971">
        <f t="shared" ref="W19:Z19" si="8">V19</f>
        <v>0.25</v>
      </c>
      <c r="X19" s="2971">
        <f t="shared" si="8"/>
        <v>0.25</v>
      </c>
      <c r="Y19" s="2971">
        <f t="shared" si="8"/>
        <v>0.25</v>
      </c>
      <c r="Z19" s="2971">
        <f t="shared" si="8"/>
        <v>0.25</v>
      </c>
      <c r="AA19" s="2971">
        <f t="shared" ref="AA19:AE19" si="9">Z19</f>
        <v>0.25</v>
      </c>
      <c r="AB19" s="2971">
        <f t="shared" si="9"/>
        <v>0.25</v>
      </c>
      <c r="AC19" s="2971">
        <f t="shared" si="9"/>
        <v>0.25</v>
      </c>
      <c r="AD19" s="2971">
        <f t="shared" si="9"/>
        <v>0.25</v>
      </c>
      <c r="AE19" s="2971">
        <f t="shared" si="9"/>
        <v>0.25</v>
      </c>
      <c r="AF19" s="2971">
        <f t="shared" si="7"/>
        <v>0.25</v>
      </c>
      <c r="AG19" s="2971">
        <f t="shared" si="7"/>
        <v>0.25</v>
      </c>
      <c r="AI19" s="2252"/>
      <c r="AJ19" s="2252"/>
      <c r="AK19" s="2252"/>
      <c r="AL19" s="2252"/>
      <c r="AM19" s="2252"/>
      <c r="AN19" s="2252"/>
      <c r="AO19" s="2252"/>
    </row>
    <row r="20" spans="1:16384" s="1984" customFormat="1">
      <c r="A20" s="720"/>
      <c r="B20" s="2223" t="s">
        <v>2932</v>
      </c>
      <c r="C20" s="720"/>
      <c r="D20" s="720"/>
      <c r="E20" s="720"/>
      <c r="F20" s="3183">
        <f t="shared" ref="F20:AG20" si="10">-F19*F17</f>
        <v>-0.25</v>
      </c>
      <c r="G20" s="3183">
        <f t="shared" si="10"/>
        <v>-0.25</v>
      </c>
      <c r="H20" s="3183">
        <f t="shared" si="10"/>
        <v>-0.25</v>
      </c>
      <c r="I20" s="3183">
        <f t="shared" si="10"/>
        <v>-0.25</v>
      </c>
      <c r="J20" s="3183">
        <f t="shared" si="10"/>
        <v>-0.25</v>
      </c>
      <c r="K20" s="3183">
        <f t="shared" si="10"/>
        <v>-0.25</v>
      </c>
      <c r="L20" s="3183">
        <f t="shared" si="10"/>
        <v>-0.25</v>
      </c>
      <c r="M20" s="3183">
        <f t="shared" si="10"/>
        <v>-0.25</v>
      </c>
      <c r="N20" s="3183">
        <f t="shared" si="10"/>
        <v>-0.25</v>
      </c>
      <c r="O20" s="3183">
        <f t="shared" si="10"/>
        <v>-8.7499999999999994E-2</v>
      </c>
      <c r="P20" s="3183">
        <f t="shared" si="10"/>
        <v>-4.3749999999999997E-2</v>
      </c>
      <c r="Q20" s="3183">
        <f t="shared" si="10"/>
        <v>-4.3749999999999997E-2</v>
      </c>
      <c r="R20" s="3183">
        <f t="shared" si="10"/>
        <v>-4.3749999999999997E-2</v>
      </c>
      <c r="S20" s="3183">
        <f t="shared" si="10"/>
        <v>-4.3749999999999997E-2</v>
      </c>
      <c r="T20" s="3183">
        <f t="shared" si="10"/>
        <v>-4.3749999999999997E-2</v>
      </c>
      <c r="U20" s="3183">
        <f t="shared" si="10"/>
        <v>-4.3749999999999997E-2</v>
      </c>
      <c r="V20" s="3183">
        <f t="shared" si="10"/>
        <v>-4.3749999999999997E-2</v>
      </c>
      <c r="W20" s="3183">
        <f t="shared" si="10"/>
        <v>-4.3749999999999997E-2</v>
      </c>
      <c r="X20" s="3183">
        <f t="shared" si="10"/>
        <v>-4.3749999999999997E-2</v>
      </c>
      <c r="Y20" s="3183">
        <f t="shared" si="10"/>
        <v>-4.3749999999999997E-2</v>
      </c>
      <c r="Z20" s="3183">
        <f t="shared" si="10"/>
        <v>-4.3749999999999997E-2</v>
      </c>
      <c r="AA20" s="3183">
        <f t="shared" si="10"/>
        <v>-4.3749999999999997E-2</v>
      </c>
      <c r="AB20" s="2530">
        <f t="shared" si="10"/>
        <v>0</v>
      </c>
      <c r="AC20" s="2530">
        <f t="shared" si="10"/>
        <v>0</v>
      </c>
      <c r="AD20" s="2530">
        <f t="shared" si="10"/>
        <v>0</v>
      </c>
      <c r="AE20" s="2530">
        <f t="shared" si="10"/>
        <v>0</v>
      </c>
      <c r="AF20" s="2530">
        <f t="shared" si="10"/>
        <v>0</v>
      </c>
      <c r="AG20" s="2530">
        <f t="shared" si="10"/>
        <v>0</v>
      </c>
      <c r="AI20" s="720"/>
      <c r="AJ20" s="720"/>
      <c r="AK20" s="720"/>
      <c r="AL20" s="720"/>
      <c r="AM20" s="720"/>
      <c r="AN20" s="720"/>
      <c r="AO20" s="720"/>
    </row>
    <row r="21" spans="1:16384" s="1984" customFormat="1">
      <c r="A21" s="720"/>
      <c r="B21" s="2223"/>
      <c r="C21" s="720"/>
      <c r="D21" s="720"/>
      <c r="E21" s="720"/>
      <c r="F21" s="3162"/>
      <c r="G21" s="3162"/>
      <c r="H21" s="3162"/>
      <c r="I21" s="3162"/>
      <c r="J21" s="3162"/>
      <c r="K21" s="3162"/>
      <c r="L21" s="3162"/>
      <c r="M21" s="3162"/>
      <c r="N21" s="3162"/>
      <c r="O21" s="3162"/>
      <c r="P21" s="3162"/>
      <c r="Q21" s="3162"/>
      <c r="R21" s="3162"/>
      <c r="S21" s="3162"/>
      <c r="T21" s="3162"/>
      <c r="U21" s="3162"/>
      <c r="V21" s="3162"/>
      <c r="W21" s="3162"/>
      <c r="X21" s="3162"/>
      <c r="Y21" s="3162"/>
      <c r="Z21" s="3162"/>
      <c r="AA21" s="3162"/>
      <c r="AB21" s="3162"/>
      <c r="AC21" s="3162"/>
      <c r="AD21" s="3162"/>
      <c r="AE21" s="3162"/>
      <c r="AF21" s="3162"/>
      <c r="AG21" s="3162"/>
      <c r="AI21" s="720"/>
      <c r="AJ21" s="720"/>
      <c r="AK21" s="720"/>
      <c r="AL21" s="720"/>
      <c r="AM21" s="720"/>
      <c r="AN21" s="720"/>
      <c r="AO21" s="720"/>
    </row>
    <row r="22" spans="1:16384" s="1984" customFormat="1">
      <c r="A22" s="720"/>
      <c r="B22" s="2223" t="s">
        <v>4362</v>
      </c>
      <c r="C22" s="720"/>
      <c r="D22" s="720"/>
      <c r="E22" s="720"/>
      <c r="F22" s="2245">
        <f>F17+F20</f>
        <v>0.25</v>
      </c>
      <c r="G22" s="2245">
        <f t="shared" ref="G22:AG22" si="11">G17+G20</f>
        <v>0.25</v>
      </c>
      <c r="H22" s="2245">
        <f t="shared" si="11"/>
        <v>0.25</v>
      </c>
      <c r="I22" s="2245">
        <f t="shared" si="11"/>
        <v>0.25</v>
      </c>
      <c r="J22" s="2245">
        <f t="shared" si="11"/>
        <v>0.25</v>
      </c>
      <c r="K22" s="2245">
        <f t="shared" si="11"/>
        <v>0.25</v>
      </c>
      <c r="L22" s="2245">
        <f t="shared" si="11"/>
        <v>0.25</v>
      </c>
      <c r="M22" s="2245">
        <f t="shared" si="11"/>
        <v>0.25</v>
      </c>
      <c r="N22" s="2245">
        <f t="shared" si="11"/>
        <v>0.25</v>
      </c>
      <c r="O22" s="2245">
        <f t="shared" si="11"/>
        <v>8.7499999999999994E-2</v>
      </c>
      <c r="P22" s="2245">
        <f t="shared" si="11"/>
        <v>0.13124999999999998</v>
      </c>
      <c r="Q22" s="2245">
        <f t="shared" si="11"/>
        <v>0.13124999999999998</v>
      </c>
      <c r="R22" s="2245">
        <f t="shared" si="11"/>
        <v>0.13124999999999998</v>
      </c>
      <c r="S22" s="2245">
        <f t="shared" si="11"/>
        <v>0.13124999999999998</v>
      </c>
      <c r="T22" s="2245">
        <f t="shared" si="11"/>
        <v>0.13124999999999998</v>
      </c>
      <c r="U22" s="2245">
        <f t="shared" si="11"/>
        <v>0.13124999999999998</v>
      </c>
      <c r="V22" s="2245">
        <f t="shared" si="11"/>
        <v>0.13124999999999998</v>
      </c>
      <c r="W22" s="2245">
        <f t="shared" si="11"/>
        <v>0.13124999999999998</v>
      </c>
      <c r="X22" s="2245">
        <f t="shared" si="11"/>
        <v>0.13124999999999998</v>
      </c>
      <c r="Y22" s="2245">
        <f t="shared" si="11"/>
        <v>0.13124999999999998</v>
      </c>
      <c r="Z22" s="2245">
        <f t="shared" si="11"/>
        <v>0.13124999999999998</v>
      </c>
      <c r="AA22" s="2245">
        <f t="shared" si="11"/>
        <v>0.13124999999999998</v>
      </c>
      <c r="AB22" s="3162">
        <f t="shared" si="11"/>
        <v>0</v>
      </c>
      <c r="AC22" s="3162">
        <f t="shared" si="11"/>
        <v>0</v>
      </c>
      <c r="AD22" s="3162">
        <f t="shared" si="11"/>
        <v>0</v>
      </c>
      <c r="AE22" s="3162">
        <f t="shared" si="11"/>
        <v>0</v>
      </c>
      <c r="AF22" s="3162">
        <f t="shared" si="11"/>
        <v>0</v>
      </c>
      <c r="AG22" s="3162">
        <f t="shared" si="11"/>
        <v>0</v>
      </c>
      <c r="AI22" s="720"/>
      <c r="AJ22" s="720"/>
      <c r="AK22" s="720"/>
      <c r="AL22" s="720"/>
      <c r="AM22" s="720"/>
      <c r="AN22" s="720"/>
      <c r="AO22" s="720"/>
    </row>
    <row r="23" spans="1:16384" s="1984" customFormat="1">
      <c r="A23" s="720"/>
      <c r="B23" s="2223"/>
      <c r="C23" s="720"/>
      <c r="D23" s="720"/>
      <c r="E23" s="720"/>
      <c r="F23" s="720"/>
      <c r="G23" s="720"/>
      <c r="H23" s="720"/>
      <c r="I23" s="720"/>
      <c r="J23" s="720"/>
      <c r="K23" s="720"/>
      <c r="L23" s="720"/>
      <c r="M23" s="720"/>
      <c r="N23" s="720"/>
      <c r="O23" s="720"/>
      <c r="P23" s="720"/>
      <c r="Q23" s="720"/>
      <c r="R23" s="720"/>
      <c r="S23" s="720"/>
      <c r="T23" s="720"/>
      <c r="U23" s="720"/>
      <c r="V23" s="720"/>
      <c r="W23" s="720"/>
      <c r="X23" s="720"/>
      <c r="Y23" s="720"/>
      <c r="Z23" s="720"/>
      <c r="AA23" s="720"/>
      <c r="AB23" s="720"/>
      <c r="AC23" s="720"/>
      <c r="AD23" s="720"/>
      <c r="AE23" s="720"/>
      <c r="AF23" s="720"/>
      <c r="AG23" s="720"/>
      <c r="AH23" s="720"/>
      <c r="AI23" s="720"/>
      <c r="AJ23" s="720"/>
      <c r="AK23" s="720"/>
      <c r="AL23" s="720"/>
      <c r="AM23" s="720"/>
      <c r="AN23" s="720"/>
      <c r="AO23" s="720"/>
      <c r="AP23" s="720"/>
      <c r="AQ23" s="720"/>
      <c r="AR23" s="720"/>
      <c r="AS23" s="720"/>
      <c r="AT23" s="720"/>
      <c r="AU23" s="720"/>
      <c r="AV23" s="720"/>
      <c r="AW23" s="720"/>
      <c r="AX23" s="720"/>
      <c r="AY23" s="720"/>
      <c r="AZ23" s="720"/>
      <c r="BA23" s="720"/>
      <c r="BB23" s="720"/>
      <c r="BC23" s="720"/>
      <c r="BD23" s="720"/>
      <c r="BE23" s="720"/>
      <c r="BF23" s="720"/>
      <c r="BG23" s="720"/>
      <c r="BH23" s="720"/>
      <c r="BI23" s="720"/>
      <c r="BJ23" s="720"/>
      <c r="BK23" s="720"/>
      <c r="BL23" s="720"/>
      <c r="BM23" s="720"/>
      <c r="BN23" s="720"/>
      <c r="BO23" s="720"/>
      <c r="BP23" s="720"/>
      <c r="BQ23" s="720"/>
      <c r="BR23" s="720"/>
      <c r="BS23" s="720"/>
      <c r="BT23" s="720"/>
      <c r="BU23" s="720"/>
      <c r="BV23" s="720"/>
      <c r="BW23" s="720"/>
      <c r="BX23" s="720"/>
      <c r="BY23" s="720"/>
      <c r="BZ23" s="720"/>
      <c r="CA23" s="720"/>
      <c r="CB23" s="720"/>
      <c r="CC23" s="720"/>
      <c r="CD23" s="720"/>
      <c r="CE23" s="720"/>
      <c r="CF23" s="720"/>
      <c r="CG23" s="720"/>
      <c r="CH23" s="720"/>
      <c r="CI23" s="720"/>
      <c r="CJ23" s="720"/>
      <c r="CK23" s="720"/>
      <c r="CL23" s="720"/>
      <c r="CM23" s="720"/>
      <c r="CN23" s="720"/>
      <c r="CO23" s="720"/>
      <c r="CP23" s="720"/>
      <c r="CQ23" s="720"/>
      <c r="CR23" s="720"/>
      <c r="CS23" s="720"/>
      <c r="CT23" s="720"/>
      <c r="CU23" s="720"/>
      <c r="CV23" s="720"/>
      <c r="CW23" s="720"/>
      <c r="CX23" s="720"/>
      <c r="CY23" s="720"/>
      <c r="CZ23" s="720"/>
      <c r="DA23" s="720"/>
      <c r="DB23" s="720"/>
      <c r="DC23" s="720"/>
      <c r="DD23" s="720"/>
      <c r="DE23" s="720"/>
      <c r="DF23" s="720"/>
      <c r="DG23" s="720"/>
      <c r="DH23" s="720"/>
      <c r="DI23" s="720"/>
      <c r="DJ23" s="720"/>
      <c r="DK23" s="720"/>
      <c r="DL23" s="720"/>
      <c r="DM23" s="720"/>
      <c r="DN23" s="720"/>
      <c r="DO23" s="720"/>
      <c r="DP23" s="720"/>
      <c r="DQ23" s="720"/>
      <c r="DR23" s="720"/>
      <c r="DS23" s="720"/>
      <c r="DT23" s="720"/>
      <c r="DU23" s="720"/>
      <c r="DV23" s="720"/>
      <c r="DW23" s="720"/>
      <c r="DX23" s="720"/>
      <c r="DY23" s="720"/>
      <c r="DZ23" s="720"/>
      <c r="EA23" s="720"/>
      <c r="EB23" s="720"/>
      <c r="EC23" s="720"/>
      <c r="ED23" s="720"/>
      <c r="EE23" s="720"/>
      <c r="EF23" s="720"/>
      <c r="EG23" s="720"/>
      <c r="EH23" s="720"/>
      <c r="EI23" s="720"/>
      <c r="EJ23" s="720"/>
      <c r="EK23" s="720"/>
      <c r="EL23" s="720"/>
      <c r="EM23" s="720"/>
      <c r="EN23" s="720"/>
      <c r="EO23" s="720"/>
      <c r="EP23" s="720"/>
      <c r="EQ23" s="720"/>
      <c r="ER23" s="720"/>
      <c r="ES23" s="720"/>
      <c r="ET23" s="720"/>
      <c r="EU23" s="720"/>
      <c r="EV23" s="720"/>
      <c r="EW23" s="720"/>
      <c r="EX23" s="720"/>
      <c r="EY23" s="720"/>
      <c r="EZ23" s="720"/>
      <c r="FA23" s="720"/>
      <c r="FB23" s="720"/>
      <c r="FC23" s="720"/>
      <c r="FD23" s="720"/>
      <c r="FE23" s="720"/>
      <c r="FF23" s="720"/>
      <c r="FG23" s="720"/>
      <c r="FH23" s="720"/>
      <c r="FI23" s="720"/>
      <c r="FJ23" s="720"/>
      <c r="FK23" s="720"/>
      <c r="FL23" s="720"/>
      <c r="FM23" s="720"/>
      <c r="FN23" s="720"/>
      <c r="FO23" s="720"/>
      <c r="FP23" s="720"/>
      <c r="FQ23" s="720"/>
      <c r="FR23" s="720"/>
      <c r="FS23" s="720"/>
      <c r="FT23" s="720"/>
      <c r="FU23" s="720"/>
      <c r="FV23" s="720"/>
      <c r="FW23" s="720"/>
      <c r="FX23" s="720"/>
      <c r="FY23" s="720"/>
      <c r="FZ23" s="720"/>
      <c r="GA23" s="720"/>
      <c r="GB23" s="720"/>
      <c r="GC23" s="720"/>
      <c r="GD23" s="720"/>
      <c r="GE23" s="720"/>
      <c r="GF23" s="720"/>
      <c r="GG23" s="720"/>
      <c r="GH23" s="720"/>
      <c r="GI23" s="720"/>
      <c r="GJ23" s="720"/>
      <c r="GK23" s="720"/>
      <c r="GL23" s="720"/>
      <c r="GM23" s="720"/>
      <c r="GN23" s="720"/>
      <c r="GO23" s="720"/>
      <c r="GP23" s="720"/>
      <c r="GQ23" s="720"/>
      <c r="GR23" s="720"/>
      <c r="GS23" s="720"/>
      <c r="GT23" s="720"/>
      <c r="GU23" s="720"/>
      <c r="GV23" s="720"/>
      <c r="GW23" s="720"/>
      <c r="GX23" s="720"/>
      <c r="GY23" s="720"/>
      <c r="GZ23" s="720"/>
      <c r="HA23" s="720"/>
      <c r="HB23" s="720"/>
      <c r="HC23" s="720"/>
      <c r="HD23" s="720"/>
      <c r="HE23" s="720"/>
      <c r="HF23" s="720"/>
      <c r="HG23" s="720"/>
      <c r="HH23" s="720"/>
      <c r="HI23" s="720"/>
      <c r="HJ23" s="720"/>
      <c r="HK23" s="720"/>
      <c r="HL23" s="720"/>
      <c r="HM23" s="720"/>
      <c r="HN23" s="720"/>
      <c r="HO23" s="720"/>
      <c r="HP23" s="720"/>
      <c r="HQ23" s="720"/>
      <c r="HR23" s="720"/>
      <c r="HS23" s="720"/>
      <c r="HT23" s="720"/>
      <c r="HU23" s="720"/>
      <c r="HV23" s="720"/>
      <c r="HW23" s="720"/>
      <c r="HX23" s="720"/>
      <c r="HY23" s="720"/>
      <c r="HZ23" s="720"/>
      <c r="IA23" s="720"/>
      <c r="IB23" s="720"/>
      <c r="IC23" s="720"/>
      <c r="ID23" s="720"/>
      <c r="IE23" s="720"/>
      <c r="IF23" s="720"/>
      <c r="IG23" s="720"/>
      <c r="IH23" s="720"/>
      <c r="II23" s="720"/>
      <c r="IJ23" s="720"/>
      <c r="IK23" s="720"/>
      <c r="IL23" s="720"/>
      <c r="IM23" s="720"/>
      <c r="IN23" s="720"/>
      <c r="IO23" s="720"/>
      <c r="IP23" s="720"/>
      <c r="IQ23" s="720"/>
      <c r="IR23" s="720"/>
      <c r="IS23" s="720"/>
      <c r="IT23" s="720"/>
      <c r="IU23" s="720"/>
      <c r="IV23" s="720"/>
      <c r="IW23" s="720"/>
      <c r="IX23" s="720"/>
      <c r="IY23" s="720"/>
      <c r="IZ23" s="720"/>
      <c r="JA23" s="720"/>
      <c r="JB23" s="720"/>
      <c r="JC23" s="720"/>
      <c r="JD23" s="720"/>
      <c r="JE23" s="720"/>
      <c r="JF23" s="720"/>
      <c r="JG23" s="720"/>
      <c r="JH23" s="720"/>
      <c r="JI23" s="720"/>
      <c r="JJ23" s="720"/>
      <c r="JK23" s="720"/>
      <c r="JL23" s="720"/>
      <c r="JM23" s="720"/>
      <c r="JN23" s="720"/>
      <c r="JO23" s="720"/>
      <c r="JP23" s="720"/>
      <c r="JQ23" s="720"/>
      <c r="JR23" s="720"/>
      <c r="JS23" s="720"/>
      <c r="JT23" s="720"/>
      <c r="JU23" s="720"/>
      <c r="JV23" s="720"/>
      <c r="JW23" s="720"/>
      <c r="JX23" s="720"/>
      <c r="JY23" s="720"/>
      <c r="JZ23" s="720"/>
      <c r="KA23" s="720"/>
      <c r="KB23" s="720"/>
      <c r="KC23" s="720"/>
      <c r="KD23" s="720"/>
      <c r="KE23" s="720"/>
      <c r="KF23" s="720"/>
      <c r="KG23" s="720"/>
      <c r="KH23" s="720"/>
      <c r="KI23" s="720"/>
      <c r="KJ23" s="720"/>
      <c r="KK23" s="720"/>
      <c r="KL23" s="720"/>
      <c r="KM23" s="720"/>
      <c r="KN23" s="720"/>
      <c r="KO23" s="720"/>
      <c r="KP23" s="720"/>
      <c r="KQ23" s="720"/>
      <c r="KR23" s="720"/>
      <c r="KS23" s="720"/>
      <c r="KT23" s="720"/>
      <c r="KU23" s="720"/>
      <c r="KV23" s="720"/>
      <c r="KW23" s="720"/>
      <c r="KX23" s="720"/>
      <c r="KY23" s="720"/>
      <c r="KZ23" s="720"/>
      <c r="LA23" s="720"/>
      <c r="LB23" s="720"/>
      <c r="LC23" s="720"/>
      <c r="LD23" s="720"/>
      <c r="LE23" s="720"/>
      <c r="LF23" s="720"/>
      <c r="LG23" s="720"/>
      <c r="LH23" s="720"/>
      <c r="LI23" s="720"/>
      <c r="LJ23" s="720"/>
      <c r="LK23" s="720"/>
      <c r="LL23" s="720"/>
      <c r="LM23" s="720"/>
      <c r="LN23" s="720"/>
      <c r="LO23" s="720"/>
      <c r="LP23" s="720"/>
      <c r="LQ23" s="720"/>
      <c r="LR23" s="720"/>
      <c r="LS23" s="720"/>
      <c r="LT23" s="720"/>
      <c r="LU23" s="720"/>
      <c r="LV23" s="720"/>
      <c r="LW23" s="720"/>
      <c r="LX23" s="720"/>
      <c r="LY23" s="720"/>
      <c r="LZ23" s="720"/>
      <c r="MA23" s="720"/>
      <c r="MB23" s="720"/>
      <c r="MC23" s="720"/>
      <c r="MD23" s="720"/>
      <c r="ME23" s="720"/>
      <c r="MF23" s="720"/>
      <c r="MG23" s="720"/>
      <c r="MH23" s="720"/>
      <c r="MI23" s="720"/>
      <c r="MJ23" s="720"/>
      <c r="MK23" s="720"/>
      <c r="ML23" s="720"/>
      <c r="MM23" s="720"/>
      <c r="MN23" s="720"/>
      <c r="MO23" s="720"/>
      <c r="MP23" s="720"/>
      <c r="MQ23" s="720"/>
      <c r="MR23" s="720"/>
      <c r="MS23" s="720"/>
      <c r="MT23" s="720"/>
      <c r="MU23" s="720"/>
      <c r="MV23" s="720"/>
      <c r="MW23" s="720"/>
      <c r="MX23" s="720"/>
      <c r="MY23" s="720"/>
      <c r="MZ23" s="720"/>
      <c r="NA23" s="720"/>
      <c r="NB23" s="720"/>
      <c r="NC23" s="720"/>
      <c r="ND23" s="720"/>
      <c r="NE23" s="720"/>
      <c r="NF23" s="720"/>
      <c r="NG23" s="720"/>
      <c r="NH23" s="720"/>
      <c r="NI23" s="720"/>
      <c r="NJ23" s="720"/>
      <c r="NK23" s="720"/>
      <c r="NL23" s="720"/>
      <c r="NM23" s="720"/>
      <c r="NN23" s="720"/>
      <c r="NO23" s="720"/>
      <c r="NP23" s="720"/>
      <c r="NQ23" s="720"/>
      <c r="NR23" s="720"/>
      <c r="NS23" s="720"/>
      <c r="NT23" s="720"/>
      <c r="NU23" s="720"/>
      <c r="NV23" s="720"/>
      <c r="NW23" s="720"/>
      <c r="NX23" s="720"/>
      <c r="NY23" s="720"/>
      <c r="NZ23" s="720"/>
      <c r="OA23" s="720"/>
      <c r="OB23" s="720"/>
      <c r="OC23" s="720"/>
      <c r="OD23" s="720"/>
      <c r="OE23" s="720"/>
      <c r="OF23" s="720"/>
      <c r="OG23" s="720"/>
      <c r="OH23" s="720"/>
      <c r="OI23" s="720"/>
      <c r="OJ23" s="720"/>
      <c r="OK23" s="720"/>
      <c r="OL23" s="720"/>
      <c r="OM23" s="720"/>
      <c r="ON23" s="720"/>
      <c r="OO23" s="720"/>
      <c r="OP23" s="720"/>
      <c r="OQ23" s="720"/>
      <c r="OR23" s="720"/>
      <c r="OS23" s="720"/>
      <c r="OT23" s="720"/>
      <c r="OU23" s="720"/>
      <c r="OV23" s="720"/>
      <c r="OW23" s="720"/>
      <c r="OX23" s="720"/>
      <c r="OY23" s="720"/>
      <c r="OZ23" s="720"/>
      <c r="PA23" s="720"/>
      <c r="PB23" s="720"/>
      <c r="PC23" s="720"/>
      <c r="PD23" s="720"/>
      <c r="PE23" s="720"/>
      <c r="PF23" s="720"/>
      <c r="PG23" s="720"/>
      <c r="PH23" s="720"/>
      <c r="PI23" s="720"/>
      <c r="PJ23" s="720"/>
      <c r="PK23" s="720"/>
      <c r="PL23" s="720"/>
      <c r="PM23" s="720"/>
      <c r="PN23" s="720"/>
      <c r="PO23" s="720"/>
      <c r="PP23" s="720"/>
      <c r="PQ23" s="720"/>
      <c r="PR23" s="720"/>
      <c r="PS23" s="720"/>
      <c r="PT23" s="720"/>
      <c r="PU23" s="720"/>
      <c r="PV23" s="720"/>
      <c r="PW23" s="720"/>
      <c r="PX23" s="720"/>
      <c r="PY23" s="720"/>
      <c r="PZ23" s="720"/>
      <c r="QA23" s="720"/>
      <c r="QB23" s="720"/>
      <c r="QC23" s="720"/>
      <c r="QD23" s="720"/>
      <c r="QE23" s="720"/>
      <c r="QF23" s="720"/>
      <c r="QG23" s="720"/>
      <c r="QH23" s="720"/>
      <c r="QI23" s="720"/>
      <c r="QJ23" s="720"/>
      <c r="QK23" s="720"/>
      <c r="QL23" s="720"/>
      <c r="QM23" s="720"/>
      <c r="QN23" s="720"/>
      <c r="QO23" s="720"/>
      <c r="QP23" s="720"/>
      <c r="QQ23" s="720"/>
      <c r="QR23" s="720"/>
      <c r="QS23" s="720"/>
      <c r="QT23" s="720"/>
      <c r="QU23" s="720"/>
      <c r="QV23" s="720"/>
      <c r="QW23" s="720"/>
      <c r="QX23" s="720"/>
      <c r="QY23" s="720"/>
      <c r="QZ23" s="720"/>
      <c r="RA23" s="720"/>
      <c r="RB23" s="720"/>
      <c r="RC23" s="720"/>
      <c r="RD23" s="720"/>
      <c r="RE23" s="720"/>
      <c r="RF23" s="720"/>
      <c r="RG23" s="720"/>
      <c r="RH23" s="720"/>
      <c r="RI23" s="720"/>
      <c r="RJ23" s="720"/>
      <c r="RK23" s="720"/>
      <c r="RL23" s="720"/>
      <c r="RM23" s="720"/>
      <c r="RN23" s="720"/>
      <c r="RO23" s="720"/>
      <c r="RP23" s="720"/>
      <c r="RQ23" s="720"/>
      <c r="RR23" s="720"/>
      <c r="RS23" s="720"/>
      <c r="RT23" s="720"/>
      <c r="RU23" s="720"/>
      <c r="RV23" s="720"/>
      <c r="RW23" s="720"/>
      <c r="RX23" s="720"/>
      <c r="RY23" s="720"/>
      <c r="RZ23" s="720"/>
      <c r="SA23" s="720"/>
      <c r="SB23" s="720"/>
      <c r="SC23" s="720"/>
      <c r="SD23" s="720"/>
      <c r="SE23" s="720"/>
      <c r="SF23" s="720"/>
      <c r="SG23" s="720"/>
      <c r="SH23" s="720"/>
      <c r="SI23" s="720"/>
      <c r="SJ23" s="720"/>
      <c r="SK23" s="720"/>
      <c r="SL23" s="720"/>
      <c r="SM23" s="720"/>
      <c r="SN23" s="720"/>
      <c r="SO23" s="720"/>
      <c r="SP23" s="720"/>
      <c r="SQ23" s="720"/>
      <c r="SR23" s="720"/>
      <c r="SS23" s="720"/>
      <c r="ST23" s="720"/>
      <c r="SU23" s="720"/>
      <c r="SV23" s="720"/>
      <c r="SW23" s="720"/>
      <c r="SX23" s="720"/>
      <c r="SY23" s="720"/>
      <c r="SZ23" s="720"/>
      <c r="TA23" s="720"/>
      <c r="TB23" s="720"/>
      <c r="TC23" s="720"/>
      <c r="TD23" s="720"/>
      <c r="TE23" s="720"/>
      <c r="TF23" s="720"/>
      <c r="TG23" s="720"/>
      <c r="TH23" s="720"/>
      <c r="TI23" s="720"/>
      <c r="TJ23" s="720"/>
      <c r="TK23" s="720"/>
      <c r="TL23" s="720"/>
      <c r="TM23" s="720"/>
      <c r="TN23" s="720"/>
      <c r="TO23" s="720"/>
      <c r="TP23" s="720"/>
      <c r="TQ23" s="720"/>
      <c r="TR23" s="720"/>
      <c r="TS23" s="720"/>
      <c r="TT23" s="720"/>
      <c r="TU23" s="720"/>
      <c r="TV23" s="720"/>
      <c r="TW23" s="720"/>
      <c r="TX23" s="720"/>
      <c r="TY23" s="720"/>
      <c r="TZ23" s="720"/>
      <c r="UA23" s="720"/>
      <c r="UB23" s="720"/>
      <c r="UC23" s="720"/>
      <c r="UD23" s="720"/>
      <c r="UE23" s="720"/>
      <c r="UF23" s="720"/>
      <c r="UG23" s="720"/>
      <c r="UH23" s="720"/>
      <c r="UI23" s="720"/>
      <c r="UJ23" s="720"/>
      <c r="UK23" s="720"/>
      <c r="UL23" s="720"/>
      <c r="UM23" s="720"/>
      <c r="UN23" s="720"/>
      <c r="UO23" s="720"/>
      <c r="UP23" s="720"/>
      <c r="UQ23" s="720"/>
      <c r="UR23" s="720"/>
      <c r="US23" s="720"/>
      <c r="UT23" s="720"/>
      <c r="UU23" s="720"/>
      <c r="UV23" s="720"/>
      <c r="UW23" s="720"/>
      <c r="UX23" s="720"/>
      <c r="UY23" s="720"/>
      <c r="UZ23" s="720"/>
      <c r="VA23" s="720"/>
      <c r="VB23" s="720"/>
      <c r="VC23" s="720"/>
      <c r="VD23" s="720"/>
      <c r="VE23" s="720"/>
      <c r="VF23" s="720"/>
      <c r="VG23" s="720"/>
      <c r="VH23" s="720"/>
      <c r="VI23" s="720"/>
      <c r="VJ23" s="720"/>
      <c r="VK23" s="720"/>
      <c r="VL23" s="720"/>
      <c r="VM23" s="720"/>
      <c r="VN23" s="720"/>
      <c r="VO23" s="720"/>
      <c r="VP23" s="720"/>
      <c r="VQ23" s="720"/>
      <c r="VR23" s="720"/>
      <c r="VS23" s="720"/>
      <c r="VT23" s="720"/>
      <c r="VU23" s="720"/>
      <c r="VV23" s="720"/>
      <c r="VW23" s="720"/>
      <c r="VX23" s="720"/>
      <c r="VY23" s="720"/>
      <c r="VZ23" s="720"/>
      <c r="WA23" s="720"/>
      <c r="WB23" s="720"/>
      <c r="WC23" s="720"/>
      <c r="WD23" s="720"/>
      <c r="WE23" s="720"/>
      <c r="WF23" s="720"/>
      <c r="WG23" s="720"/>
      <c r="WH23" s="720"/>
      <c r="WI23" s="720"/>
      <c r="WJ23" s="720"/>
      <c r="WK23" s="720"/>
      <c r="WL23" s="720"/>
      <c r="WM23" s="720"/>
      <c r="WN23" s="720"/>
      <c r="WO23" s="720"/>
      <c r="WP23" s="720"/>
      <c r="WQ23" s="720"/>
      <c r="WR23" s="720"/>
      <c r="WS23" s="720"/>
      <c r="WT23" s="720"/>
      <c r="WU23" s="720"/>
      <c r="WV23" s="720"/>
      <c r="WW23" s="720"/>
      <c r="WX23" s="720"/>
      <c r="WY23" s="720"/>
      <c r="WZ23" s="720"/>
      <c r="XA23" s="720"/>
      <c r="XB23" s="720"/>
      <c r="XC23" s="720"/>
      <c r="XD23" s="720"/>
      <c r="XE23" s="720"/>
      <c r="XF23" s="720"/>
      <c r="XG23" s="720"/>
      <c r="XH23" s="720"/>
      <c r="XI23" s="720"/>
      <c r="XJ23" s="720"/>
      <c r="XK23" s="720"/>
      <c r="XL23" s="720"/>
      <c r="XM23" s="720"/>
      <c r="XN23" s="720"/>
      <c r="XO23" s="720"/>
      <c r="XP23" s="720"/>
      <c r="XQ23" s="720"/>
      <c r="XR23" s="720"/>
      <c r="XS23" s="720"/>
      <c r="XT23" s="720"/>
      <c r="XU23" s="720"/>
      <c r="XV23" s="720"/>
      <c r="XW23" s="720"/>
      <c r="XX23" s="720"/>
      <c r="XY23" s="720"/>
      <c r="XZ23" s="720"/>
      <c r="YA23" s="720"/>
      <c r="YB23" s="720"/>
      <c r="YC23" s="720"/>
      <c r="YD23" s="720"/>
      <c r="YE23" s="720"/>
      <c r="YF23" s="720"/>
      <c r="YG23" s="720"/>
      <c r="YH23" s="720"/>
      <c r="YI23" s="720"/>
      <c r="YJ23" s="720"/>
      <c r="YK23" s="720"/>
      <c r="YL23" s="720"/>
      <c r="YM23" s="720"/>
      <c r="YN23" s="720"/>
      <c r="YO23" s="720"/>
      <c r="YP23" s="720"/>
      <c r="YQ23" s="720"/>
      <c r="YR23" s="720"/>
      <c r="YS23" s="720"/>
      <c r="YT23" s="720"/>
      <c r="YU23" s="720"/>
      <c r="YV23" s="720"/>
      <c r="YW23" s="720"/>
      <c r="YX23" s="720"/>
      <c r="YY23" s="720"/>
      <c r="YZ23" s="720"/>
      <c r="ZA23" s="720"/>
      <c r="ZB23" s="720"/>
      <c r="ZC23" s="720"/>
      <c r="ZD23" s="720"/>
      <c r="ZE23" s="720"/>
      <c r="ZF23" s="720"/>
      <c r="ZG23" s="720"/>
      <c r="ZH23" s="720"/>
      <c r="ZI23" s="720"/>
      <c r="ZJ23" s="720"/>
      <c r="ZK23" s="720"/>
      <c r="ZL23" s="720"/>
      <c r="ZM23" s="720"/>
      <c r="ZN23" s="720"/>
      <c r="ZO23" s="720"/>
      <c r="ZP23" s="720"/>
      <c r="ZQ23" s="720"/>
      <c r="ZR23" s="720"/>
      <c r="ZS23" s="720"/>
      <c r="ZT23" s="720"/>
      <c r="ZU23" s="720"/>
      <c r="ZV23" s="720"/>
      <c r="ZW23" s="720"/>
      <c r="ZX23" s="720"/>
      <c r="ZY23" s="720"/>
      <c r="ZZ23" s="720"/>
      <c r="AAA23" s="720"/>
      <c r="AAB23" s="720"/>
      <c r="AAC23" s="720"/>
      <c r="AAD23" s="720"/>
      <c r="AAE23" s="720"/>
      <c r="AAF23" s="720"/>
      <c r="AAG23" s="720"/>
      <c r="AAH23" s="720"/>
      <c r="AAI23" s="720"/>
      <c r="AAJ23" s="720"/>
      <c r="AAK23" s="720"/>
      <c r="AAL23" s="720"/>
      <c r="AAM23" s="720"/>
      <c r="AAN23" s="720"/>
      <c r="AAO23" s="720"/>
      <c r="AAP23" s="720"/>
      <c r="AAQ23" s="720"/>
      <c r="AAR23" s="720"/>
      <c r="AAS23" s="720"/>
      <c r="AAT23" s="720"/>
      <c r="AAU23" s="720"/>
      <c r="AAV23" s="720"/>
      <c r="AAW23" s="720"/>
      <c r="AAX23" s="720"/>
      <c r="AAY23" s="720"/>
      <c r="AAZ23" s="720"/>
      <c r="ABA23" s="720"/>
      <c r="ABB23" s="720"/>
      <c r="ABC23" s="720"/>
      <c r="ABD23" s="720"/>
      <c r="ABE23" s="720"/>
      <c r="ABF23" s="720"/>
      <c r="ABG23" s="720"/>
      <c r="ABH23" s="720"/>
      <c r="ABI23" s="720"/>
      <c r="ABJ23" s="720"/>
      <c r="ABK23" s="720"/>
      <c r="ABL23" s="720"/>
      <c r="ABM23" s="720"/>
      <c r="ABN23" s="720"/>
      <c r="ABO23" s="720"/>
      <c r="ABP23" s="720"/>
      <c r="ABQ23" s="720"/>
      <c r="ABR23" s="720"/>
      <c r="ABS23" s="720"/>
      <c r="ABT23" s="720"/>
      <c r="ABU23" s="720"/>
      <c r="ABV23" s="720"/>
      <c r="ABW23" s="720"/>
      <c r="ABX23" s="720"/>
      <c r="ABY23" s="720"/>
      <c r="ABZ23" s="720"/>
      <c r="ACA23" s="720"/>
      <c r="ACB23" s="720"/>
      <c r="ACC23" s="720"/>
      <c r="ACD23" s="720"/>
      <c r="ACE23" s="720"/>
      <c r="ACF23" s="720"/>
      <c r="ACG23" s="720"/>
      <c r="ACH23" s="720"/>
      <c r="ACI23" s="720"/>
      <c r="ACJ23" s="720"/>
      <c r="ACK23" s="720"/>
      <c r="ACL23" s="720"/>
      <c r="ACM23" s="720"/>
      <c r="ACN23" s="720"/>
      <c r="ACO23" s="720"/>
      <c r="ACP23" s="720"/>
      <c r="ACQ23" s="720"/>
      <c r="ACR23" s="720"/>
      <c r="ACS23" s="720"/>
      <c r="ACT23" s="720"/>
      <c r="ACU23" s="720"/>
      <c r="ACV23" s="720"/>
      <c r="ACW23" s="720"/>
      <c r="ACX23" s="720"/>
      <c r="ACY23" s="720"/>
      <c r="ACZ23" s="720"/>
      <c r="ADA23" s="720"/>
      <c r="ADB23" s="720"/>
      <c r="ADC23" s="720"/>
      <c r="ADD23" s="720"/>
      <c r="ADE23" s="720"/>
      <c r="ADF23" s="720"/>
      <c r="ADG23" s="720"/>
      <c r="ADH23" s="720"/>
      <c r="ADI23" s="720"/>
      <c r="ADJ23" s="720"/>
      <c r="ADK23" s="720"/>
      <c r="ADL23" s="720"/>
      <c r="ADM23" s="720"/>
      <c r="ADN23" s="720"/>
      <c r="ADO23" s="720"/>
      <c r="ADP23" s="720"/>
      <c r="ADQ23" s="720"/>
      <c r="ADR23" s="720"/>
      <c r="ADS23" s="720"/>
      <c r="ADT23" s="720"/>
      <c r="ADU23" s="720"/>
      <c r="ADV23" s="720"/>
      <c r="ADW23" s="720"/>
      <c r="ADX23" s="720"/>
      <c r="ADY23" s="720"/>
      <c r="ADZ23" s="720"/>
      <c r="AEA23" s="720"/>
      <c r="AEB23" s="720"/>
      <c r="AEC23" s="720"/>
      <c r="AED23" s="720"/>
      <c r="AEE23" s="720"/>
      <c r="AEF23" s="720"/>
      <c r="AEG23" s="720"/>
      <c r="AEH23" s="720"/>
      <c r="AEI23" s="720"/>
      <c r="AEJ23" s="720"/>
      <c r="AEK23" s="720"/>
      <c r="AEL23" s="720"/>
      <c r="AEM23" s="720"/>
      <c r="AEN23" s="720"/>
      <c r="AEO23" s="720"/>
      <c r="AEP23" s="720"/>
      <c r="AEQ23" s="720"/>
      <c r="AER23" s="720"/>
      <c r="AES23" s="720"/>
      <c r="AET23" s="720"/>
      <c r="AEU23" s="720"/>
      <c r="AEV23" s="720"/>
      <c r="AEW23" s="720"/>
      <c r="AEX23" s="720"/>
      <c r="AEY23" s="720"/>
      <c r="AEZ23" s="720"/>
      <c r="AFA23" s="720"/>
      <c r="AFB23" s="720"/>
      <c r="AFC23" s="720"/>
      <c r="AFD23" s="720"/>
      <c r="AFE23" s="720"/>
      <c r="AFF23" s="720"/>
      <c r="AFG23" s="720"/>
      <c r="AFH23" s="720"/>
      <c r="AFI23" s="720"/>
      <c r="AFJ23" s="720"/>
      <c r="AFK23" s="720"/>
      <c r="AFL23" s="720"/>
      <c r="AFM23" s="720"/>
      <c r="AFN23" s="720"/>
      <c r="AFO23" s="720"/>
      <c r="AFP23" s="720"/>
      <c r="AFQ23" s="720"/>
      <c r="AFR23" s="720"/>
      <c r="AFS23" s="720"/>
      <c r="AFT23" s="720"/>
      <c r="AFU23" s="720"/>
      <c r="AFV23" s="720"/>
      <c r="AFW23" s="720"/>
      <c r="AFX23" s="720"/>
      <c r="AFY23" s="720"/>
      <c r="AFZ23" s="720"/>
      <c r="AGA23" s="720"/>
      <c r="AGB23" s="720"/>
      <c r="AGC23" s="720"/>
      <c r="AGD23" s="720"/>
      <c r="AGE23" s="720"/>
      <c r="AGF23" s="720"/>
      <c r="AGG23" s="720"/>
      <c r="AGH23" s="720"/>
      <c r="AGI23" s="720"/>
      <c r="AGJ23" s="720"/>
      <c r="AGK23" s="720"/>
      <c r="AGL23" s="720"/>
      <c r="AGM23" s="720"/>
      <c r="AGN23" s="720"/>
      <c r="AGO23" s="720"/>
      <c r="AGP23" s="720"/>
      <c r="AGQ23" s="720"/>
      <c r="AGR23" s="720"/>
      <c r="AGS23" s="720"/>
      <c r="AGT23" s="720"/>
      <c r="AGU23" s="720"/>
      <c r="AGV23" s="720"/>
      <c r="AGW23" s="720"/>
      <c r="AGX23" s="720"/>
      <c r="AGY23" s="720"/>
      <c r="AGZ23" s="720"/>
      <c r="AHA23" s="720"/>
      <c r="AHB23" s="720"/>
      <c r="AHC23" s="720"/>
      <c r="AHD23" s="720"/>
      <c r="AHE23" s="720"/>
      <c r="AHF23" s="720"/>
      <c r="AHG23" s="720"/>
      <c r="AHH23" s="720"/>
      <c r="AHI23" s="720"/>
      <c r="AHJ23" s="720"/>
      <c r="AHK23" s="720"/>
      <c r="AHL23" s="720"/>
      <c r="AHM23" s="720"/>
      <c r="AHN23" s="720"/>
      <c r="AHO23" s="720"/>
      <c r="AHP23" s="720"/>
      <c r="AHQ23" s="720"/>
      <c r="AHR23" s="720"/>
      <c r="AHS23" s="720"/>
      <c r="AHT23" s="720"/>
      <c r="AHU23" s="720"/>
      <c r="AHV23" s="720"/>
      <c r="AHW23" s="720"/>
      <c r="AHX23" s="720"/>
      <c r="AHY23" s="720"/>
      <c r="AHZ23" s="720"/>
      <c r="AIA23" s="720"/>
      <c r="AIB23" s="720"/>
      <c r="AIC23" s="720"/>
      <c r="AID23" s="720"/>
      <c r="AIE23" s="720"/>
      <c r="AIF23" s="720"/>
      <c r="AIG23" s="720"/>
      <c r="AIH23" s="720"/>
      <c r="AII23" s="720"/>
      <c r="AIJ23" s="720"/>
      <c r="AIK23" s="720"/>
      <c r="AIL23" s="720"/>
      <c r="AIM23" s="720"/>
      <c r="AIN23" s="720"/>
      <c r="AIO23" s="720"/>
      <c r="AIP23" s="720"/>
      <c r="AIQ23" s="720"/>
      <c r="AIR23" s="720"/>
      <c r="AIS23" s="720"/>
      <c r="AIT23" s="720"/>
      <c r="AIU23" s="720"/>
      <c r="AIV23" s="720"/>
      <c r="AIW23" s="720"/>
      <c r="AIX23" s="720"/>
      <c r="AIY23" s="720"/>
      <c r="AIZ23" s="720"/>
      <c r="AJA23" s="720"/>
      <c r="AJB23" s="720"/>
      <c r="AJC23" s="720"/>
      <c r="AJD23" s="720"/>
      <c r="AJE23" s="720"/>
      <c r="AJF23" s="720"/>
      <c r="AJG23" s="720"/>
      <c r="AJH23" s="720"/>
      <c r="AJI23" s="720"/>
      <c r="AJJ23" s="720"/>
      <c r="AJK23" s="720"/>
      <c r="AJL23" s="720"/>
      <c r="AJM23" s="720"/>
      <c r="AJN23" s="720"/>
      <c r="AJO23" s="720"/>
      <c r="AJP23" s="720"/>
      <c r="AJQ23" s="720"/>
      <c r="AJR23" s="720"/>
      <c r="AJS23" s="720"/>
      <c r="AJT23" s="720"/>
      <c r="AJU23" s="720"/>
      <c r="AJV23" s="720"/>
      <c r="AJW23" s="720"/>
      <c r="AJX23" s="720"/>
      <c r="AJY23" s="720"/>
      <c r="AJZ23" s="720"/>
      <c r="AKA23" s="720"/>
      <c r="AKB23" s="720"/>
      <c r="AKC23" s="720"/>
      <c r="AKD23" s="720"/>
      <c r="AKE23" s="720"/>
      <c r="AKF23" s="720"/>
      <c r="AKG23" s="720"/>
      <c r="AKH23" s="720"/>
      <c r="AKI23" s="720"/>
      <c r="AKJ23" s="720"/>
      <c r="AKK23" s="720"/>
      <c r="AKL23" s="720"/>
      <c r="AKM23" s="720"/>
      <c r="AKN23" s="720"/>
      <c r="AKO23" s="720"/>
      <c r="AKP23" s="720"/>
      <c r="AKQ23" s="720"/>
      <c r="AKR23" s="720"/>
      <c r="AKS23" s="720"/>
      <c r="AKT23" s="720"/>
      <c r="AKU23" s="720"/>
      <c r="AKV23" s="720"/>
      <c r="AKW23" s="720"/>
      <c r="AKX23" s="720"/>
      <c r="AKY23" s="720"/>
      <c r="AKZ23" s="720"/>
      <c r="ALA23" s="720"/>
      <c r="ALB23" s="720"/>
      <c r="ALC23" s="720"/>
      <c r="ALD23" s="720"/>
      <c r="ALE23" s="720"/>
      <c r="ALF23" s="720"/>
      <c r="ALG23" s="720"/>
      <c r="ALH23" s="720"/>
      <c r="ALI23" s="720"/>
      <c r="ALJ23" s="720"/>
      <c r="ALK23" s="720"/>
      <c r="ALL23" s="720"/>
      <c r="ALM23" s="720"/>
      <c r="ALN23" s="720"/>
      <c r="ALO23" s="720"/>
      <c r="ALP23" s="720"/>
      <c r="ALQ23" s="720"/>
      <c r="ALR23" s="720"/>
      <c r="ALS23" s="720"/>
      <c r="ALT23" s="720"/>
      <c r="ALU23" s="720"/>
      <c r="ALV23" s="720"/>
      <c r="ALW23" s="720"/>
      <c r="ALX23" s="720"/>
      <c r="ALY23" s="720"/>
      <c r="ALZ23" s="720"/>
      <c r="AMA23" s="720"/>
      <c r="AMB23" s="720"/>
      <c r="AMC23" s="720"/>
      <c r="AMD23" s="720"/>
      <c r="AME23" s="720"/>
      <c r="AMF23" s="720"/>
      <c r="AMG23" s="720"/>
      <c r="AMH23" s="720"/>
      <c r="AMI23" s="720"/>
      <c r="AMJ23" s="720"/>
      <c r="AMK23" s="720"/>
      <c r="AML23" s="720"/>
      <c r="AMM23" s="720"/>
      <c r="AMN23" s="720"/>
      <c r="AMO23" s="720"/>
      <c r="AMP23" s="720"/>
      <c r="AMQ23" s="720"/>
      <c r="AMR23" s="720"/>
      <c r="AMS23" s="720"/>
      <c r="AMT23" s="720"/>
      <c r="AMU23" s="720"/>
      <c r="AMV23" s="720"/>
      <c r="AMW23" s="720"/>
      <c r="AMX23" s="720"/>
      <c r="AMY23" s="720"/>
      <c r="AMZ23" s="720"/>
      <c r="ANA23" s="720"/>
      <c r="ANB23" s="720"/>
      <c r="ANC23" s="720"/>
      <c r="AND23" s="720"/>
      <c r="ANE23" s="720"/>
      <c r="ANF23" s="720"/>
      <c r="ANG23" s="720"/>
      <c r="ANH23" s="720"/>
      <c r="ANI23" s="720"/>
      <c r="ANJ23" s="720"/>
      <c r="ANK23" s="720"/>
      <c r="ANL23" s="720"/>
      <c r="ANM23" s="720"/>
      <c r="ANN23" s="720"/>
      <c r="ANO23" s="720"/>
      <c r="ANP23" s="720"/>
      <c r="ANQ23" s="720"/>
      <c r="ANR23" s="720"/>
      <c r="ANS23" s="720"/>
      <c r="ANT23" s="720"/>
      <c r="ANU23" s="720"/>
      <c r="ANV23" s="720"/>
      <c r="ANW23" s="720"/>
      <c r="ANX23" s="720"/>
      <c r="ANY23" s="720"/>
      <c r="ANZ23" s="720"/>
      <c r="AOA23" s="720"/>
      <c r="AOB23" s="720"/>
      <c r="AOC23" s="720"/>
      <c r="AOD23" s="720"/>
      <c r="AOE23" s="720"/>
      <c r="AOF23" s="720"/>
      <c r="AOG23" s="720"/>
      <c r="AOH23" s="720"/>
      <c r="AOI23" s="720"/>
      <c r="AOJ23" s="720"/>
      <c r="AOK23" s="720"/>
      <c r="AOL23" s="720"/>
      <c r="AOM23" s="720"/>
      <c r="AON23" s="720"/>
      <c r="AOO23" s="720"/>
      <c r="AOP23" s="720"/>
      <c r="AOQ23" s="720"/>
      <c r="AOR23" s="720"/>
      <c r="AOS23" s="720"/>
      <c r="AOT23" s="720"/>
      <c r="AOU23" s="720"/>
      <c r="AOV23" s="720"/>
      <c r="AOW23" s="720"/>
      <c r="AOX23" s="720"/>
      <c r="AOY23" s="720"/>
      <c r="AOZ23" s="720"/>
      <c r="APA23" s="720"/>
      <c r="APB23" s="720"/>
      <c r="APC23" s="720"/>
      <c r="APD23" s="720"/>
      <c r="APE23" s="720"/>
      <c r="APF23" s="720"/>
      <c r="APG23" s="720"/>
      <c r="APH23" s="720"/>
      <c r="API23" s="720"/>
      <c r="APJ23" s="720"/>
      <c r="APK23" s="720"/>
      <c r="APL23" s="720"/>
      <c r="APM23" s="720"/>
      <c r="APN23" s="720"/>
      <c r="APO23" s="720"/>
      <c r="APP23" s="720"/>
      <c r="APQ23" s="720"/>
      <c r="APR23" s="720"/>
      <c r="APS23" s="720"/>
      <c r="APT23" s="720"/>
      <c r="APU23" s="720"/>
      <c r="APV23" s="720"/>
      <c r="APW23" s="720"/>
      <c r="APX23" s="720"/>
      <c r="APY23" s="720"/>
      <c r="APZ23" s="720"/>
      <c r="AQA23" s="720"/>
      <c r="AQB23" s="720"/>
      <c r="AQC23" s="720"/>
      <c r="AQD23" s="720"/>
      <c r="AQE23" s="720"/>
      <c r="AQF23" s="720"/>
      <c r="AQG23" s="720"/>
      <c r="AQH23" s="720"/>
      <c r="AQI23" s="720"/>
      <c r="AQJ23" s="720"/>
      <c r="AQK23" s="720"/>
      <c r="AQL23" s="720"/>
      <c r="AQM23" s="720"/>
      <c r="AQN23" s="720"/>
      <c r="AQO23" s="720"/>
      <c r="AQP23" s="720"/>
      <c r="AQQ23" s="720"/>
      <c r="AQR23" s="720"/>
      <c r="AQS23" s="720"/>
      <c r="AQT23" s="720"/>
      <c r="AQU23" s="720"/>
      <c r="AQV23" s="720"/>
      <c r="AQW23" s="720"/>
      <c r="AQX23" s="720"/>
      <c r="AQY23" s="720"/>
      <c r="AQZ23" s="720"/>
      <c r="ARA23" s="720"/>
      <c r="ARB23" s="720"/>
      <c r="ARC23" s="720"/>
      <c r="ARD23" s="720"/>
      <c r="ARE23" s="720"/>
      <c r="ARF23" s="720"/>
      <c r="ARG23" s="720"/>
      <c r="ARH23" s="720"/>
      <c r="ARI23" s="720"/>
      <c r="ARJ23" s="720"/>
      <c r="ARK23" s="720"/>
      <c r="ARL23" s="720"/>
      <c r="ARM23" s="720"/>
      <c r="ARN23" s="720"/>
      <c r="ARO23" s="720"/>
      <c r="ARP23" s="720"/>
      <c r="ARQ23" s="720"/>
      <c r="ARR23" s="720"/>
      <c r="ARS23" s="720"/>
      <c r="ART23" s="720"/>
      <c r="ARU23" s="720"/>
      <c r="ARV23" s="720"/>
      <c r="ARW23" s="720"/>
      <c r="ARX23" s="720"/>
      <c r="ARY23" s="720"/>
      <c r="ARZ23" s="720"/>
      <c r="ASA23" s="720"/>
      <c r="ASB23" s="720"/>
      <c r="ASC23" s="720"/>
      <c r="ASD23" s="720"/>
      <c r="ASE23" s="720"/>
      <c r="ASF23" s="720"/>
      <c r="ASG23" s="720"/>
      <c r="ASH23" s="720"/>
      <c r="ASI23" s="720"/>
      <c r="ASJ23" s="720"/>
      <c r="ASK23" s="720"/>
      <c r="ASL23" s="720"/>
      <c r="ASM23" s="720"/>
      <c r="ASN23" s="720"/>
      <c r="ASO23" s="720"/>
      <c r="ASP23" s="720"/>
      <c r="ASQ23" s="720"/>
      <c r="ASR23" s="720"/>
      <c r="ASS23" s="720"/>
      <c r="AST23" s="720"/>
      <c r="ASU23" s="720"/>
      <c r="ASV23" s="720"/>
      <c r="ASW23" s="720"/>
      <c r="ASX23" s="720"/>
      <c r="ASY23" s="720"/>
      <c r="ASZ23" s="720"/>
      <c r="ATA23" s="720"/>
      <c r="ATB23" s="720"/>
      <c r="ATC23" s="720"/>
      <c r="ATD23" s="720"/>
      <c r="ATE23" s="720"/>
      <c r="ATF23" s="720"/>
      <c r="ATG23" s="720"/>
      <c r="ATH23" s="720"/>
      <c r="ATI23" s="720"/>
      <c r="ATJ23" s="720"/>
      <c r="ATK23" s="720"/>
      <c r="ATL23" s="720"/>
      <c r="ATM23" s="720"/>
      <c r="ATN23" s="720"/>
      <c r="ATO23" s="720"/>
      <c r="ATP23" s="720"/>
      <c r="ATQ23" s="720"/>
      <c r="ATR23" s="720"/>
      <c r="ATS23" s="720"/>
      <c r="ATT23" s="720"/>
      <c r="ATU23" s="720"/>
      <c r="ATV23" s="720"/>
      <c r="ATW23" s="720"/>
      <c r="ATX23" s="720"/>
      <c r="ATY23" s="720"/>
      <c r="ATZ23" s="720"/>
      <c r="AUA23" s="720"/>
      <c r="AUB23" s="720"/>
      <c r="AUC23" s="720"/>
      <c r="AUD23" s="720"/>
      <c r="AUE23" s="720"/>
      <c r="AUF23" s="720"/>
      <c r="AUG23" s="720"/>
      <c r="AUH23" s="720"/>
      <c r="AUI23" s="720"/>
      <c r="AUJ23" s="720"/>
      <c r="AUK23" s="720"/>
      <c r="AUL23" s="720"/>
      <c r="AUM23" s="720"/>
      <c r="AUN23" s="720"/>
      <c r="AUO23" s="720"/>
      <c r="AUP23" s="720"/>
      <c r="AUQ23" s="720"/>
      <c r="AUR23" s="720"/>
      <c r="AUS23" s="720"/>
      <c r="AUT23" s="720"/>
      <c r="AUU23" s="720"/>
      <c r="AUV23" s="720"/>
      <c r="AUW23" s="720"/>
      <c r="AUX23" s="720"/>
      <c r="AUY23" s="720"/>
      <c r="AUZ23" s="720"/>
      <c r="AVA23" s="720"/>
      <c r="AVB23" s="720"/>
      <c r="AVC23" s="720"/>
      <c r="AVD23" s="720"/>
      <c r="AVE23" s="720"/>
      <c r="AVF23" s="720"/>
      <c r="AVG23" s="720"/>
      <c r="AVH23" s="720"/>
      <c r="AVI23" s="720"/>
      <c r="AVJ23" s="720"/>
      <c r="AVK23" s="720"/>
      <c r="AVL23" s="720"/>
      <c r="AVM23" s="720"/>
      <c r="AVN23" s="720"/>
      <c r="AVO23" s="720"/>
      <c r="AVP23" s="720"/>
      <c r="AVQ23" s="720"/>
      <c r="AVR23" s="720"/>
      <c r="AVS23" s="720"/>
      <c r="AVT23" s="720"/>
      <c r="AVU23" s="720"/>
      <c r="AVV23" s="720"/>
      <c r="AVW23" s="720"/>
      <c r="AVX23" s="720"/>
      <c r="AVY23" s="720"/>
      <c r="AVZ23" s="720"/>
      <c r="AWA23" s="720"/>
      <c r="AWB23" s="720"/>
      <c r="AWC23" s="720"/>
      <c r="AWD23" s="720"/>
      <c r="AWE23" s="720"/>
      <c r="AWF23" s="720"/>
      <c r="AWG23" s="720"/>
      <c r="AWH23" s="720"/>
      <c r="AWI23" s="720"/>
      <c r="AWJ23" s="720"/>
      <c r="AWK23" s="720"/>
      <c r="AWL23" s="720"/>
      <c r="AWM23" s="720"/>
      <c r="AWN23" s="720"/>
      <c r="AWO23" s="720"/>
      <c r="AWP23" s="720"/>
      <c r="AWQ23" s="720"/>
      <c r="AWR23" s="720"/>
      <c r="AWS23" s="720"/>
      <c r="AWT23" s="720"/>
      <c r="AWU23" s="720"/>
      <c r="AWV23" s="720"/>
      <c r="AWW23" s="720"/>
      <c r="AWX23" s="720"/>
      <c r="AWY23" s="720"/>
      <c r="AWZ23" s="720"/>
      <c r="AXA23" s="720"/>
      <c r="AXB23" s="720"/>
      <c r="AXC23" s="720"/>
      <c r="AXD23" s="720"/>
      <c r="AXE23" s="720"/>
      <c r="AXF23" s="720"/>
      <c r="AXG23" s="720"/>
      <c r="AXH23" s="720"/>
      <c r="AXI23" s="720"/>
      <c r="AXJ23" s="720"/>
      <c r="AXK23" s="720"/>
      <c r="AXL23" s="720"/>
      <c r="AXM23" s="720"/>
      <c r="AXN23" s="720"/>
      <c r="AXO23" s="720"/>
      <c r="AXP23" s="720"/>
      <c r="AXQ23" s="720"/>
      <c r="AXR23" s="720"/>
      <c r="AXS23" s="720"/>
      <c r="AXT23" s="720"/>
      <c r="AXU23" s="720"/>
      <c r="AXV23" s="720"/>
      <c r="AXW23" s="720"/>
      <c r="AXX23" s="720"/>
      <c r="AXY23" s="720"/>
      <c r="AXZ23" s="720"/>
      <c r="AYA23" s="720"/>
      <c r="AYB23" s="720"/>
      <c r="AYC23" s="720"/>
      <c r="AYD23" s="720"/>
      <c r="AYE23" s="720"/>
      <c r="AYF23" s="720"/>
      <c r="AYG23" s="720"/>
      <c r="AYH23" s="720"/>
      <c r="AYI23" s="720"/>
      <c r="AYJ23" s="720"/>
      <c r="AYK23" s="720"/>
      <c r="AYL23" s="720"/>
      <c r="AYM23" s="720"/>
      <c r="AYN23" s="720"/>
      <c r="AYO23" s="720"/>
      <c r="AYP23" s="720"/>
      <c r="AYQ23" s="720"/>
      <c r="AYR23" s="720"/>
      <c r="AYS23" s="720"/>
      <c r="AYT23" s="720"/>
      <c r="AYU23" s="720"/>
      <c r="AYV23" s="720"/>
      <c r="AYW23" s="720"/>
      <c r="AYX23" s="720"/>
      <c r="AYY23" s="720"/>
      <c r="AYZ23" s="720"/>
      <c r="AZA23" s="720"/>
      <c r="AZB23" s="720"/>
      <c r="AZC23" s="720"/>
      <c r="AZD23" s="720"/>
      <c r="AZE23" s="720"/>
      <c r="AZF23" s="720"/>
      <c r="AZG23" s="720"/>
      <c r="AZH23" s="720"/>
      <c r="AZI23" s="720"/>
      <c r="AZJ23" s="720"/>
      <c r="AZK23" s="720"/>
      <c r="AZL23" s="720"/>
      <c r="AZM23" s="720"/>
      <c r="AZN23" s="720"/>
      <c r="AZO23" s="720"/>
      <c r="AZP23" s="720"/>
      <c r="AZQ23" s="720"/>
      <c r="AZR23" s="720"/>
      <c r="AZS23" s="720"/>
      <c r="AZT23" s="720"/>
      <c r="AZU23" s="720"/>
      <c r="AZV23" s="720"/>
      <c r="AZW23" s="720"/>
      <c r="AZX23" s="720"/>
      <c r="AZY23" s="720"/>
      <c r="AZZ23" s="720"/>
      <c r="BAA23" s="720"/>
      <c r="BAB23" s="720"/>
      <c r="BAC23" s="720"/>
      <c r="BAD23" s="720"/>
      <c r="BAE23" s="720"/>
      <c r="BAF23" s="720"/>
      <c r="BAG23" s="720"/>
      <c r="BAH23" s="720"/>
      <c r="BAI23" s="720"/>
      <c r="BAJ23" s="720"/>
      <c r="BAK23" s="720"/>
      <c r="BAL23" s="720"/>
      <c r="BAM23" s="720"/>
      <c r="BAN23" s="720"/>
      <c r="BAO23" s="720"/>
      <c r="BAP23" s="720"/>
      <c r="BAQ23" s="720"/>
      <c r="BAR23" s="720"/>
      <c r="BAS23" s="720"/>
      <c r="BAT23" s="720"/>
      <c r="BAU23" s="720"/>
      <c r="BAV23" s="720"/>
      <c r="BAW23" s="720"/>
      <c r="BAX23" s="720"/>
      <c r="BAY23" s="720"/>
      <c r="BAZ23" s="720"/>
      <c r="BBA23" s="720"/>
      <c r="BBB23" s="720"/>
      <c r="BBC23" s="720"/>
      <c r="BBD23" s="720"/>
      <c r="BBE23" s="720"/>
      <c r="BBF23" s="720"/>
      <c r="BBG23" s="720"/>
      <c r="BBH23" s="720"/>
      <c r="BBI23" s="720"/>
      <c r="BBJ23" s="720"/>
      <c r="BBK23" s="720"/>
      <c r="BBL23" s="720"/>
      <c r="BBM23" s="720"/>
      <c r="BBN23" s="720"/>
      <c r="BBO23" s="720"/>
      <c r="BBP23" s="720"/>
      <c r="BBQ23" s="720"/>
      <c r="BBR23" s="720"/>
      <c r="BBS23" s="720"/>
      <c r="BBT23" s="720"/>
      <c r="BBU23" s="720"/>
      <c r="BBV23" s="720"/>
      <c r="BBW23" s="720"/>
      <c r="BBX23" s="720"/>
      <c r="BBY23" s="720"/>
      <c r="BBZ23" s="720"/>
      <c r="BCA23" s="720"/>
      <c r="BCB23" s="720"/>
      <c r="BCC23" s="720"/>
      <c r="BCD23" s="720"/>
      <c r="BCE23" s="720"/>
      <c r="BCF23" s="720"/>
      <c r="BCG23" s="720"/>
      <c r="BCH23" s="720"/>
      <c r="BCI23" s="720"/>
      <c r="BCJ23" s="720"/>
      <c r="BCK23" s="720"/>
      <c r="BCL23" s="720"/>
      <c r="BCM23" s="720"/>
      <c r="BCN23" s="720"/>
      <c r="BCO23" s="720"/>
      <c r="BCP23" s="720"/>
      <c r="BCQ23" s="720"/>
      <c r="BCR23" s="720"/>
      <c r="BCS23" s="720"/>
      <c r="BCT23" s="720"/>
      <c r="BCU23" s="720"/>
      <c r="BCV23" s="720"/>
      <c r="BCW23" s="720"/>
      <c r="BCX23" s="720"/>
      <c r="BCY23" s="720"/>
      <c r="BCZ23" s="720"/>
      <c r="BDA23" s="720"/>
      <c r="BDB23" s="720"/>
      <c r="BDC23" s="720"/>
      <c r="BDD23" s="720"/>
      <c r="BDE23" s="720"/>
      <c r="BDF23" s="720"/>
      <c r="BDG23" s="720"/>
      <c r="BDH23" s="720"/>
      <c r="BDI23" s="720"/>
      <c r="BDJ23" s="720"/>
      <c r="BDK23" s="720"/>
      <c r="BDL23" s="720"/>
      <c r="BDM23" s="720"/>
      <c r="BDN23" s="720"/>
      <c r="BDO23" s="720"/>
      <c r="BDP23" s="720"/>
      <c r="BDQ23" s="720"/>
      <c r="BDR23" s="720"/>
      <c r="BDS23" s="720"/>
      <c r="BDT23" s="720"/>
      <c r="BDU23" s="720"/>
      <c r="BDV23" s="720"/>
      <c r="BDW23" s="720"/>
      <c r="BDX23" s="720"/>
      <c r="BDY23" s="720"/>
      <c r="BDZ23" s="720"/>
      <c r="BEA23" s="720"/>
      <c r="BEB23" s="720"/>
      <c r="BEC23" s="720"/>
      <c r="BED23" s="720"/>
      <c r="BEE23" s="720"/>
      <c r="BEF23" s="720"/>
      <c r="BEG23" s="720"/>
      <c r="BEH23" s="720"/>
      <c r="BEI23" s="720"/>
      <c r="BEJ23" s="720"/>
      <c r="BEK23" s="720"/>
      <c r="BEL23" s="720"/>
      <c r="BEM23" s="720"/>
      <c r="BEN23" s="720"/>
      <c r="BEO23" s="720"/>
      <c r="BEP23" s="720"/>
      <c r="BEQ23" s="720"/>
      <c r="BER23" s="720"/>
      <c r="BES23" s="720"/>
      <c r="BET23" s="720"/>
      <c r="BEU23" s="720"/>
      <c r="BEV23" s="720"/>
      <c r="BEW23" s="720"/>
      <c r="BEX23" s="720"/>
      <c r="BEY23" s="720"/>
      <c r="BEZ23" s="720"/>
      <c r="BFA23" s="720"/>
      <c r="BFB23" s="720"/>
      <c r="BFC23" s="720"/>
      <c r="BFD23" s="720"/>
      <c r="BFE23" s="720"/>
      <c r="BFF23" s="720"/>
      <c r="BFG23" s="720"/>
      <c r="BFH23" s="720"/>
      <c r="BFI23" s="720"/>
      <c r="BFJ23" s="720"/>
      <c r="BFK23" s="720"/>
      <c r="BFL23" s="720"/>
      <c r="BFM23" s="720"/>
      <c r="BFN23" s="720"/>
      <c r="BFO23" s="720"/>
      <c r="BFP23" s="720"/>
      <c r="BFQ23" s="720"/>
      <c r="BFR23" s="720"/>
      <c r="BFS23" s="720"/>
      <c r="BFT23" s="720"/>
      <c r="BFU23" s="720"/>
      <c r="BFV23" s="720"/>
      <c r="BFW23" s="720"/>
      <c r="BFX23" s="720"/>
      <c r="BFY23" s="720"/>
      <c r="BFZ23" s="720"/>
      <c r="BGA23" s="720"/>
      <c r="BGB23" s="720"/>
      <c r="BGC23" s="720"/>
      <c r="BGD23" s="720"/>
      <c r="BGE23" s="720"/>
      <c r="BGF23" s="720"/>
      <c r="BGG23" s="720"/>
      <c r="BGH23" s="720"/>
      <c r="BGI23" s="720"/>
      <c r="BGJ23" s="720"/>
      <c r="BGK23" s="720"/>
      <c r="BGL23" s="720"/>
      <c r="BGM23" s="720"/>
      <c r="BGN23" s="720"/>
      <c r="BGO23" s="720"/>
      <c r="BGP23" s="720"/>
      <c r="BGQ23" s="720"/>
      <c r="BGR23" s="720"/>
      <c r="BGS23" s="720"/>
      <c r="BGT23" s="720"/>
      <c r="BGU23" s="720"/>
      <c r="BGV23" s="720"/>
      <c r="BGW23" s="720"/>
      <c r="BGX23" s="720"/>
      <c r="BGY23" s="720"/>
      <c r="BGZ23" s="720"/>
      <c r="BHA23" s="720"/>
      <c r="BHB23" s="720"/>
      <c r="BHC23" s="720"/>
      <c r="BHD23" s="720"/>
      <c r="BHE23" s="720"/>
      <c r="BHF23" s="720"/>
      <c r="BHG23" s="720"/>
      <c r="BHH23" s="720"/>
      <c r="BHI23" s="720"/>
      <c r="BHJ23" s="720"/>
      <c r="BHK23" s="720"/>
      <c r="BHL23" s="720"/>
      <c r="BHM23" s="720"/>
      <c r="BHN23" s="720"/>
      <c r="BHO23" s="720"/>
      <c r="BHP23" s="720"/>
      <c r="BHQ23" s="720"/>
      <c r="BHR23" s="720"/>
      <c r="BHS23" s="720"/>
      <c r="BHT23" s="720"/>
      <c r="BHU23" s="720"/>
      <c r="BHV23" s="720"/>
      <c r="BHW23" s="720"/>
      <c r="BHX23" s="720"/>
      <c r="BHY23" s="720"/>
      <c r="BHZ23" s="720"/>
      <c r="BIA23" s="720"/>
      <c r="BIB23" s="720"/>
      <c r="BIC23" s="720"/>
      <c r="BID23" s="720"/>
      <c r="BIE23" s="720"/>
      <c r="BIF23" s="720"/>
      <c r="BIG23" s="720"/>
      <c r="BIH23" s="720"/>
      <c r="BII23" s="720"/>
      <c r="BIJ23" s="720"/>
      <c r="BIK23" s="720"/>
      <c r="BIL23" s="720"/>
      <c r="BIM23" s="720"/>
      <c r="BIN23" s="720"/>
      <c r="BIO23" s="720"/>
      <c r="BIP23" s="720"/>
      <c r="BIQ23" s="720"/>
      <c r="BIR23" s="720"/>
      <c r="BIS23" s="720"/>
      <c r="BIT23" s="720"/>
      <c r="BIU23" s="720"/>
      <c r="BIV23" s="720"/>
      <c r="BIW23" s="720"/>
      <c r="BIX23" s="720"/>
      <c r="BIY23" s="720"/>
      <c r="BIZ23" s="720"/>
      <c r="BJA23" s="720"/>
      <c r="BJB23" s="720"/>
      <c r="BJC23" s="720"/>
      <c r="BJD23" s="720"/>
      <c r="BJE23" s="720"/>
      <c r="BJF23" s="720"/>
      <c r="BJG23" s="720"/>
      <c r="BJH23" s="720"/>
      <c r="BJI23" s="720"/>
      <c r="BJJ23" s="720"/>
      <c r="BJK23" s="720"/>
      <c r="BJL23" s="720"/>
      <c r="BJM23" s="720"/>
      <c r="BJN23" s="720"/>
      <c r="BJO23" s="720"/>
      <c r="BJP23" s="720"/>
      <c r="BJQ23" s="720"/>
      <c r="BJR23" s="720"/>
      <c r="BJS23" s="720"/>
      <c r="BJT23" s="720"/>
      <c r="BJU23" s="720"/>
      <c r="BJV23" s="720"/>
      <c r="BJW23" s="720"/>
      <c r="BJX23" s="720"/>
      <c r="BJY23" s="720"/>
      <c r="BJZ23" s="720"/>
      <c r="BKA23" s="720"/>
      <c r="BKB23" s="720"/>
      <c r="BKC23" s="720"/>
      <c r="BKD23" s="720"/>
      <c r="BKE23" s="720"/>
      <c r="BKF23" s="720"/>
      <c r="BKG23" s="720"/>
      <c r="BKH23" s="720"/>
      <c r="BKI23" s="720"/>
      <c r="BKJ23" s="720"/>
      <c r="BKK23" s="720"/>
      <c r="BKL23" s="720"/>
      <c r="BKM23" s="720"/>
      <c r="BKN23" s="720"/>
      <c r="BKO23" s="720"/>
      <c r="BKP23" s="720"/>
      <c r="BKQ23" s="720"/>
      <c r="BKR23" s="720"/>
      <c r="BKS23" s="720"/>
      <c r="BKT23" s="720"/>
      <c r="BKU23" s="720"/>
      <c r="BKV23" s="720"/>
      <c r="BKW23" s="720"/>
      <c r="BKX23" s="720"/>
      <c r="BKY23" s="720"/>
      <c r="BKZ23" s="720"/>
      <c r="BLA23" s="720"/>
      <c r="BLB23" s="720"/>
      <c r="BLC23" s="720"/>
      <c r="BLD23" s="720"/>
      <c r="BLE23" s="720"/>
      <c r="BLF23" s="720"/>
      <c r="BLG23" s="720"/>
      <c r="BLH23" s="720"/>
      <c r="BLI23" s="720"/>
      <c r="BLJ23" s="720"/>
      <c r="BLK23" s="720"/>
      <c r="BLL23" s="720"/>
      <c r="BLM23" s="720"/>
      <c r="BLN23" s="720"/>
      <c r="BLO23" s="720"/>
      <c r="BLP23" s="720"/>
      <c r="BLQ23" s="720"/>
      <c r="BLR23" s="720"/>
      <c r="BLS23" s="720"/>
      <c r="BLT23" s="720"/>
      <c r="BLU23" s="720"/>
      <c r="BLV23" s="720"/>
      <c r="BLW23" s="720"/>
      <c r="BLX23" s="720"/>
      <c r="BLY23" s="720"/>
      <c r="BLZ23" s="720"/>
      <c r="BMA23" s="720"/>
      <c r="BMB23" s="720"/>
      <c r="BMC23" s="720"/>
      <c r="BMD23" s="720"/>
      <c r="BME23" s="720"/>
      <c r="BMF23" s="720"/>
      <c r="BMG23" s="720"/>
      <c r="BMH23" s="720"/>
      <c r="BMI23" s="720"/>
      <c r="BMJ23" s="720"/>
      <c r="BMK23" s="720"/>
      <c r="BML23" s="720"/>
      <c r="BMM23" s="720"/>
      <c r="BMN23" s="720"/>
      <c r="BMO23" s="720"/>
      <c r="BMP23" s="720"/>
      <c r="BMQ23" s="720"/>
      <c r="BMR23" s="720"/>
      <c r="BMS23" s="720"/>
      <c r="BMT23" s="720"/>
      <c r="BMU23" s="720"/>
      <c r="BMV23" s="720"/>
      <c r="BMW23" s="720"/>
      <c r="BMX23" s="720"/>
      <c r="BMY23" s="720"/>
      <c r="BMZ23" s="720"/>
      <c r="BNA23" s="720"/>
      <c r="BNB23" s="720"/>
      <c r="BNC23" s="720"/>
      <c r="BND23" s="720"/>
      <c r="BNE23" s="720"/>
      <c r="BNF23" s="720"/>
      <c r="BNG23" s="720"/>
      <c r="BNH23" s="720"/>
      <c r="BNI23" s="720"/>
      <c r="BNJ23" s="720"/>
      <c r="BNK23" s="720"/>
      <c r="BNL23" s="720"/>
      <c r="BNM23" s="720"/>
      <c r="BNN23" s="720"/>
      <c r="BNO23" s="720"/>
      <c r="BNP23" s="720"/>
      <c r="BNQ23" s="720"/>
      <c r="BNR23" s="720"/>
      <c r="BNS23" s="720"/>
      <c r="BNT23" s="720"/>
      <c r="BNU23" s="720"/>
      <c r="BNV23" s="720"/>
      <c r="BNW23" s="720"/>
      <c r="BNX23" s="720"/>
      <c r="BNY23" s="720"/>
      <c r="BNZ23" s="720"/>
      <c r="BOA23" s="720"/>
      <c r="BOB23" s="720"/>
      <c r="BOC23" s="720"/>
      <c r="BOD23" s="720"/>
      <c r="BOE23" s="720"/>
      <c r="BOF23" s="720"/>
      <c r="BOG23" s="720"/>
      <c r="BOH23" s="720"/>
      <c r="BOI23" s="720"/>
      <c r="BOJ23" s="720"/>
      <c r="BOK23" s="720"/>
      <c r="BOL23" s="720"/>
      <c r="BOM23" s="720"/>
      <c r="BON23" s="720"/>
      <c r="BOO23" s="720"/>
      <c r="BOP23" s="720"/>
      <c r="BOQ23" s="720"/>
      <c r="BOR23" s="720"/>
      <c r="BOS23" s="720"/>
      <c r="BOT23" s="720"/>
      <c r="BOU23" s="720"/>
      <c r="BOV23" s="720"/>
      <c r="BOW23" s="720"/>
      <c r="BOX23" s="720"/>
      <c r="BOY23" s="720"/>
      <c r="BOZ23" s="720"/>
      <c r="BPA23" s="720"/>
      <c r="BPB23" s="720"/>
      <c r="BPC23" s="720"/>
      <c r="BPD23" s="720"/>
      <c r="BPE23" s="720"/>
      <c r="BPF23" s="720"/>
      <c r="BPG23" s="720"/>
      <c r="BPH23" s="720"/>
      <c r="BPI23" s="720"/>
      <c r="BPJ23" s="720"/>
      <c r="BPK23" s="720"/>
      <c r="BPL23" s="720"/>
      <c r="BPM23" s="720"/>
      <c r="BPN23" s="720"/>
      <c r="BPO23" s="720"/>
      <c r="BPP23" s="720"/>
      <c r="BPQ23" s="720"/>
      <c r="BPR23" s="720"/>
      <c r="BPS23" s="720"/>
      <c r="BPT23" s="720"/>
      <c r="BPU23" s="720"/>
      <c r="BPV23" s="720"/>
      <c r="BPW23" s="720"/>
      <c r="BPX23" s="720"/>
      <c r="BPY23" s="720"/>
      <c r="BPZ23" s="720"/>
      <c r="BQA23" s="720"/>
      <c r="BQB23" s="720"/>
      <c r="BQC23" s="720"/>
      <c r="BQD23" s="720"/>
      <c r="BQE23" s="720"/>
      <c r="BQF23" s="720"/>
      <c r="BQG23" s="720"/>
      <c r="BQH23" s="720"/>
      <c r="BQI23" s="720"/>
      <c r="BQJ23" s="720"/>
      <c r="BQK23" s="720"/>
      <c r="BQL23" s="720"/>
      <c r="BQM23" s="720"/>
      <c r="BQN23" s="720"/>
      <c r="BQO23" s="720"/>
      <c r="BQP23" s="720"/>
      <c r="BQQ23" s="720"/>
      <c r="BQR23" s="720"/>
      <c r="BQS23" s="720"/>
      <c r="BQT23" s="720"/>
      <c r="BQU23" s="720"/>
      <c r="BQV23" s="720"/>
      <c r="BQW23" s="720"/>
      <c r="BQX23" s="720"/>
      <c r="BQY23" s="720"/>
      <c r="BQZ23" s="720"/>
      <c r="BRA23" s="720"/>
      <c r="BRB23" s="720"/>
      <c r="BRC23" s="720"/>
      <c r="BRD23" s="720"/>
      <c r="BRE23" s="720"/>
      <c r="BRF23" s="720"/>
      <c r="BRG23" s="720"/>
      <c r="BRH23" s="720"/>
      <c r="BRI23" s="720"/>
      <c r="BRJ23" s="720"/>
      <c r="BRK23" s="720"/>
      <c r="BRL23" s="720"/>
      <c r="BRM23" s="720"/>
      <c r="BRN23" s="720"/>
      <c r="BRO23" s="720"/>
      <c r="BRP23" s="720"/>
      <c r="BRQ23" s="720"/>
      <c r="BRR23" s="720"/>
      <c r="BRS23" s="720"/>
      <c r="BRT23" s="720"/>
      <c r="BRU23" s="720"/>
      <c r="BRV23" s="720"/>
      <c r="BRW23" s="720"/>
      <c r="BRX23" s="720"/>
      <c r="BRY23" s="720"/>
      <c r="BRZ23" s="720"/>
      <c r="BSA23" s="720"/>
      <c r="BSB23" s="720"/>
      <c r="BSC23" s="720"/>
      <c r="BSD23" s="720"/>
      <c r="BSE23" s="720"/>
      <c r="BSF23" s="720"/>
      <c r="BSG23" s="720"/>
      <c r="BSH23" s="720"/>
      <c r="BSI23" s="720"/>
      <c r="BSJ23" s="720"/>
      <c r="BSK23" s="720"/>
      <c r="BSL23" s="720"/>
      <c r="BSM23" s="720"/>
      <c r="BSN23" s="720"/>
      <c r="BSO23" s="720"/>
      <c r="BSP23" s="720"/>
      <c r="BSQ23" s="720"/>
      <c r="BSR23" s="720"/>
      <c r="BSS23" s="720"/>
      <c r="BST23" s="720"/>
      <c r="BSU23" s="720"/>
      <c r="BSV23" s="720"/>
      <c r="BSW23" s="720"/>
      <c r="BSX23" s="720"/>
      <c r="BSY23" s="720"/>
      <c r="BSZ23" s="720"/>
      <c r="BTA23" s="720"/>
      <c r="BTB23" s="720"/>
      <c r="BTC23" s="720"/>
      <c r="BTD23" s="720"/>
      <c r="BTE23" s="720"/>
      <c r="BTF23" s="720"/>
      <c r="BTG23" s="720"/>
      <c r="BTH23" s="720"/>
      <c r="BTI23" s="720"/>
      <c r="BTJ23" s="720"/>
      <c r="BTK23" s="720"/>
      <c r="BTL23" s="720"/>
      <c r="BTM23" s="720"/>
      <c r="BTN23" s="720"/>
      <c r="BTO23" s="720"/>
      <c r="BTP23" s="720"/>
      <c r="BTQ23" s="720"/>
      <c r="BTR23" s="720"/>
      <c r="BTS23" s="720"/>
      <c r="BTT23" s="720"/>
      <c r="BTU23" s="720"/>
      <c r="BTV23" s="720"/>
      <c r="BTW23" s="720"/>
      <c r="BTX23" s="720"/>
      <c r="BTY23" s="720"/>
      <c r="BTZ23" s="720"/>
      <c r="BUA23" s="720"/>
      <c r="BUB23" s="720"/>
      <c r="BUC23" s="720"/>
      <c r="BUD23" s="720"/>
      <c r="BUE23" s="720"/>
      <c r="BUF23" s="720"/>
      <c r="BUG23" s="720"/>
      <c r="BUH23" s="720"/>
      <c r="BUI23" s="720"/>
      <c r="BUJ23" s="720"/>
      <c r="BUK23" s="720"/>
      <c r="BUL23" s="720"/>
      <c r="BUM23" s="720"/>
      <c r="BUN23" s="720"/>
      <c r="BUO23" s="720"/>
      <c r="BUP23" s="720"/>
      <c r="BUQ23" s="720"/>
      <c r="BUR23" s="720"/>
      <c r="BUS23" s="720"/>
      <c r="BUT23" s="720"/>
      <c r="BUU23" s="720"/>
      <c r="BUV23" s="720"/>
      <c r="BUW23" s="720"/>
      <c r="BUX23" s="720"/>
      <c r="BUY23" s="720"/>
      <c r="BUZ23" s="720"/>
      <c r="BVA23" s="720"/>
      <c r="BVB23" s="720"/>
      <c r="BVC23" s="720"/>
      <c r="BVD23" s="720"/>
      <c r="BVE23" s="720"/>
      <c r="BVF23" s="720"/>
      <c r="BVG23" s="720"/>
      <c r="BVH23" s="720"/>
      <c r="BVI23" s="720"/>
      <c r="BVJ23" s="720"/>
      <c r="BVK23" s="720"/>
      <c r="BVL23" s="720"/>
      <c r="BVM23" s="720"/>
      <c r="BVN23" s="720"/>
      <c r="BVO23" s="720"/>
      <c r="BVP23" s="720"/>
      <c r="BVQ23" s="720"/>
      <c r="BVR23" s="720"/>
      <c r="BVS23" s="720"/>
      <c r="BVT23" s="720"/>
      <c r="BVU23" s="720"/>
      <c r="BVV23" s="720"/>
      <c r="BVW23" s="720"/>
      <c r="BVX23" s="720"/>
      <c r="BVY23" s="720"/>
      <c r="BVZ23" s="720"/>
      <c r="BWA23" s="720"/>
      <c r="BWB23" s="720"/>
      <c r="BWC23" s="720"/>
      <c r="BWD23" s="720"/>
      <c r="BWE23" s="720"/>
      <c r="BWF23" s="720"/>
      <c r="BWG23" s="720"/>
      <c r="BWH23" s="720"/>
      <c r="BWI23" s="720"/>
      <c r="BWJ23" s="720"/>
      <c r="BWK23" s="720"/>
      <c r="BWL23" s="720"/>
      <c r="BWM23" s="720"/>
      <c r="BWN23" s="720"/>
      <c r="BWO23" s="720"/>
      <c r="BWP23" s="720"/>
      <c r="BWQ23" s="720"/>
      <c r="BWR23" s="720"/>
      <c r="BWS23" s="720"/>
      <c r="BWT23" s="720"/>
      <c r="BWU23" s="720"/>
      <c r="BWV23" s="720"/>
      <c r="BWW23" s="720"/>
      <c r="BWX23" s="720"/>
      <c r="BWY23" s="720"/>
      <c r="BWZ23" s="720"/>
      <c r="BXA23" s="720"/>
      <c r="BXB23" s="720"/>
      <c r="BXC23" s="720"/>
      <c r="BXD23" s="720"/>
      <c r="BXE23" s="720"/>
      <c r="BXF23" s="720"/>
      <c r="BXG23" s="720"/>
      <c r="BXH23" s="720"/>
      <c r="BXI23" s="720"/>
      <c r="BXJ23" s="720"/>
      <c r="BXK23" s="720"/>
      <c r="BXL23" s="720"/>
      <c r="BXM23" s="720"/>
      <c r="BXN23" s="720"/>
      <c r="BXO23" s="720"/>
      <c r="BXP23" s="720"/>
      <c r="BXQ23" s="720"/>
      <c r="BXR23" s="720"/>
      <c r="BXS23" s="720"/>
      <c r="BXT23" s="720"/>
      <c r="BXU23" s="720"/>
      <c r="BXV23" s="720"/>
      <c r="BXW23" s="720"/>
      <c r="BXX23" s="720"/>
      <c r="BXY23" s="720"/>
      <c r="BXZ23" s="720"/>
      <c r="BYA23" s="720"/>
      <c r="BYB23" s="720"/>
      <c r="BYC23" s="720"/>
      <c r="BYD23" s="720"/>
      <c r="BYE23" s="720"/>
      <c r="BYF23" s="720"/>
      <c r="BYG23" s="720"/>
      <c r="BYH23" s="720"/>
      <c r="BYI23" s="720"/>
      <c r="BYJ23" s="720"/>
      <c r="BYK23" s="720"/>
      <c r="BYL23" s="720"/>
      <c r="BYM23" s="720"/>
      <c r="BYN23" s="720"/>
      <c r="BYO23" s="720"/>
      <c r="BYP23" s="720"/>
      <c r="BYQ23" s="720"/>
      <c r="BYR23" s="720"/>
      <c r="BYS23" s="720"/>
      <c r="BYT23" s="720"/>
      <c r="BYU23" s="720"/>
      <c r="BYV23" s="720"/>
      <c r="BYW23" s="720"/>
      <c r="BYX23" s="720"/>
      <c r="BYY23" s="720"/>
      <c r="BYZ23" s="720"/>
      <c r="BZA23" s="720"/>
      <c r="BZB23" s="720"/>
      <c r="BZC23" s="720"/>
      <c r="BZD23" s="720"/>
      <c r="BZE23" s="720"/>
      <c r="BZF23" s="720"/>
      <c r="BZG23" s="720"/>
      <c r="BZH23" s="720"/>
      <c r="BZI23" s="720"/>
      <c r="BZJ23" s="720"/>
      <c r="BZK23" s="720"/>
      <c r="BZL23" s="720"/>
      <c r="BZM23" s="720"/>
      <c r="BZN23" s="720"/>
      <c r="BZO23" s="720"/>
      <c r="BZP23" s="720"/>
      <c r="BZQ23" s="720"/>
      <c r="BZR23" s="720"/>
      <c r="BZS23" s="720"/>
      <c r="BZT23" s="720"/>
      <c r="BZU23" s="720"/>
      <c r="BZV23" s="720"/>
      <c r="BZW23" s="720"/>
      <c r="BZX23" s="720"/>
      <c r="BZY23" s="720"/>
      <c r="BZZ23" s="720"/>
      <c r="CAA23" s="720"/>
      <c r="CAB23" s="720"/>
      <c r="CAC23" s="720"/>
      <c r="CAD23" s="720"/>
      <c r="CAE23" s="720"/>
      <c r="CAF23" s="720"/>
      <c r="CAG23" s="720"/>
      <c r="CAH23" s="720"/>
      <c r="CAI23" s="720"/>
      <c r="CAJ23" s="720"/>
      <c r="CAK23" s="720"/>
      <c r="CAL23" s="720"/>
      <c r="CAM23" s="720"/>
      <c r="CAN23" s="720"/>
      <c r="CAO23" s="720"/>
      <c r="CAP23" s="720"/>
      <c r="CAQ23" s="720"/>
      <c r="CAR23" s="720"/>
      <c r="CAS23" s="720"/>
      <c r="CAT23" s="720"/>
      <c r="CAU23" s="720"/>
      <c r="CAV23" s="720"/>
      <c r="CAW23" s="720"/>
      <c r="CAX23" s="720"/>
      <c r="CAY23" s="720"/>
      <c r="CAZ23" s="720"/>
      <c r="CBA23" s="720"/>
      <c r="CBB23" s="720"/>
      <c r="CBC23" s="720"/>
      <c r="CBD23" s="720"/>
      <c r="CBE23" s="720"/>
      <c r="CBF23" s="720"/>
      <c r="CBG23" s="720"/>
      <c r="CBH23" s="720"/>
      <c r="CBI23" s="720"/>
      <c r="CBJ23" s="720"/>
      <c r="CBK23" s="720"/>
      <c r="CBL23" s="720"/>
      <c r="CBM23" s="720"/>
      <c r="CBN23" s="720"/>
      <c r="CBO23" s="720"/>
      <c r="CBP23" s="720"/>
      <c r="CBQ23" s="720"/>
      <c r="CBR23" s="720"/>
      <c r="CBS23" s="720"/>
      <c r="CBT23" s="720"/>
      <c r="CBU23" s="720"/>
      <c r="CBV23" s="720"/>
      <c r="CBW23" s="720"/>
      <c r="CBX23" s="720"/>
      <c r="CBY23" s="720"/>
      <c r="CBZ23" s="720"/>
      <c r="CCA23" s="720"/>
      <c r="CCB23" s="720"/>
      <c r="CCC23" s="720"/>
      <c r="CCD23" s="720"/>
      <c r="CCE23" s="720"/>
      <c r="CCF23" s="720"/>
      <c r="CCG23" s="720"/>
      <c r="CCH23" s="720"/>
      <c r="CCI23" s="720"/>
      <c r="CCJ23" s="720"/>
      <c r="CCK23" s="720"/>
      <c r="CCL23" s="720"/>
      <c r="CCM23" s="720"/>
      <c r="CCN23" s="720"/>
      <c r="CCO23" s="720"/>
      <c r="CCP23" s="720"/>
      <c r="CCQ23" s="720"/>
      <c r="CCR23" s="720"/>
      <c r="CCS23" s="720"/>
      <c r="CCT23" s="720"/>
      <c r="CCU23" s="720"/>
      <c r="CCV23" s="720"/>
      <c r="CCW23" s="720"/>
      <c r="CCX23" s="720"/>
      <c r="CCY23" s="720"/>
      <c r="CCZ23" s="720"/>
      <c r="CDA23" s="720"/>
      <c r="CDB23" s="720"/>
      <c r="CDC23" s="720"/>
      <c r="CDD23" s="720"/>
      <c r="CDE23" s="720"/>
      <c r="CDF23" s="720"/>
      <c r="CDG23" s="720"/>
      <c r="CDH23" s="720"/>
      <c r="CDI23" s="720"/>
      <c r="CDJ23" s="720"/>
      <c r="CDK23" s="720"/>
      <c r="CDL23" s="720"/>
      <c r="CDM23" s="720"/>
      <c r="CDN23" s="720"/>
      <c r="CDO23" s="720"/>
      <c r="CDP23" s="720"/>
      <c r="CDQ23" s="720"/>
      <c r="CDR23" s="720"/>
      <c r="CDS23" s="720"/>
      <c r="CDT23" s="720"/>
      <c r="CDU23" s="720"/>
      <c r="CDV23" s="720"/>
      <c r="CDW23" s="720"/>
      <c r="CDX23" s="720"/>
      <c r="CDY23" s="720"/>
      <c r="CDZ23" s="720"/>
      <c r="CEA23" s="720"/>
      <c r="CEB23" s="720"/>
      <c r="CEC23" s="720"/>
      <c r="CED23" s="720"/>
      <c r="CEE23" s="720"/>
      <c r="CEF23" s="720"/>
      <c r="CEG23" s="720"/>
      <c r="CEH23" s="720"/>
      <c r="CEI23" s="720"/>
      <c r="CEJ23" s="720"/>
      <c r="CEK23" s="720"/>
      <c r="CEL23" s="720"/>
      <c r="CEM23" s="720"/>
      <c r="CEN23" s="720"/>
      <c r="CEO23" s="720"/>
      <c r="CEP23" s="720"/>
      <c r="CEQ23" s="720"/>
      <c r="CER23" s="720"/>
      <c r="CES23" s="720"/>
      <c r="CET23" s="720"/>
      <c r="CEU23" s="720"/>
      <c r="CEV23" s="720"/>
      <c r="CEW23" s="720"/>
      <c r="CEX23" s="720"/>
      <c r="CEY23" s="720"/>
      <c r="CEZ23" s="720"/>
      <c r="CFA23" s="720"/>
      <c r="CFB23" s="720"/>
      <c r="CFC23" s="720"/>
      <c r="CFD23" s="720"/>
      <c r="CFE23" s="720"/>
      <c r="CFF23" s="720"/>
      <c r="CFG23" s="720"/>
      <c r="CFH23" s="720"/>
      <c r="CFI23" s="720"/>
      <c r="CFJ23" s="720"/>
      <c r="CFK23" s="720"/>
      <c r="CFL23" s="720"/>
      <c r="CFM23" s="720"/>
      <c r="CFN23" s="720"/>
      <c r="CFO23" s="720"/>
      <c r="CFP23" s="720"/>
      <c r="CFQ23" s="720"/>
      <c r="CFR23" s="720"/>
      <c r="CFS23" s="720"/>
      <c r="CFT23" s="720"/>
      <c r="CFU23" s="720"/>
      <c r="CFV23" s="720"/>
      <c r="CFW23" s="720"/>
      <c r="CFX23" s="720"/>
      <c r="CFY23" s="720"/>
      <c r="CFZ23" s="720"/>
      <c r="CGA23" s="720"/>
      <c r="CGB23" s="720"/>
      <c r="CGC23" s="720"/>
      <c r="CGD23" s="720"/>
      <c r="CGE23" s="720"/>
      <c r="CGF23" s="720"/>
      <c r="CGG23" s="720"/>
      <c r="CGH23" s="720"/>
      <c r="CGI23" s="720"/>
      <c r="CGJ23" s="720"/>
      <c r="CGK23" s="720"/>
      <c r="CGL23" s="720"/>
      <c r="CGM23" s="720"/>
      <c r="CGN23" s="720"/>
      <c r="CGO23" s="720"/>
      <c r="CGP23" s="720"/>
      <c r="CGQ23" s="720"/>
      <c r="CGR23" s="720"/>
      <c r="CGS23" s="720"/>
      <c r="CGT23" s="720"/>
      <c r="CGU23" s="720"/>
      <c r="CGV23" s="720"/>
      <c r="CGW23" s="720"/>
      <c r="CGX23" s="720"/>
      <c r="CGY23" s="720"/>
      <c r="CGZ23" s="720"/>
      <c r="CHA23" s="720"/>
      <c r="CHB23" s="720"/>
      <c r="CHC23" s="720"/>
      <c r="CHD23" s="720"/>
      <c r="CHE23" s="720"/>
      <c r="CHF23" s="720"/>
      <c r="CHG23" s="720"/>
      <c r="CHH23" s="720"/>
      <c r="CHI23" s="720"/>
      <c r="CHJ23" s="720"/>
      <c r="CHK23" s="720"/>
      <c r="CHL23" s="720"/>
      <c r="CHM23" s="720"/>
      <c r="CHN23" s="720"/>
      <c r="CHO23" s="720"/>
      <c r="CHP23" s="720"/>
      <c r="CHQ23" s="720"/>
      <c r="CHR23" s="720"/>
      <c r="CHS23" s="720"/>
      <c r="CHT23" s="720"/>
      <c r="CHU23" s="720"/>
      <c r="CHV23" s="720"/>
      <c r="CHW23" s="720"/>
      <c r="CHX23" s="720"/>
      <c r="CHY23" s="720"/>
      <c r="CHZ23" s="720"/>
      <c r="CIA23" s="720"/>
      <c r="CIB23" s="720"/>
      <c r="CIC23" s="720"/>
      <c r="CID23" s="720"/>
      <c r="CIE23" s="720"/>
      <c r="CIF23" s="720"/>
      <c r="CIG23" s="720"/>
      <c r="CIH23" s="720"/>
      <c r="CII23" s="720"/>
      <c r="CIJ23" s="720"/>
      <c r="CIK23" s="720"/>
      <c r="CIL23" s="720"/>
      <c r="CIM23" s="720"/>
      <c r="CIN23" s="720"/>
      <c r="CIO23" s="720"/>
      <c r="CIP23" s="720"/>
      <c r="CIQ23" s="720"/>
      <c r="CIR23" s="720"/>
      <c r="CIS23" s="720"/>
      <c r="CIT23" s="720"/>
      <c r="CIU23" s="720"/>
      <c r="CIV23" s="720"/>
      <c r="CIW23" s="720"/>
      <c r="CIX23" s="720"/>
      <c r="CIY23" s="720"/>
      <c r="CIZ23" s="720"/>
      <c r="CJA23" s="720"/>
      <c r="CJB23" s="720"/>
      <c r="CJC23" s="720"/>
      <c r="CJD23" s="720"/>
      <c r="CJE23" s="720"/>
      <c r="CJF23" s="720"/>
      <c r="CJG23" s="720"/>
      <c r="CJH23" s="720"/>
      <c r="CJI23" s="720"/>
      <c r="CJJ23" s="720"/>
      <c r="CJK23" s="720"/>
      <c r="CJL23" s="720"/>
      <c r="CJM23" s="720"/>
      <c r="CJN23" s="720"/>
      <c r="CJO23" s="720"/>
      <c r="CJP23" s="720"/>
      <c r="CJQ23" s="720"/>
      <c r="CJR23" s="720"/>
      <c r="CJS23" s="720"/>
      <c r="CJT23" s="720"/>
      <c r="CJU23" s="720"/>
      <c r="CJV23" s="720"/>
      <c r="CJW23" s="720"/>
      <c r="CJX23" s="720"/>
      <c r="CJY23" s="720"/>
      <c r="CJZ23" s="720"/>
      <c r="CKA23" s="720"/>
      <c r="CKB23" s="720"/>
      <c r="CKC23" s="720"/>
      <c r="CKD23" s="720"/>
      <c r="CKE23" s="720"/>
      <c r="CKF23" s="720"/>
      <c r="CKG23" s="720"/>
      <c r="CKH23" s="720"/>
      <c r="CKI23" s="720"/>
      <c r="CKJ23" s="720"/>
      <c r="CKK23" s="720"/>
      <c r="CKL23" s="720"/>
      <c r="CKM23" s="720"/>
      <c r="CKN23" s="720"/>
      <c r="CKO23" s="720"/>
      <c r="CKP23" s="720"/>
      <c r="CKQ23" s="720"/>
      <c r="CKR23" s="720"/>
      <c r="CKS23" s="720"/>
      <c r="CKT23" s="720"/>
      <c r="CKU23" s="720"/>
      <c r="CKV23" s="720"/>
      <c r="CKW23" s="720"/>
      <c r="CKX23" s="720"/>
      <c r="CKY23" s="720"/>
      <c r="CKZ23" s="720"/>
      <c r="CLA23" s="720"/>
      <c r="CLB23" s="720"/>
      <c r="CLC23" s="720"/>
      <c r="CLD23" s="720"/>
      <c r="CLE23" s="720"/>
      <c r="CLF23" s="720"/>
      <c r="CLG23" s="720"/>
      <c r="CLH23" s="720"/>
      <c r="CLI23" s="720"/>
      <c r="CLJ23" s="720"/>
      <c r="CLK23" s="720"/>
      <c r="CLL23" s="720"/>
      <c r="CLM23" s="720"/>
      <c r="CLN23" s="720"/>
      <c r="CLO23" s="720"/>
      <c r="CLP23" s="720"/>
      <c r="CLQ23" s="720"/>
      <c r="CLR23" s="720"/>
      <c r="CLS23" s="720"/>
      <c r="CLT23" s="720"/>
      <c r="CLU23" s="720"/>
      <c r="CLV23" s="720"/>
      <c r="CLW23" s="720"/>
      <c r="CLX23" s="720"/>
      <c r="CLY23" s="720"/>
      <c r="CLZ23" s="720"/>
      <c r="CMA23" s="720"/>
      <c r="CMB23" s="720"/>
      <c r="CMC23" s="720"/>
      <c r="CMD23" s="720"/>
      <c r="CME23" s="720"/>
      <c r="CMF23" s="720"/>
      <c r="CMG23" s="720"/>
      <c r="CMH23" s="720"/>
      <c r="CMI23" s="720"/>
      <c r="CMJ23" s="720"/>
      <c r="CMK23" s="720"/>
      <c r="CML23" s="720"/>
      <c r="CMM23" s="720"/>
      <c r="CMN23" s="720"/>
      <c r="CMO23" s="720"/>
      <c r="CMP23" s="720"/>
      <c r="CMQ23" s="720"/>
      <c r="CMR23" s="720"/>
      <c r="CMS23" s="720"/>
      <c r="CMT23" s="720"/>
      <c r="CMU23" s="720"/>
      <c r="CMV23" s="720"/>
      <c r="CMW23" s="720"/>
      <c r="CMX23" s="720"/>
      <c r="CMY23" s="720"/>
      <c r="CMZ23" s="720"/>
      <c r="CNA23" s="720"/>
      <c r="CNB23" s="720"/>
      <c r="CNC23" s="720"/>
      <c r="CND23" s="720"/>
      <c r="CNE23" s="720"/>
      <c r="CNF23" s="720"/>
      <c r="CNG23" s="720"/>
      <c r="CNH23" s="720"/>
      <c r="CNI23" s="720"/>
      <c r="CNJ23" s="720"/>
      <c r="CNK23" s="720"/>
      <c r="CNL23" s="720"/>
      <c r="CNM23" s="720"/>
      <c r="CNN23" s="720"/>
      <c r="CNO23" s="720"/>
      <c r="CNP23" s="720"/>
      <c r="CNQ23" s="720"/>
      <c r="CNR23" s="720"/>
      <c r="CNS23" s="720"/>
      <c r="CNT23" s="720"/>
      <c r="CNU23" s="720"/>
      <c r="CNV23" s="720"/>
      <c r="CNW23" s="720"/>
      <c r="CNX23" s="720"/>
      <c r="CNY23" s="720"/>
      <c r="CNZ23" s="720"/>
      <c r="COA23" s="720"/>
      <c r="COB23" s="720"/>
      <c r="COC23" s="720"/>
      <c r="COD23" s="720"/>
      <c r="COE23" s="720"/>
      <c r="COF23" s="720"/>
      <c r="COG23" s="720"/>
      <c r="COH23" s="720"/>
      <c r="COI23" s="720"/>
      <c r="COJ23" s="720"/>
      <c r="COK23" s="720"/>
      <c r="COL23" s="720"/>
      <c r="COM23" s="720"/>
      <c r="CON23" s="720"/>
      <c r="COO23" s="720"/>
      <c r="COP23" s="720"/>
      <c r="COQ23" s="720"/>
      <c r="COR23" s="720"/>
      <c r="COS23" s="720"/>
      <c r="COT23" s="720"/>
      <c r="COU23" s="720"/>
      <c r="COV23" s="720"/>
      <c r="COW23" s="720"/>
      <c r="COX23" s="720"/>
      <c r="COY23" s="720"/>
      <c r="COZ23" s="720"/>
      <c r="CPA23" s="720"/>
      <c r="CPB23" s="720"/>
      <c r="CPC23" s="720"/>
      <c r="CPD23" s="720"/>
      <c r="CPE23" s="720"/>
      <c r="CPF23" s="720"/>
      <c r="CPG23" s="720"/>
      <c r="CPH23" s="720"/>
      <c r="CPI23" s="720"/>
      <c r="CPJ23" s="720"/>
      <c r="CPK23" s="720"/>
      <c r="CPL23" s="720"/>
      <c r="CPM23" s="720"/>
      <c r="CPN23" s="720"/>
      <c r="CPO23" s="720"/>
      <c r="CPP23" s="720"/>
      <c r="CPQ23" s="720"/>
      <c r="CPR23" s="720"/>
      <c r="CPS23" s="720"/>
      <c r="CPT23" s="720"/>
      <c r="CPU23" s="720"/>
      <c r="CPV23" s="720"/>
      <c r="CPW23" s="720"/>
      <c r="CPX23" s="720"/>
      <c r="CPY23" s="720"/>
      <c r="CPZ23" s="720"/>
      <c r="CQA23" s="720"/>
      <c r="CQB23" s="720"/>
      <c r="CQC23" s="720"/>
      <c r="CQD23" s="720"/>
      <c r="CQE23" s="720"/>
      <c r="CQF23" s="720"/>
      <c r="CQG23" s="720"/>
      <c r="CQH23" s="720"/>
      <c r="CQI23" s="720"/>
      <c r="CQJ23" s="720"/>
      <c r="CQK23" s="720"/>
      <c r="CQL23" s="720"/>
      <c r="CQM23" s="720"/>
      <c r="CQN23" s="720"/>
      <c r="CQO23" s="720"/>
      <c r="CQP23" s="720"/>
      <c r="CQQ23" s="720"/>
      <c r="CQR23" s="720"/>
      <c r="CQS23" s="720"/>
      <c r="CQT23" s="720"/>
      <c r="CQU23" s="720"/>
      <c r="CQV23" s="720"/>
      <c r="CQW23" s="720"/>
      <c r="CQX23" s="720"/>
      <c r="CQY23" s="720"/>
      <c r="CQZ23" s="720"/>
      <c r="CRA23" s="720"/>
      <c r="CRB23" s="720"/>
      <c r="CRC23" s="720"/>
      <c r="CRD23" s="720"/>
      <c r="CRE23" s="720"/>
      <c r="CRF23" s="720"/>
      <c r="CRG23" s="720"/>
      <c r="CRH23" s="720"/>
      <c r="CRI23" s="720"/>
      <c r="CRJ23" s="720"/>
      <c r="CRK23" s="720"/>
      <c r="CRL23" s="720"/>
      <c r="CRM23" s="720"/>
      <c r="CRN23" s="720"/>
      <c r="CRO23" s="720"/>
      <c r="CRP23" s="720"/>
      <c r="CRQ23" s="720"/>
      <c r="CRR23" s="720"/>
      <c r="CRS23" s="720"/>
      <c r="CRT23" s="720"/>
      <c r="CRU23" s="720"/>
      <c r="CRV23" s="720"/>
      <c r="CRW23" s="720"/>
      <c r="CRX23" s="720"/>
      <c r="CRY23" s="720"/>
      <c r="CRZ23" s="720"/>
      <c r="CSA23" s="720"/>
      <c r="CSB23" s="720"/>
      <c r="CSC23" s="720"/>
      <c r="CSD23" s="720"/>
      <c r="CSE23" s="720"/>
      <c r="CSF23" s="720"/>
      <c r="CSG23" s="720"/>
      <c r="CSH23" s="720"/>
      <c r="CSI23" s="720"/>
      <c r="CSJ23" s="720"/>
      <c r="CSK23" s="720"/>
      <c r="CSL23" s="720"/>
      <c r="CSM23" s="720"/>
      <c r="CSN23" s="720"/>
      <c r="CSO23" s="720"/>
      <c r="CSP23" s="720"/>
      <c r="CSQ23" s="720"/>
      <c r="CSR23" s="720"/>
      <c r="CSS23" s="720"/>
      <c r="CST23" s="720"/>
      <c r="CSU23" s="720"/>
      <c r="CSV23" s="720"/>
      <c r="CSW23" s="720"/>
      <c r="CSX23" s="720"/>
      <c r="CSY23" s="720"/>
      <c r="CSZ23" s="720"/>
      <c r="CTA23" s="720"/>
      <c r="CTB23" s="720"/>
      <c r="CTC23" s="720"/>
      <c r="CTD23" s="720"/>
      <c r="CTE23" s="720"/>
      <c r="CTF23" s="720"/>
      <c r="CTG23" s="720"/>
      <c r="CTH23" s="720"/>
      <c r="CTI23" s="720"/>
      <c r="CTJ23" s="720"/>
      <c r="CTK23" s="720"/>
      <c r="CTL23" s="720"/>
      <c r="CTM23" s="720"/>
      <c r="CTN23" s="720"/>
      <c r="CTO23" s="720"/>
      <c r="CTP23" s="720"/>
      <c r="CTQ23" s="720"/>
      <c r="CTR23" s="720"/>
      <c r="CTS23" s="720"/>
      <c r="CTT23" s="720"/>
      <c r="CTU23" s="720"/>
      <c r="CTV23" s="720"/>
      <c r="CTW23" s="720"/>
      <c r="CTX23" s="720"/>
      <c r="CTY23" s="720"/>
      <c r="CTZ23" s="720"/>
      <c r="CUA23" s="720"/>
      <c r="CUB23" s="720"/>
      <c r="CUC23" s="720"/>
      <c r="CUD23" s="720"/>
      <c r="CUE23" s="720"/>
      <c r="CUF23" s="720"/>
      <c r="CUG23" s="720"/>
      <c r="CUH23" s="720"/>
      <c r="CUI23" s="720"/>
      <c r="CUJ23" s="720"/>
      <c r="CUK23" s="720"/>
      <c r="CUL23" s="720"/>
      <c r="CUM23" s="720"/>
      <c r="CUN23" s="720"/>
      <c r="CUO23" s="720"/>
      <c r="CUP23" s="720"/>
      <c r="CUQ23" s="720"/>
      <c r="CUR23" s="720"/>
      <c r="CUS23" s="720"/>
      <c r="CUT23" s="720"/>
      <c r="CUU23" s="720"/>
      <c r="CUV23" s="720"/>
      <c r="CUW23" s="720"/>
      <c r="CUX23" s="720"/>
      <c r="CUY23" s="720"/>
      <c r="CUZ23" s="720"/>
      <c r="CVA23" s="720"/>
      <c r="CVB23" s="720"/>
      <c r="CVC23" s="720"/>
      <c r="CVD23" s="720"/>
      <c r="CVE23" s="720"/>
      <c r="CVF23" s="720"/>
      <c r="CVG23" s="720"/>
      <c r="CVH23" s="720"/>
      <c r="CVI23" s="720"/>
      <c r="CVJ23" s="720"/>
      <c r="CVK23" s="720"/>
      <c r="CVL23" s="720"/>
      <c r="CVM23" s="720"/>
      <c r="CVN23" s="720"/>
      <c r="CVO23" s="720"/>
      <c r="CVP23" s="720"/>
      <c r="CVQ23" s="720"/>
      <c r="CVR23" s="720"/>
      <c r="CVS23" s="720"/>
      <c r="CVT23" s="720"/>
      <c r="CVU23" s="720"/>
      <c r="CVV23" s="720"/>
      <c r="CVW23" s="720"/>
      <c r="CVX23" s="720"/>
      <c r="CVY23" s="720"/>
      <c r="CVZ23" s="720"/>
      <c r="CWA23" s="720"/>
      <c r="CWB23" s="720"/>
      <c r="CWC23" s="720"/>
      <c r="CWD23" s="720"/>
      <c r="CWE23" s="720"/>
      <c r="CWF23" s="720"/>
      <c r="CWG23" s="720"/>
      <c r="CWH23" s="720"/>
      <c r="CWI23" s="720"/>
      <c r="CWJ23" s="720"/>
      <c r="CWK23" s="720"/>
      <c r="CWL23" s="720"/>
      <c r="CWM23" s="720"/>
      <c r="CWN23" s="720"/>
      <c r="CWO23" s="720"/>
      <c r="CWP23" s="720"/>
      <c r="CWQ23" s="720"/>
      <c r="CWR23" s="720"/>
      <c r="CWS23" s="720"/>
      <c r="CWT23" s="720"/>
      <c r="CWU23" s="720"/>
      <c r="CWV23" s="720"/>
      <c r="CWW23" s="720"/>
      <c r="CWX23" s="720"/>
      <c r="CWY23" s="720"/>
      <c r="CWZ23" s="720"/>
      <c r="CXA23" s="720"/>
      <c r="CXB23" s="720"/>
      <c r="CXC23" s="720"/>
      <c r="CXD23" s="720"/>
      <c r="CXE23" s="720"/>
      <c r="CXF23" s="720"/>
      <c r="CXG23" s="720"/>
      <c r="CXH23" s="720"/>
      <c r="CXI23" s="720"/>
      <c r="CXJ23" s="720"/>
      <c r="CXK23" s="720"/>
      <c r="CXL23" s="720"/>
      <c r="CXM23" s="720"/>
      <c r="CXN23" s="720"/>
      <c r="CXO23" s="720"/>
      <c r="CXP23" s="720"/>
      <c r="CXQ23" s="720"/>
      <c r="CXR23" s="720"/>
      <c r="CXS23" s="720"/>
      <c r="CXT23" s="720"/>
      <c r="CXU23" s="720"/>
      <c r="CXV23" s="720"/>
      <c r="CXW23" s="720"/>
      <c r="CXX23" s="720"/>
      <c r="CXY23" s="720"/>
      <c r="CXZ23" s="720"/>
      <c r="CYA23" s="720"/>
      <c r="CYB23" s="720"/>
      <c r="CYC23" s="720"/>
      <c r="CYD23" s="720"/>
      <c r="CYE23" s="720"/>
      <c r="CYF23" s="720"/>
      <c r="CYG23" s="720"/>
      <c r="CYH23" s="720"/>
      <c r="CYI23" s="720"/>
      <c r="CYJ23" s="720"/>
      <c r="CYK23" s="720"/>
      <c r="CYL23" s="720"/>
      <c r="CYM23" s="720"/>
      <c r="CYN23" s="720"/>
      <c r="CYO23" s="720"/>
      <c r="CYP23" s="720"/>
      <c r="CYQ23" s="720"/>
      <c r="CYR23" s="720"/>
      <c r="CYS23" s="720"/>
      <c r="CYT23" s="720"/>
      <c r="CYU23" s="720"/>
      <c r="CYV23" s="720"/>
      <c r="CYW23" s="720"/>
      <c r="CYX23" s="720"/>
      <c r="CYY23" s="720"/>
      <c r="CYZ23" s="720"/>
      <c r="CZA23" s="720"/>
      <c r="CZB23" s="720"/>
      <c r="CZC23" s="720"/>
      <c r="CZD23" s="720"/>
      <c r="CZE23" s="720"/>
      <c r="CZF23" s="720"/>
      <c r="CZG23" s="720"/>
      <c r="CZH23" s="720"/>
      <c r="CZI23" s="720"/>
      <c r="CZJ23" s="720"/>
      <c r="CZK23" s="720"/>
      <c r="CZL23" s="720"/>
      <c r="CZM23" s="720"/>
      <c r="CZN23" s="720"/>
      <c r="CZO23" s="720"/>
      <c r="CZP23" s="720"/>
      <c r="CZQ23" s="720"/>
      <c r="CZR23" s="720"/>
      <c r="CZS23" s="720"/>
      <c r="CZT23" s="720"/>
      <c r="CZU23" s="720"/>
      <c r="CZV23" s="720"/>
      <c r="CZW23" s="720"/>
      <c r="CZX23" s="720"/>
      <c r="CZY23" s="720"/>
      <c r="CZZ23" s="720"/>
      <c r="DAA23" s="720"/>
      <c r="DAB23" s="720"/>
      <c r="DAC23" s="720"/>
      <c r="DAD23" s="720"/>
      <c r="DAE23" s="720"/>
      <c r="DAF23" s="720"/>
      <c r="DAG23" s="720"/>
      <c r="DAH23" s="720"/>
      <c r="DAI23" s="720"/>
      <c r="DAJ23" s="720"/>
      <c r="DAK23" s="720"/>
      <c r="DAL23" s="720"/>
      <c r="DAM23" s="720"/>
      <c r="DAN23" s="720"/>
      <c r="DAO23" s="720"/>
      <c r="DAP23" s="720"/>
      <c r="DAQ23" s="720"/>
      <c r="DAR23" s="720"/>
      <c r="DAS23" s="720"/>
      <c r="DAT23" s="720"/>
      <c r="DAU23" s="720"/>
      <c r="DAV23" s="720"/>
      <c r="DAW23" s="720"/>
      <c r="DAX23" s="720"/>
      <c r="DAY23" s="720"/>
      <c r="DAZ23" s="720"/>
      <c r="DBA23" s="720"/>
      <c r="DBB23" s="720"/>
      <c r="DBC23" s="720"/>
      <c r="DBD23" s="720"/>
      <c r="DBE23" s="720"/>
      <c r="DBF23" s="720"/>
      <c r="DBG23" s="720"/>
      <c r="DBH23" s="720"/>
      <c r="DBI23" s="720"/>
      <c r="DBJ23" s="720"/>
      <c r="DBK23" s="720"/>
      <c r="DBL23" s="720"/>
      <c r="DBM23" s="720"/>
      <c r="DBN23" s="720"/>
      <c r="DBO23" s="720"/>
      <c r="DBP23" s="720"/>
      <c r="DBQ23" s="720"/>
      <c r="DBR23" s="720"/>
      <c r="DBS23" s="720"/>
      <c r="DBT23" s="720"/>
      <c r="DBU23" s="720"/>
      <c r="DBV23" s="720"/>
      <c r="DBW23" s="720"/>
      <c r="DBX23" s="720"/>
      <c r="DBY23" s="720"/>
      <c r="DBZ23" s="720"/>
      <c r="DCA23" s="720"/>
      <c r="DCB23" s="720"/>
      <c r="DCC23" s="720"/>
      <c r="DCD23" s="720"/>
      <c r="DCE23" s="720"/>
      <c r="DCF23" s="720"/>
      <c r="DCG23" s="720"/>
      <c r="DCH23" s="720"/>
      <c r="DCI23" s="720"/>
      <c r="DCJ23" s="720"/>
      <c r="DCK23" s="720"/>
      <c r="DCL23" s="720"/>
      <c r="DCM23" s="720"/>
      <c r="DCN23" s="720"/>
      <c r="DCO23" s="720"/>
      <c r="DCP23" s="720"/>
      <c r="DCQ23" s="720"/>
      <c r="DCR23" s="720"/>
      <c r="DCS23" s="720"/>
      <c r="DCT23" s="720"/>
      <c r="DCU23" s="720"/>
      <c r="DCV23" s="720"/>
      <c r="DCW23" s="720"/>
      <c r="DCX23" s="720"/>
      <c r="DCY23" s="720"/>
      <c r="DCZ23" s="720"/>
      <c r="DDA23" s="720"/>
      <c r="DDB23" s="720"/>
      <c r="DDC23" s="720"/>
      <c r="DDD23" s="720"/>
      <c r="DDE23" s="720"/>
      <c r="DDF23" s="720"/>
      <c r="DDG23" s="720"/>
      <c r="DDH23" s="720"/>
      <c r="DDI23" s="720"/>
      <c r="DDJ23" s="720"/>
      <c r="DDK23" s="720"/>
      <c r="DDL23" s="720"/>
      <c r="DDM23" s="720"/>
      <c r="DDN23" s="720"/>
      <c r="DDO23" s="720"/>
      <c r="DDP23" s="720"/>
      <c r="DDQ23" s="720"/>
      <c r="DDR23" s="720"/>
      <c r="DDS23" s="720"/>
      <c r="DDT23" s="720"/>
      <c r="DDU23" s="720"/>
      <c r="DDV23" s="720"/>
      <c r="DDW23" s="720"/>
      <c r="DDX23" s="720"/>
      <c r="DDY23" s="720"/>
      <c r="DDZ23" s="720"/>
      <c r="DEA23" s="720"/>
      <c r="DEB23" s="720"/>
      <c r="DEC23" s="720"/>
      <c r="DED23" s="720"/>
      <c r="DEE23" s="720"/>
      <c r="DEF23" s="720"/>
      <c r="DEG23" s="720"/>
      <c r="DEH23" s="720"/>
      <c r="DEI23" s="720"/>
      <c r="DEJ23" s="720"/>
      <c r="DEK23" s="720"/>
      <c r="DEL23" s="720"/>
      <c r="DEM23" s="720"/>
      <c r="DEN23" s="720"/>
      <c r="DEO23" s="720"/>
      <c r="DEP23" s="720"/>
      <c r="DEQ23" s="720"/>
      <c r="DER23" s="720"/>
      <c r="DES23" s="720"/>
      <c r="DET23" s="720"/>
      <c r="DEU23" s="720"/>
      <c r="DEV23" s="720"/>
      <c r="DEW23" s="720"/>
      <c r="DEX23" s="720"/>
      <c r="DEY23" s="720"/>
      <c r="DEZ23" s="720"/>
      <c r="DFA23" s="720"/>
      <c r="DFB23" s="720"/>
      <c r="DFC23" s="720"/>
      <c r="DFD23" s="720"/>
      <c r="DFE23" s="720"/>
      <c r="DFF23" s="720"/>
      <c r="DFG23" s="720"/>
      <c r="DFH23" s="720"/>
      <c r="DFI23" s="720"/>
      <c r="DFJ23" s="720"/>
      <c r="DFK23" s="720"/>
      <c r="DFL23" s="720"/>
      <c r="DFM23" s="720"/>
      <c r="DFN23" s="720"/>
      <c r="DFO23" s="720"/>
      <c r="DFP23" s="720"/>
      <c r="DFQ23" s="720"/>
      <c r="DFR23" s="720"/>
      <c r="DFS23" s="720"/>
      <c r="DFT23" s="720"/>
      <c r="DFU23" s="720"/>
      <c r="DFV23" s="720"/>
      <c r="DFW23" s="720"/>
      <c r="DFX23" s="720"/>
      <c r="DFY23" s="720"/>
      <c r="DFZ23" s="720"/>
      <c r="DGA23" s="720"/>
      <c r="DGB23" s="720"/>
      <c r="DGC23" s="720"/>
      <c r="DGD23" s="720"/>
      <c r="DGE23" s="720"/>
      <c r="DGF23" s="720"/>
      <c r="DGG23" s="720"/>
      <c r="DGH23" s="720"/>
      <c r="DGI23" s="720"/>
      <c r="DGJ23" s="720"/>
      <c r="DGK23" s="720"/>
      <c r="DGL23" s="720"/>
      <c r="DGM23" s="720"/>
      <c r="DGN23" s="720"/>
      <c r="DGO23" s="720"/>
      <c r="DGP23" s="720"/>
      <c r="DGQ23" s="720"/>
      <c r="DGR23" s="720"/>
      <c r="DGS23" s="720"/>
      <c r="DGT23" s="720"/>
      <c r="DGU23" s="720"/>
      <c r="DGV23" s="720"/>
      <c r="DGW23" s="720"/>
      <c r="DGX23" s="720"/>
      <c r="DGY23" s="720"/>
      <c r="DGZ23" s="720"/>
      <c r="DHA23" s="720"/>
      <c r="DHB23" s="720"/>
      <c r="DHC23" s="720"/>
      <c r="DHD23" s="720"/>
      <c r="DHE23" s="720"/>
      <c r="DHF23" s="720"/>
      <c r="DHG23" s="720"/>
      <c r="DHH23" s="720"/>
      <c r="DHI23" s="720"/>
      <c r="DHJ23" s="720"/>
      <c r="DHK23" s="720"/>
      <c r="DHL23" s="720"/>
      <c r="DHM23" s="720"/>
      <c r="DHN23" s="720"/>
      <c r="DHO23" s="720"/>
      <c r="DHP23" s="720"/>
      <c r="DHQ23" s="720"/>
      <c r="DHR23" s="720"/>
      <c r="DHS23" s="720"/>
      <c r="DHT23" s="720"/>
      <c r="DHU23" s="720"/>
      <c r="DHV23" s="720"/>
      <c r="DHW23" s="720"/>
      <c r="DHX23" s="720"/>
      <c r="DHY23" s="720"/>
      <c r="DHZ23" s="720"/>
      <c r="DIA23" s="720"/>
      <c r="DIB23" s="720"/>
      <c r="DIC23" s="720"/>
      <c r="DID23" s="720"/>
      <c r="DIE23" s="720"/>
      <c r="DIF23" s="720"/>
      <c r="DIG23" s="720"/>
      <c r="DIH23" s="720"/>
      <c r="DII23" s="720"/>
      <c r="DIJ23" s="720"/>
      <c r="DIK23" s="720"/>
      <c r="DIL23" s="720"/>
      <c r="DIM23" s="720"/>
      <c r="DIN23" s="720"/>
      <c r="DIO23" s="720"/>
      <c r="DIP23" s="720"/>
      <c r="DIQ23" s="720"/>
      <c r="DIR23" s="720"/>
      <c r="DIS23" s="720"/>
      <c r="DIT23" s="720"/>
      <c r="DIU23" s="720"/>
      <c r="DIV23" s="720"/>
      <c r="DIW23" s="720"/>
      <c r="DIX23" s="720"/>
      <c r="DIY23" s="720"/>
      <c r="DIZ23" s="720"/>
      <c r="DJA23" s="720"/>
      <c r="DJB23" s="720"/>
      <c r="DJC23" s="720"/>
      <c r="DJD23" s="720"/>
      <c r="DJE23" s="720"/>
      <c r="DJF23" s="720"/>
      <c r="DJG23" s="720"/>
      <c r="DJH23" s="720"/>
      <c r="DJI23" s="720"/>
      <c r="DJJ23" s="720"/>
      <c r="DJK23" s="720"/>
      <c r="DJL23" s="720"/>
      <c r="DJM23" s="720"/>
      <c r="DJN23" s="720"/>
      <c r="DJO23" s="720"/>
      <c r="DJP23" s="720"/>
      <c r="DJQ23" s="720"/>
      <c r="DJR23" s="720"/>
      <c r="DJS23" s="720"/>
      <c r="DJT23" s="720"/>
      <c r="DJU23" s="720"/>
      <c r="DJV23" s="720"/>
      <c r="DJW23" s="720"/>
      <c r="DJX23" s="720"/>
      <c r="DJY23" s="720"/>
      <c r="DJZ23" s="720"/>
      <c r="DKA23" s="720"/>
      <c r="DKB23" s="720"/>
      <c r="DKC23" s="720"/>
      <c r="DKD23" s="720"/>
      <c r="DKE23" s="720"/>
      <c r="DKF23" s="720"/>
      <c r="DKG23" s="720"/>
      <c r="DKH23" s="720"/>
      <c r="DKI23" s="720"/>
      <c r="DKJ23" s="720"/>
      <c r="DKK23" s="720"/>
      <c r="DKL23" s="720"/>
      <c r="DKM23" s="720"/>
      <c r="DKN23" s="720"/>
      <c r="DKO23" s="720"/>
      <c r="DKP23" s="720"/>
      <c r="DKQ23" s="720"/>
      <c r="DKR23" s="720"/>
      <c r="DKS23" s="720"/>
      <c r="DKT23" s="720"/>
      <c r="DKU23" s="720"/>
      <c r="DKV23" s="720"/>
      <c r="DKW23" s="720"/>
      <c r="DKX23" s="720"/>
      <c r="DKY23" s="720"/>
      <c r="DKZ23" s="720"/>
      <c r="DLA23" s="720"/>
      <c r="DLB23" s="720"/>
      <c r="DLC23" s="720"/>
      <c r="DLD23" s="720"/>
      <c r="DLE23" s="720"/>
      <c r="DLF23" s="720"/>
      <c r="DLG23" s="720"/>
      <c r="DLH23" s="720"/>
      <c r="DLI23" s="720"/>
      <c r="DLJ23" s="720"/>
      <c r="DLK23" s="720"/>
      <c r="DLL23" s="720"/>
      <c r="DLM23" s="720"/>
      <c r="DLN23" s="720"/>
      <c r="DLO23" s="720"/>
      <c r="DLP23" s="720"/>
      <c r="DLQ23" s="720"/>
      <c r="DLR23" s="720"/>
      <c r="DLS23" s="720"/>
      <c r="DLT23" s="720"/>
      <c r="DLU23" s="720"/>
      <c r="DLV23" s="720"/>
      <c r="DLW23" s="720"/>
      <c r="DLX23" s="720"/>
      <c r="DLY23" s="720"/>
      <c r="DLZ23" s="720"/>
      <c r="DMA23" s="720"/>
      <c r="DMB23" s="720"/>
      <c r="DMC23" s="720"/>
      <c r="DMD23" s="720"/>
      <c r="DME23" s="720"/>
      <c r="DMF23" s="720"/>
      <c r="DMG23" s="720"/>
      <c r="DMH23" s="720"/>
      <c r="DMI23" s="720"/>
      <c r="DMJ23" s="720"/>
      <c r="DMK23" s="720"/>
      <c r="DML23" s="720"/>
      <c r="DMM23" s="720"/>
      <c r="DMN23" s="720"/>
      <c r="DMO23" s="720"/>
      <c r="DMP23" s="720"/>
      <c r="DMQ23" s="720"/>
      <c r="DMR23" s="720"/>
      <c r="DMS23" s="720"/>
      <c r="DMT23" s="720"/>
      <c r="DMU23" s="720"/>
      <c r="DMV23" s="720"/>
      <c r="DMW23" s="720"/>
      <c r="DMX23" s="720"/>
      <c r="DMY23" s="720"/>
      <c r="DMZ23" s="720"/>
      <c r="DNA23" s="720"/>
      <c r="DNB23" s="720"/>
      <c r="DNC23" s="720"/>
      <c r="DND23" s="720"/>
      <c r="DNE23" s="720"/>
      <c r="DNF23" s="720"/>
      <c r="DNG23" s="720"/>
      <c r="DNH23" s="720"/>
      <c r="DNI23" s="720"/>
      <c r="DNJ23" s="720"/>
      <c r="DNK23" s="720"/>
      <c r="DNL23" s="720"/>
      <c r="DNM23" s="720"/>
      <c r="DNN23" s="720"/>
      <c r="DNO23" s="720"/>
      <c r="DNP23" s="720"/>
      <c r="DNQ23" s="720"/>
      <c r="DNR23" s="720"/>
      <c r="DNS23" s="720"/>
      <c r="DNT23" s="720"/>
      <c r="DNU23" s="720"/>
      <c r="DNV23" s="720"/>
      <c r="DNW23" s="720"/>
      <c r="DNX23" s="720"/>
      <c r="DNY23" s="720"/>
      <c r="DNZ23" s="720"/>
      <c r="DOA23" s="720"/>
      <c r="DOB23" s="720"/>
      <c r="DOC23" s="720"/>
      <c r="DOD23" s="720"/>
      <c r="DOE23" s="720"/>
      <c r="DOF23" s="720"/>
      <c r="DOG23" s="720"/>
      <c r="DOH23" s="720"/>
      <c r="DOI23" s="720"/>
      <c r="DOJ23" s="720"/>
      <c r="DOK23" s="720"/>
      <c r="DOL23" s="720"/>
      <c r="DOM23" s="720"/>
      <c r="DON23" s="720"/>
      <c r="DOO23" s="720"/>
      <c r="DOP23" s="720"/>
      <c r="DOQ23" s="720"/>
      <c r="DOR23" s="720"/>
      <c r="DOS23" s="720"/>
      <c r="DOT23" s="720"/>
      <c r="DOU23" s="720"/>
      <c r="DOV23" s="720"/>
      <c r="DOW23" s="720"/>
      <c r="DOX23" s="720"/>
      <c r="DOY23" s="720"/>
      <c r="DOZ23" s="720"/>
      <c r="DPA23" s="720"/>
      <c r="DPB23" s="720"/>
      <c r="DPC23" s="720"/>
      <c r="DPD23" s="720"/>
      <c r="DPE23" s="720"/>
      <c r="DPF23" s="720"/>
      <c r="DPG23" s="720"/>
      <c r="DPH23" s="720"/>
      <c r="DPI23" s="720"/>
      <c r="DPJ23" s="720"/>
      <c r="DPK23" s="720"/>
      <c r="DPL23" s="720"/>
      <c r="DPM23" s="720"/>
      <c r="DPN23" s="720"/>
      <c r="DPO23" s="720"/>
      <c r="DPP23" s="720"/>
      <c r="DPQ23" s="720"/>
      <c r="DPR23" s="720"/>
      <c r="DPS23" s="720"/>
      <c r="DPT23" s="720"/>
      <c r="DPU23" s="720"/>
      <c r="DPV23" s="720"/>
      <c r="DPW23" s="720"/>
      <c r="DPX23" s="720"/>
      <c r="DPY23" s="720"/>
      <c r="DPZ23" s="720"/>
      <c r="DQA23" s="720"/>
      <c r="DQB23" s="720"/>
      <c r="DQC23" s="720"/>
      <c r="DQD23" s="720"/>
      <c r="DQE23" s="720"/>
      <c r="DQF23" s="720"/>
      <c r="DQG23" s="720"/>
      <c r="DQH23" s="720"/>
      <c r="DQI23" s="720"/>
      <c r="DQJ23" s="720"/>
      <c r="DQK23" s="720"/>
      <c r="DQL23" s="720"/>
      <c r="DQM23" s="720"/>
      <c r="DQN23" s="720"/>
      <c r="DQO23" s="720"/>
      <c r="DQP23" s="720"/>
      <c r="DQQ23" s="720"/>
      <c r="DQR23" s="720"/>
      <c r="DQS23" s="720"/>
      <c r="DQT23" s="720"/>
      <c r="DQU23" s="720"/>
      <c r="DQV23" s="720"/>
      <c r="DQW23" s="720"/>
      <c r="DQX23" s="720"/>
      <c r="DQY23" s="720"/>
      <c r="DQZ23" s="720"/>
      <c r="DRA23" s="720"/>
      <c r="DRB23" s="720"/>
      <c r="DRC23" s="720"/>
      <c r="DRD23" s="720"/>
      <c r="DRE23" s="720"/>
      <c r="DRF23" s="720"/>
      <c r="DRG23" s="720"/>
      <c r="DRH23" s="720"/>
      <c r="DRI23" s="720"/>
      <c r="DRJ23" s="720"/>
      <c r="DRK23" s="720"/>
      <c r="DRL23" s="720"/>
      <c r="DRM23" s="720"/>
      <c r="DRN23" s="720"/>
      <c r="DRO23" s="720"/>
      <c r="DRP23" s="720"/>
      <c r="DRQ23" s="720"/>
      <c r="DRR23" s="720"/>
      <c r="DRS23" s="720"/>
      <c r="DRT23" s="720"/>
      <c r="DRU23" s="720"/>
      <c r="DRV23" s="720"/>
      <c r="DRW23" s="720"/>
      <c r="DRX23" s="720"/>
      <c r="DRY23" s="720"/>
      <c r="DRZ23" s="720"/>
      <c r="DSA23" s="720"/>
      <c r="DSB23" s="720"/>
      <c r="DSC23" s="720"/>
      <c r="DSD23" s="720"/>
      <c r="DSE23" s="720"/>
      <c r="DSF23" s="720"/>
      <c r="DSG23" s="720"/>
      <c r="DSH23" s="720"/>
      <c r="DSI23" s="720"/>
      <c r="DSJ23" s="720"/>
      <c r="DSK23" s="720"/>
      <c r="DSL23" s="720"/>
      <c r="DSM23" s="720"/>
      <c r="DSN23" s="720"/>
      <c r="DSO23" s="720"/>
      <c r="DSP23" s="720"/>
      <c r="DSQ23" s="720"/>
      <c r="DSR23" s="720"/>
      <c r="DSS23" s="720"/>
      <c r="DST23" s="720"/>
      <c r="DSU23" s="720"/>
      <c r="DSV23" s="720"/>
      <c r="DSW23" s="720"/>
      <c r="DSX23" s="720"/>
      <c r="DSY23" s="720"/>
      <c r="DSZ23" s="720"/>
      <c r="DTA23" s="720"/>
      <c r="DTB23" s="720"/>
      <c r="DTC23" s="720"/>
      <c r="DTD23" s="720"/>
      <c r="DTE23" s="720"/>
      <c r="DTF23" s="720"/>
      <c r="DTG23" s="720"/>
      <c r="DTH23" s="720"/>
      <c r="DTI23" s="720"/>
      <c r="DTJ23" s="720"/>
      <c r="DTK23" s="720"/>
      <c r="DTL23" s="720"/>
      <c r="DTM23" s="720"/>
      <c r="DTN23" s="720"/>
      <c r="DTO23" s="720"/>
      <c r="DTP23" s="720"/>
      <c r="DTQ23" s="720"/>
      <c r="DTR23" s="720"/>
      <c r="DTS23" s="720"/>
      <c r="DTT23" s="720"/>
      <c r="DTU23" s="720"/>
      <c r="DTV23" s="720"/>
      <c r="DTW23" s="720"/>
      <c r="DTX23" s="720"/>
      <c r="DTY23" s="720"/>
      <c r="DTZ23" s="720"/>
      <c r="DUA23" s="720"/>
      <c r="DUB23" s="720"/>
      <c r="DUC23" s="720"/>
      <c r="DUD23" s="720"/>
      <c r="DUE23" s="720"/>
      <c r="DUF23" s="720"/>
      <c r="DUG23" s="720"/>
      <c r="DUH23" s="720"/>
      <c r="DUI23" s="720"/>
      <c r="DUJ23" s="720"/>
      <c r="DUK23" s="720"/>
      <c r="DUL23" s="720"/>
      <c r="DUM23" s="720"/>
      <c r="DUN23" s="720"/>
      <c r="DUO23" s="720"/>
      <c r="DUP23" s="720"/>
      <c r="DUQ23" s="720"/>
      <c r="DUR23" s="720"/>
      <c r="DUS23" s="720"/>
      <c r="DUT23" s="720"/>
      <c r="DUU23" s="720"/>
      <c r="DUV23" s="720"/>
      <c r="DUW23" s="720"/>
      <c r="DUX23" s="720"/>
      <c r="DUY23" s="720"/>
      <c r="DUZ23" s="720"/>
      <c r="DVA23" s="720"/>
      <c r="DVB23" s="720"/>
      <c r="DVC23" s="720"/>
      <c r="DVD23" s="720"/>
      <c r="DVE23" s="720"/>
      <c r="DVF23" s="720"/>
      <c r="DVG23" s="720"/>
      <c r="DVH23" s="720"/>
      <c r="DVI23" s="720"/>
      <c r="DVJ23" s="720"/>
      <c r="DVK23" s="720"/>
      <c r="DVL23" s="720"/>
      <c r="DVM23" s="720"/>
      <c r="DVN23" s="720"/>
      <c r="DVO23" s="720"/>
      <c r="DVP23" s="720"/>
      <c r="DVQ23" s="720"/>
      <c r="DVR23" s="720"/>
      <c r="DVS23" s="720"/>
      <c r="DVT23" s="720"/>
      <c r="DVU23" s="720"/>
      <c r="DVV23" s="720"/>
      <c r="DVW23" s="720"/>
      <c r="DVX23" s="720"/>
      <c r="DVY23" s="720"/>
      <c r="DVZ23" s="720"/>
      <c r="DWA23" s="720"/>
      <c r="DWB23" s="720"/>
      <c r="DWC23" s="720"/>
      <c r="DWD23" s="720"/>
      <c r="DWE23" s="720"/>
      <c r="DWF23" s="720"/>
      <c r="DWG23" s="720"/>
      <c r="DWH23" s="720"/>
      <c r="DWI23" s="720"/>
      <c r="DWJ23" s="720"/>
      <c r="DWK23" s="720"/>
      <c r="DWL23" s="720"/>
      <c r="DWM23" s="720"/>
      <c r="DWN23" s="720"/>
      <c r="DWO23" s="720"/>
      <c r="DWP23" s="720"/>
      <c r="DWQ23" s="720"/>
      <c r="DWR23" s="720"/>
      <c r="DWS23" s="720"/>
      <c r="DWT23" s="720"/>
      <c r="DWU23" s="720"/>
      <c r="DWV23" s="720"/>
      <c r="DWW23" s="720"/>
      <c r="DWX23" s="720"/>
      <c r="DWY23" s="720"/>
      <c r="DWZ23" s="720"/>
      <c r="DXA23" s="720"/>
      <c r="DXB23" s="720"/>
      <c r="DXC23" s="720"/>
      <c r="DXD23" s="720"/>
      <c r="DXE23" s="720"/>
      <c r="DXF23" s="720"/>
      <c r="DXG23" s="720"/>
      <c r="DXH23" s="720"/>
      <c r="DXI23" s="720"/>
      <c r="DXJ23" s="720"/>
      <c r="DXK23" s="720"/>
      <c r="DXL23" s="720"/>
      <c r="DXM23" s="720"/>
      <c r="DXN23" s="720"/>
      <c r="DXO23" s="720"/>
      <c r="DXP23" s="720"/>
      <c r="DXQ23" s="720"/>
      <c r="DXR23" s="720"/>
      <c r="DXS23" s="720"/>
      <c r="DXT23" s="720"/>
      <c r="DXU23" s="720"/>
      <c r="DXV23" s="720"/>
      <c r="DXW23" s="720"/>
      <c r="DXX23" s="720"/>
      <c r="DXY23" s="720"/>
      <c r="DXZ23" s="720"/>
      <c r="DYA23" s="720"/>
      <c r="DYB23" s="720"/>
      <c r="DYC23" s="720"/>
      <c r="DYD23" s="720"/>
      <c r="DYE23" s="720"/>
      <c r="DYF23" s="720"/>
      <c r="DYG23" s="720"/>
      <c r="DYH23" s="720"/>
      <c r="DYI23" s="720"/>
      <c r="DYJ23" s="720"/>
      <c r="DYK23" s="720"/>
      <c r="DYL23" s="720"/>
      <c r="DYM23" s="720"/>
      <c r="DYN23" s="720"/>
      <c r="DYO23" s="720"/>
      <c r="DYP23" s="720"/>
      <c r="DYQ23" s="720"/>
      <c r="DYR23" s="720"/>
      <c r="DYS23" s="720"/>
      <c r="DYT23" s="720"/>
      <c r="DYU23" s="720"/>
      <c r="DYV23" s="720"/>
      <c r="DYW23" s="720"/>
      <c r="DYX23" s="720"/>
      <c r="DYY23" s="720"/>
      <c r="DYZ23" s="720"/>
      <c r="DZA23" s="720"/>
      <c r="DZB23" s="720"/>
      <c r="DZC23" s="720"/>
      <c r="DZD23" s="720"/>
      <c r="DZE23" s="720"/>
      <c r="DZF23" s="720"/>
      <c r="DZG23" s="720"/>
      <c r="DZH23" s="720"/>
      <c r="DZI23" s="720"/>
      <c r="DZJ23" s="720"/>
      <c r="DZK23" s="720"/>
      <c r="DZL23" s="720"/>
      <c r="DZM23" s="720"/>
      <c r="DZN23" s="720"/>
      <c r="DZO23" s="720"/>
      <c r="DZP23" s="720"/>
      <c r="DZQ23" s="720"/>
      <c r="DZR23" s="720"/>
      <c r="DZS23" s="720"/>
      <c r="DZT23" s="720"/>
      <c r="DZU23" s="720"/>
      <c r="DZV23" s="720"/>
      <c r="DZW23" s="720"/>
      <c r="DZX23" s="720"/>
      <c r="DZY23" s="720"/>
      <c r="DZZ23" s="720"/>
      <c r="EAA23" s="720"/>
      <c r="EAB23" s="720"/>
      <c r="EAC23" s="720"/>
      <c r="EAD23" s="720"/>
      <c r="EAE23" s="720"/>
      <c r="EAF23" s="720"/>
      <c r="EAG23" s="720"/>
      <c r="EAH23" s="720"/>
      <c r="EAI23" s="720"/>
      <c r="EAJ23" s="720"/>
      <c r="EAK23" s="720"/>
      <c r="EAL23" s="720"/>
      <c r="EAM23" s="720"/>
      <c r="EAN23" s="720"/>
      <c r="EAO23" s="720"/>
      <c r="EAP23" s="720"/>
      <c r="EAQ23" s="720"/>
      <c r="EAR23" s="720"/>
      <c r="EAS23" s="720"/>
      <c r="EAT23" s="720"/>
      <c r="EAU23" s="720"/>
      <c r="EAV23" s="720"/>
      <c r="EAW23" s="720"/>
      <c r="EAX23" s="720"/>
      <c r="EAY23" s="720"/>
      <c r="EAZ23" s="720"/>
      <c r="EBA23" s="720"/>
      <c r="EBB23" s="720"/>
      <c r="EBC23" s="720"/>
      <c r="EBD23" s="720"/>
      <c r="EBE23" s="720"/>
      <c r="EBF23" s="720"/>
      <c r="EBG23" s="720"/>
      <c r="EBH23" s="720"/>
      <c r="EBI23" s="720"/>
      <c r="EBJ23" s="720"/>
      <c r="EBK23" s="720"/>
      <c r="EBL23" s="720"/>
      <c r="EBM23" s="720"/>
      <c r="EBN23" s="720"/>
      <c r="EBO23" s="720"/>
      <c r="EBP23" s="720"/>
      <c r="EBQ23" s="720"/>
      <c r="EBR23" s="720"/>
      <c r="EBS23" s="720"/>
      <c r="EBT23" s="720"/>
      <c r="EBU23" s="720"/>
      <c r="EBV23" s="720"/>
      <c r="EBW23" s="720"/>
      <c r="EBX23" s="720"/>
      <c r="EBY23" s="720"/>
      <c r="EBZ23" s="720"/>
      <c r="ECA23" s="720"/>
      <c r="ECB23" s="720"/>
      <c r="ECC23" s="720"/>
      <c r="ECD23" s="720"/>
      <c r="ECE23" s="720"/>
      <c r="ECF23" s="720"/>
      <c r="ECG23" s="720"/>
      <c r="ECH23" s="720"/>
      <c r="ECI23" s="720"/>
      <c r="ECJ23" s="720"/>
      <c r="ECK23" s="720"/>
      <c r="ECL23" s="720"/>
      <c r="ECM23" s="720"/>
      <c r="ECN23" s="720"/>
      <c r="ECO23" s="720"/>
      <c r="ECP23" s="720"/>
      <c r="ECQ23" s="720"/>
      <c r="ECR23" s="720"/>
      <c r="ECS23" s="720"/>
      <c r="ECT23" s="720"/>
      <c r="ECU23" s="720"/>
      <c r="ECV23" s="720"/>
      <c r="ECW23" s="720"/>
      <c r="ECX23" s="720"/>
      <c r="ECY23" s="720"/>
      <c r="ECZ23" s="720"/>
      <c r="EDA23" s="720"/>
      <c r="EDB23" s="720"/>
      <c r="EDC23" s="720"/>
      <c r="EDD23" s="720"/>
      <c r="EDE23" s="720"/>
      <c r="EDF23" s="720"/>
      <c r="EDG23" s="720"/>
      <c r="EDH23" s="720"/>
      <c r="EDI23" s="720"/>
      <c r="EDJ23" s="720"/>
      <c r="EDK23" s="720"/>
      <c r="EDL23" s="720"/>
      <c r="EDM23" s="720"/>
      <c r="EDN23" s="720"/>
      <c r="EDO23" s="720"/>
      <c r="EDP23" s="720"/>
      <c r="EDQ23" s="720"/>
      <c r="EDR23" s="720"/>
      <c r="EDS23" s="720"/>
      <c r="EDT23" s="720"/>
      <c r="EDU23" s="720"/>
      <c r="EDV23" s="720"/>
      <c r="EDW23" s="720"/>
      <c r="EDX23" s="720"/>
      <c r="EDY23" s="720"/>
      <c r="EDZ23" s="720"/>
      <c r="EEA23" s="720"/>
      <c r="EEB23" s="720"/>
      <c r="EEC23" s="720"/>
      <c r="EED23" s="720"/>
      <c r="EEE23" s="720"/>
      <c r="EEF23" s="720"/>
      <c r="EEG23" s="720"/>
      <c r="EEH23" s="720"/>
      <c r="EEI23" s="720"/>
      <c r="EEJ23" s="720"/>
      <c r="EEK23" s="720"/>
      <c r="EEL23" s="720"/>
      <c r="EEM23" s="720"/>
      <c r="EEN23" s="720"/>
      <c r="EEO23" s="720"/>
      <c r="EEP23" s="720"/>
      <c r="EEQ23" s="720"/>
      <c r="EER23" s="720"/>
      <c r="EES23" s="720"/>
      <c r="EET23" s="720"/>
      <c r="EEU23" s="720"/>
      <c r="EEV23" s="720"/>
      <c r="EEW23" s="720"/>
      <c r="EEX23" s="720"/>
      <c r="EEY23" s="720"/>
      <c r="EEZ23" s="720"/>
      <c r="EFA23" s="720"/>
      <c r="EFB23" s="720"/>
      <c r="EFC23" s="720"/>
      <c r="EFD23" s="720"/>
      <c r="EFE23" s="720"/>
      <c r="EFF23" s="720"/>
      <c r="EFG23" s="720"/>
      <c r="EFH23" s="720"/>
      <c r="EFI23" s="720"/>
      <c r="EFJ23" s="720"/>
      <c r="EFK23" s="720"/>
      <c r="EFL23" s="720"/>
      <c r="EFM23" s="720"/>
      <c r="EFN23" s="720"/>
      <c r="EFO23" s="720"/>
      <c r="EFP23" s="720"/>
      <c r="EFQ23" s="720"/>
      <c r="EFR23" s="720"/>
      <c r="EFS23" s="720"/>
      <c r="EFT23" s="720"/>
      <c r="EFU23" s="720"/>
      <c r="EFV23" s="720"/>
      <c r="EFW23" s="720"/>
      <c r="EFX23" s="720"/>
      <c r="EFY23" s="720"/>
      <c r="EFZ23" s="720"/>
      <c r="EGA23" s="720"/>
      <c r="EGB23" s="720"/>
      <c r="EGC23" s="720"/>
      <c r="EGD23" s="720"/>
      <c r="EGE23" s="720"/>
      <c r="EGF23" s="720"/>
      <c r="EGG23" s="720"/>
      <c r="EGH23" s="720"/>
      <c r="EGI23" s="720"/>
      <c r="EGJ23" s="720"/>
      <c r="EGK23" s="720"/>
      <c r="EGL23" s="720"/>
      <c r="EGM23" s="720"/>
      <c r="EGN23" s="720"/>
      <c r="EGO23" s="720"/>
      <c r="EGP23" s="720"/>
      <c r="EGQ23" s="720"/>
      <c r="EGR23" s="720"/>
      <c r="EGS23" s="720"/>
      <c r="EGT23" s="720"/>
      <c r="EGU23" s="720"/>
      <c r="EGV23" s="720"/>
      <c r="EGW23" s="720"/>
      <c r="EGX23" s="720"/>
      <c r="EGY23" s="720"/>
      <c r="EGZ23" s="720"/>
      <c r="EHA23" s="720"/>
      <c r="EHB23" s="720"/>
      <c r="EHC23" s="720"/>
      <c r="EHD23" s="720"/>
      <c r="EHE23" s="720"/>
      <c r="EHF23" s="720"/>
      <c r="EHG23" s="720"/>
      <c r="EHH23" s="720"/>
      <c r="EHI23" s="720"/>
      <c r="EHJ23" s="720"/>
      <c r="EHK23" s="720"/>
      <c r="EHL23" s="720"/>
      <c r="EHM23" s="720"/>
      <c r="EHN23" s="720"/>
      <c r="EHO23" s="720"/>
      <c r="EHP23" s="720"/>
      <c r="EHQ23" s="720"/>
      <c r="EHR23" s="720"/>
      <c r="EHS23" s="720"/>
      <c r="EHT23" s="720"/>
      <c r="EHU23" s="720"/>
      <c r="EHV23" s="720"/>
      <c r="EHW23" s="720"/>
      <c r="EHX23" s="720"/>
      <c r="EHY23" s="720"/>
      <c r="EHZ23" s="720"/>
      <c r="EIA23" s="720"/>
      <c r="EIB23" s="720"/>
      <c r="EIC23" s="720"/>
      <c r="EID23" s="720"/>
      <c r="EIE23" s="720"/>
      <c r="EIF23" s="720"/>
      <c r="EIG23" s="720"/>
      <c r="EIH23" s="720"/>
      <c r="EII23" s="720"/>
      <c r="EIJ23" s="720"/>
      <c r="EIK23" s="720"/>
      <c r="EIL23" s="720"/>
      <c r="EIM23" s="720"/>
      <c r="EIN23" s="720"/>
      <c r="EIO23" s="720"/>
      <c r="EIP23" s="720"/>
      <c r="EIQ23" s="720"/>
      <c r="EIR23" s="720"/>
      <c r="EIS23" s="720"/>
      <c r="EIT23" s="720"/>
      <c r="EIU23" s="720"/>
      <c r="EIV23" s="720"/>
      <c r="EIW23" s="720"/>
      <c r="EIX23" s="720"/>
      <c r="EIY23" s="720"/>
      <c r="EIZ23" s="720"/>
      <c r="EJA23" s="720"/>
      <c r="EJB23" s="720"/>
      <c r="EJC23" s="720"/>
      <c r="EJD23" s="720"/>
      <c r="EJE23" s="720"/>
      <c r="EJF23" s="720"/>
      <c r="EJG23" s="720"/>
      <c r="EJH23" s="720"/>
      <c r="EJI23" s="720"/>
      <c r="EJJ23" s="720"/>
      <c r="EJK23" s="720"/>
      <c r="EJL23" s="720"/>
      <c r="EJM23" s="720"/>
      <c r="EJN23" s="720"/>
      <c r="EJO23" s="720"/>
      <c r="EJP23" s="720"/>
      <c r="EJQ23" s="720"/>
      <c r="EJR23" s="720"/>
      <c r="EJS23" s="720"/>
      <c r="EJT23" s="720"/>
      <c r="EJU23" s="720"/>
      <c r="EJV23" s="720"/>
      <c r="EJW23" s="720"/>
      <c r="EJX23" s="720"/>
      <c r="EJY23" s="720"/>
      <c r="EJZ23" s="720"/>
      <c r="EKA23" s="720"/>
      <c r="EKB23" s="720"/>
      <c r="EKC23" s="720"/>
      <c r="EKD23" s="720"/>
      <c r="EKE23" s="720"/>
      <c r="EKF23" s="720"/>
      <c r="EKG23" s="720"/>
      <c r="EKH23" s="720"/>
      <c r="EKI23" s="720"/>
      <c r="EKJ23" s="720"/>
      <c r="EKK23" s="720"/>
      <c r="EKL23" s="720"/>
      <c r="EKM23" s="720"/>
      <c r="EKN23" s="720"/>
      <c r="EKO23" s="720"/>
      <c r="EKP23" s="720"/>
      <c r="EKQ23" s="720"/>
      <c r="EKR23" s="720"/>
      <c r="EKS23" s="720"/>
      <c r="EKT23" s="720"/>
      <c r="EKU23" s="720"/>
      <c r="EKV23" s="720"/>
      <c r="EKW23" s="720"/>
      <c r="EKX23" s="720"/>
      <c r="EKY23" s="720"/>
      <c r="EKZ23" s="720"/>
      <c r="ELA23" s="720"/>
      <c r="ELB23" s="720"/>
      <c r="ELC23" s="720"/>
      <c r="ELD23" s="720"/>
      <c r="ELE23" s="720"/>
      <c r="ELF23" s="720"/>
      <c r="ELG23" s="720"/>
      <c r="ELH23" s="720"/>
      <c r="ELI23" s="720"/>
      <c r="ELJ23" s="720"/>
      <c r="ELK23" s="720"/>
      <c r="ELL23" s="720"/>
      <c r="ELM23" s="720"/>
      <c r="ELN23" s="720"/>
      <c r="ELO23" s="720"/>
      <c r="ELP23" s="720"/>
      <c r="ELQ23" s="720"/>
      <c r="ELR23" s="720"/>
      <c r="ELS23" s="720"/>
      <c r="ELT23" s="720"/>
      <c r="ELU23" s="720"/>
      <c r="ELV23" s="720"/>
      <c r="ELW23" s="720"/>
      <c r="ELX23" s="720"/>
      <c r="ELY23" s="720"/>
      <c r="ELZ23" s="720"/>
      <c r="EMA23" s="720"/>
      <c r="EMB23" s="720"/>
      <c r="EMC23" s="720"/>
      <c r="EMD23" s="720"/>
      <c r="EME23" s="720"/>
      <c r="EMF23" s="720"/>
      <c r="EMG23" s="720"/>
      <c r="EMH23" s="720"/>
      <c r="EMI23" s="720"/>
      <c r="EMJ23" s="720"/>
      <c r="EMK23" s="720"/>
      <c r="EML23" s="720"/>
      <c r="EMM23" s="720"/>
      <c r="EMN23" s="720"/>
      <c r="EMO23" s="720"/>
      <c r="EMP23" s="720"/>
      <c r="EMQ23" s="720"/>
      <c r="EMR23" s="720"/>
      <c r="EMS23" s="720"/>
      <c r="EMT23" s="720"/>
      <c r="EMU23" s="720"/>
      <c r="EMV23" s="720"/>
      <c r="EMW23" s="720"/>
      <c r="EMX23" s="720"/>
      <c r="EMY23" s="720"/>
      <c r="EMZ23" s="720"/>
      <c r="ENA23" s="720"/>
      <c r="ENB23" s="720"/>
      <c r="ENC23" s="720"/>
      <c r="END23" s="720"/>
      <c r="ENE23" s="720"/>
      <c r="ENF23" s="720"/>
      <c r="ENG23" s="720"/>
      <c r="ENH23" s="720"/>
      <c r="ENI23" s="720"/>
      <c r="ENJ23" s="720"/>
      <c r="ENK23" s="720"/>
      <c r="ENL23" s="720"/>
      <c r="ENM23" s="720"/>
      <c r="ENN23" s="720"/>
      <c r="ENO23" s="720"/>
      <c r="ENP23" s="720"/>
      <c r="ENQ23" s="720"/>
      <c r="ENR23" s="720"/>
      <c r="ENS23" s="720"/>
      <c r="ENT23" s="720"/>
      <c r="ENU23" s="720"/>
      <c r="ENV23" s="720"/>
      <c r="ENW23" s="720"/>
      <c r="ENX23" s="720"/>
      <c r="ENY23" s="720"/>
      <c r="ENZ23" s="720"/>
      <c r="EOA23" s="720"/>
      <c r="EOB23" s="720"/>
      <c r="EOC23" s="720"/>
      <c r="EOD23" s="720"/>
      <c r="EOE23" s="720"/>
      <c r="EOF23" s="720"/>
      <c r="EOG23" s="720"/>
      <c r="EOH23" s="720"/>
      <c r="EOI23" s="720"/>
      <c r="EOJ23" s="720"/>
      <c r="EOK23" s="720"/>
      <c r="EOL23" s="720"/>
      <c r="EOM23" s="720"/>
      <c r="EON23" s="720"/>
      <c r="EOO23" s="720"/>
      <c r="EOP23" s="720"/>
      <c r="EOQ23" s="720"/>
      <c r="EOR23" s="720"/>
      <c r="EOS23" s="720"/>
      <c r="EOT23" s="720"/>
      <c r="EOU23" s="720"/>
      <c r="EOV23" s="720"/>
      <c r="EOW23" s="720"/>
      <c r="EOX23" s="720"/>
      <c r="EOY23" s="720"/>
      <c r="EOZ23" s="720"/>
      <c r="EPA23" s="720"/>
      <c r="EPB23" s="720"/>
      <c r="EPC23" s="720"/>
      <c r="EPD23" s="720"/>
      <c r="EPE23" s="720"/>
      <c r="EPF23" s="720"/>
      <c r="EPG23" s="720"/>
      <c r="EPH23" s="720"/>
      <c r="EPI23" s="720"/>
      <c r="EPJ23" s="720"/>
      <c r="EPK23" s="720"/>
      <c r="EPL23" s="720"/>
      <c r="EPM23" s="720"/>
      <c r="EPN23" s="720"/>
      <c r="EPO23" s="720"/>
      <c r="EPP23" s="720"/>
      <c r="EPQ23" s="720"/>
      <c r="EPR23" s="720"/>
      <c r="EPS23" s="720"/>
      <c r="EPT23" s="720"/>
      <c r="EPU23" s="720"/>
      <c r="EPV23" s="720"/>
      <c r="EPW23" s="720"/>
      <c r="EPX23" s="720"/>
      <c r="EPY23" s="720"/>
      <c r="EPZ23" s="720"/>
      <c r="EQA23" s="720"/>
      <c r="EQB23" s="720"/>
      <c r="EQC23" s="720"/>
      <c r="EQD23" s="720"/>
      <c r="EQE23" s="720"/>
      <c r="EQF23" s="720"/>
      <c r="EQG23" s="720"/>
      <c r="EQH23" s="720"/>
      <c r="EQI23" s="720"/>
      <c r="EQJ23" s="720"/>
      <c r="EQK23" s="720"/>
      <c r="EQL23" s="720"/>
      <c r="EQM23" s="720"/>
      <c r="EQN23" s="720"/>
      <c r="EQO23" s="720"/>
      <c r="EQP23" s="720"/>
      <c r="EQQ23" s="720"/>
      <c r="EQR23" s="720"/>
      <c r="EQS23" s="720"/>
      <c r="EQT23" s="720"/>
      <c r="EQU23" s="720"/>
      <c r="EQV23" s="720"/>
      <c r="EQW23" s="720"/>
      <c r="EQX23" s="720"/>
      <c r="EQY23" s="720"/>
      <c r="EQZ23" s="720"/>
      <c r="ERA23" s="720"/>
      <c r="ERB23" s="720"/>
      <c r="ERC23" s="720"/>
      <c r="ERD23" s="720"/>
      <c r="ERE23" s="720"/>
      <c r="ERF23" s="720"/>
      <c r="ERG23" s="720"/>
      <c r="ERH23" s="720"/>
      <c r="ERI23" s="720"/>
      <c r="ERJ23" s="720"/>
      <c r="ERK23" s="720"/>
      <c r="ERL23" s="720"/>
      <c r="ERM23" s="720"/>
      <c r="ERN23" s="720"/>
      <c r="ERO23" s="720"/>
      <c r="ERP23" s="720"/>
      <c r="ERQ23" s="720"/>
      <c r="ERR23" s="720"/>
      <c r="ERS23" s="720"/>
      <c r="ERT23" s="720"/>
      <c r="ERU23" s="720"/>
      <c r="ERV23" s="720"/>
      <c r="ERW23" s="720"/>
      <c r="ERX23" s="720"/>
      <c r="ERY23" s="720"/>
      <c r="ERZ23" s="720"/>
      <c r="ESA23" s="720"/>
      <c r="ESB23" s="720"/>
      <c r="ESC23" s="720"/>
      <c r="ESD23" s="720"/>
      <c r="ESE23" s="720"/>
      <c r="ESF23" s="720"/>
      <c r="ESG23" s="720"/>
      <c r="ESH23" s="720"/>
      <c r="ESI23" s="720"/>
      <c r="ESJ23" s="720"/>
      <c r="ESK23" s="720"/>
      <c r="ESL23" s="720"/>
      <c r="ESM23" s="720"/>
      <c r="ESN23" s="720"/>
      <c r="ESO23" s="720"/>
      <c r="ESP23" s="720"/>
      <c r="ESQ23" s="720"/>
      <c r="ESR23" s="720"/>
      <c r="ESS23" s="720"/>
      <c r="EST23" s="720"/>
      <c r="ESU23" s="720"/>
      <c r="ESV23" s="720"/>
      <c r="ESW23" s="720"/>
      <c r="ESX23" s="720"/>
      <c r="ESY23" s="720"/>
      <c r="ESZ23" s="720"/>
      <c r="ETA23" s="720"/>
      <c r="ETB23" s="720"/>
      <c r="ETC23" s="720"/>
      <c r="ETD23" s="720"/>
      <c r="ETE23" s="720"/>
      <c r="ETF23" s="720"/>
      <c r="ETG23" s="720"/>
      <c r="ETH23" s="720"/>
      <c r="ETI23" s="720"/>
      <c r="ETJ23" s="720"/>
      <c r="ETK23" s="720"/>
      <c r="ETL23" s="720"/>
      <c r="ETM23" s="720"/>
      <c r="ETN23" s="720"/>
      <c r="ETO23" s="720"/>
      <c r="ETP23" s="720"/>
      <c r="ETQ23" s="720"/>
      <c r="ETR23" s="720"/>
      <c r="ETS23" s="720"/>
      <c r="ETT23" s="720"/>
      <c r="ETU23" s="720"/>
      <c r="ETV23" s="720"/>
      <c r="ETW23" s="720"/>
      <c r="ETX23" s="720"/>
      <c r="ETY23" s="720"/>
      <c r="ETZ23" s="720"/>
      <c r="EUA23" s="720"/>
      <c r="EUB23" s="720"/>
      <c r="EUC23" s="720"/>
      <c r="EUD23" s="720"/>
      <c r="EUE23" s="720"/>
      <c r="EUF23" s="720"/>
      <c r="EUG23" s="720"/>
      <c r="EUH23" s="720"/>
      <c r="EUI23" s="720"/>
      <c r="EUJ23" s="720"/>
      <c r="EUK23" s="720"/>
      <c r="EUL23" s="720"/>
      <c r="EUM23" s="720"/>
      <c r="EUN23" s="720"/>
      <c r="EUO23" s="720"/>
      <c r="EUP23" s="720"/>
      <c r="EUQ23" s="720"/>
      <c r="EUR23" s="720"/>
      <c r="EUS23" s="720"/>
      <c r="EUT23" s="720"/>
      <c r="EUU23" s="720"/>
      <c r="EUV23" s="720"/>
      <c r="EUW23" s="720"/>
      <c r="EUX23" s="720"/>
      <c r="EUY23" s="720"/>
      <c r="EUZ23" s="720"/>
      <c r="EVA23" s="720"/>
      <c r="EVB23" s="720"/>
      <c r="EVC23" s="720"/>
      <c r="EVD23" s="720"/>
      <c r="EVE23" s="720"/>
      <c r="EVF23" s="720"/>
      <c r="EVG23" s="720"/>
      <c r="EVH23" s="720"/>
      <c r="EVI23" s="720"/>
      <c r="EVJ23" s="720"/>
      <c r="EVK23" s="720"/>
      <c r="EVL23" s="720"/>
      <c r="EVM23" s="720"/>
      <c r="EVN23" s="720"/>
      <c r="EVO23" s="720"/>
      <c r="EVP23" s="720"/>
      <c r="EVQ23" s="720"/>
      <c r="EVR23" s="720"/>
      <c r="EVS23" s="720"/>
      <c r="EVT23" s="720"/>
      <c r="EVU23" s="720"/>
      <c r="EVV23" s="720"/>
      <c r="EVW23" s="720"/>
      <c r="EVX23" s="720"/>
      <c r="EVY23" s="720"/>
      <c r="EVZ23" s="720"/>
      <c r="EWA23" s="720"/>
      <c r="EWB23" s="720"/>
      <c r="EWC23" s="720"/>
      <c r="EWD23" s="720"/>
      <c r="EWE23" s="720"/>
      <c r="EWF23" s="720"/>
      <c r="EWG23" s="720"/>
      <c r="EWH23" s="720"/>
      <c r="EWI23" s="720"/>
      <c r="EWJ23" s="720"/>
      <c r="EWK23" s="720"/>
      <c r="EWL23" s="720"/>
      <c r="EWM23" s="720"/>
      <c r="EWN23" s="720"/>
      <c r="EWO23" s="720"/>
      <c r="EWP23" s="720"/>
      <c r="EWQ23" s="720"/>
      <c r="EWR23" s="720"/>
      <c r="EWS23" s="720"/>
      <c r="EWT23" s="720"/>
      <c r="EWU23" s="720"/>
      <c r="EWV23" s="720"/>
      <c r="EWW23" s="720"/>
      <c r="EWX23" s="720"/>
      <c r="EWY23" s="720"/>
      <c r="EWZ23" s="720"/>
      <c r="EXA23" s="720"/>
      <c r="EXB23" s="720"/>
      <c r="EXC23" s="720"/>
      <c r="EXD23" s="720"/>
      <c r="EXE23" s="720"/>
      <c r="EXF23" s="720"/>
      <c r="EXG23" s="720"/>
      <c r="EXH23" s="720"/>
      <c r="EXI23" s="720"/>
      <c r="EXJ23" s="720"/>
      <c r="EXK23" s="720"/>
      <c r="EXL23" s="720"/>
      <c r="EXM23" s="720"/>
      <c r="EXN23" s="720"/>
      <c r="EXO23" s="720"/>
      <c r="EXP23" s="720"/>
      <c r="EXQ23" s="720"/>
      <c r="EXR23" s="720"/>
      <c r="EXS23" s="720"/>
      <c r="EXT23" s="720"/>
      <c r="EXU23" s="720"/>
      <c r="EXV23" s="720"/>
      <c r="EXW23" s="720"/>
      <c r="EXX23" s="720"/>
      <c r="EXY23" s="720"/>
      <c r="EXZ23" s="720"/>
      <c r="EYA23" s="720"/>
      <c r="EYB23" s="720"/>
      <c r="EYC23" s="720"/>
      <c r="EYD23" s="720"/>
      <c r="EYE23" s="720"/>
      <c r="EYF23" s="720"/>
      <c r="EYG23" s="720"/>
      <c r="EYH23" s="720"/>
      <c r="EYI23" s="720"/>
      <c r="EYJ23" s="720"/>
      <c r="EYK23" s="720"/>
      <c r="EYL23" s="720"/>
      <c r="EYM23" s="720"/>
      <c r="EYN23" s="720"/>
      <c r="EYO23" s="720"/>
      <c r="EYP23" s="720"/>
      <c r="EYQ23" s="720"/>
      <c r="EYR23" s="720"/>
      <c r="EYS23" s="720"/>
      <c r="EYT23" s="720"/>
      <c r="EYU23" s="720"/>
      <c r="EYV23" s="720"/>
      <c r="EYW23" s="720"/>
      <c r="EYX23" s="720"/>
      <c r="EYY23" s="720"/>
      <c r="EYZ23" s="720"/>
      <c r="EZA23" s="720"/>
      <c r="EZB23" s="720"/>
      <c r="EZC23" s="720"/>
      <c r="EZD23" s="720"/>
      <c r="EZE23" s="720"/>
      <c r="EZF23" s="720"/>
      <c r="EZG23" s="720"/>
      <c r="EZH23" s="720"/>
      <c r="EZI23" s="720"/>
      <c r="EZJ23" s="720"/>
      <c r="EZK23" s="720"/>
      <c r="EZL23" s="720"/>
      <c r="EZM23" s="720"/>
      <c r="EZN23" s="720"/>
      <c r="EZO23" s="720"/>
      <c r="EZP23" s="720"/>
      <c r="EZQ23" s="720"/>
      <c r="EZR23" s="720"/>
      <c r="EZS23" s="720"/>
      <c r="EZT23" s="720"/>
      <c r="EZU23" s="720"/>
      <c r="EZV23" s="720"/>
      <c r="EZW23" s="720"/>
      <c r="EZX23" s="720"/>
      <c r="EZY23" s="720"/>
      <c r="EZZ23" s="720"/>
      <c r="FAA23" s="720"/>
      <c r="FAB23" s="720"/>
      <c r="FAC23" s="720"/>
      <c r="FAD23" s="720"/>
      <c r="FAE23" s="720"/>
      <c r="FAF23" s="720"/>
      <c r="FAG23" s="720"/>
      <c r="FAH23" s="720"/>
      <c r="FAI23" s="720"/>
      <c r="FAJ23" s="720"/>
      <c r="FAK23" s="720"/>
      <c r="FAL23" s="720"/>
      <c r="FAM23" s="720"/>
      <c r="FAN23" s="720"/>
      <c r="FAO23" s="720"/>
      <c r="FAP23" s="720"/>
      <c r="FAQ23" s="720"/>
      <c r="FAR23" s="720"/>
      <c r="FAS23" s="720"/>
      <c r="FAT23" s="720"/>
      <c r="FAU23" s="720"/>
      <c r="FAV23" s="720"/>
      <c r="FAW23" s="720"/>
      <c r="FAX23" s="720"/>
      <c r="FAY23" s="720"/>
      <c r="FAZ23" s="720"/>
      <c r="FBA23" s="720"/>
      <c r="FBB23" s="720"/>
      <c r="FBC23" s="720"/>
      <c r="FBD23" s="720"/>
      <c r="FBE23" s="720"/>
      <c r="FBF23" s="720"/>
      <c r="FBG23" s="720"/>
      <c r="FBH23" s="720"/>
      <c r="FBI23" s="720"/>
      <c r="FBJ23" s="720"/>
      <c r="FBK23" s="720"/>
      <c r="FBL23" s="720"/>
      <c r="FBM23" s="720"/>
      <c r="FBN23" s="720"/>
      <c r="FBO23" s="720"/>
      <c r="FBP23" s="720"/>
      <c r="FBQ23" s="720"/>
      <c r="FBR23" s="720"/>
      <c r="FBS23" s="720"/>
      <c r="FBT23" s="720"/>
      <c r="FBU23" s="720"/>
      <c r="FBV23" s="720"/>
      <c r="FBW23" s="720"/>
      <c r="FBX23" s="720"/>
      <c r="FBY23" s="720"/>
      <c r="FBZ23" s="720"/>
      <c r="FCA23" s="720"/>
      <c r="FCB23" s="720"/>
      <c r="FCC23" s="720"/>
      <c r="FCD23" s="720"/>
      <c r="FCE23" s="720"/>
      <c r="FCF23" s="720"/>
      <c r="FCG23" s="720"/>
      <c r="FCH23" s="720"/>
      <c r="FCI23" s="720"/>
      <c r="FCJ23" s="720"/>
      <c r="FCK23" s="720"/>
      <c r="FCL23" s="720"/>
      <c r="FCM23" s="720"/>
      <c r="FCN23" s="720"/>
      <c r="FCO23" s="720"/>
      <c r="FCP23" s="720"/>
      <c r="FCQ23" s="720"/>
      <c r="FCR23" s="720"/>
      <c r="FCS23" s="720"/>
      <c r="FCT23" s="720"/>
      <c r="FCU23" s="720"/>
      <c r="FCV23" s="720"/>
      <c r="FCW23" s="720"/>
      <c r="FCX23" s="720"/>
      <c r="FCY23" s="720"/>
      <c r="FCZ23" s="720"/>
      <c r="FDA23" s="720"/>
      <c r="FDB23" s="720"/>
      <c r="FDC23" s="720"/>
      <c r="FDD23" s="720"/>
      <c r="FDE23" s="720"/>
      <c r="FDF23" s="720"/>
      <c r="FDG23" s="720"/>
      <c r="FDH23" s="720"/>
      <c r="FDI23" s="720"/>
      <c r="FDJ23" s="720"/>
      <c r="FDK23" s="720"/>
      <c r="FDL23" s="720"/>
      <c r="FDM23" s="720"/>
      <c r="FDN23" s="720"/>
      <c r="FDO23" s="720"/>
      <c r="FDP23" s="720"/>
      <c r="FDQ23" s="720"/>
      <c r="FDR23" s="720"/>
      <c r="FDS23" s="720"/>
      <c r="FDT23" s="720"/>
      <c r="FDU23" s="720"/>
      <c r="FDV23" s="720"/>
      <c r="FDW23" s="720"/>
      <c r="FDX23" s="720"/>
      <c r="FDY23" s="720"/>
      <c r="FDZ23" s="720"/>
      <c r="FEA23" s="720"/>
      <c r="FEB23" s="720"/>
      <c r="FEC23" s="720"/>
      <c r="FED23" s="720"/>
      <c r="FEE23" s="720"/>
      <c r="FEF23" s="720"/>
      <c r="FEG23" s="720"/>
      <c r="FEH23" s="720"/>
      <c r="FEI23" s="720"/>
      <c r="FEJ23" s="720"/>
      <c r="FEK23" s="720"/>
      <c r="FEL23" s="720"/>
      <c r="FEM23" s="720"/>
      <c r="FEN23" s="720"/>
      <c r="FEO23" s="720"/>
      <c r="FEP23" s="720"/>
      <c r="FEQ23" s="720"/>
      <c r="FER23" s="720"/>
      <c r="FES23" s="720"/>
      <c r="FET23" s="720"/>
      <c r="FEU23" s="720"/>
      <c r="FEV23" s="720"/>
      <c r="FEW23" s="720"/>
      <c r="FEX23" s="720"/>
      <c r="FEY23" s="720"/>
      <c r="FEZ23" s="720"/>
      <c r="FFA23" s="720"/>
      <c r="FFB23" s="720"/>
      <c r="FFC23" s="720"/>
      <c r="FFD23" s="720"/>
      <c r="FFE23" s="720"/>
      <c r="FFF23" s="720"/>
      <c r="FFG23" s="720"/>
      <c r="FFH23" s="720"/>
      <c r="FFI23" s="720"/>
      <c r="FFJ23" s="720"/>
      <c r="FFK23" s="720"/>
      <c r="FFL23" s="720"/>
      <c r="FFM23" s="720"/>
      <c r="FFN23" s="720"/>
      <c r="FFO23" s="720"/>
      <c r="FFP23" s="720"/>
      <c r="FFQ23" s="720"/>
      <c r="FFR23" s="720"/>
      <c r="FFS23" s="720"/>
      <c r="FFT23" s="720"/>
      <c r="FFU23" s="720"/>
      <c r="FFV23" s="720"/>
      <c r="FFW23" s="720"/>
      <c r="FFX23" s="720"/>
      <c r="FFY23" s="720"/>
      <c r="FFZ23" s="720"/>
      <c r="FGA23" s="720"/>
      <c r="FGB23" s="720"/>
      <c r="FGC23" s="720"/>
      <c r="FGD23" s="720"/>
      <c r="FGE23" s="720"/>
      <c r="FGF23" s="720"/>
      <c r="FGG23" s="720"/>
      <c r="FGH23" s="720"/>
      <c r="FGI23" s="720"/>
      <c r="FGJ23" s="720"/>
      <c r="FGK23" s="720"/>
      <c r="FGL23" s="720"/>
      <c r="FGM23" s="720"/>
      <c r="FGN23" s="720"/>
      <c r="FGO23" s="720"/>
      <c r="FGP23" s="720"/>
      <c r="FGQ23" s="720"/>
      <c r="FGR23" s="720"/>
      <c r="FGS23" s="720"/>
      <c r="FGT23" s="720"/>
      <c r="FGU23" s="720"/>
      <c r="FGV23" s="720"/>
      <c r="FGW23" s="720"/>
      <c r="FGX23" s="720"/>
      <c r="FGY23" s="720"/>
      <c r="FGZ23" s="720"/>
      <c r="FHA23" s="720"/>
      <c r="FHB23" s="720"/>
      <c r="FHC23" s="720"/>
      <c r="FHD23" s="720"/>
      <c r="FHE23" s="720"/>
      <c r="FHF23" s="720"/>
      <c r="FHG23" s="720"/>
      <c r="FHH23" s="720"/>
      <c r="FHI23" s="720"/>
      <c r="FHJ23" s="720"/>
      <c r="FHK23" s="720"/>
      <c r="FHL23" s="720"/>
      <c r="FHM23" s="720"/>
      <c r="FHN23" s="720"/>
      <c r="FHO23" s="720"/>
      <c r="FHP23" s="720"/>
      <c r="FHQ23" s="720"/>
      <c r="FHR23" s="720"/>
      <c r="FHS23" s="720"/>
      <c r="FHT23" s="720"/>
      <c r="FHU23" s="720"/>
      <c r="FHV23" s="720"/>
      <c r="FHW23" s="720"/>
      <c r="FHX23" s="720"/>
      <c r="FHY23" s="720"/>
      <c r="FHZ23" s="720"/>
      <c r="FIA23" s="720"/>
      <c r="FIB23" s="720"/>
      <c r="FIC23" s="720"/>
      <c r="FID23" s="720"/>
      <c r="FIE23" s="720"/>
      <c r="FIF23" s="720"/>
      <c r="FIG23" s="720"/>
      <c r="FIH23" s="720"/>
      <c r="FII23" s="720"/>
      <c r="FIJ23" s="720"/>
      <c r="FIK23" s="720"/>
      <c r="FIL23" s="720"/>
      <c r="FIM23" s="720"/>
      <c r="FIN23" s="720"/>
      <c r="FIO23" s="720"/>
      <c r="FIP23" s="720"/>
      <c r="FIQ23" s="720"/>
      <c r="FIR23" s="720"/>
      <c r="FIS23" s="720"/>
      <c r="FIT23" s="720"/>
      <c r="FIU23" s="720"/>
      <c r="FIV23" s="720"/>
      <c r="FIW23" s="720"/>
      <c r="FIX23" s="720"/>
      <c r="FIY23" s="720"/>
      <c r="FIZ23" s="720"/>
      <c r="FJA23" s="720"/>
      <c r="FJB23" s="720"/>
      <c r="FJC23" s="720"/>
      <c r="FJD23" s="720"/>
      <c r="FJE23" s="720"/>
      <c r="FJF23" s="720"/>
      <c r="FJG23" s="720"/>
      <c r="FJH23" s="720"/>
      <c r="FJI23" s="720"/>
      <c r="FJJ23" s="720"/>
      <c r="FJK23" s="720"/>
      <c r="FJL23" s="720"/>
      <c r="FJM23" s="720"/>
      <c r="FJN23" s="720"/>
      <c r="FJO23" s="720"/>
      <c r="FJP23" s="720"/>
      <c r="FJQ23" s="720"/>
      <c r="FJR23" s="720"/>
      <c r="FJS23" s="720"/>
      <c r="FJT23" s="720"/>
      <c r="FJU23" s="720"/>
      <c r="FJV23" s="720"/>
      <c r="FJW23" s="720"/>
      <c r="FJX23" s="720"/>
      <c r="FJY23" s="720"/>
      <c r="FJZ23" s="720"/>
      <c r="FKA23" s="720"/>
      <c r="FKB23" s="720"/>
      <c r="FKC23" s="720"/>
      <c r="FKD23" s="720"/>
      <c r="FKE23" s="720"/>
      <c r="FKF23" s="720"/>
      <c r="FKG23" s="720"/>
      <c r="FKH23" s="720"/>
      <c r="FKI23" s="720"/>
      <c r="FKJ23" s="720"/>
      <c r="FKK23" s="720"/>
      <c r="FKL23" s="720"/>
      <c r="FKM23" s="720"/>
      <c r="FKN23" s="720"/>
      <c r="FKO23" s="720"/>
      <c r="FKP23" s="720"/>
      <c r="FKQ23" s="720"/>
      <c r="FKR23" s="720"/>
      <c r="FKS23" s="720"/>
      <c r="FKT23" s="720"/>
      <c r="FKU23" s="720"/>
      <c r="FKV23" s="720"/>
      <c r="FKW23" s="720"/>
      <c r="FKX23" s="720"/>
      <c r="FKY23" s="720"/>
      <c r="FKZ23" s="720"/>
      <c r="FLA23" s="720"/>
      <c r="FLB23" s="720"/>
      <c r="FLC23" s="720"/>
      <c r="FLD23" s="720"/>
      <c r="FLE23" s="720"/>
      <c r="FLF23" s="720"/>
      <c r="FLG23" s="720"/>
      <c r="FLH23" s="720"/>
      <c r="FLI23" s="720"/>
      <c r="FLJ23" s="720"/>
      <c r="FLK23" s="720"/>
      <c r="FLL23" s="720"/>
      <c r="FLM23" s="720"/>
      <c r="FLN23" s="720"/>
      <c r="FLO23" s="720"/>
      <c r="FLP23" s="720"/>
      <c r="FLQ23" s="720"/>
      <c r="FLR23" s="720"/>
      <c r="FLS23" s="720"/>
      <c r="FLT23" s="720"/>
      <c r="FLU23" s="720"/>
      <c r="FLV23" s="720"/>
      <c r="FLW23" s="720"/>
      <c r="FLX23" s="720"/>
      <c r="FLY23" s="720"/>
      <c r="FLZ23" s="720"/>
      <c r="FMA23" s="720"/>
      <c r="FMB23" s="720"/>
      <c r="FMC23" s="720"/>
      <c r="FMD23" s="720"/>
      <c r="FME23" s="720"/>
      <c r="FMF23" s="720"/>
      <c r="FMG23" s="720"/>
      <c r="FMH23" s="720"/>
      <c r="FMI23" s="720"/>
      <c r="FMJ23" s="720"/>
      <c r="FMK23" s="720"/>
      <c r="FML23" s="720"/>
      <c r="FMM23" s="720"/>
      <c r="FMN23" s="720"/>
      <c r="FMO23" s="720"/>
      <c r="FMP23" s="720"/>
      <c r="FMQ23" s="720"/>
      <c r="FMR23" s="720"/>
      <c r="FMS23" s="720"/>
      <c r="FMT23" s="720"/>
      <c r="FMU23" s="720"/>
      <c r="FMV23" s="720"/>
      <c r="FMW23" s="720"/>
      <c r="FMX23" s="720"/>
      <c r="FMY23" s="720"/>
      <c r="FMZ23" s="720"/>
      <c r="FNA23" s="720"/>
      <c r="FNB23" s="720"/>
      <c r="FNC23" s="720"/>
      <c r="FND23" s="720"/>
      <c r="FNE23" s="720"/>
      <c r="FNF23" s="720"/>
      <c r="FNG23" s="720"/>
      <c r="FNH23" s="720"/>
      <c r="FNI23" s="720"/>
      <c r="FNJ23" s="720"/>
      <c r="FNK23" s="720"/>
      <c r="FNL23" s="720"/>
      <c r="FNM23" s="720"/>
      <c r="FNN23" s="720"/>
      <c r="FNO23" s="720"/>
      <c r="FNP23" s="720"/>
      <c r="FNQ23" s="720"/>
      <c r="FNR23" s="720"/>
      <c r="FNS23" s="720"/>
      <c r="FNT23" s="720"/>
      <c r="FNU23" s="720"/>
      <c r="FNV23" s="720"/>
      <c r="FNW23" s="720"/>
      <c r="FNX23" s="720"/>
      <c r="FNY23" s="720"/>
      <c r="FNZ23" s="720"/>
      <c r="FOA23" s="720"/>
      <c r="FOB23" s="720"/>
      <c r="FOC23" s="720"/>
      <c r="FOD23" s="720"/>
      <c r="FOE23" s="720"/>
      <c r="FOF23" s="720"/>
      <c r="FOG23" s="720"/>
      <c r="FOH23" s="720"/>
      <c r="FOI23" s="720"/>
      <c r="FOJ23" s="720"/>
      <c r="FOK23" s="720"/>
      <c r="FOL23" s="720"/>
      <c r="FOM23" s="720"/>
      <c r="FON23" s="720"/>
      <c r="FOO23" s="720"/>
      <c r="FOP23" s="720"/>
      <c r="FOQ23" s="720"/>
      <c r="FOR23" s="720"/>
      <c r="FOS23" s="720"/>
      <c r="FOT23" s="720"/>
      <c r="FOU23" s="720"/>
      <c r="FOV23" s="720"/>
      <c r="FOW23" s="720"/>
      <c r="FOX23" s="720"/>
      <c r="FOY23" s="720"/>
      <c r="FOZ23" s="720"/>
      <c r="FPA23" s="720"/>
      <c r="FPB23" s="720"/>
      <c r="FPC23" s="720"/>
      <c r="FPD23" s="720"/>
      <c r="FPE23" s="720"/>
      <c r="FPF23" s="720"/>
      <c r="FPG23" s="720"/>
      <c r="FPH23" s="720"/>
      <c r="FPI23" s="720"/>
      <c r="FPJ23" s="720"/>
      <c r="FPK23" s="720"/>
      <c r="FPL23" s="720"/>
      <c r="FPM23" s="720"/>
      <c r="FPN23" s="720"/>
      <c r="FPO23" s="720"/>
      <c r="FPP23" s="720"/>
      <c r="FPQ23" s="720"/>
      <c r="FPR23" s="720"/>
      <c r="FPS23" s="720"/>
      <c r="FPT23" s="720"/>
      <c r="FPU23" s="720"/>
      <c r="FPV23" s="720"/>
      <c r="FPW23" s="720"/>
      <c r="FPX23" s="720"/>
      <c r="FPY23" s="720"/>
      <c r="FPZ23" s="720"/>
      <c r="FQA23" s="720"/>
      <c r="FQB23" s="720"/>
      <c r="FQC23" s="720"/>
      <c r="FQD23" s="720"/>
      <c r="FQE23" s="720"/>
      <c r="FQF23" s="720"/>
      <c r="FQG23" s="720"/>
      <c r="FQH23" s="720"/>
      <c r="FQI23" s="720"/>
      <c r="FQJ23" s="720"/>
      <c r="FQK23" s="720"/>
      <c r="FQL23" s="720"/>
      <c r="FQM23" s="720"/>
      <c r="FQN23" s="720"/>
      <c r="FQO23" s="720"/>
      <c r="FQP23" s="720"/>
      <c r="FQQ23" s="720"/>
      <c r="FQR23" s="720"/>
      <c r="FQS23" s="720"/>
      <c r="FQT23" s="720"/>
      <c r="FQU23" s="720"/>
      <c r="FQV23" s="720"/>
      <c r="FQW23" s="720"/>
      <c r="FQX23" s="720"/>
      <c r="FQY23" s="720"/>
      <c r="FQZ23" s="720"/>
      <c r="FRA23" s="720"/>
      <c r="FRB23" s="720"/>
      <c r="FRC23" s="720"/>
      <c r="FRD23" s="720"/>
      <c r="FRE23" s="720"/>
      <c r="FRF23" s="720"/>
      <c r="FRG23" s="720"/>
      <c r="FRH23" s="720"/>
      <c r="FRI23" s="720"/>
      <c r="FRJ23" s="720"/>
      <c r="FRK23" s="720"/>
      <c r="FRL23" s="720"/>
      <c r="FRM23" s="720"/>
      <c r="FRN23" s="720"/>
      <c r="FRO23" s="720"/>
      <c r="FRP23" s="720"/>
      <c r="FRQ23" s="720"/>
      <c r="FRR23" s="720"/>
      <c r="FRS23" s="720"/>
      <c r="FRT23" s="720"/>
      <c r="FRU23" s="720"/>
      <c r="FRV23" s="720"/>
      <c r="FRW23" s="720"/>
      <c r="FRX23" s="720"/>
      <c r="FRY23" s="720"/>
      <c r="FRZ23" s="720"/>
      <c r="FSA23" s="720"/>
      <c r="FSB23" s="720"/>
      <c r="FSC23" s="720"/>
      <c r="FSD23" s="720"/>
      <c r="FSE23" s="720"/>
      <c r="FSF23" s="720"/>
      <c r="FSG23" s="720"/>
      <c r="FSH23" s="720"/>
      <c r="FSI23" s="720"/>
      <c r="FSJ23" s="720"/>
      <c r="FSK23" s="720"/>
      <c r="FSL23" s="720"/>
      <c r="FSM23" s="720"/>
      <c r="FSN23" s="720"/>
      <c r="FSO23" s="720"/>
      <c r="FSP23" s="720"/>
      <c r="FSQ23" s="720"/>
      <c r="FSR23" s="720"/>
      <c r="FSS23" s="720"/>
      <c r="FST23" s="720"/>
      <c r="FSU23" s="720"/>
      <c r="FSV23" s="720"/>
      <c r="FSW23" s="720"/>
      <c r="FSX23" s="720"/>
      <c r="FSY23" s="720"/>
      <c r="FSZ23" s="720"/>
      <c r="FTA23" s="720"/>
      <c r="FTB23" s="720"/>
      <c r="FTC23" s="720"/>
      <c r="FTD23" s="720"/>
      <c r="FTE23" s="720"/>
      <c r="FTF23" s="720"/>
      <c r="FTG23" s="720"/>
      <c r="FTH23" s="720"/>
      <c r="FTI23" s="720"/>
      <c r="FTJ23" s="720"/>
      <c r="FTK23" s="720"/>
      <c r="FTL23" s="720"/>
      <c r="FTM23" s="720"/>
      <c r="FTN23" s="720"/>
      <c r="FTO23" s="720"/>
      <c r="FTP23" s="720"/>
      <c r="FTQ23" s="720"/>
      <c r="FTR23" s="720"/>
      <c r="FTS23" s="720"/>
      <c r="FTT23" s="720"/>
      <c r="FTU23" s="720"/>
      <c r="FTV23" s="720"/>
      <c r="FTW23" s="720"/>
      <c r="FTX23" s="720"/>
      <c r="FTY23" s="720"/>
      <c r="FTZ23" s="720"/>
      <c r="FUA23" s="720"/>
      <c r="FUB23" s="720"/>
      <c r="FUC23" s="720"/>
      <c r="FUD23" s="720"/>
      <c r="FUE23" s="720"/>
      <c r="FUF23" s="720"/>
      <c r="FUG23" s="720"/>
      <c r="FUH23" s="720"/>
      <c r="FUI23" s="720"/>
      <c r="FUJ23" s="720"/>
      <c r="FUK23" s="720"/>
      <c r="FUL23" s="720"/>
      <c r="FUM23" s="720"/>
      <c r="FUN23" s="720"/>
      <c r="FUO23" s="720"/>
      <c r="FUP23" s="720"/>
      <c r="FUQ23" s="720"/>
      <c r="FUR23" s="720"/>
      <c r="FUS23" s="720"/>
      <c r="FUT23" s="720"/>
      <c r="FUU23" s="720"/>
      <c r="FUV23" s="720"/>
      <c r="FUW23" s="720"/>
      <c r="FUX23" s="720"/>
      <c r="FUY23" s="720"/>
      <c r="FUZ23" s="720"/>
      <c r="FVA23" s="720"/>
      <c r="FVB23" s="720"/>
      <c r="FVC23" s="720"/>
      <c r="FVD23" s="720"/>
      <c r="FVE23" s="720"/>
      <c r="FVF23" s="720"/>
      <c r="FVG23" s="720"/>
      <c r="FVH23" s="720"/>
      <c r="FVI23" s="720"/>
      <c r="FVJ23" s="720"/>
      <c r="FVK23" s="720"/>
      <c r="FVL23" s="720"/>
      <c r="FVM23" s="720"/>
      <c r="FVN23" s="720"/>
      <c r="FVO23" s="720"/>
      <c r="FVP23" s="720"/>
      <c r="FVQ23" s="720"/>
      <c r="FVR23" s="720"/>
      <c r="FVS23" s="720"/>
      <c r="FVT23" s="720"/>
      <c r="FVU23" s="720"/>
      <c r="FVV23" s="720"/>
      <c r="FVW23" s="720"/>
      <c r="FVX23" s="720"/>
      <c r="FVY23" s="720"/>
      <c r="FVZ23" s="720"/>
      <c r="FWA23" s="720"/>
      <c r="FWB23" s="720"/>
      <c r="FWC23" s="720"/>
      <c r="FWD23" s="720"/>
      <c r="FWE23" s="720"/>
      <c r="FWF23" s="720"/>
      <c r="FWG23" s="720"/>
      <c r="FWH23" s="720"/>
      <c r="FWI23" s="720"/>
      <c r="FWJ23" s="720"/>
      <c r="FWK23" s="720"/>
      <c r="FWL23" s="720"/>
      <c r="FWM23" s="720"/>
      <c r="FWN23" s="720"/>
      <c r="FWO23" s="720"/>
      <c r="FWP23" s="720"/>
      <c r="FWQ23" s="720"/>
      <c r="FWR23" s="720"/>
      <c r="FWS23" s="720"/>
      <c r="FWT23" s="720"/>
      <c r="FWU23" s="720"/>
      <c r="FWV23" s="720"/>
      <c r="FWW23" s="720"/>
      <c r="FWX23" s="720"/>
      <c r="FWY23" s="720"/>
      <c r="FWZ23" s="720"/>
      <c r="FXA23" s="720"/>
      <c r="FXB23" s="720"/>
      <c r="FXC23" s="720"/>
      <c r="FXD23" s="720"/>
      <c r="FXE23" s="720"/>
      <c r="FXF23" s="720"/>
      <c r="FXG23" s="720"/>
      <c r="FXH23" s="720"/>
      <c r="FXI23" s="720"/>
      <c r="FXJ23" s="720"/>
      <c r="FXK23" s="720"/>
      <c r="FXL23" s="720"/>
      <c r="FXM23" s="720"/>
      <c r="FXN23" s="720"/>
      <c r="FXO23" s="720"/>
      <c r="FXP23" s="720"/>
      <c r="FXQ23" s="720"/>
      <c r="FXR23" s="720"/>
      <c r="FXS23" s="720"/>
      <c r="FXT23" s="720"/>
      <c r="FXU23" s="720"/>
      <c r="FXV23" s="720"/>
      <c r="FXW23" s="720"/>
      <c r="FXX23" s="720"/>
      <c r="FXY23" s="720"/>
      <c r="FXZ23" s="720"/>
      <c r="FYA23" s="720"/>
      <c r="FYB23" s="720"/>
      <c r="FYC23" s="720"/>
      <c r="FYD23" s="720"/>
      <c r="FYE23" s="720"/>
      <c r="FYF23" s="720"/>
      <c r="FYG23" s="720"/>
      <c r="FYH23" s="720"/>
      <c r="FYI23" s="720"/>
      <c r="FYJ23" s="720"/>
      <c r="FYK23" s="720"/>
      <c r="FYL23" s="720"/>
      <c r="FYM23" s="720"/>
      <c r="FYN23" s="720"/>
      <c r="FYO23" s="720"/>
      <c r="FYP23" s="720"/>
      <c r="FYQ23" s="720"/>
      <c r="FYR23" s="720"/>
      <c r="FYS23" s="720"/>
      <c r="FYT23" s="720"/>
      <c r="FYU23" s="720"/>
      <c r="FYV23" s="720"/>
      <c r="FYW23" s="720"/>
      <c r="FYX23" s="720"/>
      <c r="FYY23" s="720"/>
      <c r="FYZ23" s="720"/>
      <c r="FZA23" s="720"/>
      <c r="FZB23" s="720"/>
      <c r="FZC23" s="720"/>
      <c r="FZD23" s="720"/>
      <c r="FZE23" s="720"/>
      <c r="FZF23" s="720"/>
      <c r="FZG23" s="720"/>
      <c r="FZH23" s="720"/>
      <c r="FZI23" s="720"/>
      <c r="FZJ23" s="720"/>
      <c r="FZK23" s="720"/>
      <c r="FZL23" s="720"/>
      <c r="FZM23" s="720"/>
      <c r="FZN23" s="720"/>
      <c r="FZO23" s="720"/>
      <c r="FZP23" s="720"/>
      <c r="FZQ23" s="720"/>
      <c r="FZR23" s="720"/>
      <c r="FZS23" s="720"/>
      <c r="FZT23" s="720"/>
      <c r="FZU23" s="720"/>
      <c r="FZV23" s="720"/>
      <c r="FZW23" s="720"/>
      <c r="FZX23" s="720"/>
      <c r="FZY23" s="720"/>
      <c r="FZZ23" s="720"/>
      <c r="GAA23" s="720"/>
      <c r="GAB23" s="720"/>
      <c r="GAC23" s="720"/>
      <c r="GAD23" s="720"/>
      <c r="GAE23" s="720"/>
      <c r="GAF23" s="720"/>
      <c r="GAG23" s="720"/>
      <c r="GAH23" s="720"/>
      <c r="GAI23" s="720"/>
      <c r="GAJ23" s="720"/>
      <c r="GAK23" s="720"/>
      <c r="GAL23" s="720"/>
      <c r="GAM23" s="720"/>
      <c r="GAN23" s="720"/>
      <c r="GAO23" s="720"/>
      <c r="GAP23" s="720"/>
      <c r="GAQ23" s="720"/>
      <c r="GAR23" s="720"/>
      <c r="GAS23" s="720"/>
      <c r="GAT23" s="720"/>
      <c r="GAU23" s="720"/>
      <c r="GAV23" s="720"/>
      <c r="GAW23" s="720"/>
      <c r="GAX23" s="720"/>
      <c r="GAY23" s="720"/>
      <c r="GAZ23" s="720"/>
      <c r="GBA23" s="720"/>
      <c r="GBB23" s="720"/>
      <c r="GBC23" s="720"/>
      <c r="GBD23" s="720"/>
      <c r="GBE23" s="720"/>
      <c r="GBF23" s="720"/>
      <c r="GBG23" s="720"/>
      <c r="GBH23" s="720"/>
      <c r="GBI23" s="720"/>
      <c r="GBJ23" s="720"/>
      <c r="GBK23" s="720"/>
      <c r="GBL23" s="720"/>
      <c r="GBM23" s="720"/>
      <c r="GBN23" s="720"/>
      <c r="GBO23" s="720"/>
      <c r="GBP23" s="720"/>
      <c r="GBQ23" s="720"/>
      <c r="GBR23" s="720"/>
      <c r="GBS23" s="720"/>
      <c r="GBT23" s="720"/>
      <c r="GBU23" s="720"/>
      <c r="GBV23" s="720"/>
      <c r="GBW23" s="720"/>
      <c r="GBX23" s="720"/>
      <c r="GBY23" s="720"/>
      <c r="GBZ23" s="720"/>
      <c r="GCA23" s="720"/>
      <c r="GCB23" s="720"/>
      <c r="GCC23" s="720"/>
      <c r="GCD23" s="720"/>
      <c r="GCE23" s="720"/>
      <c r="GCF23" s="720"/>
      <c r="GCG23" s="720"/>
      <c r="GCH23" s="720"/>
      <c r="GCI23" s="720"/>
      <c r="GCJ23" s="720"/>
      <c r="GCK23" s="720"/>
      <c r="GCL23" s="720"/>
      <c r="GCM23" s="720"/>
      <c r="GCN23" s="720"/>
      <c r="GCO23" s="720"/>
      <c r="GCP23" s="720"/>
      <c r="GCQ23" s="720"/>
      <c r="GCR23" s="720"/>
      <c r="GCS23" s="720"/>
      <c r="GCT23" s="720"/>
      <c r="GCU23" s="720"/>
      <c r="GCV23" s="720"/>
      <c r="GCW23" s="720"/>
      <c r="GCX23" s="720"/>
      <c r="GCY23" s="720"/>
      <c r="GCZ23" s="720"/>
      <c r="GDA23" s="720"/>
      <c r="GDB23" s="720"/>
      <c r="GDC23" s="720"/>
      <c r="GDD23" s="720"/>
      <c r="GDE23" s="720"/>
      <c r="GDF23" s="720"/>
      <c r="GDG23" s="720"/>
      <c r="GDH23" s="720"/>
      <c r="GDI23" s="720"/>
      <c r="GDJ23" s="720"/>
      <c r="GDK23" s="720"/>
      <c r="GDL23" s="720"/>
      <c r="GDM23" s="720"/>
      <c r="GDN23" s="720"/>
      <c r="GDO23" s="720"/>
      <c r="GDP23" s="720"/>
      <c r="GDQ23" s="720"/>
      <c r="GDR23" s="720"/>
      <c r="GDS23" s="720"/>
      <c r="GDT23" s="720"/>
      <c r="GDU23" s="720"/>
      <c r="GDV23" s="720"/>
      <c r="GDW23" s="720"/>
      <c r="GDX23" s="720"/>
      <c r="GDY23" s="720"/>
      <c r="GDZ23" s="720"/>
      <c r="GEA23" s="720"/>
      <c r="GEB23" s="720"/>
      <c r="GEC23" s="720"/>
      <c r="GED23" s="720"/>
      <c r="GEE23" s="720"/>
      <c r="GEF23" s="720"/>
      <c r="GEG23" s="720"/>
      <c r="GEH23" s="720"/>
      <c r="GEI23" s="720"/>
      <c r="GEJ23" s="720"/>
      <c r="GEK23" s="720"/>
      <c r="GEL23" s="720"/>
      <c r="GEM23" s="720"/>
      <c r="GEN23" s="720"/>
      <c r="GEO23" s="720"/>
      <c r="GEP23" s="720"/>
      <c r="GEQ23" s="720"/>
      <c r="GER23" s="720"/>
      <c r="GES23" s="720"/>
      <c r="GET23" s="720"/>
      <c r="GEU23" s="720"/>
      <c r="GEV23" s="720"/>
      <c r="GEW23" s="720"/>
      <c r="GEX23" s="720"/>
      <c r="GEY23" s="720"/>
      <c r="GEZ23" s="720"/>
      <c r="GFA23" s="720"/>
      <c r="GFB23" s="720"/>
      <c r="GFC23" s="720"/>
      <c r="GFD23" s="720"/>
      <c r="GFE23" s="720"/>
      <c r="GFF23" s="720"/>
      <c r="GFG23" s="720"/>
      <c r="GFH23" s="720"/>
      <c r="GFI23" s="720"/>
      <c r="GFJ23" s="720"/>
      <c r="GFK23" s="720"/>
      <c r="GFL23" s="720"/>
      <c r="GFM23" s="720"/>
      <c r="GFN23" s="720"/>
      <c r="GFO23" s="720"/>
      <c r="GFP23" s="720"/>
      <c r="GFQ23" s="720"/>
      <c r="GFR23" s="720"/>
      <c r="GFS23" s="720"/>
      <c r="GFT23" s="720"/>
      <c r="GFU23" s="720"/>
      <c r="GFV23" s="720"/>
      <c r="GFW23" s="720"/>
      <c r="GFX23" s="720"/>
      <c r="GFY23" s="720"/>
      <c r="GFZ23" s="720"/>
      <c r="GGA23" s="720"/>
      <c r="GGB23" s="720"/>
      <c r="GGC23" s="720"/>
      <c r="GGD23" s="720"/>
      <c r="GGE23" s="720"/>
      <c r="GGF23" s="720"/>
      <c r="GGG23" s="720"/>
      <c r="GGH23" s="720"/>
      <c r="GGI23" s="720"/>
      <c r="GGJ23" s="720"/>
      <c r="GGK23" s="720"/>
      <c r="GGL23" s="720"/>
      <c r="GGM23" s="720"/>
      <c r="GGN23" s="720"/>
      <c r="GGO23" s="720"/>
      <c r="GGP23" s="720"/>
      <c r="GGQ23" s="720"/>
      <c r="GGR23" s="720"/>
      <c r="GGS23" s="720"/>
      <c r="GGT23" s="720"/>
      <c r="GGU23" s="720"/>
      <c r="GGV23" s="720"/>
      <c r="GGW23" s="720"/>
      <c r="GGX23" s="720"/>
      <c r="GGY23" s="720"/>
      <c r="GGZ23" s="720"/>
      <c r="GHA23" s="720"/>
      <c r="GHB23" s="720"/>
      <c r="GHC23" s="720"/>
      <c r="GHD23" s="720"/>
      <c r="GHE23" s="720"/>
      <c r="GHF23" s="720"/>
      <c r="GHG23" s="720"/>
      <c r="GHH23" s="720"/>
      <c r="GHI23" s="720"/>
      <c r="GHJ23" s="720"/>
      <c r="GHK23" s="720"/>
      <c r="GHL23" s="720"/>
      <c r="GHM23" s="720"/>
      <c r="GHN23" s="720"/>
      <c r="GHO23" s="720"/>
      <c r="GHP23" s="720"/>
      <c r="GHQ23" s="720"/>
      <c r="GHR23" s="720"/>
      <c r="GHS23" s="720"/>
      <c r="GHT23" s="720"/>
      <c r="GHU23" s="720"/>
      <c r="GHV23" s="720"/>
      <c r="GHW23" s="720"/>
      <c r="GHX23" s="720"/>
      <c r="GHY23" s="720"/>
      <c r="GHZ23" s="720"/>
      <c r="GIA23" s="720"/>
      <c r="GIB23" s="720"/>
      <c r="GIC23" s="720"/>
      <c r="GID23" s="720"/>
      <c r="GIE23" s="720"/>
      <c r="GIF23" s="720"/>
      <c r="GIG23" s="720"/>
      <c r="GIH23" s="720"/>
      <c r="GII23" s="720"/>
      <c r="GIJ23" s="720"/>
      <c r="GIK23" s="720"/>
      <c r="GIL23" s="720"/>
      <c r="GIM23" s="720"/>
      <c r="GIN23" s="720"/>
      <c r="GIO23" s="720"/>
      <c r="GIP23" s="720"/>
      <c r="GIQ23" s="720"/>
      <c r="GIR23" s="720"/>
      <c r="GIS23" s="720"/>
      <c r="GIT23" s="720"/>
      <c r="GIU23" s="720"/>
      <c r="GIV23" s="720"/>
      <c r="GIW23" s="720"/>
      <c r="GIX23" s="720"/>
      <c r="GIY23" s="720"/>
      <c r="GIZ23" s="720"/>
      <c r="GJA23" s="720"/>
      <c r="GJB23" s="720"/>
      <c r="GJC23" s="720"/>
      <c r="GJD23" s="720"/>
      <c r="GJE23" s="720"/>
      <c r="GJF23" s="720"/>
      <c r="GJG23" s="720"/>
      <c r="GJH23" s="720"/>
      <c r="GJI23" s="720"/>
      <c r="GJJ23" s="720"/>
      <c r="GJK23" s="720"/>
      <c r="GJL23" s="720"/>
      <c r="GJM23" s="720"/>
      <c r="GJN23" s="720"/>
      <c r="GJO23" s="720"/>
      <c r="GJP23" s="720"/>
      <c r="GJQ23" s="720"/>
      <c r="GJR23" s="720"/>
      <c r="GJS23" s="720"/>
      <c r="GJT23" s="720"/>
      <c r="GJU23" s="720"/>
      <c r="GJV23" s="720"/>
      <c r="GJW23" s="720"/>
      <c r="GJX23" s="720"/>
      <c r="GJY23" s="720"/>
      <c r="GJZ23" s="720"/>
      <c r="GKA23" s="720"/>
      <c r="GKB23" s="720"/>
      <c r="GKC23" s="720"/>
      <c r="GKD23" s="720"/>
      <c r="GKE23" s="720"/>
      <c r="GKF23" s="720"/>
      <c r="GKG23" s="720"/>
      <c r="GKH23" s="720"/>
      <c r="GKI23" s="720"/>
      <c r="GKJ23" s="720"/>
      <c r="GKK23" s="720"/>
      <c r="GKL23" s="720"/>
      <c r="GKM23" s="720"/>
      <c r="GKN23" s="720"/>
      <c r="GKO23" s="720"/>
      <c r="GKP23" s="720"/>
      <c r="GKQ23" s="720"/>
      <c r="GKR23" s="720"/>
      <c r="GKS23" s="720"/>
      <c r="GKT23" s="720"/>
      <c r="GKU23" s="720"/>
      <c r="GKV23" s="720"/>
      <c r="GKW23" s="720"/>
      <c r="GKX23" s="720"/>
      <c r="GKY23" s="720"/>
      <c r="GKZ23" s="720"/>
      <c r="GLA23" s="720"/>
      <c r="GLB23" s="720"/>
      <c r="GLC23" s="720"/>
      <c r="GLD23" s="720"/>
      <c r="GLE23" s="720"/>
      <c r="GLF23" s="720"/>
      <c r="GLG23" s="720"/>
      <c r="GLH23" s="720"/>
      <c r="GLI23" s="720"/>
      <c r="GLJ23" s="720"/>
      <c r="GLK23" s="720"/>
      <c r="GLL23" s="720"/>
      <c r="GLM23" s="720"/>
      <c r="GLN23" s="720"/>
      <c r="GLO23" s="720"/>
      <c r="GLP23" s="720"/>
      <c r="GLQ23" s="720"/>
      <c r="GLR23" s="720"/>
      <c r="GLS23" s="720"/>
      <c r="GLT23" s="720"/>
      <c r="GLU23" s="720"/>
      <c r="GLV23" s="720"/>
      <c r="GLW23" s="720"/>
      <c r="GLX23" s="720"/>
      <c r="GLY23" s="720"/>
      <c r="GLZ23" s="720"/>
      <c r="GMA23" s="720"/>
      <c r="GMB23" s="720"/>
      <c r="GMC23" s="720"/>
      <c r="GMD23" s="720"/>
      <c r="GME23" s="720"/>
      <c r="GMF23" s="720"/>
      <c r="GMG23" s="720"/>
      <c r="GMH23" s="720"/>
      <c r="GMI23" s="720"/>
      <c r="GMJ23" s="720"/>
      <c r="GMK23" s="720"/>
      <c r="GML23" s="720"/>
      <c r="GMM23" s="720"/>
      <c r="GMN23" s="720"/>
      <c r="GMO23" s="720"/>
      <c r="GMP23" s="720"/>
      <c r="GMQ23" s="720"/>
      <c r="GMR23" s="720"/>
      <c r="GMS23" s="720"/>
      <c r="GMT23" s="720"/>
      <c r="GMU23" s="720"/>
      <c r="GMV23" s="720"/>
      <c r="GMW23" s="720"/>
      <c r="GMX23" s="720"/>
      <c r="GMY23" s="720"/>
      <c r="GMZ23" s="720"/>
      <c r="GNA23" s="720"/>
      <c r="GNB23" s="720"/>
      <c r="GNC23" s="720"/>
      <c r="GND23" s="720"/>
      <c r="GNE23" s="720"/>
      <c r="GNF23" s="720"/>
      <c r="GNG23" s="720"/>
      <c r="GNH23" s="720"/>
      <c r="GNI23" s="720"/>
      <c r="GNJ23" s="720"/>
      <c r="GNK23" s="720"/>
      <c r="GNL23" s="720"/>
      <c r="GNM23" s="720"/>
      <c r="GNN23" s="720"/>
      <c r="GNO23" s="720"/>
      <c r="GNP23" s="720"/>
      <c r="GNQ23" s="720"/>
      <c r="GNR23" s="720"/>
      <c r="GNS23" s="720"/>
      <c r="GNT23" s="720"/>
      <c r="GNU23" s="720"/>
      <c r="GNV23" s="720"/>
      <c r="GNW23" s="720"/>
      <c r="GNX23" s="720"/>
      <c r="GNY23" s="720"/>
      <c r="GNZ23" s="720"/>
      <c r="GOA23" s="720"/>
      <c r="GOB23" s="720"/>
      <c r="GOC23" s="720"/>
      <c r="GOD23" s="720"/>
      <c r="GOE23" s="720"/>
      <c r="GOF23" s="720"/>
      <c r="GOG23" s="720"/>
      <c r="GOH23" s="720"/>
      <c r="GOI23" s="720"/>
      <c r="GOJ23" s="720"/>
      <c r="GOK23" s="720"/>
      <c r="GOL23" s="720"/>
      <c r="GOM23" s="720"/>
      <c r="GON23" s="720"/>
      <c r="GOO23" s="720"/>
      <c r="GOP23" s="720"/>
      <c r="GOQ23" s="720"/>
      <c r="GOR23" s="720"/>
      <c r="GOS23" s="720"/>
      <c r="GOT23" s="720"/>
      <c r="GOU23" s="720"/>
      <c r="GOV23" s="720"/>
      <c r="GOW23" s="720"/>
      <c r="GOX23" s="720"/>
      <c r="GOY23" s="720"/>
      <c r="GOZ23" s="720"/>
      <c r="GPA23" s="720"/>
      <c r="GPB23" s="720"/>
      <c r="GPC23" s="720"/>
      <c r="GPD23" s="720"/>
      <c r="GPE23" s="720"/>
      <c r="GPF23" s="720"/>
      <c r="GPG23" s="720"/>
      <c r="GPH23" s="720"/>
      <c r="GPI23" s="720"/>
      <c r="GPJ23" s="720"/>
      <c r="GPK23" s="720"/>
      <c r="GPL23" s="720"/>
      <c r="GPM23" s="720"/>
      <c r="GPN23" s="720"/>
      <c r="GPO23" s="720"/>
      <c r="GPP23" s="720"/>
      <c r="GPQ23" s="720"/>
      <c r="GPR23" s="720"/>
      <c r="GPS23" s="720"/>
      <c r="GPT23" s="720"/>
      <c r="GPU23" s="720"/>
      <c r="GPV23" s="720"/>
      <c r="GPW23" s="720"/>
      <c r="GPX23" s="720"/>
      <c r="GPY23" s="720"/>
      <c r="GPZ23" s="720"/>
      <c r="GQA23" s="720"/>
      <c r="GQB23" s="720"/>
      <c r="GQC23" s="720"/>
      <c r="GQD23" s="720"/>
      <c r="GQE23" s="720"/>
      <c r="GQF23" s="720"/>
      <c r="GQG23" s="720"/>
      <c r="GQH23" s="720"/>
      <c r="GQI23" s="720"/>
      <c r="GQJ23" s="720"/>
      <c r="GQK23" s="720"/>
      <c r="GQL23" s="720"/>
      <c r="GQM23" s="720"/>
      <c r="GQN23" s="720"/>
      <c r="GQO23" s="720"/>
      <c r="GQP23" s="720"/>
      <c r="GQQ23" s="720"/>
      <c r="GQR23" s="720"/>
      <c r="GQS23" s="720"/>
      <c r="GQT23" s="720"/>
      <c r="GQU23" s="720"/>
      <c r="GQV23" s="720"/>
      <c r="GQW23" s="720"/>
      <c r="GQX23" s="720"/>
      <c r="GQY23" s="720"/>
      <c r="GQZ23" s="720"/>
      <c r="GRA23" s="720"/>
      <c r="GRB23" s="720"/>
      <c r="GRC23" s="720"/>
      <c r="GRD23" s="720"/>
      <c r="GRE23" s="720"/>
      <c r="GRF23" s="720"/>
      <c r="GRG23" s="720"/>
      <c r="GRH23" s="720"/>
      <c r="GRI23" s="720"/>
      <c r="GRJ23" s="720"/>
      <c r="GRK23" s="720"/>
      <c r="GRL23" s="720"/>
      <c r="GRM23" s="720"/>
      <c r="GRN23" s="720"/>
      <c r="GRO23" s="720"/>
      <c r="GRP23" s="720"/>
      <c r="GRQ23" s="720"/>
      <c r="GRR23" s="720"/>
      <c r="GRS23" s="720"/>
      <c r="GRT23" s="720"/>
      <c r="GRU23" s="720"/>
      <c r="GRV23" s="720"/>
      <c r="GRW23" s="720"/>
      <c r="GRX23" s="720"/>
      <c r="GRY23" s="720"/>
      <c r="GRZ23" s="720"/>
      <c r="GSA23" s="720"/>
      <c r="GSB23" s="720"/>
      <c r="GSC23" s="720"/>
      <c r="GSD23" s="720"/>
      <c r="GSE23" s="720"/>
      <c r="GSF23" s="720"/>
      <c r="GSG23" s="720"/>
      <c r="GSH23" s="720"/>
      <c r="GSI23" s="720"/>
      <c r="GSJ23" s="720"/>
      <c r="GSK23" s="720"/>
      <c r="GSL23" s="720"/>
      <c r="GSM23" s="720"/>
      <c r="GSN23" s="720"/>
      <c r="GSO23" s="720"/>
      <c r="GSP23" s="720"/>
      <c r="GSQ23" s="720"/>
      <c r="GSR23" s="720"/>
      <c r="GSS23" s="720"/>
      <c r="GST23" s="720"/>
      <c r="GSU23" s="720"/>
      <c r="GSV23" s="720"/>
      <c r="GSW23" s="720"/>
      <c r="GSX23" s="720"/>
      <c r="GSY23" s="720"/>
      <c r="GSZ23" s="720"/>
      <c r="GTA23" s="720"/>
      <c r="GTB23" s="720"/>
      <c r="GTC23" s="720"/>
      <c r="GTD23" s="720"/>
      <c r="GTE23" s="720"/>
      <c r="GTF23" s="720"/>
      <c r="GTG23" s="720"/>
      <c r="GTH23" s="720"/>
      <c r="GTI23" s="720"/>
      <c r="GTJ23" s="720"/>
      <c r="GTK23" s="720"/>
      <c r="GTL23" s="720"/>
      <c r="GTM23" s="720"/>
      <c r="GTN23" s="720"/>
      <c r="GTO23" s="720"/>
      <c r="GTP23" s="720"/>
      <c r="GTQ23" s="720"/>
      <c r="GTR23" s="720"/>
      <c r="GTS23" s="720"/>
      <c r="GTT23" s="720"/>
      <c r="GTU23" s="720"/>
      <c r="GTV23" s="720"/>
      <c r="GTW23" s="720"/>
      <c r="GTX23" s="720"/>
      <c r="GTY23" s="720"/>
      <c r="GTZ23" s="720"/>
      <c r="GUA23" s="720"/>
      <c r="GUB23" s="720"/>
      <c r="GUC23" s="720"/>
      <c r="GUD23" s="720"/>
      <c r="GUE23" s="720"/>
      <c r="GUF23" s="720"/>
      <c r="GUG23" s="720"/>
      <c r="GUH23" s="720"/>
      <c r="GUI23" s="720"/>
      <c r="GUJ23" s="720"/>
      <c r="GUK23" s="720"/>
      <c r="GUL23" s="720"/>
      <c r="GUM23" s="720"/>
      <c r="GUN23" s="720"/>
      <c r="GUO23" s="720"/>
      <c r="GUP23" s="720"/>
      <c r="GUQ23" s="720"/>
      <c r="GUR23" s="720"/>
      <c r="GUS23" s="720"/>
      <c r="GUT23" s="720"/>
      <c r="GUU23" s="720"/>
      <c r="GUV23" s="720"/>
      <c r="GUW23" s="720"/>
      <c r="GUX23" s="720"/>
      <c r="GUY23" s="720"/>
      <c r="GUZ23" s="720"/>
      <c r="GVA23" s="720"/>
      <c r="GVB23" s="720"/>
      <c r="GVC23" s="720"/>
      <c r="GVD23" s="720"/>
      <c r="GVE23" s="720"/>
      <c r="GVF23" s="720"/>
      <c r="GVG23" s="720"/>
      <c r="GVH23" s="720"/>
      <c r="GVI23" s="720"/>
      <c r="GVJ23" s="720"/>
      <c r="GVK23" s="720"/>
      <c r="GVL23" s="720"/>
      <c r="GVM23" s="720"/>
      <c r="GVN23" s="720"/>
      <c r="GVO23" s="720"/>
      <c r="GVP23" s="720"/>
      <c r="GVQ23" s="720"/>
      <c r="GVR23" s="720"/>
      <c r="GVS23" s="720"/>
      <c r="GVT23" s="720"/>
      <c r="GVU23" s="720"/>
      <c r="GVV23" s="720"/>
      <c r="GVW23" s="720"/>
      <c r="GVX23" s="720"/>
      <c r="GVY23" s="720"/>
      <c r="GVZ23" s="720"/>
      <c r="GWA23" s="720"/>
      <c r="GWB23" s="720"/>
      <c r="GWC23" s="720"/>
      <c r="GWD23" s="720"/>
      <c r="GWE23" s="720"/>
      <c r="GWF23" s="720"/>
      <c r="GWG23" s="720"/>
      <c r="GWH23" s="720"/>
      <c r="GWI23" s="720"/>
      <c r="GWJ23" s="720"/>
      <c r="GWK23" s="720"/>
      <c r="GWL23" s="720"/>
      <c r="GWM23" s="720"/>
      <c r="GWN23" s="720"/>
      <c r="GWO23" s="720"/>
      <c r="GWP23" s="720"/>
      <c r="GWQ23" s="720"/>
      <c r="GWR23" s="720"/>
      <c r="GWS23" s="720"/>
      <c r="GWT23" s="720"/>
      <c r="GWU23" s="720"/>
      <c r="GWV23" s="720"/>
      <c r="GWW23" s="720"/>
      <c r="GWX23" s="720"/>
      <c r="GWY23" s="720"/>
      <c r="GWZ23" s="720"/>
      <c r="GXA23" s="720"/>
      <c r="GXB23" s="720"/>
      <c r="GXC23" s="720"/>
      <c r="GXD23" s="720"/>
      <c r="GXE23" s="720"/>
      <c r="GXF23" s="720"/>
      <c r="GXG23" s="720"/>
      <c r="GXH23" s="720"/>
      <c r="GXI23" s="720"/>
      <c r="GXJ23" s="720"/>
      <c r="GXK23" s="720"/>
      <c r="GXL23" s="720"/>
      <c r="GXM23" s="720"/>
      <c r="GXN23" s="720"/>
      <c r="GXO23" s="720"/>
      <c r="GXP23" s="720"/>
      <c r="GXQ23" s="720"/>
      <c r="GXR23" s="720"/>
      <c r="GXS23" s="720"/>
      <c r="GXT23" s="720"/>
      <c r="GXU23" s="720"/>
      <c r="GXV23" s="720"/>
      <c r="GXW23" s="720"/>
      <c r="GXX23" s="720"/>
      <c r="GXY23" s="720"/>
      <c r="GXZ23" s="720"/>
      <c r="GYA23" s="720"/>
      <c r="GYB23" s="720"/>
      <c r="GYC23" s="720"/>
      <c r="GYD23" s="720"/>
      <c r="GYE23" s="720"/>
      <c r="GYF23" s="720"/>
      <c r="GYG23" s="720"/>
      <c r="GYH23" s="720"/>
      <c r="GYI23" s="720"/>
      <c r="GYJ23" s="720"/>
      <c r="GYK23" s="720"/>
      <c r="GYL23" s="720"/>
      <c r="GYM23" s="720"/>
      <c r="GYN23" s="720"/>
      <c r="GYO23" s="720"/>
      <c r="GYP23" s="720"/>
      <c r="GYQ23" s="720"/>
      <c r="GYR23" s="720"/>
      <c r="GYS23" s="720"/>
      <c r="GYT23" s="720"/>
      <c r="GYU23" s="720"/>
      <c r="GYV23" s="720"/>
      <c r="GYW23" s="720"/>
      <c r="GYX23" s="720"/>
      <c r="GYY23" s="720"/>
      <c r="GYZ23" s="720"/>
      <c r="GZA23" s="720"/>
      <c r="GZB23" s="720"/>
      <c r="GZC23" s="720"/>
      <c r="GZD23" s="720"/>
      <c r="GZE23" s="720"/>
      <c r="GZF23" s="720"/>
      <c r="GZG23" s="720"/>
      <c r="GZH23" s="720"/>
      <c r="GZI23" s="720"/>
      <c r="GZJ23" s="720"/>
      <c r="GZK23" s="720"/>
      <c r="GZL23" s="720"/>
      <c r="GZM23" s="720"/>
      <c r="GZN23" s="720"/>
      <c r="GZO23" s="720"/>
      <c r="GZP23" s="720"/>
      <c r="GZQ23" s="720"/>
      <c r="GZR23" s="720"/>
      <c r="GZS23" s="720"/>
      <c r="GZT23" s="720"/>
      <c r="GZU23" s="720"/>
      <c r="GZV23" s="720"/>
      <c r="GZW23" s="720"/>
      <c r="GZX23" s="720"/>
      <c r="GZY23" s="720"/>
      <c r="GZZ23" s="720"/>
      <c r="HAA23" s="720"/>
      <c r="HAB23" s="720"/>
      <c r="HAC23" s="720"/>
      <c r="HAD23" s="720"/>
      <c r="HAE23" s="720"/>
      <c r="HAF23" s="720"/>
      <c r="HAG23" s="720"/>
      <c r="HAH23" s="720"/>
      <c r="HAI23" s="720"/>
      <c r="HAJ23" s="720"/>
      <c r="HAK23" s="720"/>
      <c r="HAL23" s="720"/>
      <c r="HAM23" s="720"/>
      <c r="HAN23" s="720"/>
      <c r="HAO23" s="720"/>
      <c r="HAP23" s="720"/>
      <c r="HAQ23" s="720"/>
      <c r="HAR23" s="720"/>
      <c r="HAS23" s="720"/>
      <c r="HAT23" s="720"/>
      <c r="HAU23" s="720"/>
      <c r="HAV23" s="720"/>
      <c r="HAW23" s="720"/>
      <c r="HAX23" s="720"/>
      <c r="HAY23" s="720"/>
      <c r="HAZ23" s="720"/>
      <c r="HBA23" s="720"/>
      <c r="HBB23" s="720"/>
      <c r="HBC23" s="720"/>
      <c r="HBD23" s="720"/>
      <c r="HBE23" s="720"/>
      <c r="HBF23" s="720"/>
      <c r="HBG23" s="720"/>
      <c r="HBH23" s="720"/>
      <c r="HBI23" s="720"/>
      <c r="HBJ23" s="720"/>
      <c r="HBK23" s="720"/>
      <c r="HBL23" s="720"/>
      <c r="HBM23" s="720"/>
      <c r="HBN23" s="720"/>
      <c r="HBO23" s="720"/>
      <c r="HBP23" s="720"/>
      <c r="HBQ23" s="720"/>
      <c r="HBR23" s="720"/>
      <c r="HBS23" s="720"/>
      <c r="HBT23" s="720"/>
      <c r="HBU23" s="720"/>
      <c r="HBV23" s="720"/>
      <c r="HBW23" s="720"/>
      <c r="HBX23" s="720"/>
      <c r="HBY23" s="720"/>
      <c r="HBZ23" s="720"/>
      <c r="HCA23" s="720"/>
      <c r="HCB23" s="720"/>
      <c r="HCC23" s="720"/>
      <c r="HCD23" s="720"/>
      <c r="HCE23" s="720"/>
      <c r="HCF23" s="720"/>
      <c r="HCG23" s="720"/>
      <c r="HCH23" s="720"/>
      <c r="HCI23" s="720"/>
      <c r="HCJ23" s="720"/>
      <c r="HCK23" s="720"/>
      <c r="HCL23" s="720"/>
      <c r="HCM23" s="720"/>
      <c r="HCN23" s="720"/>
      <c r="HCO23" s="720"/>
      <c r="HCP23" s="720"/>
      <c r="HCQ23" s="720"/>
      <c r="HCR23" s="720"/>
      <c r="HCS23" s="720"/>
      <c r="HCT23" s="720"/>
      <c r="HCU23" s="720"/>
      <c r="HCV23" s="720"/>
      <c r="HCW23" s="720"/>
      <c r="HCX23" s="720"/>
      <c r="HCY23" s="720"/>
      <c r="HCZ23" s="720"/>
      <c r="HDA23" s="720"/>
      <c r="HDB23" s="720"/>
      <c r="HDC23" s="720"/>
      <c r="HDD23" s="720"/>
      <c r="HDE23" s="720"/>
      <c r="HDF23" s="720"/>
      <c r="HDG23" s="720"/>
      <c r="HDH23" s="720"/>
      <c r="HDI23" s="720"/>
      <c r="HDJ23" s="720"/>
      <c r="HDK23" s="720"/>
      <c r="HDL23" s="720"/>
      <c r="HDM23" s="720"/>
      <c r="HDN23" s="720"/>
      <c r="HDO23" s="720"/>
      <c r="HDP23" s="720"/>
      <c r="HDQ23" s="720"/>
      <c r="HDR23" s="720"/>
      <c r="HDS23" s="720"/>
      <c r="HDT23" s="720"/>
      <c r="HDU23" s="720"/>
      <c r="HDV23" s="720"/>
      <c r="HDW23" s="720"/>
      <c r="HDX23" s="720"/>
      <c r="HDY23" s="720"/>
      <c r="HDZ23" s="720"/>
      <c r="HEA23" s="720"/>
      <c r="HEB23" s="720"/>
      <c r="HEC23" s="720"/>
      <c r="HED23" s="720"/>
      <c r="HEE23" s="720"/>
      <c r="HEF23" s="720"/>
      <c r="HEG23" s="720"/>
      <c r="HEH23" s="720"/>
      <c r="HEI23" s="720"/>
      <c r="HEJ23" s="720"/>
      <c r="HEK23" s="720"/>
      <c r="HEL23" s="720"/>
      <c r="HEM23" s="720"/>
      <c r="HEN23" s="720"/>
      <c r="HEO23" s="720"/>
      <c r="HEP23" s="720"/>
      <c r="HEQ23" s="720"/>
      <c r="HER23" s="720"/>
      <c r="HES23" s="720"/>
      <c r="HET23" s="720"/>
      <c r="HEU23" s="720"/>
      <c r="HEV23" s="720"/>
      <c r="HEW23" s="720"/>
      <c r="HEX23" s="720"/>
      <c r="HEY23" s="720"/>
      <c r="HEZ23" s="720"/>
      <c r="HFA23" s="720"/>
      <c r="HFB23" s="720"/>
      <c r="HFC23" s="720"/>
      <c r="HFD23" s="720"/>
      <c r="HFE23" s="720"/>
      <c r="HFF23" s="720"/>
      <c r="HFG23" s="720"/>
      <c r="HFH23" s="720"/>
      <c r="HFI23" s="720"/>
      <c r="HFJ23" s="720"/>
      <c r="HFK23" s="720"/>
      <c r="HFL23" s="720"/>
      <c r="HFM23" s="720"/>
      <c r="HFN23" s="720"/>
      <c r="HFO23" s="720"/>
      <c r="HFP23" s="720"/>
      <c r="HFQ23" s="720"/>
      <c r="HFR23" s="720"/>
      <c r="HFS23" s="720"/>
      <c r="HFT23" s="720"/>
      <c r="HFU23" s="720"/>
      <c r="HFV23" s="720"/>
      <c r="HFW23" s="720"/>
      <c r="HFX23" s="720"/>
      <c r="HFY23" s="720"/>
      <c r="HFZ23" s="720"/>
      <c r="HGA23" s="720"/>
      <c r="HGB23" s="720"/>
      <c r="HGC23" s="720"/>
      <c r="HGD23" s="720"/>
      <c r="HGE23" s="720"/>
      <c r="HGF23" s="720"/>
      <c r="HGG23" s="720"/>
      <c r="HGH23" s="720"/>
      <c r="HGI23" s="720"/>
      <c r="HGJ23" s="720"/>
      <c r="HGK23" s="720"/>
      <c r="HGL23" s="720"/>
      <c r="HGM23" s="720"/>
      <c r="HGN23" s="720"/>
      <c r="HGO23" s="720"/>
      <c r="HGP23" s="720"/>
      <c r="HGQ23" s="720"/>
      <c r="HGR23" s="720"/>
      <c r="HGS23" s="720"/>
      <c r="HGT23" s="720"/>
      <c r="HGU23" s="720"/>
      <c r="HGV23" s="720"/>
      <c r="HGW23" s="720"/>
      <c r="HGX23" s="720"/>
      <c r="HGY23" s="720"/>
      <c r="HGZ23" s="720"/>
      <c r="HHA23" s="720"/>
      <c r="HHB23" s="720"/>
      <c r="HHC23" s="720"/>
      <c r="HHD23" s="720"/>
      <c r="HHE23" s="720"/>
      <c r="HHF23" s="720"/>
      <c r="HHG23" s="720"/>
      <c r="HHH23" s="720"/>
      <c r="HHI23" s="720"/>
      <c r="HHJ23" s="720"/>
      <c r="HHK23" s="720"/>
      <c r="HHL23" s="720"/>
      <c r="HHM23" s="720"/>
      <c r="HHN23" s="720"/>
      <c r="HHO23" s="720"/>
      <c r="HHP23" s="720"/>
      <c r="HHQ23" s="720"/>
      <c r="HHR23" s="720"/>
      <c r="HHS23" s="720"/>
      <c r="HHT23" s="720"/>
      <c r="HHU23" s="720"/>
      <c r="HHV23" s="720"/>
      <c r="HHW23" s="720"/>
      <c r="HHX23" s="720"/>
      <c r="HHY23" s="720"/>
      <c r="HHZ23" s="720"/>
      <c r="HIA23" s="720"/>
      <c r="HIB23" s="720"/>
      <c r="HIC23" s="720"/>
      <c r="HID23" s="720"/>
      <c r="HIE23" s="720"/>
      <c r="HIF23" s="720"/>
      <c r="HIG23" s="720"/>
      <c r="HIH23" s="720"/>
      <c r="HII23" s="720"/>
      <c r="HIJ23" s="720"/>
      <c r="HIK23" s="720"/>
      <c r="HIL23" s="720"/>
      <c r="HIM23" s="720"/>
      <c r="HIN23" s="720"/>
      <c r="HIO23" s="720"/>
      <c r="HIP23" s="720"/>
      <c r="HIQ23" s="720"/>
      <c r="HIR23" s="720"/>
      <c r="HIS23" s="720"/>
      <c r="HIT23" s="720"/>
      <c r="HIU23" s="720"/>
      <c r="HIV23" s="720"/>
      <c r="HIW23" s="720"/>
      <c r="HIX23" s="720"/>
      <c r="HIY23" s="720"/>
      <c r="HIZ23" s="720"/>
      <c r="HJA23" s="720"/>
      <c r="HJB23" s="720"/>
      <c r="HJC23" s="720"/>
      <c r="HJD23" s="720"/>
      <c r="HJE23" s="720"/>
      <c r="HJF23" s="720"/>
      <c r="HJG23" s="720"/>
      <c r="HJH23" s="720"/>
      <c r="HJI23" s="720"/>
      <c r="HJJ23" s="720"/>
      <c r="HJK23" s="720"/>
      <c r="HJL23" s="720"/>
      <c r="HJM23" s="720"/>
      <c r="HJN23" s="720"/>
      <c r="HJO23" s="720"/>
      <c r="HJP23" s="720"/>
      <c r="HJQ23" s="720"/>
      <c r="HJR23" s="720"/>
      <c r="HJS23" s="720"/>
      <c r="HJT23" s="720"/>
      <c r="HJU23" s="720"/>
      <c r="HJV23" s="720"/>
      <c r="HJW23" s="720"/>
      <c r="HJX23" s="720"/>
      <c r="HJY23" s="720"/>
      <c r="HJZ23" s="720"/>
      <c r="HKA23" s="720"/>
      <c r="HKB23" s="720"/>
      <c r="HKC23" s="720"/>
      <c r="HKD23" s="720"/>
      <c r="HKE23" s="720"/>
      <c r="HKF23" s="720"/>
      <c r="HKG23" s="720"/>
      <c r="HKH23" s="720"/>
      <c r="HKI23" s="720"/>
      <c r="HKJ23" s="720"/>
      <c r="HKK23" s="720"/>
      <c r="HKL23" s="720"/>
      <c r="HKM23" s="720"/>
      <c r="HKN23" s="720"/>
      <c r="HKO23" s="720"/>
      <c r="HKP23" s="720"/>
      <c r="HKQ23" s="720"/>
      <c r="HKR23" s="720"/>
      <c r="HKS23" s="720"/>
      <c r="HKT23" s="720"/>
      <c r="HKU23" s="720"/>
      <c r="HKV23" s="720"/>
      <c r="HKW23" s="720"/>
      <c r="HKX23" s="720"/>
      <c r="HKY23" s="720"/>
      <c r="HKZ23" s="720"/>
      <c r="HLA23" s="720"/>
      <c r="HLB23" s="720"/>
      <c r="HLC23" s="720"/>
      <c r="HLD23" s="720"/>
      <c r="HLE23" s="720"/>
      <c r="HLF23" s="720"/>
      <c r="HLG23" s="720"/>
      <c r="HLH23" s="720"/>
      <c r="HLI23" s="720"/>
      <c r="HLJ23" s="720"/>
      <c r="HLK23" s="720"/>
      <c r="HLL23" s="720"/>
      <c r="HLM23" s="720"/>
      <c r="HLN23" s="720"/>
      <c r="HLO23" s="720"/>
      <c r="HLP23" s="720"/>
      <c r="HLQ23" s="720"/>
      <c r="HLR23" s="720"/>
      <c r="HLS23" s="720"/>
      <c r="HLT23" s="720"/>
      <c r="HLU23" s="720"/>
      <c r="HLV23" s="720"/>
      <c r="HLW23" s="720"/>
      <c r="HLX23" s="720"/>
      <c r="HLY23" s="720"/>
      <c r="HLZ23" s="720"/>
      <c r="HMA23" s="720"/>
      <c r="HMB23" s="720"/>
      <c r="HMC23" s="720"/>
      <c r="HMD23" s="720"/>
      <c r="HME23" s="720"/>
      <c r="HMF23" s="720"/>
      <c r="HMG23" s="720"/>
      <c r="HMH23" s="720"/>
      <c r="HMI23" s="720"/>
      <c r="HMJ23" s="720"/>
      <c r="HMK23" s="720"/>
      <c r="HML23" s="720"/>
      <c r="HMM23" s="720"/>
      <c r="HMN23" s="720"/>
      <c r="HMO23" s="720"/>
      <c r="HMP23" s="720"/>
      <c r="HMQ23" s="720"/>
      <c r="HMR23" s="720"/>
      <c r="HMS23" s="720"/>
      <c r="HMT23" s="720"/>
      <c r="HMU23" s="720"/>
      <c r="HMV23" s="720"/>
      <c r="HMW23" s="720"/>
      <c r="HMX23" s="720"/>
      <c r="HMY23" s="720"/>
      <c r="HMZ23" s="720"/>
      <c r="HNA23" s="720"/>
      <c r="HNB23" s="720"/>
      <c r="HNC23" s="720"/>
      <c r="HND23" s="720"/>
      <c r="HNE23" s="720"/>
      <c r="HNF23" s="720"/>
      <c r="HNG23" s="720"/>
      <c r="HNH23" s="720"/>
      <c r="HNI23" s="720"/>
      <c r="HNJ23" s="720"/>
      <c r="HNK23" s="720"/>
      <c r="HNL23" s="720"/>
      <c r="HNM23" s="720"/>
      <c r="HNN23" s="720"/>
      <c r="HNO23" s="720"/>
      <c r="HNP23" s="720"/>
      <c r="HNQ23" s="720"/>
      <c r="HNR23" s="720"/>
      <c r="HNS23" s="720"/>
      <c r="HNT23" s="720"/>
      <c r="HNU23" s="720"/>
      <c r="HNV23" s="720"/>
      <c r="HNW23" s="720"/>
      <c r="HNX23" s="720"/>
      <c r="HNY23" s="720"/>
      <c r="HNZ23" s="720"/>
      <c r="HOA23" s="720"/>
      <c r="HOB23" s="720"/>
      <c r="HOC23" s="720"/>
      <c r="HOD23" s="720"/>
      <c r="HOE23" s="720"/>
      <c r="HOF23" s="720"/>
      <c r="HOG23" s="720"/>
      <c r="HOH23" s="720"/>
      <c r="HOI23" s="720"/>
      <c r="HOJ23" s="720"/>
      <c r="HOK23" s="720"/>
      <c r="HOL23" s="720"/>
      <c r="HOM23" s="720"/>
      <c r="HON23" s="720"/>
      <c r="HOO23" s="720"/>
      <c r="HOP23" s="720"/>
      <c r="HOQ23" s="720"/>
      <c r="HOR23" s="720"/>
      <c r="HOS23" s="720"/>
      <c r="HOT23" s="720"/>
      <c r="HOU23" s="720"/>
      <c r="HOV23" s="720"/>
      <c r="HOW23" s="720"/>
      <c r="HOX23" s="720"/>
      <c r="HOY23" s="720"/>
      <c r="HOZ23" s="720"/>
      <c r="HPA23" s="720"/>
      <c r="HPB23" s="720"/>
      <c r="HPC23" s="720"/>
      <c r="HPD23" s="720"/>
      <c r="HPE23" s="720"/>
      <c r="HPF23" s="720"/>
      <c r="HPG23" s="720"/>
      <c r="HPH23" s="720"/>
      <c r="HPI23" s="720"/>
      <c r="HPJ23" s="720"/>
      <c r="HPK23" s="720"/>
      <c r="HPL23" s="720"/>
      <c r="HPM23" s="720"/>
      <c r="HPN23" s="720"/>
      <c r="HPO23" s="720"/>
      <c r="HPP23" s="720"/>
      <c r="HPQ23" s="720"/>
      <c r="HPR23" s="720"/>
      <c r="HPS23" s="720"/>
      <c r="HPT23" s="720"/>
      <c r="HPU23" s="720"/>
      <c r="HPV23" s="720"/>
      <c r="HPW23" s="720"/>
      <c r="HPX23" s="720"/>
      <c r="HPY23" s="720"/>
      <c r="HPZ23" s="720"/>
      <c r="HQA23" s="720"/>
      <c r="HQB23" s="720"/>
      <c r="HQC23" s="720"/>
      <c r="HQD23" s="720"/>
      <c r="HQE23" s="720"/>
      <c r="HQF23" s="720"/>
      <c r="HQG23" s="720"/>
      <c r="HQH23" s="720"/>
      <c r="HQI23" s="720"/>
      <c r="HQJ23" s="720"/>
      <c r="HQK23" s="720"/>
      <c r="HQL23" s="720"/>
      <c r="HQM23" s="720"/>
      <c r="HQN23" s="720"/>
      <c r="HQO23" s="720"/>
      <c r="HQP23" s="720"/>
      <c r="HQQ23" s="720"/>
      <c r="HQR23" s="720"/>
      <c r="HQS23" s="720"/>
      <c r="HQT23" s="720"/>
      <c r="HQU23" s="720"/>
      <c r="HQV23" s="720"/>
      <c r="HQW23" s="720"/>
      <c r="HQX23" s="720"/>
      <c r="HQY23" s="720"/>
      <c r="HQZ23" s="720"/>
      <c r="HRA23" s="720"/>
      <c r="HRB23" s="720"/>
      <c r="HRC23" s="720"/>
      <c r="HRD23" s="720"/>
      <c r="HRE23" s="720"/>
      <c r="HRF23" s="720"/>
      <c r="HRG23" s="720"/>
      <c r="HRH23" s="720"/>
      <c r="HRI23" s="720"/>
      <c r="HRJ23" s="720"/>
      <c r="HRK23" s="720"/>
      <c r="HRL23" s="720"/>
      <c r="HRM23" s="720"/>
      <c r="HRN23" s="720"/>
      <c r="HRO23" s="720"/>
      <c r="HRP23" s="720"/>
      <c r="HRQ23" s="720"/>
      <c r="HRR23" s="720"/>
      <c r="HRS23" s="720"/>
      <c r="HRT23" s="720"/>
      <c r="HRU23" s="720"/>
      <c r="HRV23" s="720"/>
      <c r="HRW23" s="720"/>
      <c r="HRX23" s="720"/>
      <c r="HRY23" s="720"/>
      <c r="HRZ23" s="720"/>
      <c r="HSA23" s="720"/>
      <c r="HSB23" s="720"/>
      <c r="HSC23" s="720"/>
      <c r="HSD23" s="720"/>
      <c r="HSE23" s="720"/>
      <c r="HSF23" s="720"/>
      <c r="HSG23" s="720"/>
      <c r="HSH23" s="720"/>
      <c r="HSI23" s="720"/>
      <c r="HSJ23" s="720"/>
      <c r="HSK23" s="720"/>
      <c r="HSL23" s="720"/>
      <c r="HSM23" s="720"/>
      <c r="HSN23" s="720"/>
      <c r="HSO23" s="720"/>
      <c r="HSP23" s="720"/>
      <c r="HSQ23" s="720"/>
      <c r="HSR23" s="720"/>
      <c r="HSS23" s="720"/>
      <c r="HST23" s="720"/>
      <c r="HSU23" s="720"/>
      <c r="HSV23" s="720"/>
      <c r="HSW23" s="720"/>
      <c r="HSX23" s="720"/>
      <c r="HSY23" s="720"/>
      <c r="HSZ23" s="720"/>
      <c r="HTA23" s="720"/>
      <c r="HTB23" s="720"/>
      <c r="HTC23" s="720"/>
      <c r="HTD23" s="720"/>
      <c r="HTE23" s="720"/>
      <c r="HTF23" s="720"/>
      <c r="HTG23" s="720"/>
      <c r="HTH23" s="720"/>
      <c r="HTI23" s="720"/>
      <c r="HTJ23" s="720"/>
      <c r="HTK23" s="720"/>
      <c r="HTL23" s="720"/>
      <c r="HTM23" s="720"/>
      <c r="HTN23" s="720"/>
      <c r="HTO23" s="720"/>
      <c r="HTP23" s="720"/>
      <c r="HTQ23" s="720"/>
      <c r="HTR23" s="720"/>
      <c r="HTS23" s="720"/>
      <c r="HTT23" s="720"/>
      <c r="HTU23" s="720"/>
      <c r="HTV23" s="720"/>
      <c r="HTW23" s="720"/>
      <c r="HTX23" s="720"/>
      <c r="HTY23" s="720"/>
      <c r="HTZ23" s="720"/>
      <c r="HUA23" s="720"/>
      <c r="HUB23" s="720"/>
      <c r="HUC23" s="720"/>
      <c r="HUD23" s="720"/>
      <c r="HUE23" s="720"/>
      <c r="HUF23" s="720"/>
      <c r="HUG23" s="720"/>
      <c r="HUH23" s="720"/>
      <c r="HUI23" s="720"/>
      <c r="HUJ23" s="720"/>
      <c r="HUK23" s="720"/>
      <c r="HUL23" s="720"/>
      <c r="HUM23" s="720"/>
      <c r="HUN23" s="720"/>
      <c r="HUO23" s="720"/>
      <c r="HUP23" s="720"/>
      <c r="HUQ23" s="720"/>
      <c r="HUR23" s="720"/>
      <c r="HUS23" s="720"/>
      <c r="HUT23" s="720"/>
      <c r="HUU23" s="720"/>
      <c r="HUV23" s="720"/>
      <c r="HUW23" s="720"/>
      <c r="HUX23" s="720"/>
      <c r="HUY23" s="720"/>
      <c r="HUZ23" s="720"/>
      <c r="HVA23" s="720"/>
      <c r="HVB23" s="720"/>
      <c r="HVC23" s="720"/>
      <c r="HVD23" s="720"/>
      <c r="HVE23" s="720"/>
      <c r="HVF23" s="720"/>
      <c r="HVG23" s="720"/>
      <c r="HVH23" s="720"/>
      <c r="HVI23" s="720"/>
      <c r="HVJ23" s="720"/>
      <c r="HVK23" s="720"/>
      <c r="HVL23" s="720"/>
      <c r="HVM23" s="720"/>
      <c r="HVN23" s="720"/>
      <c r="HVO23" s="720"/>
      <c r="HVP23" s="720"/>
      <c r="HVQ23" s="720"/>
      <c r="HVR23" s="720"/>
      <c r="HVS23" s="720"/>
      <c r="HVT23" s="720"/>
      <c r="HVU23" s="720"/>
      <c r="HVV23" s="720"/>
      <c r="HVW23" s="720"/>
      <c r="HVX23" s="720"/>
      <c r="HVY23" s="720"/>
      <c r="HVZ23" s="720"/>
      <c r="HWA23" s="720"/>
      <c r="HWB23" s="720"/>
      <c r="HWC23" s="720"/>
      <c r="HWD23" s="720"/>
      <c r="HWE23" s="720"/>
      <c r="HWF23" s="720"/>
      <c r="HWG23" s="720"/>
      <c r="HWH23" s="720"/>
      <c r="HWI23" s="720"/>
      <c r="HWJ23" s="720"/>
      <c r="HWK23" s="720"/>
      <c r="HWL23" s="720"/>
      <c r="HWM23" s="720"/>
      <c r="HWN23" s="720"/>
      <c r="HWO23" s="720"/>
      <c r="HWP23" s="720"/>
      <c r="HWQ23" s="720"/>
      <c r="HWR23" s="720"/>
      <c r="HWS23" s="720"/>
      <c r="HWT23" s="720"/>
      <c r="HWU23" s="720"/>
      <c r="HWV23" s="720"/>
      <c r="HWW23" s="720"/>
      <c r="HWX23" s="720"/>
      <c r="HWY23" s="720"/>
      <c r="HWZ23" s="720"/>
      <c r="HXA23" s="720"/>
      <c r="HXB23" s="720"/>
      <c r="HXC23" s="720"/>
      <c r="HXD23" s="720"/>
      <c r="HXE23" s="720"/>
      <c r="HXF23" s="720"/>
      <c r="HXG23" s="720"/>
      <c r="HXH23" s="720"/>
      <c r="HXI23" s="720"/>
      <c r="HXJ23" s="720"/>
      <c r="HXK23" s="720"/>
      <c r="HXL23" s="720"/>
      <c r="HXM23" s="720"/>
      <c r="HXN23" s="720"/>
      <c r="HXO23" s="720"/>
      <c r="HXP23" s="720"/>
      <c r="HXQ23" s="720"/>
      <c r="HXR23" s="720"/>
      <c r="HXS23" s="720"/>
      <c r="HXT23" s="720"/>
      <c r="HXU23" s="720"/>
      <c r="HXV23" s="720"/>
      <c r="HXW23" s="720"/>
      <c r="HXX23" s="720"/>
      <c r="HXY23" s="720"/>
      <c r="HXZ23" s="720"/>
      <c r="HYA23" s="720"/>
      <c r="HYB23" s="720"/>
      <c r="HYC23" s="720"/>
      <c r="HYD23" s="720"/>
      <c r="HYE23" s="720"/>
      <c r="HYF23" s="720"/>
      <c r="HYG23" s="720"/>
      <c r="HYH23" s="720"/>
      <c r="HYI23" s="720"/>
      <c r="HYJ23" s="720"/>
      <c r="HYK23" s="720"/>
      <c r="HYL23" s="720"/>
      <c r="HYM23" s="720"/>
      <c r="HYN23" s="720"/>
      <c r="HYO23" s="720"/>
      <c r="HYP23" s="720"/>
      <c r="HYQ23" s="720"/>
      <c r="HYR23" s="720"/>
      <c r="HYS23" s="720"/>
      <c r="HYT23" s="720"/>
      <c r="HYU23" s="720"/>
      <c r="HYV23" s="720"/>
      <c r="HYW23" s="720"/>
      <c r="HYX23" s="720"/>
      <c r="HYY23" s="720"/>
      <c r="HYZ23" s="720"/>
      <c r="HZA23" s="720"/>
      <c r="HZB23" s="720"/>
      <c r="HZC23" s="720"/>
      <c r="HZD23" s="720"/>
      <c r="HZE23" s="720"/>
      <c r="HZF23" s="720"/>
      <c r="HZG23" s="720"/>
      <c r="HZH23" s="720"/>
      <c r="HZI23" s="720"/>
      <c r="HZJ23" s="720"/>
      <c r="HZK23" s="720"/>
      <c r="HZL23" s="720"/>
      <c r="HZM23" s="720"/>
      <c r="HZN23" s="720"/>
      <c r="HZO23" s="720"/>
      <c r="HZP23" s="720"/>
      <c r="HZQ23" s="720"/>
      <c r="HZR23" s="720"/>
      <c r="HZS23" s="720"/>
      <c r="HZT23" s="720"/>
      <c r="HZU23" s="720"/>
      <c r="HZV23" s="720"/>
      <c r="HZW23" s="720"/>
      <c r="HZX23" s="720"/>
      <c r="HZY23" s="720"/>
      <c r="HZZ23" s="720"/>
      <c r="IAA23" s="720"/>
      <c r="IAB23" s="720"/>
      <c r="IAC23" s="720"/>
      <c r="IAD23" s="720"/>
      <c r="IAE23" s="720"/>
      <c r="IAF23" s="720"/>
      <c r="IAG23" s="720"/>
      <c r="IAH23" s="720"/>
      <c r="IAI23" s="720"/>
      <c r="IAJ23" s="720"/>
      <c r="IAK23" s="720"/>
      <c r="IAL23" s="720"/>
      <c r="IAM23" s="720"/>
      <c r="IAN23" s="720"/>
      <c r="IAO23" s="720"/>
      <c r="IAP23" s="720"/>
      <c r="IAQ23" s="720"/>
      <c r="IAR23" s="720"/>
      <c r="IAS23" s="720"/>
      <c r="IAT23" s="720"/>
      <c r="IAU23" s="720"/>
      <c r="IAV23" s="720"/>
      <c r="IAW23" s="720"/>
      <c r="IAX23" s="720"/>
      <c r="IAY23" s="720"/>
      <c r="IAZ23" s="720"/>
      <c r="IBA23" s="720"/>
      <c r="IBB23" s="720"/>
      <c r="IBC23" s="720"/>
      <c r="IBD23" s="720"/>
      <c r="IBE23" s="720"/>
      <c r="IBF23" s="720"/>
      <c r="IBG23" s="720"/>
      <c r="IBH23" s="720"/>
      <c r="IBI23" s="720"/>
      <c r="IBJ23" s="720"/>
      <c r="IBK23" s="720"/>
      <c r="IBL23" s="720"/>
      <c r="IBM23" s="720"/>
      <c r="IBN23" s="720"/>
      <c r="IBO23" s="720"/>
      <c r="IBP23" s="720"/>
      <c r="IBQ23" s="720"/>
      <c r="IBR23" s="720"/>
      <c r="IBS23" s="720"/>
      <c r="IBT23" s="720"/>
      <c r="IBU23" s="720"/>
      <c r="IBV23" s="720"/>
      <c r="IBW23" s="720"/>
      <c r="IBX23" s="720"/>
      <c r="IBY23" s="720"/>
      <c r="IBZ23" s="720"/>
      <c r="ICA23" s="720"/>
      <c r="ICB23" s="720"/>
      <c r="ICC23" s="720"/>
      <c r="ICD23" s="720"/>
      <c r="ICE23" s="720"/>
      <c r="ICF23" s="720"/>
      <c r="ICG23" s="720"/>
      <c r="ICH23" s="720"/>
      <c r="ICI23" s="720"/>
      <c r="ICJ23" s="720"/>
      <c r="ICK23" s="720"/>
      <c r="ICL23" s="720"/>
      <c r="ICM23" s="720"/>
      <c r="ICN23" s="720"/>
      <c r="ICO23" s="720"/>
      <c r="ICP23" s="720"/>
      <c r="ICQ23" s="720"/>
      <c r="ICR23" s="720"/>
      <c r="ICS23" s="720"/>
      <c r="ICT23" s="720"/>
      <c r="ICU23" s="720"/>
      <c r="ICV23" s="720"/>
      <c r="ICW23" s="720"/>
      <c r="ICX23" s="720"/>
      <c r="ICY23" s="720"/>
      <c r="ICZ23" s="720"/>
      <c r="IDA23" s="720"/>
      <c r="IDB23" s="720"/>
      <c r="IDC23" s="720"/>
      <c r="IDD23" s="720"/>
      <c r="IDE23" s="720"/>
      <c r="IDF23" s="720"/>
      <c r="IDG23" s="720"/>
      <c r="IDH23" s="720"/>
      <c r="IDI23" s="720"/>
      <c r="IDJ23" s="720"/>
      <c r="IDK23" s="720"/>
      <c r="IDL23" s="720"/>
      <c r="IDM23" s="720"/>
      <c r="IDN23" s="720"/>
      <c r="IDO23" s="720"/>
      <c r="IDP23" s="720"/>
      <c r="IDQ23" s="720"/>
      <c r="IDR23" s="720"/>
      <c r="IDS23" s="720"/>
      <c r="IDT23" s="720"/>
      <c r="IDU23" s="720"/>
      <c r="IDV23" s="720"/>
      <c r="IDW23" s="720"/>
      <c r="IDX23" s="720"/>
      <c r="IDY23" s="720"/>
      <c r="IDZ23" s="720"/>
      <c r="IEA23" s="720"/>
      <c r="IEB23" s="720"/>
      <c r="IEC23" s="720"/>
      <c r="IED23" s="720"/>
      <c r="IEE23" s="720"/>
      <c r="IEF23" s="720"/>
      <c r="IEG23" s="720"/>
      <c r="IEH23" s="720"/>
      <c r="IEI23" s="720"/>
      <c r="IEJ23" s="720"/>
      <c r="IEK23" s="720"/>
      <c r="IEL23" s="720"/>
      <c r="IEM23" s="720"/>
      <c r="IEN23" s="720"/>
      <c r="IEO23" s="720"/>
      <c r="IEP23" s="720"/>
      <c r="IEQ23" s="720"/>
      <c r="IER23" s="720"/>
      <c r="IES23" s="720"/>
      <c r="IET23" s="720"/>
      <c r="IEU23" s="720"/>
      <c r="IEV23" s="720"/>
      <c r="IEW23" s="720"/>
      <c r="IEX23" s="720"/>
      <c r="IEY23" s="720"/>
      <c r="IEZ23" s="720"/>
      <c r="IFA23" s="720"/>
      <c r="IFB23" s="720"/>
      <c r="IFC23" s="720"/>
      <c r="IFD23" s="720"/>
      <c r="IFE23" s="720"/>
      <c r="IFF23" s="720"/>
      <c r="IFG23" s="720"/>
      <c r="IFH23" s="720"/>
      <c r="IFI23" s="720"/>
      <c r="IFJ23" s="720"/>
      <c r="IFK23" s="720"/>
      <c r="IFL23" s="720"/>
      <c r="IFM23" s="720"/>
      <c r="IFN23" s="720"/>
      <c r="IFO23" s="720"/>
      <c r="IFP23" s="720"/>
      <c r="IFQ23" s="720"/>
      <c r="IFR23" s="720"/>
      <c r="IFS23" s="720"/>
      <c r="IFT23" s="720"/>
      <c r="IFU23" s="720"/>
      <c r="IFV23" s="720"/>
      <c r="IFW23" s="720"/>
      <c r="IFX23" s="720"/>
      <c r="IFY23" s="720"/>
      <c r="IFZ23" s="720"/>
      <c r="IGA23" s="720"/>
      <c r="IGB23" s="720"/>
      <c r="IGC23" s="720"/>
      <c r="IGD23" s="720"/>
      <c r="IGE23" s="720"/>
      <c r="IGF23" s="720"/>
      <c r="IGG23" s="720"/>
      <c r="IGH23" s="720"/>
      <c r="IGI23" s="720"/>
      <c r="IGJ23" s="720"/>
      <c r="IGK23" s="720"/>
      <c r="IGL23" s="720"/>
      <c r="IGM23" s="720"/>
      <c r="IGN23" s="720"/>
      <c r="IGO23" s="720"/>
      <c r="IGP23" s="720"/>
      <c r="IGQ23" s="720"/>
      <c r="IGR23" s="720"/>
      <c r="IGS23" s="720"/>
      <c r="IGT23" s="720"/>
      <c r="IGU23" s="720"/>
      <c r="IGV23" s="720"/>
      <c r="IGW23" s="720"/>
      <c r="IGX23" s="720"/>
      <c r="IGY23" s="720"/>
      <c r="IGZ23" s="720"/>
      <c r="IHA23" s="720"/>
      <c r="IHB23" s="720"/>
      <c r="IHC23" s="720"/>
      <c r="IHD23" s="720"/>
      <c r="IHE23" s="720"/>
      <c r="IHF23" s="720"/>
      <c r="IHG23" s="720"/>
      <c r="IHH23" s="720"/>
      <c r="IHI23" s="720"/>
      <c r="IHJ23" s="720"/>
      <c r="IHK23" s="720"/>
      <c r="IHL23" s="720"/>
      <c r="IHM23" s="720"/>
      <c r="IHN23" s="720"/>
      <c r="IHO23" s="720"/>
      <c r="IHP23" s="720"/>
      <c r="IHQ23" s="720"/>
      <c r="IHR23" s="720"/>
      <c r="IHS23" s="720"/>
      <c r="IHT23" s="720"/>
      <c r="IHU23" s="720"/>
      <c r="IHV23" s="720"/>
      <c r="IHW23" s="720"/>
      <c r="IHX23" s="720"/>
      <c r="IHY23" s="720"/>
      <c r="IHZ23" s="720"/>
      <c r="IIA23" s="720"/>
      <c r="IIB23" s="720"/>
      <c r="IIC23" s="720"/>
      <c r="IID23" s="720"/>
      <c r="IIE23" s="720"/>
      <c r="IIF23" s="720"/>
      <c r="IIG23" s="720"/>
      <c r="IIH23" s="720"/>
      <c r="III23" s="720"/>
      <c r="IIJ23" s="720"/>
      <c r="IIK23" s="720"/>
      <c r="IIL23" s="720"/>
      <c r="IIM23" s="720"/>
      <c r="IIN23" s="720"/>
      <c r="IIO23" s="720"/>
      <c r="IIP23" s="720"/>
      <c r="IIQ23" s="720"/>
      <c r="IIR23" s="720"/>
      <c r="IIS23" s="720"/>
      <c r="IIT23" s="720"/>
      <c r="IIU23" s="720"/>
      <c r="IIV23" s="720"/>
      <c r="IIW23" s="720"/>
      <c r="IIX23" s="720"/>
      <c r="IIY23" s="720"/>
      <c r="IIZ23" s="720"/>
      <c r="IJA23" s="720"/>
      <c r="IJB23" s="720"/>
      <c r="IJC23" s="720"/>
      <c r="IJD23" s="720"/>
      <c r="IJE23" s="720"/>
      <c r="IJF23" s="720"/>
      <c r="IJG23" s="720"/>
      <c r="IJH23" s="720"/>
      <c r="IJI23" s="720"/>
      <c r="IJJ23" s="720"/>
      <c r="IJK23" s="720"/>
      <c r="IJL23" s="720"/>
      <c r="IJM23" s="720"/>
      <c r="IJN23" s="720"/>
      <c r="IJO23" s="720"/>
      <c r="IJP23" s="720"/>
      <c r="IJQ23" s="720"/>
      <c r="IJR23" s="720"/>
      <c r="IJS23" s="720"/>
      <c r="IJT23" s="720"/>
      <c r="IJU23" s="720"/>
      <c r="IJV23" s="720"/>
      <c r="IJW23" s="720"/>
      <c r="IJX23" s="720"/>
      <c r="IJY23" s="720"/>
      <c r="IJZ23" s="720"/>
      <c r="IKA23" s="720"/>
      <c r="IKB23" s="720"/>
      <c r="IKC23" s="720"/>
      <c r="IKD23" s="720"/>
      <c r="IKE23" s="720"/>
      <c r="IKF23" s="720"/>
      <c r="IKG23" s="720"/>
      <c r="IKH23" s="720"/>
      <c r="IKI23" s="720"/>
      <c r="IKJ23" s="720"/>
      <c r="IKK23" s="720"/>
      <c r="IKL23" s="720"/>
      <c r="IKM23" s="720"/>
      <c r="IKN23" s="720"/>
      <c r="IKO23" s="720"/>
      <c r="IKP23" s="720"/>
      <c r="IKQ23" s="720"/>
      <c r="IKR23" s="720"/>
      <c r="IKS23" s="720"/>
      <c r="IKT23" s="720"/>
      <c r="IKU23" s="720"/>
      <c r="IKV23" s="720"/>
      <c r="IKW23" s="720"/>
      <c r="IKX23" s="720"/>
      <c r="IKY23" s="720"/>
      <c r="IKZ23" s="720"/>
      <c r="ILA23" s="720"/>
      <c r="ILB23" s="720"/>
      <c r="ILC23" s="720"/>
      <c r="ILD23" s="720"/>
      <c r="ILE23" s="720"/>
      <c r="ILF23" s="720"/>
      <c r="ILG23" s="720"/>
      <c r="ILH23" s="720"/>
      <c r="ILI23" s="720"/>
      <c r="ILJ23" s="720"/>
      <c r="ILK23" s="720"/>
      <c r="ILL23" s="720"/>
      <c r="ILM23" s="720"/>
      <c r="ILN23" s="720"/>
      <c r="ILO23" s="720"/>
      <c r="ILP23" s="720"/>
      <c r="ILQ23" s="720"/>
      <c r="ILR23" s="720"/>
      <c r="ILS23" s="720"/>
      <c r="ILT23" s="720"/>
      <c r="ILU23" s="720"/>
      <c r="ILV23" s="720"/>
      <c r="ILW23" s="720"/>
      <c r="ILX23" s="720"/>
      <c r="ILY23" s="720"/>
      <c r="ILZ23" s="720"/>
      <c r="IMA23" s="720"/>
      <c r="IMB23" s="720"/>
      <c r="IMC23" s="720"/>
      <c r="IMD23" s="720"/>
      <c r="IME23" s="720"/>
      <c r="IMF23" s="720"/>
      <c r="IMG23" s="720"/>
      <c r="IMH23" s="720"/>
      <c r="IMI23" s="720"/>
      <c r="IMJ23" s="720"/>
      <c r="IMK23" s="720"/>
      <c r="IML23" s="720"/>
      <c r="IMM23" s="720"/>
      <c r="IMN23" s="720"/>
      <c r="IMO23" s="720"/>
      <c r="IMP23" s="720"/>
      <c r="IMQ23" s="720"/>
      <c r="IMR23" s="720"/>
      <c r="IMS23" s="720"/>
      <c r="IMT23" s="720"/>
      <c r="IMU23" s="720"/>
      <c r="IMV23" s="720"/>
      <c r="IMW23" s="720"/>
      <c r="IMX23" s="720"/>
      <c r="IMY23" s="720"/>
      <c r="IMZ23" s="720"/>
      <c r="INA23" s="720"/>
      <c r="INB23" s="720"/>
      <c r="INC23" s="720"/>
      <c r="IND23" s="720"/>
      <c r="INE23" s="720"/>
      <c r="INF23" s="720"/>
      <c r="ING23" s="720"/>
      <c r="INH23" s="720"/>
      <c r="INI23" s="720"/>
      <c r="INJ23" s="720"/>
      <c r="INK23" s="720"/>
      <c r="INL23" s="720"/>
      <c r="INM23" s="720"/>
      <c r="INN23" s="720"/>
      <c r="INO23" s="720"/>
      <c r="INP23" s="720"/>
      <c r="INQ23" s="720"/>
      <c r="INR23" s="720"/>
      <c r="INS23" s="720"/>
      <c r="INT23" s="720"/>
      <c r="INU23" s="720"/>
      <c r="INV23" s="720"/>
      <c r="INW23" s="720"/>
      <c r="INX23" s="720"/>
      <c r="INY23" s="720"/>
      <c r="INZ23" s="720"/>
      <c r="IOA23" s="720"/>
      <c r="IOB23" s="720"/>
      <c r="IOC23" s="720"/>
      <c r="IOD23" s="720"/>
      <c r="IOE23" s="720"/>
      <c r="IOF23" s="720"/>
      <c r="IOG23" s="720"/>
      <c r="IOH23" s="720"/>
      <c r="IOI23" s="720"/>
      <c r="IOJ23" s="720"/>
      <c r="IOK23" s="720"/>
      <c r="IOL23" s="720"/>
      <c r="IOM23" s="720"/>
      <c r="ION23" s="720"/>
      <c r="IOO23" s="720"/>
      <c r="IOP23" s="720"/>
      <c r="IOQ23" s="720"/>
      <c r="IOR23" s="720"/>
      <c r="IOS23" s="720"/>
      <c r="IOT23" s="720"/>
      <c r="IOU23" s="720"/>
      <c r="IOV23" s="720"/>
      <c r="IOW23" s="720"/>
      <c r="IOX23" s="720"/>
      <c r="IOY23" s="720"/>
      <c r="IOZ23" s="720"/>
      <c r="IPA23" s="720"/>
      <c r="IPB23" s="720"/>
      <c r="IPC23" s="720"/>
      <c r="IPD23" s="720"/>
      <c r="IPE23" s="720"/>
      <c r="IPF23" s="720"/>
      <c r="IPG23" s="720"/>
      <c r="IPH23" s="720"/>
      <c r="IPI23" s="720"/>
      <c r="IPJ23" s="720"/>
      <c r="IPK23" s="720"/>
      <c r="IPL23" s="720"/>
      <c r="IPM23" s="720"/>
      <c r="IPN23" s="720"/>
      <c r="IPO23" s="720"/>
      <c r="IPP23" s="720"/>
      <c r="IPQ23" s="720"/>
      <c r="IPR23" s="720"/>
      <c r="IPS23" s="720"/>
      <c r="IPT23" s="720"/>
      <c r="IPU23" s="720"/>
      <c r="IPV23" s="720"/>
      <c r="IPW23" s="720"/>
      <c r="IPX23" s="720"/>
      <c r="IPY23" s="720"/>
      <c r="IPZ23" s="720"/>
      <c r="IQA23" s="720"/>
      <c r="IQB23" s="720"/>
      <c r="IQC23" s="720"/>
      <c r="IQD23" s="720"/>
      <c r="IQE23" s="720"/>
      <c r="IQF23" s="720"/>
      <c r="IQG23" s="720"/>
      <c r="IQH23" s="720"/>
      <c r="IQI23" s="720"/>
      <c r="IQJ23" s="720"/>
      <c r="IQK23" s="720"/>
      <c r="IQL23" s="720"/>
      <c r="IQM23" s="720"/>
      <c r="IQN23" s="720"/>
      <c r="IQO23" s="720"/>
      <c r="IQP23" s="720"/>
      <c r="IQQ23" s="720"/>
      <c r="IQR23" s="720"/>
      <c r="IQS23" s="720"/>
      <c r="IQT23" s="720"/>
      <c r="IQU23" s="720"/>
      <c r="IQV23" s="720"/>
      <c r="IQW23" s="720"/>
      <c r="IQX23" s="720"/>
      <c r="IQY23" s="720"/>
      <c r="IQZ23" s="720"/>
      <c r="IRA23" s="720"/>
      <c r="IRB23" s="720"/>
      <c r="IRC23" s="720"/>
      <c r="IRD23" s="720"/>
      <c r="IRE23" s="720"/>
      <c r="IRF23" s="720"/>
      <c r="IRG23" s="720"/>
      <c r="IRH23" s="720"/>
      <c r="IRI23" s="720"/>
      <c r="IRJ23" s="720"/>
      <c r="IRK23" s="720"/>
      <c r="IRL23" s="720"/>
      <c r="IRM23" s="720"/>
      <c r="IRN23" s="720"/>
      <c r="IRO23" s="720"/>
      <c r="IRP23" s="720"/>
      <c r="IRQ23" s="720"/>
      <c r="IRR23" s="720"/>
      <c r="IRS23" s="720"/>
      <c r="IRT23" s="720"/>
      <c r="IRU23" s="720"/>
      <c r="IRV23" s="720"/>
      <c r="IRW23" s="720"/>
      <c r="IRX23" s="720"/>
      <c r="IRY23" s="720"/>
      <c r="IRZ23" s="720"/>
      <c r="ISA23" s="720"/>
      <c r="ISB23" s="720"/>
      <c r="ISC23" s="720"/>
      <c r="ISD23" s="720"/>
      <c r="ISE23" s="720"/>
      <c r="ISF23" s="720"/>
      <c r="ISG23" s="720"/>
      <c r="ISH23" s="720"/>
      <c r="ISI23" s="720"/>
      <c r="ISJ23" s="720"/>
      <c r="ISK23" s="720"/>
      <c r="ISL23" s="720"/>
      <c r="ISM23" s="720"/>
      <c r="ISN23" s="720"/>
      <c r="ISO23" s="720"/>
      <c r="ISP23" s="720"/>
      <c r="ISQ23" s="720"/>
      <c r="ISR23" s="720"/>
      <c r="ISS23" s="720"/>
      <c r="IST23" s="720"/>
      <c r="ISU23" s="720"/>
      <c r="ISV23" s="720"/>
      <c r="ISW23" s="720"/>
      <c r="ISX23" s="720"/>
      <c r="ISY23" s="720"/>
      <c r="ISZ23" s="720"/>
      <c r="ITA23" s="720"/>
      <c r="ITB23" s="720"/>
      <c r="ITC23" s="720"/>
      <c r="ITD23" s="720"/>
      <c r="ITE23" s="720"/>
      <c r="ITF23" s="720"/>
      <c r="ITG23" s="720"/>
      <c r="ITH23" s="720"/>
      <c r="ITI23" s="720"/>
      <c r="ITJ23" s="720"/>
      <c r="ITK23" s="720"/>
      <c r="ITL23" s="720"/>
      <c r="ITM23" s="720"/>
      <c r="ITN23" s="720"/>
      <c r="ITO23" s="720"/>
      <c r="ITP23" s="720"/>
      <c r="ITQ23" s="720"/>
      <c r="ITR23" s="720"/>
      <c r="ITS23" s="720"/>
      <c r="ITT23" s="720"/>
      <c r="ITU23" s="720"/>
      <c r="ITV23" s="720"/>
      <c r="ITW23" s="720"/>
      <c r="ITX23" s="720"/>
      <c r="ITY23" s="720"/>
      <c r="ITZ23" s="720"/>
      <c r="IUA23" s="720"/>
      <c r="IUB23" s="720"/>
      <c r="IUC23" s="720"/>
      <c r="IUD23" s="720"/>
      <c r="IUE23" s="720"/>
      <c r="IUF23" s="720"/>
      <c r="IUG23" s="720"/>
      <c r="IUH23" s="720"/>
      <c r="IUI23" s="720"/>
      <c r="IUJ23" s="720"/>
      <c r="IUK23" s="720"/>
      <c r="IUL23" s="720"/>
      <c r="IUM23" s="720"/>
      <c r="IUN23" s="720"/>
      <c r="IUO23" s="720"/>
      <c r="IUP23" s="720"/>
      <c r="IUQ23" s="720"/>
      <c r="IUR23" s="720"/>
      <c r="IUS23" s="720"/>
      <c r="IUT23" s="720"/>
      <c r="IUU23" s="720"/>
      <c r="IUV23" s="720"/>
      <c r="IUW23" s="720"/>
      <c r="IUX23" s="720"/>
      <c r="IUY23" s="720"/>
      <c r="IUZ23" s="720"/>
      <c r="IVA23" s="720"/>
      <c r="IVB23" s="720"/>
      <c r="IVC23" s="720"/>
      <c r="IVD23" s="720"/>
      <c r="IVE23" s="720"/>
      <c r="IVF23" s="720"/>
      <c r="IVG23" s="720"/>
      <c r="IVH23" s="720"/>
      <c r="IVI23" s="720"/>
      <c r="IVJ23" s="720"/>
      <c r="IVK23" s="720"/>
      <c r="IVL23" s="720"/>
      <c r="IVM23" s="720"/>
      <c r="IVN23" s="720"/>
      <c r="IVO23" s="720"/>
      <c r="IVP23" s="720"/>
      <c r="IVQ23" s="720"/>
      <c r="IVR23" s="720"/>
      <c r="IVS23" s="720"/>
      <c r="IVT23" s="720"/>
      <c r="IVU23" s="720"/>
      <c r="IVV23" s="720"/>
      <c r="IVW23" s="720"/>
      <c r="IVX23" s="720"/>
      <c r="IVY23" s="720"/>
      <c r="IVZ23" s="720"/>
      <c r="IWA23" s="720"/>
      <c r="IWB23" s="720"/>
      <c r="IWC23" s="720"/>
      <c r="IWD23" s="720"/>
      <c r="IWE23" s="720"/>
      <c r="IWF23" s="720"/>
      <c r="IWG23" s="720"/>
      <c r="IWH23" s="720"/>
      <c r="IWI23" s="720"/>
      <c r="IWJ23" s="720"/>
      <c r="IWK23" s="720"/>
      <c r="IWL23" s="720"/>
      <c r="IWM23" s="720"/>
      <c r="IWN23" s="720"/>
      <c r="IWO23" s="720"/>
      <c r="IWP23" s="720"/>
      <c r="IWQ23" s="720"/>
      <c r="IWR23" s="720"/>
      <c r="IWS23" s="720"/>
      <c r="IWT23" s="720"/>
      <c r="IWU23" s="720"/>
      <c r="IWV23" s="720"/>
      <c r="IWW23" s="720"/>
      <c r="IWX23" s="720"/>
      <c r="IWY23" s="720"/>
      <c r="IWZ23" s="720"/>
      <c r="IXA23" s="720"/>
      <c r="IXB23" s="720"/>
      <c r="IXC23" s="720"/>
      <c r="IXD23" s="720"/>
      <c r="IXE23" s="720"/>
      <c r="IXF23" s="720"/>
      <c r="IXG23" s="720"/>
      <c r="IXH23" s="720"/>
      <c r="IXI23" s="720"/>
      <c r="IXJ23" s="720"/>
      <c r="IXK23" s="720"/>
      <c r="IXL23" s="720"/>
      <c r="IXM23" s="720"/>
      <c r="IXN23" s="720"/>
      <c r="IXO23" s="720"/>
      <c r="IXP23" s="720"/>
      <c r="IXQ23" s="720"/>
      <c r="IXR23" s="720"/>
      <c r="IXS23" s="720"/>
      <c r="IXT23" s="720"/>
      <c r="IXU23" s="720"/>
      <c r="IXV23" s="720"/>
      <c r="IXW23" s="720"/>
      <c r="IXX23" s="720"/>
      <c r="IXY23" s="720"/>
      <c r="IXZ23" s="720"/>
      <c r="IYA23" s="720"/>
      <c r="IYB23" s="720"/>
      <c r="IYC23" s="720"/>
      <c r="IYD23" s="720"/>
      <c r="IYE23" s="720"/>
      <c r="IYF23" s="720"/>
      <c r="IYG23" s="720"/>
      <c r="IYH23" s="720"/>
      <c r="IYI23" s="720"/>
      <c r="IYJ23" s="720"/>
      <c r="IYK23" s="720"/>
      <c r="IYL23" s="720"/>
      <c r="IYM23" s="720"/>
      <c r="IYN23" s="720"/>
      <c r="IYO23" s="720"/>
      <c r="IYP23" s="720"/>
      <c r="IYQ23" s="720"/>
      <c r="IYR23" s="720"/>
      <c r="IYS23" s="720"/>
      <c r="IYT23" s="720"/>
      <c r="IYU23" s="720"/>
      <c r="IYV23" s="720"/>
      <c r="IYW23" s="720"/>
      <c r="IYX23" s="720"/>
      <c r="IYY23" s="720"/>
      <c r="IYZ23" s="720"/>
      <c r="IZA23" s="720"/>
      <c r="IZB23" s="720"/>
      <c r="IZC23" s="720"/>
      <c r="IZD23" s="720"/>
      <c r="IZE23" s="720"/>
      <c r="IZF23" s="720"/>
      <c r="IZG23" s="720"/>
      <c r="IZH23" s="720"/>
      <c r="IZI23" s="720"/>
      <c r="IZJ23" s="720"/>
      <c r="IZK23" s="720"/>
      <c r="IZL23" s="720"/>
      <c r="IZM23" s="720"/>
      <c r="IZN23" s="720"/>
      <c r="IZO23" s="720"/>
      <c r="IZP23" s="720"/>
      <c r="IZQ23" s="720"/>
      <c r="IZR23" s="720"/>
      <c r="IZS23" s="720"/>
      <c r="IZT23" s="720"/>
      <c r="IZU23" s="720"/>
      <c r="IZV23" s="720"/>
      <c r="IZW23" s="720"/>
      <c r="IZX23" s="720"/>
      <c r="IZY23" s="720"/>
      <c r="IZZ23" s="720"/>
      <c r="JAA23" s="720"/>
      <c r="JAB23" s="720"/>
      <c r="JAC23" s="720"/>
      <c r="JAD23" s="720"/>
      <c r="JAE23" s="720"/>
      <c r="JAF23" s="720"/>
      <c r="JAG23" s="720"/>
      <c r="JAH23" s="720"/>
      <c r="JAI23" s="720"/>
      <c r="JAJ23" s="720"/>
      <c r="JAK23" s="720"/>
      <c r="JAL23" s="720"/>
      <c r="JAM23" s="720"/>
      <c r="JAN23" s="720"/>
      <c r="JAO23" s="720"/>
      <c r="JAP23" s="720"/>
      <c r="JAQ23" s="720"/>
      <c r="JAR23" s="720"/>
      <c r="JAS23" s="720"/>
      <c r="JAT23" s="720"/>
      <c r="JAU23" s="720"/>
      <c r="JAV23" s="720"/>
      <c r="JAW23" s="720"/>
      <c r="JAX23" s="720"/>
      <c r="JAY23" s="720"/>
      <c r="JAZ23" s="720"/>
      <c r="JBA23" s="720"/>
      <c r="JBB23" s="720"/>
      <c r="JBC23" s="720"/>
      <c r="JBD23" s="720"/>
      <c r="JBE23" s="720"/>
      <c r="JBF23" s="720"/>
      <c r="JBG23" s="720"/>
      <c r="JBH23" s="720"/>
      <c r="JBI23" s="720"/>
      <c r="JBJ23" s="720"/>
      <c r="JBK23" s="720"/>
      <c r="JBL23" s="720"/>
      <c r="JBM23" s="720"/>
      <c r="JBN23" s="720"/>
      <c r="JBO23" s="720"/>
      <c r="JBP23" s="720"/>
      <c r="JBQ23" s="720"/>
      <c r="JBR23" s="720"/>
      <c r="JBS23" s="720"/>
      <c r="JBT23" s="720"/>
      <c r="JBU23" s="720"/>
      <c r="JBV23" s="720"/>
      <c r="JBW23" s="720"/>
      <c r="JBX23" s="720"/>
      <c r="JBY23" s="720"/>
      <c r="JBZ23" s="720"/>
      <c r="JCA23" s="720"/>
      <c r="JCB23" s="720"/>
      <c r="JCC23" s="720"/>
      <c r="JCD23" s="720"/>
      <c r="JCE23" s="720"/>
      <c r="JCF23" s="720"/>
      <c r="JCG23" s="720"/>
      <c r="JCH23" s="720"/>
      <c r="JCI23" s="720"/>
      <c r="JCJ23" s="720"/>
      <c r="JCK23" s="720"/>
      <c r="JCL23" s="720"/>
      <c r="JCM23" s="720"/>
      <c r="JCN23" s="720"/>
      <c r="JCO23" s="720"/>
      <c r="JCP23" s="720"/>
      <c r="JCQ23" s="720"/>
      <c r="JCR23" s="720"/>
      <c r="JCS23" s="720"/>
      <c r="JCT23" s="720"/>
      <c r="JCU23" s="720"/>
      <c r="JCV23" s="720"/>
      <c r="JCW23" s="720"/>
      <c r="JCX23" s="720"/>
      <c r="JCY23" s="720"/>
      <c r="JCZ23" s="720"/>
      <c r="JDA23" s="720"/>
      <c r="JDB23" s="720"/>
      <c r="JDC23" s="720"/>
      <c r="JDD23" s="720"/>
      <c r="JDE23" s="720"/>
      <c r="JDF23" s="720"/>
      <c r="JDG23" s="720"/>
      <c r="JDH23" s="720"/>
      <c r="JDI23" s="720"/>
      <c r="JDJ23" s="720"/>
      <c r="JDK23" s="720"/>
      <c r="JDL23" s="720"/>
      <c r="JDM23" s="720"/>
      <c r="JDN23" s="720"/>
      <c r="JDO23" s="720"/>
      <c r="JDP23" s="720"/>
      <c r="JDQ23" s="720"/>
      <c r="JDR23" s="720"/>
      <c r="JDS23" s="720"/>
      <c r="JDT23" s="720"/>
      <c r="JDU23" s="720"/>
      <c r="JDV23" s="720"/>
      <c r="JDW23" s="720"/>
      <c r="JDX23" s="720"/>
      <c r="JDY23" s="720"/>
      <c r="JDZ23" s="720"/>
      <c r="JEA23" s="720"/>
      <c r="JEB23" s="720"/>
      <c r="JEC23" s="720"/>
      <c r="JED23" s="720"/>
      <c r="JEE23" s="720"/>
      <c r="JEF23" s="720"/>
      <c r="JEG23" s="720"/>
      <c r="JEH23" s="720"/>
      <c r="JEI23" s="720"/>
      <c r="JEJ23" s="720"/>
      <c r="JEK23" s="720"/>
      <c r="JEL23" s="720"/>
      <c r="JEM23" s="720"/>
      <c r="JEN23" s="720"/>
      <c r="JEO23" s="720"/>
      <c r="JEP23" s="720"/>
      <c r="JEQ23" s="720"/>
      <c r="JER23" s="720"/>
      <c r="JES23" s="720"/>
      <c r="JET23" s="720"/>
      <c r="JEU23" s="720"/>
      <c r="JEV23" s="720"/>
      <c r="JEW23" s="720"/>
      <c r="JEX23" s="720"/>
      <c r="JEY23" s="720"/>
      <c r="JEZ23" s="720"/>
      <c r="JFA23" s="720"/>
      <c r="JFB23" s="720"/>
      <c r="JFC23" s="720"/>
      <c r="JFD23" s="720"/>
      <c r="JFE23" s="720"/>
      <c r="JFF23" s="720"/>
      <c r="JFG23" s="720"/>
      <c r="JFH23" s="720"/>
      <c r="JFI23" s="720"/>
      <c r="JFJ23" s="720"/>
      <c r="JFK23" s="720"/>
      <c r="JFL23" s="720"/>
      <c r="JFM23" s="720"/>
      <c r="JFN23" s="720"/>
      <c r="JFO23" s="720"/>
      <c r="JFP23" s="720"/>
      <c r="JFQ23" s="720"/>
      <c r="JFR23" s="720"/>
      <c r="JFS23" s="720"/>
      <c r="JFT23" s="720"/>
      <c r="JFU23" s="720"/>
      <c r="JFV23" s="720"/>
      <c r="JFW23" s="720"/>
      <c r="JFX23" s="720"/>
      <c r="JFY23" s="720"/>
      <c r="JFZ23" s="720"/>
      <c r="JGA23" s="720"/>
      <c r="JGB23" s="720"/>
      <c r="JGC23" s="720"/>
      <c r="JGD23" s="720"/>
      <c r="JGE23" s="720"/>
      <c r="JGF23" s="720"/>
      <c r="JGG23" s="720"/>
      <c r="JGH23" s="720"/>
      <c r="JGI23" s="720"/>
      <c r="JGJ23" s="720"/>
      <c r="JGK23" s="720"/>
      <c r="JGL23" s="720"/>
      <c r="JGM23" s="720"/>
      <c r="JGN23" s="720"/>
      <c r="JGO23" s="720"/>
      <c r="JGP23" s="720"/>
      <c r="JGQ23" s="720"/>
      <c r="JGR23" s="720"/>
      <c r="JGS23" s="720"/>
      <c r="JGT23" s="720"/>
      <c r="JGU23" s="720"/>
      <c r="JGV23" s="720"/>
      <c r="JGW23" s="720"/>
      <c r="JGX23" s="720"/>
      <c r="JGY23" s="720"/>
      <c r="JGZ23" s="720"/>
      <c r="JHA23" s="720"/>
      <c r="JHB23" s="720"/>
      <c r="JHC23" s="720"/>
      <c r="JHD23" s="720"/>
      <c r="JHE23" s="720"/>
      <c r="JHF23" s="720"/>
      <c r="JHG23" s="720"/>
      <c r="JHH23" s="720"/>
      <c r="JHI23" s="720"/>
      <c r="JHJ23" s="720"/>
      <c r="JHK23" s="720"/>
      <c r="JHL23" s="720"/>
      <c r="JHM23" s="720"/>
      <c r="JHN23" s="720"/>
      <c r="JHO23" s="720"/>
      <c r="JHP23" s="720"/>
      <c r="JHQ23" s="720"/>
      <c r="JHR23" s="720"/>
      <c r="JHS23" s="720"/>
      <c r="JHT23" s="720"/>
      <c r="JHU23" s="720"/>
      <c r="JHV23" s="720"/>
      <c r="JHW23" s="720"/>
      <c r="JHX23" s="720"/>
      <c r="JHY23" s="720"/>
      <c r="JHZ23" s="720"/>
      <c r="JIA23" s="720"/>
      <c r="JIB23" s="720"/>
      <c r="JIC23" s="720"/>
      <c r="JID23" s="720"/>
      <c r="JIE23" s="720"/>
      <c r="JIF23" s="720"/>
      <c r="JIG23" s="720"/>
      <c r="JIH23" s="720"/>
      <c r="JII23" s="720"/>
      <c r="JIJ23" s="720"/>
      <c r="JIK23" s="720"/>
      <c r="JIL23" s="720"/>
      <c r="JIM23" s="720"/>
      <c r="JIN23" s="720"/>
      <c r="JIO23" s="720"/>
      <c r="JIP23" s="720"/>
      <c r="JIQ23" s="720"/>
      <c r="JIR23" s="720"/>
      <c r="JIS23" s="720"/>
      <c r="JIT23" s="720"/>
      <c r="JIU23" s="720"/>
      <c r="JIV23" s="720"/>
      <c r="JIW23" s="720"/>
      <c r="JIX23" s="720"/>
      <c r="JIY23" s="720"/>
      <c r="JIZ23" s="720"/>
      <c r="JJA23" s="720"/>
      <c r="JJB23" s="720"/>
      <c r="JJC23" s="720"/>
      <c r="JJD23" s="720"/>
      <c r="JJE23" s="720"/>
      <c r="JJF23" s="720"/>
      <c r="JJG23" s="720"/>
      <c r="JJH23" s="720"/>
      <c r="JJI23" s="720"/>
      <c r="JJJ23" s="720"/>
      <c r="JJK23" s="720"/>
      <c r="JJL23" s="720"/>
      <c r="JJM23" s="720"/>
      <c r="JJN23" s="720"/>
      <c r="JJO23" s="720"/>
      <c r="JJP23" s="720"/>
      <c r="JJQ23" s="720"/>
      <c r="JJR23" s="720"/>
      <c r="JJS23" s="720"/>
      <c r="JJT23" s="720"/>
      <c r="JJU23" s="720"/>
      <c r="JJV23" s="720"/>
      <c r="JJW23" s="720"/>
      <c r="JJX23" s="720"/>
      <c r="JJY23" s="720"/>
      <c r="JJZ23" s="720"/>
      <c r="JKA23" s="720"/>
      <c r="JKB23" s="720"/>
      <c r="JKC23" s="720"/>
      <c r="JKD23" s="720"/>
      <c r="JKE23" s="720"/>
      <c r="JKF23" s="720"/>
      <c r="JKG23" s="720"/>
      <c r="JKH23" s="720"/>
      <c r="JKI23" s="720"/>
      <c r="JKJ23" s="720"/>
      <c r="JKK23" s="720"/>
      <c r="JKL23" s="720"/>
      <c r="JKM23" s="720"/>
      <c r="JKN23" s="720"/>
      <c r="JKO23" s="720"/>
      <c r="JKP23" s="720"/>
      <c r="JKQ23" s="720"/>
      <c r="JKR23" s="720"/>
      <c r="JKS23" s="720"/>
      <c r="JKT23" s="720"/>
      <c r="JKU23" s="720"/>
      <c r="JKV23" s="720"/>
      <c r="JKW23" s="720"/>
      <c r="JKX23" s="720"/>
      <c r="JKY23" s="720"/>
      <c r="JKZ23" s="720"/>
      <c r="JLA23" s="720"/>
      <c r="JLB23" s="720"/>
      <c r="JLC23" s="720"/>
      <c r="JLD23" s="720"/>
      <c r="JLE23" s="720"/>
      <c r="JLF23" s="720"/>
      <c r="JLG23" s="720"/>
      <c r="JLH23" s="720"/>
      <c r="JLI23" s="720"/>
      <c r="JLJ23" s="720"/>
      <c r="JLK23" s="720"/>
      <c r="JLL23" s="720"/>
      <c r="JLM23" s="720"/>
      <c r="JLN23" s="720"/>
      <c r="JLO23" s="720"/>
      <c r="JLP23" s="720"/>
      <c r="JLQ23" s="720"/>
      <c r="JLR23" s="720"/>
      <c r="JLS23" s="720"/>
      <c r="JLT23" s="720"/>
      <c r="JLU23" s="720"/>
      <c r="JLV23" s="720"/>
      <c r="JLW23" s="720"/>
      <c r="JLX23" s="720"/>
      <c r="JLY23" s="720"/>
      <c r="JLZ23" s="720"/>
      <c r="JMA23" s="720"/>
      <c r="JMB23" s="720"/>
      <c r="JMC23" s="720"/>
      <c r="JMD23" s="720"/>
      <c r="JME23" s="720"/>
      <c r="JMF23" s="720"/>
      <c r="JMG23" s="720"/>
      <c r="JMH23" s="720"/>
      <c r="JMI23" s="720"/>
      <c r="JMJ23" s="720"/>
      <c r="JMK23" s="720"/>
      <c r="JML23" s="720"/>
      <c r="JMM23" s="720"/>
      <c r="JMN23" s="720"/>
      <c r="JMO23" s="720"/>
      <c r="JMP23" s="720"/>
      <c r="JMQ23" s="720"/>
      <c r="JMR23" s="720"/>
      <c r="JMS23" s="720"/>
      <c r="JMT23" s="720"/>
      <c r="JMU23" s="720"/>
      <c r="JMV23" s="720"/>
      <c r="JMW23" s="720"/>
      <c r="JMX23" s="720"/>
      <c r="JMY23" s="720"/>
      <c r="JMZ23" s="720"/>
      <c r="JNA23" s="720"/>
      <c r="JNB23" s="720"/>
      <c r="JNC23" s="720"/>
      <c r="JND23" s="720"/>
      <c r="JNE23" s="720"/>
      <c r="JNF23" s="720"/>
      <c r="JNG23" s="720"/>
      <c r="JNH23" s="720"/>
      <c r="JNI23" s="720"/>
      <c r="JNJ23" s="720"/>
      <c r="JNK23" s="720"/>
      <c r="JNL23" s="720"/>
      <c r="JNM23" s="720"/>
      <c r="JNN23" s="720"/>
      <c r="JNO23" s="720"/>
      <c r="JNP23" s="720"/>
      <c r="JNQ23" s="720"/>
      <c r="JNR23" s="720"/>
      <c r="JNS23" s="720"/>
      <c r="JNT23" s="720"/>
      <c r="JNU23" s="720"/>
      <c r="JNV23" s="720"/>
      <c r="JNW23" s="720"/>
      <c r="JNX23" s="720"/>
      <c r="JNY23" s="720"/>
      <c r="JNZ23" s="720"/>
      <c r="JOA23" s="720"/>
      <c r="JOB23" s="720"/>
      <c r="JOC23" s="720"/>
      <c r="JOD23" s="720"/>
      <c r="JOE23" s="720"/>
      <c r="JOF23" s="720"/>
      <c r="JOG23" s="720"/>
      <c r="JOH23" s="720"/>
      <c r="JOI23" s="720"/>
      <c r="JOJ23" s="720"/>
      <c r="JOK23" s="720"/>
      <c r="JOL23" s="720"/>
      <c r="JOM23" s="720"/>
      <c r="JON23" s="720"/>
      <c r="JOO23" s="720"/>
      <c r="JOP23" s="720"/>
      <c r="JOQ23" s="720"/>
      <c r="JOR23" s="720"/>
      <c r="JOS23" s="720"/>
      <c r="JOT23" s="720"/>
      <c r="JOU23" s="720"/>
      <c r="JOV23" s="720"/>
      <c r="JOW23" s="720"/>
      <c r="JOX23" s="720"/>
      <c r="JOY23" s="720"/>
      <c r="JOZ23" s="720"/>
      <c r="JPA23" s="720"/>
      <c r="JPB23" s="720"/>
      <c r="JPC23" s="720"/>
      <c r="JPD23" s="720"/>
      <c r="JPE23" s="720"/>
      <c r="JPF23" s="720"/>
      <c r="JPG23" s="720"/>
      <c r="JPH23" s="720"/>
      <c r="JPI23" s="720"/>
      <c r="JPJ23" s="720"/>
      <c r="JPK23" s="720"/>
      <c r="JPL23" s="720"/>
      <c r="JPM23" s="720"/>
      <c r="JPN23" s="720"/>
      <c r="JPO23" s="720"/>
      <c r="JPP23" s="720"/>
      <c r="JPQ23" s="720"/>
      <c r="JPR23" s="720"/>
      <c r="JPS23" s="720"/>
      <c r="JPT23" s="720"/>
      <c r="JPU23" s="720"/>
      <c r="JPV23" s="720"/>
      <c r="JPW23" s="720"/>
      <c r="JPX23" s="720"/>
      <c r="JPY23" s="720"/>
      <c r="JPZ23" s="720"/>
      <c r="JQA23" s="720"/>
      <c r="JQB23" s="720"/>
      <c r="JQC23" s="720"/>
      <c r="JQD23" s="720"/>
      <c r="JQE23" s="720"/>
      <c r="JQF23" s="720"/>
      <c r="JQG23" s="720"/>
      <c r="JQH23" s="720"/>
      <c r="JQI23" s="720"/>
      <c r="JQJ23" s="720"/>
      <c r="JQK23" s="720"/>
      <c r="JQL23" s="720"/>
      <c r="JQM23" s="720"/>
      <c r="JQN23" s="720"/>
      <c r="JQO23" s="720"/>
      <c r="JQP23" s="720"/>
      <c r="JQQ23" s="720"/>
      <c r="JQR23" s="720"/>
      <c r="JQS23" s="720"/>
      <c r="JQT23" s="720"/>
      <c r="JQU23" s="720"/>
      <c r="JQV23" s="720"/>
      <c r="JQW23" s="720"/>
      <c r="JQX23" s="720"/>
      <c r="JQY23" s="720"/>
      <c r="JQZ23" s="720"/>
      <c r="JRA23" s="720"/>
      <c r="JRB23" s="720"/>
      <c r="JRC23" s="720"/>
      <c r="JRD23" s="720"/>
      <c r="JRE23" s="720"/>
      <c r="JRF23" s="720"/>
      <c r="JRG23" s="720"/>
      <c r="JRH23" s="720"/>
      <c r="JRI23" s="720"/>
      <c r="JRJ23" s="720"/>
      <c r="JRK23" s="720"/>
      <c r="JRL23" s="720"/>
      <c r="JRM23" s="720"/>
      <c r="JRN23" s="720"/>
      <c r="JRO23" s="720"/>
      <c r="JRP23" s="720"/>
      <c r="JRQ23" s="720"/>
      <c r="JRR23" s="720"/>
      <c r="JRS23" s="720"/>
      <c r="JRT23" s="720"/>
      <c r="JRU23" s="720"/>
      <c r="JRV23" s="720"/>
      <c r="JRW23" s="720"/>
      <c r="JRX23" s="720"/>
      <c r="JRY23" s="720"/>
      <c r="JRZ23" s="720"/>
      <c r="JSA23" s="720"/>
      <c r="JSB23" s="720"/>
      <c r="JSC23" s="720"/>
      <c r="JSD23" s="720"/>
      <c r="JSE23" s="720"/>
      <c r="JSF23" s="720"/>
      <c r="JSG23" s="720"/>
      <c r="JSH23" s="720"/>
      <c r="JSI23" s="720"/>
      <c r="JSJ23" s="720"/>
      <c r="JSK23" s="720"/>
      <c r="JSL23" s="720"/>
      <c r="JSM23" s="720"/>
      <c r="JSN23" s="720"/>
      <c r="JSO23" s="720"/>
      <c r="JSP23" s="720"/>
      <c r="JSQ23" s="720"/>
      <c r="JSR23" s="720"/>
      <c r="JSS23" s="720"/>
      <c r="JST23" s="720"/>
      <c r="JSU23" s="720"/>
      <c r="JSV23" s="720"/>
      <c r="JSW23" s="720"/>
      <c r="JSX23" s="720"/>
      <c r="JSY23" s="720"/>
      <c r="JSZ23" s="720"/>
      <c r="JTA23" s="720"/>
      <c r="JTB23" s="720"/>
      <c r="JTC23" s="720"/>
      <c r="JTD23" s="720"/>
      <c r="JTE23" s="720"/>
      <c r="JTF23" s="720"/>
      <c r="JTG23" s="720"/>
      <c r="JTH23" s="720"/>
      <c r="JTI23" s="720"/>
      <c r="JTJ23" s="720"/>
      <c r="JTK23" s="720"/>
      <c r="JTL23" s="720"/>
      <c r="JTM23" s="720"/>
      <c r="JTN23" s="720"/>
      <c r="JTO23" s="720"/>
      <c r="JTP23" s="720"/>
      <c r="JTQ23" s="720"/>
      <c r="JTR23" s="720"/>
      <c r="JTS23" s="720"/>
      <c r="JTT23" s="720"/>
      <c r="JTU23" s="720"/>
      <c r="JTV23" s="720"/>
      <c r="JTW23" s="720"/>
      <c r="JTX23" s="720"/>
      <c r="JTY23" s="720"/>
      <c r="JTZ23" s="720"/>
      <c r="JUA23" s="720"/>
      <c r="JUB23" s="720"/>
      <c r="JUC23" s="720"/>
      <c r="JUD23" s="720"/>
      <c r="JUE23" s="720"/>
      <c r="JUF23" s="720"/>
      <c r="JUG23" s="720"/>
      <c r="JUH23" s="720"/>
      <c r="JUI23" s="720"/>
      <c r="JUJ23" s="720"/>
      <c r="JUK23" s="720"/>
      <c r="JUL23" s="720"/>
      <c r="JUM23" s="720"/>
      <c r="JUN23" s="720"/>
      <c r="JUO23" s="720"/>
      <c r="JUP23" s="720"/>
      <c r="JUQ23" s="720"/>
      <c r="JUR23" s="720"/>
      <c r="JUS23" s="720"/>
      <c r="JUT23" s="720"/>
      <c r="JUU23" s="720"/>
      <c r="JUV23" s="720"/>
      <c r="JUW23" s="720"/>
      <c r="JUX23" s="720"/>
      <c r="JUY23" s="720"/>
      <c r="JUZ23" s="720"/>
      <c r="JVA23" s="720"/>
      <c r="JVB23" s="720"/>
      <c r="JVC23" s="720"/>
      <c r="JVD23" s="720"/>
      <c r="JVE23" s="720"/>
      <c r="JVF23" s="720"/>
      <c r="JVG23" s="720"/>
      <c r="JVH23" s="720"/>
      <c r="JVI23" s="720"/>
      <c r="JVJ23" s="720"/>
      <c r="JVK23" s="720"/>
      <c r="JVL23" s="720"/>
      <c r="JVM23" s="720"/>
      <c r="JVN23" s="720"/>
      <c r="JVO23" s="720"/>
      <c r="JVP23" s="720"/>
      <c r="JVQ23" s="720"/>
      <c r="JVR23" s="720"/>
      <c r="JVS23" s="720"/>
      <c r="JVT23" s="720"/>
      <c r="JVU23" s="720"/>
      <c r="JVV23" s="720"/>
      <c r="JVW23" s="720"/>
      <c r="JVX23" s="720"/>
      <c r="JVY23" s="720"/>
      <c r="JVZ23" s="720"/>
      <c r="JWA23" s="720"/>
      <c r="JWB23" s="720"/>
      <c r="JWC23" s="720"/>
      <c r="JWD23" s="720"/>
      <c r="JWE23" s="720"/>
      <c r="JWF23" s="720"/>
      <c r="JWG23" s="720"/>
      <c r="JWH23" s="720"/>
      <c r="JWI23" s="720"/>
      <c r="JWJ23" s="720"/>
      <c r="JWK23" s="720"/>
      <c r="JWL23" s="720"/>
      <c r="JWM23" s="720"/>
      <c r="JWN23" s="720"/>
      <c r="JWO23" s="720"/>
      <c r="JWP23" s="720"/>
      <c r="JWQ23" s="720"/>
      <c r="JWR23" s="720"/>
      <c r="JWS23" s="720"/>
      <c r="JWT23" s="720"/>
      <c r="JWU23" s="720"/>
      <c r="JWV23" s="720"/>
      <c r="JWW23" s="720"/>
      <c r="JWX23" s="720"/>
      <c r="JWY23" s="720"/>
      <c r="JWZ23" s="720"/>
      <c r="JXA23" s="720"/>
      <c r="JXB23" s="720"/>
      <c r="JXC23" s="720"/>
      <c r="JXD23" s="720"/>
      <c r="JXE23" s="720"/>
      <c r="JXF23" s="720"/>
      <c r="JXG23" s="720"/>
      <c r="JXH23" s="720"/>
      <c r="JXI23" s="720"/>
      <c r="JXJ23" s="720"/>
      <c r="JXK23" s="720"/>
      <c r="JXL23" s="720"/>
      <c r="JXM23" s="720"/>
      <c r="JXN23" s="720"/>
      <c r="JXO23" s="720"/>
      <c r="JXP23" s="720"/>
      <c r="JXQ23" s="720"/>
      <c r="JXR23" s="720"/>
      <c r="JXS23" s="720"/>
      <c r="JXT23" s="720"/>
      <c r="JXU23" s="720"/>
      <c r="JXV23" s="720"/>
      <c r="JXW23" s="720"/>
      <c r="JXX23" s="720"/>
      <c r="JXY23" s="720"/>
      <c r="JXZ23" s="720"/>
      <c r="JYA23" s="720"/>
      <c r="JYB23" s="720"/>
      <c r="JYC23" s="720"/>
      <c r="JYD23" s="720"/>
      <c r="JYE23" s="720"/>
      <c r="JYF23" s="720"/>
      <c r="JYG23" s="720"/>
      <c r="JYH23" s="720"/>
      <c r="JYI23" s="720"/>
      <c r="JYJ23" s="720"/>
      <c r="JYK23" s="720"/>
      <c r="JYL23" s="720"/>
      <c r="JYM23" s="720"/>
      <c r="JYN23" s="720"/>
      <c r="JYO23" s="720"/>
      <c r="JYP23" s="720"/>
      <c r="JYQ23" s="720"/>
      <c r="JYR23" s="720"/>
      <c r="JYS23" s="720"/>
      <c r="JYT23" s="720"/>
      <c r="JYU23" s="720"/>
      <c r="JYV23" s="720"/>
      <c r="JYW23" s="720"/>
      <c r="JYX23" s="720"/>
      <c r="JYY23" s="720"/>
      <c r="JYZ23" s="720"/>
      <c r="JZA23" s="720"/>
      <c r="JZB23" s="720"/>
      <c r="JZC23" s="720"/>
      <c r="JZD23" s="720"/>
      <c r="JZE23" s="720"/>
      <c r="JZF23" s="720"/>
      <c r="JZG23" s="720"/>
      <c r="JZH23" s="720"/>
      <c r="JZI23" s="720"/>
      <c r="JZJ23" s="720"/>
      <c r="JZK23" s="720"/>
      <c r="JZL23" s="720"/>
      <c r="JZM23" s="720"/>
      <c r="JZN23" s="720"/>
      <c r="JZO23" s="720"/>
      <c r="JZP23" s="720"/>
      <c r="JZQ23" s="720"/>
      <c r="JZR23" s="720"/>
      <c r="JZS23" s="720"/>
      <c r="JZT23" s="720"/>
      <c r="JZU23" s="720"/>
      <c r="JZV23" s="720"/>
      <c r="JZW23" s="720"/>
      <c r="JZX23" s="720"/>
      <c r="JZY23" s="720"/>
      <c r="JZZ23" s="720"/>
      <c r="KAA23" s="720"/>
      <c r="KAB23" s="720"/>
      <c r="KAC23" s="720"/>
      <c r="KAD23" s="720"/>
      <c r="KAE23" s="720"/>
      <c r="KAF23" s="720"/>
      <c r="KAG23" s="720"/>
      <c r="KAH23" s="720"/>
      <c r="KAI23" s="720"/>
      <c r="KAJ23" s="720"/>
      <c r="KAK23" s="720"/>
      <c r="KAL23" s="720"/>
      <c r="KAM23" s="720"/>
      <c r="KAN23" s="720"/>
      <c r="KAO23" s="720"/>
      <c r="KAP23" s="720"/>
      <c r="KAQ23" s="720"/>
      <c r="KAR23" s="720"/>
      <c r="KAS23" s="720"/>
      <c r="KAT23" s="720"/>
      <c r="KAU23" s="720"/>
      <c r="KAV23" s="720"/>
      <c r="KAW23" s="720"/>
      <c r="KAX23" s="720"/>
      <c r="KAY23" s="720"/>
      <c r="KAZ23" s="720"/>
      <c r="KBA23" s="720"/>
      <c r="KBB23" s="720"/>
      <c r="KBC23" s="720"/>
      <c r="KBD23" s="720"/>
      <c r="KBE23" s="720"/>
      <c r="KBF23" s="720"/>
      <c r="KBG23" s="720"/>
      <c r="KBH23" s="720"/>
      <c r="KBI23" s="720"/>
      <c r="KBJ23" s="720"/>
      <c r="KBK23" s="720"/>
      <c r="KBL23" s="720"/>
      <c r="KBM23" s="720"/>
      <c r="KBN23" s="720"/>
      <c r="KBO23" s="720"/>
      <c r="KBP23" s="720"/>
      <c r="KBQ23" s="720"/>
      <c r="KBR23" s="720"/>
      <c r="KBS23" s="720"/>
      <c r="KBT23" s="720"/>
      <c r="KBU23" s="720"/>
      <c r="KBV23" s="720"/>
      <c r="KBW23" s="720"/>
      <c r="KBX23" s="720"/>
      <c r="KBY23" s="720"/>
      <c r="KBZ23" s="720"/>
      <c r="KCA23" s="720"/>
      <c r="KCB23" s="720"/>
      <c r="KCC23" s="720"/>
      <c r="KCD23" s="720"/>
      <c r="KCE23" s="720"/>
      <c r="KCF23" s="720"/>
      <c r="KCG23" s="720"/>
      <c r="KCH23" s="720"/>
      <c r="KCI23" s="720"/>
      <c r="KCJ23" s="720"/>
      <c r="KCK23" s="720"/>
      <c r="KCL23" s="720"/>
      <c r="KCM23" s="720"/>
      <c r="KCN23" s="720"/>
      <c r="KCO23" s="720"/>
      <c r="KCP23" s="720"/>
      <c r="KCQ23" s="720"/>
      <c r="KCR23" s="720"/>
      <c r="KCS23" s="720"/>
      <c r="KCT23" s="720"/>
      <c r="KCU23" s="720"/>
      <c r="KCV23" s="720"/>
      <c r="KCW23" s="720"/>
      <c r="KCX23" s="720"/>
      <c r="KCY23" s="720"/>
      <c r="KCZ23" s="720"/>
      <c r="KDA23" s="720"/>
      <c r="KDB23" s="720"/>
      <c r="KDC23" s="720"/>
      <c r="KDD23" s="720"/>
      <c r="KDE23" s="720"/>
      <c r="KDF23" s="720"/>
      <c r="KDG23" s="720"/>
      <c r="KDH23" s="720"/>
      <c r="KDI23" s="720"/>
      <c r="KDJ23" s="720"/>
      <c r="KDK23" s="720"/>
      <c r="KDL23" s="720"/>
      <c r="KDM23" s="720"/>
      <c r="KDN23" s="720"/>
      <c r="KDO23" s="720"/>
      <c r="KDP23" s="720"/>
      <c r="KDQ23" s="720"/>
      <c r="KDR23" s="720"/>
      <c r="KDS23" s="720"/>
      <c r="KDT23" s="720"/>
      <c r="KDU23" s="720"/>
      <c r="KDV23" s="720"/>
      <c r="KDW23" s="720"/>
      <c r="KDX23" s="720"/>
      <c r="KDY23" s="720"/>
      <c r="KDZ23" s="720"/>
      <c r="KEA23" s="720"/>
      <c r="KEB23" s="720"/>
      <c r="KEC23" s="720"/>
      <c r="KED23" s="720"/>
      <c r="KEE23" s="720"/>
      <c r="KEF23" s="720"/>
      <c r="KEG23" s="720"/>
      <c r="KEH23" s="720"/>
      <c r="KEI23" s="720"/>
      <c r="KEJ23" s="720"/>
      <c r="KEK23" s="720"/>
      <c r="KEL23" s="720"/>
      <c r="KEM23" s="720"/>
      <c r="KEN23" s="720"/>
      <c r="KEO23" s="720"/>
      <c r="KEP23" s="720"/>
      <c r="KEQ23" s="720"/>
      <c r="KER23" s="720"/>
      <c r="KES23" s="720"/>
      <c r="KET23" s="720"/>
      <c r="KEU23" s="720"/>
      <c r="KEV23" s="720"/>
      <c r="KEW23" s="720"/>
      <c r="KEX23" s="720"/>
      <c r="KEY23" s="720"/>
      <c r="KEZ23" s="720"/>
      <c r="KFA23" s="720"/>
      <c r="KFB23" s="720"/>
      <c r="KFC23" s="720"/>
      <c r="KFD23" s="720"/>
      <c r="KFE23" s="720"/>
      <c r="KFF23" s="720"/>
      <c r="KFG23" s="720"/>
      <c r="KFH23" s="720"/>
      <c r="KFI23" s="720"/>
      <c r="KFJ23" s="720"/>
      <c r="KFK23" s="720"/>
      <c r="KFL23" s="720"/>
      <c r="KFM23" s="720"/>
      <c r="KFN23" s="720"/>
      <c r="KFO23" s="720"/>
      <c r="KFP23" s="720"/>
      <c r="KFQ23" s="720"/>
      <c r="KFR23" s="720"/>
      <c r="KFS23" s="720"/>
      <c r="KFT23" s="720"/>
      <c r="KFU23" s="720"/>
      <c r="KFV23" s="720"/>
      <c r="KFW23" s="720"/>
      <c r="KFX23" s="720"/>
      <c r="KFY23" s="720"/>
      <c r="KFZ23" s="720"/>
      <c r="KGA23" s="720"/>
      <c r="KGB23" s="720"/>
      <c r="KGC23" s="720"/>
      <c r="KGD23" s="720"/>
      <c r="KGE23" s="720"/>
      <c r="KGF23" s="720"/>
      <c r="KGG23" s="720"/>
      <c r="KGH23" s="720"/>
      <c r="KGI23" s="720"/>
      <c r="KGJ23" s="720"/>
      <c r="KGK23" s="720"/>
      <c r="KGL23" s="720"/>
      <c r="KGM23" s="720"/>
      <c r="KGN23" s="720"/>
      <c r="KGO23" s="720"/>
      <c r="KGP23" s="720"/>
      <c r="KGQ23" s="720"/>
      <c r="KGR23" s="720"/>
      <c r="KGS23" s="720"/>
      <c r="KGT23" s="720"/>
      <c r="KGU23" s="720"/>
      <c r="KGV23" s="720"/>
      <c r="KGW23" s="720"/>
      <c r="KGX23" s="720"/>
      <c r="KGY23" s="720"/>
      <c r="KGZ23" s="720"/>
      <c r="KHA23" s="720"/>
      <c r="KHB23" s="720"/>
      <c r="KHC23" s="720"/>
      <c r="KHD23" s="720"/>
      <c r="KHE23" s="720"/>
      <c r="KHF23" s="720"/>
      <c r="KHG23" s="720"/>
      <c r="KHH23" s="720"/>
      <c r="KHI23" s="720"/>
      <c r="KHJ23" s="720"/>
      <c r="KHK23" s="720"/>
      <c r="KHL23" s="720"/>
      <c r="KHM23" s="720"/>
      <c r="KHN23" s="720"/>
      <c r="KHO23" s="720"/>
      <c r="KHP23" s="720"/>
      <c r="KHQ23" s="720"/>
      <c r="KHR23" s="720"/>
      <c r="KHS23" s="720"/>
      <c r="KHT23" s="720"/>
      <c r="KHU23" s="720"/>
      <c r="KHV23" s="720"/>
      <c r="KHW23" s="720"/>
      <c r="KHX23" s="720"/>
      <c r="KHY23" s="720"/>
      <c r="KHZ23" s="720"/>
      <c r="KIA23" s="720"/>
      <c r="KIB23" s="720"/>
      <c r="KIC23" s="720"/>
      <c r="KID23" s="720"/>
      <c r="KIE23" s="720"/>
      <c r="KIF23" s="720"/>
      <c r="KIG23" s="720"/>
      <c r="KIH23" s="720"/>
      <c r="KII23" s="720"/>
      <c r="KIJ23" s="720"/>
      <c r="KIK23" s="720"/>
      <c r="KIL23" s="720"/>
      <c r="KIM23" s="720"/>
      <c r="KIN23" s="720"/>
      <c r="KIO23" s="720"/>
      <c r="KIP23" s="720"/>
      <c r="KIQ23" s="720"/>
      <c r="KIR23" s="720"/>
      <c r="KIS23" s="720"/>
      <c r="KIT23" s="720"/>
      <c r="KIU23" s="720"/>
      <c r="KIV23" s="720"/>
      <c r="KIW23" s="720"/>
      <c r="KIX23" s="720"/>
      <c r="KIY23" s="720"/>
      <c r="KIZ23" s="720"/>
      <c r="KJA23" s="720"/>
      <c r="KJB23" s="720"/>
      <c r="KJC23" s="720"/>
      <c r="KJD23" s="720"/>
      <c r="KJE23" s="720"/>
      <c r="KJF23" s="720"/>
      <c r="KJG23" s="720"/>
      <c r="KJH23" s="720"/>
      <c r="KJI23" s="720"/>
      <c r="KJJ23" s="720"/>
      <c r="KJK23" s="720"/>
      <c r="KJL23" s="720"/>
      <c r="KJM23" s="720"/>
      <c r="KJN23" s="720"/>
      <c r="KJO23" s="720"/>
      <c r="KJP23" s="720"/>
      <c r="KJQ23" s="720"/>
      <c r="KJR23" s="720"/>
      <c r="KJS23" s="720"/>
      <c r="KJT23" s="720"/>
      <c r="KJU23" s="720"/>
      <c r="KJV23" s="720"/>
      <c r="KJW23" s="720"/>
      <c r="KJX23" s="720"/>
      <c r="KJY23" s="720"/>
      <c r="KJZ23" s="720"/>
      <c r="KKA23" s="720"/>
      <c r="KKB23" s="720"/>
      <c r="KKC23" s="720"/>
      <c r="KKD23" s="720"/>
      <c r="KKE23" s="720"/>
      <c r="KKF23" s="720"/>
      <c r="KKG23" s="720"/>
      <c r="KKH23" s="720"/>
      <c r="KKI23" s="720"/>
      <c r="KKJ23" s="720"/>
      <c r="KKK23" s="720"/>
      <c r="KKL23" s="720"/>
      <c r="KKM23" s="720"/>
      <c r="KKN23" s="720"/>
      <c r="KKO23" s="720"/>
      <c r="KKP23" s="720"/>
      <c r="KKQ23" s="720"/>
      <c r="KKR23" s="720"/>
      <c r="KKS23" s="720"/>
      <c r="KKT23" s="720"/>
      <c r="KKU23" s="720"/>
      <c r="KKV23" s="720"/>
      <c r="KKW23" s="720"/>
      <c r="KKX23" s="720"/>
      <c r="KKY23" s="720"/>
      <c r="KKZ23" s="720"/>
      <c r="KLA23" s="720"/>
      <c r="KLB23" s="720"/>
      <c r="KLC23" s="720"/>
      <c r="KLD23" s="720"/>
      <c r="KLE23" s="720"/>
      <c r="KLF23" s="720"/>
      <c r="KLG23" s="720"/>
      <c r="KLH23" s="720"/>
      <c r="KLI23" s="720"/>
      <c r="KLJ23" s="720"/>
      <c r="KLK23" s="720"/>
      <c r="KLL23" s="720"/>
      <c r="KLM23" s="720"/>
      <c r="KLN23" s="720"/>
      <c r="KLO23" s="720"/>
      <c r="KLP23" s="720"/>
      <c r="KLQ23" s="720"/>
      <c r="KLR23" s="720"/>
      <c r="KLS23" s="720"/>
      <c r="KLT23" s="720"/>
      <c r="KLU23" s="720"/>
      <c r="KLV23" s="720"/>
      <c r="KLW23" s="720"/>
      <c r="KLX23" s="720"/>
      <c r="KLY23" s="720"/>
      <c r="KLZ23" s="720"/>
      <c r="KMA23" s="720"/>
      <c r="KMB23" s="720"/>
      <c r="KMC23" s="720"/>
      <c r="KMD23" s="720"/>
      <c r="KME23" s="720"/>
      <c r="KMF23" s="720"/>
      <c r="KMG23" s="720"/>
      <c r="KMH23" s="720"/>
      <c r="KMI23" s="720"/>
      <c r="KMJ23" s="720"/>
      <c r="KMK23" s="720"/>
      <c r="KML23" s="720"/>
      <c r="KMM23" s="720"/>
      <c r="KMN23" s="720"/>
      <c r="KMO23" s="720"/>
      <c r="KMP23" s="720"/>
      <c r="KMQ23" s="720"/>
      <c r="KMR23" s="720"/>
      <c r="KMS23" s="720"/>
      <c r="KMT23" s="720"/>
      <c r="KMU23" s="720"/>
      <c r="KMV23" s="720"/>
      <c r="KMW23" s="720"/>
      <c r="KMX23" s="720"/>
      <c r="KMY23" s="720"/>
      <c r="KMZ23" s="720"/>
      <c r="KNA23" s="720"/>
      <c r="KNB23" s="720"/>
      <c r="KNC23" s="720"/>
      <c r="KND23" s="720"/>
      <c r="KNE23" s="720"/>
      <c r="KNF23" s="720"/>
      <c r="KNG23" s="720"/>
      <c r="KNH23" s="720"/>
      <c r="KNI23" s="720"/>
      <c r="KNJ23" s="720"/>
      <c r="KNK23" s="720"/>
      <c r="KNL23" s="720"/>
      <c r="KNM23" s="720"/>
      <c r="KNN23" s="720"/>
      <c r="KNO23" s="720"/>
      <c r="KNP23" s="720"/>
      <c r="KNQ23" s="720"/>
      <c r="KNR23" s="720"/>
      <c r="KNS23" s="720"/>
      <c r="KNT23" s="720"/>
      <c r="KNU23" s="720"/>
      <c r="KNV23" s="720"/>
      <c r="KNW23" s="720"/>
      <c r="KNX23" s="720"/>
      <c r="KNY23" s="720"/>
      <c r="KNZ23" s="720"/>
      <c r="KOA23" s="720"/>
      <c r="KOB23" s="720"/>
      <c r="KOC23" s="720"/>
      <c r="KOD23" s="720"/>
      <c r="KOE23" s="720"/>
      <c r="KOF23" s="720"/>
      <c r="KOG23" s="720"/>
      <c r="KOH23" s="720"/>
      <c r="KOI23" s="720"/>
      <c r="KOJ23" s="720"/>
      <c r="KOK23" s="720"/>
      <c r="KOL23" s="720"/>
      <c r="KOM23" s="720"/>
      <c r="KON23" s="720"/>
      <c r="KOO23" s="720"/>
      <c r="KOP23" s="720"/>
      <c r="KOQ23" s="720"/>
      <c r="KOR23" s="720"/>
      <c r="KOS23" s="720"/>
      <c r="KOT23" s="720"/>
      <c r="KOU23" s="720"/>
      <c r="KOV23" s="720"/>
      <c r="KOW23" s="720"/>
      <c r="KOX23" s="720"/>
      <c r="KOY23" s="720"/>
      <c r="KOZ23" s="720"/>
      <c r="KPA23" s="720"/>
      <c r="KPB23" s="720"/>
      <c r="KPC23" s="720"/>
      <c r="KPD23" s="720"/>
      <c r="KPE23" s="720"/>
      <c r="KPF23" s="720"/>
      <c r="KPG23" s="720"/>
      <c r="KPH23" s="720"/>
      <c r="KPI23" s="720"/>
      <c r="KPJ23" s="720"/>
      <c r="KPK23" s="720"/>
      <c r="KPL23" s="720"/>
      <c r="KPM23" s="720"/>
      <c r="KPN23" s="720"/>
      <c r="KPO23" s="720"/>
      <c r="KPP23" s="720"/>
      <c r="KPQ23" s="720"/>
      <c r="KPR23" s="720"/>
      <c r="KPS23" s="720"/>
      <c r="KPT23" s="720"/>
      <c r="KPU23" s="720"/>
      <c r="KPV23" s="720"/>
      <c r="KPW23" s="720"/>
      <c r="KPX23" s="720"/>
      <c r="KPY23" s="720"/>
      <c r="KPZ23" s="720"/>
      <c r="KQA23" s="720"/>
      <c r="KQB23" s="720"/>
      <c r="KQC23" s="720"/>
      <c r="KQD23" s="720"/>
      <c r="KQE23" s="720"/>
      <c r="KQF23" s="720"/>
      <c r="KQG23" s="720"/>
      <c r="KQH23" s="720"/>
      <c r="KQI23" s="720"/>
      <c r="KQJ23" s="720"/>
      <c r="KQK23" s="720"/>
      <c r="KQL23" s="720"/>
      <c r="KQM23" s="720"/>
      <c r="KQN23" s="720"/>
      <c r="KQO23" s="720"/>
      <c r="KQP23" s="720"/>
      <c r="KQQ23" s="720"/>
      <c r="KQR23" s="720"/>
      <c r="KQS23" s="720"/>
      <c r="KQT23" s="720"/>
      <c r="KQU23" s="720"/>
      <c r="KQV23" s="720"/>
      <c r="KQW23" s="720"/>
      <c r="KQX23" s="720"/>
      <c r="KQY23" s="720"/>
      <c r="KQZ23" s="720"/>
      <c r="KRA23" s="720"/>
      <c r="KRB23" s="720"/>
      <c r="KRC23" s="720"/>
      <c r="KRD23" s="720"/>
      <c r="KRE23" s="720"/>
      <c r="KRF23" s="720"/>
      <c r="KRG23" s="720"/>
      <c r="KRH23" s="720"/>
      <c r="KRI23" s="720"/>
      <c r="KRJ23" s="720"/>
      <c r="KRK23" s="720"/>
      <c r="KRL23" s="720"/>
      <c r="KRM23" s="720"/>
      <c r="KRN23" s="720"/>
      <c r="KRO23" s="720"/>
      <c r="KRP23" s="720"/>
      <c r="KRQ23" s="720"/>
      <c r="KRR23" s="720"/>
      <c r="KRS23" s="720"/>
      <c r="KRT23" s="720"/>
      <c r="KRU23" s="720"/>
      <c r="KRV23" s="720"/>
      <c r="KRW23" s="720"/>
      <c r="KRX23" s="720"/>
      <c r="KRY23" s="720"/>
      <c r="KRZ23" s="720"/>
      <c r="KSA23" s="720"/>
      <c r="KSB23" s="720"/>
      <c r="KSC23" s="720"/>
      <c r="KSD23" s="720"/>
      <c r="KSE23" s="720"/>
      <c r="KSF23" s="720"/>
      <c r="KSG23" s="720"/>
      <c r="KSH23" s="720"/>
      <c r="KSI23" s="720"/>
      <c r="KSJ23" s="720"/>
      <c r="KSK23" s="720"/>
      <c r="KSL23" s="720"/>
      <c r="KSM23" s="720"/>
      <c r="KSN23" s="720"/>
      <c r="KSO23" s="720"/>
      <c r="KSP23" s="720"/>
      <c r="KSQ23" s="720"/>
      <c r="KSR23" s="720"/>
      <c r="KSS23" s="720"/>
      <c r="KST23" s="720"/>
      <c r="KSU23" s="720"/>
      <c r="KSV23" s="720"/>
      <c r="KSW23" s="720"/>
      <c r="KSX23" s="720"/>
      <c r="KSY23" s="720"/>
      <c r="KSZ23" s="720"/>
      <c r="KTA23" s="720"/>
      <c r="KTB23" s="720"/>
      <c r="KTC23" s="720"/>
      <c r="KTD23" s="720"/>
      <c r="KTE23" s="720"/>
      <c r="KTF23" s="720"/>
      <c r="KTG23" s="720"/>
      <c r="KTH23" s="720"/>
      <c r="KTI23" s="720"/>
      <c r="KTJ23" s="720"/>
      <c r="KTK23" s="720"/>
      <c r="KTL23" s="720"/>
      <c r="KTM23" s="720"/>
      <c r="KTN23" s="720"/>
      <c r="KTO23" s="720"/>
      <c r="KTP23" s="720"/>
      <c r="KTQ23" s="720"/>
      <c r="KTR23" s="720"/>
      <c r="KTS23" s="720"/>
      <c r="KTT23" s="720"/>
      <c r="KTU23" s="720"/>
      <c r="KTV23" s="720"/>
      <c r="KTW23" s="720"/>
      <c r="KTX23" s="720"/>
      <c r="KTY23" s="720"/>
      <c r="KTZ23" s="720"/>
      <c r="KUA23" s="720"/>
      <c r="KUB23" s="720"/>
      <c r="KUC23" s="720"/>
      <c r="KUD23" s="720"/>
      <c r="KUE23" s="720"/>
      <c r="KUF23" s="720"/>
      <c r="KUG23" s="720"/>
      <c r="KUH23" s="720"/>
      <c r="KUI23" s="720"/>
      <c r="KUJ23" s="720"/>
      <c r="KUK23" s="720"/>
      <c r="KUL23" s="720"/>
      <c r="KUM23" s="720"/>
      <c r="KUN23" s="720"/>
      <c r="KUO23" s="720"/>
      <c r="KUP23" s="720"/>
      <c r="KUQ23" s="720"/>
      <c r="KUR23" s="720"/>
      <c r="KUS23" s="720"/>
      <c r="KUT23" s="720"/>
      <c r="KUU23" s="720"/>
      <c r="KUV23" s="720"/>
      <c r="KUW23" s="720"/>
      <c r="KUX23" s="720"/>
      <c r="KUY23" s="720"/>
      <c r="KUZ23" s="720"/>
      <c r="KVA23" s="720"/>
      <c r="KVB23" s="720"/>
      <c r="KVC23" s="720"/>
      <c r="KVD23" s="720"/>
      <c r="KVE23" s="720"/>
      <c r="KVF23" s="720"/>
      <c r="KVG23" s="720"/>
      <c r="KVH23" s="720"/>
      <c r="KVI23" s="720"/>
      <c r="KVJ23" s="720"/>
      <c r="KVK23" s="720"/>
      <c r="KVL23" s="720"/>
      <c r="KVM23" s="720"/>
      <c r="KVN23" s="720"/>
      <c r="KVO23" s="720"/>
      <c r="KVP23" s="720"/>
      <c r="KVQ23" s="720"/>
      <c r="KVR23" s="720"/>
      <c r="KVS23" s="720"/>
      <c r="KVT23" s="720"/>
      <c r="KVU23" s="720"/>
      <c r="KVV23" s="720"/>
      <c r="KVW23" s="720"/>
      <c r="KVX23" s="720"/>
      <c r="KVY23" s="720"/>
      <c r="KVZ23" s="720"/>
      <c r="KWA23" s="720"/>
      <c r="KWB23" s="720"/>
      <c r="KWC23" s="720"/>
      <c r="KWD23" s="720"/>
      <c r="KWE23" s="720"/>
      <c r="KWF23" s="720"/>
      <c r="KWG23" s="720"/>
      <c r="KWH23" s="720"/>
      <c r="KWI23" s="720"/>
      <c r="KWJ23" s="720"/>
      <c r="KWK23" s="720"/>
      <c r="KWL23" s="720"/>
      <c r="KWM23" s="720"/>
      <c r="KWN23" s="720"/>
      <c r="KWO23" s="720"/>
      <c r="KWP23" s="720"/>
      <c r="KWQ23" s="720"/>
      <c r="KWR23" s="720"/>
      <c r="KWS23" s="720"/>
      <c r="KWT23" s="720"/>
      <c r="KWU23" s="720"/>
      <c r="KWV23" s="720"/>
      <c r="KWW23" s="720"/>
      <c r="KWX23" s="720"/>
      <c r="KWY23" s="720"/>
      <c r="KWZ23" s="720"/>
      <c r="KXA23" s="720"/>
      <c r="KXB23" s="720"/>
      <c r="KXC23" s="720"/>
      <c r="KXD23" s="720"/>
      <c r="KXE23" s="720"/>
      <c r="KXF23" s="720"/>
      <c r="KXG23" s="720"/>
      <c r="KXH23" s="720"/>
      <c r="KXI23" s="720"/>
      <c r="KXJ23" s="720"/>
      <c r="KXK23" s="720"/>
      <c r="KXL23" s="720"/>
      <c r="KXM23" s="720"/>
      <c r="KXN23" s="720"/>
      <c r="KXO23" s="720"/>
      <c r="KXP23" s="720"/>
      <c r="KXQ23" s="720"/>
      <c r="KXR23" s="720"/>
      <c r="KXS23" s="720"/>
      <c r="KXT23" s="720"/>
      <c r="KXU23" s="720"/>
      <c r="KXV23" s="720"/>
      <c r="KXW23" s="720"/>
      <c r="KXX23" s="720"/>
      <c r="KXY23" s="720"/>
      <c r="KXZ23" s="720"/>
      <c r="KYA23" s="720"/>
      <c r="KYB23" s="720"/>
      <c r="KYC23" s="720"/>
      <c r="KYD23" s="720"/>
      <c r="KYE23" s="720"/>
      <c r="KYF23" s="720"/>
      <c r="KYG23" s="720"/>
      <c r="KYH23" s="720"/>
      <c r="KYI23" s="720"/>
      <c r="KYJ23" s="720"/>
      <c r="KYK23" s="720"/>
      <c r="KYL23" s="720"/>
      <c r="KYM23" s="720"/>
      <c r="KYN23" s="720"/>
      <c r="KYO23" s="720"/>
      <c r="KYP23" s="720"/>
      <c r="KYQ23" s="720"/>
      <c r="KYR23" s="720"/>
      <c r="KYS23" s="720"/>
      <c r="KYT23" s="720"/>
      <c r="KYU23" s="720"/>
      <c r="KYV23" s="720"/>
      <c r="KYW23" s="720"/>
      <c r="KYX23" s="720"/>
      <c r="KYY23" s="720"/>
      <c r="KYZ23" s="720"/>
      <c r="KZA23" s="720"/>
      <c r="KZB23" s="720"/>
      <c r="KZC23" s="720"/>
      <c r="KZD23" s="720"/>
      <c r="KZE23" s="720"/>
      <c r="KZF23" s="720"/>
      <c r="KZG23" s="720"/>
      <c r="KZH23" s="720"/>
      <c r="KZI23" s="720"/>
      <c r="KZJ23" s="720"/>
      <c r="KZK23" s="720"/>
      <c r="KZL23" s="720"/>
      <c r="KZM23" s="720"/>
      <c r="KZN23" s="720"/>
      <c r="KZO23" s="720"/>
      <c r="KZP23" s="720"/>
      <c r="KZQ23" s="720"/>
      <c r="KZR23" s="720"/>
      <c r="KZS23" s="720"/>
      <c r="KZT23" s="720"/>
      <c r="KZU23" s="720"/>
      <c r="KZV23" s="720"/>
      <c r="KZW23" s="720"/>
      <c r="KZX23" s="720"/>
      <c r="KZY23" s="720"/>
      <c r="KZZ23" s="720"/>
      <c r="LAA23" s="720"/>
      <c r="LAB23" s="720"/>
      <c r="LAC23" s="720"/>
      <c r="LAD23" s="720"/>
      <c r="LAE23" s="720"/>
      <c r="LAF23" s="720"/>
      <c r="LAG23" s="720"/>
      <c r="LAH23" s="720"/>
      <c r="LAI23" s="720"/>
      <c r="LAJ23" s="720"/>
      <c r="LAK23" s="720"/>
      <c r="LAL23" s="720"/>
      <c r="LAM23" s="720"/>
      <c r="LAN23" s="720"/>
      <c r="LAO23" s="720"/>
      <c r="LAP23" s="720"/>
      <c r="LAQ23" s="720"/>
      <c r="LAR23" s="720"/>
      <c r="LAS23" s="720"/>
      <c r="LAT23" s="720"/>
      <c r="LAU23" s="720"/>
      <c r="LAV23" s="720"/>
      <c r="LAW23" s="720"/>
      <c r="LAX23" s="720"/>
      <c r="LAY23" s="720"/>
      <c r="LAZ23" s="720"/>
      <c r="LBA23" s="720"/>
      <c r="LBB23" s="720"/>
      <c r="LBC23" s="720"/>
      <c r="LBD23" s="720"/>
      <c r="LBE23" s="720"/>
      <c r="LBF23" s="720"/>
      <c r="LBG23" s="720"/>
      <c r="LBH23" s="720"/>
      <c r="LBI23" s="720"/>
      <c r="LBJ23" s="720"/>
      <c r="LBK23" s="720"/>
      <c r="LBL23" s="720"/>
      <c r="LBM23" s="720"/>
      <c r="LBN23" s="720"/>
      <c r="LBO23" s="720"/>
      <c r="LBP23" s="720"/>
      <c r="LBQ23" s="720"/>
      <c r="LBR23" s="720"/>
      <c r="LBS23" s="720"/>
      <c r="LBT23" s="720"/>
      <c r="LBU23" s="720"/>
      <c r="LBV23" s="720"/>
      <c r="LBW23" s="720"/>
      <c r="LBX23" s="720"/>
      <c r="LBY23" s="720"/>
      <c r="LBZ23" s="720"/>
      <c r="LCA23" s="720"/>
      <c r="LCB23" s="720"/>
      <c r="LCC23" s="720"/>
      <c r="LCD23" s="720"/>
      <c r="LCE23" s="720"/>
      <c r="LCF23" s="720"/>
      <c r="LCG23" s="720"/>
      <c r="LCH23" s="720"/>
      <c r="LCI23" s="720"/>
      <c r="LCJ23" s="720"/>
      <c r="LCK23" s="720"/>
      <c r="LCL23" s="720"/>
      <c r="LCM23" s="720"/>
      <c r="LCN23" s="720"/>
      <c r="LCO23" s="720"/>
      <c r="LCP23" s="720"/>
      <c r="LCQ23" s="720"/>
      <c r="LCR23" s="720"/>
      <c r="LCS23" s="720"/>
      <c r="LCT23" s="720"/>
      <c r="LCU23" s="720"/>
      <c r="LCV23" s="720"/>
      <c r="LCW23" s="720"/>
      <c r="LCX23" s="720"/>
      <c r="LCY23" s="720"/>
      <c r="LCZ23" s="720"/>
      <c r="LDA23" s="720"/>
      <c r="LDB23" s="720"/>
      <c r="LDC23" s="720"/>
      <c r="LDD23" s="720"/>
      <c r="LDE23" s="720"/>
      <c r="LDF23" s="720"/>
      <c r="LDG23" s="720"/>
      <c r="LDH23" s="720"/>
      <c r="LDI23" s="720"/>
      <c r="LDJ23" s="720"/>
      <c r="LDK23" s="720"/>
      <c r="LDL23" s="720"/>
      <c r="LDM23" s="720"/>
      <c r="LDN23" s="720"/>
      <c r="LDO23" s="720"/>
      <c r="LDP23" s="720"/>
      <c r="LDQ23" s="720"/>
      <c r="LDR23" s="720"/>
      <c r="LDS23" s="720"/>
      <c r="LDT23" s="720"/>
      <c r="LDU23" s="720"/>
      <c r="LDV23" s="720"/>
      <c r="LDW23" s="720"/>
      <c r="LDX23" s="720"/>
      <c r="LDY23" s="720"/>
      <c r="LDZ23" s="720"/>
      <c r="LEA23" s="720"/>
      <c r="LEB23" s="720"/>
      <c r="LEC23" s="720"/>
      <c r="LED23" s="720"/>
      <c r="LEE23" s="720"/>
      <c r="LEF23" s="720"/>
      <c r="LEG23" s="720"/>
      <c r="LEH23" s="720"/>
      <c r="LEI23" s="720"/>
      <c r="LEJ23" s="720"/>
      <c r="LEK23" s="720"/>
      <c r="LEL23" s="720"/>
      <c r="LEM23" s="720"/>
      <c r="LEN23" s="720"/>
      <c r="LEO23" s="720"/>
      <c r="LEP23" s="720"/>
      <c r="LEQ23" s="720"/>
      <c r="LER23" s="720"/>
      <c r="LES23" s="720"/>
      <c r="LET23" s="720"/>
      <c r="LEU23" s="720"/>
      <c r="LEV23" s="720"/>
      <c r="LEW23" s="720"/>
      <c r="LEX23" s="720"/>
      <c r="LEY23" s="720"/>
      <c r="LEZ23" s="720"/>
      <c r="LFA23" s="720"/>
      <c r="LFB23" s="720"/>
      <c r="LFC23" s="720"/>
      <c r="LFD23" s="720"/>
      <c r="LFE23" s="720"/>
      <c r="LFF23" s="720"/>
      <c r="LFG23" s="720"/>
      <c r="LFH23" s="720"/>
      <c r="LFI23" s="720"/>
      <c r="LFJ23" s="720"/>
      <c r="LFK23" s="720"/>
      <c r="LFL23" s="720"/>
      <c r="LFM23" s="720"/>
      <c r="LFN23" s="720"/>
      <c r="LFO23" s="720"/>
      <c r="LFP23" s="720"/>
      <c r="LFQ23" s="720"/>
      <c r="LFR23" s="720"/>
      <c r="LFS23" s="720"/>
      <c r="LFT23" s="720"/>
      <c r="LFU23" s="720"/>
      <c r="LFV23" s="720"/>
      <c r="LFW23" s="720"/>
      <c r="LFX23" s="720"/>
      <c r="LFY23" s="720"/>
      <c r="LFZ23" s="720"/>
      <c r="LGA23" s="720"/>
      <c r="LGB23" s="720"/>
      <c r="LGC23" s="720"/>
      <c r="LGD23" s="720"/>
      <c r="LGE23" s="720"/>
      <c r="LGF23" s="720"/>
      <c r="LGG23" s="720"/>
      <c r="LGH23" s="720"/>
      <c r="LGI23" s="720"/>
      <c r="LGJ23" s="720"/>
      <c r="LGK23" s="720"/>
      <c r="LGL23" s="720"/>
      <c r="LGM23" s="720"/>
      <c r="LGN23" s="720"/>
      <c r="LGO23" s="720"/>
      <c r="LGP23" s="720"/>
      <c r="LGQ23" s="720"/>
      <c r="LGR23" s="720"/>
      <c r="LGS23" s="720"/>
      <c r="LGT23" s="720"/>
      <c r="LGU23" s="720"/>
      <c r="LGV23" s="720"/>
      <c r="LGW23" s="720"/>
      <c r="LGX23" s="720"/>
      <c r="LGY23" s="720"/>
      <c r="LGZ23" s="720"/>
      <c r="LHA23" s="720"/>
      <c r="LHB23" s="720"/>
      <c r="LHC23" s="720"/>
      <c r="LHD23" s="720"/>
      <c r="LHE23" s="720"/>
      <c r="LHF23" s="720"/>
      <c r="LHG23" s="720"/>
      <c r="LHH23" s="720"/>
      <c r="LHI23" s="720"/>
      <c r="LHJ23" s="720"/>
      <c r="LHK23" s="720"/>
      <c r="LHL23" s="720"/>
      <c r="LHM23" s="720"/>
      <c r="LHN23" s="720"/>
      <c r="LHO23" s="720"/>
      <c r="LHP23" s="720"/>
      <c r="LHQ23" s="720"/>
      <c r="LHR23" s="720"/>
      <c r="LHS23" s="720"/>
      <c r="LHT23" s="720"/>
      <c r="LHU23" s="720"/>
      <c r="LHV23" s="720"/>
      <c r="LHW23" s="720"/>
      <c r="LHX23" s="720"/>
      <c r="LHY23" s="720"/>
      <c r="LHZ23" s="720"/>
      <c r="LIA23" s="720"/>
      <c r="LIB23" s="720"/>
      <c r="LIC23" s="720"/>
      <c r="LID23" s="720"/>
      <c r="LIE23" s="720"/>
      <c r="LIF23" s="720"/>
      <c r="LIG23" s="720"/>
      <c r="LIH23" s="720"/>
      <c r="LII23" s="720"/>
      <c r="LIJ23" s="720"/>
      <c r="LIK23" s="720"/>
      <c r="LIL23" s="720"/>
      <c r="LIM23" s="720"/>
      <c r="LIN23" s="720"/>
      <c r="LIO23" s="720"/>
      <c r="LIP23" s="720"/>
      <c r="LIQ23" s="720"/>
      <c r="LIR23" s="720"/>
      <c r="LIS23" s="720"/>
      <c r="LIT23" s="720"/>
      <c r="LIU23" s="720"/>
      <c r="LIV23" s="720"/>
      <c r="LIW23" s="720"/>
      <c r="LIX23" s="720"/>
      <c r="LIY23" s="720"/>
      <c r="LIZ23" s="720"/>
      <c r="LJA23" s="720"/>
      <c r="LJB23" s="720"/>
      <c r="LJC23" s="720"/>
      <c r="LJD23" s="720"/>
      <c r="LJE23" s="720"/>
      <c r="LJF23" s="720"/>
      <c r="LJG23" s="720"/>
      <c r="LJH23" s="720"/>
      <c r="LJI23" s="720"/>
      <c r="LJJ23" s="720"/>
      <c r="LJK23" s="720"/>
      <c r="LJL23" s="720"/>
      <c r="LJM23" s="720"/>
      <c r="LJN23" s="720"/>
      <c r="LJO23" s="720"/>
      <c r="LJP23" s="720"/>
      <c r="LJQ23" s="720"/>
      <c r="LJR23" s="720"/>
      <c r="LJS23" s="720"/>
      <c r="LJT23" s="720"/>
      <c r="LJU23" s="720"/>
      <c r="LJV23" s="720"/>
      <c r="LJW23" s="720"/>
      <c r="LJX23" s="720"/>
      <c r="LJY23" s="720"/>
      <c r="LJZ23" s="720"/>
      <c r="LKA23" s="720"/>
      <c r="LKB23" s="720"/>
      <c r="LKC23" s="720"/>
      <c r="LKD23" s="720"/>
      <c r="LKE23" s="720"/>
      <c r="LKF23" s="720"/>
      <c r="LKG23" s="720"/>
      <c r="LKH23" s="720"/>
      <c r="LKI23" s="720"/>
      <c r="LKJ23" s="720"/>
      <c r="LKK23" s="720"/>
      <c r="LKL23" s="720"/>
      <c r="LKM23" s="720"/>
      <c r="LKN23" s="720"/>
      <c r="LKO23" s="720"/>
      <c r="LKP23" s="720"/>
      <c r="LKQ23" s="720"/>
      <c r="LKR23" s="720"/>
      <c r="LKS23" s="720"/>
      <c r="LKT23" s="720"/>
      <c r="LKU23" s="720"/>
      <c r="LKV23" s="720"/>
      <c r="LKW23" s="720"/>
      <c r="LKX23" s="720"/>
      <c r="LKY23" s="720"/>
      <c r="LKZ23" s="720"/>
      <c r="LLA23" s="720"/>
      <c r="LLB23" s="720"/>
      <c r="LLC23" s="720"/>
      <c r="LLD23" s="720"/>
      <c r="LLE23" s="720"/>
      <c r="LLF23" s="720"/>
      <c r="LLG23" s="720"/>
      <c r="LLH23" s="720"/>
      <c r="LLI23" s="720"/>
      <c r="LLJ23" s="720"/>
      <c r="LLK23" s="720"/>
      <c r="LLL23" s="720"/>
      <c r="LLM23" s="720"/>
      <c r="LLN23" s="720"/>
      <c r="LLO23" s="720"/>
      <c r="LLP23" s="720"/>
      <c r="LLQ23" s="720"/>
      <c r="LLR23" s="720"/>
      <c r="LLS23" s="720"/>
      <c r="LLT23" s="720"/>
      <c r="LLU23" s="720"/>
      <c r="LLV23" s="720"/>
      <c r="LLW23" s="720"/>
      <c r="LLX23" s="720"/>
      <c r="LLY23" s="720"/>
      <c r="LLZ23" s="720"/>
      <c r="LMA23" s="720"/>
      <c r="LMB23" s="720"/>
      <c r="LMC23" s="720"/>
      <c r="LMD23" s="720"/>
      <c r="LME23" s="720"/>
      <c r="LMF23" s="720"/>
      <c r="LMG23" s="720"/>
      <c r="LMH23" s="720"/>
      <c r="LMI23" s="720"/>
      <c r="LMJ23" s="720"/>
      <c r="LMK23" s="720"/>
      <c r="LML23" s="720"/>
      <c r="LMM23" s="720"/>
      <c r="LMN23" s="720"/>
      <c r="LMO23" s="720"/>
      <c r="LMP23" s="720"/>
      <c r="LMQ23" s="720"/>
      <c r="LMR23" s="720"/>
      <c r="LMS23" s="720"/>
      <c r="LMT23" s="720"/>
      <c r="LMU23" s="720"/>
      <c r="LMV23" s="720"/>
      <c r="LMW23" s="720"/>
      <c r="LMX23" s="720"/>
      <c r="LMY23" s="720"/>
      <c r="LMZ23" s="720"/>
      <c r="LNA23" s="720"/>
      <c r="LNB23" s="720"/>
      <c r="LNC23" s="720"/>
      <c r="LND23" s="720"/>
      <c r="LNE23" s="720"/>
      <c r="LNF23" s="720"/>
      <c r="LNG23" s="720"/>
      <c r="LNH23" s="720"/>
      <c r="LNI23" s="720"/>
      <c r="LNJ23" s="720"/>
      <c r="LNK23" s="720"/>
      <c r="LNL23" s="720"/>
      <c r="LNM23" s="720"/>
      <c r="LNN23" s="720"/>
      <c r="LNO23" s="720"/>
      <c r="LNP23" s="720"/>
      <c r="LNQ23" s="720"/>
      <c r="LNR23" s="720"/>
      <c r="LNS23" s="720"/>
      <c r="LNT23" s="720"/>
      <c r="LNU23" s="720"/>
      <c r="LNV23" s="720"/>
      <c r="LNW23" s="720"/>
      <c r="LNX23" s="720"/>
      <c r="LNY23" s="720"/>
      <c r="LNZ23" s="720"/>
      <c r="LOA23" s="720"/>
      <c r="LOB23" s="720"/>
      <c r="LOC23" s="720"/>
      <c r="LOD23" s="720"/>
      <c r="LOE23" s="720"/>
      <c r="LOF23" s="720"/>
      <c r="LOG23" s="720"/>
      <c r="LOH23" s="720"/>
      <c r="LOI23" s="720"/>
      <c r="LOJ23" s="720"/>
      <c r="LOK23" s="720"/>
      <c r="LOL23" s="720"/>
      <c r="LOM23" s="720"/>
      <c r="LON23" s="720"/>
      <c r="LOO23" s="720"/>
      <c r="LOP23" s="720"/>
      <c r="LOQ23" s="720"/>
      <c r="LOR23" s="720"/>
      <c r="LOS23" s="720"/>
      <c r="LOT23" s="720"/>
      <c r="LOU23" s="720"/>
      <c r="LOV23" s="720"/>
      <c r="LOW23" s="720"/>
      <c r="LOX23" s="720"/>
      <c r="LOY23" s="720"/>
      <c r="LOZ23" s="720"/>
      <c r="LPA23" s="720"/>
      <c r="LPB23" s="720"/>
      <c r="LPC23" s="720"/>
      <c r="LPD23" s="720"/>
      <c r="LPE23" s="720"/>
      <c r="LPF23" s="720"/>
      <c r="LPG23" s="720"/>
      <c r="LPH23" s="720"/>
      <c r="LPI23" s="720"/>
      <c r="LPJ23" s="720"/>
      <c r="LPK23" s="720"/>
      <c r="LPL23" s="720"/>
      <c r="LPM23" s="720"/>
      <c r="LPN23" s="720"/>
      <c r="LPO23" s="720"/>
      <c r="LPP23" s="720"/>
      <c r="LPQ23" s="720"/>
      <c r="LPR23" s="720"/>
      <c r="LPS23" s="720"/>
      <c r="LPT23" s="720"/>
      <c r="LPU23" s="720"/>
      <c r="LPV23" s="720"/>
      <c r="LPW23" s="720"/>
      <c r="LPX23" s="720"/>
      <c r="LPY23" s="720"/>
      <c r="LPZ23" s="720"/>
      <c r="LQA23" s="720"/>
      <c r="LQB23" s="720"/>
      <c r="LQC23" s="720"/>
      <c r="LQD23" s="720"/>
      <c r="LQE23" s="720"/>
      <c r="LQF23" s="720"/>
      <c r="LQG23" s="720"/>
      <c r="LQH23" s="720"/>
      <c r="LQI23" s="720"/>
      <c r="LQJ23" s="720"/>
      <c r="LQK23" s="720"/>
      <c r="LQL23" s="720"/>
      <c r="LQM23" s="720"/>
      <c r="LQN23" s="720"/>
      <c r="LQO23" s="720"/>
      <c r="LQP23" s="720"/>
      <c r="LQQ23" s="720"/>
      <c r="LQR23" s="720"/>
      <c r="LQS23" s="720"/>
      <c r="LQT23" s="720"/>
      <c r="LQU23" s="720"/>
      <c r="LQV23" s="720"/>
      <c r="LQW23" s="720"/>
      <c r="LQX23" s="720"/>
      <c r="LQY23" s="720"/>
      <c r="LQZ23" s="720"/>
      <c r="LRA23" s="720"/>
      <c r="LRB23" s="720"/>
      <c r="LRC23" s="720"/>
      <c r="LRD23" s="720"/>
      <c r="LRE23" s="720"/>
      <c r="LRF23" s="720"/>
      <c r="LRG23" s="720"/>
      <c r="LRH23" s="720"/>
      <c r="LRI23" s="720"/>
      <c r="LRJ23" s="720"/>
      <c r="LRK23" s="720"/>
      <c r="LRL23" s="720"/>
      <c r="LRM23" s="720"/>
      <c r="LRN23" s="720"/>
      <c r="LRO23" s="720"/>
      <c r="LRP23" s="720"/>
      <c r="LRQ23" s="720"/>
      <c r="LRR23" s="720"/>
      <c r="LRS23" s="720"/>
      <c r="LRT23" s="720"/>
      <c r="LRU23" s="720"/>
      <c r="LRV23" s="720"/>
      <c r="LRW23" s="720"/>
      <c r="LRX23" s="720"/>
      <c r="LRY23" s="720"/>
      <c r="LRZ23" s="720"/>
      <c r="LSA23" s="720"/>
      <c r="LSB23" s="720"/>
      <c r="LSC23" s="720"/>
      <c r="LSD23" s="720"/>
      <c r="LSE23" s="720"/>
      <c r="LSF23" s="720"/>
      <c r="LSG23" s="720"/>
      <c r="LSH23" s="720"/>
      <c r="LSI23" s="720"/>
      <c r="LSJ23" s="720"/>
      <c r="LSK23" s="720"/>
      <c r="LSL23" s="720"/>
      <c r="LSM23" s="720"/>
      <c r="LSN23" s="720"/>
      <c r="LSO23" s="720"/>
      <c r="LSP23" s="720"/>
      <c r="LSQ23" s="720"/>
      <c r="LSR23" s="720"/>
      <c r="LSS23" s="720"/>
      <c r="LST23" s="720"/>
      <c r="LSU23" s="720"/>
      <c r="LSV23" s="720"/>
      <c r="LSW23" s="720"/>
      <c r="LSX23" s="720"/>
      <c r="LSY23" s="720"/>
      <c r="LSZ23" s="720"/>
      <c r="LTA23" s="720"/>
      <c r="LTB23" s="720"/>
      <c r="LTC23" s="720"/>
      <c r="LTD23" s="720"/>
      <c r="LTE23" s="720"/>
      <c r="LTF23" s="720"/>
      <c r="LTG23" s="720"/>
      <c r="LTH23" s="720"/>
      <c r="LTI23" s="720"/>
      <c r="LTJ23" s="720"/>
      <c r="LTK23" s="720"/>
      <c r="LTL23" s="720"/>
      <c r="LTM23" s="720"/>
      <c r="LTN23" s="720"/>
      <c r="LTO23" s="720"/>
      <c r="LTP23" s="720"/>
      <c r="LTQ23" s="720"/>
      <c r="LTR23" s="720"/>
      <c r="LTS23" s="720"/>
      <c r="LTT23" s="720"/>
      <c r="LTU23" s="720"/>
      <c r="LTV23" s="720"/>
      <c r="LTW23" s="720"/>
      <c r="LTX23" s="720"/>
      <c r="LTY23" s="720"/>
      <c r="LTZ23" s="720"/>
      <c r="LUA23" s="720"/>
      <c r="LUB23" s="720"/>
      <c r="LUC23" s="720"/>
      <c r="LUD23" s="720"/>
      <c r="LUE23" s="720"/>
      <c r="LUF23" s="720"/>
      <c r="LUG23" s="720"/>
      <c r="LUH23" s="720"/>
      <c r="LUI23" s="720"/>
      <c r="LUJ23" s="720"/>
      <c r="LUK23" s="720"/>
      <c r="LUL23" s="720"/>
      <c r="LUM23" s="720"/>
      <c r="LUN23" s="720"/>
      <c r="LUO23" s="720"/>
      <c r="LUP23" s="720"/>
      <c r="LUQ23" s="720"/>
      <c r="LUR23" s="720"/>
      <c r="LUS23" s="720"/>
      <c r="LUT23" s="720"/>
      <c r="LUU23" s="720"/>
      <c r="LUV23" s="720"/>
      <c r="LUW23" s="720"/>
      <c r="LUX23" s="720"/>
      <c r="LUY23" s="720"/>
      <c r="LUZ23" s="720"/>
      <c r="LVA23" s="720"/>
      <c r="LVB23" s="720"/>
      <c r="LVC23" s="720"/>
      <c r="LVD23" s="720"/>
      <c r="LVE23" s="720"/>
      <c r="LVF23" s="720"/>
      <c r="LVG23" s="720"/>
      <c r="LVH23" s="720"/>
      <c r="LVI23" s="720"/>
      <c r="LVJ23" s="720"/>
      <c r="LVK23" s="720"/>
      <c r="LVL23" s="720"/>
      <c r="LVM23" s="720"/>
      <c r="LVN23" s="720"/>
      <c r="LVO23" s="720"/>
      <c r="LVP23" s="720"/>
      <c r="LVQ23" s="720"/>
      <c r="LVR23" s="720"/>
      <c r="LVS23" s="720"/>
      <c r="LVT23" s="720"/>
      <c r="LVU23" s="720"/>
      <c r="LVV23" s="720"/>
      <c r="LVW23" s="720"/>
      <c r="LVX23" s="720"/>
      <c r="LVY23" s="720"/>
      <c r="LVZ23" s="720"/>
      <c r="LWA23" s="720"/>
      <c r="LWB23" s="720"/>
      <c r="LWC23" s="720"/>
      <c r="LWD23" s="720"/>
      <c r="LWE23" s="720"/>
      <c r="LWF23" s="720"/>
      <c r="LWG23" s="720"/>
      <c r="LWH23" s="720"/>
      <c r="LWI23" s="720"/>
      <c r="LWJ23" s="720"/>
      <c r="LWK23" s="720"/>
      <c r="LWL23" s="720"/>
      <c r="LWM23" s="720"/>
      <c r="LWN23" s="720"/>
      <c r="LWO23" s="720"/>
      <c r="LWP23" s="720"/>
      <c r="LWQ23" s="720"/>
      <c r="LWR23" s="720"/>
      <c r="LWS23" s="720"/>
      <c r="LWT23" s="720"/>
      <c r="LWU23" s="720"/>
      <c r="LWV23" s="720"/>
      <c r="LWW23" s="720"/>
      <c r="LWX23" s="720"/>
      <c r="LWY23" s="720"/>
      <c r="LWZ23" s="720"/>
      <c r="LXA23" s="720"/>
      <c r="LXB23" s="720"/>
      <c r="LXC23" s="720"/>
      <c r="LXD23" s="720"/>
      <c r="LXE23" s="720"/>
      <c r="LXF23" s="720"/>
      <c r="LXG23" s="720"/>
      <c r="LXH23" s="720"/>
      <c r="LXI23" s="720"/>
      <c r="LXJ23" s="720"/>
      <c r="LXK23" s="720"/>
      <c r="LXL23" s="720"/>
      <c r="LXM23" s="720"/>
      <c r="LXN23" s="720"/>
      <c r="LXO23" s="720"/>
      <c r="LXP23" s="720"/>
      <c r="LXQ23" s="720"/>
      <c r="LXR23" s="720"/>
      <c r="LXS23" s="720"/>
      <c r="LXT23" s="720"/>
      <c r="LXU23" s="720"/>
      <c r="LXV23" s="720"/>
      <c r="LXW23" s="720"/>
      <c r="LXX23" s="720"/>
      <c r="LXY23" s="720"/>
      <c r="LXZ23" s="720"/>
      <c r="LYA23" s="720"/>
      <c r="LYB23" s="720"/>
      <c r="LYC23" s="720"/>
      <c r="LYD23" s="720"/>
      <c r="LYE23" s="720"/>
      <c r="LYF23" s="720"/>
      <c r="LYG23" s="720"/>
      <c r="LYH23" s="720"/>
      <c r="LYI23" s="720"/>
      <c r="LYJ23" s="720"/>
      <c r="LYK23" s="720"/>
      <c r="LYL23" s="720"/>
      <c r="LYM23" s="720"/>
      <c r="LYN23" s="720"/>
      <c r="LYO23" s="720"/>
      <c r="LYP23" s="720"/>
      <c r="LYQ23" s="720"/>
      <c r="LYR23" s="720"/>
      <c r="LYS23" s="720"/>
      <c r="LYT23" s="720"/>
      <c r="LYU23" s="720"/>
      <c r="LYV23" s="720"/>
      <c r="LYW23" s="720"/>
      <c r="LYX23" s="720"/>
      <c r="LYY23" s="720"/>
      <c r="LYZ23" s="720"/>
      <c r="LZA23" s="720"/>
      <c r="LZB23" s="720"/>
      <c r="LZC23" s="720"/>
      <c r="LZD23" s="720"/>
      <c r="LZE23" s="720"/>
      <c r="LZF23" s="720"/>
      <c r="LZG23" s="720"/>
      <c r="LZH23" s="720"/>
      <c r="LZI23" s="720"/>
      <c r="LZJ23" s="720"/>
      <c r="LZK23" s="720"/>
      <c r="LZL23" s="720"/>
      <c r="LZM23" s="720"/>
      <c r="LZN23" s="720"/>
      <c r="LZO23" s="720"/>
      <c r="LZP23" s="720"/>
      <c r="LZQ23" s="720"/>
      <c r="LZR23" s="720"/>
      <c r="LZS23" s="720"/>
      <c r="LZT23" s="720"/>
      <c r="LZU23" s="720"/>
      <c r="LZV23" s="720"/>
      <c r="LZW23" s="720"/>
      <c r="LZX23" s="720"/>
      <c r="LZY23" s="720"/>
      <c r="LZZ23" s="720"/>
      <c r="MAA23" s="720"/>
      <c r="MAB23" s="720"/>
      <c r="MAC23" s="720"/>
      <c r="MAD23" s="720"/>
      <c r="MAE23" s="720"/>
      <c r="MAF23" s="720"/>
      <c r="MAG23" s="720"/>
      <c r="MAH23" s="720"/>
      <c r="MAI23" s="720"/>
      <c r="MAJ23" s="720"/>
      <c r="MAK23" s="720"/>
      <c r="MAL23" s="720"/>
      <c r="MAM23" s="720"/>
      <c r="MAN23" s="720"/>
      <c r="MAO23" s="720"/>
      <c r="MAP23" s="720"/>
      <c r="MAQ23" s="720"/>
      <c r="MAR23" s="720"/>
      <c r="MAS23" s="720"/>
      <c r="MAT23" s="720"/>
      <c r="MAU23" s="720"/>
      <c r="MAV23" s="720"/>
      <c r="MAW23" s="720"/>
      <c r="MAX23" s="720"/>
      <c r="MAY23" s="720"/>
      <c r="MAZ23" s="720"/>
      <c r="MBA23" s="720"/>
      <c r="MBB23" s="720"/>
      <c r="MBC23" s="720"/>
      <c r="MBD23" s="720"/>
      <c r="MBE23" s="720"/>
      <c r="MBF23" s="720"/>
      <c r="MBG23" s="720"/>
      <c r="MBH23" s="720"/>
      <c r="MBI23" s="720"/>
      <c r="MBJ23" s="720"/>
      <c r="MBK23" s="720"/>
      <c r="MBL23" s="720"/>
      <c r="MBM23" s="720"/>
      <c r="MBN23" s="720"/>
      <c r="MBO23" s="720"/>
      <c r="MBP23" s="720"/>
      <c r="MBQ23" s="720"/>
      <c r="MBR23" s="720"/>
      <c r="MBS23" s="720"/>
      <c r="MBT23" s="720"/>
      <c r="MBU23" s="720"/>
      <c r="MBV23" s="720"/>
      <c r="MBW23" s="720"/>
      <c r="MBX23" s="720"/>
      <c r="MBY23" s="720"/>
      <c r="MBZ23" s="720"/>
      <c r="MCA23" s="720"/>
      <c r="MCB23" s="720"/>
      <c r="MCC23" s="720"/>
      <c r="MCD23" s="720"/>
      <c r="MCE23" s="720"/>
      <c r="MCF23" s="720"/>
      <c r="MCG23" s="720"/>
      <c r="MCH23" s="720"/>
      <c r="MCI23" s="720"/>
      <c r="MCJ23" s="720"/>
      <c r="MCK23" s="720"/>
      <c r="MCL23" s="720"/>
      <c r="MCM23" s="720"/>
      <c r="MCN23" s="720"/>
      <c r="MCO23" s="720"/>
      <c r="MCP23" s="720"/>
      <c r="MCQ23" s="720"/>
      <c r="MCR23" s="720"/>
      <c r="MCS23" s="720"/>
      <c r="MCT23" s="720"/>
      <c r="MCU23" s="720"/>
      <c r="MCV23" s="720"/>
      <c r="MCW23" s="720"/>
      <c r="MCX23" s="720"/>
      <c r="MCY23" s="720"/>
      <c r="MCZ23" s="720"/>
      <c r="MDA23" s="720"/>
      <c r="MDB23" s="720"/>
      <c r="MDC23" s="720"/>
      <c r="MDD23" s="720"/>
      <c r="MDE23" s="720"/>
      <c r="MDF23" s="720"/>
      <c r="MDG23" s="720"/>
      <c r="MDH23" s="720"/>
      <c r="MDI23" s="720"/>
      <c r="MDJ23" s="720"/>
      <c r="MDK23" s="720"/>
      <c r="MDL23" s="720"/>
      <c r="MDM23" s="720"/>
      <c r="MDN23" s="720"/>
      <c r="MDO23" s="720"/>
      <c r="MDP23" s="720"/>
      <c r="MDQ23" s="720"/>
      <c r="MDR23" s="720"/>
      <c r="MDS23" s="720"/>
      <c r="MDT23" s="720"/>
      <c r="MDU23" s="720"/>
      <c r="MDV23" s="720"/>
      <c r="MDW23" s="720"/>
      <c r="MDX23" s="720"/>
      <c r="MDY23" s="720"/>
      <c r="MDZ23" s="720"/>
      <c r="MEA23" s="720"/>
      <c r="MEB23" s="720"/>
      <c r="MEC23" s="720"/>
      <c r="MED23" s="720"/>
      <c r="MEE23" s="720"/>
      <c r="MEF23" s="720"/>
      <c r="MEG23" s="720"/>
      <c r="MEH23" s="720"/>
      <c r="MEI23" s="720"/>
      <c r="MEJ23" s="720"/>
      <c r="MEK23" s="720"/>
      <c r="MEL23" s="720"/>
      <c r="MEM23" s="720"/>
      <c r="MEN23" s="720"/>
      <c r="MEO23" s="720"/>
      <c r="MEP23" s="720"/>
      <c r="MEQ23" s="720"/>
      <c r="MER23" s="720"/>
      <c r="MES23" s="720"/>
      <c r="MET23" s="720"/>
      <c r="MEU23" s="720"/>
      <c r="MEV23" s="720"/>
      <c r="MEW23" s="720"/>
      <c r="MEX23" s="720"/>
      <c r="MEY23" s="720"/>
      <c r="MEZ23" s="720"/>
      <c r="MFA23" s="720"/>
      <c r="MFB23" s="720"/>
      <c r="MFC23" s="720"/>
      <c r="MFD23" s="720"/>
      <c r="MFE23" s="720"/>
      <c r="MFF23" s="720"/>
      <c r="MFG23" s="720"/>
      <c r="MFH23" s="720"/>
      <c r="MFI23" s="720"/>
      <c r="MFJ23" s="720"/>
      <c r="MFK23" s="720"/>
      <c r="MFL23" s="720"/>
      <c r="MFM23" s="720"/>
      <c r="MFN23" s="720"/>
      <c r="MFO23" s="720"/>
      <c r="MFP23" s="720"/>
      <c r="MFQ23" s="720"/>
      <c r="MFR23" s="720"/>
      <c r="MFS23" s="720"/>
      <c r="MFT23" s="720"/>
      <c r="MFU23" s="720"/>
      <c r="MFV23" s="720"/>
      <c r="MFW23" s="720"/>
      <c r="MFX23" s="720"/>
      <c r="MFY23" s="720"/>
      <c r="MFZ23" s="720"/>
      <c r="MGA23" s="720"/>
      <c r="MGB23" s="720"/>
      <c r="MGC23" s="720"/>
      <c r="MGD23" s="720"/>
      <c r="MGE23" s="720"/>
      <c r="MGF23" s="720"/>
      <c r="MGG23" s="720"/>
      <c r="MGH23" s="720"/>
      <c r="MGI23" s="720"/>
      <c r="MGJ23" s="720"/>
      <c r="MGK23" s="720"/>
      <c r="MGL23" s="720"/>
      <c r="MGM23" s="720"/>
      <c r="MGN23" s="720"/>
      <c r="MGO23" s="720"/>
      <c r="MGP23" s="720"/>
      <c r="MGQ23" s="720"/>
      <c r="MGR23" s="720"/>
      <c r="MGS23" s="720"/>
      <c r="MGT23" s="720"/>
      <c r="MGU23" s="720"/>
      <c r="MGV23" s="720"/>
      <c r="MGW23" s="720"/>
      <c r="MGX23" s="720"/>
      <c r="MGY23" s="720"/>
      <c r="MGZ23" s="720"/>
      <c r="MHA23" s="720"/>
      <c r="MHB23" s="720"/>
      <c r="MHC23" s="720"/>
      <c r="MHD23" s="720"/>
      <c r="MHE23" s="720"/>
      <c r="MHF23" s="720"/>
      <c r="MHG23" s="720"/>
      <c r="MHH23" s="720"/>
      <c r="MHI23" s="720"/>
      <c r="MHJ23" s="720"/>
      <c r="MHK23" s="720"/>
      <c r="MHL23" s="720"/>
      <c r="MHM23" s="720"/>
      <c r="MHN23" s="720"/>
      <c r="MHO23" s="720"/>
      <c r="MHP23" s="720"/>
      <c r="MHQ23" s="720"/>
      <c r="MHR23" s="720"/>
      <c r="MHS23" s="720"/>
      <c r="MHT23" s="720"/>
      <c r="MHU23" s="720"/>
      <c r="MHV23" s="720"/>
      <c r="MHW23" s="720"/>
      <c r="MHX23" s="720"/>
      <c r="MHY23" s="720"/>
      <c r="MHZ23" s="720"/>
      <c r="MIA23" s="720"/>
      <c r="MIB23" s="720"/>
      <c r="MIC23" s="720"/>
      <c r="MID23" s="720"/>
      <c r="MIE23" s="720"/>
      <c r="MIF23" s="720"/>
      <c r="MIG23" s="720"/>
      <c r="MIH23" s="720"/>
      <c r="MII23" s="720"/>
      <c r="MIJ23" s="720"/>
      <c r="MIK23" s="720"/>
      <c r="MIL23" s="720"/>
      <c r="MIM23" s="720"/>
      <c r="MIN23" s="720"/>
      <c r="MIO23" s="720"/>
      <c r="MIP23" s="720"/>
      <c r="MIQ23" s="720"/>
      <c r="MIR23" s="720"/>
      <c r="MIS23" s="720"/>
      <c r="MIT23" s="720"/>
      <c r="MIU23" s="720"/>
      <c r="MIV23" s="720"/>
      <c r="MIW23" s="720"/>
      <c r="MIX23" s="720"/>
      <c r="MIY23" s="720"/>
      <c r="MIZ23" s="720"/>
      <c r="MJA23" s="720"/>
      <c r="MJB23" s="720"/>
      <c r="MJC23" s="720"/>
      <c r="MJD23" s="720"/>
      <c r="MJE23" s="720"/>
      <c r="MJF23" s="720"/>
      <c r="MJG23" s="720"/>
      <c r="MJH23" s="720"/>
      <c r="MJI23" s="720"/>
      <c r="MJJ23" s="720"/>
      <c r="MJK23" s="720"/>
      <c r="MJL23" s="720"/>
      <c r="MJM23" s="720"/>
      <c r="MJN23" s="720"/>
      <c r="MJO23" s="720"/>
      <c r="MJP23" s="720"/>
      <c r="MJQ23" s="720"/>
      <c r="MJR23" s="720"/>
      <c r="MJS23" s="720"/>
      <c r="MJT23" s="720"/>
      <c r="MJU23" s="720"/>
      <c r="MJV23" s="720"/>
      <c r="MJW23" s="720"/>
      <c r="MJX23" s="720"/>
      <c r="MJY23" s="720"/>
      <c r="MJZ23" s="720"/>
      <c r="MKA23" s="720"/>
      <c r="MKB23" s="720"/>
      <c r="MKC23" s="720"/>
      <c r="MKD23" s="720"/>
      <c r="MKE23" s="720"/>
      <c r="MKF23" s="720"/>
      <c r="MKG23" s="720"/>
      <c r="MKH23" s="720"/>
      <c r="MKI23" s="720"/>
      <c r="MKJ23" s="720"/>
      <c r="MKK23" s="720"/>
      <c r="MKL23" s="720"/>
      <c r="MKM23" s="720"/>
      <c r="MKN23" s="720"/>
      <c r="MKO23" s="720"/>
      <c r="MKP23" s="720"/>
      <c r="MKQ23" s="720"/>
      <c r="MKR23" s="720"/>
      <c r="MKS23" s="720"/>
      <c r="MKT23" s="720"/>
      <c r="MKU23" s="720"/>
      <c r="MKV23" s="720"/>
      <c r="MKW23" s="720"/>
      <c r="MKX23" s="720"/>
      <c r="MKY23" s="720"/>
      <c r="MKZ23" s="720"/>
      <c r="MLA23" s="720"/>
      <c r="MLB23" s="720"/>
      <c r="MLC23" s="720"/>
      <c r="MLD23" s="720"/>
      <c r="MLE23" s="720"/>
      <c r="MLF23" s="720"/>
      <c r="MLG23" s="720"/>
      <c r="MLH23" s="720"/>
      <c r="MLI23" s="720"/>
      <c r="MLJ23" s="720"/>
      <c r="MLK23" s="720"/>
      <c r="MLL23" s="720"/>
      <c r="MLM23" s="720"/>
      <c r="MLN23" s="720"/>
      <c r="MLO23" s="720"/>
      <c r="MLP23" s="720"/>
      <c r="MLQ23" s="720"/>
      <c r="MLR23" s="720"/>
      <c r="MLS23" s="720"/>
      <c r="MLT23" s="720"/>
      <c r="MLU23" s="720"/>
      <c r="MLV23" s="720"/>
      <c r="MLW23" s="720"/>
      <c r="MLX23" s="720"/>
      <c r="MLY23" s="720"/>
      <c r="MLZ23" s="720"/>
      <c r="MMA23" s="720"/>
      <c r="MMB23" s="720"/>
      <c r="MMC23" s="720"/>
      <c r="MMD23" s="720"/>
      <c r="MME23" s="720"/>
      <c r="MMF23" s="720"/>
      <c r="MMG23" s="720"/>
      <c r="MMH23" s="720"/>
      <c r="MMI23" s="720"/>
      <c r="MMJ23" s="720"/>
      <c r="MMK23" s="720"/>
      <c r="MML23" s="720"/>
      <c r="MMM23" s="720"/>
      <c r="MMN23" s="720"/>
      <c r="MMO23" s="720"/>
      <c r="MMP23" s="720"/>
      <c r="MMQ23" s="720"/>
      <c r="MMR23" s="720"/>
      <c r="MMS23" s="720"/>
      <c r="MMT23" s="720"/>
      <c r="MMU23" s="720"/>
      <c r="MMV23" s="720"/>
      <c r="MMW23" s="720"/>
      <c r="MMX23" s="720"/>
      <c r="MMY23" s="720"/>
      <c r="MMZ23" s="720"/>
      <c r="MNA23" s="720"/>
      <c r="MNB23" s="720"/>
      <c r="MNC23" s="720"/>
      <c r="MND23" s="720"/>
      <c r="MNE23" s="720"/>
      <c r="MNF23" s="720"/>
      <c r="MNG23" s="720"/>
      <c r="MNH23" s="720"/>
      <c r="MNI23" s="720"/>
      <c r="MNJ23" s="720"/>
      <c r="MNK23" s="720"/>
      <c r="MNL23" s="720"/>
      <c r="MNM23" s="720"/>
      <c r="MNN23" s="720"/>
      <c r="MNO23" s="720"/>
      <c r="MNP23" s="720"/>
      <c r="MNQ23" s="720"/>
      <c r="MNR23" s="720"/>
      <c r="MNS23" s="720"/>
      <c r="MNT23" s="720"/>
      <c r="MNU23" s="720"/>
      <c r="MNV23" s="720"/>
      <c r="MNW23" s="720"/>
      <c r="MNX23" s="720"/>
      <c r="MNY23" s="720"/>
      <c r="MNZ23" s="720"/>
      <c r="MOA23" s="720"/>
      <c r="MOB23" s="720"/>
      <c r="MOC23" s="720"/>
      <c r="MOD23" s="720"/>
      <c r="MOE23" s="720"/>
      <c r="MOF23" s="720"/>
      <c r="MOG23" s="720"/>
      <c r="MOH23" s="720"/>
      <c r="MOI23" s="720"/>
      <c r="MOJ23" s="720"/>
      <c r="MOK23" s="720"/>
      <c r="MOL23" s="720"/>
      <c r="MOM23" s="720"/>
      <c r="MON23" s="720"/>
      <c r="MOO23" s="720"/>
      <c r="MOP23" s="720"/>
      <c r="MOQ23" s="720"/>
      <c r="MOR23" s="720"/>
      <c r="MOS23" s="720"/>
      <c r="MOT23" s="720"/>
      <c r="MOU23" s="720"/>
      <c r="MOV23" s="720"/>
      <c r="MOW23" s="720"/>
      <c r="MOX23" s="720"/>
      <c r="MOY23" s="720"/>
      <c r="MOZ23" s="720"/>
      <c r="MPA23" s="720"/>
      <c r="MPB23" s="720"/>
      <c r="MPC23" s="720"/>
      <c r="MPD23" s="720"/>
      <c r="MPE23" s="720"/>
      <c r="MPF23" s="720"/>
      <c r="MPG23" s="720"/>
      <c r="MPH23" s="720"/>
      <c r="MPI23" s="720"/>
      <c r="MPJ23" s="720"/>
      <c r="MPK23" s="720"/>
      <c r="MPL23" s="720"/>
      <c r="MPM23" s="720"/>
      <c r="MPN23" s="720"/>
      <c r="MPO23" s="720"/>
      <c r="MPP23" s="720"/>
      <c r="MPQ23" s="720"/>
      <c r="MPR23" s="720"/>
      <c r="MPS23" s="720"/>
      <c r="MPT23" s="720"/>
      <c r="MPU23" s="720"/>
      <c r="MPV23" s="720"/>
      <c r="MPW23" s="720"/>
      <c r="MPX23" s="720"/>
      <c r="MPY23" s="720"/>
      <c r="MPZ23" s="720"/>
      <c r="MQA23" s="720"/>
      <c r="MQB23" s="720"/>
      <c r="MQC23" s="720"/>
      <c r="MQD23" s="720"/>
      <c r="MQE23" s="720"/>
      <c r="MQF23" s="720"/>
      <c r="MQG23" s="720"/>
      <c r="MQH23" s="720"/>
      <c r="MQI23" s="720"/>
      <c r="MQJ23" s="720"/>
      <c r="MQK23" s="720"/>
      <c r="MQL23" s="720"/>
      <c r="MQM23" s="720"/>
      <c r="MQN23" s="720"/>
      <c r="MQO23" s="720"/>
      <c r="MQP23" s="720"/>
      <c r="MQQ23" s="720"/>
      <c r="MQR23" s="720"/>
      <c r="MQS23" s="720"/>
      <c r="MQT23" s="720"/>
      <c r="MQU23" s="720"/>
      <c r="MQV23" s="720"/>
      <c r="MQW23" s="720"/>
      <c r="MQX23" s="720"/>
      <c r="MQY23" s="720"/>
      <c r="MQZ23" s="720"/>
      <c r="MRA23" s="720"/>
      <c r="MRB23" s="720"/>
      <c r="MRC23" s="720"/>
      <c r="MRD23" s="720"/>
      <c r="MRE23" s="720"/>
      <c r="MRF23" s="720"/>
      <c r="MRG23" s="720"/>
      <c r="MRH23" s="720"/>
      <c r="MRI23" s="720"/>
      <c r="MRJ23" s="720"/>
      <c r="MRK23" s="720"/>
      <c r="MRL23" s="720"/>
      <c r="MRM23" s="720"/>
      <c r="MRN23" s="720"/>
      <c r="MRO23" s="720"/>
      <c r="MRP23" s="720"/>
      <c r="MRQ23" s="720"/>
      <c r="MRR23" s="720"/>
      <c r="MRS23" s="720"/>
      <c r="MRT23" s="720"/>
      <c r="MRU23" s="720"/>
      <c r="MRV23" s="720"/>
      <c r="MRW23" s="720"/>
      <c r="MRX23" s="720"/>
      <c r="MRY23" s="720"/>
      <c r="MRZ23" s="720"/>
      <c r="MSA23" s="720"/>
      <c r="MSB23" s="720"/>
      <c r="MSC23" s="720"/>
      <c r="MSD23" s="720"/>
      <c r="MSE23" s="720"/>
      <c r="MSF23" s="720"/>
      <c r="MSG23" s="720"/>
      <c r="MSH23" s="720"/>
      <c r="MSI23" s="720"/>
      <c r="MSJ23" s="720"/>
      <c r="MSK23" s="720"/>
      <c r="MSL23" s="720"/>
      <c r="MSM23" s="720"/>
      <c r="MSN23" s="720"/>
      <c r="MSO23" s="720"/>
      <c r="MSP23" s="720"/>
      <c r="MSQ23" s="720"/>
      <c r="MSR23" s="720"/>
      <c r="MSS23" s="720"/>
      <c r="MST23" s="720"/>
      <c r="MSU23" s="720"/>
      <c r="MSV23" s="720"/>
      <c r="MSW23" s="720"/>
      <c r="MSX23" s="720"/>
      <c r="MSY23" s="720"/>
      <c r="MSZ23" s="720"/>
      <c r="MTA23" s="720"/>
      <c r="MTB23" s="720"/>
      <c r="MTC23" s="720"/>
      <c r="MTD23" s="720"/>
      <c r="MTE23" s="720"/>
      <c r="MTF23" s="720"/>
      <c r="MTG23" s="720"/>
      <c r="MTH23" s="720"/>
      <c r="MTI23" s="720"/>
      <c r="MTJ23" s="720"/>
      <c r="MTK23" s="720"/>
      <c r="MTL23" s="720"/>
      <c r="MTM23" s="720"/>
      <c r="MTN23" s="720"/>
      <c r="MTO23" s="720"/>
      <c r="MTP23" s="720"/>
      <c r="MTQ23" s="720"/>
      <c r="MTR23" s="720"/>
      <c r="MTS23" s="720"/>
      <c r="MTT23" s="720"/>
      <c r="MTU23" s="720"/>
      <c r="MTV23" s="720"/>
      <c r="MTW23" s="720"/>
      <c r="MTX23" s="720"/>
      <c r="MTY23" s="720"/>
      <c r="MTZ23" s="720"/>
      <c r="MUA23" s="720"/>
      <c r="MUB23" s="720"/>
      <c r="MUC23" s="720"/>
      <c r="MUD23" s="720"/>
      <c r="MUE23" s="720"/>
      <c r="MUF23" s="720"/>
      <c r="MUG23" s="720"/>
      <c r="MUH23" s="720"/>
      <c r="MUI23" s="720"/>
      <c r="MUJ23" s="720"/>
      <c r="MUK23" s="720"/>
      <c r="MUL23" s="720"/>
      <c r="MUM23" s="720"/>
      <c r="MUN23" s="720"/>
      <c r="MUO23" s="720"/>
      <c r="MUP23" s="720"/>
      <c r="MUQ23" s="720"/>
      <c r="MUR23" s="720"/>
      <c r="MUS23" s="720"/>
      <c r="MUT23" s="720"/>
      <c r="MUU23" s="720"/>
      <c r="MUV23" s="720"/>
      <c r="MUW23" s="720"/>
      <c r="MUX23" s="720"/>
      <c r="MUY23" s="720"/>
      <c r="MUZ23" s="720"/>
      <c r="MVA23" s="720"/>
      <c r="MVB23" s="720"/>
      <c r="MVC23" s="720"/>
      <c r="MVD23" s="720"/>
      <c r="MVE23" s="720"/>
      <c r="MVF23" s="720"/>
      <c r="MVG23" s="720"/>
      <c r="MVH23" s="720"/>
      <c r="MVI23" s="720"/>
      <c r="MVJ23" s="720"/>
      <c r="MVK23" s="720"/>
      <c r="MVL23" s="720"/>
      <c r="MVM23" s="720"/>
      <c r="MVN23" s="720"/>
      <c r="MVO23" s="720"/>
      <c r="MVP23" s="720"/>
      <c r="MVQ23" s="720"/>
      <c r="MVR23" s="720"/>
      <c r="MVS23" s="720"/>
      <c r="MVT23" s="720"/>
      <c r="MVU23" s="720"/>
      <c r="MVV23" s="720"/>
      <c r="MVW23" s="720"/>
      <c r="MVX23" s="720"/>
      <c r="MVY23" s="720"/>
      <c r="MVZ23" s="720"/>
      <c r="MWA23" s="720"/>
      <c r="MWB23" s="720"/>
      <c r="MWC23" s="720"/>
      <c r="MWD23" s="720"/>
      <c r="MWE23" s="720"/>
      <c r="MWF23" s="720"/>
      <c r="MWG23" s="720"/>
      <c r="MWH23" s="720"/>
      <c r="MWI23" s="720"/>
      <c r="MWJ23" s="720"/>
      <c r="MWK23" s="720"/>
      <c r="MWL23" s="720"/>
      <c r="MWM23" s="720"/>
      <c r="MWN23" s="720"/>
      <c r="MWO23" s="720"/>
      <c r="MWP23" s="720"/>
      <c r="MWQ23" s="720"/>
      <c r="MWR23" s="720"/>
      <c r="MWS23" s="720"/>
      <c r="MWT23" s="720"/>
      <c r="MWU23" s="720"/>
      <c r="MWV23" s="720"/>
      <c r="MWW23" s="720"/>
      <c r="MWX23" s="720"/>
      <c r="MWY23" s="720"/>
      <c r="MWZ23" s="720"/>
      <c r="MXA23" s="720"/>
      <c r="MXB23" s="720"/>
      <c r="MXC23" s="720"/>
      <c r="MXD23" s="720"/>
      <c r="MXE23" s="720"/>
      <c r="MXF23" s="720"/>
      <c r="MXG23" s="720"/>
      <c r="MXH23" s="720"/>
      <c r="MXI23" s="720"/>
      <c r="MXJ23" s="720"/>
      <c r="MXK23" s="720"/>
      <c r="MXL23" s="720"/>
      <c r="MXM23" s="720"/>
      <c r="MXN23" s="720"/>
      <c r="MXO23" s="720"/>
      <c r="MXP23" s="720"/>
      <c r="MXQ23" s="720"/>
      <c r="MXR23" s="720"/>
      <c r="MXS23" s="720"/>
      <c r="MXT23" s="720"/>
      <c r="MXU23" s="720"/>
      <c r="MXV23" s="720"/>
      <c r="MXW23" s="720"/>
      <c r="MXX23" s="720"/>
      <c r="MXY23" s="720"/>
      <c r="MXZ23" s="720"/>
      <c r="MYA23" s="720"/>
      <c r="MYB23" s="720"/>
      <c r="MYC23" s="720"/>
      <c r="MYD23" s="720"/>
      <c r="MYE23" s="720"/>
      <c r="MYF23" s="720"/>
      <c r="MYG23" s="720"/>
      <c r="MYH23" s="720"/>
      <c r="MYI23" s="720"/>
      <c r="MYJ23" s="720"/>
      <c r="MYK23" s="720"/>
      <c r="MYL23" s="720"/>
      <c r="MYM23" s="720"/>
      <c r="MYN23" s="720"/>
      <c r="MYO23" s="720"/>
      <c r="MYP23" s="720"/>
      <c r="MYQ23" s="720"/>
      <c r="MYR23" s="720"/>
      <c r="MYS23" s="720"/>
      <c r="MYT23" s="720"/>
      <c r="MYU23" s="720"/>
      <c r="MYV23" s="720"/>
      <c r="MYW23" s="720"/>
      <c r="MYX23" s="720"/>
      <c r="MYY23" s="720"/>
      <c r="MYZ23" s="720"/>
      <c r="MZA23" s="720"/>
      <c r="MZB23" s="720"/>
      <c r="MZC23" s="720"/>
      <c r="MZD23" s="720"/>
      <c r="MZE23" s="720"/>
      <c r="MZF23" s="720"/>
      <c r="MZG23" s="720"/>
      <c r="MZH23" s="720"/>
      <c r="MZI23" s="720"/>
      <c r="MZJ23" s="720"/>
      <c r="MZK23" s="720"/>
      <c r="MZL23" s="720"/>
      <c r="MZM23" s="720"/>
      <c r="MZN23" s="720"/>
      <c r="MZO23" s="720"/>
      <c r="MZP23" s="720"/>
      <c r="MZQ23" s="720"/>
      <c r="MZR23" s="720"/>
      <c r="MZS23" s="720"/>
      <c r="MZT23" s="720"/>
      <c r="MZU23" s="720"/>
      <c r="MZV23" s="720"/>
      <c r="MZW23" s="720"/>
      <c r="MZX23" s="720"/>
      <c r="MZY23" s="720"/>
      <c r="MZZ23" s="720"/>
      <c r="NAA23" s="720"/>
      <c r="NAB23" s="720"/>
      <c r="NAC23" s="720"/>
      <c r="NAD23" s="720"/>
      <c r="NAE23" s="720"/>
      <c r="NAF23" s="720"/>
      <c r="NAG23" s="720"/>
      <c r="NAH23" s="720"/>
      <c r="NAI23" s="720"/>
      <c r="NAJ23" s="720"/>
      <c r="NAK23" s="720"/>
      <c r="NAL23" s="720"/>
      <c r="NAM23" s="720"/>
      <c r="NAN23" s="720"/>
      <c r="NAO23" s="720"/>
      <c r="NAP23" s="720"/>
      <c r="NAQ23" s="720"/>
      <c r="NAR23" s="720"/>
      <c r="NAS23" s="720"/>
      <c r="NAT23" s="720"/>
      <c r="NAU23" s="720"/>
      <c r="NAV23" s="720"/>
      <c r="NAW23" s="720"/>
      <c r="NAX23" s="720"/>
      <c r="NAY23" s="720"/>
      <c r="NAZ23" s="720"/>
      <c r="NBA23" s="720"/>
      <c r="NBB23" s="720"/>
      <c r="NBC23" s="720"/>
      <c r="NBD23" s="720"/>
      <c r="NBE23" s="720"/>
      <c r="NBF23" s="720"/>
      <c r="NBG23" s="720"/>
      <c r="NBH23" s="720"/>
      <c r="NBI23" s="720"/>
      <c r="NBJ23" s="720"/>
      <c r="NBK23" s="720"/>
      <c r="NBL23" s="720"/>
      <c r="NBM23" s="720"/>
      <c r="NBN23" s="720"/>
      <c r="NBO23" s="720"/>
      <c r="NBP23" s="720"/>
      <c r="NBQ23" s="720"/>
      <c r="NBR23" s="720"/>
      <c r="NBS23" s="720"/>
      <c r="NBT23" s="720"/>
      <c r="NBU23" s="720"/>
      <c r="NBV23" s="720"/>
      <c r="NBW23" s="720"/>
      <c r="NBX23" s="720"/>
      <c r="NBY23" s="720"/>
      <c r="NBZ23" s="720"/>
      <c r="NCA23" s="720"/>
      <c r="NCB23" s="720"/>
      <c r="NCC23" s="720"/>
      <c r="NCD23" s="720"/>
      <c r="NCE23" s="720"/>
      <c r="NCF23" s="720"/>
      <c r="NCG23" s="720"/>
      <c r="NCH23" s="720"/>
      <c r="NCI23" s="720"/>
      <c r="NCJ23" s="720"/>
      <c r="NCK23" s="720"/>
      <c r="NCL23" s="720"/>
      <c r="NCM23" s="720"/>
      <c r="NCN23" s="720"/>
      <c r="NCO23" s="720"/>
      <c r="NCP23" s="720"/>
      <c r="NCQ23" s="720"/>
      <c r="NCR23" s="720"/>
      <c r="NCS23" s="720"/>
      <c r="NCT23" s="720"/>
      <c r="NCU23" s="720"/>
      <c r="NCV23" s="720"/>
      <c r="NCW23" s="720"/>
      <c r="NCX23" s="720"/>
      <c r="NCY23" s="720"/>
      <c r="NCZ23" s="720"/>
      <c r="NDA23" s="720"/>
      <c r="NDB23" s="720"/>
      <c r="NDC23" s="720"/>
      <c r="NDD23" s="720"/>
      <c r="NDE23" s="720"/>
      <c r="NDF23" s="720"/>
      <c r="NDG23" s="720"/>
      <c r="NDH23" s="720"/>
      <c r="NDI23" s="720"/>
      <c r="NDJ23" s="720"/>
      <c r="NDK23" s="720"/>
      <c r="NDL23" s="720"/>
      <c r="NDM23" s="720"/>
      <c r="NDN23" s="720"/>
      <c r="NDO23" s="720"/>
      <c r="NDP23" s="720"/>
      <c r="NDQ23" s="720"/>
      <c r="NDR23" s="720"/>
      <c r="NDS23" s="720"/>
      <c r="NDT23" s="720"/>
      <c r="NDU23" s="720"/>
      <c r="NDV23" s="720"/>
      <c r="NDW23" s="720"/>
      <c r="NDX23" s="720"/>
      <c r="NDY23" s="720"/>
      <c r="NDZ23" s="720"/>
      <c r="NEA23" s="720"/>
      <c r="NEB23" s="720"/>
      <c r="NEC23" s="720"/>
      <c r="NED23" s="720"/>
      <c r="NEE23" s="720"/>
      <c r="NEF23" s="720"/>
      <c r="NEG23" s="720"/>
      <c r="NEH23" s="720"/>
      <c r="NEI23" s="720"/>
      <c r="NEJ23" s="720"/>
      <c r="NEK23" s="720"/>
      <c r="NEL23" s="720"/>
      <c r="NEM23" s="720"/>
      <c r="NEN23" s="720"/>
      <c r="NEO23" s="720"/>
      <c r="NEP23" s="720"/>
      <c r="NEQ23" s="720"/>
      <c r="NER23" s="720"/>
      <c r="NES23" s="720"/>
      <c r="NET23" s="720"/>
      <c r="NEU23" s="720"/>
      <c r="NEV23" s="720"/>
      <c r="NEW23" s="720"/>
      <c r="NEX23" s="720"/>
      <c r="NEY23" s="720"/>
      <c r="NEZ23" s="720"/>
      <c r="NFA23" s="720"/>
      <c r="NFB23" s="720"/>
      <c r="NFC23" s="720"/>
      <c r="NFD23" s="720"/>
      <c r="NFE23" s="720"/>
      <c r="NFF23" s="720"/>
      <c r="NFG23" s="720"/>
      <c r="NFH23" s="720"/>
      <c r="NFI23" s="720"/>
      <c r="NFJ23" s="720"/>
      <c r="NFK23" s="720"/>
      <c r="NFL23" s="720"/>
      <c r="NFM23" s="720"/>
      <c r="NFN23" s="720"/>
      <c r="NFO23" s="720"/>
      <c r="NFP23" s="720"/>
      <c r="NFQ23" s="720"/>
      <c r="NFR23" s="720"/>
      <c r="NFS23" s="720"/>
      <c r="NFT23" s="720"/>
      <c r="NFU23" s="720"/>
      <c r="NFV23" s="720"/>
      <c r="NFW23" s="720"/>
      <c r="NFX23" s="720"/>
      <c r="NFY23" s="720"/>
      <c r="NFZ23" s="720"/>
      <c r="NGA23" s="720"/>
      <c r="NGB23" s="720"/>
      <c r="NGC23" s="720"/>
      <c r="NGD23" s="720"/>
      <c r="NGE23" s="720"/>
      <c r="NGF23" s="720"/>
      <c r="NGG23" s="720"/>
      <c r="NGH23" s="720"/>
      <c r="NGI23" s="720"/>
      <c r="NGJ23" s="720"/>
      <c r="NGK23" s="720"/>
      <c r="NGL23" s="720"/>
      <c r="NGM23" s="720"/>
      <c r="NGN23" s="720"/>
      <c r="NGO23" s="720"/>
      <c r="NGP23" s="720"/>
      <c r="NGQ23" s="720"/>
      <c r="NGR23" s="720"/>
      <c r="NGS23" s="720"/>
      <c r="NGT23" s="720"/>
      <c r="NGU23" s="720"/>
      <c r="NGV23" s="720"/>
      <c r="NGW23" s="720"/>
      <c r="NGX23" s="720"/>
      <c r="NGY23" s="720"/>
      <c r="NGZ23" s="720"/>
      <c r="NHA23" s="720"/>
      <c r="NHB23" s="720"/>
      <c r="NHC23" s="720"/>
      <c r="NHD23" s="720"/>
      <c r="NHE23" s="720"/>
      <c r="NHF23" s="720"/>
      <c r="NHG23" s="720"/>
      <c r="NHH23" s="720"/>
      <c r="NHI23" s="720"/>
      <c r="NHJ23" s="720"/>
      <c r="NHK23" s="720"/>
      <c r="NHL23" s="720"/>
      <c r="NHM23" s="720"/>
      <c r="NHN23" s="720"/>
      <c r="NHO23" s="720"/>
      <c r="NHP23" s="720"/>
      <c r="NHQ23" s="720"/>
      <c r="NHR23" s="720"/>
      <c r="NHS23" s="720"/>
      <c r="NHT23" s="720"/>
      <c r="NHU23" s="720"/>
      <c r="NHV23" s="720"/>
      <c r="NHW23" s="720"/>
      <c r="NHX23" s="720"/>
      <c r="NHY23" s="720"/>
      <c r="NHZ23" s="720"/>
      <c r="NIA23" s="720"/>
      <c r="NIB23" s="720"/>
      <c r="NIC23" s="720"/>
      <c r="NID23" s="720"/>
      <c r="NIE23" s="720"/>
      <c r="NIF23" s="720"/>
      <c r="NIG23" s="720"/>
      <c r="NIH23" s="720"/>
      <c r="NII23" s="720"/>
      <c r="NIJ23" s="720"/>
      <c r="NIK23" s="720"/>
      <c r="NIL23" s="720"/>
      <c r="NIM23" s="720"/>
      <c r="NIN23" s="720"/>
      <c r="NIO23" s="720"/>
      <c r="NIP23" s="720"/>
      <c r="NIQ23" s="720"/>
      <c r="NIR23" s="720"/>
      <c r="NIS23" s="720"/>
      <c r="NIT23" s="720"/>
      <c r="NIU23" s="720"/>
      <c r="NIV23" s="720"/>
      <c r="NIW23" s="720"/>
      <c r="NIX23" s="720"/>
      <c r="NIY23" s="720"/>
      <c r="NIZ23" s="720"/>
      <c r="NJA23" s="720"/>
      <c r="NJB23" s="720"/>
      <c r="NJC23" s="720"/>
      <c r="NJD23" s="720"/>
      <c r="NJE23" s="720"/>
      <c r="NJF23" s="720"/>
      <c r="NJG23" s="720"/>
      <c r="NJH23" s="720"/>
      <c r="NJI23" s="720"/>
      <c r="NJJ23" s="720"/>
      <c r="NJK23" s="720"/>
      <c r="NJL23" s="720"/>
      <c r="NJM23" s="720"/>
      <c r="NJN23" s="720"/>
      <c r="NJO23" s="720"/>
      <c r="NJP23" s="720"/>
      <c r="NJQ23" s="720"/>
      <c r="NJR23" s="720"/>
      <c r="NJS23" s="720"/>
      <c r="NJT23" s="720"/>
      <c r="NJU23" s="720"/>
      <c r="NJV23" s="720"/>
      <c r="NJW23" s="720"/>
      <c r="NJX23" s="720"/>
      <c r="NJY23" s="720"/>
      <c r="NJZ23" s="720"/>
      <c r="NKA23" s="720"/>
      <c r="NKB23" s="720"/>
      <c r="NKC23" s="720"/>
      <c r="NKD23" s="720"/>
      <c r="NKE23" s="720"/>
      <c r="NKF23" s="720"/>
      <c r="NKG23" s="720"/>
      <c r="NKH23" s="720"/>
      <c r="NKI23" s="720"/>
      <c r="NKJ23" s="720"/>
      <c r="NKK23" s="720"/>
      <c r="NKL23" s="720"/>
      <c r="NKM23" s="720"/>
      <c r="NKN23" s="720"/>
      <c r="NKO23" s="720"/>
      <c r="NKP23" s="720"/>
      <c r="NKQ23" s="720"/>
      <c r="NKR23" s="720"/>
      <c r="NKS23" s="720"/>
      <c r="NKT23" s="720"/>
      <c r="NKU23" s="720"/>
      <c r="NKV23" s="720"/>
      <c r="NKW23" s="720"/>
      <c r="NKX23" s="720"/>
      <c r="NKY23" s="720"/>
      <c r="NKZ23" s="720"/>
      <c r="NLA23" s="720"/>
      <c r="NLB23" s="720"/>
      <c r="NLC23" s="720"/>
      <c r="NLD23" s="720"/>
      <c r="NLE23" s="720"/>
      <c r="NLF23" s="720"/>
      <c r="NLG23" s="720"/>
      <c r="NLH23" s="720"/>
      <c r="NLI23" s="720"/>
      <c r="NLJ23" s="720"/>
      <c r="NLK23" s="720"/>
      <c r="NLL23" s="720"/>
      <c r="NLM23" s="720"/>
      <c r="NLN23" s="720"/>
      <c r="NLO23" s="720"/>
      <c r="NLP23" s="720"/>
      <c r="NLQ23" s="720"/>
      <c r="NLR23" s="720"/>
      <c r="NLS23" s="720"/>
      <c r="NLT23" s="720"/>
      <c r="NLU23" s="720"/>
      <c r="NLV23" s="720"/>
      <c r="NLW23" s="720"/>
      <c r="NLX23" s="720"/>
      <c r="NLY23" s="720"/>
      <c r="NLZ23" s="720"/>
      <c r="NMA23" s="720"/>
      <c r="NMB23" s="720"/>
      <c r="NMC23" s="720"/>
      <c r="NMD23" s="720"/>
      <c r="NME23" s="720"/>
      <c r="NMF23" s="720"/>
      <c r="NMG23" s="720"/>
      <c r="NMH23" s="720"/>
      <c r="NMI23" s="720"/>
      <c r="NMJ23" s="720"/>
      <c r="NMK23" s="720"/>
      <c r="NML23" s="720"/>
      <c r="NMM23" s="720"/>
      <c r="NMN23" s="720"/>
      <c r="NMO23" s="720"/>
      <c r="NMP23" s="720"/>
      <c r="NMQ23" s="720"/>
      <c r="NMR23" s="720"/>
      <c r="NMS23" s="720"/>
      <c r="NMT23" s="720"/>
      <c r="NMU23" s="720"/>
      <c r="NMV23" s="720"/>
      <c r="NMW23" s="720"/>
      <c r="NMX23" s="720"/>
      <c r="NMY23" s="720"/>
      <c r="NMZ23" s="720"/>
      <c r="NNA23" s="720"/>
      <c r="NNB23" s="720"/>
      <c r="NNC23" s="720"/>
      <c r="NND23" s="720"/>
      <c r="NNE23" s="720"/>
      <c r="NNF23" s="720"/>
      <c r="NNG23" s="720"/>
      <c r="NNH23" s="720"/>
      <c r="NNI23" s="720"/>
      <c r="NNJ23" s="720"/>
      <c r="NNK23" s="720"/>
      <c r="NNL23" s="720"/>
      <c r="NNM23" s="720"/>
      <c r="NNN23" s="720"/>
      <c r="NNO23" s="720"/>
      <c r="NNP23" s="720"/>
      <c r="NNQ23" s="720"/>
      <c r="NNR23" s="720"/>
      <c r="NNS23" s="720"/>
      <c r="NNT23" s="720"/>
      <c r="NNU23" s="720"/>
      <c r="NNV23" s="720"/>
      <c r="NNW23" s="720"/>
      <c r="NNX23" s="720"/>
      <c r="NNY23" s="720"/>
      <c r="NNZ23" s="720"/>
      <c r="NOA23" s="720"/>
      <c r="NOB23" s="720"/>
      <c r="NOC23" s="720"/>
      <c r="NOD23" s="720"/>
      <c r="NOE23" s="720"/>
      <c r="NOF23" s="720"/>
      <c r="NOG23" s="720"/>
      <c r="NOH23" s="720"/>
      <c r="NOI23" s="720"/>
      <c r="NOJ23" s="720"/>
      <c r="NOK23" s="720"/>
      <c r="NOL23" s="720"/>
      <c r="NOM23" s="720"/>
      <c r="NON23" s="720"/>
      <c r="NOO23" s="720"/>
      <c r="NOP23" s="720"/>
      <c r="NOQ23" s="720"/>
      <c r="NOR23" s="720"/>
      <c r="NOS23" s="720"/>
      <c r="NOT23" s="720"/>
      <c r="NOU23" s="720"/>
      <c r="NOV23" s="720"/>
      <c r="NOW23" s="720"/>
      <c r="NOX23" s="720"/>
      <c r="NOY23" s="720"/>
      <c r="NOZ23" s="720"/>
      <c r="NPA23" s="720"/>
      <c r="NPB23" s="720"/>
      <c r="NPC23" s="720"/>
      <c r="NPD23" s="720"/>
      <c r="NPE23" s="720"/>
      <c r="NPF23" s="720"/>
      <c r="NPG23" s="720"/>
      <c r="NPH23" s="720"/>
      <c r="NPI23" s="720"/>
      <c r="NPJ23" s="720"/>
      <c r="NPK23" s="720"/>
      <c r="NPL23" s="720"/>
      <c r="NPM23" s="720"/>
      <c r="NPN23" s="720"/>
      <c r="NPO23" s="720"/>
      <c r="NPP23" s="720"/>
      <c r="NPQ23" s="720"/>
      <c r="NPR23" s="720"/>
      <c r="NPS23" s="720"/>
      <c r="NPT23" s="720"/>
      <c r="NPU23" s="720"/>
      <c r="NPV23" s="720"/>
      <c r="NPW23" s="720"/>
      <c r="NPX23" s="720"/>
      <c r="NPY23" s="720"/>
      <c r="NPZ23" s="720"/>
      <c r="NQA23" s="720"/>
      <c r="NQB23" s="720"/>
      <c r="NQC23" s="720"/>
      <c r="NQD23" s="720"/>
      <c r="NQE23" s="720"/>
      <c r="NQF23" s="720"/>
      <c r="NQG23" s="720"/>
      <c r="NQH23" s="720"/>
      <c r="NQI23" s="720"/>
      <c r="NQJ23" s="720"/>
      <c r="NQK23" s="720"/>
      <c r="NQL23" s="720"/>
      <c r="NQM23" s="720"/>
      <c r="NQN23" s="720"/>
      <c r="NQO23" s="720"/>
      <c r="NQP23" s="720"/>
      <c r="NQQ23" s="720"/>
      <c r="NQR23" s="720"/>
      <c r="NQS23" s="720"/>
      <c r="NQT23" s="720"/>
      <c r="NQU23" s="720"/>
      <c r="NQV23" s="720"/>
      <c r="NQW23" s="720"/>
      <c r="NQX23" s="720"/>
      <c r="NQY23" s="720"/>
      <c r="NQZ23" s="720"/>
      <c r="NRA23" s="720"/>
      <c r="NRB23" s="720"/>
      <c r="NRC23" s="720"/>
      <c r="NRD23" s="720"/>
      <c r="NRE23" s="720"/>
      <c r="NRF23" s="720"/>
      <c r="NRG23" s="720"/>
      <c r="NRH23" s="720"/>
      <c r="NRI23" s="720"/>
      <c r="NRJ23" s="720"/>
      <c r="NRK23" s="720"/>
      <c r="NRL23" s="720"/>
      <c r="NRM23" s="720"/>
      <c r="NRN23" s="720"/>
      <c r="NRO23" s="720"/>
      <c r="NRP23" s="720"/>
      <c r="NRQ23" s="720"/>
      <c r="NRR23" s="720"/>
      <c r="NRS23" s="720"/>
      <c r="NRT23" s="720"/>
      <c r="NRU23" s="720"/>
      <c r="NRV23" s="720"/>
      <c r="NRW23" s="720"/>
      <c r="NRX23" s="720"/>
      <c r="NRY23" s="720"/>
      <c r="NRZ23" s="720"/>
      <c r="NSA23" s="720"/>
      <c r="NSB23" s="720"/>
      <c r="NSC23" s="720"/>
      <c r="NSD23" s="720"/>
      <c r="NSE23" s="720"/>
      <c r="NSF23" s="720"/>
      <c r="NSG23" s="720"/>
      <c r="NSH23" s="720"/>
      <c r="NSI23" s="720"/>
      <c r="NSJ23" s="720"/>
      <c r="NSK23" s="720"/>
      <c r="NSL23" s="720"/>
      <c r="NSM23" s="720"/>
      <c r="NSN23" s="720"/>
      <c r="NSO23" s="720"/>
      <c r="NSP23" s="720"/>
      <c r="NSQ23" s="720"/>
      <c r="NSR23" s="720"/>
      <c r="NSS23" s="720"/>
      <c r="NST23" s="720"/>
      <c r="NSU23" s="720"/>
      <c r="NSV23" s="720"/>
      <c r="NSW23" s="720"/>
      <c r="NSX23" s="720"/>
      <c r="NSY23" s="720"/>
      <c r="NSZ23" s="720"/>
      <c r="NTA23" s="720"/>
      <c r="NTB23" s="720"/>
      <c r="NTC23" s="720"/>
      <c r="NTD23" s="720"/>
      <c r="NTE23" s="720"/>
      <c r="NTF23" s="720"/>
      <c r="NTG23" s="720"/>
      <c r="NTH23" s="720"/>
      <c r="NTI23" s="720"/>
      <c r="NTJ23" s="720"/>
      <c r="NTK23" s="720"/>
      <c r="NTL23" s="720"/>
      <c r="NTM23" s="720"/>
      <c r="NTN23" s="720"/>
      <c r="NTO23" s="720"/>
      <c r="NTP23" s="720"/>
      <c r="NTQ23" s="720"/>
      <c r="NTR23" s="720"/>
      <c r="NTS23" s="720"/>
      <c r="NTT23" s="720"/>
      <c r="NTU23" s="720"/>
      <c r="NTV23" s="720"/>
      <c r="NTW23" s="720"/>
      <c r="NTX23" s="720"/>
      <c r="NTY23" s="720"/>
      <c r="NTZ23" s="720"/>
      <c r="NUA23" s="720"/>
      <c r="NUB23" s="720"/>
      <c r="NUC23" s="720"/>
      <c r="NUD23" s="720"/>
      <c r="NUE23" s="720"/>
      <c r="NUF23" s="720"/>
      <c r="NUG23" s="720"/>
      <c r="NUH23" s="720"/>
      <c r="NUI23" s="720"/>
      <c r="NUJ23" s="720"/>
      <c r="NUK23" s="720"/>
      <c r="NUL23" s="720"/>
      <c r="NUM23" s="720"/>
      <c r="NUN23" s="720"/>
      <c r="NUO23" s="720"/>
      <c r="NUP23" s="720"/>
      <c r="NUQ23" s="720"/>
      <c r="NUR23" s="720"/>
      <c r="NUS23" s="720"/>
      <c r="NUT23" s="720"/>
      <c r="NUU23" s="720"/>
      <c r="NUV23" s="720"/>
      <c r="NUW23" s="720"/>
      <c r="NUX23" s="720"/>
      <c r="NUY23" s="720"/>
      <c r="NUZ23" s="720"/>
      <c r="NVA23" s="720"/>
      <c r="NVB23" s="720"/>
      <c r="NVC23" s="720"/>
      <c r="NVD23" s="720"/>
      <c r="NVE23" s="720"/>
      <c r="NVF23" s="720"/>
      <c r="NVG23" s="720"/>
      <c r="NVH23" s="720"/>
      <c r="NVI23" s="720"/>
      <c r="NVJ23" s="720"/>
      <c r="NVK23" s="720"/>
      <c r="NVL23" s="720"/>
      <c r="NVM23" s="720"/>
      <c r="NVN23" s="720"/>
      <c r="NVO23" s="720"/>
      <c r="NVP23" s="720"/>
      <c r="NVQ23" s="720"/>
      <c r="NVR23" s="720"/>
      <c r="NVS23" s="720"/>
      <c r="NVT23" s="720"/>
      <c r="NVU23" s="720"/>
      <c r="NVV23" s="720"/>
      <c r="NVW23" s="720"/>
      <c r="NVX23" s="720"/>
      <c r="NVY23" s="720"/>
      <c r="NVZ23" s="720"/>
      <c r="NWA23" s="720"/>
      <c r="NWB23" s="720"/>
      <c r="NWC23" s="720"/>
      <c r="NWD23" s="720"/>
      <c r="NWE23" s="720"/>
      <c r="NWF23" s="720"/>
      <c r="NWG23" s="720"/>
      <c r="NWH23" s="720"/>
      <c r="NWI23" s="720"/>
      <c r="NWJ23" s="720"/>
      <c r="NWK23" s="720"/>
      <c r="NWL23" s="720"/>
      <c r="NWM23" s="720"/>
      <c r="NWN23" s="720"/>
      <c r="NWO23" s="720"/>
      <c r="NWP23" s="720"/>
      <c r="NWQ23" s="720"/>
      <c r="NWR23" s="720"/>
      <c r="NWS23" s="720"/>
      <c r="NWT23" s="720"/>
      <c r="NWU23" s="720"/>
      <c r="NWV23" s="720"/>
      <c r="NWW23" s="720"/>
      <c r="NWX23" s="720"/>
      <c r="NWY23" s="720"/>
      <c r="NWZ23" s="720"/>
      <c r="NXA23" s="720"/>
      <c r="NXB23" s="720"/>
      <c r="NXC23" s="720"/>
      <c r="NXD23" s="720"/>
      <c r="NXE23" s="720"/>
      <c r="NXF23" s="720"/>
      <c r="NXG23" s="720"/>
      <c r="NXH23" s="720"/>
      <c r="NXI23" s="720"/>
      <c r="NXJ23" s="720"/>
      <c r="NXK23" s="720"/>
      <c r="NXL23" s="720"/>
      <c r="NXM23" s="720"/>
      <c r="NXN23" s="720"/>
      <c r="NXO23" s="720"/>
      <c r="NXP23" s="720"/>
      <c r="NXQ23" s="720"/>
      <c r="NXR23" s="720"/>
      <c r="NXS23" s="720"/>
      <c r="NXT23" s="720"/>
      <c r="NXU23" s="720"/>
      <c r="NXV23" s="720"/>
      <c r="NXW23" s="720"/>
      <c r="NXX23" s="720"/>
      <c r="NXY23" s="720"/>
      <c r="NXZ23" s="720"/>
      <c r="NYA23" s="720"/>
      <c r="NYB23" s="720"/>
      <c r="NYC23" s="720"/>
      <c r="NYD23" s="720"/>
      <c r="NYE23" s="720"/>
      <c r="NYF23" s="720"/>
      <c r="NYG23" s="720"/>
      <c r="NYH23" s="720"/>
      <c r="NYI23" s="720"/>
      <c r="NYJ23" s="720"/>
      <c r="NYK23" s="720"/>
      <c r="NYL23" s="720"/>
      <c r="NYM23" s="720"/>
      <c r="NYN23" s="720"/>
      <c r="NYO23" s="720"/>
      <c r="NYP23" s="720"/>
      <c r="NYQ23" s="720"/>
      <c r="NYR23" s="720"/>
      <c r="NYS23" s="720"/>
      <c r="NYT23" s="720"/>
      <c r="NYU23" s="720"/>
      <c r="NYV23" s="720"/>
      <c r="NYW23" s="720"/>
      <c r="NYX23" s="720"/>
      <c r="NYY23" s="720"/>
      <c r="NYZ23" s="720"/>
      <c r="NZA23" s="720"/>
      <c r="NZB23" s="720"/>
      <c r="NZC23" s="720"/>
      <c r="NZD23" s="720"/>
      <c r="NZE23" s="720"/>
      <c r="NZF23" s="720"/>
      <c r="NZG23" s="720"/>
      <c r="NZH23" s="720"/>
      <c r="NZI23" s="720"/>
      <c r="NZJ23" s="720"/>
      <c r="NZK23" s="720"/>
      <c r="NZL23" s="720"/>
      <c r="NZM23" s="720"/>
      <c r="NZN23" s="720"/>
      <c r="NZO23" s="720"/>
      <c r="NZP23" s="720"/>
      <c r="NZQ23" s="720"/>
      <c r="NZR23" s="720"/>
      <c r="NZS23" s="720"/>
      <c r="NZT23" s="720"/>
      <c r="NZU23" s="720"/>
      <c r="NZV23" s="720"/>
      <c r="NZW23" s="720"/>
      <c r="NZX23" s="720"/>
      <c r="NZY23" s="720"/>
      <c r="NZZ23" s="720"/>
      <c r="OAA23" s="720"/>
      <c r="OAB23" s="720"/>
      <c r="OAC23" s="720"/>
      <c r="OAD23" s="720"/>
      <c r="OAE23" s="720"/>
      <c r="OAF23" s="720"/>
      <c r="OAG23" s="720"/>
      <c r="OAH23" s="720"/>
      <c r="OAI23" s="720"/>
      <c r="OAJ23" s="720"/>
      <c r="OAK23" s="720"/>
      <c r="OAL23" s="720"/>
      <c r="OAM23" s="720"/>
      <c r="OAN23" s="720"/>
      <c r="OAO23" s="720"/>
      <c r="OAP23" s="720"/>
      <c r="OAQ23" s="720"/>
      <c r="OAR23" s="720"/>
      <c r="OAS23" s="720"/>
      <c r="OAT23" s="720"/>
      <c r="OAU23" s="720"/>
      <c r="OAV23" s="720"/>
      <c r="OAW23" s="720"/>
      <c r="OAX23" s="720"/>
      <c r="OAY23" s="720"/>
      <c r="OAZ23" s="720"/>
      <c r="OBA23" s="720"/>
      <c r="OBB23" s="720"/>
      <c r="OBC23" s="720"/>
      <c r="OBD23" s="720"/>
      <c r="OBE23" s="720"/>
      <c r="OBF23" s="720"/>
      <c r="OBG23" s="720"/>
      <c r="OBH23" s="720"/>
      <c r="OBI23" s="720"/>
      <c r="OBJ23" s="720"/>
      <c r="OBK23" s="720"/>
      <c r="OBL23" s="720"/>
      <c r="OBM23" s="720"/>
      <c r="OBN23" s="720"/>
      <c r="OBO23" s="720"/>
      <c r="OBP23" s="720"/>
      <c r="OBQ23" s="720"/>
      <c r="OBR23" s="720"/>
      <c r="OBS23" s="720"/>
      <c r="OBT23" s="720"/>
      <c r="OBU23" s="720"/>
      <c r="OBV23" s="720"/>
      <c r="OBW23" s="720"/>
      <c r="OBX23" s="720"/>
      <c r="OBY23" s="720"/>
      <c r="OBZ23" s="720"/>
      <c r="OCA23" s="720"/>
      <c r="OCB23" s="720"/>
      <c r="OCC23" s="720"/>
      <c r="OCD23" s="720"/>
      <c r="OCE23" s="720"/>
      <c r="OCF23" s="720"/>
      <c r="OCG23" s="720"/>
      <c r="OCH23" s="720"/>
      <c r="OCI23" s="720"/>
      <c r="OCJ23" s="720"/>
      <c r="OCK23" s="720"/>
      <c r="OCL23" s="720"/>
      <c r="OCM23" s="720"/>
      <c r="OCN23" s="720"/>
      <c r="OCO23" s="720"/>
      <c r="OCP23" s="720"/>
      <c r="OCQ23" s="720"/>
      <c r="OCR23" s="720"/>
      <c r="OCS23" s="720"/>
      <c r="OCT23" s="720"/>
      <c r="OCU23" s="720"/>
      <c r="OCV23" s="720"/>
      <c r="OCW23" s="720"/>
      <c r="OCX23" s="720"/>
      <c r="OCY23" s="720"/>
      <c r="OCZ23" s="720"/>
      <c r="ODA23" s="720"/>
      <c r="ODB23" s="720"/>
      <c r="ODC23" s="720"/>
      <c r="ODD23" s="720"/>
      <c r="ODE23" s="720"/>
      <c r="ODF23" s="720"/>
      <c r="ODG23" s="720"/>
      <c r="ODH23" s="720"/>
      <c r="ODI23" s="720"/>
      <c r="ODJ23" s="720"/>
      <c r="ODK23" s="720"/>
      <c r="ODL23" s="720"/>
      <c r="ODM23" s="720"/>
      <c r="ODN23" s="720"/>
      <c r="ODO23" s="720"/>
      <c r="ODP23" s="720"/>
      <c r="ODQ23" s="720"/>
      <c r="ODR23" s="720"/>
      <c r="ODS23" s="720"/>
      <c r="ODT23" s="720"/>
      <c r="ODU23" s="720"/>
      <c r="ODV23" s="720"/>
      <c r="ODW23" s="720"/>
      <c r="ODX23" s="720"/>
      <c r="ODY23" s="720"/>
      <c r="ODZ23" s="720"/>
      <c r="OEA23" s="720"/>
      <c r="OEB23" s="720"/>
      <c r="OEC23" s="720"/>
      <c r="OED23" s="720"/>
      <c r="OEE23" s="720"/>
      <c r="OEF23" s="720"/>
      <c r="OEG23" s="720"/>
      <c r="OEH23" s="720"/>
      <c r="OEI23" s="720"/>
      <c r="OEJ23" s="720"/>
      <c r="OEK23" s="720"/>
      <c r="OEL23" s="720"/>
      <c r="OEM23" s="720"/>
      <c r="OEN23" s="720"/>
      <c r="OEO23" s="720"/>
      <c r="OEP23" s="720"/>
      <c r="OEQ23" s="720"/>
      <c r="OER23" s="720"/>
      <c r="OES23" s="720"/>
      <c r="OET23" s="720"/>
      <c r="OEU23" s="720"/>
      <c r="OEV23" s="720"/>
      <c r="OEW23" s="720"/>
      <c r="OEX23" s="720"/>
      <c r="OEY23" s="720"/>
      <c r="OEZ23" s="720"/>
      <c r="OFA23" s="720"/>
      <c r="OFB23" s="720"/>
      <c r="OFC23" s="720"/>
      <c r="OFD23" s="720"/>
      <c r="OFE23" s="720"/>
      <c r="OFF23" s="720"/>
      <c r="OFG23" s="720"/>
      <c r="OFH23" s="720"/>
      <c r="OFI23" s="720"/>
      <c r="OFJ23" s="720"/>
      <c r="OFK23" s="720"/>
      <c r="OFL23" s="720"/>
      <c r="OFM23" s="720"/>
      <c r="OFN23" s="720"/>
      <c r="OFO23" s="720"/>
      <c r="OFP23" s="720"/>
      <c r="OFQ23" s="720"/>
      <c r="OFR23" s="720"/>
      <c r="OFS23" s="720"/>
      <c r="OFT23" s="720"/>
      <c r="OFU23" s="720"/>
      <c r="OFV23" s="720"/>
      <c r="OFW23" s="720"/>
      <c r="OFX23" s="720"/>
      <c r="OFY23" s="720"/>
      <c r="OFZ23" s="720"/>
      <c r="OGA23" s="720"/>
      <c r="OGB23" s="720"/>
      <c r="OGC23" s="720"/>
      <c r="OGD23" s="720"/>
      <c r="OGE23" s="720"/>
      <c r="OGF23" s="720"/>
      <c r="OGG23" s="720"/>
      <c r="OGH23" s="720"/>
      <c r="OGI23" s="720"/>
      <c r="OGJ23" s="720"/>
      <c r="OGK23" s="720"/>
      <c r="OGL23" s="720"/>
      <c r="OGM23" s="720"/>
      <c r="OGN23" s="720"/>
      <c r="OGO23" s="720"/>
      <c r="OGP23" s="720"/>
      <c r="OGQ23" s="720"/>
      <c r="OGR23" s="720"/>
      <c r="OGS23" s="720"/>
      <c r="OGT23" s="720"/>
      <c r="OGU23" s="720"/>
      <c r="OGV23" s="720"/>
      <c r="OGW23" s="720"/>
      <c r="OGX23" s="720"/>
      <c r="OGY23" s="720"/>
      <c r="OGZ23" s="720"/>
      <c r="OHA23" s="720"/>
      <c r="OHB23" s="720"/>
      <c r="OHC23" s="720"/>
      <c r="OHD23" s="720"/>
      <c r="OHE23" s="720"/>
      <c r="OHF23" s="720"/>
      <c r="OHG23" s="720"/>
      <c r="OHH23" s="720"/>
      <c r="OHI23" s="720"/>
      <c r="OHJ23" s="720"/>
      <c r="OHK23" s="720"/>
      <c r="OHL23" s="720"/>
      <c r="OHM23" s="720"/>
      <c r="OHN23" s="720"/>
      <c r="OHO23" s="720"/>
      <c r="OHP23" s="720"/>
      <c r="OHQ23" s="720"/>
      <c r="OHR23" s="720"/>
      <c r="OHS23" s="720"/>
      <c r="OHT23" s="720"/>
      <c r="OHU23" s="720"/>
      <c r="OHV23" s="720"/>
      <c r="OHW23" s="720"/>
      <c r="OHX23" s="720"/>
      <c r="OHY23" s="720"/>
      <c r="OHZ23" s="720"/>
      <c r="OIA23" s="720"/>
      <c r="OIB23" s="720"/>
      <c r="OIC23" s="720"/>
      <c r="OID23" s="720"/>
      <c r="OIE23" s="720"/>
      <c r="OIF23" s="720"/>
      <c r="OIG23" s="720"/>
      <c r="OIH23" s="720"/>
      <c r="OII23" s="720"/>
      <c r="OIJ23" s="720"/>
      <c r="OIK23" s="720"/>
      <c r="OIL23" s="720"/>
      <c r="OIM23" s="720"/>
      <c r="OIN23" s="720"/>
      <c r="OIO23" s="720"/>
      <c r="OIP23" s="720"/>
      <c r="OIQ23" s="720"/>
      <c r="OIR23" s="720"/>
      <c r="OIS23" s="720"/>
      <c r="OIT23" s="720"/>
      <c r="OIU23" s="720"/>
      <c r="OIV23" s="720"/>
      <c r="OIW23" s="720"/>
      <c r="OIX23" s="720"/>
      <c r="OIY23" s="720"/>
      <c r="OIZ23" s="720"/>
      <c r="OJA23" s="720"/>
      <c r="OJB23" s="720"/>
      <c r="OJC23" s="720"/>
      <c r="OJD23" s="720"/>
      <c r="OJE23" s="720"/>
      <c r="OJF23" s="720"/>
      <c r="OJG23" s="720"/>
      <c r="OJH23" s="720"/>
      <c r="OJI23" s="720"/>
      <c r="OJJ23" s="720"/>
      <c r="OJK23" s="720"/>
      <c r="OJL23" s="720"/>
      <c r="OJM23" s="720"/>
      <c r="OJN23" s="720"/>
      <c r="OJO23" s="720"/>
      <c r="OJP23" s="720"/>
      <c r="OJQ23" s="720"/>
      <c r="OJR23" s="720"/>
      <c r="OJS23" s="720"/>
      <c r="OJT23" s="720"/>
      <c r="OJU23" s="720"/>
      <c r="OJV23" s="720"/>
      <c r="OJW23" s="720"/>
      <c r="OJX23" s="720"/>
      <c r="OJY23" s="720"/>
      <c r="OJZ23" s="720"/>
      <c r="OKA23" s="720"/>
      <c r="OKB23" s="720"/>
      <c r="OKC23" s="720"/>
      <c r="OKD23" s="720"/>
      <c r="OKE23" s="720"/>
      <c r="OKF23" s="720"/>
      <c r="OKG23" s="720"/>
      <c r="OKH23" s="720"/>
      <c r="OKI23" s="720"/>
      <c r="OKJ23" s="720"/>
      <c r="OKK23" s="720"/>
      <c r="OKL23" s="720"/>
      <c r="OKM23" s="720"/>
      <c r="OKN23" s="720"/>
      <c r="OKO23" s="720"/>
      <c r="OKP23" s="720"/>
      <c r="OKQ23" s="720"/>
      <c r="OKR23" s="720"/>
      <c r="OKS23" s="720"/>
      <c r="OKT23" s="720"/>
      <c r="OKU23" s="720"/>
      <c r="OKV23" s="720"/>
      <c r="OKW23" s="720"/>
      <c r="OKX23" s="720"/>
      <c r="OKY23" s="720"/>
      <c r="OKZ23" s="720"/>
      <c r="OLA23" s="720"/>
      <c r="OLB23" s="720"/>
      <c r="OLC23" s="720"/>
      <c r="OLD23" s="720"/>
      <c r="OLE23" s="720"/>
      <c r="OLF23" s="720"/>
      <c r="OLG23" s="720"/>
      <c r="OLH23" s="720"/>
      <c r="OLI23" s="720"/>
      <c r="OLJ23" s="720"/>
      <c r="OLK23" s="720"/>
      <c r="OLL23" s="720"/>
      <c r="OLM23" s="720"/>
      <c r="OLN23" s="720"/>
      <c r="OLO23" s="720"/>
      <c r="OLP23" s="720"/>
      <c r="OLQ23" s="720"/>
      <c r="OLR23" s="720"/>
      <c r="OLS23" s="720"/>
      <c r="OLT23" s="720"/>
      <c r="OLU23" s="720"/>
      <c r="OLV23" s="720"/>
      <c r="OLW23" s="720"/>
      <c r="OLX23" s="720"/>
      <c r="OLY23" s="720"/>
      <c r="OLZ23" s="720"/>
      <c r="OMA23" s="720"/>
      <c r="OMB23" s="720"/>
      <c r="OMC23" s="720"/>
      <c r="OMD23" s="720"/>
      <c r="OME23" s="720"/>
      <c r="OMF23" s="720"/>
      <c r="OMG23" s="720"/>
      <c r="OMH23" s="720"/>
      <c r="OMI23" s="720"/>
      <c r="OMJ23" s="720"/>
      <c r="OMK23" s="720"/>
      <c r="OML23" s="720"/>
      <c r="OMM23" s="720"/>
      <c r="OMN23" s="720"/>
      <c r="OMO23" s="720"/>
      <c r="OMP23" s="720"/>
      <c r="OMQ23" s="720"/>
      <c r="OMR23" s="720"/>
      <c r="OMS23" s="720"/>
      <c r="OMT23" s="720"/>
      <c r="OMU23" s="720"/>
      <c r="OMV23" s="720"/>
      <c r="OMW23" s="720"/>
      <c r="OMX23" s="720"/>
      <c r="OMY23" s="720"/>
      <c r="OMZ23" s="720"/>
      <c r="ONA23" s="720"/>
      <c r="ONB23" s="720"/>
      <c r="ONC23" s="720"/>
      <c r="OND23" s="720"/>
      <c r="ONE23" s="720"/>
      <c r="ONF23" s="720"/>
      <c r="ONG23" s="720"/>
      <c r="ONH23" s="720"/>
      <c r="ONI23" s="720"/>
      <c r="ONJ23" s="720"/>
      <c r="ONK23" s="720"/>
      <c r="ONL23" s="720"/>
      <c r="ONM23" s="720"/>
      <c r="ONN23" s="720"/>
      <c r="ONO23" s="720"/>
      <c r="ONP23" s="720"/>
      <c r="ONQ23" s="720"/>
      <c r="ONR23" s="720"/>
      <c r="ONS23" s="720"/>
      <c r="ONT23" s="720"/>
      <c r="ONU23" s="720"/>
      <c r="ONV23" s="720"/>
      <c r="ONW23" s="720"/>
      <c r="ONX23" s="720"/>
      <c r="ONY23" s="720"/>
      <c r="ONZ23" s="720"/>
      <c r="OOA23" s="720"/>
      <c r="OOB23" s="720"/>
      <c r="OOC23" s="720"/>
      <c r="OOD23" s="720"/>
      <c r="OOE23" s="720"/>
      <c r="OOF23" s="720"/>
      <c r="OOG23" s="720"/>
      <c r="OOH23" s="720"/>
      <c r="OOI23" s="720"/>
      <c r="OOJ23" s="720"/>
      <c r="OOK23" s="720"/>
      <c r="OOL23" s="720"/>
      <c r="OOM23" s="720"/>
      <c r="OON23" s="720"/>
      <c r="OOO23" s="720"/>
      <c r="OOP23" s="720"/>
      <c r="OOQ23" s="720"/>
      <c r="OOR23" s="720"/>
      <c r="OOS23" s="720"/>
      <c r="OOT23" s="720"/>
      <c r="OOU23" s="720"/>
      <c r="OOV23" s="720"/>
      <c r="OOW23" s="720"/>
      <c r="OOX23" s="720"/>
      <c r="OOY23" s="720"/>
      <c r="OOZ23" s="720"/>
      <c r="OPA23" s="720"/>
      <c r="OPB23" s="720"/>
      <c r="OPC23" s="720"/>
      <c r="OPD23" s="720"/>
      <c r="OPE23" s="720"/>
      <c r="OPF23" s="720"/>
      <c r="OPG23" s="720"/>
      <c r="OPH23" s="720"/>
      <c r="OPI23" s="720"/>
      <c r="OPJ23" s="720"/>
      <c r="OPK23" s="720"/>
      <c r="OPL23" s="720"/>
      <c r="OPM23" s="720"/>
      <c r="OPN23" s="720"/>
      <c r="OPO23" s="720"/>
      <c r="OPP23" s="720"/>
      <c r="OPQ23" s="720"/>
      <c r="OPR23" s="720"/>
      <c r="OPS23" s="720"/>
      <c r="OPT23" s="720"/>
      <c r="OPU23" s="720"/>
      <c r="OPV23" s="720"/>
      <c r="OPW23" s="720"/>
      <c r="OPX23" s="720"/>
      <c r="OPY23" s="720"/>
      <c r="OPZ23" s="720"/>
      <c r="OQA23" s="720"/>
      <c r="OQB23" s="720"/>
      <c r="OQC23" s="720"/>
      <c r="OQD23" s="720"/>
      <c r="OQE23" s="720"/>
      <c r="OQF23" s="720"/>
      <c r="OQG23" s="720"/>
      <c r="OQH23" s="720"/>
      <c r="OQI23" s="720"/>
      <c r="OQJ23" s="720"/>
      <c r="OQK23" s="720"/>
      <c r="OQL23" s="720"/>
      <c r="OQM23" s="720"/>
      <c r="OQN23" s="720"/>
      <c r="OQO23" s="720"/>
      <c r="OQP23" s="720"/>
      <c r="OQQ23" s="720"/>
      <c r="OQR23" s="720"/>
      <c r="OQS23" s="720"/>
      <c r="OQT23" s="720"/>
      <c r="OQU23" s="720"/>
      <c r="OQV23" s="720"/>
      <c r="OQW23" s="720"/>
      <c r="OQX23" s="720"/>
      <c r="OQY23" s="720"/>
      <c r="OQZ23" s="720"/>
      <c r="ORA23" s="720"/>
      <c r="ORB23" s="720"/>
      <c r="ORC23" s="720"/>
      <c r="ORD23" s="720"/>
      <c r="ORE23" s="720"/>
      <c r="ORF23" s="720"/>
      <c r="ORG23" s="720"/>
      <c r="ORH23" s="720"/>
      <c r="ORI23" s="720"/>
      <c r="ORJ23" s="720"/>
      <c r="ORK23" s="720"/>
      <c r="ORL23" s="720"/>
      <c r="ORM23" s="720"/>
      <c r="ORN23" s="720"/>
      <c r="ORO23" s="720"/>
      <c r="ORP23" s="720"/>
      <c r="ORQ23" s="720"/>
      <c r="ORR23" s="720"/>
      <c r="ORS23" s="720"/>
      <c r="ORT23" s="720"/>
      <c r="ORU23" s="720"/>
      <c r="ORV23" s="720"/>
      <c r="ORW23" s="720"/>
      <c r="ORX23" s="720"/>
      <c r="ORY23" s="720"/>
      <c r="ORZ23" s="720"/>
      <c r="OSA23" s="720"/>
      <c r="OSB23" s="720"/>
      <c r="OSC23" s="720"/>
      <c r="OSD23" s="720"/>
      <c r="OSE23" s="720"/>
      <c r="OSF23" s="720"/>
      <c r="OSG23" s="720"/>
      <c r="OSH23" s="720"/>
      <c r="OSI23" s="720"/>
      <c r="OSJ23" s="720"/>
      <c r="OSK23" s="720"/>
      <c r="OSL23" s="720"/>
      <c r="OSM23" s="720"/>
      <c r="OSN23" s="720"/>
      <c r="OSO23" s="720"/>
      <c r="OSP23" s="720"/>
      <c r="OSQ23" s="720"/>
      <c r="OSR23" s="720"/>
      <c r="OSS23" s="720"/>
      <c r="OST23" s="720"/>
      <c r="OSU23" s="720"/>
      <c r="OSV23" s="720"/>
      <c r="OSW23" s="720"/>
      <c r="OSX23" s="720"/>
      <c r="OSY23" s="720"/>
      <c r="OSZ23" s="720"/>
      <c r="OTA23" s="720"/>
      <c r="OTB23" s="720"/>
      <c r="OTC23" s="720"/>
      <c r="OTD23" s="720"/>
      <c r="OTE23" s="720"/>
      <c r="OTF23" s="720"/>
      <c r="OTG23" s="720"/>
      <c r="OTH23" s="720"/>
      <c r="OTI23" s="720"/>
      <c r="OTJ23" s="720"/>
      <c r="OTK23" s="720"/>
      <c r="OTL23" s="720"/>
      <c r="OTM23" s="720"/>
      <c r="OTN23" s="720"/>
      <c r="OTO23" s="720"/>
      <c r="OTP23" s="720"/>
      <c r="OTQ23" s="720"/>
      <c r="OTR23" s="720"/>
      <c r="OTS23" s="720"/>
      <c r="OTT23" s="720"/>
      <c r="OTU23" s="720"/>
      <c r="OTV23" s="720"/>
      <c r="OTW23" s="720"/>
      <c r="OTX23" s="720"/>
      <c r="OTY23" s="720"/>
      <c r="OTZ23" s="720"/>
      <c r="OUA23" s="720"/>
      <c r="OUB23" s="720"/>
      <c r="OUC23" s="720"/>
      <c r="OUD23" s="720"/>
      <c r="OUE23" s="720"/>
      <c r="OUF23" s="720"/>
      <c r="OUG23" s="720"/>
      <c r="OUH23" s="720"/>
      <c r="OUI23" s="720"/>
      <c r="OUJ23" s="720"/>
      <c r="OUK23" s="720"/>
      <c r="OUL23" s="720"/>
      <c r="OUM23" s="720"/>
      <c r="OUN23" s="720"/>
      <c r="OUO23" s="720"/>
      <c r="OUP23" s="720"/>
      <c r="OUQ23" s="720"/>
      <c r="OUR23" s="720"/>
      <c r="OUS23" s="720"/>
      <c r="OUT23" s="720"/>
      <c r="OUU23" s="720"/>
      <c r="OUV23" s="720"/>
      <c r="OUW23" s="720"/>
      <c r="OUX23" s="720"/>
      <c r="OUY23" s="720"/>
      <c r="OUZ23" s="720"/>
      <c r="OVA23" s="720"/>
      <c r="OVB23" s="720"/>
      <c r="OVC23" s="720"/>
      <c r="OVD23" s="720"/>
      <c r="OVE23" s="720"/>
      <c r="OVF23" s="720"/>
      <c r="OVG23" s="720"/>
      <c r="OVH23" s="720"/>
      <c r="OVI23" s="720"/>
      <c r="OVJ23" s="720"/>
      <c r="OVK23" s="720"/>
      <c r="OVL23" s="720"/>
      <c r="OVM23" s="720"/>
      <c r="OVN23" s="720"/>
      <c r="OVO23" s="720"/>
      <c r="OVP23" s="720"/>
      <c r="OVQ23" s="720"/>
      <c r="OVR23" s="720"/>
      <c r="OVS23" s="720"/>
      <c r="OVT23" s="720"/>
      <c r="OVU23" s="720"/>
      <c r="OVV23" s="720"/>
      <c r="OVW23" s="720"/>
      <c r="OVX23" s="720"/>
      <c r="OVY23" s="720"/>
      <c r="OVZ23" s="720"/>
      <c r="OWA23" s="720"/>
      <c r="OWB23" s="720"/>
      <c r="OWC23" s="720"/>
      <c r="OWD23" s="720"/>
      <c r="OWE23" s="720"/>
      <c r="OWF23" s="720"/>
      <c r="OWG23" s="720"/>
      <c r="OWH23" s="720"/>
      <c r="OWI23" s="720"/>
      <c r="OWJ23" s="720"/>
      <c r="OWK23" s="720"/>
      <c r="OWL23" s="720"/>
      <c r="OWM23" s="720"/>
      <c r="OWN23" s="720"/>
      <c r="OWO23" s="720"/>
      <c r="OWP23" s="720"/>
      <c r="OWQ23" s="720"/>
      <c r="OWR23" s="720"/>
      <c r="OWS23" s="720"/>
      <c r="OWT23" s="720"/>
      <c r="OWU23" s="720"/>
      <c r="OWV23" s="720"/>
      <c r="OWW23" s="720"/>
      <c r="OWX23" s="720"/>
      <c r="OWY23" s="720"/>
      <c r="OWZ23" s="720"/>
      <c r="OXA23" s="720"/>
      <c r="OXB23" s="720"/>
      <c r="OXC23" s="720"/>
      <c r="OXD23" s="720"/>
      <c r="OXE23" s="720"/>
      <c r="OXF23" s="720"/>
      <c r="OXG23" s="720"/>
      <c r="OXH23" s="720"/>
      <c r="OXI23" s="720"/>
      <c r="OXJ23" s="720"/>
      <c r="OXK23" s="720"/>
      <c r="OXL23" s="720"/>
      <c r="OXM23" s="720"/>
      <c r="OXN23" s="720"/>
      <c r="OXO23" s="720"/>
      <c r="OXP23" s="720"/>
      <c r="OXQ23" s="720"/>
      <c r="OXR23" s="720"/>
      <c r="OXS23" s="720"/>
      <c r="OXT23" s="720"/>
      <c r="OXU23" s="720"/>
      <c r="OXV23" s="720"/>
      <c r="OXW23" s="720"/>
      <c r="OXX23" s="720"/>
      <c r="OXY23" s="720"/>
      <c r="OXZ23" s="720"/>
      <c r="OYA23" s="720"/>
      <c r="OYB23" s="720"/>
      <c r="OYC23" s="720"/>
      <c r="OYD23" s="720"/>
      <c r="OYE23" s="720"/>
      <c r="OYF23" s="720"/>
      <c r="OYG23" s="720"/>
      <c r="OYH23" s="720"/>
      <c r="OYI23" s="720"/>
      <c r="OYJ23" s="720"/>
      <c r="OYK23" s="720"/>
      <c r="OYL23" s="720"/>
      <c r="OYM23" s="720"/>
      <c r="OYN23" s="720"/>
      <c r="OYO23" s="720"/>
      <c r="OYP23" s="720"/>
      <c r="OYQ23" s="720"/>
      <c r="OYR23" s="720"/>
      <c r="OYS23" s="720"/>
      <c r="OYT23" s="720"/>
      <c r="OYU23" s="720"/>
      <c r="OYV23" s="720"/>
      <c r="OYW23" s="720"/>
      <c r="OYX23" s="720"/>
      <c r="OYY23" s="720"/>
      <c r="OYZ23" s="720"/>
      <c r="OZA23" s="720"/>
      <c r="OZB23" s="720"/>
      <c r="OZC23" s="720"/>
      <c r="OZD23" s="720"/>
      <c r="OZE23" s="720"/>
      <c r="OZF23" s="720"/>
      <c r="OZG23" s="720"/>
      <c r="OZH23" s="720"/>
      <c r="OZI23" s="720"/>
      <c r="OZJ23" s="720"/>
      <c r="OZK23" s="720"/>
      <c r="OZL23" s="720"/>
      <c r="OZM23" s="720"/>
      <c r="OZN23" s="720"/>
      <c r="OZO23" s="720"/>
      <c r="OZP23" s="720"/>
      <c r="OZQ23" s="720"/>
      <c r="OZR23" s="720"/>
      <c r="OZS23" s="720"/>
      <c r="OZT23" s="720"/>
      <c r="OZU23" s="720"/>
      <c r="OZV23" s="720"/>
      <c r="OZW23" s="720"/>
      <c r="OZX23" s="720"/>
      <c r="OZY23" s="720"/>
      <c r="OZZ23" s="720"/>
      <c r="PAA23" s="720"/>
      <c r="PAB23" s="720"/>
      <c r="PAC23" s="720"/>
      <c r="PAD23" s="720"/>
      <c r="PAE23" s="720"/>
      <c r="PAF23" s="720"/>
      <c r="PAG23" s="720"/>
      <c r="PAH23" s="720"/>
      <c r="PAI23" s="720"/>
      <c r="PAJ23" s="720"/>
      <c r="PAK23" s="720"/>
      <c r="PAL23" s="720"/>
      <c r="PAM23" s="720"/>
      <c r="PAN23" s="720"/>
      <c r="PAO23" s="720"/>
      <c r="PAP23" s="720"/>
      <c r="PAQ23" s="720"/>
      <c r="PAR23" s="720"/>
      <c r="PAS23" s="720"/>
      <c r="PAT23" s="720"/>
      <c r="PAU23" s="720"/>
      <c r="PAV23" s="720"/>
      <c r="PAW23" s="720"/>
      <c r="PAX23" s="720"/>
      <c r="PAY23" s="720"/>
      <c r="PAZ23" s="720"/>
      <c r="PBA23" s="720"/>
      <c r="PBB23" s="720"/>
      <c r="PBC23" s="720"/>
      <c r="PBD23" s="720"/>
      <c r="PBE23" s="720"/>
      <c r="PBF23" s="720"/>
      <c r="PBG23" s="720"/>
      <c r="PBH23" s="720"/>
      <c r="PBI23" s="720"/>
      <c r="PBJ23" s="720"/>
      <c r="PBK23" s="720"/>
      <c r="PBL23" s="720"/>
      <c r="PBM23" s="720"/>
      <c r="PBN23" s="720"/>
      <c r="PBO23" s="720"/>
      <c r="PBP23" s="720"/>
      <c r="PBQ23" s="720"/>
      <c r="PBR23" s="720"/>
      <c r="PBS23" s="720"/>
      <c r="PBT23" s="720"/>
      <c r="PBU23" s="720"/>
      <c r="PBV23" s="720"/>
      <c r="PBW23" s="720"/>
      <c r="PBX23" s="720"/>
      <c r="PBY23" s="720"/>
      <c r="PBZ23" s="720"/>
      <c r="PCA23" s="720"/>
      <c r="PCB23" s="720"/>
      <c r="PCC23" s="720"/>
      <c r="PCD23" s="720"/>
      <c r="PCE23" s="720"/>
      <c r="PCF23" s="720"/>
      <c r="PCG23" s="720"/>
      <c r="PCH23" s="720"/>
      <c r="PCI23" s="720"/>
      <c r="PCJ23" s="720"/>
      <c r="PCK23" s="720"/>
      <c r="PCL23" s="720"/>
      <c r="PCM23" s="720"/>
      <c r="PCN23" s="720"/>
      <c r="PCO23" s="720"/>
      <c r="PCP23" s="720"/>
      <c r="PCQ23" s="720"/>
      <c r="PCR23" s="720"/>
      <c r="PCS23" s="720"/>
      <c r="PCT23" s="720"/>
      <c r="PCU23" s="720"/>
      <c r="PCV23" s="720"/>
      <c r="PCW23" s="720"/>
      <c r="PCX23" s="720"/>
      <c r="PCY23" s="720"/>
      <c r="PCZ23" s="720"/>
      <c r="PDA23" s="720"/>
      <c r="PDB23" s="720"/>
      <c r="PDC23" s="720"/>
      <c r="PDD23" s="720"/>
      <c r="PDE23" s="720"/>
      <c r="PDF23" s="720"/>
      <c r="PDG23" s="720"/>
      <c r="PDH23" s="720"/>
      <c r="PDI23" s="720"/>
      <c r="PDJ23" s="720"/>
      <c r="PDK23" s="720"/>
      <c r="PDL23" s="720"/>
      <c r="PDM23" s="720"/>
      <c r="PDN23" s="720"/>
      <c r="PDO23" s="720"/>
      <c r="PDP23" s="720"/>
      <c r="PDQ23" s="720"/>
      <c r="PDR23" s="720"/>
      <c r="PDS23" s="720"/>
      <c r="PDT23" s="720"/>
      <c r="PDU23" s="720"/>
      <c r="PDV23" s="720"/>
      <c r="PDW23" s="720"/>
      <c r="PDX23" s="720"/>
      <c r="PDY23" s="720"/>
      <c r="PDZ23" s="720"/>
      <c r="PEA23" s="720"/>
      <c r="PEB23" s="720"/>
      <c r="PEC23" s="720"/>
      <c r="PED23" s="720"/>
      <c r="PEE23" s="720"/>
      <c r="PEF23" s="720"/>
      <c r="PEG23" s="720"/>
      <c r="PEH23" s="720"/>
      <c r="PEI23" s="720"/>
      <c r="PEJ23" s="720"/>
      <c r="PEK23" s="720"/>
      <c r="PEL23" s="720"/>
      <c r="PEM23" s="720"/>
      <c r="PEN23" s="720"/>
      <c r="PEO23" s="720"/>
      <c r="PEP23" s="720"/>
      <c r="PEQ23" s="720"/>
      <c r="PER23" s="720"/>
      <c r="PES23" s="720"/>
      <c r="PET23" s="720"/>
      <c r="PEU23" s="720"/>
      <c r="PEV23" s="720"/>
      <c r="PEW23" s="720"/>
      <c r="PEX23" s="720"/>
      <c r="PEY23" s="720"/>
      <c r="PEZ23" s="720"/>
      <c r="PFA23" s="720"/>
      <c r="PFB23" s="720"/>
      <c r="PFC23" s="720"/>
      <c r="PFD23" s="720"/>
      <c r="PFE23" s="720"/>
      <c r="PFF23" s="720"/>
      <c r="PFG23" s="720"/>
      <c r="PFH23" s="720"/>
      <c r="PFI23" s="720"/>
      <c r="PFJ23" s="720"/>
      <c r="PFK23" s="720"/>
      <c r="PFL23" s="720"/>
      <c r="PFM23" s="720"/>
      <c r="PFN23" s="720"/>
      <c r="PFO23" s="720"/>
      <c r="PFP23" s="720"/>
      <c r="PFQ23" s="720"/>
      <c r="PFR23" s="720"/>
      <c r="PFS23" s="720"/>
      <c r="PFT23" s="720"/>
      <c r="PFU23" s="720"/>
      <c r="PFV23" s="720"/>
      <c r="PFW23" s="720"/>
      <c r="PFX23" s="720"/>
      <c r="PFY23" s="720"/>
      <c r="PFZ23" s="720"/>
      <c r="PGA23" s="720"/>
      <c r="PGB23" s="720"/>
      <c r="PGC23" s="720"/>
      <c r="PGD23" s="720"/>
      <c r="PGE23" s="720"/>
      <c r="PGF23" s="720"/>
      <c r="PGG23" s="720"/>
      <c r="PGH23" s="720"/>
      <c r="PGI23" s="720"/>
      <c r="PGJ23" s="720"/>
      <c r="PGK23" s="720"/>
      <c r="PGL23" s="720"/>
      <c r="PGM23" s="720"/>
      <c r="PGN23" s="720"/>
      <c r="PGO23" s="720"/>
      <c r="PGP23" s="720"/>
      <c r="PGQ23" s="720"/>
      <c r="PGR23" s="720"/>
      <c r="PGS23" s="720"/>
      <c r="PGT23" s="720"/>
      <c r="PGU23" s="720"/>
      <c r="PGV23" s="720"/>
      <c r="PGW23" s="720"/>
      <c r="PGX23" s="720"/>
      <c r="PGY23" s="720"/>
      <c r="PGZ23" s="720"/>
      <c r="PHA23" s="720"/>
      <c r="PHB23" s="720"/>
      <c r="PHC23" s="720"/>
      <c r="PHD23" s="720"/>
      <c r="PHE23" s="720"/>
      <c r="PHF23" s="720"/>
      <c r="PHG23" s="720"/>
      <c r="PHH23" s="720"/>
      <c r="PHI23" s="720"/>
      <c r="PHJ23" s="720"/>
      <c r="PHK23" s="720"/>
      <c r="PHL23" s="720"/>
      <c r="PHM23" s="720"/>
      <c r="PHN23" s="720"/>
      <c r="PHO23" s="720"/>
      <c r="PHP23" s="720"/>
      <c r="PHQ23" s="720"/>
      <c r="PHR23" s="720"/>
      <c r="PHS23" s="720"/>
      <c r="PHT23" s="720"/>
      <c r="PHU23" s="720"/>
      <c r="PHV23" s="720"/>
      <c r="PHW23" s="720"/>
      <c r="PHX23" s="720"/>
      <c r="PHY23" s="720"/>
      <c r="PHZ23" s="720"/>
      <c r="PIA23" s="720"/>
      <c r="PIB23" s="720"/>
      <c r="PIC23" s="720"/>
      <c r="PID23" s="720"/>
      <c r="PIE23" s="720"/>
      <c r="PIF23" s="720"/>
      <c r="PIG23" s="720"/>
      <c r="PIH23" s="720"/>
      <c r="PII23" s="720"/>
      <c r="PIJ23" s="720"/>
      <c r="PIK23" s="720"/>
      <c r="PIL23" s="720"/>
      <c r="PIM23" s="720"/>
      <c r="PIN23" s="720"/>
      <c r="PIO23" s="720"/>
      <c r="PIP23" s="720"/>
      <c r="PIQ23" s="720"/>
      <c r="PIR23" s="720"/>
      <c r="PIS23" s="720"/>
      <c r="PIT23" s="720"/>
      <c r="PIU23" s="720"/>
      <c r="PIV23" s="720"/>
      <c r="PIW23" s="720"/>
      <c r="PIX23" s="720"/>
      <c r="PIY23" s="720"/>
      <c r="PIZ23" s="720"/>
      <c r="PJA23" s="720"/>
      <c r="PJB23" s="720"/>
      <c r="PJC23" s="720"/>
      <c r="PJD23" s="720"/>
      <c r="PJE23" s="720"/>
      <c r="PJF23" s="720"/>
      <c r="PJG23" s="720"/>
      <c r="PJH23" s="720"/>
      <c r="PJI23" s="720"/>
      <c r="PJJ23" s="720"/>
      <c r="PJK23" s="720"/>
      <c r="PJL23" s="720"/>
      <c r="PJM23" s="720"/>
      <c r="PJN23" s="720"/>
      <c r="PJO23" s="720"/>
      <c r="PJP23" s="720"/>
      <c r="PJQ23" s="720"/>
      <c r="PJR23" s="720"/>
      <c r="PJS23" s="720"/>
      <c r="PJT23" s="720"/>
      <c r="PJU23" s="720"/>
      <c r="PJV23" s="720"/>
      <c r="PJW23" s="720"/>
      <c r="PJX23" s="720"/>
      <c r="PJY23" s="720"/>
      <c r="PJZ23" s="720"/>
      <c r="PKA23" s="720"/>
      <c r="PKB23" s="720"/>
      <c r="PKC23" s="720"/>
      <c r="PKD23" s="720"/>
      <c r="PKE23" s="720"/>
      <c r="PKF23" s="720"/>
      <c r="PKG23" s="720"/>
      <c r="PKH23" s="720"/>
      <c r="PKI23" s="720"/>
      <c r="PKJ23" s="720"/>
      <c r="PKK23" s="720"/>
      <c r="PKL23" s="720"/>
      <c r="PKM23" s="720"/>
      <c r="PKN23" s="720"/>
      <c r="PKO23" s="720"/>
      <c r="PKP23" s="720"/>
      <c r="PKQ23" s="720"/>
      <c r="PKR23" s="720"/>
      <c r="PKS23" s="720"/>
      <c r="PKT23" s="720"/>
      <c r="PKU23" s="720"/>
      <c r="PKV23" s="720"/>
      <c r="PKW23" s="720"/>
      <c r="PKX23" s="720"/>
      <c r="PKY23" s="720"/>
      <c r="PKZ23" s="720"/>
      <c r="PLA23" s="720"/>
      <c r="PLB23" s="720"/>
      <c r="PLC23" s="720"/>
      <c r="PLD23" s="720"/>
      <c r="PLE23" s="720"/>
      <c r="PLF23" s="720"/>
      <c r="PLG23" s="720"/>
      <c r="PLH23" s="720"/>
      <c r="PLI23" s="720"/>
      <c r="PLJ23" s="720"/>
      <c r="PLK23" s="720"/>
      <c r="PLL23" s="720"/>
      <c r="PLM23" s="720"/>
      <c r="PLN23" s="720"/>
      <c r="PLO23" s="720"/>
      <c r="PLP23" s="720"/>
      <c r="PLQ23" s="720"/>
      <c r="PLR23" s="720"/>
      <c r="PLS23" s="720"/>
      <c r="PLT23" s="720"/>
      <c r="PLU23" s="720"/>
      <c r="PLV23" s="720"/>
      <c r="PLW23" s="720"/>
      <c r="PLX23" s="720"/>
      <c r="PLY23" s="720"/>
      <c r="PLZ23" s="720"/>
      <c r="PMA23" s="720"/>
      <c r="PMB23" s="720"/>
      <c r="PMC23" s="720"/>
      <c r="PMD23" s="720"/>
      <c r="PME23" s="720"/>
      <c r="PMF23" s="720"/>
      <c r="PMG23" s="720"/>
      <c r="PMH23" s="720"/>
      <c r="PMI23" s="720"/>
      <c r="PMJ23" s="720"/>
      <c r="PMK23" s="720"/>
      <c r="PML23" s="720"/>
      <c r="PMM23" s="720"/>
      <c r="PMN23" s="720"/>
      <c r="PMO23" s="720"/>
      <c r="PMP23" s="720"/>
      <c r="PMQ23" s="720"/>
      <c r="PMR23" s="720"/>
      <c r="PMS23" s="720"/>
      <c r="PMT23" s="720"/>
      <c r="PMU23" s="720"/>
      <c r="PMV23" s="720"/>
      <c r="PMW23" s="720"/>
      <c r="PMX23" s="720"/>
      <c r="PMY23" s="720"/>
      <c r="PMZ23" s="720"/>
      <c r="PNA23" s="720"/>
      <c r="PNB23" s="720"/>
      <c r="PNC23" s="720"/>
      <c r="PND23" s="720"/>
      <c r="PNE23" s="720"/>
      <c r="PNF23" s="720"/>
      <c r="PNG23" s="720"/>
      <c r="PNH23" s="720"/>
      <c r="PNI23" s="720"/>
      <c r="PNJ23" s="720"/>
      <c r="PNK23" s="720"/>
      <c r="PNL23" s="720"/>
      <c r="PNM23" s="720"/>
      <c r="PNN23" s="720"/>
      <c r="PNO23" s="720"/>
      <c r="PNP23" s="720"/>
      <c r="PNQ23" s="720"/>
      <c r="PNR23" s="720"/>
      <c r="PNS23" s="720"/>
      <c r="PNT23" s="720"/>
      <c r="PNU23" s="720"/>
      <c r="PNV23" s="720"/>
      <c r="PNW23" s="720"/>
      <c r="PNX23" s="720"/>
      <c r="PNY23" s="720"/>
      <c r="PNZ23" s="720"/>
      <c r="POA23" s="720"/>
      <c r="POB23" s="720"/>
      <c r="POC23" s="720"/>
      <c r="POD23" s="720"/>
      <c r="POE23" s="720"/>
      <c r="POF23" s="720"/>
      <c r="POG23" s="720"/>
      <c r="POH23" s="720"/>
      <c r="POI23" s="720"/>
      <c r="POJ23" s="720"/>
      <c r="POK23" s="720"/>
      <c r="POL23" s="720"/>
      <c r="POM23" s="720"/>
      <c r="PON23" s="720"/>
      <c r="POO23" s="720"/>
      <c r="POP23" s="720"/>
      <c r="POQ23" s="720"/>
      <c r="POR23" s="720"/>
      <c r="POS23" s="720"/>
      <c r="POT23" s="720"/>
      <c r="POU23" s="720"/>
      <c r="POV23" s="720"/>
      <c r="POW23" s="720"/>
      <c r="POX23" s="720"/>
      <c r="POY23" s="720"/>
      <c r="POZ23" s="720"/>
      <c r="PPA23" s="720"/>
      <c r="PPB23" s="720"/>
      <c r="PPC23" s="720"/>
      <c r="PPD23" s="720"/>
      <c r="PPE23" s="720"/>
      <c r="PPF23" s="720"/>
      <c r="PPG23" s="720"/>
      <c r="PPH23" s="720"/>
      <c r="PPI23" s="720"/>
      <c r="PPJ23" s="720"/>
      <c r="PPK23" s="720"/>
      <c r="PPL23" s="720"/>
      <c r="PPM23" s="720"/>
      <c r="PPN23" s="720"/>
      <c r="PPO23" s="720"/>
      <c r="PPP23" s="720"/>
      <c r="PPQ23" s="720"/>
      <c r="PPR23" s="720"/>
      <c r="PPS23" s="720"/>
      <c r="PPT23" s="720"/>
      <c r="PPU23" s="720"/>
      <c r="PPV23" s="720"/>
      <c r="PPW23" s="720"/>
      <c r="PPX23" s="720"/>
      <c r="PPY23" s="720"/>
      <c r="PPZ23" s="720"/>
      <c r="PQA23" s="720"/>
      <c r="PQB23" s="720"/>
      <c r="PQC23" s="720"/>
      <c r="PQD23" s="720"/>
      <c r="PQE23" s="720"/>
      <c r="PQF23" s="720"/>
      <c r="PQG23" s="720"/>
      <c r="PQH23" s="720"/>
      <c r="PQI23" s="720"/>
      <c r="PQJ23" s="720"/>
      <c r="PQK23" s="720"/>
      <c r="PQL23" s="720"/>
      <c r="PQM23" s="720"/>
      <c r="PQN23" s="720"/>
      <c r="PQO23" s="720"/>
      <c r="PQP23" s="720"/>
      <c r="PQQ23" s="720"/>
      <c r="PQR23" s="720"/>
      <c r="PQS23" s="720"/>
      <c r="PQT23" s="720"/>
      <c r="PQU23" s="720"/>
      <c r="PQV23" s="720"/>
      <c r="PQW23" s="720"/>
      <c r="PQX23" s="720"/>
      <c r="PQY23" s="720"/>
      <c r="PQZ23" s="720"/>
      <c r="PRA23" s="720"/>
      <c r="PRB23" s="720"/>
      <c r="PRC23" s="720"/>
      <c r="PRD23" s="720"/>
      <c r="PRE23" s="720"/>
      <c r="PRF23" s="720"/>
      <c r="PRG23" s="720"/>
      <c r="PRH23" s="720"/>
      <c r="PRI23" s="720"/>
      <c r="PRJ23" s="720"/>
      <c r="PRK23" s="720"/>
      <c r="PRL23" s="720"/>
      <c r="PRM23" s="720"/>
      <c r="PRN23" s="720"/>
      <c r="PRO23" s="720"/>
      <c r="PRP23" s="720"/>
      <c r="PRQ23" s="720"/>
      <c r="PRR23" s="720"/>
      <c r="PRS23" s="720"/>
      <c r="PRT23" s="720"/>
      <c r="PRU23" s="720"/>
      <c r="PRV23" s="720"/>
      <c r="PRW23" s="720"/>
      <c r="PRX23" s="720"/>
      <c r="PRY23" s="720"/>
      <c r="PRZ23" s="720"/>
      <c r="PSA23" s="720"/>
      <c r="PSB23" s="720"/>
      <c r="PSC23" s="720"/>
      <c r="PSD23" s="720"/>
      <c r="PSE23" s="720"/>
      <c r="PSF23" s="720"/>
      <c r="PSG23" s="720"/>
      <c r="PSH23" s="720"/>
      <c r="PSI23" s="720"/>
      <c r="PSJ23" s="720"/>
      <c r="PSK23" s="720"/>
      <c r="PSL23" s="720"/>
      <c r="PSM23" s="720"/>
      <c r="PSN23" s="720"/>
      <c r="PSO23" s="720"/>
      <c r="PSP23" s="720"/>
      <c r="PSQ23" s="720"/>
      <c r="PSR23" s="720"/>
      <c r="PSS23" s="720"/>
      <c r="PST23" s="720"/>
      <c r="PSU23" s="720"/>
      <c r="PSV23" s="720"/>
      <c r="PSW23" s="720"/>
      <c r="PSX23" s="720"/>
      <c r="PSY23" s="720"/>
      <c r="PSZ23" s="720"/>
      <c r="PTA23" s="720"/>
      <c r="PTB23" s="720"/>
      <c r="PTC23" s="720"/>
      <c r="PTD23" s="720"/>
      <c r="PTE23" s="720"/>
      <c r="PTF23" s="720"/>
      <c r="PTG23" s="720"/>
      <c r="PTH23" s="720"/>
      <c r="PTI23" s="720"/>
      <c r="PTJ23" s="720"/>
      <c r="PTK23" s="720"/>
      <c r="PTL23" s="720"/>
      <c r="PTM23" s="720"/>
      <c r="PTN23" s="720"/>
      <c r="PTO23" s="720"/>
      <c r="PTP23" s="720"/>
      <c r="PTQ23" s="720"/>
      <c r="PTR23" s="720"/>
      <c r="PTS23" s="720"/>
      <c r="PTT23" s="720"/>
      <c r="PTU23" s="720"/>
      <c r="PTV23" s="720"/>
      <c r="PTW23" s="720"/>
      <c r="PTX23" s="720"/>
      <c r="PTY23" s="720"/>
      <c r="PTZ23" s="720"/>
      <c r="PUA23" s="720"/>
      <c r="PUB23" s="720"/>
      <c r="PUC23" s="720"/>
      <c r="PUD23" s="720"/>
      <c r="PUE23" s="720"/>
      <c r="PUF23" s="720"/>
      <c r="PUG23" s="720"/>
      <c r="PUH23" s="720"/>
      <c r="PUI23" s="720"/>
      <c r="PUJ23" s="720"/>
      <c r="PUK23" s="720"/>
      <c r="PUL23" s="720"/>
      <c r="PUM23" s="720"/>
      <c r="PUN23" s="720"/>
      <c r="PUO23" s="720"/>
      <c r="PUP23" s="720"/>
      <c r="PUQ23" s="720"/>
      <c r="PUR23" s="720"/>
      <c r="PUS23" s="720"/>
      <c r="PUT23" s="720"/>
      <c r="PUU23" s="720"/>
      <c r="PUV23" s="720"/>
      <c r="PUW23" s="720"/>
      <c r="PUX23" s="720"/>
      <c r="PUY23" s="720"/>
      <c r="PUZ23" s="720"/>
      <c r="PVA23" s="720"/>
      <c r="PVB23" s="720"/>
      <c r="PVC23" s="720"/>
      <c r="PVD23" s="720"/>
      <c r="PVE23" s="720"/>
      <c r="PVF23" s="720"/>
      <c r="PVG23" s="720"/>
      <c r="PVH23" s="720"/>
      <c r="PVI23" s="720"/>
      <c r="PVJ23" s="720"/>
      <c r="PVK23" s="720"/>
      <c r="PVL23" s="720"/>
      <c r="PVM23" s="720"/>
      <c r="PVN23" s="720"/>
      <c r="PVO23" s="720"/>
      <c r="PVP23" s="720"/>
      <c r="PVQ23" s="720"/>
      <c r="PVR23" s="720"/>
      <c r="PVS23" s="720"/>
      <c r="PVT23" s="720"/>
      <c r="PVU23" s="720"/>
      <c r="PVV23" s="720"/>
      <c r="PVW23" s="720"/>
      <c r="PVX23" s="720"/>
      <c r="PVY23" s="720"/>
      <c r="PVZ23" s="720"/>
      <c r="PWA23" s="720"/>
      <c r="PWB23" s="720"/>
      <c r="PWC23" s="720"/>
      <c r="PWD23" s="720"/>
      <c r="PWE23" s="720"/>
      <c r="PWF23" s="720"/>
      <c r="PWG23" s="720"/>
      <c r="PWH23" s="720"/>
      <c r="PWI23" s="720"/>
      <c r="PWJ23" s="720"/>
      <c r="PWK23" s="720"/>
      <c r="PWL23" s="720"/>
      <c r="PWM23" s="720"/>
      <c r="PWN23" s="720"/>
      <c r="PWO23" s="720"/>
      <c r="PWP23" s="720"/>
      <c r="PWQ23" s="720"/>
      <c r="PWR23" s="720"/>
      <c r="PWS23" s="720"/>
      <c r="PWT23" s="720"/>
      <c r="PWU23" s="720"/>
      <c r="PWV23" s="720"/>
      <c r="PWW23" s="720"/>
      <c r="PWX23" s="720"/>
      <c r="PWY23" s="720"/>
      <c r="PWZ23" s="720"/>
      <c r="PXA23" s="720"/>
      <c r="PXB23" s="720"/>
      <c r="PXC23" s="720"/>
      <c r="PXD23" s="720"/>
      <c r="PXE23" s="720"/>
      <c r="PXF23" s="720"/>
      <c r="PXG23" s="720"/>
      <c r="PXH23" s="720"/>
      <c r="PXI23" s="720"/>
      <c r="PXJ23" s="720"/>
      <c r="PXK23" s="720"/>
      <c r="PXL23" s="720"/>
      <c r="PXM23" s="720"/>
      <c r="PXN23" s="720"/>
      <c r="PXO23" s="720"/>
      <c r="PXP23" s="720"/>
      <c r="PXQ23" s="720"/>
      <c r="PXR23" s="720"/>
      <c r="PXS23" s="720"/>
      <c r="PXT23" s="720"/>
      <c r="PXU23" s="720"/>
      <c r="PXV23" s="720"/>
      <c r="PXW23" s="720"/>
      <c r="PXX23" s="720"/>
      <c r="PXY23" s="720"/>
      <c r="PXZ23" s="720"/>
      <c r="PYA23" s="720"/>
      <c r="PYB23" s="720"/>
      <c r="PYC23" s="720"/>
      <c r="PYD23" s="720"/>
      <c r="PYE23" s="720"/>
      <c r="PYF23" s="720"/>
      <c r="PYG23" s="720"/>
      <c r="PYH23" s="720"/>
      <c r="PYI23" s="720"/>
      <c r="PYJ23" s="720"/>
      <c r="PYK23" s="720"/>
      <c r="PYL23" s="720"/>
      <c r="PYM23" s="720"/>
      <c r="PYN23" s="720"/>
      <c r="PYO23" s="720"/>
      <c r="PYP23" s="720"/>
      <c r="PYQ23" s="720"/>
      <c r="PYR23" s="720"/>
      <c r="PYS23" s="720"/>
      <c r="PYT23" s="720"/>
      <c r="PYU23" s="720"/>
      <c r="PYV23" s="720"/>
      <c r="PYW23" s="720"/>
      <c r="PYX23" s="720"/>
      <c r="PYY23" s="720"/>
      <c r="PYZ23" s="720"/>
      <c r="PZA23" s="720"/>
      <c r="PZB23" s="720"/>
      <c r="PZC23" s="720"/>
      <c r="PZD23" s="720"/>
      <c r="PZE23" s="720"/>
      <c r="PZF23" s="720"/>
      <c r="PZG23" s="720"/>
      <c r="PZH23" s="720"/>
      <c r="PZI23" s="720"/>
      <c r="PZJ23" s="720"/>
      <c r="PZK23" s="720"/>
      <c r="PZL23" s="720"/>
      <c r="PZM23" s="720"/>
      <c r="PZN23" s="720"/>
      <c r="PZO23" s="720"/>
      <c r="PZP23" s="720"/>
      <c r="PZQ23" s="720"/>
      <c r="PZR23" s="720"/>
      <c r="PZS23" s="720"/>
      <c r="PZT23" s="720"/>
      <c r="PZU23" s="720"/>
      <c r="PZV23" s="720"/>
      <c r="PZW23" s="720"/>
      <c r="PZX23" s="720"/>
      <c r="PZY23" s="720"/>
      <c r="PZZ23" s="720"/>
      <c r="QAA23" s="720"/>
      <c r="QAB23" s="720"/>
      <c r="QAC23" s="720"/>
      <c r="QAD23" s="720"/>
      <c r="QAE23" s="720"/>
      <c r="QAF23" s="720"/>
      <c r="QAG23" s="720"/>
      <c r="QAH23" s="720"/>
      <c r="QAI23" s="720"/>
      <c r="QAJ23" s="720"/>
      <c r="QAK23" s="720"/>
      <c r="QAL23" s="720"/>
      <c r="QAM23" s="720"/>
      <c r="QAN23" s="720"/>
      <c r="QAO23" s="720"/>
      <c r="QAP23" s="720"/>
      <c r="QAQ23" s="720"/>
      <c r="QAR23" s="720"/>
      <c r="QAS23" s="720"/>
      <c r="QAT23" s="720"/>
      <c r="QAU23" s="720"/>
      <c r="QAV23" s="720"/>
      <c r="QAW23" s="720"/>
      <c r="QAX23" s="720"/>
      <c r="QAY23" s="720"/>
      <c r="QAZ23" s="720"/>
      <c r="QBA23" s="720"/>
      <c r="QBB23" s="720"/>
      <c r="QBC23" s="720"/>
      <c r="QBD23" s="720"/>
      <c r="QBE23" s="720"/>
      <c r="QBF23" s="720"/>
      <c r="QBG23" s="720"/>
      <c r="QBH23" s="720"/>
      <c r="QBI23" s="720"/>
      <c r="QBJ23" s="720"/>
      <c r="QBK23" s="720"/>
      <c r="QBL23" s="720"/>
      <c r="QBM23" s="720"/>
      <c r="QBN23" s="720"/>
      <c r="QBO23" s="720"/>
      <c r="QBP23" s="720"/>
      <c r="QBQ23" s="720"/>
      <c r="QBR23" s="720"/>
      <c r="QBS23" s="720"/>
      <c r="QBT23" s="720"/>
      <c r="QBU23" s="720"/>
      <c r="QBV23" s="720"/>
      <c r="QBW23" s="720"/>
      <c r="QBX23" s="720"/>
      <c r="QBY23" s="720"/>
      <c r="QBZ23" s="720"/>
      <c r="QCA23" s="720"/>
      <c r="QCB23" s="720"/>
      <c r="QCC23" s="720"/>
      <c r="QCD23" s="720"/>
      <c r="QCE23" s="720"/>
      <c r="QCF23" s="720"/>
      <c r="QCG23" s="720"/>
      <c r="QCH23" s="720"/>
      <c r="QCI23" s="720"/>
      <c r="QCJ23" s="720"/>
      <c r="QCK23" s="720"/>
      <c r="QCL23" s="720"/>
      <c r="QCM23" s="720"/>
      <c r="QCN23" s="720"/>
      <c r="QCO23" s="720"/>
      <c r="QCP23" s="720"/>
      <c r="QCQ23" s="720"/>
      <c r="QCR23" s="720"/>
      <c r="QCS23" s="720"/>
      <c r="QCT23" s="720"/>
      <c r="QCU23" s="720"/>
      <c r="QCV23" s="720"/>
      <c r="QCW23" s="720"/>
      <c r="QCX23" s="720"/>
      <c r="QCY23" s="720"/>
      <c r="QCZ23" s="720"/>
      <c r="QDA23" s="720"/>
      <c r="QDB23" s="720"/>
      <c r="QDC23" s="720"/>
      <c r="QDD23" s="720"/>
      <c r="QDE23" s="720"/>
      <c r="QDF23" s="720"/>
      <c r="QDG23" s="720"/>
      <c r="QDH23" s="720"/>
      <c r="QDI23" s="720"/>
      <c r="QDJ23" s="720"/>
      <c r="QDK23" s="720"/>
      <c r="QDL23" s="720"/>
      <c r="QDM23" s="720"/>
      <c r="QDN23" s="720"/>
      <c r="QDO23" s="720"/>
      <c r="QDP23" s="720"/>
      <c r="QDQ23" s="720"/>
      <c r="QDR23" s="720"/>
      <c r="QDS23" s="720"/>
      <c r="QDT23" s="720"/>
      <c r="QDU23" s="720"/>
      <c r="QDV23" s="720"/>
      <c r="QDW23" s="720"/>
      <c r="QDX23" s="720"/>
      <c r="QDY23" s="720"/>
      <c r="QDZ23" s="720"/>
      <c r="QEA23" s="720"/>
      <c r="QEB23" s="720"/>
      <c r="QEC23" s="720"/>
      <c r="QED23" s="720"/>
      <c r="QEE23" s="720"/>
      <c r="QEF23" s="720"/>
      <c r="QEG23" s="720"/>
      <c r="QEH23" s="720"/>
      <c r="QEI23" s="720"/>
      <c r="QEJ23" s="720"/>
      <c r="QEK23" s="720"/>
      <c r="QEL23" s="720"/>
      <c r="QEM23" s="720"/>
      <c r="QEN23" s="720"/>
      <c r="QEO23" s="720"/>
      <c r="QEP23" s="720"/>
      <c r="QEQ23" s="720"/>
      <c r="QER23" s="720"/>
      <c r="QES23" s="720"/>
      <c r="QET23" s="720"/>
      <c r="QEU23" s="720"/>
      <c r="QEV23" s="720"/>
      <c r="QEW23" s="720"/>
      <c r="QEX23" s="720"/>
      <c r="QEY23" s="720"/>
      <c r="QEZ23" s="720"/>
      <c r="QFA23" s="720"/>
      <c r="QFB23" s="720"/>
      <c r="QFC23" s="720"/>
      <c r="QFD23" s="720"/>
      <c r="QFE23" s="720"/>
      <c r="QFF23" s="720"/>
      <c r="QFG23" s="720"/>
      <c r="QFH23" s="720"/>
      <c r="QFI23" s="720"/>
      <c r="QFJ23" s="720"/>
      <c r="QFK23" s="720"/>
      <c r="QFL23" s="720"/>
      <c r="QFM23" s="720"/>
      <c r="QFN23" s="720"/>
      <c r="QFO23" s="720"/>
      <c r="QFP23" s="720"/>
      <c r="QFQ23" s="720"/>
      <c r="QFR23" s="720"/>
      <c r="QFS23" s="720"/>
      <c r="QFT23" s="720"/>
      <c r="QFU23" s="720"/>
      <c r="QFV23" s="720"/>
      <c r="QFW23" s="720"/>
      <c r="QFX23" s="720"/>
      <c r="QFY23" s="720"/>
      <c r="QFZ23" s="720"/>
      <c r="QGA23" s="720"/>
      <c r="QGB23" s="720"/>
      <c r="QGC23" s="720"/>
      <c r="QGD23" s="720"/>
      <c r="QGE23" s="720"/>
      <c r="QGF23" s="720"/>
      <c r="QGG23" s="720"/>
      <c r="QGH23" s="720"/>
      <c r="QGI23" s="720"/>
      <c r="QGJ23" s="720"/>
      <c r="QGK23" s="720"/>
      <c r="QGL23" s="720"/>
      <c r="QGM23" s="720"/>
      <c r="QGN23" s="720"/>
      <c r="QGO23" s="720"/>
      <c r="QGP23" s="720"/>
      <c r="QGQ23" s="720"/>
      <c r="QGR23" s="720"/>
      <c r="QGS23" s="720"/>
      <c r="QGT23" s="720"/>
      <c r="QGU23" s="720"/>
      <c r="QGV23" s="720"/>
      <c r="QGW23" s="720"/>
      <c r="QGX23" s="720"/>
      <c r="QGY23" s="720"/>
      <c r="QGZ23" s="720"/>
      <c r="QHA23" s="720"/>
      <c r="QHB23" s="720"/>
      <c r="QHC23" s="720"/>
      <c r="QHD23" s="720"/>
      <c r="QHE23" s="720"/>
      <c r="QHF23" s="720"/>
      <c r="QHG23" s="720"/>
      <c r="QHH23" s="720"/>
      <c r="QHI23" s="720"/>
      <c r="QHJ23" s="720"/>
      <c r="QHK23" s="720"/>
      <c r="QHL23" s="720"/>
      <c r="QHM23" s="720"/>
      <c r="QHN23" s="720"/>
      <c r="QHO23" s="720"/>
      <c r="QHP23" s="720"/>
      <c r="QHQ23" s="720"/>
      <c r="QHR23" s="720"/>
      <c r="QHS23" s="720"/>
      <c r="QHT23" s="720"/>
      <c r="QHU23" s="720"/>
      <c r="QHV23" s="720"/>
      <c r="QHW23" s="720"/>
      <c r="QHX23" s="720"/>
      <c r="QHY23" s="720"/>
      <c r="QHZ23" s="720"/>
      <c r="QIA23" s="720"/>
      <c r="QIB23" s="720"/>
      <c r="QIC23" s="720"/>
      <c r="QID23" s="720"/>
      <c r="QIE23" s="720"/>
      <c r="QIF23" s="720"/>
      <c r="QIG23" s="720"/>
      <c r="QIH23" s="720"/>
      <c r="QII23" s="720"/>
      <c r="QIJ23" s="720"/>
      <c r="QIK23" s="720"/>
      <c r="QIL23" s="720"/>
      <c r="QIM23" s="720"/>
      <c r="QIN23" s="720"/>
      <c r="QIO23" s="720"/>
      <c r="QIP23" s="720"/>
      <c r="QIQ23" s="720"/>
      <c r="QIR23" s="720"/>
      <c r="QIS23" s="720"/>
      <c r="QIT23" s="720"/>
      <c r="QIU23" s="720"/>
      <c r="QIV23" s="720"/>
      <c r="QIW23" s="720"/>
      <c r="QIX23" s="720"/>
      <c r="QIY23" s="720"/>
      <c r="QIZ23" s="720"/>
      <c r="QJA23" s="720"/>
      <c r="QJB23" s="720"/>
      <c r="QJC23" s="720"/>
      <c r="QJD23" s="720"/>
      <c r="QJE23" s="720"/>
      <c r="QJF23" s="720"/>
      <c r="QJG23" s="720"/>
      <c r="QJH23" s="720"/>
      <c r="QJI23" s="720"/>
      <c r="QJJ23" s="720"/>
      <c r="QJK23" s="720"/>
      <c r="QJL23" s="720"/>
      <c r="QJM23" s="720"/>
      <c r="QJN23" s="720"/>
      <c r="QJO23" s="720"/>
      <c r="QJP23" s="720"/>
      <c r="QJQ23" s="720"/>
      <c r="QJR23" s="720"/>
      <c r="QJS23" s="720"/>
      <c r="QJT23" s="720"/>
      <c r="QJU23" s="720"/>
      <c r="QJV23" s="720"/>
      <c r="QJW23" s="720"/>
      <c r="QJX23" s="720"/>
      <c r="QJY23" s="720"/>
      <c r="QJZ23" s="720"/>
      <c r="QKA23" s="720"/>
      <c r="QKB23" s="720"/>
      <c r="QKC23" s="720"/>
      <c r="QKD23" s="720"/>
      <c r="QKE23" s="720"/>
      <c r="QKF23" s="720"/>
      <c r="QKG23" s="720"/>
      <c r="QKH23" s="720"/>
      <c r="QKI23" s="720"/>
      <c r="QKJ23" s="720"/>
      <c r="QKK23" s="720"/>
      <c r="QKL23" s="720"/>
      <c r="QKM23" s="720"/>
      <c r="QKN23" s="720"/>
      <c r="QKO23" s="720"/>
      <c r="QKP23" s="720"/>
      <c r="QKQ23" s="720"/>
      <c r="QKR23" s="720"/>
      <c r="QKS23" s="720"/>
      <c r="QKT23" s="720"/>
      <c r="QKU23" s="720"/>
      <c r="QKV23" s="720"/>
      <c r="QKW23" s="720"/>
      <c r="QKX23" s="720"/>
      <c r="QKY23" s="720"/>
      <c r="QKZ23" s="720"/>
      <c r="QLA23" s="720"/>
      <c r="QLB23" s="720"/>
      <c r="QLC23" s="720"/>
      <c r="QLD23" s="720"/>
      <c r="QLE23" s="720"/>
      <c r="QLF23" s="720"/>
      <c r="QLG23" s="720"/>
      <c r="QLH23" s="720"/>
      <c r="QLI23" s="720"/>
      <c r="QLJ23" s="720"/>
      <c r="QLK23" s="720"/>
      <c r="QLL23" s="720"/>
      <c r="QLM23" s="720"/>
      <c r="QLN23" s="720"/>
      <c r="QLO23" s="720"/>
      <c r="QLP23" s="720"/>
      <c r="QLQ23" s="720"/>
      <c r="QLR23" s="720"/>
      <c r="QLS23" s="720"/>
      <c r="QLT23" s="720"/>
      <c r="QLU23" s="720"/>
      <c r="QLV23" s="720"/>
      <c r="QLW23" s="720"/>
      <c r="QLX23" s="720"/>
      <c r="QLY23" s="720"/>
      <c r="QLZ23" s="720"/>
      <c r="QMA23" s="720"/>
      <c r="QMB23" s="720"/>
      <c r="QMC23" s="720"/>
      <c r="QMD23" s="720"/>
      <c r="QME23" s="720"/>
      <c r="QMF23" s="720"/>
      <c r="QMG23" s="720"/>
      <c r="QMH23" s="720"/>
      <c r="QMI23" s="720"/>
      <c r="QMJ23" s="720"/>
      <c r="QMK23" s="720"/>
      <c r="QML23" s="720"/>
      <c r="QMM23" s="720"/>
      <c r="QMN23" s="720"/>
      <c r="QMO23" s="720"/>
      <c r="QMP23" s="720"/>
      <c r="QMQ23" s="720"/>
      <c r="QMR23" s="720"/>
      <c r="QMS23" s="720"/>
      <c r="QMT23" s="720"/>
      <c r="QMU23" s="720"/>
      <c r="QMV23" s="720"/>
      <c r="QMW23" s="720"/>
      <c r="QMX23" s="720"/>
      <c r="QMY23" s="720"/>
      <c r="QMZ23" s="720"/>
      <c r="QNA23" s="720"/>
      <c r="QNB23" s="720"/>
      <c r="QNC23" s="720"/>
      <c r="QND23" s="720"/>
      <c r="QNE23" s="720"/>
      <c r="QNF23" s="720"/>
      <c r="QNG23" s="720"/>
      <c r="QNH23" s="720"/>
      <c r="QNI23" s="720"/>
      <c r="QNJ23" s="720"/>
      <c r="QNK23" s="720"/>
      <c r="QNL23" s="720"/>
      <c r="QNM23" s="720"/>
      <c r="QNN23" s="720"/>
      <c r="QNO23" s="720"/>
      <c r="QNP23" s="720"/>
      <c r="QNQ23" s="720"/>
      <c r="QNR23" s="720"/>
      <c r="QNS23" s="720"/>
      <c r="QNT23" s="720"/>
      <c r="QNU23" s="720"/>
      <c r="QNV23" s="720"/>
      <c r="QNW23" s="720"/>
      <c r="QNX23" s="720"/>
      <c r="QNY23" s="720"/>
      <c r="QNZ23" s="720"/>
      <c r="QOA23" s="720"/>
      <c r="QOB23" s="720"/>
      <c r="QOC23" s="720"/>
      <c r="QOD23" s="720"/>
      <c r="QOE23" s="720"/>
      <c r="QOF23" s="720"/>
      <c r="QOG23" s="720"/>
      <c r="QOH23" s="720"/>
      <c r="QOI23" s="720"/>
      <c r="QOJ23" s="720"/>
      <c r="QOK23" s="720"/>
      <c r="QOL23" s="720"/>
      <c r="QOM23" s="720"/>
      <c r="QON23" s="720"/>
      <c r="QOO23" s="720"/>
      <c r="QOP23" s="720"/>
      <c r="QOQ23" s="720"/>
      <c r="QOR23" s="720"/>
      <c r="QOS23" s="720"/>
      <c r="QOT23" s="720"/>
      <c r="QOU23" s="720"/>
      <c r="QOV23" s="720"/>
      <c r="QOW23" s="720"/>
      <c r="QOX23" s="720"/>
      <c r="QOY23" s="720"/>
      <c r="QOZ23" s="720"/>
      <c r="QPA23" s="720"/>
      <c r="QPB23" s="720"/>
      <c r="QPC23" s="720"/>
      <c r="QPD23" s="720"/>
      <c r="QPE23" s="720"/>
      <c r="QPF23" s="720"/>
      <c r="QPG23" s="720"/>
      <c r="QPH23" s="720"/>
      <c r="QPI23" s="720"/>
      <c r="QPJ23" s="720"/>
      <c r="QPK23" s="720"/>
      <c r="QPL23" s="720"/>
      <c r="QPM23" s="720"/>
      <c r="QPN23" s="720"/>
      <c r="QPO23" s="720"/>
      <c r="QPP23" s="720"/>
      <c r="QPQ23" s="720"/>
      <c r="QPR23" s="720"/>
      <c r="QPS23" s="720"/>
      <c r="QPT23" s="720"/>
      <c r="QPU23" s="720"/>
      <c r="QPV23" s="720"/>
      <c r="QPW23" s="720"/>
      <c r="QPX23" s="720"/>
      <c r="QPY23" s="720"/>
      <c r="QPZ23" s="720"/>
      <c r="QQA23" s="720"/>
      <c r="QQB23" s="720"/>
      <c r="QQC23" s="720"/>
      <c r="QQD23" s="720"/>
      <c r="QQE23" s="720"/>
      <c r="QQF23" s="720"/>
      <c r="QQG23" s="720"/>
      <c r="QQH23" s="720"/>
      <c r="QQI23" s="720"/>
      <c r="QQJ23" s="720"/>
      <c r="QQK23" s="720"/>
      <c r="QQL23" s="720"/>
      <c r="QQM23" s="720"/>
      <c r="QQN23" s="720"/>
      <c r="QQO23" s="720"/>
      <c r="QQP23" s="720"/>
      <c r="QQQ23" s="720"/>
      <c r="QQR23" s="720"/>
      <c r="QQS23" s="720"/>
      <c r="QQT23" s="720"/>
      <c r="QQU23" s="720"/>
      <c r="QQV23" s="720"/>
      <c r="QQW23" s="720"/>
      <c r="QQX23" s="720"/>
      <c r="QQY23" s="720"/>
      <c r="QQZ23" s="720"/>
      <c r="QRA23" s="720"/>
      <c r="QRB23" s="720"/>
      <c r="QRC23" s="720"/>
      <c r="QRD23" s="720"/>
      <c r="QRE23" s="720"/>
      <c r="QRF23" s="720"/>
      <c r="QRG23" s="720"/>
      <c r="QRH23" s="720"/>
      <c r="QRI23" s="720"/>
      <c r="QRJ23" s="720"/>
      <c r="QRK23" s="720"/>
      <c r="QRL23" s="720"/>
      <c r="QRM23" s="720"/>
      <c r="QRN23" s="720"/>
      <c r="QRO23" s="720"/>
      <c r="QRP23" s="720"/>
      <c r="QRQ23" s="720"/>
      <c r="QRR23" s="720"/>
      <c r="QRS23" s="720"/>
      <c r="QRT23" s="720"/>
      <c r="QRU23" s="720"/>
      <c r="QRV23" s="720"/>
      <c r="QRW23" s="720"/>
      <c r="QRX23" s="720"/>
      <c r="QRY23" s="720"/>
      <c r="QRZ23" s="720"/>
      <c r="QSA23" s="720"/>
      <c r="QSB23" s="720"/>
      <c r="QSC23" s="720"/>
      <c r="QSD23" s="720"/>
      <c r="QSE23" s="720"/>
      <c r="QSF23" s="720"/>
      <c r="QSG23" s="720"/>
      <c r="QSH23" s="720"/>
      <c r="QSI23" s="720"/>
      <c r="QSJ23" s="720"/>
      <c r="QSK23" s="720"/>
      <c r="QSL23" s="720"/>
      <c r="QSM23" s="720"/>
      <c r="QSN23" s="720"/>
      <c r="QSO23" s="720"/>
      <c r="QSP23" s="720"/>
      <c r="QSQ23" s="720"/>
      <c r="QSR23" s="720"/>
      <c r="QSS23" s="720"/>
      <c r="QST23" s="720"/>
      <c r="QSU23" s="720"/>
      <c r="QSV23" s="720"/>
      <c r="QSW23" s="720"/>
      <c r="QSX23" s="720"/>
      <c r="QSY23" s="720"/>
      <c r="QSZ23" s="720"/>
      <c r="QTA23" s="720"/>
      <c r="QTB23" s="720"/>
      <c r="QTC23" s="720"/>
      <c r="QTD23" s="720"/>
      <c r="QTE23" s="720"/>
      <c r="QTF23" s="720"/>
      <c r="QTG23" s="720"/>
      <c r="QTH23" s="720"/>
      <c r="QTI23" s="720"/>
      <c r="QTJ23" s="720"/>
      <c r="QTK23" s="720"/>
      <c r="QTL23" s="720"/>
      <c r="QTM23" s="720"/>
      <c r="QTN23" s="720"/>
      <c r="QTO23" s="720"/>
      <c r="QTP23" s="720"/>
      <c r="QTQ23" s="720"/>
      <c r="QTR23" s="720"/>
      <c r="QTS23" s="720"/>
      <c r="QTT23" s="720"/>
      <c r="QTU23" s="720"/>
      <c r="QTV23" s="720"/>
      <c r="QTW23" s="720"/>
      <c r="QTX23" s="720"/>
      <c r="QTY23" s="720"/>
      <c r="QTZ23" s="720"/>
      <c r="QUA23" s="720"/>
      <c r="QUB23" s="720"/>
      <c r="QUC23" s="720"/>
      <c r="QUD23" s="720"/>
      <c r="QUE23" s="720"/>
      <c r="QUF23" s="720"/>
      <c r="QUG23" s="720"/>
      <c r="QUH23" s="720"/>
      <c r="QUI23" s="720"/>
      <c r="QUJ23" s="720"/>
      <c r="QUK23" s="720"/>
      <c r="QUL23" s="720"/>
      <c r="QUM23" s="720"/>
      <c r="QUN23" s="720"/>
      <c r="QUO23" s="720"/>
      <c r="QUP23" s="720"/>
      <c r="QUQ23" s="720"/>
      <c r="QUR23" s="720"/>
      <c r="QUS23" s="720"/>
      <c r="QUT23" s="720"/>
      <c r="QUU23" s="720"/>
      <c r="QUV23" s="720"/>
      <c r="QUW23" s="720"/>
      <c r="QUX23" s="720"/>
      <c r="QUY23" s="720"/>
      <c r="QUZ23" s="720"/>
      <c r="QVA23" s="720"/>
      <c r="QVB23" s="720"/>
      <c r="QVC23" s="720"/>
      <c r="QVD23" s="720"/>
      <c r="QVE23" s="720"/>
      <c r="QVF23" s="720"/>
      <c r="QVG23" s="720"/>
      <c r="QVH23" s="720"/>
      <c r="QVI23" s="720"/>
      <c r="QVJ23" s="720"/>
      <c r="QVK23" s="720"/>
      <c r="QVL23" s="720"/>
      <c r="QVM23" s="720"/>
      <c r="QVN23" s="720"/>
      <c r="QVO23" s="720"/>
      <c r="QVP23" s="720"/>
      <c r="QVQ23" s="720"/>
      <c r="QVR23" s="720"/>
      <c r="QVS23" s="720"/>
      <c r="QVT23" s="720"/>
      <c r="QVU23" s="720"/>
      <c r="QVV23" s="720"/>
      <c r="QVW23" s="720"/>
      <c r="QVX23" s="720"/>
      <c r="QVY23" s="720"/>
      <c r="QVZ23" s="720"/>
      <c r="QWA23" s="720"/>
      <c r="QWB23" s="720"/>
      <c r="QWC23" s="720"/>
      <c r="QWD23" s="720"/>
      <c r="QWE23" s="720"/>
      <c r="QWF23" s="720"/>
      <c r="QWG23" s="720"/>
      <c r="QWH23" s="720"/>
      <c r="QWI23" s="720"/>
      <c r="QWJ23" s="720"/>
      <c r="QWK23" s="720"/>
      <c r="QWL23" s="720"/>
      <c r="QWM23" s="720"/>
      <c r="QWN23" s="720"/>
      <c r="QWO23" s="720"/>
      <c r="QWP23" s="720"/>
      <c r="QWQ23" s="720"/>
      <c r="QWR23" s="720"/>
      <c r="QWS23" s="720"/>
      <c r="QWT23" s="720"/>
      <c r="QWU23" s="720"/>
      <c r="QWV23" s="720"/>
      <c r="QWW23" s="720"/>
      <c r="QWX23" s="720"/>
      <c r="QWY23" s="720"/>
      <c r="QWZ23" s="720"/>
      <c r="QXA23" s="720"/>
      <c r="QXB23" s="720"/>
      <c r="QXC23" s="720"/>
      <c r="QXD23" s="720"/>
      <c r="QXE23" s="720"/>
      <c r="QXF23" s="720"/>
      <c r="QXG23" s="720"/>
      <c r="QXH23" s="720"/>
      <c r="QXI23" s="720"/>
      <c r="QXJ23" s="720"/>
      <c r="QXK23" s="720"/>
      <c r="QXL23" s="720"/>
      <c r="QXM23" s="720"/>
      <c r="QXN23" s="720"/>
      <c r="QXO23" s="720"/>
      <c r="QXP23" s="720"/>
      <c r="QXQ23" s="720"/>
      <c r="QXR23" s="720"/>
      <c r="QXS23" s="720"/>
      <c r="QXT23" s="720"/>
      <c r="QXU23" s="720"/>
      <c r="QXV23" s="720"/>
      <c r="QXW23" s="720"/>
      <c r="QXX23" s="720"/>
      <c r="QXY23" s="720"/>
      <c r="QXZ23" s="720"/>
      <c r="QYA23" s="720"/>
      <c r="QYB23" s="720"/>
      <c r="QYC23" s="720"/>
      <c r="QYD23" s="720"/>
      <c r="QYE23" s="720"/>
      <c r="QYF23" s="720"/>
      <c r="QYG23" s="720"/>
      <c r="QYH23" s="720"/>
      <c r="QYI23" s="720"/>
      <c r="QYJ23" s="720"/>
      <c r="QYK23" s="720"/>
      <c r="QYL23" s="720"/>
      <c r="QYM23" s="720"/>
      <c r="QYN23" s="720"/>
      <c r="QYO23" s="720"/>
      <c r="QYP23" s="720"/>
      <c r="QYQ23" s="720"/>
      <c r="QYR23" s="720"/>
      <c r="QYS23" s="720"/>
      <c r="QYT23" s="720"/>
      <c r="QYU23" s="720"/>
      <c r="QYV23" s="720"/>
      <c r="QYW23" s="720"/>
      <c r="QYX23" s="720"/>
      <c r="QYY23" s="720"/>
      <c r="QYZ23" s="720"/>
      <c r="QZA23" s="720"/>
      <c r="QZB23" s="720"/>
      <c r="QZC23" s="720"/>
      <c r="QZD23" s="720"/>
      <c r="QZE23" s="720"/>
      <c r="QZF23" s="720"/>
      <c r="QZG23" s="720"/>
      <c r="QZH23" s="720"/>
      <c r="QZI23" s="720"/>
      <c r="QZJ23" s="720"/>
      <c r="QZK23" s="720"/>
      <c r="QZL23" s="720"/>
      <c r="QZM23" s="720"/>
      <c r="QZN23" s="720"/>
      <c r="QZO23" s="720"/>
      <c r="QZP23" s="720"/>
      <c r="QZQ23" s="720"/>
      <c r="QZR23" s="720"/>
      <c r="QZS23" s="720"/>
      <c r="QZT23" s="720"/>
      <c r="QZU23" s="720"/>
      <c r="QZV23" s="720"/>
      <c r="QZW23" s="720"/>
      <c r="QZX23" s="720"/>
      <c r="QZY23" s="720"/>
      <c r="QZZ23" s="720"/>
      <c r="RAA23" s="720"/>
      <c r="RAB23" s="720"/>
      <c r="RAC23" s="720"/>
      <c r="RAD23" s="720"/>
      <c r="RAE23" s="720"/>
      <c r="RAF23" s="720"/>
      <c r="RAG23" s="720"/>
      <c r="RAH23" s="720"/>
      <c r="RAI23" s="720"/>
      <c r="RAJ23" s="720"/>
      <c r="RAK23" s="720"/>
      <c r="RAL23" s="720"/>
      <c r="RAM23" s="720"/>
      <c r="RAN23" s="720"/>
      <c r="RAO23" s="720"/>
      <c r="RAP23" s="720"/>
      <c r="RAQ23" s="720"/>
      <c r="RAR23" s="720"/>
      <c r="RAS23" s="720"/>
      <c r="RAT23" s="720"/>
      <c r="RAU23" s="720"/>
      <c r="RAV23" s="720"/>
      <c r="RAW23" s="720"/>
      <c r="RAX23" s="720"/>
      <c r="RAY23" s="720"/>
      <c r="RAZ23" s="720"/>
      <c r="RBA23" s="720"/>
      <c r="RBB23" s="720"/>
      <c r="RBC23" s="720"/>
      <c r="RBD23" s="720"/>
      <c r="RBE23" s="720"/>
      <c r="RBF23" s="720"/>
      <c r="RBG23" s="720"/>
      <c r="RBH23" s="720"/>
      <c r="RBI23" s="720"/>
      <c r="RBJ23" s="720"/>
      <c r="RBK23" s="720"/>
      <c r="RBL23" s="720"/>
      <c r="RBM23" s="720"/>
      <c r="RBN23" s="720"/>
      <c r="RBO23" s="720"/>
      <c r="RBP23" s="720"/>
      <c r="RBQ23" s="720"/>
      <c r="RBR23" s="720"/>
      <c r="RBS23" s="720"/>
      <c r="RBT23" s="720"/>
      <c r="RBU23" s="720"/>
      <c r="RBV23" s="720"/>
      <c r="RBW23" s="720"/>
      <c r="RBX23" s="720"/>
      <c r="RBY23" s="720"/>
      <c r="RBZ23" s="720"/>
      <c r="RCA23" s="720"/>
      <c r="RCB23" s="720"/>
      <c r="RCC23" s="720"/>
      <c r="RCD23" s="720"/>
      <c r="RCE23" s="720"/>
      <c r="RCF23" s="720"/>
      <c r="RCG23" s="720"/>
      <c r="RCH23" s="720"/>
      <c r="RCI23" s="720"/>
      <c r="RCJ23" s="720"/>
      <c r="RCK23" s="720"/>
      <c r="RCL23" s="720"/>
      <c r="RCM23" s="720"/>
      <c r="RCN23" s="720"/>
      <c r="RCO23" s="720"/>
      <c r="RCP23" s="720"/>
      <c r="RCQ23" s="720"/>
      <c r="RCR23" s="720"/>
      <c r="RCS23" s="720"/>
      <c r="RCT23" s="720"/>
      <c r="RCU23" s="720"/>
      <c r="RCV23" s="720"/>
      <c r="RCW23" s="720"/>
      <c r="RCX23" s="720"/>
      <c r="RCY23" s="720"/>
      <c r="RCZ23" s="720"/>
      <c r="RDA23" s="720"/>
      <c r="RDB23" s="720"/>
      <c r="RDC23" s="720"/>
      <c r="RDD23" s="720"/>
      <c r="RDE23" s="720"/>
      <c r="RDF23" s="720"/>
      <c r="RDG23" s="720"/>
      <c r="RDH23" s="720"/>
      <c r="RDI23" s="720"/>
      <c r="RDJ23" s="720"/>
      <c r="RDK23" s="720"/>
      <c r="RDL23" s="720"/>
      <c r="RDM23" s="720"/>
      <c r="RDN23" s="720"/>
      <c r="RDO23" s="720"/>
      <c r="RDP23" s="720"/>
      <c r="RDQ23" s="720"/>
      <c r="RDR23" s="720"/>
      <c r="RDS23" s="720"/>
      <c r="RDT23" s="720"/>
      <c r="RDU23" s="720"/>
      <c r="RDV23" s="720"/>
      <c r="RDW23" s="720"/>
      <c r="RDX23" s="720"/>
      <c r="RDY23" s="720"/>
      <c r="RDZ23" s="720"/>
      <c r="REA23" s="720"/>
      <c r="REB23" s="720"/>
      <c r="REC23" s="720"/>
      <c r="RED23" s="720"/>
      <c r="REE23" s="720"/>
      <c r="REF23" s="720"/>
      <c r="REG23" s="720"/>
      <c r="REH23" s="720"/>
      <c r="REI23" s="720"/>
      <c r="REJ23" s="720"/>
      <c r="REK23" s="720"/>
      <c r="REL23" s="720"/>
      <c r="REM23" s="720"/>
      <c r="REN23" s="720"/>
      <c r="REO23" s="720"/>
      <c r="REP23" s="720"/>
      <c r="REQ23" s="720"/>
      <c r="RER23" s="720"/>
      <c r="RES23" s="720"/>
      <c r="RET23" s="720"/>
      <c r="REU23" s="720"/>
      <c r="REV23" s="720"/>
      <c r="REW23" s="720"/>
      <c r="REX23" s="720"/>
      <c r="REY23" s="720"/>
      <c r="REZ23" s="720"/>
      <c r="RFA23" s="720"/>
      <c r="RFB23" s="720"/>
      <c r="RFC23" s="720"/>
      <c r="RFD23" s="720"/>
      <c r="RFE23" s="720"/>
      <c r="RFF23" s="720"/>
      <c r="RFG23" s="720"/>
      <c r="RFH23" s="720"/>
      <c r="RFI23" s="720"/>
      <c r="RFJ23" s="720"/>
      <c r="RFK23" s="720"/>
      <c r="RFL23" s="720"/>
      <c r="RFM23" s="720"/>
      <c r="RFN23" s="720"/>
      <c r="RFO23" s="720"/>
      <c r="RFP23" s="720"/>
      <c r="RFQ23" s="720"/>
      <c r="RFR23" s="720"/>
      <c r="RFS23" s="720"/>
      <c r="RFT23" s="720"/>
      <c r="RFU23" s="720"/>
      <c r="RFV23" s="720"/>
      <c r="RFW23" s="720"/>
      <c r="RFX23" s="720"/>
      <c r="RFY23" s="720"/>
      <c r="RFZ23" s="720"/>
      <c r="RGA23" s="720"/>
      <c r="RGB23" s="720"/>
      <c r="RGC23" s="720"/>
      <c r="RGD23" s="720"/>
      <c r="RGE23" s="720"/>
      <c r="RGF23" s="720"/>
      <c r="RGG23" s="720"/>
      <c r="RGH23" s="720"/>
      <c r="RGI23" s="720"/>
      <c r="RGJ23" s="720"/>
      <c r="RGK23" s="720"/>
      <c r="RGL23" s="720"/>
      <c r="RGM23" s="720"/>
      <c r="RGN23" s="720"/>
      <c r="RGO23" s="720"/>
      <c r="RGP23" s="720"/>
      <c r="RGQ23" s="720"/>
      <c r="RGR23" s="720"/>
      <c r="RGS23" s="720"/>
      <c r="RGT23" s="720"/>
      <c r="RGU23" s="720"/>
      <c r="RGV23" s="720"/>
      <c r="RGW23" s="720"/>
      <c r="RGX23" s="720"/>
      <c r="RGY23" s="720"/>
      <c r="RGZ23" s="720"/>
      <c r="RHA23" s="720"/>
      <c r="RHB23" s="720"/>
      <c r="RHC23" s="720"/>
      <c r="RHD23" s="720"/>
      <c r="RHE23" s="720"/>
      <c r="RHF23" s="720"/>
      <c r="RHG23" s="720"/>
      <c r="RHH23" s="720"/>
      <c r="RHI23" s="720"/>
      <c r="RHJ23" s="720"/>
      <c r="RHK23" s="720"/>
      <c r="RHL23" s="720"/>
      <c r="RHM23" s="720"/>
      <c r="RHN23" s="720"/>
      <c r="RHO23" s="720"/>
      <c r="RHP23" s="720"/>
      <c r="RHQ23" s="720"/>
      <c r="RHR23" s="720"/>
      <c r="RHS23" s="720"/>
      <c r="RHT23" s="720"/>
      <c r="RHU23" s="720"/>
      <c r="RHV23" s="720"/>
      <c r="RHW23" s="720"/>
      <c r="RHX23" s="720"/>
      <c r="RHY23" s="720"/>
      <c r="RHZ23" s="720"/>
      <c r="RIA23" s="720"/>
      <c r="RIB23" s="720"/>
      <c r="RIC23" s="720"/>
      <c r="RID23" s="720"/>
      <c r="RIE23" s="720"/>
      <c r="RIF23" s="720"/>
      <c r="RIG23" s="720"/>
      <c r="RIH23" s="720"/>
      <c r="RII23" s="720"/>
      <c r="RIJ23" s="720"/>
      <c r="RIK23" s="720"/>
      <c r="RIL23" s="720"/>
      <c r="RIM23" s="720"/>
      <c r="RIN23" s="720"/>
      <c r="RIO23" s="720"/>
      <c r="RIP23" s="720"/>
      <c r="RIQ23" s="720"/>
      <c r="RIR23" s="720"/>
      <c r="RIS23" s="720"/>
      <c r="RIT23" s="720"/>
      <c r="RIU23" s="720"/>
      <c r="RIV23" s="720"/>
      <c r="RIW23" s="720"/>
      <c r="RIX23" s="720"/>
      <c r="RIY23" s="720"/>
      <c r="RIZ23" s="720"/>
      <c r="RJA23" s="720"/>
      <c r="RJB23" s="720"/>
      <c r="RJC23" s="720"/>
      <c r="RJD23" s="720"/>
      <c r="RJE23" s="720"/>
      <c r="RJF23" s="720"/>
      <c r="RJG23" s="720"/>
      <c r="RJH23" s="720"/>
      <c r="RJI23" s="720"/>
      <c r="RJJ23" s="720"/>
      <c r="RJK23" s="720"/>
      <c r="RJL23" s="720"/>
      <c r="RJM23" s="720"/>
      <c r="RJN23" s="720"/>
      <c r="RJO23" s="720"/>
      <c r="RJP23" s="720"/>
      <c r="RJQ23" s="720"/>
      <c r="RJR23" s="720"/>
      <c r="RJS23" s="720"/>
      <c r="RJT23" s="720"/>
      <c r="RJU23" s="720"/>
      <c r="RJV23" s="720"/>
      <c r="RJW23" s="720"/>
      <c r="RJX23" s="720"/>
      <c r="RJY23" s="720"/>
      <c r="RJZ23" s="720"/>
      <c r="RKA23" s="720"/>
      <c r="RKB23" s="720"/>
      <c r="RKC23" s="720"/>
      <c r="RKD23" s="720"/>
      <c r="RKE23" s="720"/>
      <c r="RKF23" s="720"/>
      <c r="RKG23" s="720"/>
      <c r="RKH23" s="720"/>
      <c r="RKI23" s="720"/>
      <c r="RKJ23" s="720"/>
      <c r="RKK23" s="720"/>
      <c r="RKL23" s="720"/>
      <c r="RKM23" s="720"/>
      <c r="RKN23" s="720"/>
      <c r="RKO23" s="720"/>
      <c r="RKP23" s="720"/>
      <c r="RKQ23" s="720"/>
      <c r="RKR23" s="720"/>
      <c r="RKS23" s="720"/>
      <c r="RKT23" s="720"/>
      <c r="RKU23" s="720"/>
      <c r="RKV23" s="720"/>
      <c r="RKW23" s="720"/>
      <c r="RKX23" s="720"/>
      <c r="RKY23" s="720"/>
      <c r="RKZ23" s="720"/>
      <c r="RLA23" s="720"/>
      <c r="RLB23" s="720"/>
      <c r="RLC23" s="720"/>
      <c r="RLD23" s="720"/>
      <c r="RLE23" s="720"/>
      <c r="RLF23" s="720"/>
      <c r="RLG23" s="720"/>
      <c r="RLH23" s="720"/>
      <c r="RLI23" s="720"/>
      <c r="RLJ23" s="720"/>
      <c r="RLK23" s="720"/>
      <c r="RLL23" s="720"/>
      <c r="RLM23" s="720"/>
      <c r="RLN23" s="720"/>
      <c r="RLO23" s="720"/>
      <c r="RLP23" s="720"/>
      <c r="RLQ23" s="720"/>
      <c r="RLR23" s="720"/>
      <c r="RLS23" s="720"/>
      <c r="RLT23" s="720"/>
      <c r="RLU23" s="720"/>
      <c r="RLV23" s="720"/>
      <c r="RLW23" s="720"/>
      <c r="RLX23" s="720"/>
      <c r="RLY23" s="720"/>
      <c r="RLZ23" s="720"/>
      <c r="RMA23" s="720"/>
      <c r="RMB23" s="720"/>
      <c r="RMC23" s="720"/>
      <c r="RMD23" s="720"/>
      <c r="RME23" s="720"/>
      <c r="RMF23" s="720"/>
      <c r="RMG23" s="720"/>
      <c r="RMH23" s="720"/>
      <c r="RMI23" s="720"/>
      <c r="RMJ23" s="720"/>
      <c r="RMK23" s="720"/>
      <c r="RML23" s="720"/>
      <c r="RMM23" s="720"/>
      <c r="RMN23" s="720"/>
      <c r="RMO23" s="720"/>
      <c r="RMP23" s="720"/>
      <c r="RMQ23" s="720"/>
      <c r="RMR23" s="720"/>
      <c r="RMS23" s="720"/>
      <c r="RMT23" s="720"/>
      <c r="RMU23" s="720"/>
      <c r="RMV23" s="720"/>
      <c r="RMW23" s="720"/>
      <c r="RMX23" s="720"/>
      <c r="RMY23" s="720"/>
      <c r="RMZ23" s="720"/>
      <c r="RNA23" s="720"/>
      <c r="RNB23" s="720"/>
      <c r="RNC23" s="720"/>
      <c r="RND23" s="720"/>
      <c r="RNE23" s="720"/>
      <c r="RNF23" s="720"/>
      <c r="RNG23" s="720"/>
      <c r="RNH23" s="720"/>
      <c r="RNI23" s="720"/>
      <c r="RNJ23" s="720"/>
      <c r="RNK23" s="720"/>
      <c r="RNL23" s="720"/>
      <c r="RNM23" s="720"/>
      <c r="RNN23" s="720"/>
      <c r="RNO23" s="720"/>
      <c r="RNP23" s="720"/>
      <c r="RNQ23" s="720"/>
      <c r="RNR23" s="720"/>
      <c r="RNS23" s="720"/>
      <c r="RNT23" s="720"/>
      <c r="RNU23" s="720"/>
      <c r="RNV23" s="720"/>
      <c r="RNW23" s="720"/>
      <c r="RNX23" s="720"/>
      <c r="RNY23" s="720"/>
      <c r="RNZ23" s="720"/>
      <c r="ROA23" s="720"/>
      <c r="ROB23" s="720"/>
      <c r="ROC23" s="720"/>
      <c r="ROD23" s="720"/>
      <c r="ROE23" s="720"/>
      <c r="ROF23" s="720"/>
      <c r="ROG23" s="720"/>
      <c r="ROH23" s="720"/>
      <c r="ROI23" s="720"/>
      <c r="ROJ23" s="720"/>
      <c r="ROK23" s="720"/>
      <c r="ROL23" s="720"/>
      <c r="ROM23" s="720"/>
      <c r="RON23" s="720"/>
      <c r="ROO23" s="720"/>
      <c r="ROP23" s="720"/>
      <c r="ROQ23" s="720"/>
      <c r="ROR23" s="720"/>
      <c r="ROS23" s="720"/>
      <c r="ROT23" s="720"/>
      <c r="ROU23" s="720"/>
      <c r="ROV23" s="720"/>
      <c r="ROW23" s="720"/>
      <c r="ROX23" s="720"/>
      <c r="ROY23" s="720"/>
      <c r="ROZ23" s="720"/>
      <c r="RPA23" s="720"/>
      <c r="RPB23" s="720"/>
      <c r="RPC23" s="720"/>
      <c r="RPD23" s="720"/>
      <c r="RPE23" s="720"/>
      <c r="RPF23" s="720"/>
      <c r="RPG23" s="720"/>
      <c r="RPH23" s="720"/>
      <c r="RPI23" s="720"/>
      <c r="RPJ23" s="720"/>
      <c r="RPK23" s="720"/>
      <c r="RPL23" s="720"/>
      <c r="RPM23" s="720"/>
      <c r="RPN23" s="720"/>
      <c r="RPO23" s="720"/>
      <c r="RPP23" s="720"/>
      <c r="RPQ23" s="720"/>
      <c r="RPR23" s="720"/>
      <c r="RPS23" s="720"/>
      <c r="RPT23" s="720"/>
      <c r="RPU23" s="720"/>
      <c r="RPV23" s="720"/>
      <c r="RPW23" s="720"/>
      <c r="RPX23" s="720"/>
      <c r="RPY23" s="720"/>
      <c r="RPZ23" s="720"/>
      <c r="RQA23" s="720"/>
      <c r="RQB23" s="720"/>
      <c r="RQC23" s="720"/>
      <c r="RQD23" s="720"/>
      <c r="RQE23" s="720"/>
      <c r="RQF23" s="720"/>
      <c r="RQG23" s="720"/>
      <c r="RQH23" s="720"/>
      <c r="RQI23" s="720"/>
      <c r="RQJ23" s="720"/>
      <c r="RQK23" s="720"/>
      <c r="RQL23" s="720"/>
      <c r="RQM23" s="720"/>
      <c r="RQN23" s="720"/>
      <c r="RQO23" s="720"/>
      <c r="RQP23" s="720"/>
      <c r="RQQ23" s="720"/>
      <c r="RQR23" s="720"/>
      <c r="RQS23" s="720"/>
      <c r="RQT23" s="720"/>
      <c r="RQU23" s="720"/>
      <c r="RQV23" s="720"/>
      <c r="RQW23" s="720"/>
      <c r="RQX23" s="720"/>
      <c r="RQY23" s="720"/>
      <c r="RQZ23" s="720"/>
      <c r="RRA23" s="720"/>
      <c r="RRB23" s="720"/>
      <c r="RRC23" s="720"/>
      <c r="RRD23" s="720"/>
      <c r="RRE23" s="720"/>
      <c r="RRF23" s="720"/>
      <c r="RRG23" s="720"/>
      <c r="RRH23" s="720"/>
      <c r="RRI23" s="720"/>
      <c r="RRJ23" s="720"/>
      <c r="RRK23" s="720"/>
      <c r="RRL23" s="720"/>
      <c r="RRM23" s="720"/>
      <c r="RRN23" s="720"/>
      <c r="RRO23" s="720"/>
      <c r="RRP23" s="720"/>
      <c r="RRQ23" s="720"/>
      <c r="RRR23" s="720"/>
      <c r="RRS23" s="720"/>
      <c r="RRT23" s="720"/>
      <c r="RRU23" s="720"/>
      <c r="RRV23" s="720"/>
      <c r="RRW23" s="720"/>
      <c r="RRX23" s="720"/>
      <c r="RRY23" s="720"/>
      <c r="RRZ23" s="720"/>
      <c r="RSA23" s="720"/>
      <c r="RSB23" s="720"/>
      <c r="RSC23" s="720"/>
      <c r="RSD23" s="720"/>
      <c r="RSE23" s="720"/>
      <c r="RSF23" s="720"/>
      <c r="RSG23" s="720"/>
      <c r="RSH23" s="720"/>
      <c r="RSI23" s="720"/>
      <c r="RSJ23" s="720"/>
      <c r="RSK23" s="720"/>
      <c r="RSL23" s="720"/>
      <c r="RSM23" s="720"/>
      <c r="RSN23" s="720"/>
      <c r="RSO23" s="720"/>
      <c r="RSP23" s="720"/>
      <c r="RSQ23" s="720"/>
      <c r="RSR23" s="720"/>
      <c r="RSS23" s="720"/>
      <c r="RST23" s="720"/>
      <c r="RSU23" s="720"/>
      <c r="RSV23" s="720"/>
      <c r="RSW23" s="720"/>
      <c r="RSX23" s="720"/>
      <c r="RSY23" s="720"/>
      <c r="RSZ23" s="720"/>
      <c r="RTA23" s="720"/>
      <c r="RTB23" s="720"/>
      <c r="RTC23" s="720"/>
      <c r="RTD23" s="720"/>
      <c r="RTE23" s="720"/>
      <c r="RTF23" s="720"/>
      <c r="RTG23" s="720"/>
      <c r="RTH23" s="720"/>
      <c r="RTI23" s="720"/>
      <c r="RTJ23" s="720"/>
      <c r="RTK23" s="720"/>
      <c r="RTL23" s="720"/>
      <c r="RTM23" s="720"/>
      <c r="RTN23" s="720"/>
      <c r="RTO23" s="720"/>
      <c r="RTP23" s="720"/>
      <c r="RTQ23" s="720"/>
      <c r="RTR23" s="720"/>
      <c r="RTS23" s="720"/>
      <c r="RTT23" s="720"/>
      <c r="RTU23" s="720"/>
      <c r="RTV23" s="720"/>
      <c r="RTW23" s="720"/>
      <c r="RTX23" s="720"/>
      <c r="RTY23" s="720"/>
      <c r="RTZ23" s="720"/>
      <c r="RUA23" s="720"/>
      <c r="RUB23" s="720"/>
      <c r="RUC23" s="720"/>
      <c r="RUD23" s="720"/>
      <c r="RUE23" s="720"/>
      <c r="RUF23" s="720"/>
      <c r="RUG23" s="720"/>
      <c r="RUH23" s="720"/>
      <c r="RUI23" s="720"/>
      <c r="RUJ23" s="720"/>
      <c r="RUK23" s="720"/>
      <c r="RUL23" s="720"/>
      <c r="RUM23" s="720"/>
      <c r="RUN23" s="720"/>
      <c r="RUO23" s="720"/>
      <c r="RUP23" s="720"/>
      <c r="RUQ23" s="720"/>
      <c r="RUR23" s="720"/>
      <c r="RUS23" s="720"/>
      <c r="RUT23" s="720"/>
      <c r="RUU23" s="720"/>
      <c r="RUV23" s="720"/>
      <c r="RUW23" s="720"/>
      <c r="RUX23" s="720"/>
      <c r="RUY23" s="720"/>
      <c r="RUZ23" s="720"/>
      <c r="RVA23" s="720"/>
      <c r="RVB23" s="720"/>
      <c r="RVC23" s="720"/>
      <c r="RVD23" s="720"/>
      <c r="RVE23" s="720"/>
      <c r="RVF23" s="720"/>
      <c r="RVG23" s="720"/>
      <c r="RVH23" s="720"/>
      <c r="RVI23" s="720"/>
      <c r="RVJ23" s="720"/>
      <c r="RVK23" s="720"/>
      <c r="RVL23" s="720"/>
      <c r="RVM23" s="720"/>
      <c r="RVN23" s="720"/>
      <c r="RVO23" s="720"/>
      <c r="RVP23" s="720"/>
      <c r="RVQ23" s="720"/>
      <c r="RVR23" s="720"/>
      <c r="RVS23" s="720"/>
      <c r="RVT23" s="720"/>
      <c r="RVU23" s="720"/>
      <c r="RVV23" s="720"/>
      <c r="RVW23" s="720"/>
      <c r="RVX23" s="720"/>
      <c r="RVY23" s="720"/>
      <c r="RVZ23" s="720"/>
      <c r="RWA23" s="720"/>
      <c r="RWB23" s="720"/>
      <c r="RWC23" s="720"/>
      <c r="RWD23" s="720"/>
      <c r="RWE23" s="720"/>
      <c r="RWF23" s="720"/>
      <c r="RWG23" s="720"/>
      <c r="RWH23" s="720"/>
      <c r="RWI23" s="720"/>
      <c r="RWJ23" s="720"/>
      <c r="RWK23" s="720"/>
      <c r="RWL23" s="720"/>
      <c r="RWM23" s="720"/>
      <c r="RWN23" s="720"/>
      <c r="RWO23" s="720"/>
      <c r="RWP23" s="720"/>
      <c r="RWQ23" s="720"/>
      <c r="RWR23" s="720"/>
      <c r="RWS23" s="720"/>
      <c r="RWT23" s="720"/>
      <c r="RWU23" s="720"/>
      <c r="RWV23" s="720"/>
      <c r="RWW23" s="720"/>
      <c r="RWX23" s="720"/>
      <c r="RWY23" s="720"/>
      <c r="RWZ23" s="720"/>
      <c r="RXA23" s="720"/>
      <c r="RXB23" s="720"/>
      <c r="RXC23" s="720"/>
      <c r="RXD23" s="720"/>
      <c r="RXE23" s="720"/>
      <c r="RXF23" s="720"/>
      <c r="RXG23" s="720"/>
      <c r="RXH23" s="720"/>
      <c r="RXI23" s="720"/>
      <c r="RXJ23" s="720"/>
      <c r="RXK23" s="720"/>
      <c r="RXL23" s="720"/>
      <c r="RXM23" s="720"/>
      <c r="RXN23" s="720"/>
      <c r="RXO23" s="720"/>
      <c r="RXP23" s="720"/>
      <c r="RXQ23" s="720"/>
      <c r="RXR23" s="720"/>
      <c r="RXS23" s="720"/>
      <c r="RXT23" s="720"/>
      <c r="RXU23" s="720"/>
      <c r="RXV23" s="720"/>
      <c r="RXW23" s="720"/>
      <c r="RXX23" s="720"/>
      <c r="RXY23" s="720"/>
      <c r="RXZ23" s="720"/>
      <c r="RYA23" s="720"/>
      <c r="RYB23" s="720"/>
      <c r="RYC23" s="720"/>
      <c r="RYD23" s="720"/>
      <c r="RYE23" s="720"/>
      <c r="RYF23" s="720"/>
      <c r="RYG23" s="720"/>
      <c r="RYH23" s="720"/>
      <c r="RYI23" s="720"/>
      <c r="RYJ23" s="720"/>
      <c r="RYK23" s="720"/>
      <c r="RYL23" s="720"/>
      <c r="RYM23" s="720"/>
      <c r="RYN23" s="720"/>
      <c r="RYO23" s="720"/>
      <c r="RYP23" s="720"/>
      <c r="RYQ23" s="720"/>
      <c r="RYR23" s="720"/>
      <c r="RYS23" s="720"/>
      <c r="RYT23" s="720"/>
      <c r="RYU23" s="720"/>
      <c r="RYV23" s="720"/>
      <c r="RYW23" s="720"/>
      <c r="RYX23" s="720"/>
      <c r="RYY23" s="720"/>
      <c r="RYZ23" s="720"/>
      <c r="RZA23" s="720"/>
      <c r="RZB23" s="720"/>
      <c r="RZC23" s="720"/>
      <c r="RZD23" s="720"/>
      <c r="RZE23" s="720"/>
      <c r="RZF23" s="720"/>
      <c r="RZG23" s="720"/>
      <c r="RZH23" s="720"/>
      <c r="RZI23" s="720"/>
      <c r="RZJ23" s="720"/>
      <c r="RZK23" s="720"/>
      <c r="RZL23" s="720"/>
      <c r="RZM23" s="720"/>
      <c r="RZN23" s="720"/>
      <c r="RZO23" s="720"/>
      <c r="RZP23" s="720"/>
      <c r="RZQ23" s="720"/>
      <c r="RZR23" s="720"/>
      <c r="RZS23" s="720"/>
      <c r="RZT23" s="720"/>
      <c r="RZU23" s="720"/>
      <c r="RZV23" s="720"/>
      <c r="RZW23" s="720"/>
      <c r="RZX23" s="720"/>
      <c r="RZY23" s="720"/>
      <c r="RZZ23" s="720"/>
      <c r="SAA23" s="720"/>
      <c r="SAB23" s="720"/>
      <c r="SAC23" s="720"/>
      <c r="SAD23" s="720"/>
      <c r="SAE23" s="720"/>
      <c r="SAF23" s="720"/>
      <c r="SAG23" s="720"/>
      <c r="SAH23" s="720"/>
      <c r="SAI23" s="720"/>
      <c r="SAJ23" s="720"/>
      <c r="SAK23" s="720"/>
      <c r="SAL23" s="720"/>
      <c r="SAM23" s="720"/>
      <c r="SAN23" s="720"/>
      <c r="SAO23" s="720"/>
      <c r="SAP23" s="720"/>
      <c r="SAQ23" s="720"/>
      <c r="SAR23" s="720"/>
      <c r="SAS23" s="720"/>
      <c r="SAT23" s="720"/>
      <c r="SAU23" s="720"/>
      <c r="SAV23" s="720"/>
      <c r="SAW23" s="720"/>
      <c r="SAX23" s="720"/>
      <c r="SAY23" s="720"/>
      <c r="SAZ23" s="720"/>
      <c r="SBA23" s="720"/>
      <c r="SBB23" s="720"/>
      <c r="SBC23" s="720"/>
      <c r="SBD23" s="720"/>
      <c r="SBE23" s="720"/>
      <c r="SBF23" s="720"/>
      <c r="SBG23" s="720"/>
      <c r="SBH23" s="720"/>
      <c r="SBI23" s="720"/>
      <c r="SBJ23" s="720"/>
      <c r="SBK23" s="720"/>
      <c r="SBL23" s="720"/>
      <c r="SBM23" s="720"/>
      <c r="SBN23" s="720"/>
      <c r="SBO23" s="720"/>
      <c r="SBP23" s="720"/>
      <c r="SBQ23" s="720"/>
      <c r="SBR23" s="720"/>
      <c r="SBS23" s="720"/>
      <c r="SBT23" s="720"/>
      <c r="SBU23" s="720"/>
      <c r="SBV23" s="720"/>
      <c r="SBW23" s="720"/>
      <c r="SBX23" s="720"/>
      <c r="SBY23" s="720"/>
      <c r="SBZ23" s="720"/>
      <c r="SCA23" s="720"/>
      <c r="SCB23" s="720"/>
      <c r="SCC23" s="720"/>
      <c r="SCD23" s="720"/>
      <c r="SCE23" s="720"/>
      <c r="SCF23" s="720"/>
      <c r="SCG23" s="720"/>
      <c r="SCH23" s="720"/>
      <c r="SCI23" s="720"/>
      <c r="SCJ23" s="720"/>
      <c r="SCK23" s="720"/>
      <c r="SCL23" s="720"/>
      <c r="SCM23" s="720"/>
      <c r="SCN23" s="720"/>
      <c r="SCO23" s="720"/>
      <c r="SCP23" s="720"/>
      <c r="SCQ23" s="720"/>
      <c r="SCR23" s="720"/>
      <c r="SCS23" s="720"/>
      <c r="SCT23" s="720"/>
      <c r="SCU23" s="720"/>
      <c r="SCV23" s="720"/>
      <c r="SCW23" s="720"/>
      <c r="SCX23" s="720"/>
      <c r="SCY23" s="720"/>
      <c r="SCZ23" s="720"/>
      <c r="SDA23" s="720"/>
      <c r="SDB23" s="720"/>
      <c r="SDC23" s="720"/>
      <c r="SDD23" s="720"/>
      <c r="SDE23" s="720"/>
      <c r="SDF23" s="720"/>
      <c r="SDG23" s="720"/>
      <c r="SDH23" s="720"/>
      <c r="SDI23" s="720"/>
      <c r="SDJ23" s="720"/>
      <c r="SDK23" s="720"/>
      <c r="SDL23" s="720"/>
      <c r="SDM23" s="720"/>
      <c r="SDN23" s="720"/>
      <c r="SDO23" s="720"/>
      <c r="SDP23" s="720"/>
      <c r="SDQ23" s="720"/>
      <c r="SDR23" s="720"/>
      <c r="SDS23" s="720"/>
      <c r="SDT23" s="720"/>
      <c r="SDU23" s="720"/>
      <c r="SDV23" s="720"/>
      <c r="SDW23" s="720"/>
      <c r="SDX23" s="720"/>
      <c r="SDY23" s="720"/>
      <c r="SDZ23" s="720"/>
      <c r="SEA23" s="720"/>
      <c r="SEB23" s="720"/>
      <c r="SEC23" s="720"/>
      <c r="SED23" s="720"/>
      <c r="SEE23" s="720"/>
      <c r="SEF23" s="720"/>
      <c r="SEG23" s="720"/>
      <c r="SEH23" s="720"/>
      <c r="SEI23" s="720"/>
      <c r="SEJ23" s="720"/>
      <c r="SEK23" s="720"/>
      <c r="SEL23" s="720"/>
      <c r="SEM23" s="720"/>
      <c r="SEN23" s="720"/>
      <c r="SEO23" s="720"/>
      <c r="SEP23" s="720"/>
      <c r="SEQ23" s="720"/>
      <c r="SER23" s="720"/>
      <c r="SES23" s="720"/>
      <c r="SET23" s="720"/>
      <c r="SEU23" s="720"/>
      <c r="SEV23" s="720"/>
      <c r="SEW23" s="720"/>
      <c r="SEX23" s="720"/>
      <c r="SEY23" s="720"/>
      <c r="SEZ23" s="720"/>
      <c r="SFA23" s="720"/>
      <c r="SFB23" s="720"/>
      <c r="SFC23" s="720"/>
      <c r="SFD23" s="720"/>
      <c r="SFE23" s="720"/>
      <c r="SFF23" s="720"/>
      <c r="SFG23" s="720"/>
      <c r="SFH23" s="720"/>
      <c r="SFI23" s="720"/>
      <c r="SFJ23" s="720"/>
      <c r="SFK23" s="720"/>
      <c r="SFL23" s="720"/>
      <c r="SFM23" s="720"/>
      <c r="SFN23" s="720"/>
      <c r="SFO23" s="720"/>
      <c r="SFP23" s="720"/>
      <c r="SFQ23" s="720"/>
      <c r="SFR23" s="720"/>
      <c r="SFS23" s="720"/>
      <c r="SFT23" s="720"/>
      <c r="SFU23" s="720"/>
      <c r="SFV23" s="720"/>
      <c r="SFW23" s="720"/>
      <c r="SFX23" s="720"/>
      <c r="SFY23" s="720"/>
      <c r="SFZ23" s="720"/>
      <c r="SGA23" s="720"/>
      <c r="SGB23" s="720"/>
      <c r="SGC23" s="720"/>
      <c r="SGD23" s="720"/>
      <c r="SGE23" s="720"/>
      <c r="SGF23" s="720"/>
      <c r="SGG23" s="720"/>
      <c r="SGH23" s="720"/>
      <c r="SGI23" s="720"/>
      <c r="SGJ23" s="720"/>
      <c r="SGK23" s="720"/>
      <c r="SGL23" s="720"/>
      <c r="SGM23" s="720"/>
      <c r="SGN23" s="720"/>
      <c r="SGO23" s="720"/>
      <c r="SGP23" s="720"/>
      <c r="SGQ23" s="720"/>
      <c r="SGR23" s="720"/>
      <c r="SGS23" s="720"/>
      <c r="SGT23" s="720"/>
      <c r="SGU23" s="720"/>
      <c r="SGV23" s="720"/>
      <c r="SGW23" s="720"/>
      <c r="SGX23" s="720"/>
      <c r="SGY23" s="720"/>
      <c r="SGZ23" s="720"/>
      <c r="SHA23" s="720"/>
      <c r="SHB23" s="720"/>
      <c r="SHC23" s="720"/>
      <c r="SHD23" s="720"/>
      <c r="SHE23" s="720"/>
      <c r="SHF23" s="720"/>
      <c r="SHG23" s="720"/>
      <c r="SHH23" s="720"/>
      <c r="SHI23" s="720"/>
      <c r="SHJ23" s="720"/>
      <c r="SHK23" s="720"/>
      <c r="SHL23" s="720"/>
      <c r="SHM23" s="720"/>
      <c r="SHN23" s="720"/>
      <c r="SHO23" s="720"/>
      <c r="SHP23" s="720"/>
      <c r="SHQ23" s="720"/>
      <c r="SHR23" s="720"/>
      <c r="SHS23" s="720"/>
      <c r="SHT23" s="720"/>
      <c r="SHU23" s="720"/>
      <c r="SHV23" s="720"/>
      <c r="SHW23" s="720"/>
      <c r="SHX23" s="720"/>
      <c r="SHY23" s="720"/>
      <c r="SHZ23" s="720"/>
      <c r="SIA23" s="720"/>
      <c r="SIB23" s="720"/>
      <c r="SIC23" s="720"/>
      <c r="SID23" s="720"/>
      <c r="SIE23" s="720"/>
      <c r="SIF23" s="720"/>
      <c r="SIG23" s="720"/>
      <c r="SIH23" s="720"/>
      <c r="SII23" s="720"/>
      <c r="SIJ23" s="720"/>
      <c r="SIK23" s="720"/>
      <c r="SIL23" s="720"/>
      <c r="SIM23" s="720"/>
      <c r="SIN23" s="720"/>
      <c r="SIO23" s="720"/>
      <c r="SIP23" s="720"/>
      <c r="SIQ23" s="720"/>
      <c r="SIR23" s="720"/>
      <c r="SIS23" s="720"/>
      <c r="SIT23" s="720"/>
      <c r="SIU23" s="720"/>
      <c r="SIV23" s="720"/>
      <c r="SIW23" s="720"/>
      <c r="SIX23" s="720"/>
      <c r="SIY23" s="720"/>
      <c r="SIZ23" s="720"/>
      <c r="SJA23" s="720"/>
      <c r="SJB23" s="720"/>
      <c r="SJC23" s="720"/>
      <c r="SJD23" s="720"/>
      <c r="SJE23" s="720"/>
      <c r="SJF23" s="720"/>
      <c r="SJG23" s="720"/>
      <c r="SJH23" s="720"/>
      <c r="SJI23" s="720"/>
      <c r="SJJ23" s="720"/>
      <c r="SJK23" s="720"/>
      <c r="SJL23" s="720"/>
      <c r="SJM23" s="720"/>
      <c r="SJN23" s="720"/>
      <c r="SJO23" s="720"/>
      <c r="SJP23" s="720"/>
      <c r="SJQ23" s="720"/>
      <c r="SJR23" s="720"/>
      <c r="SJS23" s="720"/>
      <c r="SJT23" s="720"/>
      <c r="SJU23" s="720"/>
      <c r="SJV23" s="720"/>
      <c r="SJW23" s="720"/>
      <c r="SJX23" s="720"/>
      <c r="SJY23" s="720"/>
      <c r="SJZ23" s="720"/>
      <c r="SKA23" s="720"/>
      <c r="SKB23" s="720"/>
      <c r="SKC23" s="720"/>
      <c r="SKD23" s="720"/>
      <c r="SKE23" s="720"/>
      <c r="SKF23" s="720"/>
      <c r="SKG23" s="720"/>
      <c r="SKH23" s="720"/>
      <c r="SKI23" s="720"/>
      <c r="SKJ23" s="720"/>
      <c r="SKK23" s="720"/>
      <c r="SKL23" s="720"/>
      <c r="SKM23" s="720"/>
      <c r="SKN23" s="720"/>
      <c r="SKO23" s="720"/>
      <c r="SKP23" s="720"/>
      <c r="SKQ23" s="720"/>
      <c r="SKR23" s="720"/>
      <c r="SKS23" s="720"/>
      <c r="SKT23" s="720"/>
      <c r="SKU23" s="720"/>
      <c r="SKV23" s="720"/>
      <c r="SKW23" s="720"/>
      <c r="SKX23" s="720"/>
      <c r="SKY23" s="720"/>
      <c r="SKZ23" s="720"/>
      <c r="SLA23" s="720"/>
      <c r="SLB23" s="720"/>
      <c r="SLC23" s="720"/>
      <c r="SLD23" s="720"/>
      <c r="SLE23" s="720"/>
      <c r="SLF23" s="720"/>
      <c r="SLG23" s="720"/>
      <c r="SLH23" s="720"/>
      <c r="SLI23" s="720"/>
      <c r="SLJ23" s="720"/>
      <c r="SLK23" s="720"/>
      <c r="SLL23" s="720"/>
      <c r="SLM23" s="720"/>
      <c r="SLN23" s="720"/>
      <c r="SLO23" s="720"/>
      <c r="SLP23" s="720"/>
      <c r="SLQ23" s="720"/>
      <c r="SLR23" s="720"/>
      <c r="SLS23" s="720"/>
      <c r="SLT23" s="720"/>
      <c r="SLU23" s="720"/>
      <c r="SLV23" s="720"/>
      <c r="SLW23" s="720"/>
      <c r="SLX23" s="720"/>
      <c r="SLY23" s="720"/>
      <c r="SLZ23" s="720"/>
      <c r="SMA23" s="720"/>
      <c r="SMB23" s="720"/>
      <c r="SMC23" s="720"/>
      <c r="SMD23" s="720"/>
      <c r="SME23" s="720"/>
      <c r="SMF23" s="720"/>
      <c r="SMG23" s="720"/>
      <c r="SMH23" s="720"/>
      <c r="SMI23" s="720"/>
      <c r="SMJ23" s="720"/>
      <c r="SMK23" s="720"/>
      <c r="SML23" s="720"/>
      <c r="SMM23" s="720"/>
      <c r="SMN23" s="720"/>
      <c r="SMO23" s="720"/>
      <c r="SMP23" s="720"/>
      <c r="SMQ23" s="720"/>
      <c r="SMR23" s="720"/>
      <c r="SMS23" s="720"/>
      <c r="SMT23" s="720"/>
      <c r="SMU23" s="720"/>
      <c r="SMV23" s="720"/>
      <c r="SMW23" s="720"/>
      <c r="SMX23" s="720"/>
      <c r="SMY23" s="720"/>
      <c r="SMZ23" s="720"/>
      <c r="SNA23" s="720"/>
      <c r="SNB23" s="720"/>
      <c r="SNC23" s="720"/>
      <c r="SND23" s="720"/>
      <c r="SNE23" s="720"/>
      <c r="SNF23" s="720"/>
      <c r="SNG23" s="720"/>
      <c r="SNH23" s="720"/>
      <c r="SNI23" s="720"/>
      <c r="SNJ23" s="720"/>
      <c r="SNK23" s="720"/>
      <c r="SNL23" s="720"/>
      <c r="SNM23" s="720"/>
      <c r="SNN23" s="720"/>
      <c r="SNO23" s="720"/>
      <c r="SNP23" s="720"/>
      <c r="SNQ23" s="720"/>
      <c r="SNR23" s="720"/>
      <c r="SNS23" s="720"/>
      <c r="SNT23" s="720"/>
      <c r="SNU23" s="720"/>
      <c r="SNV23" s="720"/>
      <c r="SNW23" s="720"/>
      <c r="SNX23" s="720"/>
      <c r="SNY23" s="720"/>
      <c r="SNZ23" s="720"/>
      <c r="SOA23" s="720"/>
      <c r="SOB23" s="720"/>
      <c r="SOC23" s="720"/>
      <c r="SOD23" s="720"/>
      <c r="SOE23" s="720"/>
      <c r="SOF23" s="720"/>
      <c r="SOG23" s="720"/>
      <c r="SOH23" s="720"/>
      <c r="SOI23" s="720"/>
      <c r="SOJ23" s="720"/>
      <c r="SOK23" s="720"/>
      <c r="SOL23" s="720"/>
      <c r="SOM23" s="720"/>
      <c r="SON23" s="720"/>
      <c r="SOO23" s="720"/>
      <c r="SOP23" s="720"/>
      <c r="SOQ23" s="720"/>
      <c r="SOR23" s="720"/>
      <c r="SOS23" s="720"/>
      <c r="SOT23" s="720"/>
      <c r="SOU23" s="720"/>
      <c r="SOV23" s="720"/>
      <c r="SOW23" s="720"/>
      <c r="SOX23" s="720"/>
      <c r="SOY23" s="720"/>
      <c r="SOZ23" s="720"/>
      <c r="SPA23" s="720"/>
      <c r="SPB23" s="720"/>
      <c r="SPC23" s="720"/>
      <c r="SPD23" s="720"/>
      <c r="SPE23" s="720"/>
      <c r="SPF23" s="720"/>
      <c r="SPG23" s="720"/>
      <c r="SPH23" s="720"/>
      <c r="SPI23" s="720"/>
      <c r="SPJ23" s="720"/>
      <c r="SPK23" s="720"/>
      <c r="SPL23" s="720"/>
      <c r="SPM23" s="720"/>
      <c r="SPN23" s="720"/>
      <c r="SPO23" s="720"/>
      <c r="SPP23" s="720"/>
      <c r="SPQ23" s="720"/>
      <c r="SPR23" s="720"/>
      <c r="SPS23" s="720"/>
      <c r="SPT23" s="720"/>
      <c r="SPU23" s="720"/>
      <c r="SPV23" s="720"/>
      <c r="SPW23" s="720"/>
      <c r="SPX23" s="720"/>
      <c r="SPY23" s="720"/>
      <c r="SPZ23" s="720"/>
      <c r="SQA23" s="720"/>
      <c r="SQB23" s="720"/>
      <c r="SQC23" s="720"/>
      <c r="SQD23" s="720"/>
      <c r="SQE23" s="720"/>
      <c r="SQF23" s="720"/>
      <c r="SQG23" s="720"/>
      <c r="SQH23" s="720"/>
      <c r="SQI23" s="720"/>
      <c r="SQJ23" s="720"/>
      <c r="SQK23" s="720"/>
      <c r="SQL23" s="720"/>
      <c r="SQM23" s="720"/>
      <c r="SQN23" s="720"/>
      <c r="SQO23" s="720"/>
      <c r="SQP23" s="720"/>
      <c r="SQQ23" s="720"/>
      <c r="SQR23" s="720"/>
      <c r="SQS23" s="720"/>
      <c r="SQT23" s="720"/>
      <c r="SQU23" s="720"/>
      <c r="SQV23" s="720"/>
      <c r="SQW23" s="720"/>
      <c r="SQX23" s="720"/>
      <c r="SQY23" s="720"/>
      <c r="SQZ23" s="720"/>
      <c r="SRA23" s="720"/>
      <c r="SRB23" s="720"/>
      <c r="SRC23" s="720"/>
      <c r="SRD23" s="720"/>
      <c r="SRE23" s="720"/>
      <c r="SRF23" s="720"/>
      <c r="SRG23" s="720"/>
      <c r="SRH23" s="720"/>
      <c r="SRI23" s="720"/>
      <c r="SRJ23" s="720"/>
      <c r="SRK23" s="720"/>
      <c r="SRL23" s="720"/>
      <c r="SRM23" s="720"/>
      <c r="SRN23" s="720"/>
      <c r="SRO23" s="720"/>
      <c r="SRP23" s="720"/>
      <c r="SRQ23" s="720"/>
      <c r="SRR23" s="720"/>
      <c r="SRS23" s="720"/>
      <c r="SRT23" s="720"/>
      <c r="SRU23" s="720"/>
      <c r="SRV23" s="720"/>
      <c r="SRW23" s="720"/>
      <c r="SRX23" s="720"/>
      <c r="SRY23" s="720"/>
      <c r="SRZ23" s="720"/>
      <c r="SSA23" s="720"/>
      <c r="SSB23" s="720"/>
      <c r="SSC23" s="720"/>
      <c r="SSD23" s="720"/>
      <c r="SSE23" s="720"/>
      <c r="SSF23" s="720"/>
      <c r="SSG23" s="720"/>
      <c r="SSH23" s="720"/>
      <c r="SSI23" s="720"/>
      <c r="SSJ23" s="720"/>
      <c r="SSK23" s="720"/>
      <c r="SSL23" s="720"/>
      <c r="SSM23" s="720"/>
      <c r="SSN23" s="720"/>
      <c r="SSO23" s="720"/>
      <c r="SSP23" s="720"/>
      <c r="SSQ23" s="720"/>
      <c r="SSR23" s="720"/>
      <c r="SSS23" s="720"/>
      <c r="SST23" s="720"/>
      <c r="SSU23" s="720"/>
      <c r="SSV23" s="720"/>
      <c r="SSW23" s="720"/>
      <c r="SSX23" s="720"/>
      <c r="SSY23" s="720"/>
      <c r="SSZ23" s="720"/>
      <c r="STA23" s="720"/>
      <c r="STB23" s="720"/>
      <c r="STC23" s="720"/>
      <c r="STD23" s="720"/>
      <c r="STE23" s="720"/>
      <c r="STF23" s="720"/>
      <c r="STG23" s="720"/>
      <c r="STH23" s="720"/>
      <c r="STI23" s="720"/>
      <c r="STJ23" s="720"/>
      <c r="STK23" s="720"/>
      <c r="STL23" s="720"/>
      <c r="STM23" s="720"/>
      <c r="STN23" s="720"/>
      <c r="STO23" s="720"/>
      <c r="STP23" s="720"/>
      <c r="STQ23" s="720"/>
      <c r="STR23" s="720"/>
      <c r="STS23" s="720"/>
      <c r="STT23" s="720"/>
      <c r="STU23" s="720"/>
      <c r="STV23" s="720"/>
      <c r="STW23" s="720"/>
      <c r="STX23" s="720"/>
      <c r="STY23" s="720"/>
      <c r="STZ23" s="720"/>
      <c r="SUA23" s="720"/>
      <c r="SUB23" s="720"/>
      <c r="SUC23" s="720"/>
      <c r="SUD23" s="720"/>
      <c r="SUE23" s="720"/>
      <c r="SUF23" s="720"/>
      <c r="SUG23" s="720"/>
      <c r="SUH23" s="720"/>
      <c r="SUI23" s="720"/>
      <c r="SUJ23" s="720"/>
      <c r="SUK23" s="720"/>
      <c r="SUL23" s="720"/>
      <c r="SUM23" s="720"/>
      <c r="SUN23" s="720"/>
      <c r="SUO23" s="720"/>
      <c r="SUP23" s="720"/>
      <c r="SUQ23" s="720"/>
      <c r="SUR23" s="720"/>
      <c r="SUS23" s="720"/>
      <c r="SUT23" s="720"/>
      <c r="SUU23" s="720"/>
      <c r="SUV23" s="720"/>
      <c r="SUW23" s="720"/>
      <c r="SUX23" s="720"/>
      <c r="SUY23" s="720"/>
      <c r="SUZ23" s="720"/>
      <c r="SVA23" s="720"/>
      <c r="SVB23" s="720"/>
      <c r="SVC23" s="720"/>
      <c r="SVD23" s="720"/>
      <c r="SVE23" s="720"/>
      <c r="SVF23" s="720"/>
      <c r="SVG23" s="720"/>
      <c r="SVH23" s="720"/>
      <c r="SVI23" s="720"/>
      <c r="SVJ23" s="720"/>
      <c r="SVK23" s="720"/>
      <c r="SVL23" s="720"/>
      <c r="SVM23" s="720"/>
      <c r="SVN23" s="720"/>
      <c r="SVO23" s="720"/>
      <c r="SVP23" s="720"/>
      <c r="SVQ23" s="720"/>
      <c r="SVR23" s="720"/>
      <c r="SVS23" s="720"/>
      <c r="SVT23" s="720"/>
      <c r="SVU23" s="720"/>
      <c r="SVV23" s="720"/>
      <c r="SVW23" s="720"/>
      <c r="SVX23" s="720"/>
      <c r="SVY23" s="720"/>
      <c r="SVZ23" s="720"/>
      <c r="SWA23" s="720"/>
      <c r="SWB23" s="720"/>
      <c r="SWC23" s="720"/>
      <c r="SWD23" s="720"/>
      <c r="SWE23" s="720"/>
      <c r="SWF23" s="720"/>
      <c r="SWG23" s="720"/>
      <c r="SWH23" s="720"/>
      <c r="SWI23" s="720"/>
      <c r="SWJ23" s="720"/>
      <c r="SWK23" s="720"/>
      <c r="SWL23" s="720"/>
      <c r="SWM23" s="720"/>
      <c r="SWN23" s="720"/>
      <c r="SWO23" s="720"/>
      <c r="SWP23" s="720"/>
      <c r="SWQ23" s="720"/>
      <c r="SWR23" s="720"/>
      <c r="SWS23" s="720"/>
      <c r="SWT23" s="720"/>
      <c r="SWU23" s="720"/>
      <c r="SWV23" s="720"/>
      <c r="SWW23" s="720"/>
      <c r="SWX23" s="720"/>
      <c r="SWY23" s="720"/>
      <c r="SWZ23" s="720"/>
      <c r="SXA23" s="720"/>
      <c r="SXB23" s="720"/>
      <c r="SXC23" s="720"/>
      <c r="SXD23" s="720"/>
      <c r="SXE23" s="720"/>
      <c r="SXF23" s="720"/>
      <c r="SXG23" s="720"/>
      <c r="SXH23" s="720"/>
      <c r="SXI23" s="720"/>
      <c r="SXJ23" s="720"/>
      <c r="SXK23" s="720"/>
      <c r="SXL23" s="720"/>
      <c r="SXM23" s="720"/>
      <c r="SXN23" s="720"/>
      <c r="SXO23" s="720"/>
      <c r="SXP23" s="720"/>
      <c r="SXQ23" s="720"/>
      <c r="SXR23" s="720"/>
      <c r="SXS23" s="720"/>
      <c r="SXT23" s="720"/>
      <c r="SXU23" s="720"/>
      <c r="SXV23" s="720"/>
      <c r="SXW23" s="720"/>
      <c r="SXX23" s="720"/>
      <c r="SXY23" s="720"/>
      <c r="SXZ23" s="720"/>
      <c r="SYA23" s="720"/>
      <c r="SYB23" s="720"/>
      <c r="SYC23" s="720"/>
      <c r="SYD23" s="720"/>
      <c r="SYE23" s="720"/>
      <c r="SYF23" s="720"/>
      <c r="SYG23" s="720"/>
      <c r="SYH23" s="720"/>
      <c r="SYI23" s="720"/>
      <c r="SYJ23" s="720"/>
      <c r="SYK23" s="720"/>
      <c r="SYL23" s="720"/>
      <c r="SYM23" s="720"/>
      <c r="SYN23" s="720"/>
      <c r="SYO23" s="720"/>
      <c r="SYP23" s="720"/>
      <c r="SYQ23" s="720"/>
      <c r="SYR23" s="720"/>
      <c r="SYS23" s="720"/>
      <c r="SYT23" s="720"/>
      <c r="SYU23" s="720"/>
      <c r="SYV23" s="720"/>
      <c r="SYW23" s="720"/>
      <c r="SYX23" s="720"/>
      <c r="SYY23" s="720"/>
      <c r="SYZ23" s="720"/>
      <c r="SZA23" s="720"/>
      <c r="SZB23" s="720"/>
      <c r="SZC23" s="720"/>
      <c r="SZD23" s="720"/>
      <c r="SZE23" s="720"/>
      <c r="SZF23" s="720"/>
      <c r="SZG23" s="720"/>
      <c r="SZH23" s="720"/>
      <c r="SZI23" s="720"/>
      <c r="SZJ23" s="720"/>
      <c r="SZK23" s="720"/>
      <c r="SZL23" s="720"/>
      <c r="SZM23" s="720"/>
      <c r="SZN23" s="720"/>
      <c r="SZO23" s="720"/>
      <c r="SZP23" s="720"/>
      <c r="SZQ23" s="720"/>
      <c r="SZR23" s="720"/>
      <c r="SZS23" s="720"/>
      <c r="SZT23" s="720"/>
      <c r="SZU23" s="720"/>
      <c r="SZV23" s="720"/>
      <c r="SZW23" s="720"/>
      <c r="SZX23" s="720"/>
      <c r="SZY23" s="720"/>
      <c r="SZZ23" s="720"/>
      <c r="TAA23" s="720"/>
      <c r="TAB23" s="720"/>
      <c r="TAC23" s="720"/>
      <c r="TAD23" s="720"/>
      <c r="TAE23" s="720"/>
      <c r="TAF23" s="720"/>
      <c r="TAG23" s="720"/>
      <c r="TAH23" s="720"/>
      <c r="TAI23" s="720"/>
      <c r="TAJ23" s="720"/>
      <c r="TAK23" s="720"/>
      <c r="TAL23" s="720"/>
      <c r="TAM23" s="720"/>
      <c r="TAN23" s="720"/>
      <c r="TAO23" s="720"/>
      <c r="TAP23" s="720"/>
      <c r="TAQ23" s="720"/>
      <c r="TAR23" s="720"/>
      <c r="TAS23" s="720"/>
      <c r="TAT23" s="720"/>
      <c r="TAU23" s="720"/>
      <c r="TAV23" s="720"/>
      <c r="TAW23" s="720"/>
      <c r="TAX23" s="720"/>
      <c r="TAY23" s="720"/>
      <c r="TAZ23" s="720"/>
      <c r="TBA23" s="720"/>
      <c r="TBB23" s="720"/>
      <c r="TBC23" s="720"/>
      <c r="TBD23" s="720"/>
      <c r="TBE23" s="720"/>
      <c r="TBF23" s="720"/>
      <c r="TBG23" s="720"/>
      <c r="TBH23" s="720"/>
      <c r="TBI23" s="720"/>
      <c r="TBJ23" s="720"/>
      <c r="TBK23" s="720"/>
      <c r="TBL23" s="720"/>
      <c r="TBM23" s="720"/>
      <c r="TBN23" s="720"/>
      <c r="TBO23" s="720"/>
      <c r="TBP23" s="720"/>
      <c r="TBQ23" s="720"/>
      <c r="TBR23" s="720"/>
      <c r="TBS23" s="720"/>
      <c r="TBT23" s="720"/>
      <c r="TBU23" s="720"/>
      <c r="TBV23" s="720"/>
      <c r="TBW23" s="720"/>
      <c r="TBX23" s="720"/>
      <c r="TBY23" s="720"/>
      <c r="TBZ23" s="720"/>
      <c r="TCA23" s="720"/>
      <c r="TCB23" s="720"/>
      <c r="TCC23" s="720"/>
      <c r="TCD23" s="720"/>
      <c r="TCE23" s="720"/>
      <c r="TCF23" s="720"/>
      <c r="TCG23" s="720"/>
      <c r="TCH23" s="720"/>
      <c r="TCI23" s="720"/>
      <c r="TCJ23" s="720"/>
      <c r="TCK23" s="720"/>
      <c r="TCL23" s="720"/>
      <c r="TCM23" s="720"/>
      <c r="TCN23" s="720"/>
      <c r="TCO23" s="720"/>
      <c r="TCP23" s="720"/>
      <c r="TCQ23" s="720"/>
      <c r="TCR23" s="720"/>
      <c r="TCS23" s="720"/>
      <c r="TCT23" s="720"/>
      <c r="TCU23" s="720"/>
      <c r="TCV23" s="720"/>
      <c r="TCW23" s="720"/>
      <c r="TCX23" s="720"/>
      <c r="TCY23" s="720"/>
      <c r="TCZ23" s="720"/>
      <c r="TDA23" s="720"/>
      <c r="TDB23" s="720"/>
      <c r="TDC23" s="720"/>
      <c r="TDD23" s="720"/>
      <c r="TDE23" s="720"/>
      <c r="TDF23" s="720"/>
      <c r="TDG23" s="720"/>
      <c r="TDH23" s="720"/>
      <c r="TDI23" s="720"/>
      <c r="TDJ23" s="720"/>
      <c r="TDK23" s="720"/>
      <c r="TDL23" s="720"/>
      <c r="TDM23" s="720"/>
      <c r="TDN23" s="720"/>
      <c r="TDO23" s="720"/>
      <c r="TDP23" s="720"/>
      <c r="TDQ23" s="720"/>
      <c r="TDR23" s="720"/>
      <c r="TDS23" s="720"/>
      <c r="TDT23" s="720"/>
      <c r="TDU23" s="720"/>
      <c r="TDV23" s="720"/>
      <c r="TDW23" s="720"/>
      <c r="TDX23" s="720"/>
      <c r="TDY23" s="720"/>
      <c r="TDZ23" s="720"/>
      <c r="TEA23" s="720"/>
      <c r="TEB23" s="720"/>
      <c r="TEC23" s="720"/>
      <c r="TED23" s="720"/>
      <c r="TEE23" s="720"/>
      <c r="TEF23" s="720"/>
      <c r="TEG23" s="720"/>
      <c r="TEH23" s="720"/>
      <c r="TEI23" s="720"/>
      <c r="TEJ23" s="720"/>
      <c r="TEK23" s="720"/>
      <c r="TEL23" s="720"/>
      <c r="TEM23" s="720"/>
      <c r="TEN23" s="720"/>
      <c r="TEO23" s="720"/>
      <c r="TEP23" s="720"/>
      <c r="TEQ23" s="720"/>
      <c r="TER23" s="720"/>
      <c r="TES23" s="720"/>
      <c r="TET23" s="720"/>
      <c r="TEU23" s="720"/>
      <c r="TEV23" s="720"/>
      <c r="TEW23" s="720"/>
      <c r="TEX23" s="720"/>
      <c r="TEY23" s="720"/>
      <c r="TEZ23" s="720"/>
      <c r="TFA23" s="720"/>
      <c r="TFB23" s="720"/>
      <c r="TFC23" s="720"/>
      <c r="TFD23" s="720"/>
      <c r="TFE23" s="720"/>
      <c r="TFF23" s="720"/>
      <c r="TFG23" s="720"/>
      <c r="TFH23" s="720"/>
      <c r="TFI23" s="720"/>
      <c r="TFJ23" s="720"/>
      <c r="TFK23" s="720"/>
      <c r="TFL23" s="720"/>
      <c r="TFM23" s="720"/>
      <c r="TFN23" s="720"/>
      <c r="TFO23" s="720"/>
      <c r="TFP23" s="720"/>
      <c r="TFQ23" s="720"/>
      <c r="TFR23" s="720"/>
      <c r="TFS23" s="720"/>
      <c r="TFT23" s="720"/>
      <c r="TFU23" s="720"/>
      <c r="TFV23" s="720"/>
      <c r="TFW23" s="720"/>
      <c r="TFX23" s="720"/>
      <c r="TFY23" s="720"/>
      <c r="TFZ23" s="720"/>
      <c r="TGA23" s="720"/>
      <c r="TGB23" s="720"/>
      <c r="TGC23" s="720"/>
      <c r="TGD23" s="720"/>
      <c r="TGE23" s="720"/>
      <c r="TGF23" s="720"/>
      <c r="TGG23" s="720"/>
      <c r="TGH23" s="720"/>
      <c r="TGI23" s="720"/>
      <c r="TGJ23" s="720"/>
      <c r="TGK23" s="720"/>
      <c r="TGL23" s="720"/>
      <c r="TGM23" s="720"/>
      <c r="TGN23" s="720"/>
      <c r="TGO23" s="720"/>
      <c r="TGP23" s="720"/>
      <c r="TGQ23" s="720"/>
      <c r="TGR23" s="720"/>
      <c r="TGS23" s="720"/>
      <c r="TGT23" s="720"/>
      <c r="TGU23" s="720"/>
      <c r="TGV23" s="720"/>
      <c r="TGW23" s="720"/>
      <c r="TGX23" s="720"/>
      <c r="TGY23" s="720"/>
      <c r="TGZ23" s="720"/>
      <c r="THA23" s="720"/>
      <c r="THB23" s="720"/>
      <c r="THC23" s="720"/>
      <c r="THD23" s="720"/>
      <c r="THE23" s="720"/>
      <c r="THF23" s="720"/>
      <c r="THG23" s="720"/>
      <c r="THH23" s="720"/>
      <c r="THI23" s="720"/>
      <c r="THJ23" s="720"/>
      <c r="THK23" s="720"/>
      <c r="THL23" s="720"/>
      <c r="THM23" s="720"/>
      <c r="THN23" s="720"/>
      <c r="THO23" s="720"/>
      <c r="THP23" s="720"/>
      <c r="THQ23" s="720"/>
      <c r="THR23" s="720"/>
      <c r="THS23" s="720"/>
      <c r="THT23" s="720"/>
      <c r="THU23" s="720"/>
      <c r="THV23" s="720"/>
      <c r="THW23" s="720"/>
      <c r="THX23" s="720"/>
      <c r="THY23" s="720"/>
      <c r="THZ23" s="720"/>
      <c r="TIA23" s="720"/>
      <c r="TIB23" s="720"/>
      <c r="TIC23" s="720"/>
      <c r="TID23" s="720"/>
      <c r="TIE23" s="720"/>
      <c r="TIF23" s="720"/>
      <c r="TIG23" s="720"/>
      <c r="TIH23" s="720"/>
      <c r="TII23" s="720"/>
      <c r="TIJ23" s="720"/>
      <c r="TIK23" s="720"/>
      <c r="TIL23" s="720"/>
      <c r="TIM23" s="720"/>
      <c r="TIN23" s="720"/>
      <c r="TIO23" s="720"/>
      <c r="TIP23" s="720"/>
      <c r="TIQ23" s="720"/>
      <c r="TIR23" s="720"/>
      <c r="TIS23" s="720"/>
      <c r="TIT23" s="720"/>
      <c r="TIU23" s="720"/>
      <c r="TIV23" s="720"/>
      <c r="TIW23" s="720"/>
      <c r="TIX23" s="720"/>
      <c r="TIY23" s="720"/>
      <c r="TIZ23" s="720"/>
      <c r="TJA23" s="720"/>
      <c r="TJB23" s="720"/>
      <c r="TJC23" s="720"/>
      <c r="TJD23" s="720"/>
      <c r="TJE23" s="720"/>
      <c r="TJF23" s="720"/>
      <c r="TJG23" s="720"/>
      <c r="TJH23" s="720"/>
      <c r="TJI23" s="720"/>
      <c r="TJJ23" s="720"/>
      <c r="TJK23" s="720"/>
      <c r="TJL23" s="720"/>
      <c r="TJM23" s="720"/>
      <c r="TJN23" s="720"/>
      <c r="TJO23" s="720"/>
      <c r="TJP23" s="720"/>
      <c r="TJQ23" s="720"/>
      <c r="TJR23" s="720"/>
      <c r="TJS23" s="720"/>
      <c r="TJT23" s="720"/>
      <c r="TJU23" s="720"/>
      <c r="TJV23" s="720"/>
      <c r="TJW23" s="720"/>
      <c r="TJX23" s="720"/>
      <c r="TJY23" s="720"/>
      <c r="TJZ23" s="720"/>
      <c r="TKA23" s="720"/>
      <c r="TKB23" s="720"/>
      <c r="TKC23" s="720"/>
      <c r="TKD23" s="720"/>
      <c r="TKE23" s="720"/>
      <c r="TKF23" s="720"/>
      <c r="TKG23" s="720"/>
      <c r="TKH23" s="720"/>
      <c r="TKI23" s="720"/>
      <c r="TKJ23" s="720"/>
      <c r="TKK23" s="720"/>
      <c r="TKL23" s="720"/>
      <c r="TKM23" s="720"/>
      <c r="TKN23" s="720"/>
      <c r="TKO23" s="720"/>
      <c r="TKP23" s="720"/>
      <c r="TKQ23" s="720"/>
      <c r="TKR23" s="720"/>
      <c r="TKS23" s="720"/>
      <c r="TKT23" s="720"/>
      <c r="TKU23" s="720"/>
      <c r="TKV23" s="720"/>
      <c r="TKW23" s="720"/>
      <c r="TKX23" s="720"/>
      <c r="TKY23" s="720"/>
      <c r="TKZ23" s="720"/>
      <c r="TLA23" s="720"/>
      <c r="TLB23" s="720"/>
      <c r="TLC23" s="720"/>
      <c r="TLD23" s="720"/>
      <c r="TLE23" s="720"/>
      <c r="TLF23" s="720"/>
      <c r="TLG23" s="720"/>
      <c r="TLH23" s="720"/>
      <c r="TLI23" s="720"/>
      <c r="TLJ23" s="720"/>
      <c r="TLK23" s="720"/>
      <c r="TLL23" s="720"/>
      <c r="TLM23" s="720"/>
      <c r="TLN23" s="720"/>
      <c r="TLO23" s="720"/>
      <c r="TLP23" s="720"/>
      <c r="TLQ23" s="720"/>
      <c r="TLR23" s="720"/>
      <c r="TLS23" s="720"/>
      <c r="TLT23" s="720"/>
      <c r="TLU23" s="720"/>
      <c r="TLV23" s="720"/>
      <c r="TLW23" s="720"/>
      <c r="TLX23" s="720"/>
      <c r="TLY23" s="720"/>
      <c r="TLZ23" s="720"/>
      <c r="TMA23" s="720"/>
      <c r="TMB23" s="720"/>
      <c r="TMC23" s="720"/>
      <c r="TMD23" s="720"/>
      <c r="TME23" s="720"/>
      <c r="TMF23" s="720"/>
      <c r="TMG23" s="720"/>
      <c r="TMH23" s="720"/>
      <c r="TMI23" s="720"/>
      <c r="TMJ23" s="720"/>
      <c r="TMK23" s="720"/>
      <c r="TML23" s="720"/>
      <c r="TMM23" s="720"/>
      <c r="TMN23" s="720"/>
      <c r="TMO23" s="720"/>
      <c r="TMP23" s="720"/>
      <c r="TMQ23" s="720"/>
      <c r="TMR23" s="720"/>
      <c r="TMS23" s="720"/>
      <c r="TMT23" s="720"/>
      <c r="TMU23" s="720"/>
      <c r="TMV23" s="720"/>
      <c r="TMW23" s="720"/>
      <c r="TMX23" s="720"/>
      <c r="TMY23" s="720"/>
      <c r="TMZ23" s="720"/>
      <c r="TNA23" s="720"/>
      <c r="TNB23" s="720"/>
      <c r="TNC23" s="720"/>
      <c r="TND23" s="720"/>
      <c r="TNE23" s="720"/>
      <c r="TNF23" s="720"/>
      <c r="TNG23" s="720"/>
      <c r="TNH23" s="720"/>
      <c r="TNI23" s="720"/>
      <c r="TNJ23" s="720"/>
      <c r="TNK23" s="720"/>
      <c r="TNL23" s="720"/>
      <c r="TNM23" s="720"/>
      <c r="TNN23" s="720"/>
      <c r="TNO23" s="720"/>
      <c r="TNP23" s="720"/>
      <c r="TNQ23" s="720"/>
      <c r="TNR23" s="720"/>
      <c r="TNS23" s="720"/>
      <c r="TNT23" s="720"/>
      <c r="TNU23" s="720"/>
      <c r="TNV23" s="720"/>
      <c r="TNW23" s="720"/>
      <c r="TNX23" s="720"/>
      <c r="TNY23" s="720"/>
      <c r="TNZ23" s="720"/>
      <c r="TOA23" s="720"/>
      <c r="TOB23" s="720"/>
      <c r="TOC23" s="720"/>
      <c r="TOD23" s="720"/>
      <c r="TOE23" s="720"/>
      <c r="TOF23" s="720"/>
      <c r="TOG23" s="720"/>
      <c r="TOH23" s="720"/>
      <c r="TOI23" s="720"/>
      <c r="TOJ23" s="720"/>
      <c r="TOK23" s="720"/>
      <c r="TOL23" s="720"/>
      <c r="TOM23" s="720"/>
      <c r="TON23" s="720"/>
      <c r="TOO23" s="720"/>
      <c r="TOP23" s="720"/>
      <c r="TOQ23" s="720"/>
      <c r="TOR23" s="720"/>
      <c r="TOS23" s="720"/>
      <c r="TOT23" s="720"/>
      <c r="TOU23" s="720"/>
      <c r="TOV23" s="720"/>
      <c r="TOW23" s="720"/>
      <c r="TOX23" s="720"/>
      <c r="TOY23" s="720"/>
      <c r="TOZ23" s="720"/>
      <c r="TPA23" s="720"/>
      <c r="TPB23" s="720"/>
      <c r="TPC23" s="720"/>
      <c r="TPD23" s="720"/>
      <c r="TPE23" s="720"/>
      <c r="TPF23" s="720"/>
      <c r="TPG23" s="720"/>
      <c r="TPH23" s="720"/>
      <c r="TPI23" s="720"/>
      <c r="TPJ23" s="720"/>
      <c r="TPK23" s="720"/>
      <c r="TPL23" s="720"/>
      <c r="TPM23" s="720"/>
      <c r="TPN23" s="720"/>
      <c r="TPO23" s="720"/>
      <c r="TPP23" s="720"/>
      <c r="TPQ23" s="720"/>
      <c r="TPR23" s="720"/>
      <c r="TPS23" s="720"/>
      <c r="TPT23" s="720"/>
      <c r="TPU23" s="720"/>
      <c r="TPV23" s="720"/>
      <c r="TPW23" s="720"/>
      <c r="TPX23" s="720"/>
      <c r="TPY23" s="720"/>
      <c r="TPZ23" s="720"/>
      <c r="TQA23" s="720"/>
      <c r="TQB23" s="720"/>
      <c r="TQC23" s="720"/>
      <c r="TQD23" s="720"/>
      <c r="TQE23" s="720"/>
      <c r="TQF23" s="720"/>
      <c r="TQG23" s="720"/>
      <c r="TQH23" s="720"/>
      <c r="TQI23" s="720"/>
      <c r="TQJ23" s="720"/>
      <c r="TQK23" s="720"/>
      <c r="TQL23" s="720"/>
      <c r="TQM23" s="720"/>
      <c r="TQN23" s="720"/>
      <c r="TQO23" s="720"/>
      <c r="TQP23" s="720"/>
      <c r="TQQ23" s="720"/>
      <c r="TQR23" s="720"/>
      <c r="TQS23" s="720"/>
      <c r="TQT23" s="720"/>
      <c r="TQU23" s="720"/>
      <c r="TQV23" s="720"/>
      <c r="TQW23" s="720"/>
      <c r="TQX23" s="720"/>
      <c r="TQY23" s="720"/>
      <c r="TQZ23" s="720"/>
      <c r="TRA23" s="720"/>
      <c r="TRB23" s="720"/>
      <c r="TRC23" s="720"/>
      <c r="TRD23" s="720"/>
      <c r="TRE23" s="720"/>
      <c r="TRF23" s="720"/>
      <c r="TRG23" s="720"/>
      <c r="TRH23" s="720"/>
      <c r="TRI23" s="720"/>
      <c r="TRJ23" s="720"/>
      <c r="TRK23" s="720"/>
      <c r="TRL23" s="720"/>
      <c r="TRM23" s="720"/>
      <c r="TRN23" s="720"/>
      <c r="TRO23" s="720"/>
      <c r="TRP23" s="720"/>
      <c r="TRQ23" s="720"/>
      <c r="TRR23" s="720"/>
      <c r="TRS23" s="720"/>
      <c r="TRT23" s="720"/>
      <c r="TRU23" s="720"/>
      <c r="TRV23" s="720"/>
      <c r="TRW23" s="720"/>
      <c r="TRX23" s="720"/>
      <c r="TRY23" s="720"/>
      <c r="TRZ23" s="720"/>
      <c r="TSA23" s="720"/>
      <c r="TSB23" s="720"/>
      <c r="TSC23" s="720"/>
      <c r="TSD23" s="720"/>
      <c r="TSE23" s="720"/>
      <c r="TSF23" s="720"/>
      <c r="TSG23" s="720"/>
      <c r="TSH23" s="720"/>
      <c r="TSI23" s="720"/>
      <c r="TSJ23" s="720"/>
      <c r="TSK23" s="720"/>
      <c r="TSL23" s="720"/>
      <c r="TSM23" s="720"/>
      <c r="TSN23" s="720"/>
      <c r="TSO23" s="720"/>
      <c r="TSP23" s="720"/>
      <c r="TSQ23" s="720"/>
      <c r="TSR23" s="720"/>
      <c r="TSS23" s="720"/>
      <c r="TST23" s="720"/>
      <c r="TSU23" s="720"/>
      <c r="TSV23" s="720"/>
      <c r="TSW23" s="720"/>
      <c r="TSX23" s="720"/>
      <c r="TSY23" s="720"/>
      <c r="TSZ23" s="720"/>
      <c r="TTA23" s="720"/>
      <c r="TTB23" s="720"/>
      <c r="TTC23" s="720"/>
      <c r="TTD23" s="720"/>
      <c r="TTE23" s="720"/>
      <c r="TTF23" s="720"/>
      <c r="TTG23" s="720"/>
      <c r="TTH23" s="720"/>
      <c r="TTI23" s="720"/>
      <c r="TTJ23" s="720"/>
      <c r="TTK23" s="720"/>
      <c r="TTL23" s="720"/>
      <c r="TTM23" s="720"/>
      <c r="TTN23" s="720"/>
      <c r="TTO23" s="720"/>
      <c r="TTP23" s="720"/>
      <c r="TTQ23" s="720"/>
      <c r="TTR23" s="720"/>
      <c r="TTS23" s="720"/>
      <c r="TTT23" s="720"/>
      <c r="TTU23" s="720"/>
      <c r="TTV23" s="720"/>
      <c r="TTW23" s="720"/>
      <c r="TTX23" s="720"/>
      <c r="TTY23" s="720"/>
      <c r="TTZ23" s="720"/>
      <c r="TUA23" s="720"/>
      <c r="TUB23" s="720"/>
      <c r="TUC23" s="720"/>
      <c r="TUD23" s="720"/>
      <c r="TUE23" s="720"/>
      <c r="TUF23" s="720"/>
      <c r="TUG23" s="720"/>
      <c r="TUH23" s="720"/>
      <c r="TUI23" s="720"/>
      <c r="TUJ23" s="720"/>
      <c r="TUK23" s="720"/>
      <c r="TUL23" s="720"/>
      <c r="TUM23" s="720"/>
      <c r="TUN23" s="720"/>
      <c r="TUO23" s="720"/>
      <c r="TUP23" s="720"/>
      <c r="TUQ23" s="720"/>
      <c r="TUR23" s="720"/>
      <c r="TUS23" s="720"/>
      <c r="TUT23" s="720"/>
      <c r="TUU23" s="720"/>
      <c r="TUV23" s="720"/>
      <c r="TUW23" s="720"/>
      <c r="TUX23" s="720"/>
      <c r="TUY23" s="720"/>
      <c r="TUZ23" s="720"/>
      <c r="TVA23" s="720"/>
      <c r="TVB23" s="720"/>
      <c r="TVC23" s="720"/>
      <c r="TVD23" s="720"/>
      <c r="TVE23" s="720"/>
      <c r="TVF23" s="720"/>
      <c r="TVG23" s="720"/>
      <c r="TVH23" s="720"/>
      <c r="TVI23" s="720"/>
      <c r="TVJ23" s="720"/>
      <c r="TVK23" s="720"/>
      <c r="TVL23" s="720"/>
      <c r="TVM23" s="720"/>
      <c r="TVN23" s="720"/>
      <c r="TVO23" s="720"/>
      <c r="TVP23" s="720"/>
      <c r="TVQ23" s="720"/>
      <c r="TVR23" s="720"/>
      <c r="TVS23" s="720"/>
      <c r="TVT23" s="720"/>
      <c r="TVU23" s="720"/>
      <c r="TVV23" s="720"/>
      <c r="TVW23" s="720"/>
      <c r="TVX23" s="720"/>
      <c r="TVY23" s="720"/>
      <c r="TVZ23" s="720"/>
      <c r="TWA23" s="720"/>
      <c r="TWB23" s="720"/>
      <c r="TWC23" s="720"/>
      <c r="TWD23" s="720"/>
      <c r="TWE23" s="720"/>
      <c r="TWF23" s="720"/>
      <c r="TWG23" s="720"/>
      <c r="TWH23" s="720"/>
      <c r="TWI23" s="720"/>
      <c r="TWJ23" s="720"/>
      <c r="TWK23" s="720"/>
      <c r="TWL23" s="720"/>
      <c r="TWM23" s="720"/>
      <c r="TWN23" s="720"/>
      <c r="TWO23" s="720"/>
      <c r="TWP23" s="720"/>
      <c r="TWQ23" s="720"/>
      <c r="TWR23" s="720"/>
      <c r="TWS23" s="720"/>
      <c r="TWT23" s="720"/>
      <c r="TWU23" s="720"/>
      <c r="TWV23" s="720"/>
      <c r="TWW23" s="720"/>
      <c r="TWX23" s="720"/>
      <c r="TWY23" s="720"/>
      <c r="TWZ23" s="720"/>
      <c r="TXA23" s="720"/>
      <c r="TXB23" s="720"/>
      <c r="TXC23" s="720"/>
      <c r="TXD23" s="720"/>
      <c r="TXE23" s="720"/>
      <c r="TXF23" s="720"/>
      <c r="TXG23" s="720"/>
      <c r="TXH23" s="720"/>
      <c r="TXI23" s="720"/>
      <c r="TXJ23" s="720"/>
      <c r="TXK23" s="720"/>
      <c r="TXL23" s="720"/>
      <c r="TXM23" s="720"/>
      <c r="TXN23" s="720"/>
      <c r="TXO23" s="720"/>
      <c r="TXP23" s="720"/>
      <c r="TXQ23" s="720"/>
      <c r="TXR23" s="720"/>
      <c r="TXS23" s="720"/>
      <c r="TXT23" s="720"/>
      <c r="TXU23" s="720"/>
      <c r="TXV23" s="720"/>
      <c r="TXW23" s="720"/>
      <c r="TXX23" s="720"/>
      <c r="TXY23" s="720"/>
      <c r="TXZ23" s="720"/>
      <c r="TYA23" s="720"/>
      <c r="TYB23" s="720"/>
      <c r="TYC23" s="720"/>
      <c r="TYD23" s="720"/>
      <c r="TYE23" s="720"/>
      <c r="TYF23" s="720"/>
      <c r="TYG23" s="720"/>
      <c r="TYH23" s="720"/>
      <c r="TYI23" s="720"/>
      <c r="TYJ23" s="720"/>
      <c r="TYK23" s="720"/>
      <c r="TYL23" s="720"/>
      <c r="TYM23" s="720"/>
      <c r="TYN23" s="720"/>
      <c r="TYO23" s="720"/>
      <c r="TYP23" s="720"/>
      <c r="TYQ23" s="720"/>
      <c r="TYR23" s="720"/>
      <c r="TYS23" s="720"/>
      <c r="TYT23" s="720"/>
      <c r="TYU23" s="720"/>
      <c r="TYV23" s="720"/>
      <c r="TYW23" s="720"/>
      <c r="TYX23" s="720"/>
      <c r="TYY23" s="720"/>
      <c r="TYZ23" s="720"/>
      <c r="TZA23" s="720"/>
      <c r="TZB23" s="720"/>
      <c r="TZC23" s="720"/>
      <c r="TZD23" s="720"/>
      <c r="TZE23" s="720"/>
      <c r="TZF23" s="720"/>
      <c r="TZG23" s="720"/>
      <c r="TZH23" s="720"/>
      <c r="TZI23" s="720"/>
      <c r="TZJ23" s="720"/>
      <c r="TZK23" s="720"/>
      <c r="TZL23" s="720"/>
      <c r="TZM23" s="720"/>
      <c r="TZN23" s="720"/>
      <c r="TZO23" s="720"/>
      <c r="TZP23" s="720"/>
      <c r="TZQ23" s="720"/>
      <c r="TZR23" s="720"/>
      <c r="TZS23" s="720"/>
      <c r="TZT23" s="720"/>
      <c r="TZU23" s="720"/>
      <c r="TZV23" s="720"/>
      <c r="TZW23" s="720"/>
      <c r="TZX23" s="720"/>
      <c r="TZY23" s="720"/>
      <c r="TZZ23" s="720"/>
      <c r="UAA23" s="720"/>
      <c r="UAB23" s="720"/>
      <c r="UAC23" s="720"/>
      <c r="UAD23" s="720"/>
      <c r="UAE23" s="720"/>
      <c r="UAF23" s="720"/>
      <c r="UAG23" s="720"/>
      <c r="UAH23" s="720"/>
      <c r="UAI23" s="720"/>
      <c r="UAJ23" s="720"/>
      <c r="UAK23" s="720"/>
      <c r="UAL23" s="720"/>
      <c r="UAM23" s="720"/>
      <c r="UAN23" s="720"/>
      <c r="UAO23" s="720"/>
      <c r="UAP23" s="720"/>
      <c r="UAQ23" s="720"/>
      <c r="UAR23" s="720"/>
      <c r="UAS23" s="720"/>
      <c r="UAT23" s="720"/>
      <c r="UAU23" s="720"/>
      <c r="UAV23" s="720"/>
      <c r="UAW23" s="720"/>
      <c r="UAX23" s="720"/>
      <c r="UAY23" s="720"/>
      <c r="UAZ23" s="720"/>
      <c r="UBA23" s="720"/>
      <c r="UBB23" s="720"/>
      <c r="UBC23" s="720"/>
      <c r="UBD23" s="720"/>
      <c r="UBE23" s="720"/>
      <c r="UBF23" s="720"/>
      <c r="UBG23" s="720"/>
      <c r="UBH23" s="720"/>
      <c r="UBI23" s="720"/>
      <c r="UBJ23" s="720"/>
      <c r="UBK23" s="720"/>
      <c r="UBL23" s="720"/>
      <c r="UBM23" s="720"/>
      <c r="UBN23" s="720"/>
      <c r="UBO23" s="720"/>
      <c r="UBP23" s="720"/>
      <c r="UBQ23" s="720"/>
      <c r="UBR23" s="720"/>
      <c r="UBS23" s="720"/>
      <c r="UBT23" s="720"/>
      <c r="UBU23" s="720"/>
      <c r="UBV23" s="720"/>
      <c r="UBW23" s="720"/>
      <c r="UBX23" s="720"/>
      <c r="UBY23" s="720"/>
      <c r="UBZ23" s="720"/>
      <c r="UCA23" s="720"/>
      <c r="UCB23" s="720"/>
      <c r="UCC23" s="720"/>
      <c r="UCD23" s="720"/>
      <c r="UCE23" s="720"/>
      <c r="UCF23" s="720"/>
      <c r="UCG23" s="720"/>
      <c r="UCH23" s="720"/>
      <c r="UCI23" s="720"/>
      <c r="UCJ23" s="720"/>
      <c r="UCK23" s="720"/>
      <c r="UCL23" s="720"/>
      <c r="UCM23" s="720"/>
      <c r="UCN23" s="720"/>
      <c r="UCO23" s="720"/>
      <c r="UCP23" s="720"/>
      <c r="UCQ23" s="720"/>
      <c r="UCR23" s="720"/>
      <c r="UCS23" s="720"/>
      <c r="UCT23" s="720"/>
      <c r="UCU23" s="720"/>
      <c r="UCV23" s="720"/>
      <c r="UCW23" s="720"/>
      <c r="UCX23" s="720"/>
      <c r="UCY23" s="720"/>
      <c r="UCZ23" s="720"/>
      <c r="UDA23" s="720"/>
      <c r="UDB23" s="720"/>
      <c r="UDC23" s="720"/>
      <c r="UDD23" s="720"/>
      <c r="UDE23" s="720"/>
      <c r="UDF23" s="720"/>
      <c r="UDG23" s="720"/>
      <c r="UDH23" s="720"/>
      <c r="UDI23" s="720"/>
      <c r="UDJ23" s="720"/>
      <c r="UDK23" s="720"/>
      <c r="UDL23" s="720"/>
      <c r="UDM23" s="720"/>
      <c r="UDN23" s="720"/>
      <c r="UDO23" s="720"/>
      <c r="UDP23" s="720"/>
      <c r="UDQ23" s="720"/>
      <c r="UDR23" s="720"/>
      <c r="UDS23" s="720"/>
      <c r="UDT23" s="720"/>
      <c r="UDU23" s="720"/>
      <c r="UDV23" s="720"/>
      <c r="UDW23" s="720"/>
      <c r="UDX23" s="720"/>
      <c r="UDY23" s="720"/>
      <c r="UDZ23" s="720"/>
      <c r="UEA23" s="720"/>
      <c r="UEB23" s="720"/>
      <c r="UEC23" s="720"/>
      <c r="UED23" s="720"/>
      <c r="UEE23" s="720"/>
      <c r="UEF23" s="720"/>
      <c r="UEG23" s="720"/>
      <c r="UEH23" s="720"/>
      <c r="UEI23" s="720"/>
      <c r="UEJ23" s="720"/>
      <c r="UEK23" s="720"/>
      <c r="UEL23" s="720"/>
      <c r="UEM23" s="720"/>
      <c r="UEN23" s="720"/>
      <c r="UEO23" s="720"/>
      <c r="UEP23" s="720"/>
      <c r="UEQ23" s="720"/>
      <c r="UER23" s="720"/>
      <c r="UES23" s="720"/>
      <c r="UET23" s="720"/>
      <c r="UEU23" s="720"/>
      <c r="UEV23" s="720"/>
      <c r="UEW23" s="720"/>
      <c r="UEX23" s="720"/>
      <c r="UEY23" s="720"/>
      <c r="UEZ23" s="720"/>
      <c r="UFA23" s="720"/>
      <c r="UFB23" s="720"/>
      <c r="UFC23" s="720"/>
      <c r="UFD23" s="720"/>
      <c r="UFE23" s="720"/>
      <c r="UFF23" s="720"/>
      <c r="UFG23" s="720"/>
      <c r="UFH23" s="720"/>
      <c r="UFI23" s="720"/>
      <c r="UFJ23" s="720"/>
      <c r="UFK23" s="720"/>
      <c r="UFL23" s="720"/>
      <c r="UFM23" s="720"/>
      <c r="UFN23" s="720"/>
      <c r="UFO23" s="720"/>
      <c r="UFP23" s="720"/>
      <c r="UFQ23" s="720"/>
      <c r="UFR23" s="720"/>
      <c r="UFS23" s="720"/>
      <c r="UFT23" s="720"/>
      <c r="UFU23" s="720"/>
      <c r="UFV23" s="720"/>
      <c r="UFW23" s="720"/>
      <c r="UFX23" s="720"/>
      <c r="UFY23" s="720"/>
      <c r="UFZ23" s="720"/>
      <c r="UGA23" s="720"/>
      <c r="UGB23" s="720"/>
      <c r="UGC23" s="720"/>
      <c r="UGD23" s="720"/>
      <c r="UGE23" s="720"/>
      <c r="UGF23" s="720"/>
      <c r="UGG23" s="720"/>
      <c r="UGH23" s="720"/>
      <c r="UGI23" s="720"/>
      <c r="UGJ23" s="720"/>
      <c r="UGK23" s="720"/>
      <c r="UGL23" s="720"/>
      <c r="UGM23" s="720"/>
      <c r="UGN23" s="720"/>
      <c r="UGO23" s="720"/>
      <c r="UGP23" s="720"/>
      <c r="UGQ23" s="720"/>
      <c r="UGR23" s="720"/>
      <c r="UGS23" s="720"/>
      <c r="UGT23" s="720"/>
      <c r="UGU23" s="720"/>
      <c r="UGV23" s="720"/>
      <c r="UGW23" s="720"/>
      <c r="UGX23" s="720"/>
      <c r="UGY23" s="720"/>
      <c r="UGZ23" s="720"/>
      <c r="UHA23" s="720"/>
      <c r="UHB23" s="720"/>
      <c r="UHC23" s="720"/>
      <c r="UHD23" s="720"/>
      <c r="UHE23" s="720"/>
      <c r="UHF23" s="720"/>
      <c r="UHG23" s="720"/>
      <c r="UHH23" s="720"/>
      <c r="UHI23" s="720"/>
      <c r="UHJ23" s="720"/>
      <c r="UHK23" s="720"/>
      <c r="UHL23" s="720"/>
      <c r="UHM23" s="720"/>
      <c r="UHN23" s="720"/>
      <c r="UHO23" s="720"/>
      <c r="UHP23" s="720"/>
      <c r="UHQ23" s="720"/>
      <c r="UHR23" s="720"/>
      <c r="UHS23" s="720"/>
      <c r="UHT23" s="720"/>
      <c r="UHU23" s="720"/>
      <c r="UHV23" s="720"/>
      <c r="UHW23" s="720"/>
      <c r="UHX23" s="720"/>
      <c r="UHY23" s="720"/>
      <c r="UHZ23" s="720"/>
      <c r="UIA23" s="720"/>
      <c r="UIB23" s="720"/>
      <c r="UIC23" s="720"/>
      <c r="UID23" s="720"/>
      <c r="UIE23" s="720"/>
      <c r="UIF23" s="720"/>
      <c r="UIG23" s="720"/>
      <c r="UIH23" s="720"/>
      <c r="UII23" s="720"/>
      <c r="UIJ23" s="720"/>
      <c r="UIK23" s="720"/>
      <c r="UIL23" s="720"/>
      <c r="UIM23" s="720"/>
      <c r="UIN23" s="720"/>
      <c r="UIO23" s="720"/>
      <c r="UIP23" s="720"/>
      <c r="UIQ23" s="720"/>
      <c r="UIR23" s="720"/>
      <c r="UIS23" s="720"/>
      <c r="UIT23" s="720"/>
      <c r="UIU23" s="720"/>
      <c r="UIV23" s="720"/>
      <c r="UIW23" s="720"/>
      <c r="UIX23" s="720"/>
      <c r="UIY23" s="720"/>
      <c r="UIZ23" s="720"/>
      <c r="UJA23" s="720"/>
      <c r="UJB23" s="720"/>
      <c r="UJC23" s="720"/>
      <c r="UJD23" s="720"/>
      <c r="UJE23" s="720"/>
      <c r="UJF23" s="720"/>
      <c r="UJG23" s="720"/>
      <c r="UJH23" s="720"/>
      <c r="UJI23" s="720"/>
      <c r="UJJ23" s="720"/>
      <c r="UJK23" s="720"/>
      <c r="UJL23" s="720"/>
      <c r="UJM23" s="720"/>
      <c r="UJN23" s="720"/>
      <c r="UJO23" s="720"/>
      <c r="UJP23" s="720"/>
      <c r="UJQ23" s="720"/>
      <c r="UJR23" s="720"/>
      <c r="UJS23" s="720"/>
      <c r="UJT23" s="720"/>
      <c r="UJU23" s="720"/>
      <c r="UJV23" s="720"/>
      <c r="UJW23" s="720"/>
      <c r="UJX23" s="720"/>
      <c r="UJY23" s="720"/>
      <c r="UJZ23" s="720"/>
      <c r="UKA23" s="720"/>
      <c r="UKB23" s="720"/>
      <c r="UKC23" s="720"/>
      <c r="UKD23" s="720"/>
      <c r="UKE23" s="720"/>
      <c r="UKF23" s="720"/>
      <c r="UKG23" s="720"/>
      <c r="UKH23" s="720"/>
      <c r="UKI23" s="720"/>
      <c r="UKJ23" s="720"/>
      <c r="UKK23" s="720"/>
      <c r="UKL23" s="720"/>
      <c r="UKM23" s="720"/>
      <c r="UKN23" s="720"/>
      <c r="UKO23" s="720"/>
      <c r="UKP23" s="720"/>
      <c r="UKQ23" s="720"/>
      <c r="UKR23" s="720"/>
      <c r="UKS23" s="720"/>
      <c r="UKT23" s="720"/>
      <c r="UKU23" s="720"/>
      <c r="UKV23" s="720"/>
      <c r="UKW23" s="720"/>
      <c r="UKX23" s="720"/>
      <c r="UKY23" s="720"/>
      <c r="UKZ23" s="720"/>
      <c r="ULA23" s="720"/>
      <c r="ULB23" s="720"/>
      <c r="ULC23" s="720"/>
      <c r="ULD23" s="720"/>
      <c r="ULE23" s="720"/>
      <c r="ULF23" s="720"/>
      <c r="ULG23" s="720"/>
      <c r="ULH23" s="720"/>
      <c r="ULI23" s="720"/>
      <c r="ULJ23" s="720"/>
      <c r="ULK23" s="720"/>
      <c r="ULL23" s="720"/>
      <c r="ULM23" s="720"/>
      <c r="ULN23" s="720"/>
      <c r="ULO23" s="720"/>
      <c r="ULP23" s="720"/>
      <c r="ULQ23" s="720"/>
      <c r="ULR23" s="720"/>
      <c r="ULS23" s="720"/>
      <c r="ULT23" s="720"/>
      <c r="ULU23" s="720"/>
      <c r="ULV23" s="720"/>
      <c r="ULW23" s="720"/>
      <c r="ULX23" s="720"/>
      <c r="ULY23" s="720"/>
      <c r="ULZ23" s="720"/>
      <c r="UMA23" s="720"/>
      <c r="UMB23" s="720"/>
      <c r="UMC23" s="720"/>
      <c r="UMD23" s="720"/>
      <c r="UME23" s="720"/>
      <c r="UMF23" s="720"/>
      <c r="UMG23" s="720"/>
      <c r="UMH23" s="720"/>
      <c r="UMI23" s="720"/>
      <c r="UMJ23" s="720"/>
      <c r="UMK23" s="720"/>
      <c r="UML23" s="720"/>
      <c r="UMM23" s="720"/>
      <c r="UMN23" s="720"/>
      <c r="UMO23" s="720"/>
      <c r="UMP23" s="720"/>
      <c r="UMQ23" s="720"/>
      <c r="UMR23" s="720"/>
      <c r="UMS23" s="720"/>
      <c r="UMT23" s="720"/>
      <c r="UMU23" s="720"/>
      <c r="UMV23" s="720"/>
      <c r="UMW23" s="720"/>
      <c r="UMX23" s="720"/>
      <c r="UMY23" s="720"/>
      <c r="UMZ23" s="720"/>
      <c r="UNA23" s="720"/>
      <c r="UNB23" s="720"/>
      <c r="UNC23" s="720"/>
      <c r="UND23" s="720"/>
      <c r="UNE23" s="720"/>
      <c r="UNF23" s="720"/>
      <c r="UNG23" s="720"/>
      <c r="UNH23" s="720"/>
      <c r="UNI23" s="720"/>
      <c r="UNJ23" s="720"/>
      <c r="UNK23" s="720"/>
      <c r="UNL23" s="720"/>
      <c r="UNM23" s="720"/>
      <c r="UNN23" s="720"/>
      <c r="UNO23" s="720"/>
      <c r="UNP23" s="720"/>
      <c r="UNQ23" s="720"/>
      <c r="UNR23" s="720"/>
      <c r="UNS23" s="720"/>
      <c r="UNT23" s="720"/>
      <c r="UNU23" s="720"/>
      <c r="UNV23" s="720"/>
      <c r="UNW23" s="720"/>
      <c r="UNX23" s="720"/>
      <c r="UNY23" s="720"/>
      <c r="UNZ23" s="720"/>
      <c r="UOA23" s="720"/>
      <c r="UOB23" s="720"/>
      <c r="UOC23" s="720"/>
      <c r="UOD23" s="720"/>
      <c r="UOE23" s="720"/>
      <c r="UOF23" s="720"/>
      <c r="UOG23" s="720"/>
      <c r="UOH23" s="720"/>
      <c r="UOI23" s="720"/>
      <c r="UOJ23" s="720"/>
      <c r="UOK23" s="720"/>
      <c r="UOL23" s="720"/>
      <c r="UOM23" s="720"/>
      <c r="UON23" s="720"/>
      <c r="UOO23" s="720"/>
      <c r="UOP23" s="720"/>
      <c r="UOQ23" s="720"/>
      <c r="UOR23" s="720"/>
      <c r="UOS23" s="720"/>
      <c r="UOT23" s="720"/>
      <c r="UOU23" s="720"/>
      <c r="UOV23" s="720"/>
      <c r="UOW23" s="720"/>
      <c r="UOX23" s="720"/>
      <c r="UOY23" s="720"/>
      <c r="UOZ23" s="720"/>
      <c r="UPA23" s="720"/>
      <c r="UPB23" s="720"/>
      <c r="UPC23" s="720"/>
      <c r="UPD23" s="720"/>
      <c r="UPE23" s="720"/>
      <c r="UPF23" s="720"/>
      <c r="UPG23" s="720"/>
      <c r="UPH23" s="720"/>
      <c r="UPI23" s="720"/>
      <c r="UPJ23" s="720"/>
      <c r="UPK23" s="720"/>
      <c r="UPL23" s="720"/>
      <c r="UPM23" s="720"/>
      <c r="UPN23" s="720"/>
      <c r="UPO23" s="720"/>
      <c r="UPP23" s="720"/>
      <c r="UPQ23" s="720"/>
      <c r="UPR23" s="720"/>
      <c r="UPS23" s="720"/>
      <c r="UPT23" s="720"/>
      <c r="UPU23" s="720"/>
      <c r="UPV23" s="720"/>
      <c r="UPW23" s="720"/>
      <c r="UPX23" s="720"/>
      <c r="UPY23" s="720"/>
      <c r="UPZ23" s="720"/>
      <c r="UQA23" s="720"/>
      <c r="UQB23" s="720"/>
      <c r="UQC23" s="720"/>
      <c r="UQD23" s="720"/>
      <c r="UQE23" s="720"/>
      <c r="UQF23" s="720"/>
      <c r="UQG23" s="720"/>
      <c r="UQH23" s="720"/>
      <c r="UQI23" s="720"/>
      <c r="UQJ23" s="720"/>
      <c r="UQK23" s="720"/>
      <c r="UQL23" s="720"/>
      <c r="UQM23" s="720"/>
      <c r="UQN23" s="720"/>
      <c r="UQO23" s="720"/>
      <c r="UQP23" s="720"/>
      <c r="UQQ23" s="720"/>
      <c r="UQR23" s="720"/>
      <c r="UQS23" s="720"/>
      <c r="UQT23" s="720"/>
      <c r="UQU23" s="720"/>
      <c r="UQV23" s="720"/>
      <c r="UQW23" s="720"/>
      <c r="UQX23" s="720"/>
      <c r="UQY23" s="720"/>
      <c r="UQZ23" s="720"/>
      <c r="URA23" s="720"/>
      <c r="URB23" s="720"/>
      <c r="URC23" s="720"/>
      <c r="URD23" s="720"/>
      <c r="URE23" s="720"/>
      <c r="URF23" s="720"/>
      <c r="URG23" s="720"/>
      <c r="URH23" s="720"/>
      <c r="URI23" s="720"/>
      <c r="URJ23" s="720"/>
      <c r="URK23" s="720"/>
      <c r="URL23" s="720"/>
      <c r="URM23" s="720"/>
      <c r="URN23" s="720"/>
      <c r="URO23" s="720"/>
      <c r="URP23" s="720"/>
      <c r="URQ23" s="720"/>
      <c r="URR23" s="720"/>
      <c r="URS23" s="720"/>
      <c r="URT23" s="720"/>
      <c r="URU23" s="720"/>
      <c r="URV23" s="720"/>
      <c r="URW23" s="720"/>
      <c r="URX23" s="720"/>
      <c r="URY23" s="720"/>
      <c r="URZ23" s="720"/>
      <c r="USA23" s="720"/>
      <c r="USB23" s="720"/>
      <c r="USC23" s="720"/>
      <c r="USD23" s="720"/>
      <c r="USE23" s="720"/>
      <c r="USF23" s="720"/>
      <c r="USG23" s="720"/>
      <c r="USH23" s="720"/>
      <c r="USI23" s="720"/>
      <c r="USJ23" s="720"/>
      <c r="USK23" s="720"/>
      <c r="USL23" s="720"/>
      <c r="USM23" s="720"/>
      <c r="USN23" s="720"/>
      <c r="USO23" s="720"/>
      <c r="USP23" s="720"/>
      <c r="USQ23" s="720"/>
      <c r="USR23" s="720"/>
      <c r="USS23" s="720"/>
      <c r="UST23" s="720"/>
      <c r="USU23" s="720"/>
      <c r="USV23" s="720"/>
      <c r="USW23" s="720"/>
      <c r="USX23" s="720"/>
      <c r="USY23" s="720"/>
      <c r="USZ23" s="720"/>
      <c r="UTA23" s="720"/>
      <c r="UTB23" s="720"/>
      <c r="UTC23" s="720"/>
      <c r="UTD23" s="720"/>
      <c r="UTE23" s="720"/>
      <c r="UTF23" s="720"/>
      <c r="UTG23" s="720"/>
      <c r="UTH23" s="720"/>
      <c r="UTI23" s="720"/>
      <c r="UTJ23" s="720"/>
      <c r="UTK23" s="720"/>
      <c r="UTL23" s="720"/>
      <c r="UTM23" s="720"/>
      <c r="UTN23" s="720"/>
      <c r="UTO23" s="720"/>
      <c r="UTP23" s="720"/>
      <c r="UTQ23" s="720"/>
      <c r="UTR23" s="720"/>
      <c r="UTS23" s="720"/>
      <c r="UTT23" s="720"/>
      <c r="UTU23" s="720"/>
      <c r="UTV23" s="720"/>
      <c r="UTW23" s="720"/>
      <c r="UTX23" s="720"/>
      <c r="UTY23" s="720"/>
      <c r="UTZ23" s="720"/>
      <c r="UUA23" s="720"/>
      <c r="UUB23" s="720"/>
      <c r="UUC23" s="720"/>
      <c r="UUD23" s="720"/>
      <c r="UUE23" s="720"/>
      <c r="UUF23" s="720"/>
      <c r="UUG23" s="720"/>
      <c r="UUH23" s="720"/>
      <c r="UUI23" s="720"/>
      <c r="UUJ23" s="720"/>
      <c r="UUK23" s="720"/>
      <c r="UUL23" s="720"/>
      <c r="UUM23" s="720"/>
      <c r="UUN23" s="720"/>
      <c r="UUO23" s="720"/>
      <c r="UUP23" s="720"/>
      <c r="UUQ23" s="720"/>
      <c r="UUR23" s="720"/>
      <c r="UUS23" s="720"/>
      <c r="UUT23" s="720"/>
      <c r="UUU23" s="720"/>
      <c r="UUV23" s="720"/>
      <c r="UUW23" s="720"/>
      <c r="UUX23" s="720"/>
      <c r="UUY23" s="720"/>
      <c r="UUZ23" s="720"/>
      <c r="UVA23" s="720"/>
      <c r="UVB23" s="720"/>
      <c r="UVC23" s="720"/>
      <c r="UVD23" s="720"/>
      <c r="UVE23" s="720"/>
      <c r="UVF23" s="720"/>
      <c r="UVG23" s="720"/>
      <c r="UVH23" s="720"/>
      <c r="UVI23" s="720"/>
      <c r="UVJ23" s="720"/>
      <c r="UVK23" s="720"/>
      <c r="UVL23" s="720"/>
      <c r="UVM23" s="720"/>
      <c r="UVN23" s="720"/>
      <c r="UVO23" s="720"/>
      <c r="UVP23" s="720"/>
      <c r="UVQ23" s="720"/>
      <c r="UVR23" s="720"/>
      <c r="UVS23" s="720"/>
      <c r="UVT23" s="720"/>
      <c r="UVU23" s="720"/>
      <c r="UVV23" s="720"/>
      <c r="UVW23" s="720"/>
      <c r="UVX23" s="720"/>
      <c r="UVY23" s="720"/>
      <c r="UVZ23" s="720"/>
      <c r="UWA23" s="720"/>
      <c r="UWB23" s="720"/>
      <c r="UWC23" s="720"/>
      <c r="UWD23" s="720"/>
      <c r="UWE23" s="720"/>
      <c r="UWF23" s="720"/>
      <c r="UWG23" s="720"/>
      <c r="UWH23" s="720"/>
      <c r="UWI23" s="720"/>
      <c r="UWJ23" s="720"/>
      <c r="UWK23" s="720"/>
      <c r="UWL23" s="720"/>
      <c r="UWM23" s="720"/>
      <c r="UWN23" s="720"/>
      <c r="UWO23" s="720"/>
      <c r="UWP23" s="720"/>
      <c r="UWQ23" s="720"/>
      <c r="UWR23" s="720"/>
      <c r="UWS23" s="720"/>
      <c r="UWT23" s="720"/>
      <c r="UWU23" s="720"/>
      <c r="UWV23" s="720"/>
      <c r="UWW23" s="720"/>
      <c r="UWX23" s="720"/>
      <c r="UWY23" s="720"/>
      <c r="UWZ23" s="720"/>
      <c r="UXA23" s="720"/>
      <c r="UXB23" s="720"/>
      <c r="UXC23" s="720"/>
      <c r="UXD23" s="720"/>
      <c r="UXE23" s="720"/>
      <c r="UXF23" s="720"/>
      <c r="UXG23" s="720"/>
      <c r="UXH23" s="720"/>
      <c r="UXI23" s="720"/>
      <c r="UXJ23" s="720"/>
      <c r="UXK23" s="720"/>
      <c r="UXL23" s="720"/>
      <c r="UXM23" s="720"/>
      <c r="UXN23" s="720"/>
      <c r="UXO23" s="720"/>
      <c r="UXP23" s="720"/>
      <c r="UXQ23" s="720"/>
      <c r="UXR23" s="720"/>
      <c r="UXS23" s="720"/>
      <c r="UXT23" s="720"/>
      <c r="UXU23" s="720"/>
      <c r="UXV23" s="720"/>
      <c r="UXW23" s="720"/>
      <c r="UXX23" s="720"/>
      <c r="UXY23" s="720"/>
      <c r="UXZ23" s="720"/>
      <c r="UYA23" s="720"/>
      <c r="UYB23" s="720"/>
      <c r="UYC23" s="720"/>
      <c r="UYD23" s="720"/>
      <c r="UYE23" s="720"/>
      <c r="UYF23" s="720"/>
      <c r="UYG23" s="720"/>
      <c r="UYH23" s="720"/>
      <c r="UYI23" s="720"/>
      <c r="UYJ23" s="720"/>
      <c r="UYK23" s="720"/>
      <c r="UYL23" s="720"/>
      <c r="UYM23" s="720"/>
      <c r="UYN23" s="720"/>
      <c r="UYO23" s="720"/>
      <c r="UYP23" s="720"/>
      <c r="UYQ23" s="720"/>
      <c r="UYR23" s="720"/>
      <c r="UYS23" s="720"/>
      <c r="UYT23" s="720"/>
      <c r="UYU23" s="720"/>
      <c r="UYV23" s="720"/>
      <c r="UYW23" s="720"/>
      <c r="UYX23" s="720"/>
      <c r="UYY23" s="720"/>
      <c r="UYZ23" s="720"/>
      <c r="UZA23" s="720"/>
      <c r="UZB23" s="720"/>
      <c r="UZC23" s="720"/>
      <c r="UZD23" s="720"/>
      <c r="UZE23" s="720"/>
      <c r="UZF23" s="720"/>
      <c r="UZG23" s="720"/>
      <c r="UZH23" s="720"/>
      <c r="UZI23" s="720"/>
      <c r="UZJ23" s="720"/>
      <c r="UZK23" s="720"/>
      <c r="UZL23" s="720"/>
      <c r="UZM23" s="720"/>
      <c r="UZN23" s="720"/>
      <c r="UZO23" s="720"/>
      <c r="UZP23" s="720"/>
      <c r="UZQ23" s="720"/>
      <c r="UZR23" s="720"/>
      <c r="UZS23" s="720"/>
      <c r="UZT23" s="720"/>
      <c r="UZU23" s="720"/>
      <c r="UZV23" s="720"/>
      <c r="UZW23" s="720"/>
      <c r="UZX23" s="720"/>
      <c r="UZY23" s="720"/>
      <c r="UZZ23" s="720"/>
      <c r="VAA23" s="720"/>
      <c r="VAB23" s="720"/>
      <c r="VAC23" s="720"/>
      <c r="VAD23" s="720"/>
      <c r="VAE23" s="720"/>
      <c r="VAF23" s="720"/>
      <c r="VAG23" s="720"/>
      <c r="VAH23" s="720"/>
      <c r="VAI23" s="720"/>
      <c r="VAJ23" s="720"/>
      <c r="VAK23" s="720"/>
      <c r="VAL23" s="720"/>
      <c r="VAM23" s="720"/>
      <c r="VAN23" s="720"/>
      <c r="VAO23" s="720"/>
      <c r="VAP23" s="720"/>
      <c r="VAQ23" s="720"/>
      <c r="VAR23" s="720"/>
      <c r="VAS23" s="720"/>
      <c r="VAT23" s="720"/>
      <c r="VAU23" s="720"/>
      <c r="VAV23" s="720"/>
      <c r="VAW23" s="720"/>
      <c r="VAX23" s="720"/>
      <c r="VAY23" s="720"/>
      <c r="VAZ23" s="720"/>
      <c r="VBA23" s="720"/>
      <c r="VBB23" s="720"/>
      <c r="VBC23" s="720"/>
      <c r="VBD23" s="720"/>
      <c r="VBE23" s="720"/>
      <c r="VBF23" s="720"/>
      <c r="VBG23" s="720"/>
      <c r="VBH23" s="720"/>
      <c r="VBI23" s="720"/>
      <c r="VBJ23" s="720"/>
      <c r="VBK23" s="720"/>
      <c r="VBL23" s="720"/>
      <c r="VBM23" s="720"/>
      <c r="VBN23" s="720"/>
      <c r="VBO23" s="720"/>
      <c r="VBP23" s="720"/>
      <c r="VBQ23" s="720"/>
      <c r="VBR23" s="720"/>
      <c r="VBS23" s="720"/>
      <c r="VBT23" s="720"/>
      <c r="VBU23" s="720"/>
      <c r="VBV23" s="720"/>
      <c r="VBW23" s="720"/>
      <c r="VBX23" s="720"/>
      <c r="VBY23" s="720"/>
      <c r="VBZ23" s="720"/>
      <c r="VCA23" s="720"/>
      <c r="VCB23" s="720"/>
      <c r="VCC23" s="720"/>
      <c r="VCD23" s="720"/>
      <c r="VCE23" s="720"/>
      <c r="VCF23" s="720"/>
      <c r="VCG23" s="720"/>
      <c r="VCH23" s="720"/>
      <c r="VCI23" s="720"/>
      <c r="VCJ23" s="720"/>
      <c r="VCK23" s="720"/>
      <c r="VCL23" s="720"/>
      <c r="VCM23" s="720"/>
      <c r="VCN23" s="720"/>
      <c r="VCO23" s="720"/>
      <c r="VCP23" s="720"/>
      <c r="VCQ23" s="720"/>
      <c r="VCR23" s="720"/>
      <c r="VCS23" s="720"/>
      <c r="VCT23" s="720"/>
      <c r="VCU23" s="720"/>
      <c r="VCV23" s="720"/>
      <c r="VCW23" s="720"/>
      <c r="VCX23" s="720"/>
      <c r="VCY23" s="720"/>
      <c r="VCZ23" s="720"/>
      <c r="VDA23" s="720"/>
      <c r="VDB23" s="720"/>
      <c r="VDC23" s="720"/>
      <c r="VDD23" s="720"/>
      <c r="VDE23" s="720"/>
      <c r="VDF23" s="720"/>
      <c r="VDG23" s="720"/>
      <c r="VDH23" s="720"/>
      <c r="VDI23" s="720"/>
      <c r="VDJ23" s="720"/>
      <c r="VDK23" s="720"/>
      <c r="VDL23" s="720"/>
      <c r="VDM23" s="720"/>
      <c r="VDN23" s="720"/>
      <c r="VDO23" s="720"/>
      <c r="VDP23" s="720"/>
      <c r="VDQ23" s="720"/>
      <c r="VDR23" s="720"/>
      <c r="VDS23" s="720"/>
      <c r="VDT23" s="720"/>
      <c r="VDU23" s="720"/>
      <c r="VDV23" s="720"/>
      <c r="VDW23" s="720"/>
      <c r="VDX23" s="720"/>
      <c r="VDY23" s="720"/>
      <c r="VDZ23" s="720"/>
      <c r="VEA23" s="720"/>
      <c r="VEB23" s="720"/>
      <c r="VEC23" s="720"/>
      <c r="VED23" s="720"/>
      <c r="VEE23" s="720"/>
      <c r="VEF23" s="720"/>
      <c r="VEG23" s="720"/>
      <c r="VEH23" s="720"/>
      <c r="VEI23" s="720"/>
      <c r="VEJ23" s="720"/>
      <c r="VEK23" s="720"/>
      <c r="VEL23" s="720"/>
      <c r="VEM23" s="720"/>
      <c r="VEN23" s="720"/>
      <c r="VEO23" s="720"/>
      <c r="VEP23" s="720"/>
      <c r="VEQ23" s="720"/>
      <c r="VER23" s="720"/>
      <c r="VES23" s="720"/>
      <c r="VET23" s="720"/>
      <c r="VEU23" s="720"/>
      <c r="VEV23" s="720"/>
      <c r="VEW23" s="720"/>
      <c r="VEX23" s="720"/>
      <c r="VEY23" s="720"/>
      <c r="VEZ23" s="720"/>
      <c r="VFA23" s="720"/>
      <c r="VFB23" s="720"/>
      <c r="VFC23" s="720"/>
      <c r="VFD23" s="720"/>
      <c r="VFE23" s="720"/>
      <c r="VFF23" s="720"/>
      <c r="VFG23" s="720"/>
      <c r="VFH23" s="720"/>
      <c r="VFI23" s="720"/>
      <c r="VFJ23" s="720"/>
      <c r="VFK23" s="720"/>
      <c r="VFL23" s="720"/>
      <c r="VFM23" s="720"/>
      <c r="VFN23" s="720"/>
      <c r="VFO23" s="720"/>
      <c r="VFP23" s="720"/>
      <c r="VFQ23" s="720"/>
      <c r="VFR23" s="720"/>
      <c r="VFS23" s="720"/>
      <c r="VFT23" s="720"/>
      <c r="VFU23" s="720"/>
      <c r="VFV23" s="720"/>
      <c r="VFW23" s="720"/>
      <c r="VFX23" s="720"/>
      <c r="VFY23" s="720"/>
      <c r="VFZ23" s="720"/>
      <c r="VGA23" s="720"/>
      <c r="VGB23" s="720"/>
      <c r="VGC23" s="720"/>
      <c r="VGD23" s="720"/>
      <c r="VGE23" s="720"/>
      <c r="VGF23" s="720"/>
      <c r="VGG23" s="720"/>
      <c r="VGH23" s="720"/>
      <c r="VGI23" s="720"/>
      <c r="VGJ23" s="720"/>
      <c r="VGK23" s="720"/>
      <c r="VGL23" s="720"/>
      <c r="VGM23" s="720"/>
      <c r="VGN23" s="720"/>
      <c r="VGO23" s="720"/>
      <c r="VGP23" s="720"/>
      <c r="VGQ23" s="720"/>
      <c r="VGR23" s="720"/>
      <c r="VGS23" s="720"/>
      <c r="VGT23" s="720"/>
      <c r="VGU23" s="720"/>
      <c r="VGV23" s="720"/>
      <c r="VGW23" s="720"/>
      <c r="VGX23" s="720"/>
      <c r="VGY23" s="720"/>
      <c r="VGZ23" s="720"/>
      <c r="VHA23" s="720"/>
      <c r="VHB23" s="720"/>
      <c r="VHC23" s="720"/>
      <c r="VHD23" s="720"/>
      <c r="VHE23" s="720"/>
      <c r="VHF23" s="720"/>
      <c r="VHG23" s="720"/>
      <c r="VHH23" s="720"/>
      <c r="VHI23" s="720"/>
      <c r="VHJ23" s="720"/>
      <c r="VHK23" s="720"/>
      <c r="VHL23" s="720"/>
      <c r="VHM23" s="720"/>
      <c r="VHN23" s="720"/>
      <c r="VHO23" s="720"/>
      <c r="VHP23" s="720"/>
      <c r="VHQ23" s="720"/>
      <c r="VHR23" s="720"/>
      <c r="VHS23" s="720"/>
      <c r="VHT23" s="720"/>
      <c r="VHU23" s="720"/>
      <c r="VHV23" s="720"/>
      <c r="VHW23" s="720"/>
      <c r="VHX23" s="720"/>
      <c r="VHY23" s="720"/>
      <c r="VHZ23" s="720"/>
      <c r="VIA23" s="720"/>
      <c r="VIB23" s="720"/>
      <c r="VIC23" s="720"/>
      <c r="VID23" s="720"/>
      <c r="VIE23" s="720"/>
      <c r="VIF23" s="720"/>
      <c r="VIG23" s="720"/>
      <c r="VIH23" s="720"/>
      <c r="VII23" s="720"/>
      <c r="VIJ23" s="720"/>
      <c r="VIK23" s="720"/>
      <c r="VIL23" s="720"/>
      <c r="VIM23" s="720"/>
      <c r="VIN23" s="720"/>
      <c r="VIO23" s="720"/>
      <c r="VIP23" s="720"/>
      <c r="VIQ23" s="720"/>
      <c r="VIR23" s="720"/>
      <c r="VIS23" s="720"/>
      <c r="VIT23" s="720"/>
      <c r="VIU23" s="720"/>
      <c r="VIV23" s="720"/>
      <c r="VIW23" s="720"/>
      <c r="VIX23" s="720"/>
      <c r="VIY23" s="720"/>
      <c r="VIZ23" s="720"/>
      <c r="VJA23" s="720"/>
      <c r="VJB23" s="720"/>
      <c r="VJC23" s="720"/>
      <c r="VJD23" s="720"/>
      <c r="VJE23" s="720"/>
      <c r="VJF23" s="720"/>
      <c r="VJG23" s="720"/>
      <c r="VJH23" s="720"/>
      <c r="VJI23" s="720"/>
      <c r="VJJ23" s="720"/>
      <c r="VJK23" s="720"/>
      <c r="VJL23" s="720"/>
      <c r="VJM23" s="720"/>
      <c r="VJN23" s="720"/>
      <c r="VJO23" s="720"/>
      <c r="VJP23" s="720"/>
      <c r="VJQ23" s="720"/>
      <c r="VJR23" s="720"/>
      <c r="VJS23" s="720"/>
      <c r="VJT23" s="720"/>
      <c r="VJU23" s="720"/>
      <c r="VJV23" s="720"/>
      <c r="VJW23" s="720"/>
      <c r="VJX23" s="720"/>
      <c r="VJY23" s="720"/>
      <c r="VJZ23" s="720"/>
      <c r="VKA23" s="720"/>
      <c r="VKB23" s="720"/>
      <c r="VKC23" s="720"/>
      <c r="VKD23" s="720"/>
      <c r="VKE23" s="720"/>
      <c r="VKF23" s="720"/>
      <c r="VKG23" s="720"/>
      <c r="VKH23" s="720"/>
      <c r="VKI23" s="720"/>
      <c r="VKJ23" s="720"/>
      <c r="VKK23" s="720"/>
      <c r="VKL23" s="720"/>
      <c r="VKM23" s="720"/>
      <c r="VKN23" s="720"/>
      <c r="VKO23" s="720"/>
      <c r="VKP23" s="720"/>
      <c r="VKQ23" s="720"/>
      <c r="VKR23" s="720"/>
      <c r="VKS23" s="720"/>
      <c r="VKT23" s="720"/>
      <c r="VKU23" s="720"/>
      <c r="VKV23" s="720"/>
      <c r="VKW23" s="720"/>
      <c r="VKX23" s="720"/>
      <c r="VKY23" s="720"/>
      <c r="VKZ23" s="720"/>
      <c r="VLA23" s="720"/>
      <c r="VLB23" s="720"/>
      <c r="VLC23" s="720"/>
      <c r="VLD23" s="720"/>
      <c r="VLE23" s="720"/>
      <c r="VLF23" s="720"/>
      <c r="VLG23" s="720"/>
      <c r="VLH23" s="720"/>
      <c r="VLI23" s="720"/>
      <c r="VLJ23" s="720"/>
      <c r="VLK23" s="720"/>
      <c r="VLL23" s="720"/>
      <c r="VLM23" s="720"/>
      <c r="VLN23" s="720"/>
      <c r="VLO23" s="720"/>
      <c r="VLP23" s="720"/>
      <c r="VLQ23" s="720"/>
      <c r="VLR23" s="720"/>
      <c r="VLS23" s="720"/>
      <c r="VLT23" s="720"/>
      <c r="VLU23" s="720"/>
      <c r="VLV23" s="720"/>
      <c r="VLW23" s="720"/>
      <c r="VLX23" s="720"/>
      <c r="VLY23" s="720"/>
      <c r="VLZ23" s="720"/>
      <c r="VMA23" s="720"/>
      <c r="VMB23" s="720"/>
      <c r="VMC23" s="720"/>
      <c r="VMD23" s="720"/>
      <c r="VME23" s="720"/>
      <c r="VMF23" s="720"/>
      <c r="VMG23" s="720"/>
      <c r="VMH23" s="720"/>
      <c r="VMI23" s="720"/>
      <c r="VMJ23" s="720"/>
      <c r="VMK23" s="720"/>
      <c r="VML23" s="720"/>
      <c r="VMM23" s="720"/>
      <c r="VMN23" s="720"/>
      <c r="VMO23" s="720"/>
      <c r="VMP23" s="720"/>
      <c r="VMQ23" s="720"/>
      <c r="VMR23" s="720"/>
      <c r="VMS23" s="720"/>
      <c r="VMT23" s="720"/>
      <c r="VMU23" s="720"/>
      <c r="VMV23" s="720"/>
      <c r="VMW23" s="720"/>
      <c r="VMX23" s="720"/>
      <c r="VMY23" s="720"/>
      <c r="VMZ23" s="720"/>
      <c r="VNA23" s="720"/>
      <c r="VNB23" s="720"/>
      <c r="VNC23" s="720"/>
      <c r="VND23" s="720"/>
      <c r="VNE23" s="720"/>
      <c r="VNF23" s="720"/>
      <c r="VNG23" s="720"/>
      <c r="VNH23" s="720"/>
      <c r="VNI23" s="720"/>
      <c r="VNJ23" s="720"/>
      <c r="VNK23" s="720"/>
      <c r="VNL23" s="720"/>
      <c r="VNM23" s="720"/>
      <c r="VNN23" s="720"/>
      <c r="VNO23" s="720"/>
      <c r="VNP23" s="720"/>
      <c r="VNQ23" s="720"/>
      <c r="VNR23" s="720"/>
      <c r="VNS23" s="720"/>
      <c r="VNT23" s="720"/>
      <c r="VNU23" s="720"/>
      <c r="VNV23" s="720"/>
      <c r="VNW23" s="720"/>
      <c r="VNX23" s="720"/>
      <c r="VNY23" s="720"/>
      <c r="VNZ23" s="720"/>
      <c r="VOA23" s="720"/>
      <c r="VOB23" s="720"/>
      <c r="VOC23" s="720"/>
      <c r="VOD23" s="720"/>
      <c r="VOE23" s="720"/>
      <c r="VOF23" s="720"/>
      <c r="VOG23" s="720"/>
      <c r="VOH23" s="720"/>
      <c r="VOI23" s="720"/>
      <c r="VOJ23" s="720"/>
      <c r="VOK23" s="720"/>
      <c r="VOL23" s="720"/>
      <c r="VOM23" s="720"/>
      <c r="VON23" s="720"/>
      <c r="VOO23" s="720"/>
      <c r="VOP23" s="720"/>
      <c r="VOQ23" s="720"/>
      <c r="VOR23" s="720"/>
      <c r="VOS23" s="720"/>
      <c r="VOT23" s="720"/>
      <c r="VOU23" s="720"/>
      <c r="VOV23" s="720"/>
      <c r="VOW23" s="720"/>
      <c r="VOX23" s="720"/>
      <c r="VOY23" s="720"/>
      <c r="VOZ23" s="720"/>
      <c r="VPA23" s="720"/>
      <c r="VPB23" s="720"/>
      <c r="VPC23" s="720"/>
      <c r="VPD23" s="720"/>
      <c r="VPE23" s="720"/>
      <c r="VPF23" s="720"/>
      <c r="VPG23" s="720"/>
      <c r="VPH23" s="720"/>
      <c r="VPI23" s="720"/>
      <c r="VPJ23" s="720"/>
      <c r="VPK23" s="720"/>
      <c r="VPL23" s="720"/>
      <c r="VPM23" s="720"/>
      <c r="VPN23" s="720"/>
      <c r="VPO23" s="720"/>
      <c r="VPP23" s="720"/>
      <c r="VPQ23" s="720"/>
      <c r="VPR23" s="720"/>
      <c r="VPS23" s="720"/>
      <c r="VPT23" s="720"/>
      <c r="VPU23" s="720"/>
      <c r="VPV23" s="720"/>
      <c r="VPW23" s="720"/>
      <c r="VPX23" s="720"/>
      <c r="VPY23" s="720"/>
      <c r="VPZ23" s="720"/>
      <c r="VQA23" s="720"/>
      <c r="VQB23" s="720"/>
      <c r="VQC23" s="720"/>
      <c r="VQD23" s="720"/>
      <c r="VQE23" s="720"/>
      <c r="VQF23" s="720"/>
      <c r="VQG23" s="720"/>
      <c r="VQH23" s="720"/>
      <c r="VQI23" s="720"/>
      <c r="VQJ23" s="720"/>
      <c r="VQK23" s="720"/>
      <c r="VQL23" s="720"/>
      <c r="VQM23" s="720"/>
      <c r="VQN23" s="720"/>
      <c r="VQO23" s="720"/>
      <c r="VQP23" s="720"/>
      <c r="VQQ23" s="720"/>
      <c r="VQR23" s="720"/>
      <c r="VQS23" s="720"/>
      <c r="VQT23" s="720"/>
      <c r="VQU23" s="720"/>
      <c r="VQV23" s="720"/>
      <c r="VQW23" s="720"/>
      <c r="VQX23" s="720"/>
      <c r="VQY23" s="720"/>
      <c r="VQZ23" s="720"/>
      <c r="VRA23" s="720"/>
      <c r="VRB23" s="720"/>
      <c r="VRC23" s="720"/>
      <c r="VRD23" s="720"/>
      <c r="VRE23" s="720"/>
      <c r="VRF23" s="720"/>
      <c r="VRG23" s="720"/>
      <c r="VRH23" s="720"/>
      <c r="VRI23" s="720"/>
      <c r="VRJ23" s="720"/>
      <c r="VRK23" s="720"/>
      <c r="VRL23" s="720"/>
      <c r="VRM23" s="720"/>
      <c r="VRN23" s="720"/>
      <c r="VRO23" s="720"/>
      <c r="VRP23" s="720"/>
      <c r="VRQ23" s="720"/>
      <c r="VRR23" s="720"/>
      <c r="VRS23" s="720"/>
      <c r="VRT23" s="720"/>
      <c r="VRU23" s="720"/>
      <c r="VRV23" s="720"/>
      <c r="VRW23" s="720"/>
      <c r="VRX23" s="720"/>
      <c r="VRY23" s="720"/>
      <c r="VRZ23" s="720"/>
      <c r="VSA23" s="720"/>
      <c r="VSB23" s="720"/>
      <c r="VSC23" s="720"/>
      <c r="VSD23" s="720"/>
      <c r="VSE23" s="720"/>
      <c r="VSF23" s="720"/>
      <c r="VSG23" s="720"/>
      <c r="VSH23" s="720"/>
      <c r="VSI23" s="720"/>
      <c r="VSJ23" s="720"/>
      <c r="VSK23" s="720"/>
      <c r="VSL23" s="720"/>
      <c r="VSM23" s="720"/>
      <c r="VSN23" s="720"/>
      <c r="VSO23" s="720"/>
      <c r="VSP23" s="720"/>
      <c r="VSQ23" s="720"/>
      <c r="VSR23" s="720"/>
      <c r="VSS23" s="720"/>
      <c r="VST23" s="720"/>
      <c r="VSU23" s="720"/>
      <c r="VSV23" s="720"/>
      <c r="VSW23" s="720"/>
      <c r="VSX23" s="720"/>
      <c r="VSY23" s="720"/>
      <c r="VSZ23" s="720"/>
      <c r="VTA23" s="720"/>
      <c r="VTB23" s="720"/>
      <c r="VTC23" s="720"/>
      <c r="VTD23" s="720"/>
      <c r="VTE23" s="720"/>
      <c r="VTF23" s="720"/>
      <c r="VTG23" s="720"/>
      <c r="VTH23" s="720"/>
      <c r="VTI23" s="720"/>
      <c r="VTJ23" s="720"/>
      <c r="VTK23" s="720"/>
      <c r="VTL23" s="720"/>
      <c r="VTM23" s="720"/>
      <c r="VTN23" s="720"/>
      <c r="VTO23" s="720"/>
      <c r="VTP23" s="720"/>
      <c r="VTQ23" s="720"/>
      <c r="VTR23" s="720"/>
      <c r="VTS23" s="720"/>
      <c r="VTT23" s="720"/>
      <c r="VTU23" s="720"/>
      <c r="VTV23" s="720"/>
      <c r="VTW23" s="720"/>
      <c r="VTX23" s="720"/>
      <c r="VTY23" s="720"/>
      <c r="VTZ23" s="720"/>
      <c r="VUA23" s="720"/>
      <c r="VUB23" s="720"/>
      <c r="VUC23" s="720"/>
      <c r="VUD23" s="720"/>
      <c r="VUE23" s="720"/>
      <c r="VUF23" s="720"/>
      <c r="VUG23" s="720"/>
      <c r="VUH23" s="720"/>
      <c r="VUI23" s="720"/>
      <c r="VUJ23" s="720"/>
      <c r="VUK23" s="720"/>
      <c r="VUL23" s="720"/>
      <c r="VUM23" s="720"/>
      <c r="VUN23" s="720"/>
      <c r="VUO23" s="720"/>
      <c r="VUP23" s="720"/>
      <c r="VUQ23" s="720"/>
      <c r="VUR23" s="720"/>
      <c r="VUS23" s="720"/>
      <c r="VUT23" s="720"/>
      <c r="VUU23" s="720"/>
      <c r="VUV23" s="720"/>
      <c r="VUW23" s="720"/>
      <c r="VUX23" s="720"/>
      <c r="VUY23" s="720"/>
      <c r="VUZ23" s="720"/>
      <c r="VVA23" s="720"/>
      <c r="VVB23" s="720"/>
      <c r="VVC23" s="720"/>
      <c r="VVD23" s="720"/>
      <c r="VVE23" s="720"/>
      <c r="VVF23" s="720"/>
      <c r="VVG23" s="720"/>
      <c r="VVH23" s="720"/>
      <c r="VVI23" s="720"/>
      <c r="VVJ23" s="720"/>
      <c r="VVK23" s="720"/>
      <c r="VVL23" s="720"/>
      <c r="VVM23" s="720"/>
      <c r="VVN23" s="720"/>
      <c r="VVO23" s="720"/>
      <c r="VVP23" s="720"/>
      <c r="VVQ23" s="720"/>
      <c r="VVR23" s="720"/>
      <c r="VVS23" s="720"/>
      <c r="VVT23" s="720"/>
      <c r="VVU23" s="720"/>
      <c r="VVV23" s="720"/>
      <c r="VVW23" s="720"/>
      <c r="VVX23" s="720"/>
      <c r="VVY23" s="720"/>
      <c r="VVZ23" s="720"/>
      <c r="VWA23" s="720"/>
      <c r="VWB23" s="720"/>
      <c r="VWC23" s="720"/>
      <c r="VWD23" s="720"/>
      <c r="VWE23" s="720"/>
      <c r="VWF23" s="720"/>
      <c r="VWG23" s="720"/>
      <c r="VWH23" s="720"/>
      <c r="VWI23" s="720"/>
      <c r="VWJ23" s="720"/>
      <c r="VWK23" s="720"/>
      <c r="VWL23" s="720"/>
      <c r="VWM23" s="720"/>
      <c r="VWN23" s="720"/>
      <c r="VWO23" s="720"/>
      <c r="VWP23" s="720"/>
      <c r="VWQ23" s="720"/>
      <c r="VWR23" s="720"/>
      <c r="VWS23" s="720"/>
      <c r="VWT23" s="720"/>
      <c r="VWU23" s="720"/>
      <c r="VWV23" s="720"/>
      <c r="VWW23" s="720"/>
      <c r="VWX23" s="720"/>
      <c r="VWY23" s="720"/>
      <c r="VWZ23" s="720"/>
      <c r="VXA23" s="720"/>
      <c r="VXB23" s="720"/>
      <c r="VXC23" s="720"/>
      <c r="VXD23" s="720"/>
      <c r="VXE23" s="720"/>
      <c r="VXF23" s="720"/>
      <c r="VXG23" s="720"/>
      <c r="VXH23" s="720"/>
      <c r="VXI23" s="720"/>
      <c r="VXJ23" s="720"/>
      <c r="VXK23" s="720"/>
      <c r="VXL23" s="720"/>
      <c r="VXM23" s="720"/>
      <c r="VXN23" s="720"/>
      <c r="VXO23" s="720"/>
      <c r="VXP23" s="720"/>
      <c r="VXQ23" s="720"/>
      <c r="VXR23" s="720"/>
      <c r="VXS23" s="720"/>
      <c r="VXT23" s="720"/>
      <c r="VXU23" s="720"/>
      <c r="VXV23" s="720"/>
      <c r="VXW23" s="720"/>
      <c r="VXX23" s="720"/>
      <c r="VXY23" s="720"/>
      <c r="VXZ23" s="720"/>
      <c r="VYA23" s="720"/>
      <c r="VYB23" s="720"/>
      <c r="VYC23" s="720"/>
      <c r="VYD23" s="720"/>
      <c r="VYE23" s="720"/>
      <c r="VYF23" s="720"/>
      <c r="VYG23" s="720"/>
      <c r="VYH23" s="720"/>
      <c r="VYI23" s="720"/>
      <c r="VYJ23" s="720"/>
      <c r="VYK23" s="720"/>
      <c r="VYL23" s="720"/>
      <c r="VYM23" s="720"/>
      <c r="VYN23" s="720"/>
      <c r="VYO23" s="720"/>
      <c r="VYP23" s="720"/>
      <c r="VYQ23" s="720"/>
      <c r="VYR23" s="720"/>
      <c r="VYS23" s="720"/>
      <c r="VYT23" s="720"/>
      <c r="VYU23" s="720"/>
      <c r="VYV23" s="720"/>
      <c r="VYW23" s="720"/>
      <c r="VYX23" s="720"/>
      <c r="VYY23" s="720"/>
      <c r="VYZ23" s="720"/>
      <c r="VZA23" s="720"/>
      <c r="VZB23" s="720"/>
      <c r="VZC23" s="720"/>
      <c r="VZD23" s="720"/>
      <c r="VZE23" s="720"/>
      <c r="VZF23" s="720"/>
      <c r="VZG23" s="720"/>
      <c r="VZH23" s="720"/>
      <c r="VZI23" s="720"/>
      <c r="VZJ23" s="720"/>
      <c r="VZK23" s="720"/>
      <c r="VZL23" s="720"/>
      <c r="VZM23" s="720"/>
      <c r="VZN23" s="720"/>
      <c r="VZO23" s="720"/>
      <c r="VZP23" s="720"/>
      <c r="VZQ23" s="720"/>
      <c r="VZR23" s="720"/>
      <c r="VZS23" s="720"/>
      <c r="VZT23" s="720"/>
      <c r="VZU23" s="720"/>
      <c r="VZV23" s="720"/>
      <c r="VZW23" s="720"/>
      <c r="VZX23" s="720"/>
      <c r="VZY23" s="720"/>
      <c r="VZZ23" s="720"/>
      <c r="WAA23" s="720"/>
      <c r="WAB23" s="720"/>
      <c r="WAC23" s="720"/>
      <c r="WAD23" s="720"/>
      <c r="WAE23" s="720"/>
      <c r="WAF23" s="720"/>
      <c r="WAG23" s="720"/>
      <c r="WAH23" s="720"/>
      <c r="WAI23" s="720"/>
      <c r="WAJ23" s="720"/>
      <c r="WAK23" s="720"/>
      <c r="WAL23" s="720"/>
      <c r="WAM23" s="720"/>
      <c r="WAN23" s="720"/>
      <c r="WAO23" s="720"/>
      <c r="WAP23" s="720"/>
      <c r="WAQ23" s="720"/>
      <c r="WAR23" s="720"/>
      <c r="WAS23" s="720"/>
      <c r="WAT23" s="720"/>
      <c r="WAU23" s="720"/>
      <c r="WAV23" s="720"/>
      <c r="WAW23" s="720"/>
      <c r="WAX23" s="720"/>
      <c r="WAY23" s="720"/>
      <c r="WAZ23" s="720"/>
      <c r="WBA23" s="720"/>
      <c r="WBB23" s="720"/>
      <c r="WBC23" s="720"/>
      <c r="WBD23" s="720"/>
      <c r="WBE23" s="720"/>
      <c r="WBF23" s="720"/>
      <c r="WBG23" s="720"/>
      <c r="WBH23" s="720"/>
      <c r="WBI23" s="720"/>
      <c r="WBJ23" s="720"/>
      <c r="WBK23" s="720"/>
      <c r="WBL23" s="720"/>
      <c r="WBM23" s="720"/>
      <c r="WBN23" s="720"/>
      <c r="WBO23" s="720"/>
      <c r="WBP23" s="720"/>
      <c r="WBQ23" s="720"/>
      <c r="WBR23" s="720"/>
      <c r="WBS23" s="720"/>
      <c r="WBT23" s="720"/>
      <c r="WBU23" s="720"/>
      <c r="WBV23" s="720"/>
      <c r="WBW23" s="720"/>
      <c r="WBX23" s="720"/>
      <c r="WBY23" s="720"/>
      <c r="WBZ23" s="720"/>
      <c r="WCA23" s="720"/>
      <c r="WCB23" s="720"/>
      <c r="WCC23" s="720"/>
      <c r="WCD23" s="720"/>
      <c r="WCE23" s="720"/>
      <c r="WCF23" s="720"/>
      <c r="WCG23" s="720"/>
      <c r="WCH23" s="720"/>
      <c r="WCI23" s="720"/>
      <c r="WCJ23" s="720"/>
      <c r="WCK23" s="720"/>
      <c r="WCL23" s="720"/>
      <c r="WCM23" s="720"/>
      <c r="WCN23" s="720"/>
      <c r="WCO23" s="720"/>
      <c r="WCP23" s="720"/>
      <c r="WCQ23" s="720"/>
      <c r="WCR23" s="720"/>
      <c r="WCS23" s="720"/>
      <c r="WCT23" s="720"/>
      <c r="WCU23" s="720"/>
      <c r="WCV23" s="720"/>
      <c r="WCW23" s="720"/>
      <c r="WCX23" s="720"/>
      <c r="WCY23" s="720"/>
      <c r="WCZ23" s="720"/>
      <c r="WDA23" s="720"/>
      <c r="WDB23" s="720"/>
      <c r="WDC23" s="720"/>
      <c r="WDD23" s="720"/>
      <c r="WDE23" s="720"/>
      <c r="WDF23" s="720"/>
      <c r="WDG23" s="720"/>
      <c r="WDH23" s="720"/>
      <c r="WDI23" s="720"/>
      <c r="WDJ23" s="720"/>
      <c r="WDK23" s="720"/>
      <c r="WDL23" s="720"/>
      <c r="WDM23" s="720"/>
      <c r="WDN23" s="720"/>
      <c r="WDO23" s="720"/>
      <c r="WDP23" s="720"/>
      <c r="WDQ23" s="720"/>
      <c r="WDR23" s="720"/>
      <c r="WDS23" s="720"/>
      <c r="WDT23" s="720"/>
      <c r="WDU23" s="720"/>
      <c r="WDV23" s="720"/>
      <c r="WDW23" s="720"/>
      <c r="WDX23" s="720"/>
      <c r="WDY23" s="720"/>
      <c r="WDZ23" s="720"/>
      <c r="WEA23" s="720"/>
      <c r="WEB23" s="720"/>
      <c r="WEC23" s="720"/>
      <c r="WED23" s="720"/>
      <c r="WEE23" s="720"/>
      <c r="WEF23" s="720"/>
      <c r="WEG23" s="720"/>
      <c r="WEH23" s="720"/>
      <c r="WEI23" s="720"/>
      <c r="WEJ23" s="720"/>
      <c r="WEK23" s="720"/>
      <c r="WEL23" s="720"/>
      <c r="WEM23" s="720"/>
      <c r="WEN23" s="720"/>
      <c r="WEO23" s="720"/>
      <c r="WEP23" s="720"/>
      <c r="WEQ23" s="720"/>
      <c r="WER23" s="720"/>
      <c r="WES23" s="720"/>
      <c r="WET23" s="720"/>
      <c r="WEU23" s="720"/>
      <c r="WEV23" s="720"/>
      <c r="WEW23" s="720"/>
      <c r="WEX23" s="720"/>
      <c r="WEY23" s="720"/>
      <c r="WEZ23" s="720"/>
      <c r="WFA23" s="720"/>
      <c r="WFB23" s="720"/>
      <c r="WFC23" s="720"/>
      <c r="WFD23" s="720"/>
      <c r="WFE23" s="720"/>
      <c r="WFF23" s="720"/>
      <c r="WFG23" s="720"/>
      <c r="WFH23" s="720"/>
      <c r="WFI23" s="720"/>
      <c r="WFJ23" s="720"/>
      <c r="WFK23" s="720"/>
      <c r="WFL23" s="720"/>
      <c r="WFM23" s="720"/>
      <c r="WFN23" s="720"/>
      <c r="WFO23" s="720"/>
      <c r="WFP23" s="720"/>
      <c r="WFQ23" s="720"/>
      <c r="WFR23" s="720"/>
      <c r="WFS23" s="720"/>
      <c r="WFT23" s="720"/>
      <c r="WFU23" s="720"/>
      <c r="WFV23" s="720"/>
      <c r="WFW23" s="720"/>
      <c r="WFX23" s="720"/>
      <c r="WFY23" s="720"/>
      <c r="WFZ23" s="720"/>
      <c r="WGA23" s="720"/>
      <c r="WGB23" s="720"/>
      <c r="WGC23" s="720"/>
      <c r="WGD23" s="720"/>
      <c r="WGE23" s="720"/>
      <c r="WGF23" s="720"/>
      <c r="WGG23" s="720"/>
      <c r="WGH23" s="720"/>
      <c r="WGI23" s="720"/>
      <c r="WGJ23" s="720"/>
      <c r="WGK23" s="720"/>
      <c r="WGL23" s="720"/>
      <c r="WGM23" s="720"/>
      <c r="WGN23" s="720"/>
      <c r="WGO23" s="720"/>
      <c r="WGP23" s="720"/>
      <c r="WGQ23" s="720"/>
      <c r="WGR23" s="720"/>
      <c r="WGS23" s="720"/>
      <c r="WGT23" s="720"/>
      <c r="WGU23" s="720"/>
      <c r="WGV23" s="720"/>
      <c r="WGW23" s="720"/>
      <c r="WGX23" s="720"/>
      <c r="WGY23" s="720"/>
      <c r="WGZ23" s="720"/>
      <c r="WHA23" s="720"/>
      <c r="WHB23" s="720"/>
      <c r="WHC23" s="720"/>
      <c r="WHD23" s="720"/>
      <c r="WHE23" s="720"/>
      <c r="WHF23" s="720"/>
      <c r="WHG23" s="720"/>
      <c r="WHH23" s="720"/>
      <c r="WHI23" s="720"/>
      <c r="WHJ23" s="720"/>
      <c r="WHK23" s="720"/>
      <c r="WHL23" s="720"/>
      <c r="WHM23" s="720"/>
      <c r="WHN23" s="720"/>
      <c r="WHO23" s="720"/>
      <c r="WHP23" s="720"/>
      <c r="WHQ23" s="720"/>
      <c r="WHR23" s="720"/>
      <c r="WHS23" s="720"/>
      <c r="WHT23" s="720"/>
      <c r="WHU23" s="720"/>
      <c r="WHV23" s="720"/>
      <c r="WHW23" s="720"/>
      <c r="WHX23" s="720"/>
      <c r="WHY23" s="720"/>
      <c r="WHZ23" s="720"/>
      <c r="WIA23" s="720"/>
      <c r="WIB23" s="720"/>
      <c r="WIC23" s="720"/>
      <c r="WID23" s="720"/>
      <c r="WIE23" s="720"/>
      <c r="WIF23" s="720"/>
      <c r="WIG23" s="720"/>
      <c r="WIH23" s="720"/>
      <c r="WII23" s="720"/>
      <c r="WIJ23" s="720"/>
      <c r="WIK23" s="720"/>
      <c r="WIL23" s="720"/>
      <c r="WIM23" s="720"/>
      <c r="WIN23" s="720"/>
      <c r="WIO23" s="720"/>
      <c r="WIP23" s="720"/>
      <c r="WIQ23" s="720"/>
      <c r="WIR23" s="720"/>
      <c r="WIS23" s="720"/>
      <c r="WIT23" s="720"/>
      <c r="WIU23" s="720"/>
      <c r="WIV23" s="720"/>
      <c r="WIW23" s="720"/>
      <c r="WIX23" s="720"/>
      <c r="WIY23" s="720"/>
      <c r="WIZ23" s="720"/>
      <c r="WJA23" s="720"/>
      <c r="WJB23" s="720"/>
      <c r="WJC23" s="720"/>
      <c r="WJD23" s="720"/>
      <c r="WJE23" s="720"/>
      <c r="WJF23" s="720"/>
      <c r="WJG23" s="720"/>
      <c r="WJH23" s="720"/>
      <c r="WJI23" s="720"/>
      <c r="WJJ23" s="720"/>
      <c r="WJK23" s="720"/>
      <c r="WJL23" s="720"/>
      <c r="WJM23" s="720"/>
      <c r="WJN23" s="720"/>
      <c r="WJO23" s="720"/>
      <c r="WJP23" s="720"/>
      <c r="WJQ23" s="720"/>
      <c r="WJR23" s="720"/>
      <c r="WJS23" s="720"/>
      <c r="WJT23" s="720"/>
      <c r="WJU23" s="720"/>
      <c r="WJV23" s="720"/>
      <c r="WJW23" s="720"/>
      <c r="WJX23" s="720"/>
      <c r="WJY23" s="720"/>
      <c r="WJZ23" s="720"/>
      <c r="WKA23" s="720"/>
      <c r="WKB23" s="720"/>
      <c r="WKC23" s="720"/>
      <c r="WKD23" s="720"/>
      <c r="WKE23" s="720"/>
      <c r="WKF23" s="720"/>
      <c r="WKG23" s="720"/>
      <c r="WKH23" s="720"/>
      <c r="WKI23" s="720"/>
      <c r="WKJ23" s="720"/>
      <c r="WKK23" s="720"/>
      <c r="WKL23" s="720"/>
      <c r="WKM23" s="720"/>
      <c r="WKN23" s="720"/>
      <c r="WKO23" s="720"/>
      <c r="WKP23" s="720"/>
      <c r="WKQ23" s="720"/>
      <c r="WKR23" s="720"/>
      <c r="WKS23" s="720"/>
      <c r="WKT23" s="720"/>
      <c r="WKU23" s="720"/>
      <c r="WKV23" s="720"/>
      <c r="WKW23" s="720"/>
      <c r="WKX23" s="720"/>
      <c r="WKY23" s="720"/>
      <c r="WKZ23" s="720"/>
      <c r="WLA23" s="720"/>
      <c r="WLB23" s="720"/>
      <c r="WLC23" s="720"/>
      <c r="WLD23" s="720"/>
      <c r="WLE23" s="720"/>
      <c r="WLF23" s="720"/>
      <c r="WLG23" s="720"/>
      <c r="WLH23" s="720"/>
      <c r="WLI23" s="720"/>
      <c r="WLJ23" s="720"/>
      <c r="WLK23" s="720"/>
      <c r="WLL23" s="720"/>
      <c r="WLM23" s="720"/>
      <c r="WLN23" s="720"/>
      <c r="WLO23" s="720"/>
      <c r="WLP23" s="720"/>
      <c r="WLQ23" s="720"/>
      <c r="WLR23" s="720"/>
      <c r="WLS23" s="720"/>
      <c r="WLT23" s="720"/>
      <c r="WLU23" s="720"/>
      <c r="WLV23" s="720"/>
      <c r="WLW23" s="720"/>
      <c r="WLX23" s="720"/>
      <c r="WLY23" s="720"/>
      <c r="WLZ23" s="720"/>
      <c r="WMA23" s="720"/>
      <c r="WMB23" s="720"/>
      <c r="WMC23" s="720"/>
      <c r="WMD23" s="720"/>
      <c r="WME23" s="720"/>
      <c r="WMF23" s="720"/>
      <c r="WMG23" s="720"/>
      <c r="WMH23" s="720"/>
      <c r="WMI23" s="720"/>
      <c r="WMJ23" s="720"/>
      <c r="WMK23" s="720"/>
      <c r="WML23" s="720"/>
      <c r="WMM23" s="720"/>
      <c r="WMN23" s="720"/>
      <c r="WMO23" s="720"/>
      <c r="WMP23" s="720"/>
      <c r="WMQ23" s="720"/>
      <c r="WMR23" s="720"/>
      <c r="WMS23" s="720"/>
      <c r="WMT23" s="720"/>
      <c r="WMU23" s="720"/>
      <c r="WMV23" s="720"/>
      <c r="WMW23" s="720"/>
      <c r="WMX23" s="720"/>
      <c r="WMY23" s="720"/>
      <c r="WMZ23" s="720"/>
      <c r="WNA23" s="720"/>
      <c r="WNB23" s="720"/>
      <c r="WNC23" s="720"/>
      <c r="WND23" s="720"/>
      <c r="WNE23" s="720"/>
      <c r="WNF23" s="720"/>
      <c r="WNG23" s="720"/>
      <c r="WNH23" s="720"/>
      <c r="WNI23" s="720"/>
      <c r="WNJ23" s="720"/>
      <c r="WNK23" s="720"/>
      <c r="WNL23" s="720"/>
      <c r="WNM23" s="720"/>
      <c r="WNN23" s="720"/>
      <c r="WNO23" s="720"/>
      <c r="WNP23" s="720"/>
      <c r="WNQ23" s="720"/>
      <c r="WNR23" s="720"/>
      <c r="WNS23" s="720"/>
      <c r="WNT23" s="720"/>
      <c r="WNU23" s="720"/>
      <c r="WNV23" s="720"/>
      <c r="WNW23" s="720"/>
      <c r="WNX23" s="720"/>
      <c r="WNY23" s="720"/>
      <c r="WNZ23" s="720"/>
      <c r="WOA23" s="720"/>
      <c r="WOB23" s="720"/>
      <c r="WOC23" s="720"/>
      <c r="WOD23" s="720"/>
      <c r="WOE23" s="720"/>
      <c r="WOF23" s="720"/>
      <c r="WOG23" s="720"/>
      <c r="WOH23" s="720"/>
      <c r="WOI23" s="720"/>
      <c r="WOJ23" s="720"/>
      <c r="WOK23" s="720"/>
      <c r="WOL23" s="720"/>
      <c r="WOM23" s="720"/>
      <c r="WON23" s="720"/>
      <c r="WOO23" s="720"/>
      <c r="WOP23" s="720"/>
      <c r="WOQ23" s="720"/>
      <c r="WOR23" s="720"/>
      <c r="WOS23" s="720"/>
      <c r="WOT23" s="720"/>
      <c r="WOU23" s="720"/>
      <c r="WOV23" s="720"/>
      <c r="WOW23" s="720"/>
      <c r="WOX23" s="720"/>
      <c r="WOY23" s="720"/>
      <c r="WOZ23" s="720"/>
      <c r="WPA23" s="720"/>
      <c r="WPB23" s="720"/>
      <c r="WPC23" s="720"/>
      <c r="WPD23" s="720"/>
      <c r="WPE23" s="720"/>
      <c r="WPF23" s="720"/>
      <c r="WPG23" s="720"/>
      <c r="WPH23" s="720"/>
      <c r="WPI23" s="720"/>
      <c r="WPJ23" s="720"/>
      <c r="WPK23" s="720"/>
      <c r="WPL23" s="720"/>
      <c r="WPM23" s="720"/>
      <c r="WPN23" s="720"/>
      <c r="WPO23" s="720"/>
      <c r="WPP23" s="720"/>
      <c r="WPQ23" s="720"/>
      <c r="WPR23" s="720"/>
      <c r="WPS23" s="720"/>
      <c r="WPT23" s="720"/>
      <c r="WPU23" s="720"/>
      <c r="WPV23" s="720"/>
      <c r="WPW23" s="720"/>
      <c r="WPX23" s="720"/>
      <c r="WPY23" s="720"/>
      <c r="WPZ23" s="720"/>
      <c r="WQA23" s="720"/>
      <c r="WQB23" s="720"/>
      <c r="WQC23" s="720"/>
      <c r="WQD23" s="720"/>
      <c r="WQE23" s="720"/>
      <c r="WQF23" s="720"/>
      <c r="WQG23" s="720"/>
      <c r="WQH23" s="720"/>
      <c r="WQI23" s="720"/>
      <c r="WQJ23" s="720"/>
      <c r="WQK23" s="720"/>
      <c r="WQL23" s="720"/>
      <c r="WQM23" s="720"/>
      <c r="WQN23" s="720"/>
      <c r="WQO23" s="720"/>
      <c r="WQP23" s="720"/>
      <c r="WQQ23" s="720"/>
      <c r="WQR23" s="720"/>
      <c r="WQS23" s="720"/>
      <c r="WQT23" s="720"/>
      <c r="WQU23" s="720"/>
      <c r="WQV23" s="720"/>
      <c r="WQW23" s="720"/>
      <c r="WQX23" s="720"/>
      <c r="WQY23" s="720"/>
      <c r="WQZ23" s="720"/>
      <c r="WRA23" s="720"/>
      <c r="WRB23" s="720"/>
      <c r="WRC23" s="720"/>
      <c r="WRD23" s="720"/>
      <c r="WRE23" s="720"/>
      <c r="WRF23" s="720"/>
      <c r="WRG23" s="720"/>
      <c r="WRH23" s="720"/>
      <c r="WRI23" s="720"/>
      <c r="WRJ23" s="720"/>
      <c r="WRK23" s="720"/>
      <c r="WRL23" s="720"/>
      <c r="WRM23" s="720"/>
      <c r="WRN23" s="720"/>
      <c r="WRO23" s="720"/>
      <c r="WRP23" s="720"/>
      <c r="WRQ23" s="720"/>
      <c r="WRR23" s="720"/>
      <c r="WRS23" s="720"/>
      <c r="WRT23" s="720"/>
      <c r="WRU23" s="720"/>
      <c r="WRV23" s="720"/>
      <c r="WRW23" s="720"/>
      <c r="WRX23" s="720"/>
      <c r="WRY23" s="720"/>
      <c r="WRZ23" s="720"/>
      <c r="WSA23" s="720"/>
      <c r="WSB23" s="720"/>
      <c r="WSC23" s="720"/>
      <c r="WSD23" s="720"/>
      <c r="WSE23" s="720"/>
      <c r="WSF23" s="720"/>
      <c r="WSG23" s="720"/>
      <c r="WSH23" s="720"/>
      <c r="WSI23" s="720"/>
      <c r="WSJ23" s="720"/>
      <c r="WSK23" s="720"/>
      <c r="WSL23" s="720"/>
      <c r="WSM23" s="720"/>
      <c r="WSN23" s="720"/>
      <c r="WSO23" s="720"/>
      <c r="WSP23" s="720"/>
      <c r="WSQ23" s="720"/>
      <c r="WSR23" s="720"/>
      <c r="WSS23" s="720"/>
      <c r="WST23" s="720"/>
      <c r="WSU23" s="720"/>
      <c r="WSV23" s="720"/>
      <c r="WSW23" s="720"/>
      <c r="WSX23" s="720"/>
      <c r="WSY23" s="720"/>
      <c r="WSZ23" s="720"/>
      <c r="WTA23" s="720"/>
      <c r="WTB23" s="720"/>
      <c r="WTC23" s="720"/>
      <c r="WTD23" s="720"/>
      <c r="WTE23" s="720"/>
      <c r="WTF23" s="720"/>
      <c r="WTG23" s="720"/>
      <c r="WTH23" s="720"/>
      <c r="WTI23" s="720"/>
      <c r="WTJ23" s="720"/>
      <c r="WTK23" s="720"/>
      <c r="WTL23" s="720"/>
      <c r="WTM23" s="720"/>
      <c r="WTN23" s="720"/>
      <c r="WTO23" s="720"/>
      <c r="WTP23" s="720"/>
      <c r="WTQ23" s="720"/>
      <c r="WTR23" s="720"/>
      <c r="WTS23" s="720"/>
      <c r="WTT23" s="720"/>
      <c r="WTU23" s="720"/>
      <c r="WTV23" s="720"/>
      <c r="WTW23" s="720"/>
      <c r="WTX23" s="720"/>
      <c r="WTY23" s="720"/>
      <c r="WTZ23" s="720"/>
      <c r="WUA23" s="720"/>
      <c r="WUB23" s="720"/>
      <c r="WUC23" s="720"/>
      <c r="WUD23" s="720"/>
      <c r="WUE23" s="720"/>
      <c r="WUF23" s="720"/>
      <c r="WUG23" s="720"/>
      <c r="WUH23" s="720"/>
      <c r="WUI23" s="720"/>
      <c r="WUJ23" s="720"/>
      <c r="WUK23" s="720"/>
      <c r="WUL23" s="720"/>
      <c r="WUM23" s="720"/>
      <c r="WUN23" s="720"/>
      <c r="WUO23" s="720"/>
      <c r="WUP23" s="720"/>
      <c r="WUQ23" s="720"/>
      <c r="WUR23" s="720"/>
      <c r="WUS23" s="720"/>
      <c r="WUT23" s="720"/>
      <c r="WUU23" s="720"/>
      <c r="WUV23" s="720"/>
      <c r="WUW23" s="720"/>
      <c r="WUX23" s="720"/>
      <c r="WUY23" s="720"/>
      <c r="WUZ23" s="720"/>
      <c r="WVA23" s="720"/>
      <c r="WVB23" s="720"/>
      <c r="WVC23" s="720"/>
      <c r="WVD23" s="720"/>
      <c r="WVE23" s="720"/>
      <c r="WVF23" s="720"/>
      <c r="WVG23" s="720"/>
      <c r="WVH23" s="720"/>
      <c r="WVI23" s="720"/>
      <c r="WVJ23" s="720"/>
      <c r="WVK23" s="720"/>
      <c r="WVL23" s="720"/>
      <c r="WVM23" s="720"/>
      <c r="WVN23" s="720"/>
      <c r="WVO23" s="720"/>
      <c r="WVP23" s="720"/>
      <c r="WVQ23" s="720"/>
      <c r="WVR23" s="720"/>
      <c r="WVS23" s="720"/>
      <c r="WVT23" s="720"/>
      <c r="WVU23" s="720"/>
      <c r="WVV23" s="720"/>
      <c r="WVW23" s="720"/>
      <c r="WVX23" s="720"/>
      <c r="WVY23" s="720"/>
      <c r="WVZ23" s="720"/>
      <c r="WWA23" s="720"/>
      <c r="WWB23" s="720"/>
      <c r="WWC23" s="720"/>
      <c r="WWD23" s="720"/>
      <c r="WWE23" s="720"/>
      <c r="WWF23" s="720"/>
      <c r="WWG23" s="720"/>
      <c r="WWH23" s="720"/>
      <c r="WWI23" s="720"/>
      <c r="WWJ23" s="720"/>
      <c r="WWK23" s="720"/>
      <c r="WWL23" s="720"/>
      <c r="WWM23" s="720"/>
      <c r="WWN23" s="720"/>
      <c r="WWO23" s="720"/>
      <c r="WWP23" s="720"/>
      <c r="WWQ23" s="720"/>
      <c r="WWR23" s="720"/>
      <c r="WWS23" s="720"/>
      <c r="WWT23" s="720"/>
      <c r="WWU23" s="720"/>
      <c r="WWV23" s="720"/>
      <c r="WWW23" s="720"/>
      <c r="WWX23" s="720"/>
      <c r="WWY23" s="720"/>
      <c r="WWZ23" s="720"/>
      <c r="WXA23" s="720"/>
      <c r="WXB23" s="720"/>
      <c r="WXC23" s="720"/>
      <c r="WXD23" s="720"/>
      <c r="WXE23" s="720"/>
      <c r="WXF23" s="720"/>
      <c r="WXG23" s="720"/>
      <c r="WXH23" s="720"/>
      <c r="WXI23" s="720"/>
      <c r="WXJ23" s="720"/>
      <c r="WXK23" s="720"/>
      <c r="WXL23" s="720"/>
      <c r="WXM23" s="720"/>
      <c r="WXN23" s="720"/>
      <c r="WXO23" s="720"/>
      <c r="WXP23" s="720"/>
      <c r="WXQ23" s="720"/>
      <c r="WXR23" s="720"/>
      <c r="WXS23" s="720"/>
      <c r="WXT23" s="720"/>
      <c r="WXU23" s="720"/>
      <c r="WXV23" s="720"/>
      <c r="WXW23" s="720"/>
      <c r="WXX23" s="720"/>
      <c r="WXY23" s="720"/>
      <c r="WXZ23" s="720"/>
      <c r="WYA23" s="720"/>
      <c r="WYB23" s="720"/>
      <c r="WYC23" s="720"/>
      <c r="WYD23" s="720"/>
      <c r="WYE23" s="720"/>
      <c r="WYF23" s="720"/>
      <c r="WYG23" s="720"/>
      <c r="WYH23" s="720"/>
      <c r="WYI23" s="720"/>
      <c r="WYJ23" s="720"/>
      <c r="WYK23" s="720"/>
      <c r="WYL23" s="720"/>
      <c r="WYM23" s="720"/>
      <c r="WYN23" s="720"/>
      <c r="WYO23" s="720"/>
      <c r="WYP23" s="720"/>
      <c r="WYQ23" s="720"/>
      <c r="WYR23" s="720"/>
      <c r="WYS23" s="720"/>
      <c r="WYT23" s="720"/>
      <c r="WYU23" s="720"/>
      <c r="WYV23" s="720"/>
      <c r="WYW23" s="720"/>
      <c r="WYX23" s="720"/>
      <c r="WYY23" s="720"/>
      <c r="WYZ23" s="720"/>
      <c r="WZA23" s="720"/>
      <c r="WZB23" s="720"/>
      <c r="WZC23" s="720"/>
      <c r="WZD23" s="720"/>
      <c r="WZE23" s="720"/>
      <c r="WZF23" s="720"/>
      <c r="WZG23" s="720"/>
      <c r="WZH23" s="720"/>
      <c r="WZI23" s="720"/>
      <c r="WZJ23" s="720"/>
      <c r="WZK23" s="720"/>
      <c r="WZL23" s="720"/>
      <c r="WZM23" s="720"/>
      <c r="WZN23" s="720"/>
      <c r="WZO23" s="720"/>
      <c r="WZP23" s="720"/>
      <c r="WZQ23" s="720"/>
      <c r="WZR23" s="720"/>
      <c r="WZS23" s="720"/>
      <c r="WZT23" s="720"/>
      <c r="WZU23" s="720"/>
      <c r="WZV23" s="720"/>
      <c r="WZW23" s="720"/>
      <c r="WZX23" s="720"/>
      <c r="WZY23" s="720"/>
      <c r="WZZ23" s="720"/>
      <c r="XAA23" s="720"/>
      <c r="XAB23" s="720"/>
      <c r="XAC23" s="720"/>
      <c r="XAD23" s="720"/>
      <c r="XAE23" s="720"/>
      <c r="XAF23" s="720"/>
      <c r="XAG23" s="720"/>
      <c r="XAH23" s="720"/>
      <c r="XAI23" s="720"/>
      <c r="XAJ23" s="720"/>
      <c r="XAK23" s="720"/>
      <c r="XAL23" s="720"/>
      <c r="XAM23" s="720"/>
      <c r="XAN23" s="720"/>
      <c r="XAO23" s="720"/>
      <c r="XAP23" s="720"/>
      <c r="XAQ23" s="720"/>
      <c r="XAR23" s="720"/>
      <c r="XAS23" s="720"/>
      <c r="XAT23" s="720"/>
      <c r="XAU23" s="720"/>
      <c r="XAV23" s="720"/>
      <c r="XAW23" s="720"/>
      <c r="XAX23" s="720"/>
      <c r="XAY23" s="720"/>
      <c r="XAZ23" s="720"/>
      <c r="XBA23" s="720"/>
      <c r="XBB23" s="720"/>
      <c r="XBC23" s="720"/>
      <c r="XBD23" s="720"/>
      <c r="XBE23" s="720"/>
      <c r="XBF23" s="720"/>
      <c r="XBG23" s="720"/>
      <c r="XBH23" s="720"/>
      <c r="XBI23" s="720"/>
      <c r="XBJ23" s="720"/>
      <c r="XBK23" s="720"/>
      <c r="XBL23" s="720"/>
      <c r="XBM23" s="720"/>
      <c r="XBN23" s="720"/>
      <c r="XBO23" s="720"/>
      <c r="XBP23" s="720"/>
      <c r="XBQ23" s="720"/>
      <c r="XBR23" s="720"/>
      <c r="XBS23" s="720"/>
      <c r="XBT23" s="720"/>
      <c r="XBU23" s="720"/>
      <c r="XBV23" s="720"/>
      <c r="XBW23" s="720"/>
      <c r="XBX23" s="720"/>
      <c r="XBY23" s="720"/>
      <c r="XBZ23" s="720"/>
      <c r="XCA23" s="720"/>
      <c r="XCB23" s="720"/>
      <c r="XCC23" s="720"/>
      <c r="XCD23" s="720"/>
      <c r="XCE23" s="720"/>
      <c r="XCF23" s="720"/>
      <c r="XCG23" s="720"/>
      <c r="XCH23" s="720"/>
      <c r="XCI23" s="720"/>
      <c r="XCJ23" s="720"/>
      <c r="XCK23" s="720"/>
      <c r="XCL23" s="720"/>
      <c r="XCM23" s="720"/>
      <c r="XCN23" s="720"/>
      <c r="XCO23" s="720"/>
      <c r="XCP23" s="720"/>
      <c r="XCQ23" s="720"/>
      <c r="XCR23" s="720"/>
      <c r="XCS23" s="720"/>
      <c r="XCT23" s="720"/>
      <c r="XCU23" s="720"/>
      <c r="XCV23" s="720"/>
      <c r="XCW23" s="720"/>
      <c r="XCX23" s="720"/>
      <c r="XCY23" s="720"/>
      <c r="XCZ23" s="720"/>
      <c r="XDA23" s="720"/>
      <c r="XDB23" s="720"/>
      <c r="XDC23" s="720"/>
      <c r="XDD23" s="720"/>
      <c r="XDE23" s="720"/>
      <c r="XDF23" s="720"/>
      <c r="XDG23" s="720"/>
      <c r="XDH23" s="720"/>
      <c r="XDI23" s="720"/>
      <c r="XDJ23" s="720"/>
      <c r="XDK23" s="720"/>
      <c r="XDL23" s="720"/>
      <c r="XDM23" s="720"/>
      <c r="XDN23" s="720"/>
      <c r="XDO23" s="720"/>
      <c r="XDP23" s="720"/>
      <c r="XDQ23" s="720"/>
      <c r="XDR23" s="720"/>
      <c r="XDS23" s="720"/>
      <c r="XDT23" s="720"/>
      <c r="XDU23" s="720"/>
      <c r="XDV23" s="720"/>
      <c r="XDW23" s="720"/>
      <c r="XDX23" s="720"/>
      <c r="XDY23" s="720"/>
      <c r="XDZ23" s="720"/>
      <c r="XEA23" s="720"/>
      <c r="XEB23" s="720"/>
      <c r="XEC23" s="720"/>
      <c r="XED23" s="720"/>
      <c r="XEE23" s="720"/>
      <c r="XEF23" s="720"/>
      <c r="XEG23" s="720"/>
      <c r="XEH23" s="720"/>
      <c r="XEI23" s="720"/>
      <c r="XEJ23" s="720"/>
      <c r="XEK23" s="720"/>
      <c r="XEL23" s="720"/>
      <c r="XEM23" s="720"/>
      <c r="XEN23" s="720"/>
      <c r="XEO23" s="720"/>
      <c r="XEP23" s="720"/>
      <c r="XEQ23" s="720"/>
      <c r="XER23" s="720"/>
      <c r="XES23" s="720"/>
      <c r="XET23" s="720"/>
      <c r="XEU23" s="720"/>
      <c r="XEV23" s="720"/>
      <c r="XEW23" s="720"/>
      <c r="XEX23" s="720"/>
      <c r="XEY23" s="720"/>
      <c r="XEZ23" s="720"/>
      <c r="XFA23" s="720"/>
      <c r="XFB23" s="720"/>
      <c r="XFC23" s="720"/>
      <c r="XFD23" s="720"/>
    </row>
    <row r="24" spans="1:16384" s="1984" customFormat="1">
      <c r="A24" s="720"/>
      <c r="B24" s="2157" t="s">
        <v>2845</v>
      </c>
      <c r="C24" s="720"/>
      <c r="D24" s="720"/>
      <c r="E24" s="720"/>
      <c r="F24" s="3163">
        <f>0.25/2</f>
        <v>0.125</v>
      </c>
      <c r="G24" s="2242">
        <f>F24*2+0.25/2</f>
        <v>0.375</v>
      </c>
      <c r="H24" s="2242">
        <f>G24+0.25</f>
        <v>0.625</v>
      </c>
      <c r="I24" s="2242">
        <f t="shared" ref="I24:AG24" si="12">H24+0.25</f>
        <v>0.875</v>
      </c>
      <c r="J24" s="2242">
        <f t="shared" si="12"/>
        <v>1.125</v>
      </c>
      <c r="K24" s="2242">
        <f t="shared" si="12"/>
        <v>1.375</v>
      </c>
      <c r="L24" s="2242">
        <f t="shared" si="12"/>
        <v>1.625</v>
      </c>
      <c r="M24" s="2242">
        <f t="shared" si="12"/>
        <v>1.875</v>
      </c>
      <c r="N24" s="2242">
        <f t="shared" si="12"/>
        <v>2.125</v>
      </c>
      <c r="O24" s="2242">
        <f t="shared" si="12"/>
        <v>2.375</v>
      </c>
      <c r="P24" s="2242">
        <f t="shared" si="12"/>
        <v>2.625</v>
      </c>
      <c r="Q24" s="2242">
        <f t="shared" si="12"/>
        <v>2.875</v>
      </c>
      <c r="R24" s="2242">
        <f t="shared" si="12"/>
        <v>3.125</v>
      </c>
      <c r="S24" s="2242">
        <f t="shared" si="12"/>
        <v>3.375</v>
      </c>
      <c r="T24" s="2242">
        <f t="shared" si="12"/>
        <v>3.625</v>
      </c>
      <c r="U24" s="2242">
        <f t="shared" si="12"/>
        <v>3.875</v>
      </c>
      <c r="V24" s="2242">
        <f t="shared" si="12"/>
        <v>4.125</v>
      </c>
      <c r="W24" s="2242">
        <f t="shared" si="12"/>
        <v>4.375</v>
      </c>
      <c r="X24" s="2242">
        <f t="shared" si="12"/>
        <v>4.625</v>
      </c>
      <c r="Y24" s="2242">
        <f t="shared" si="12"/>
        <v>4.875</v>
      </c>
      <c r="Z24" s="2242">
        <f t="shared" si="12"/>
        <v>5.125</v>
      </c>
      <c r="AA24" s="2242">
        <f t="shared" si="12"/>
        <v>5.375</v>
      </c>
      <c r="AB24" s="2242">
        <f t="shared" si="12"/>
        <v>5.625</v>
      </c>
      <c r="AC24" s="2242">
        <f t="shared" si="12"/>
        <v>5.875</v>
      </c>
      <c r="AD24" s="2242">
        <f t="shared" si="12"/>
        <v>6.125</v>
      </c>
      <c r="AE24" s="2242">
        <f t="shared" si="12"/>
        <v>6.375</v>
      </c>
      <c r="AF24" s="2242">
        <f t="shared" si="12"/>
        <v>6.625</v>
      </c>
      <c r="AG24" s="2242">
        <f t="shared" si="12"/>
        <v>6.875</v>
      </c>
      <c r="AI24" s="720"/>
      <c r="AJ24" s="720"/>
      <c r="AK24" s="720"/>
      <c r="AL24" s="720"/>
      <c r="AM24" s="720"/>
      <c r="AN24" s="720"/>
      <c r="AO24" s="720"/>
    </row>
    <row r="25" spans="1:16384" s="1984" customFormat="1">
      <c r="A25" s="720"/>
      <c r="B25" s="2157" t="s">
        <v>2115</v>
      </c>
      <c r="C25" s="1144">
        <f>'WACC CAPM_rNPV'!$H$14</f>
        <v>0.2</v>
      </c>
      <c r="D25" s="1144"/>
      <c r="E25" s="1144"/>
      <c r="F25" s="2243">
        <f>1/(1+$C$25)^F24</f>
        <v>0.97746754023055249</v>
      </c>
      <c r="G25" s="2243">
        <f t="shared" ref="G25:R25" si="13">1/(1+$C$25)^G24</f>
        <v>0.93391431592701335</v>
      </c>
      <c r="H25" s="2243">
        <f t="shared" si="13"/>
        <v>0.89230170168893674</v>
      </c>
      <c r="I25" s="2243">
        <f t="shared" si="13"/>
        <v>0.85254322935038573</v>
      </c>
      <c r="J25" s="2243">
        <f t="shared" si="13"/>
        <v>0.8145562835254605</v>
      </c>
      <c r="K25" s="2243">
        <f t="shared" si="13"/>
        <v>0.77826192993917787</v>
      </c>
      <c r="L25" s="2243">
        <f t="shared" si="13"/>
        <v>0.7435847514074474</v>
      </c>
      <c r="M25" s="2243">
        <f t="shared" si="13"/>
        <v>0.7104526911253215</v>
      </c>
      <c r="N25" s="2243">
        <f t="shared" si="13"/>
        <v>0.67879690293788375</v>
      </c>
      <c r="O25" s="2243">
        <f t="shared" si="13"/>
        <v>0.64855160828264824</v>
      </c>
      <c r="P25" s="2243">
        <f t="shared" si="13"/>
        <v>0.61965395950620616</v>
      </c>
      <c r="Q25" s="2243">
        <f t="shared" si="13"/>
        <v>0.59204390927110129</v>
      </c>
      <c r="R25" s="2243">
        <f t="shared" si="13"/>
        <v>0.56566408578156979</v>
      </c>
      <c r="S25" s="2243">
        <f t="shared" ref="S25:AG25" si="14">1/(1+$C$25)^S24</f>
        <v>0.54045967356887348</v>
      </c>
      <c r="T25" s="2243">
        <f t="shared" si="14"/>
        <v>0.51637829958850512</v>
      </c>
      <c r="U25" s="2243">
        <f t="shared" si="14"/>
        <v>0.49336992439258437</v>
      </c>
      <c r="V25" s="2243">
        <f t="shared" si="14"/>
        <v>0.47138673815130822</v>
      </c>
      <c r="W25" s="2243">
        <f t="shared" ref="W25:Z25" si="15">1/(1+$C$25)^W24</f>
        <v>0.45038306130739458</v>
      </c>
      <c r="X25" s="2243">
        <f t="shared" si="15"/>
        <v>0.43031524965708762</v>
      </c>
      <c r="Y25" s="2243">
        <f t="shared" si="15"/>
        <v>0.41114160366048702</v>
      </c>
      <c r="Z25" s="2243">
        <f t="shared" si="15"/>
        <v>0.39282228179275686</v>
      </c>
      <c r="AA25" s="2243">
        <f t="shared" ref="AA25:AE25" si="16">1/(1+$C$25)^AA24</f>
        <v>0.37531921775616223</v>
      </c>
      <c r="AB25" s="2243">
        <f t="shared" si="16"/>
        <v>0.35859604138090639</v>
      </c>
      <c r="AC25" s="2243">
        <f t="shared" si="16"/>
        <v>0.34261800305040585</v>
      </c>
      <c r="AD25" s="2243">
        <f t="shared" si="16"/>
        <v>0.32735190149396398</v>
      </c>
      <c r="AE25" s="2243">
        <f t="shared" si="16"/>
        <v>0.31276601479680188</v>
      </c>
      <c r="AF25" s="2243">
        <f t="shared" si="14"/>
        <v>0.29883003448408862</v>
      </c>
      <c r="AG25" s="2243">
        <f t="shared" si="14"/>
        <v>0.28551500254200485</v>
      </c>
      <c r="AI25" s="720"/>
      <c r="AJ25" s="720"/>
      <c r="AK25" s="720"/>
      <c r="AL25" s="720"/>
      <c r="AM25" s="720"/>
      <c r="AN25" s="720"/>
      <c r="AO25" s="720"/>
    </row>
    <row r="26" spans="1:16384" s="1984" customFormat="1">
      <c r="A26" s="720"/>
      <c r="B26" s="720"/>
      <c r="C26" s="720"/>
      <c r="D26" s="720"/>
      <c r="E26" s="720"/>
      <c r="F26" s="720"/>
      <c r="G26" s="720"/>
      <c r="H26" s="720"/>
      <c r="I26" s="720"/>
      <c r="J26" s="720"/>
      <c r="K26" s="720"/>
      <c r="L26" s="720"/>
      <c r="M26" s="720"/>
      <c r="N26" s="720"/>
      <c r="O26" s="720"/>
      <c r="P26" s="720"/>
      <c r="Q26" s="720"/>
      <c r="R26" s="720"/>
      <c r="S26" s="720"/>
      <c r="T26" s="720"/>
      <c r="U26" s="720"/>
      <c r="V26" s="720"/>
      <c r="W26" s="720"/>
      <c r="X26" s="720"/>
      <c r="Y26" s="720"/>
      <c r="Z26" s="720"/>
      <c r="AA26" s="720"/>
      <c r="AB26" s="720"/>
      <c r="AC26" s="720"/>
      <c r="AD26" s="720"/>
      <c r="AE26" s="720"/>
      <c r="AF26" s="720"/>
      <c r="AG26" s="720"/>
      <c r="AI26" s="720"/>
      <c r="AJ26" s="720"/>
      <c r="AK26" s="720"/>
      <c r="AL26" s="720"/>
      <c r="AM26" s="720"/>
      <c r="AN26" s="720"/>
      <c r="AO26" s="720"/>
    </row>
    <row r="27" spans="1:16384">
      <c r="B27" s="2223" t="s">
        <v>2847</v>
      </c>
      <c r="F27" s="3184">
        <f>F22*F25</f>
        <v>0.24436688505763812</v>
      </c>
      <c r="G27" s="3184">
        <f t="shared" ref="G27:AG27" si="17">G22*G25</f>
        <v>0.23347857898175334</v>
      </c>
      <c r="H27" s="3184">
        <f t="shared" si="17"/>
        <v>0.22307542542223419</v>
      </c>
      <c r="I27" s="3184">
        <f t="shared" si="17"/>
        <v>0.21313580733759643</v>
      </c>
      <c r="J27" s="3184">
        <f t="shared" si="17"/>
        <v>0.20363907088136513</v>
      </c>
      <c r="K27" s="3184">
        <f t="shared" si="17"/>
        <v>0.19456548248479447</v>
      </c>
      <c r="L27" s="3184">
        <f t="shared" si="17"/>
        <v>0.18589618785186185</v>
      </c>
      <c r="M27" s="3184">
        <f t="shared" si="17"/>
        <v>0.17761317278133038</v>
      </c>
      <c r="N27" s="3184">
        <f t="shared" si="17"/>
        <v>0.16969922573447094</v>
      </c>
      <c r="O27" s="3184">
        <f t="shared" si="17"/>
        <v>5.6748265724731718E-2</v>
      </c>
      <c r="P27" s="3184">
        <f t="shared" si="17"/>
        <v>8.1329582185189542E-2</v>
      </c>
      <c r="Q27" s="3184">
        <f t="shared" si="17"/>
        <v>7.7705763091832025E-2</v>
      </c>
      <c r="R27" s="3184">
        <f t="shared" si="17"/>
        <v>7.4243411258831021E-2</v>
      </c>
      <c r="S27" s="3184">
        <f t="shared" si="17"/>
        <v>7.0935332155914632E-2</v>
      </c>
      <c r="T27" s="3184">
        <f t="shared" si="17"/>
        <v>6.777465182099128E-2</v>
      </c>
      <c r="U27" s="3184">
        <f t="shared" si="17"/>
        <v>6.4754802576526688E-2</v>
      </c>
      <c r="V27" s="3184">
        <f t="shared" si="17"/>
        <v>6.1869509382359196E-2</v>
      </c>
      <c r="W27" s="3184">
        <f t="shared" si="17"/>
        <v>5.9112776796595531E-2</v>
      </c>
      <c r="X27" s="3184">
        <f t="shared" si="17"/>
        <v>5.647887651749274E-2</v>
      </c>
      <c r="Y27" s="3184">
        <f t="shared" si="17"/>
        <v>5.3962335480438911E-2</v>
      </c>
      <c r="Z27" s="3184">
        <f t="shared" si="17"/>
        <v>5.1557924485299327E-2</v>
      </c>
      <c r="AA27" s="3184">
        <f t="shared" si="17"/>
        <v>4.9260647330496281E-2</v>
      </c>
      <c r="AB27" s="2497">
        <f t="shared" si="17"/>
        <v>0</v>
      </c>
      <c r="AC27" s="2497">
        <f t="shared" si="17"/>
        <v>0</v>
      </c>
      <c r="AD27" s="2497">
        <f t="shared" si="17"/>
        <v>0</v>
      </c>
      <c r="AE27" s="2497">
        <f t="shared" si="17"/>
        <v>0</v>
      </c>
      <c r="AF27" s="2497">
        <f t="shared" si="17"/>
        <v>0</v>
      </c>
      <c r="AG27" s="2497">
        <f t="shared" si="17"/>
        <v>0</v>
      </c>
    </row>
    <row r="28" spans="1:16384">
      <c r="B28" s="2223"/>
      <c r="C28" s="2245"/>
      <c r="F28" s="725"/>
      <c r="G28" s="725"/>
      <c r="H28" s="725"/>
      <c r="I28" s="725"/>
      <c r="J28" s="725"/>
      <c r="K28" s="725"/>
      <c r="L28" s="725"/>
      <c r="M28" s="725"/>
      <c r="N28" s="725"/>
      <c r="O28" s="725"/>
      <c r="P28" s="725"/>
      <c r="Q28" s="725"/>
      <c r="R28" s="725"/>
      <c r="S28" s="725"/>
      <c r="T28" s="725"/>
      <c r="U28" s="725"/>
      <c r="V28" s="725"/>
      <c r="W28" s="725"/>
      <c r="X28" s="725"/>
      <c r="Y28" s="725"/>
      <c r="Z28" s="725"/>
      <c r="AA28" s="725"/>
      <c r="AB28" s="725"/>
      <c r="AC28" s="725"/>
      <c r="AD28" s="725"/>
      <c r="AE28" s="725"/>
      <c r="AF28" s="725"/>
      <c r="AG28" s="725"/>
      <c r="AH28" s="725"/>
      <c r="AI28" s="725"/>
      <c r="AJ28" s="725"/>
      <c r="AK28" s="725"/>
      <c r="AL28" s="725"/>
      <c r="AM28" s="725"/>
      <c r="AN28" s="725"/>
      <c r="AO28" s="725"/>
      <c r="AP28" s="725"/>
      <c r="AQ28" s="725"/>
      <c r="AR28" s="725"/>
      <c r="AS28" s="725"/>
      <c r="AT28" s="725"/>
      <c r="AU28" s="725"/>
      <c r="AV28" s="725"/>
      <c r="AW28" s="725"/>
      <c r="AX28" s="725"/>
      <c r="AY28" s="725"/>
      <c r="AZ28" s="725"/>
      <c r="BA28" s="725"/>
      <c r="BB28" s="725"/>
      <c r="BC28" s="725"/>
      <c r="BD28" s="725"/>
      <c r="BE28" s="725"/>
      <c r="BF28" s="725"/>
      <c r="BG28" s="725"/>
      <c r="BH28" s="725"/>
      <c r="BI28" s="725"/>
      <c r="BJ28" s="725"/>
      <c r="BK28" s="725"/>
      <c r="BL28" s="725"/>
      <c r="BM28" s="725"/>
      <c r="BN28" s="725"/>
      <c r="BO28" s="725"/>
      <c r="BP28" s="725"/>
      <c r="BQ28" s="725"/>
      <c r="BR28" s="725"/>
      <c r="BS28" s="725"/>
      <c r="BT28" s="725"/>
      <c r="BU28" s="725"/>
      <c r="BV28" s="725"/>
      <c r="BW28" s="725"/>
      <c r="BX28" s="725"/>
      <c r="BY28" s="725"/>
      <c r="BZ28" s="725"/>
      <c r="CA28" s="725"/>
      <c r="CB28" s="725"/>
      <c r="CC28" s="725"/>
      <c r="CD28" s="725"/>
      <c r="CE28" s="725"/>
      <c r="CF28" s="725"/>
      <c r="CG28" s="725"/>
      <c r="CH28" s="725"/>
      <c r="CI28" s="725"/>
      <c r="CJ28" s="725"/>
      <c r="CK28" s="725"/>
      <c r="CL28" s="725"/>
      <c r="CM28" s="725"/>
      <c r="CN28" s="725"/>
      <c r="CO28" s="725"/>
      <c r="CP28" s="725"/>
      <c r="CQ28" s="725"/>
      <c r="CR28" s="725"/>
      <c r="CS28" s="725"/>
      <c r="CT28" s="725"/>
      <c r="CU28" s="725"/>
      <c r="CV28" s="725"/>
      <c r="CW28" s="725"/>
      <c r="CX28" s="725"/>
      <c r="CY28" s="725"/>
      <c r="CZ28" s="725"/>
      <c r="DA28" s="725"/>
      <c r="DB28" s="725"/>
      <c r="DC28" s="725"/>
      <c r="DD28" s="725"/>
      <c r="DE28" s="725"/>
      <c r="DF28" s="725"/>
      <c r="DG28" s="725"/>
      <c r="DH28" s="725"/>
      <c r="DI28" s="725"/>
      <c r="DJ28" s="725"/>
      <c r="DK28" s="725"/>
      <c r="DL28" s="725"/>
      <c r="DM28" s="725"/>
      <c r="DN28" s="725"/>
      <c r="DO28" s="725"/>
      <c r="DP28" s="725"/>
      <c r="DQ28" s="725"/>
      <c r="DR28" s="725"/>
      <c r="DS28" s="725"/>
      <c r="DT28" s="725"/>
      <c r="DU28" s="725"/>
      <c r="DV28" s="725"/>
      <c r="DW28" s="725"/>
      <c r="DX28" s="725"/>
      <c r="DY28" s="725"/>
      <c r="DZ28" s="725"/>
      <c r="EA28" s="725"/>
      <c r="EB28" s="725"/>
      <c r="EC28" s="725"/>
      <c r="ED28" s="725"/>
      <c r="EE28" s="725"/>
      <c r="EF28" s="725"/>
      <c r="EG28" s="725"/>
      <c r="EH28" s="725"/>
      <c r="EI28" s="725"/>
      <c r="EJ28" s="725"/>
      <c r="EK28" s="725"/>
      <c r="EL28" s="725"/>
      <c r="EM28" s="725"/>
      <c r="EN28" s="725"/>
      <c r="EO28" s="725"/>
      <c r="EP28" s="725"/>
      <c r="EQ28" s="725"/>
      <c r="ER28" s="725"/>
      <c r="ES28" s="725"/>
      <c r="ET28" s="725"/>
      <c r="EU28" s="725"/>
      <c r="EV28" s="725"/>
      <c r="EW28" s="725"/>
      <c r="EX28" s="725"/>
      <c r="EY28" s="725"/>
      <c r="EZ28" s="725"/>
      <c r="FA28" s="725"/>
      <c r="FB28" s="725"/>
      <c r="FC28" s="725"/>
      <c r="FD28" s="725"/>
      <c r="FE28" s="725"/>
      <c r="FF28" s="725"/>
      <c r="FG28" s="725"/>
      <c r="FH28" s="725"/>
      <c r="FI28" s="725"/>
      <c r="FJ28" s="725"/>
      <c r="FK28" s="725"/>
      <c r="FL28" s="725"/>
      <c r="FM28" s="725"/>
      <c r="FN28" s="725"/>
      <c r="FO28" s="725"/>
      <c r="FP28" s="725"/>
      <c r="FQ28" s="725"/>
      <c r="FR28" s="725"/>
      <c r="FS28" s="725"/>
      <c r="FT28" s="725"/>
      <c r="FU28" s="725"/>
      <c r="FV28" s="725"/>
      <c r="FW28" s="725"/>
      <c r="FX28" s="725"/>
      <c r="FY28" s="725"/>
      <c r="FZ28" s="725"/>
      <c r="GA28" s="725"/>
      <c r="GB28" s="725"/>
      <c r="GC28" s="725"/>
      <c r="GD28" s="725"/>
      <c r="GE28" s="725"/>
      <c r="GF28" s="725"/>
      <c r="GG28" s="725"/>
      <c r="GH28" s="725"/>
      <c r="GI28" s="725"/>
      <c r="GJ28" s="725"/>
      <c r="GK28" s="725"/>
      <c r="GL28" s="725"/>
      <c r="GM28" s="725"/>
      <c r="GN28" s="725"/>
      <c r="GO28" s="725"/>
      <c r="GP28" s="725"/>
      <c r="GQ28" s="725"/>
      <c r="GR28" s="725"/>
      <c r="GS28" s="725"/>
      <c r="GT28" s="725"/>
      <c r="GU28" s="725"/>
      <c r="GV28" s="725"/>
      <c r="GW28" s="725"/>
      <c r="GX28" s="725"/>
      <c r="GY28" s="725"/>
      <c r="GZ28" s="725"/>
      <c r="HA28" s="725"/>
      <c r="HB28" s="725"/>
      <c r="HC28" s="725"/>
      <c r="HD28" s="725"/>
      <c r="HE28" s="725"/>
      <c r="HF28" s="725"/>
      <c r="HG28" s="725"/>
      <c r="HH28" s="725"/>
      <c r="HI28" s="725"/>
      <c r="HJ28" s="725"/>
      <c r="HK28" s="725"/>
      <c r="HL28" s="725"/>
      <c r="HM28" s="725"/>
      <c r="HN28" s="725"/>
      <c r="HO28" s="725"/>
      <c r="HP28" s="725"/>
      <c r="HQ28" s="725"/>
      <c r="HR28" s="725"/>
      <c r="HS28" s="725"/>
      <c r="HT28" s="725"/>
      <c r="HU28" s="725"/>
      <c r="HV28" s="725"/>
      <c r="HW28" s="725"/>
      <c r="HX28" s="725"/>
      <c r="HY28" s="725"/>
      <c r="HZ28" s="725"/>
      <c r="IA28" s="725"/>
      <c r="IB28" s="725"/>
      <c r="IC28" s="725"/>
      <c r="ID28" s="725"/>
      <c r="IE28" s="725"/>
      <c r="IF28" s="725"/>
      <c r="IG28" s="725"/>
      <c r="IH28" s="725"/>
      <c r="II28" s="725"/>
      <c r="IJ28" s="725"/>
      <c r="IK28" s="725"/>
      <c r="IL28" s="725"/>
      <c r="IM28" s="725"/>
      <c r="IN28" s="725"/>
      <c r="IO28" s="725"/>
      <c r="IP28" s="725"/>
      <c r="IQ28" s="725"/>
      <c r="IR28" s="725"/>
      <c r="IS28" s="725"/>
      <c r="IT28" s="725"/>
      <c r="IU28" s="725"/>
      <c r="IV28" s="725"/>
      <c r="IW28" s="725"/>
      <c r="IX28" s="725"/>
      <c r="IY28" s="725"/>
      <c r="IZ28" s="725"/>
      <c r="JA28" s="725"/>
      <c r="JB28" s="725"/>
      <c r="JC28" s="725"/>
      <c r="JD28" s="725"/>
      <c r="JE28" s="725"/>
      <c r="JF28" s="725"/>
      <c r="JG28" s="725"/>
      <c r="JH28" s="725"/>
      <c r="JI28" s="725"/>
      <c r="JJ28" s="725"/>
      <c r="JK28" s="725"/>
      <c r="JL28" s="725"/>
      <c r="JM28" s="725"/>
      <c r="JN28" s="725"/>
      <c r="JO28" s="725"/>
      <c r="JP28" s="725"/>
      <c r="JQ28" s="725"/>
      <c r="JR28" s="725"/>
      <c r="JS28" s="725"/>
      <c r="JT28" s="725"/>
      <c r="JU28" s="725"/>
      <c r="JV28" s="725"/>
      <c r="JW28" s="725"/>
      <c r="JX28" s="725"/>
      <c r="JY28" s="725"/>
      <c r="JZ28" s="725"/>
      <c r="KA28" s="725"/>
      <c r="KB28" s="725"/>
      <c r="KC28" s="725"/>
      <c r="KD28" s="725"/>
      <c r="KE28" s="725"/>
      <c r="KF28" s="725"/>
      <c r="KG28" s="725"/>
      <c r="KH28" s="725"/>
      <c r="KI28" s="725"/>
      <c r="KJ28" s="725"/>
      <c r="KK28" s="725"/>
      <c r="KL28" s="725"/>
      <c r="KM28" s="725"/>
      <c r="KN28" s="725"/>
      <c r="KO28" s="725"/>
      <c r="KP28" s="725"/>
      <c r="KQ28" s="725"/>
      <c r="KR28" s="725"/>
      <c r="KS28" s="725"/>
      <c r="KT28" s="725"/>
      <c r="KU28" s="725"/>
      <c r="KV28" s="725"/>
      <c r="KW28" s="725"/>
      <c r="KX28" s="725"/>
      <c r="KY28" s="725"/>
      <c r="KZ28" s="725"/>
      <c r="LA28" s="725"/>
      <c r="LB28" s="725"/>
      <c r="LC28" s="725"/>
      <c r="LD28" s="725"/>
      <c r="LE28" s="725"/>
      <c r="LF28" s="725"/>
      <c r="LG28" s="725"/>
      <c r="LH28" s="725"/>
      <c r="LI28" s="725"/>
      <c r="LJ28" s="725"/>
      <c r="LK28" s="725"/>
      <c r="LL28" s="725"/>
      <c r="LM28" s="725"/>
      <c r="LN28" s="725"/>
      <c r="LO28" s="725"/>
      <c r="LP28" s="725"/>
      <c r="LQ28" s="725"/>
      <c r="LR28" s="725"/>
      <c r="LS28" s="725"/>
      <c r="LT28" s="725"/>
      <c r="LU28" s="725"/>
      <c r="LV28" s="725"/>
      <c r="LW28" s="725"/>
      <c r="LX28" s="725"/>
      <c r="LY28" s="725"/>
      <c r="LZ28" s="725"/>
      <c r="MA28" s="725"/>
      <c r="MB28" s="725"/>
      <c r="MC28" s="725"/>
      <c r="MD28" s="725"/>
      <c r="ME28" s="725"/>
      <c r="MF28" s="725"/>
      <c r="MG28" s="725"/>
      <c r="MH28" s="725"/>
      <c r="MI28" s="725"/>
      <c r="MJ28" s="725"/>
      <c r="MK28" s="725"/>
      <c r="ML28" s="725"/>
      <c r="MM28" s="725"/>
      <c r="MN28" s="725"/>
      <c r="MO28" s="725"/>
      <c r="MP28" s="725"/>
      <c r="MQ28" s="725"/>
      <c r="MR28" s="725"/>
      <c r="MS28" s="725"/>
      <c r="MT28" s="725"/>
      <c r="MU28" s="725"/>
      <c r="MV28" s="725"/>
      <c r="MW28" s="725"/>
      <c r="MX28" s="725"/>
      <c r="MY28" s="725"/>
      <c r="MZ28" s="725"/>
      <c r="NA28" s="725"/>
      <c r="NB28" s="725"/>
      <c r="NC28" s="725"/>
      <c r="ND28" s="725"/>
      <c r="NE28" s="725"/>
      <c r="NF28" s="725"/>
      <c r="NG28" s="725"/>
      <c r="NH28" s="725"/>
      <c r="NI28" s="725"/>
      <c r="NJ28" s="725"/>
      <c r="NK28" s="725"/>
      <c r="NL28" s="725"/>
      <c r="NM28" s="725"/>
      <c r="NN28" s="725"/>
      <c r="NO28" s="725"/>
      <c r="NP28" s="725"/>
      <c r="NQ28" s="725"/>
      <c r="NR28" s="725"/>
      <c r="NS28" s="725"/>
      <c r="NT28" s="725"/>
      <c r="NU28" s="725"/>
      <c r="NV28" s="725"/>
      <c r="NW28" s="725"/>
      <c r="NX28" s="725"/>
      <c r="NY28" s="725"/>
      <c r="NZ28" s="725"/>
      <c r="OA28" s="725"/>
      <c r="OB28" s="725"/>
      <c r="OC28" s="725"/>
      <c r="OD28" s="725"/>
      <c r="OE28" s="725"/>
      <c r="OF28" s="725"/>
      <c r="OG28" s="725"/>
      <c r="OH28" s="725"/>
      <c r="OI28" s="725"/>
      <c r="OJ28" s="725"/>
      <c r="OK28" s="725"/>
      <c r="OL28" s="725"/>
      <c r="OM28" s="725"/>
      <c r="ON28" s="725"/>
      <c r="OO28" s="725"/>
      <c r="OP28" s="725"/>
      <c r="OQ28" s="725"/>
      <c r="OR28" s="725"/>
      <c r="OS28" s="725"/>
      <c r="OT28" s="725"/>
      <c r="OU28" s="725"/>
      <c r="OV28" s="725"/>
      <c r="OW28" s="725"/>
      <c r="OX28" s="725"/>
      <c r="OY28" s="725"/>
      <c r="OZ28" s="725"/>
      <c r="PA28" s="725"/>
      <c r="PB28" s="725"/>
      <c r="PC28" s="725"/>
      <c r="PD28" s="725"/>
      <c r="PE28" s="725"/>
      <c r="PF28" s="725"/>
      <c r="PG28" s="725"/>
      <c r="PH28" s="725"/>
      <c r="PI28" s="725"/>
      <c r="PJ28" s="725"/>
      <c r="PK28" s="725"/>
      <c r="PL28" s="725"/>
      <c r="PM28" s="725"/>
      <c r="PN28" s="725"/>
      <c r="PO28" s="725"/>
      <c r="PP28" s="725"/>
      <c r="PQ28" s="725"/>
      <c r="PR28" s="725"/>
      <c r="PS28" s="725"/>
      <c r="PT28" s="725"/>
      <c r="PU28" s="725"/>
      <c r="PV28" s="725"/>
      <c r="PW28" s="725"/>
      <c r="PX28" s="725"/>
      <c r="PY28" s="725"/>
      <c r="PZ28" s="725"/>
      <c r="QA28" s="725"/>
      <c r="QB28" s="725"/>
      <c r="QC28" s="725"/>
      <c r="QD28" s="725"/>
      <c r="QE28" s="725"/>
      <c r="QF28" s="725"/>
      <c r="QG28" s="725"/>
      <c r="QH28" s="725"/>
      <c r="QI28" s="725"/>
      <c r="QJ28" s="725"/>
      <c r="QK28" s="725"/>
      <c r="QL28" s="725"/>
      <c r="QM28" s="725"/>
      <c r="QN28" s="725"/>
      <c r="QO28" s="725"/>
      <c r="QP28" s="725"/>
      <c r="QQ28" s="725"/>
      <c r="QR28" s="725"/>
      <c r="QS28" s="725"/>
      <c r="QT28" s="725"/>
      <c r="QU28" s="725"/>
      <c r="QV28" s="725"/>
      <c r="QW28" s="725"/>
      <c r="QX28" s="725"/>
      <c r="QY28" s="725"/>
      <c r="QZ28" s="725"/>
      <c r="RA28" s="725"/>
      <c r="RB28" s="725"/>
      <c r="RC28" s="725"/>
      <c r="RD28" s="725"/>
      <c r="RE28" s="725"/>
      <c r="RF28" s="725"/>
      <c r="RG28" s="725"/>
      <c r="RH28" s="725"/>
      <c r="RI28" s="725"/>
      <c r="RJ28" s="725"/>
      <c r="RK28" s="725"/>
      <c r="RL28" s="725"/>
      <c r="RM28" s="725"/>
      <c r="RN28" s="725"/>
      <c r="RO28" s="725"/>
      <c r="RP28" s="725"/>
      <c r="RQ28" s="725"/>
      <c r="RR28" s="725"/>
      <c r="RS28" s="725"/>
      <c r="RT28" s="725"/>
      <c r="RU28" s="725"/>
      <c r="RV28" s="725"/>
      <c r="RW28" s="725"/>
      <c r="RX28" s="725"/>
      <c r="RY28" s="725"/>
      <c r="RZ28" s="725"/>
      <c r="SA28" s="725"/>
      <c r="SB28" s="725"/>
      <c r="SC28" s="725"/>
      <c r="SD28" s="725"/>
      <c r="SE28" s="725"/>
      <c r="SF28" s="725"/>
      <c r="SG28" s="725"/>
      <c r="SH28" s="725"/>
      <c r="SI28" s="725"/>
      <c r="SJ28" s="725"/>
      <c r="SK28" s="725"/>
      <c r="SL28" s="725"/>
      <c r="SM28" s="725"/>
      <c r="SN28" s="725"/>
      <c r="SO28" s="725"/>
      <c r="SP28" s="725"/>
      <c r="SQ28" s="725"/>
      <c r="SR28" s="725"/>
      <c r="SS28" s="725"/>
      <c r="ST28" s="725"/>
      <c r="SU28" s="725"/>
      <c r="SV28" s="725"/>
      <c r="SW28" s="725"/>
      <c r="SX28" s="725"/>
      <c r="SY28" s="725"/>
      <c r="SZ28" s="725"/>
      <c r="TA28" s="725"/>
      <c r="TB28" s="725"/>
      <c r="TC28" s="725"/>
      <c r="TD28" s="725"/>
      <c r="TE28" s="725"/>
      <c r="TF28" s="725"/>
      <c r="TG28" s="725"/>
      <c r="TH28" s="725"/>
      <c r="TI28" s="725"/>
      <c r="TJ28" s="725"/>
      <c r="TK28" s="725"/>
      <c r="TL28" s="725"/>
      <c r="TM28" s="725"/>
      <c r="TN28" s="725"/>
      <c r="TO28" s="725"/>
      <c r="TP28" s="725"/>
      <c r="TQ28" s="725"/>
      <c r="TR28" s="725"/>
      <c r="TS28" s="725"/>
      <c r="TT28" s="725"/>
      <c r="TU28" s="725"/>
      <c r="TV28" s="725"/>
      <c r="TW28" s="725"/>
      <c r="TX28" s="725"/>
      <c r="TY28" s="725"/>
      <c r="TZ28" s="725"/>
      <c r="UA28" s="725"/>
      <c r="UB28" s="725"/>
      <c r="UC28" s="725"/>
      <c r="UD28" s="725"/>
      <c r="UE28" s="725"/>
      <c r="UF28" s="725"/>
      <c r="UG28" s="725"/>
      <c r="UH28" s="725"/>
      <c r="UI28" s="725"/>
      <c r="UJ28" s="725"/>
      <c r="UK28" s="725"/>
      <c r="UL28" s="725"/>
      <c r="UM28" s="725"/>
      <c r="UN28" s="725"/>
      <c r="UO28" s="725"/>
      <c r="UP28" s="725"/>
      <c r="UQ28" s="725"/>
      <c r="UR28" s="725"/>
      <c r="US28" s="725"/>
      <c r="UT28" s="725"/>
      <c r="UU28" s="725"/>
      <c r="UV28" s="725"/>
      <c r="UW28" s="725"/>
      <c r="UX28" s="725"/>
      <c r="UY28" s="725"/>
      <c r="UZ28" s="725"/>
      <c r="VA28" s="725"/>
      <c r="VB28" s="725"/>
      <c r="VC28" s="725"/>
      <c r="VD28" s="725"/>
      <c r="VE28" s="725"/>
      <c r="VF28" s="725"/>
      <c r="VG28" s="725"/>
      <c r="VH28" s="725"/>
      <c r="VI28" s="725"/>
      <c r="VJ28" s="725"/>
      <c r="VK28" s="725"/>
      <c r="VL28" s="725"/>
      <c r="VM28" s="725"/>
      <c r="VN28" s="725"/>
      <c r="VO28" s="725"/>
      <c r="VP28" s="725"/>
      <c r="VQ28" s="725"/>
      <c r="VR28" s="725"/>
      <c r="VS28" s="725"/>
      <c r="VT28" s="725"/>
      <c r="VU28" s="725"/>
      <c r="VV28" s="725"/>
      <c r="VW28" s="725"/>
      <c r="VX28" s="725"/>
      <c r="VY28" s="725"/>
      <c r="VZ28" s="725"/>
      <c r="WA28" s="725"/>
      <c r="WB28" s="725"/>
      <c r="WC28" s="725"/>
      <c r="WD28" s="725"/>
      <c r="WE28" s="725"/>
      <c r="WF28" s="725"/>
      <c r="WG28" s="725"/>
      <c r="WH28" s="725"/>
      <c r="WI28" s="725"/>
      <c r="WJ28" s="725"/>
      <c r="WK28" s="725"/>
      <c r="WL28" s="725"/>
      <c r="WM28" s="725"/>
      <c r="WN28" s="725"/>
      <c r="WO28" s="725"/>
      <c r="WP28" s="725"/>
      <c r="WQ28" s="725"/>
      <c r="WR28" s="725"/>
      <c r="WS28" s="725"/>
      <c r="WT28" s="725"/>
      <c r="WU28" s="725"/>
      <c r="WV28" s="725"/>
      <c r="WW28" s="725"/>
      <c r="WX28" s="725"/>
      <c r="WY28" s="725"/>
      <c r="WZ28" s="725"/>
      <c r="XA28" s="725"/>
      <c r="XB28" s="725"/>
      <c r="XC28" s="725"/>
      <c r="XD28" s="725"/>
      <c r="XE28" s="725"/>
      <c r="XF28" s="725"/>
      <c r="XG28" s="725"/>
      <c r="XH28" s="725"/>
      <c r="XI28" s="725"/>
      <c r="XJ28" s="725"/>
      <c r="XK28" s="725"/>
      <c r="XL28" s="725"/>
      <c r="XM28" s="725"/>
      <c r="XN28" s="725"/>
      <c r="XO28" s="725"/>
      <c r="XP28" s="725"/>
      <c r="XQ28" s="725"/>
      <c r="XR28" s="725"/>
      <c r="XS28" s="725"/>
      <c r="XT28" s="725"/>
      <c r="XU28" s="725"/>
      <c r="XV28" s="725"/>
      <c r="XW28" s="725"/>
      <c r="XX28" s="725"/>
      <c r="XY28" s="725"/>
      <c r="XZ28" s="725"/>
      <c r="YA28" s="725"/>
      <c r="YB28" s="725"/>
      <c r="YC28" s="725"/>
      <c r="YD28" s="725"/>
      <c r="YE28" s="725"/>
      <c r="YF28" s="725"/>
      <c r="YG28" s="725"/>
      <c r="YH28" s="725"/>
      <c r="YI28" s="725"/>
      <c r="YJ28" s="725"/>
      <c r="YK28" s="725"/>
      <c r="YL28" s="725"/>
      <c r="YM28" s="725"/>
      <c r="YN28" s="725"/>
      <c r="YO28" s="725"/>
      <c r="YP28" s="725"/>
      <c r="YQ28" s="725"/>
      <c r="YR28" s="725"/>
      <c r="YS28" s="725"/>
      <c r="YT28" s="725"/>
      <c r="YU28" s="725"/>
      <c r="YV28" s="725"/>
      <c r="YW28" s="725"/>
      <c r="YX28" s="725"/>
      <c r="YY28" s="725"/>
      <c r="YZ28" s="725"/>
      <c r="ZA28" s="725"/>
      <c r="ZB28" s="725"/>
      <c r="ZC28" s="725"/>
      <c r="ZD28" s="725"/>
      <c r="ZE28" s="725"/>
      <c r="ZF28" s="725"/>
      <c r="ZG28" s="725"/>
      <c r="ZH28" s="725"/>
      <c r="ZI28" s="725"/>
      <c r="ZJ28" s="725"/>
      <c r="ZK28" s="725"/>
      <c r="ZL28" s="725"/>
      <c r="ZM28" s="725"/>
      <c r="ZN28" s="725"/>
      <c r="ZO28" s="725"/>
      <c r="ZP28" s="725"/>
      <c r="ZQ28" s="725"/>
      <c r="ZR28" s="725"/>
      <c r="ZS28" s="725"/>
      <c r="ZT28" s="725"/>
      <c r="ZU28" s="725"/>
      <c r="ZV28" s="725"/>
      <c r="ZW28" s="725"/>
      <c r="ZX28" s="725"/>
      <c r="ZY28" s="725"/>
      <c r="ZZ28" s="725"/>
      <c r="AAA28" s="725"/>
      <c r="AAB28" s="725"/>
      <c r="AAC28" s="725"/>
      <c r="AAD28" s="725"/>
      <c r="AAE28" s="725"/>
      <c r="AAF28" s="725"/>
      <c r="AAG28" s="725"/>
      <c r="AAH28" s="725"/>
      <c r="AAI28" s="725"/>
      <c r="AAJ28" s="725"/>
      <c r="AAK28" s="725"/>
      <c r="AAL28" s="725"/>
      <c r="AAM28" s="725"/>
      <c r="AAN28" s="725"/>
      <c r="AAO28" s="725"/>
      <c r="AAP28" s="725"/>
      <c r="AAQ28" s="725"/>
      <c r="AAR28" s="725"/>
      <c r="AAS28" s="725"/>
      <c r="AAT28" s="725"/>
      <c r="AAU28" s="725"/>
      <c r="AAV28" s="725"/>
      <c r="AAW28" s="725"/>
      <c r="AAX28" s="725"/>
      <c r="AAY28" s="725"/>
      <c r="AAZ28" s="725"/>
      <c r="ABA28" s="725"/>
      <c r="ABB28" s="725"/>
      <c r="ABC28" s="725"/>
      <c r="ABD28" s="725"/>
      <c r="ABE28" s="725"/>
      <c r="ABF28" s="725"/>
      <c r="ABG28" s="725"/>
      <c r="ABH28" s="725"/>
      <c r="ABI28" s="725"/>
      <c r="ABJ28" s="725"/>
      <c r="ABK28" s="725"/>
      <c r="ABL28" s="725"/>
      <c r="ABM28" s="725"/>
      <c r="ABN28" s="725"/>
      <c r="ABO28" s="725"/>
      <c r="ABP28" s="725"/>
      <c r="ABQ28" s="725"/>
      <c r="ABR28" s="725"/>
      <c r="ABS28" s="725"/>
      <c r="ABT28" s="725"/>
      <c r="ABU28" s="725"/>
      <c r="ABV28" s="725"/>
      <c r="ABW28" s="725"/>
      <c r="ABX28" s="725"/>
      <c r="ABY28" s="725"/>
      <c r="ABZ28" s="725"/>
      <c r="ACA28" s="725"/>
      <c r="ACB28" s="725"/>
      <c r="ACC28" s="725"/>
      <c r="ACD28" s="725"/>
      <c r="ACE28" s="725"/>
      <c r="ACF28" s="725"/>
      <c r="ACG28" s="725"/>
      <c r="ACH28" s="725"/>
      <c r="ACI28" s="725"/>
      <c r="ACJ28" s="725"/>
      <c r="ACK28" s="725"/>
      <c r="ACL28" s="725"/>
      <c r="ACM28" s="725"/>
      <c r="ACN28" s="725"/>
      <c r="ACO28" s="725"/>
      <c r="ACP28" s="725"/>
      <c r="ACQ28" s="725"/>
      <c r="ACR28" s="725"/>
      <c r="ACS28" s="725"/>
      <c r="ACT28" s="725"/>
      <c r="ACU28" s="725"/>
      <c r="ACV28" s="725"/>
      <c r="ACW28" s="725"/>
      <c r="ACX28" s="725"/>
      <c r="ACY28" s="725"/>
      <c r="ACZ28" s="725"/>
      <c r="ADA28" s="725"/>
      <c r="ADB28" s="725"/>
      <c r="ADC28" s="725"/>
      <c r="ADD28" s="725"/>
      <c r="ADE28" s="725"/>
      <c r="ADF28" s="725"/>
      <c r="ADG28" s="725"/>
      <c r="ADH28" s="725"/>
      <c r="ADI28" s="725"/>
      <c r="ADJ28" s="725"/>
      <c r="ADK28" s="725"/>
      <c r="ADL28" s="725"/>
      <c r="ADM28" s="725"/>
      <c r="ADN28" s="725"/>
      <c r="ADO28" s="725"/>
      <c r="ADP28" s="725"/>
      <c r="ADQ28" s="725"/>
      <c r="ADR28" s="725"/>
      <c r="ADS28" s="725"/>
      <c r="ADT28" s="725"/>
      <c r="ADU28" s="725"/>
      <c r="ADV28" s="725"/>
      <c r="ADW28" s="725"/>
      <c r="ADX28" s="725"/>
      <c r="ADY28" s="725"/>
      <c r="ADZ28" s="725"/>
      <c r="AEA28" s="725"/>
      <c r="AEB28" s="725"/>
      <c r="AEC28" s="725"/>
      <c r="AED28" s="725"/>
      <c r="AEE28" s="725"/>
      <c r="AEF28" s="725"/>
      <c r="AEG28" s="725"/>
      <c r="AEH28" s="725"/>
      <c r="AEI28" s="725"/>
      <c r="AEJ28" s="725"/>
      <c r="AEK28" s="725"/>
      <c r="AEL28" s="725"/>
      <c r="AEM28" s="725"/>
      <c r="AEN28" s="725"/>
      <c r="AEO28" s="725"/>
      <c r="AEP28" s="725"/>
      <c r="AEQ28" s="725"/>
      <c r="AER28" s="725"/>
      <c r="AES28" s="725"/>
      <c r="AET28" s="725"/>
      <c r="AEU28" s="725"/>
      <c r="AEV28" s="725"/>
      <c r="AEW28" s="725"/>
      <c r="AEX28" s="725"/>
      <c r="AEY28" s="725"/>
      <c r="AEZ28" s="725"/>
      <c r="AFA28" s="725"/>
      <c r="AFB28" s="725"/>
      <c r="AFC28" s="725"/>
      <c r="AFD28" s="725"/>
      <c r="AFE28" s="725"/>
      <c r="AFF28" s="725"/>
      <c r="AFG28" s="725"/>
      <c r="AFH28" s="725"/>
      <c r="AFI28" s="725"/>
      <c r="AFJ28" s="725"/>
      <c r="AFK28" s="725"/>
      <c r="AFL28" s="725"/>
      <c r="AFM28" s="725"/>
      <c r="AFN28" s="725"/>
      <c r="AFO28" s="725"/>
      <c r="AFP28" s="725"/>
      <c r="AFQ28" s="725"/>
      <c r="AFR28" s="725"/>
      <c r="AFS28" s="725"/>
      <c r="AFT28" s="725"/>
      <c r="AFU28" s="725"/>
      <c r="AFV28" s="725"/>
      <c r="AFW28" s="725"/>
      <c r="AFX28" s="725"/>
      <c r="AFY28" s="725"/>
      <c r="AFZ28" s="725"/>
      <c r="AGA28" s="725"/>
      <c r="AGB28" s="725"/>
      <c r="AGC28" s="725"/>
      <c r="AGD28" s="725"/>
      <c r="AGE28" s="725"/>
      <c r="AGF28" s="725"/>
      <c r="AGG28" s="725"/>
      <c r="AGH28" s="725"/>
      <c r="AGI28" s="725"/>
      <c r="AGJ28" s="725"/>
      <c r="AGK28" s="725"/>
      <c r="AGL28" s="725"/>
      <c r="AGM28" s="725"/>
      <c r="AGN28" s="725"/>
      <c r="AGO28" s="725"/>
      <c r="AGP28" s="725"/>
      <c r="AGQ28" s="725"/>
      <c r="AGR28" s="725"/>
      <c r="AGS28" s="725"/>
      <c r="AGT28" s="725"/>
      <c r="AGU28" s="725"/>
      <c r="AGV28" s="725"/>
      <c r="AGW28" s="725"/>
      <c r="AGX28" s="725"/>
      <c r="AGY28" s="725"/>
      <c r="AGZ28" s="725"/>
      <c r="AHA28" s="725"/>
      <c r="AHB28" s="725"/>
      <c r="AHC28" s="725"/>
      <c r="AHD28" s="725"/>
      <c r="AHE28" s="725"/>
      <c r="AHF28" s="725"/>
      <c r="AHG28" s="725"/>
      <c r="AHH28" s="725"/>
      <c r="AHI28" s="725"/>
      <c r="AHJ28" s="725"/>
      <c r="AHK28" s="725"/>
      <c r="AHL28" s="725"/>
      <c r="AHM28" s="725"/>
      <c r="AHN28" s="725"/>
      <c r="AHO28" s="725"/>
      <c r="AHP28" s="725"/>
      <c r="AHQ28" s="725"/>
      <c r="AHR28" s="725"/>
      <c r="AHS28" s="725"/>
      <c r="AHT28" s="725"/>
      <c r="AHU28" s="725"/>
      <c r="AHV28" s="725"/>
      <c r="AHW28" s="725"/>
      <c r="AHX28" s="725"/>
      <c r="AHY28" s="725"/>
      <c r="AHZ28" s="725"/>
      <c r="AIA28" s="725"/>
      <c r="AIB28" s="725"/>
      <c r="AIC28" s="725"/>
      <c r="AID28" s="725"/>
      <c r="AIE28" s="725"/>
      <c r="AIF28" s="725"/>
      <c r="AIG28" s="725"/>
      <c r="AIH28" s="725"/>
      <c r="AII28" s="725"/>
      <c r="AIJ28" s="725"/>
      <c r="AIK28" s="725"/>
      <c r="AIL28" s="725"/>
      <c r="AIM28" s="725"/>
      <c r="AIN28" s="725"/>
      <c r="AIO28" s="725"/>
      <c r="AIP28" s="725"/>
      <c r="AIQ28" s="725"/>
      <c r="AIR28" s="725"/>
      <c r="AIS28" s="725"/>
      <c r="AIT28" s="725"/>
      <c r="AIU28" s="725"/>
      <c r="AIV28" s="725"/>
      <c r="AIW28" s="725"/>
      <c r="AIX28" s="725"/>
      <c r="AIY28" s="725"/>
      <c r="AIZ28" s="725"/>
      <c r="AJA28" s="725"/>
      <c r="AJB28" s="725"/>
      <c r="AJC28" s="725"/>
      <c r="AJD28" s="725"/>
      <c r="AJE28" s="725"/>
      <c r="AJF28" s="725"/>
      <c r="AJG28" s="725"/>
      <c r="AJH28" s="725"/>
      <c r="AJI28" s="725"/>
      <c r="AJJ28" s="725"/>
      <c r="AJK28" s="725"/>
      <c r="AJL28" s="725"/>
      <c r="AJM28" s="725"/>
      <c r="AJN28" s="725"/>
      <c r="AJO28" s="725"/>
      <c r="AJP28" s="725"/>
      <c r="AJQ28" s="725"/>
      <c r="AJR28" s="725"/>
      <c r="AJS28" s="725"/>
      <c r="AJT28" s="725"/>
      <c r="AJU28" s="725"/>
      <c r="AJV28" s="725"/>
      <c r="AJW28" s="725"/>
      <c r="AJX28" s="725"/>
      <c r="AJY28" s="725"/>
      <c r="AJZ28" s="725"/>
      <c r="AKA28" s="725"/>
      <c r="AKB28" s="725"/>
      <c r="AKC28" s="725"/>
      <c r="AKD28" s="725"/>
      <c r="AKE28" s="725"/>
      <c r="AKF28" s="725"/>
      <c r="AKG28" s="725"/>
      <c r="AKH28" s="725"/>
      <c r="AKI28" s="725"/>
      <c r="AKJ28" s="725"/>
      <c r="AKK28" s="725"/>
      <c r="AKL28" s="725"/>
      <c r="AKM28" s="725"/>
      <c r="AKN28" s="725"/>
      <c r="AKO28" s="725"/>
      <c r="AKP28" s="725"/>
      <c r="AKQ28" s="725"/>
      <c r="AKR28" s="725"/>
      <c r="AKS28" s="725"/>
      <c r="AKT28" s="725"/>
      <c r="AKU28" s="725"/>
      <c r="AKV28" s="725"/>
      <c r="AKW28" s="725"/>
      <c r="AKX28" s="725"/>
      <c r="AKY28" s="725"/>
      <c r="AKZ28" s="725"/>
      <c r="ALA28" s="725"/>
      <c r="ALB28" s="725"/>
      <c r="ALC28" s="725"/>
      <c r="ALD28" s="725"/>
      <c r="ALE28" s="725"/>
      <c r="ALF28" s="725"/>
      <c r="ALG28" s="725"/>
      <c r="ALH28" s="725"/>
      <c r="ALI28" s="725"/>
      <c r="ALJ28" s="725"/>
      <c r="ALK28" s="725"/>
      <c r="ALL28" s="725"/>
      <c r="ALM28" s="725"/>
      <c r="ALN28" s="725"/>
      <c r="ALO28" s="725"/>
      <c r="ALP28" s="725"/>
      <c r="ALQ28" s="725"/>
      <c r="ALR28" s="725"/>
      <c r="ALS28" s="725"/>
      <c r="ALT28" s="725"/>
      <c r="ALU28" s="725"/>
      <c r="ALV28" s="725"/>
      <c r="ALW28" s="725"/>
      <c r="ALX28" s="725"/>
      <c r="ALY28" s="725"/>
      <c r="ALZ28" s="725"/>
      <c r="AMA28" s="725"/>
      <c r="AMB28" s="725"/>
      <c r="AMC28" s="725"/>
      <c r="AMD28" s="725"/>
      <c r="AME28" s="725"/>
      <c r="AMF28" s="725"/>
      <c r="AMG28" s="725"/>
      <c r="AMH28" s="725"/>
      <c r="AMI28" s="725"/>
      <c r="AMJ28" s="725"/>
      <c r="AMK28" s="725"/>
      <c r="AML28" s="725"/>
      <c r="AMM28" s="725"/>
      <c r="AMN28" s="725"/>
      <c r="AMO28" s="725"/>
      <c r="AMP28" s="725"/>
      <c r="AMQ28" s="725"/>
      <c r="AMR28" s="725"/>
      <c r="AMS28" s="725"/>
      <c r="AMT28" s="725"/>
      <c r="AMU28" s="725"/>
      <c r="AMV28" s="725"/>
      <c r="AMW28" s="725"/>
      <c r="AMX28" s="725"/>
      <c r="AMY28" s="725"/>
      <c r="AMZ28" s="725"/>
      <c r="ANA28" s="725"/>
      <c r="ANB28" s="725"/>
      <c r="ANC28" s="725"/>
      <c r="AND28" s="725"/>
      <c r="ANE28" s="725"/>
      <c r="ANF28" s="725"/>
      <c r="ANG28" s="725"/>
      <c r="ANH28" s="725"/>
      <c r="ANI28" s="725"/>
      <c r="ANJ28" s="725"/>
      <c r="ANK28" s="725"/>
      <c r="ANL28" s="725"/>
      <c r="ANM28" s="725"/>
      <c r="ANN28" s="725"/>
      <c r="ANO28" s="725"/>
      <c r="ANP28" s="725"/>
      <c r="ANQ28" s="725"/>
      <c r="ANR28" s="725"/>
      <c r="ANS28" s="725"/>
      <c r="ANT28" s="725"/>
      <c r="ANU28" s="725"/>
      <c r="ANV28" s="725"/>
      <c r="ANW28" s="725"/>
      <c r="ANX28" s="725"/>
      <c r="ANY28" s="725"/>
      <c r="ANZ28" s="725"/>
      <c r="AOA28" s="725"/>
      <c r="AOB28" s="725"/>
      <c r="AOC28" s="725"/>
      <c r="AOD28" s="725"/>
      <c r="AOE28" s="725"/>
      <c r="AOF28" s="725"/>
      <c r="AOG28" s="725"/>
      <c r="AOH28" s="725"/>
      <c r="AOI28" s="725"/>
      <c r="AOJ28" s="725"/>
      <c r="AOK28" s="725"/>
      <c r="AOL28" s="725"/>
      <c r="AOM28" s="725"/>
      <c r="AON28" s="725"/>
      <c r="AOO28" s="725"/>
      <c r="AOP28" s="725"/>
      <c r="AOQ28" s="725"/>
      <c r="AOR28" s="725"/>
      <c r="AOS28" s="725"/>
      <c r="AOT28" s="725"/>
      <c r="AOU28" s="725"/>
      <c r="AOV28" s="725"/>
      <c r="AOW28" s="725"/>
      <c r="AOX28" s="725"/>
      <c r="AOY28" s="725"/>
      <c r="AOZ28" s="725"/>
      <c r="APA28" s="725"/>
      <c r="APB28" s="725"/>
      <c r="APC28" s="725"/>
      <c r="APD28" s="725"/>
      <c r="APE28" s="725"/>
      <c r="APF28" s="725"/>
      <c r="APG28" s="725"/>
      <c r="APH28" s="725"/>
      <c r="API28" s="725"/>
      <c r="APJ28" s="725"/>
      <c r="APK28" s="725"/>
      <c r="APL28" s="725"/>
      <c r="APM28" s="725"/>
      <c r="APN28" s="725"/>
      <c r="APO28" s="725"/>
      <c r="APP28" s="725"/>
      <c r="APQ28" s="725"/>
      <c r="APR28" s="725"/>
      <c r="APS28" s="725"/>
      <c r="APT28" s="725"/>
      <c r="APU28" s="725"/>
      <c r="APV28" s="725"/>
      <c r="APW28" s="725"/>
      <c r="APX28" s="725"/>
      <c r="APY28" s="725"/>
      <c r="APZ28" s="725"/>
      <c r="AQA28" s="725"/>
      <c r="AQB28" s="725"/>
      <c r="AQC28" s="725"/>
      <c r="AQD28" s="725"/>
      <c r="AQE28" s="725"/>
      <c r="AQF28" s="725"/>
      <c r="AQG28" s="725"/>
      <c r="AQH28" s="725"/>
      <c r="AQI28" s="725"/>
      <c r="AQJ28" s="725"/>
      <c r="AQK28" s="725"/>
      <c r="AQL28" s="725"/>
      <c r="AQM28" s="725"/>
      <c r="AQN28" s="725"/>
      <c r="AQO28" s="725"/>
      <c r="AQP28" s="725"/>
      <c r="AQQ28" s="725"/>
      <c r="AQR28" s="725"/>
      <c r="AQS28" s="725"/>
      <c r="AQT28" s="725"/>
      <c r="AQU28" s="725"/>
      <c r="AQV28" s="725"/>
      <c r="AQW28" s="725"/>
      <c r="AQX28" s="725"/>
      <c r="AQY28" s="725"/>
      <c r="AQZ28" s="725"/>
      <c r="ARA28" s="725"/>
      <c r="ARB28" s="725"/>
      <c r="ARC28" s="725"/>
      <c r="ARD28" s="725"/>
      <c r="ARE28" s="725"/>
      <c r="ARF28" s="725"/>
      <c r="ARG28" s="725"/>
      <c r="ARH28" s="725"/>
      <c r="ARI28" s="725"/>
      <c r="ARJ28" s="725"/>
      <c r="ARK28" s="725"/>
      <c r="ARL28" s="725"/>
      <c r="ARM28" s="725"/>
      <c r="ARN28" s="725"/>
      <c r="ARO28" s="725"/>
      <c r="ARP28" s="725"/>
      <c r="ARQ28" s="725"/>
      <c r="ARR28" s="725"/>
      <c r="ARS28" s="725"/>
      <c r="ART28" s="725"/>
      <c r="ARU28" s="725"/>
      <c r="ARV28" s="725"/>
      <c r="ARW28" s="725"/>
      <c r="ARX28" s="725"/>
      <c r="ARY28" s="725"/>
      <c r="ARZ28" s="725"/>
      <c r="ASA28" s="725"/>
      <c r="ASB28" s="725"/>
      <c r="ASC28" s="725"/>
      <c r="ASD28" s="725"/>
      <c r="ASE28" s="725"/>
      <c r="ASF28" s="725"/>
      <c r="ASG28" s="725"/>
      <c r="ASH28" s="725"/>
      <c r="ASI28" s="725"/>
      <c r="ASJ28" s="725"/>
      <c r="ASK28" s="725"/>
      <c r="ASL28" s="725"/>
      <c r="ASM28" s="725"/>
      <c r="ASN28" s="725"/>
      <c r="ASO28" s="725"/>
      <c r="ASP28" s="725"/>
      <c r="ASQ28" s="725"/>
      <c r="ASR28" s="725"/>
      <c r="ASS28" s="725"/>
      <c r="AST28" s="725"/>
      <c r="ASU28" s="725"/>
      <c r="ASV28" s="725"/>
      <c r="ASW28" s="725"/>
      <c r="ASX28" s="725"/>
      <c r="ASY28" s="725"/>
      <c r="ASZ28" s="725"/>
      <c r="ATA28" s="725"/>
      <c r="ATB28" s="725"/>
      <c r="ATC28" s="725"/>
      <c r="ATD28" s="725"/>
      <c r="ATE28" s="725"/>
      <c r="ATF28" s="725"/>
      <c r="ATG28" s="725"/>
      <c r="ATH28" s="725"/>
      <c r="ATI28" s="725"/>
      <c r="ATJ28" s="725"/>
      <c r="ATK28" s="725"/>
      <c r="ATL28" s="725"/>
      <c r="ATM28" s="725"/>
      <c r="ATN28" s="725"/>
      <c r="ATO28" s="725"/>
      <c r="ATP28" s="725"/>
      <c r="ATQ28" s="725"/>
      <c r="ATR28" s="725"/>
      <c r="ATS28" s="725"/>
      <c r="ATT28" s="725"/>
      <c r="ATU28" s="725"/>
      <c r="ATV28" s="725"/>
      <c r="ATW28" s="725"/>
      <c r="ATX28" s="725"/>
      <c r="ATY28" s="725"/>
      <c r="ATZ28" s="725"/>
      <c r="AUA28" s="725"/>
      <c r="AUB28" s="725"/>
      <c r="AUC28" s="725"/>
      <c r="AUD28" s="725"/>
      <c r="AUE28" s="725"/>
      <c r="AUF28" s="725"/>
      <c r="AUG28" s="725"/>
      <c r="AUH28" s="725"/>
      <c r="AUI28" s="725"/>
      <c r="AUJ28" s="725"/>
      <c r="AUK28" s="725"/>
      <c r="AUL28" s="725"/>
      <c r="AUM28" s="725"/>
      <c r="AUN28" s="725"/>
      <c r="AUO28" s="725"/>
      <c r="AUP28" s="725"/>
      <c r="AUQ28" s="725"/>
      <c r="AUR28" s="725"/>
      <c r="AUS28" s="725"/>
      <c r="AUT28" s="725"/>
      <c r="AUU28" s="725"/>
      <c r="AUV28" s="725"/>
      <c r="AUW28" s="725"/>
      <c r="AUX28" s="725"/>
      <c r="AUY28" s="725"/>
      <c r="AUZ28" s="725"/>
      <c r="AVA28" s="725"/>
      <c r="AVB28" s="725"/>
      <c r="AVC28" s="725"/>
      <c r="AVD28" s="725"/>
      <c r="AVE28" s="725"/>
      <c r="AVF28" s="725"/>
      <c r="AVG28" s="725"/>
      <c r="AVH28" s="725"/>
      <c r="AVI28" s="725"/>
      <c r="AVJ28" s="725"/>
      <c r="AVK28" s="725"/>
      <c r="AVL28" s="725"/>
      <c r="AVM28" s="725"/>
      <c r="AVN28" s="725"/>
      <c r="AVO28" s="725"/>
      <c r="AVP28" s="725"/>
      <c r="AVQ28" s="725"/>
      <c r="AVR28" s="725"/>
      <c r="AVS28" s="725"/>
      <c r="AVT28" s="725"/>
      <c r="AVU28" s="725"/>
      <c r="AVV28" s="725"/>
      <c r="AVW28" s="725"/>
      <c r="AVX28" s="725"/>
      <c r="AVY28" s="725"/>
      <c r="AVZ28" s="725"/>
      <c r="AWA28" s="725"/>
      <c r="AWB28" s="725"/>
      <c r="AWC28" s="725"/>
      <c r="AWD28" s="725"/>
      <c r="AWE28" s="725"/>
      <c r="AWF28" s="725"/>
      <c r="AWG28" s="725"/>
      <c r="AWH28" s="725"/>
      <c r="AWI28" s="725"/>
      <c r="AWJ28" s="725"/>
      <c r="AWK28" s="725"/>
      <c r="AWL28" s="725"/>
      <c r="AWM28" s="725"/>
      <c r="AWN28" s="725"/>
      <c r="AWO28" s="725"/>
      <c r="AWP28" s="725"/>
      <c r="AWQ28" s="725"/>
      <c r="AWR28" s="725"/>
      <c r="AWS28" s="725"/>
      <c r="AWT28" s="725"/>
      <c r="AWU28" s="725"/>
      <c r="AWV28" s="725"/>
      <c r="AWW28" s="725"/>
      <c r="AWX28" s="725"/>
      <c r="AWY28" s="725"/>
      <c r="AWZ28" s="725"/>
      <c r="AXA28" s="725"/>
      <c r="AXB28" s="725"/>
      <c r="AXC28" s="725"/>
      <c r="AXD28" s="725"/>
      <c r="AXE28" s="725"/>
      <c r="AXF28" s="725"/>
      <c r="AXG28" s="725"/>
      <c r="AXH28" s="725"/>
      <c r="AXI28" s="725"/>
      <c r="AXJ28" s="725"/>
      <c r="AXK28" s="725"/>
      <c r="AXL28" s="725"/>
      <c r="AXM28" s="725"/>
      <c r="AXN28" s="725"/>
      <c r="AXO28" s="725"/>
      <c r="AXP28" s="725"/>
      <c r="AXQ28" s="725"/>
      <c r="AXR28" s="725"/>
      <c r="AXS28" s="725"/>
      <c r="AXT28" s="725"/>
      <c r="AXU28" s="725"/>
      <c r="AXV28" s="725"/>
      <c r="AXW28" s="725"/>
      <c r="AXX28" s="725"/>
      <c r="AXY28" s="725"/>
      <c r="AXZ28" s="725"/>
      <c r="AYA28" s="725"/>
      <c r="AYB28" s="725"/>
      <c r="AYC28" s="725"/>
      <c r="AYD28" s="725"/>
      <c r="AYE28" s="725"/>
      <c r="AYF28" s="725"/>
      <c r="AYG28" s="725"/>
      <c r="AYH28" s="725"/>
      <c r="AYI28" s="725"/>
      <c r="AYJ28" s="725"/>
      <c r="AYK28" s="725"/>
      <c r="AYL28" s="725"/>
      <c r="AYM28" s="725"/>
      <c r="AYN28" s="725"/>
      <c r="AYO28" s="725"/>
      <c r="AYP28" s="725"/>
      <c r="AYQ28" s="725"/>
      <c r="AYR28" s="725"/>
      <c r="AYS28" s="725"/>
      <c r="AYT28" s="725"/>
      <c r="AYU28" s="725"/>
      <c r="AYV28" s="725"/>
      <c r="AYW28" s="725"/>
      <c r="AYX28" s="725"/>
      <c r="AYY28" s="725"/>
      <c r="AYZ28" s="725"/>
      <c r="AZA28" s="725"/>
      <c r="AZB28" s="725"/>
      <c r="AZC28" s="725"/>
      <c r="AZD28" s="725"/>
      <c r="AZE28" s="725"/>
      <c r="AZF28" s="725"/>
      <c r="AZG28" s="725"/>
      <c r="AZH28" s="725"/>
      <c r="AZI28" s="725"/>
      <c r="AZJ28" s="725"/>
      <c r="AZK28" s="725"/>
      <c r="AZL28" s="725"/>
      <c r="AZM28" s="725"/>
      <c r="AZN28" s="725"/>
      <c r="AZO28" s="725"/>
      <c r="AZP28" s="725"/>
      <c r="AZQ28" s="725"/>
      <c r="AZR28" s="725"/>
      <c r="AZS28" s="725"/>
      <c r="AZT28" s="725"/>
      <c r="AZU28" s="725"/>
      <c r="AZV28" s="725"/>
      <c r="AZW28" s="725"/>
      <c r="AZX28" s="725"/>
      <c r="AZY28" s="725"/>
      <c r="AZZ28" s="725"/>
      <c r="BAA28" s="725"/>
      <c r="BAB28" s="725"/>
      <c r="BAC28" s="725"/>
      <c r="BAD28" s="725"/>
      <c r="BAE28" s="725"/>
      <c r="BAF28" s="725"/>
      <c r="BAG28" s="725"/>
      <c r="BAH28" s="725"/>
      <c r="BAI28" s="725"/>
      <c r="BAJ28" s="725"/>
      <c r="BAK28" s="725"/>
      <c r="BAL28" s="725"/>
      <c r="BAM28" s="725"/>
      <c r="BAN28" s="725"/>
      <c r="BAO28" s="725"/>
      <c r="BAP28" s="725"/>
      <c r="BAQ28" s="725"/>
      <c r="BAR28" s="725"/>
      <c r="BAS28" s="725"/>
      <c r="BAT28" s="725"/>
      <c r="BAU28" s="725"/>
      <c r="BAV28" s="725"/>
      <c r="BAW28" s="725"/>
      <c r="BAX28" s="725"/>
      <c r="BAY28" s="725"/>
      <c r="BAZ28" s="725"/>
      <c r="BBA28" s="725"/>
      <c r="BBB28" s="725"/>
      <c r="BBC28" s="725"/>
      <c r="BBD28" s="725"/>
      <c r="BBE28" s="725"/>
      <c r="BBF28" s="725"/>
      <c r="BBG28" s="725"/>
      <c r="BBH28" s="725"/>
      <c r="BBI28" s="725"/>
      <c r="BBJ28" s="725"/>
      <c r="BBK28" s="725"/>
      <c r="BBL28" s="725"/>
      <c r="BBM28" s="725"/>
      <c r="BBN28" s="725"/>
      <c r="BBO28" s="725"/>
      <c r="BBP28" s="725"/>
      <c r="BBQ28" s="725"/>
      <c r="BBR28" s="725"/>
      <c r="BBS28" s="725"/>
      <c r="BBT28" s="725"/>
      <c r="BBU28" s="725"/>
      <c r="BBV28" s="725"/>
      <c r="BBW28" s="725"/>
      <c r="BBX28" s="725"/>
      <c r="BBY28" s="725"/>
      <c r="BBZ28" s="725"/>
      <c r="BCA28" s="725"/>
      <c r="BCB28" s="725"/>
      <c r="BCC28" s="725"/>
      <c r="BCD28" s="725"/>
      <c r="BCE28" s="725"/>
      <c r="BCF28" s="725"/>
      <c r="BCG28" s="725"/>
      <c r="BCH28" s="725"/>
      <c r="BCI28" s="725"/>
      <c r="BCJ28" s="725"/>
      <c r="BCK28" s="725"/>
      <c r="BCL28" s="725"/>
      <c r="BCM28" s="725"/>
      <c r="BCN28" s="725"/>
      <c r="BCO28" s="725"/>
      <c r="BCP28" s="725"/>
      <c r="BCQ28" s="725"/>
      <c r="BCR28" s="725"/>
      <c r="BCS28" s="725"/>
      <c r="BCT28" s="725"/>
      <c r="BCU28" s="725"/>
      <c r="BCV28" s="725"/>
      <c r="BCW28" s="725"/>
      <c r="BCX28" s="725"/>
      <c r="BCY28" s="725"/>
      <c r="BCZ28" s="725"/>
      <c r="BDA28" s="725"/>
      <c r="BDB28" s="725"/>
      <c r="BDC28" s="725"/>
      <c r="BDD28" s="725"/>
      <c r="BDE28" s="725"/>
      <c r="BDF28" s="725"/>
      <c r="BDG28" s="725"/>
      <c r="BDH28" s="725"/>
      <c r="BDI28" s="725"/>
      <c r="BDJ28" s="725"/>
      <c r="BDK28" s="725"/>
      <c r="BDL28" s="725"/>
      <c r="BDM28" s="725"/>
      <c r="BDN28" s="725"/>
      <c r="BDO28" s="725"/>
      <c r="BDP28" s="725"/>
      <c r="BDQ28" s="725"/>
      <c r="BDR28" s="725"/>
      <c r="BDS28" s="725"/>
      <c r="BDT28" s="725"/>
      <c r="BDU28" s="725"/>
      <c r="BDV28" s="725"/>
      <c r="BDW28" s="725"/>
      <c r="BDX28" s="725"/>
      <c r="BDY28" s="725"/>
      <c r="BDZ28" s="725"/>
      <c r="BEA28" s="725"/>
      <c r="BEB28" s="725"/>
      <c r="BEC28" s="725"/>
      <c r="BED28" s="725"/>
      <c r="BEE28" s="725"/>
      <c r="BEF28" s="725"/>
      <c r="BEG28" s="725"/>
      <c r="BEH28" s="725"/>
      <c r="BEI28" s="725"/>
      <c r="BEJ28" s="725"/>
      <c r="BEK28" s="725"/>
      <c r="BEL28" s="725"/>
      <c r="BEM28" s="725"/>
      <c r="BEN28" s="725"/>
      <c r="BEO28" s="725"/>
      <c r="BEP28" s="725"/>
      <c r="BEQ28" s="725"/>
      <c r="BER28" s="725"/>
      <c r="BES28" s="725"/>
      <c r="BET28" s="725"/>
      <c r="BEU28" s="725"/>
      <c r="BEV28" s="725"/>
      <c r="BEW28" s="725"/>
      <c r="BEX28" s="725"/>
      <c r="BEY28" s="725"/>
      <c r="BEZ28" s="725"/>
      <c r="BFA28" s="725"/>
      <c r="BFB28" s="725"/>
      <c r="BFC28" s="725"/>
      <c r="BFD28" s="725"/>
      <c r="BFE28" s="725"/>
      <c r="BFF28" s="725"/>
      <c r="BFG28" s="725"/>
      <c r="BFH28" s="725"/>
      <c r="BFI28" s="725"/>
      <c r="BFJ28" s="725"/>
      <c r="BFK28" s="725"/>
      <c r="BFL28" s="725"/>
      <c r="BFM28" s="725"/>
      <c r="BFN28" s="725"/>
      <c r="BFO28" s="725"/>
      <c r="BFP28" s="725"/>
      <c r="BFQ28" s="725"/>
      <c r="BFR28" s="725"/>
      <c r="BFS28" s="725"/>
      <c r="BFT28" s="725"/>
      <c r="BFU28" s="725"/>
      <c r="BFV28" s="725"/>
      <c r="BFW28" s="725"/>
      <c r="BFX28" s="725"/>
      <c r="BFY28" s="725"/>
      <c r="BFZ28" s="725"/>
      <c r="BGA28" s="725"/>
      <c r="BGB28" s="725"/>
      <c r="BGC28" s="725"/>
      <c r="BGD28" s="725"/>
      <c r="BGE28" s="725"/>
      <c r="BGF28" s="725"/>
      <c r="BGG28" s="725"/>
      <c r="BGH28" s="725"/>
      <c r="BGI28" s="725"/>
      <c r="BGJ28" s="725"/>
      <c r="BGK28" s="725"/>
      <c r="BGL28" s="725"/>
      <c r="BGM28" s="725"/>
      <c r="BGN28" s="725"/>
      <c r="BGO28" s="725"/>
      <c r="BGP28" s="725"/>
      <c r="BGQ28" s="725"/>
      <c r="BGR28" s="725"/>
      <c r="BGS28" s="725"/>
      <c r="BGT28" s="725"/>
      <c r="BGU28" s="725"/>
      <c r="BGV28" s="725"/>
      <c r="BGW28" s="725"/>
      <c r="BGX28" s="725"/>
      <c r="BGY28" s="725"/>
      <c r="BGZ28" s="725"/>
      <c r="BHA28" s="725"/>
      <c r="BHB28" s="725"/>
      <c r="BHC28" s="725"/>
      <c r="BHD28" s="725"/>
      <c r="BHE28" s="725"/>
      <c r="BHF28" s="725"/>
      <c r="BHG28" s="725"/>
      <c r="BHH28" s="725"/>
      <c r="BHI28" s="725"/>
      <c r="BHJ28" s="725"/>
      <c r="BHK28" s="725"/>
      <c r="BHL28" s="725"/>
      <c r="BHM28" s="725"/>
      <c r="BHN28" s="725"/>
      <c r="BHO28" s="725"/>
      <c r="BHP28" s="725"/>
      <c r="BHQ28" s="725"/>
      <c r="BHR28" s="725"/>
      <c r="BHS28" s="725"/>
      <c r="BHT28" s="725"/>
      <c r="BHU28" s="725"/>
      <c r="BHV28" s="725"/>
      <c r="BHW28" s="725"/>
      <c r="BHX28" s="725"/>
      <c r="BHY28" s="725"/>
      <c r="BHZ28" s="725"/>
      <c r="BIA28" s="725"/>
      <c r="BIB28" s="725"/>
      <c r="BIC28" s="725"/>
      <c r="BID28" s="725"/>
      <c r="BIE28" s="725"/>
      <c r="BIF28" s="725"/>
      <c r="BIG28" s="725"/>
      <c r="BIH28" s="725"/>
      <c r="BII28" s="725"/>
      <c r="BIJ28" s="725"/>
      <c r="BIK28" s="725"/>
      <c r="BIL28" s="725"/>
      <c r="BIM28" s="725"/>
      <c r="BIN28" s="725"/>
      <c r="BIO28" s="725"/>
      <c r="BIP28" s="725"/>
      <c r="BIQ28" s="725"/>
      <c r="BIR28" s="725"/>
      <c r="BIS28" s="725"/>
      <c r="BIT28" s="725"/>
      <c r="BIU28" s="725"/>
      <c r="BIV28" s="725"/>
      <c r="BIW28" s="725"/>
      <c r="BIX28" s="725"/>
      <c r="BIY28" s="725"/>
      <c r="BIZ28" s="725"/>
      <c r="BJA28" s="725"/>
      <c r="BJB28" s="725"/>
      <c r="BJC28" s="725"/>
      <c r="BJD28" s="725"/>
      <c r="BJE28" s="725"/>
      <c r="BJF28" s="725"/>
      <c r="BJG28" s="725"/>
      <c r="BJH28" s="725"/>
      <c r="BJI28" s="725"/>
      <c r="BJJ28" s="725"/>
      <c r="BJK28" s="725"/>
      <c r="BJL28" s="725"/>
      <c r="BJM28" s="725"/>
      <c r="BJN28" s="725"/>
      <c r="BJO28" s="725"/>
      <c r="BJP28" s="725"/>
      <c r="BJQ28" s="725"/>
      <c r="BJR28" s="725"/>
      <c r="BJS28" s="725"/>
      <c r="BJT28" s="725"/>
      <c r="BJU28" s="725"/>
      <c r="BJV28" s="725"/>
      <c r="BJW28" s="725"/>
      <c r="BJX28" s="725"/>
      <c r="BJY28" s="725"/>
      <c r="BJZ28" s="725"/>
      <c r="BKA28" s="725"/>
      <c r="BKB28" s="725"/>
      <c r="BKC28" s="725"/>
      <c r="BKD28" s="725"/>
      <c r="BKE28" s="725"/>
      <c r="BKF28" s="725"/>
      <c r="BKG28" s="725"/>
      <c r="BKH28" s="725"/>
      <c r="BKI28" s="725"/>
      <c r="BKJ28" s="725"/>
      <c r="BKK28" s="725"/>
      <c r="BKL28" s="725"/>
      <c r="BKM28" s="725"/>
      <c r="BKN28" s="725"/>
      <c r="BKO28" s="725"/>
      <c r="BKP28" s="725"/>
      <c r="BKQ28" s="725"/>
      <c r="BKR28" s="725"/>
      <c r="BKS28" s="725"/>
      <c r="BKT28" s="725"/>
      <c r="BKU28" s="725"/>
      <c r="BKV28" s="725"/>
      <c r="BKW28" s="725"/>
      <c r="BKX28" s="725"/>
      <c r="BKY28" s="725"/>
      <c r="BKZ28" s="725"/>
      <c r="BLA28" s="725"/>
      <c r="BLB28" s="725"/>
      <c r="BLC28" s="725"/>
      <c r="BLD28" s="725"/>
      <c r="BLE28" s="725"/>
      <c r="BLF28" s="725"/>
      <c r="BLG28" s="725"/>
      <c r="BLH28" s="725"/>
      <c r="BLI28" s="725"/>
      <c r="BLJ28" s="725"/>
      <c r="BLK28" s="725"/>
      <c r="BLL28" s="725"/>
      <c r="BLM28" s="725"/>
      <c r="BLN28" s="725"/>
      <c r="BLO28" s="725"/>
      <c r="BLP28" s="725"/>
      <c r="BLQ28" s="725"/>
      <c r="BLR28" s="725"/>
      <c r="BLS28" s="725"/>
      <c r="BLT28" s="725"/>
      <c r="BLU28" s="725"/>
      <c r="BLV28" s="725"/>
      <c r="BLW28" s="725"/>
      <c r="BLX28" s="725"/>
      <c r="BLY28" s="725"/>
      <c r="BLZ28" s="725"/>
      <c r="BMA28" s="725"/>
      <c r="BMB28" s="725"/>
      <c r="BMC28" s="725"/>
      <c r="BMD28" s="725"/>
      <c r="BME28" s="725"/>
      <c r="BMF28" s="725"/>
      <c r="BMG28" s="725"/>
      <c r="BMH28" s="725"/>
      <c r="BMI28" s="725"/>
      <c r="BMJ28" s="725"/>
      <c r="BMK28" s="725"/>
      <c r="BML28" s="725"/>
      <c r="BMM28" s="725"/>
      <c r="BMN28" s="725"/>
      <c r="BMO28" s="725"/>
      <c r="BMP28" s="725"/>
      <c r="BMQ28" s="725"/>
      <c r="BMR28" s="725"/>
      <c r="BMS28" s="725"/>
      <c r="BMT28" s="725"/>
      <c r="BMU28" s="725"/>
      <c r="BMV28" s="725"/>
      <c r="BMW28" s="725"/>
      <c r="BMX28" s="725"/>
      <c r="BMY28" s="725"/>
      <c r="BMZ28" s="725"/>
      <c r="BNA28" s="725"/>
      <c r="BNB28" s="725"/>
      <c r="BNC28" s="725"/>
      <c r="BND28" s="725"/>
      <c r="BNE28" s="725"/>
      <c r="BNF28" s="725"/>
      <c r="BNG28" s="725"/>
      <c r="BNH28" s="725"/>
      <c r="BNI28" s="725"/>
      <c r="BNJ28" s="725"/>
      <c r="BNK28" s="725"/>
      <c r="BNL28" s="725"/>
      <c r="BNM28" s="725"/>
      <c r="BNN28" s="725"/>
      <c r="BNO28" s="725"/>
      <c r="BNP28" s="725"/>
      <c r="BNQ28" s="725"/>
      <c r="BNR28" s="725"/>
      <c r="BNS28" s="725"/>
      <c r="BNT28" s="725"/>
      <c r="BNU28" s="725"/>
      <c r="BNV28" s="725"/>
      <c r="BNW28" s="725"/>
      <c r="BNX28" s="725"/>
      <c r="BNY28" s="725"/>
      <c r="BNZ28" s="725"/>
      <c r="BOA28" s="725"/>
      <c r="BOB28" s="725"/>
      <c r="BOC28" s="725"/>
      <c r="BOD28" s="725"/>
      <c r="BOE28" s="725"/>
      <c r="BOF28" s="725"/>
      <c r="BOG28" s="725"/>
      <c r="BOH28" s="725"/>
      <c r="BOI28" s="725"/>
      <c r="BOJ28" s="725"/>
      <c r="BOK28" s="725"/>
      <c r="BOL28" s="725"/>
      <c r="BOM28" s="725"/>
      <c r="BON28" s="725"/>
      <c r="BOO28" s="725"/>
      <c r="BOP28" s="725"/>
      <c r="BOQ28" s="725"/>
      <c r="BOR28" s="725"/>
      <c r="BOS28" s="725"/>
      <c r="BOT28" s="725"/>
      <c r="BOU28" s="725"/>
      <c r="BOV28" s="725"/>
      <c r="BOW28" s="725"/>
      <c r="BOX28" s="725"/>
      <c r="BOY28" s="725"/>
      <c r="BOZ28" s="725"/>
      <c r="BPA28" s="725"/>
      <c r="BPB28" s="725"/>
      <c r="BPC28" s="725"/>
      <c r="BPD28" s="725"/>
      <c r="BPE28" s="725"/>
      <c r="BPF28" s="725"/>
      <c r="BPG28" s="725"/>
      <c r="BPH28" s="725"/>
      <c r="BPI28" s="725"/>
      <c r="BPJ28" s="725"/>
      <c r="BPK28" s="725"/>
      <c r="BPL28" s="725"/>
      <c r="BPM28" s="725"/>
      <c r="BPN28" s="725"/>
      <c r="BPO28" s="725"/>
      <c r="BPP28" s="725"/>
      <c r="BPQ28" s="725"/>
      <c r="BPR28" s="725"/>
      <c r="BPS28" s="725"/>
      <c r="BPT28" s="725"/>
      <c r="BPU28" s="725"/>
      <c r="BPV28" s="725"/>
      <c r="BPW28" s="725"/>
      <c r="BPX28" s="725"/>
      <c r="BPY28" s="725"/>
      <c r="BPZ28" s="725"/>
      <c r="BQA28" s="725"/>
      <c r="BQB28" s="725"/>
      <c r="BQC28" s="725"/>
      <c r="BQD28" s="725"/>
      <c r="BQE28" s="725"/>
      <c r="BQF28" s="725"/>
      <c r="BQG28" s="725"/>
      <c r="BQH28" s="725"/>
      <c r="BQI28" s="725"/>
      <c r="BQJ28" s="725"/>
      <c r="BQK28" s="725"/>
      <c r="BQL28" s="725"/>
      <c r="BQM28" s="725"/>
      <c r="BQN28" s="725"/>
      <c r="BQO28" s="725"/>
      <c r="BQP28" s="725"/>
      <c r="BQQ28" s="725"/>
      <c r="BQR28" s="725"/>
      <c r="BQS28" s="725"/>
      <c r="BQT28" s="725"/>
      <c r="BQU28" s="725"/>
      <c r="BQV28" s="725"/>
      <c r="BQW28" s="725"/>
      <c r="BQX28" s="725"/>
      <c r="BQY28" s="725"/>
      <c r="BQZ28" s="725"/>
      <c r="BRA28" s="725"/>
      <c r="BRB28" s="725"/>
      <c r="BRC28" s="725"/>
      <c r="BRD28" s="725"/>
      <c r="BRE28" s="725"/>
      <c r="BRF28" s="725"/>
      <c r="BRG28" s="725"/>
      <c r="BRH28" s="725"/>
      <c r="BRI28" s="725"/>
      <c r="BRJ28" s="725"/>
      <c r="BRK28" s="725"/>
      <c r="BRL28" s="725"/>
      <c r="BRM28" s="725"/>
      <c r="BRN28" s="725"/>
      <c r="BRO28" s="725"/>
      <c r="BRP28" s="725"/>
      <c r="BRQ28" s="725"/>
      <c r="BRR28" s="725"/>
      <c r="BRS28" s="725"/>
      <c r="BRT28" s="725"/>
      <c r="BRU28" s="725"/>
      <c r="BRV28" s="725"/>
      <c r="BRW28" s="725"/>
      <c r="BRX28" s="725"/>
      <c r="BRY28" s="725"/>
      <c r="BRZ28" s="725"/>
      <c r="BSA28" s="725"/>
      <c r="BSB28" s="725"/>
      <c r="BSC28" s="725"/>
      <c r="BSD28" s="725"/>
      <c r="BSE28" s="725"/>
      <c r="BSF28" s="725"/>
      <c r="BSG28" s="725"/>
      <c r="BSH28" s="725"/>
      <c r="BSI28" s="725"/>
      <c r="BSJ28" s="725"/>
      <c r="BSK28" s="725"/>
      <c r="BSL28" s="725"/>
      <c r="BSM28" s="725"/>
      <c r="BSN28" s="725"/>
      <c r="BSO28" s="725"/>
      <c r="BSP28" s="725"/>
      <c r="BSQ28" s="725"/>
      <c r="BSR28" s="725"/>
      <c r="BSS28" s="725"/>
      <c r="BST28" s="725"/>
      <c r="BSU28" s="725"/>
      <c r="BSV28" s="725"/>
      <c r="BSW28" s="725"/>
      <c r="BSX28" s="725"/>
      <c r="BSY28" s="725"/>
      <c r="BSZ28" s="725"/>
      <c r="BTA28" s="725"/>
      <c r="BTB28" s="725"/>
      <c r="BTC28" s="725"/>
      <c r="BTD28" s="725"/>
      <c r="BTE28" s="725"/>
      <c r="BTF28" s="725"/>
      <c r="BTG28" s="725"/>
      <c r="BTH28" s="725"/>
      <c r="BTI28" s="725"/>
      <c r="BTJ28" s="725"/>
      <c r="BTK28" s="725"/>
      <c r="BTL28" s="725"/>
      <c r="BTM28" s="725"/>
      <c r="BTN28" s="725"/>
      <c r="BTO28" s="725"/>
      <c r="BTP28" s="725"/>
      <c r="BTQ28" s="725"/>
      <c r="BTR28" s="725"/>
      <c r="BTS28" s="725"/>
      <c r="BTT28" s="725"/>
      <c r="BTU28" s="725"/>
      <c r="BTV28" s="725"/>
      <c r="BTW28" s="725"/>
      <c r="BTX28" s="725"/>
      <c r="BTY28" s="725"/>
      <c r="BTZ28" s="725"/>
      <c r="BUA28" s="725"/>
      <c r="BUB28" s="725"/>
      <c r="BUC28" s="725"/>
      <c r="BUD28" s="725"/>
      <c r="BUE28" s="725"/>
      <c r="BUF28" s="725"/>
      <c r="BUG28" s="725"/>
      <c r="BUH28" s="725"/>
      <c r="BUI28" s="725"/>
      <c r="BUJ28" s="725"/>
      <c r="BUK28" s="725"/>
      <c r="BUL28" s="725"/>
      <c r="BUM28" s="725"/>
      <c r="BUN28" s="725"/>
      <c r="BUO28" s="725"/>
      <c r="BUP28" s="725"/>
      <c r="BUQ28" s="725"/>
      <c r="BUR28" s="725"/>
      <c r="BUS28" s="725"/>
      <c r="BUT28" s="725"/>
      <c r="BUU28" s="725"/>
      <c r="BUV28" s="725"/>
      <c r="BUW28" s="725"/>
      <c r="BUX28" s="725"/>
      <c r="BUY28" s="725"/>
      <c r="BUZ28" s="725"/>
      <c r="BVA28" s="725"/>
      <c r="BVB28" s="725"/>
      <c r="BVC28" s="725"/>
      <c r="BVD28" s="725"/>
      <c r="BVE28" s="725"/>
      <c r="BVF28" s="725"/>
      <c r="BVG28" s="725"/>
      <c r="BVH28" s="725"/>
      <c r="BVI28" s="725"/>
      <c r="BVJ28" s="725"/>
      <c r="BVK28" s="725"/>
      <c r="BVL28" s="725"/>
      <c r="BVM28" s="725"/>
      <c r="BVN28" s="725"/>
      <c r="BVO28" s="725"/>
      <c r="BVP28" s="725"/>
      <c r="BVQ28" s="725"/>
      <c r="BVR28" s="725"/>
      <c r="BVS28" s="725"/>
      <c r="BVT28" s="725"/>
      <c r="BVU28" s="725"/>
      <c r="BVV28" s="725"/>
      <c r="BVW28" s="725"/>
      <c r="BVX28" s="725"/>
      <c r="BVY28" s="725"/>
      <c r="BVZ28" s="725"/>
      <c r="BWA28" s="725"/>
      <c r="BWB28" s="725"/>
      <c r="BWC28" s="725"/>
      <c r="BWD28" s="725"/>
      <c r="BWE28" s="725"/>
      <c r="BWF28" s="725"/>
      <c r="BWG28" s="725"/>
      <c r="BWH28" s="725"/>
      <c r="BWI28" s="725"/>
      <c r="BWJ28" s="725"/>
      <c r="BWK28" s="725"/>
      <c r="BWL28" s="725"/>
      <c r="BWM28" s="725"/>
      <c r="BWN28" s="725"/>
      <c r="BWO28" s="725"/>
      <c r="BWP28" s="725"/>
      <c r="BWQ28" s="725"/>
      <c r="BWR28" s="725"/>
      <c r="BWS28" s="725"/>
      <c r="BWT28" s="725"/>
      <c r="BWU28" s="725"/>
      <c r="BWV28" s="725"/>
      <c r="BWW28" s="725"/>
      <c r="BWX28" s="725"/>
      <c r="BWY28" s="725"/>
      <c r="BWZ28" s="725"/>
      <c r="BXA28" s="725"/>
      <c r="BXB28" s="725"/>
      <c r="BXC28" s="725"/>
      <c r="BXD28" s="725"/>
      <c r="BXE28" s="725"/>
      <c r="BXF28" s="725"/>
      <c r="BXG28" s="725"/>
      <c r="BXH28" s="725"/>
      <c r="BXI28" s="725"/>
      <c r="BXJ28" s="725"/>
      <c r="BXK28" s="725"/>
      <c r="BXL28" s="725"/>
      <c r="BXM28" s="725"/>
      <c r="BXN28" s="725"/>
      <c r="BXO28" s="725"/>
      <c r="BXP28" s="725"/>
      <c r="BXQ28" s="725"/>
      <c r="BXR28" s="725"/>
      <c r="BXS28" s="725"/>
      <c r="BXT28" s="725"/>
      <c r="BXU28" s="725"/>
      <c r="BXV28" s="725"/>
      <c r="BXW28" s="725"/>
      <c r="BXX28" s="725"/>
      <c r="BXY28" s="725"/>
      <c r="BXZ28" s="725"/>
      <c r="BYA28" s="725"/>
      <c r="BYB28" s="725"/>
      <c r="BYC28" s="725"/>
      <c r="BYD28" s="725"/>
      <c r="BYE28" s="725"/>
      <c r="BYF28" s="725"/>
      <c r="BYG28" s="725"/>
      <c r="BYH28" s="725"/>
      <c r="BYI28" s="725"/>
      <c r="BYJ28" s="725"/>
      <c r="BYK28" s="725"/>
      <c r="BYL28" s="725"/>
      <c r="BYM28" s="725"/>
      <c r="BYN28" s="725"/>
      <c r="BYO28" s="725"/>
      <c r="BYP28" s="725"/>
      <c r="BYQ28" s="725"/>
      <c r="BYR28" s="725"/>
      <c r="BYS28" s="725"/>
      <c r="BYT28" s="725"/>
      <c r="BYU28" s="725"/>
      <c r="BYV28" s="725"/>
      <c r="BYW28" s="725"/>
      <c r="BYX28" s="725"/>
      <c r="BYY28" s="725"/>
      <c r="BYZ28" s="725"/>
      <c r="BZA28" s="725"/>
      <c r="BZB28" s="725"/>
      <c r="BZC28" s="725"/>
      <c r="BZD28" s="725"/>
      <c r="BZE28" s="725"/>
      <c r="BZF28" s="725"/>
      <c r="BZG28" s="725"/>
      <c r="BZH28" s="725"/>
      <c r="BZI28" s="725"/>
      <c r="BZJ28" s="725"/>
      <c r="BZK28" s="725"/>
      <c r="BZL28" s="725"/>
      <c r="BZM28" s="725"/>
      <c r="BZN28" s="725"/>
      <c r="BZO28" s="725"/>
      <c r="BZP28" s="725"/>
      <c r="BZQ28" s="725"/>
      <c r="BZR28" s="725"/>
      <c r="BZS28" s="725"/>
      <c r="BZT28" s="725"/>
      <c r="BZU28" s="725"/>
      <c r="BZV28" s="725"/>
      <c r="BZW28" s="725"/>
      <c r="BZX28" s="725"/>
      <c r="BZY28" s="725"/>
      <c r="BZZ28" s="725"/>
      <c r="CAA28" s="725"/>
      <c r="CAB28" s="725"/>
      <c r="CAC28" s="725"/>
      <c r="CAD28" s="725"/>
      <c r="CAE28" s="725"/>
      <c r="CAF28" s="725"/>
      <c r="CAG28" s="725"/>
      <c r="CAH28" s="725"/>
      <c r="CAI28" s="725"/>
      <c r="CAJ28" s="725"/>
      <c r="CAK28" s="725"/>
      <c r="CAL28" s="725"/>
      <c r="CAM28" s="725"/>
      <c r="CAN28" s="725"/>
      <c r="CAO28" s="725"/>
      <c r="CAP28" s="725"/>
      <c r="CAQ28" s="725"/>
      <c r="CAR28" s="725"/>
      <c r="CAS28" s="725"/>
      <c r="CAT28" s="725"/>
      <c r="CAU28" s="725"/>
      <c r="CAV28" s="725"/>
      <c r="CAW28" s="725"/>
      <c r="CAX28" s="725"/>
      <c r="CAY28" s="725"/>
      <c r="CAZ28" s="725"/>
      <c r="CBA28" s="725"/>
      <c r="CBB28" s="725"/>
      <c r="CBC28" s="725"/>
      <c r="CBD28" s="725"/>
      <c r="CBE28" s="725"/>
      <c r="CBF28" s="725"/>
      <c r="CBG28" s="725"/>
      <c r="CBH28" s="725"/>
      <c r="CBI28" s="725"/>
      <c r="CBJ28" s="725"/>
      <c r="CBK28" s="725"/>
      <c r="CBL28" s="725"/>
      <c r="CBM28" s="725"/>
      <c r="CBN28" s="725"/>
      <c r="CBO28" s="725"/>
      <c r="CBP28" s="725"/>
      <c r="CBQ28" s="725"/>
      <c r="CBR28" s="725"/>
      <c r="CBS28" s="725"/>
      <c r="CBT28" s="725"/>
      <c r="CBU28" s="725"/>
      <c r="CBV28" s="725"/>
      <c r="CBW28" s="725"/>
      <c r="CBX28" s="725"/>
      <c r="CBY28" s="725"/>
      <c r="CBZ28" s="725"/>
      <c r="CCA28" s="725"/>
      <c r="CCB28" s="725"/>
      <c r="CCC28" s="725"/>
      <c r="CCD28" s="725"/>
      <c r="CCE28" s="725"/>
      <c r="CCF28" s="725"/>
      <c r="CCG28" s="725"/>
      <c r="CCH28" s="725"/>
      <c r="CCI28" s="725"/>
      <c r="CCJ28" s="725"/>
      <c r="CCK28" s="725"/>
      <c r="CCL28" s="725"/>
      <c r="CCM28" s="725"/>
      <c r="CCN28" s="725"/>
      <c r="CCO28" s="725"/>
      <c r="CCP28" s="725"/>
      <c r="CCQ28" s="725"/>
      <c r="CCR28" s="725"/>
      <c r="CCS28" s="725"/>
      <c r="CCT28" s="725"/>
      <c r="CCU28" s="725"/>
      <c r="CCV28" s="725"/>
      <c r="CCW28" s="725"/>
      <c r="CCX28" s="725"/>
      <c r="CCY28" s="725"/>
      <c r="CCZ28" s="725"/>
      <c r="CDA28" s="725"/>
      <c r="CDB28" s="725"/>
      <c r="CDC28" s="725"/>
      <c r="CDD28" s="725"/>
      <c r="CDE28" s="725"/>
      <c r="CDF28" s="725"/>
      <c r="CDG28" s="725"/>
      <c r="CDH28" s="725"/>
      <c r="CDI28" s="725"/>
      <c r="CDJ28" s="725"/>
      <c r="CDK28" s="725"/>
      <c r="CDL28" s="725"/>
      <c r="CDM28" s="725"/>
      <c r="CDN28" s="725"/>
      <c r="CDO28" s="725"/>
      <c r="CDP28" s="725"/>
      <c r="CDQ28" s="725"/>
      <c r="CDR28" s="725"/>
      <c r="CDS28" s="725"/>
      <c r="CDT28" s="725"/>
      <c r="CDU28" s="725"/>
      <c r="CDV28" s="725"/>
      <c r="CDW28" s="725"/>
      <c r="CDX28" s="725"/>
      <c r="CDY28" s="725"/>
      <c r="CDZ28" s="725"/>
      <c r="CEA28" s="725"/>
      <c r="CEB28" s="725"/>
      <c r="CEC28" s="725"/>
      <c r="CED28" s="725"/>
      <c r="CEE28" s="725"/>
      <c r="CEF28" s="725"/>
      <c r="CEG28" s="725"/>
      <c r="CEH28" s="725"/>
      <c r="CEI28" s="725"/>
      <c r="CEJ28" s="725"/>
      <c r="CEK28" s="725"/>
      <c r="CEL28" s="725"/>
      <c r="CEM28" s="725"/>
      <c r="CEN28" s="725"/>
      <c r="CEO28" s="725"/>
      <c r="CEP28" s="725"/>
      <c r="CEQ28" s="725"/>
      <c r="CER28" s="725"/>
      <c r="CES28" s="725"/>
      <c r="CET28" s="725"/>
      <c r="CEU28" s="725"/>
      <c r="CEV28" s="725"/>
      <c r="CEW28" s="725"/>
      <c r="CEX28" s="725"/>
      <c r="CEY28" s="725"/>
      <c r="CEZ28" s="725"/>
      <c r="CFA28" s="725"/>
      <c r="CFB28" s="725"/>
      <c r="CFC28" s="725"/>
      <c r="CFD28" s="725"/>
      <c r="CFE28" s="725"/>
      <c r="CFF28" s="725"/>
      <c r="CFG28" s="725"/>
      <c r="CFH28" s="725"/>
      <c r="CFI28" s="725"/>
      <c r="CFJ28" s="725"/>
      <c r="CFK28" s="725"/>
      <c r="CFL28" s="725"/>
      <c r="CFM28" s="725"/>
      <c r="CFN28" s="725"/>
      <c r="CFO28" s="725"/>
      <c r="CFP28" s="725"/>
      <c r="CFQ28" s="725"/>
      <c r="CFR28" s="725"/>
      <c r="CFS28" s="725"/>
      <c r="CFT28" s="725"/>
      <c r="CFU28" s="725"/>
      <c r="CFV28" s="725"/>
      <c r="CFW28" s="725"/>
      <c r="CFX28" s="725"/>
      <c r="CFY28" s="725"/>
      <c r="CFZ28" s="725"/>
      <c r="CGA28" s="725"/>
      <c r="CGB28" s="725"/>
      <c r="CGC28" s="725"/>
      <c r="CGD28" s="725"/>
      <c r="CGE28" s="725"/>
      <c r="CGF28" s="725"/>
      <c r="CGG28" s="725"/>
      <c r="CGH28" s="725"/>
      <c r="CGI28" s="725"/>
      <c r="CGJ28" s="725"/>
      <c r="CGK28" s="725"/>
      <c r="CGL28" s="725"/>
      <c r="CGM28" s="725"/>
      <c r="CGN28" s="725"/>
      <c r="CGO28" s="725"/>
      <c r="CGP28" s="725"/>
      <c r="CGQ28" s="725"/>
      <c r="CGR28" s="725"/>
      <c r="CGS28" s="725"/>
      <c r="CGT28" s="725"/>
      <c r="CGU28" s="725"/>
      <c r="CGV28" s="725"/>
      <c r="CGW28" s="725"/>
      <c r="CGX28" s="725"/>
      <c r="CGY28" s="725"/>
      <c r="CGZ28" s="725"/>
      <c r="CHA28" s="725"/>
      <c r="CHB28" s="725"/>
      <c r="CHC28" s="725"/>
      <c r="CHD28" s="725"/>
      <c r="CHE28" s="725"/>
      <c r="CHF28" s="725"/>
      <c r="CHG28" s="725"/>
      <c r="CHH28" s="725"/>
      <c r="CHI28" s="725"/>
      <c r="CHJ28" s="725"/>
      <c r="CHK28" s="725"/>
      <c r="CHL28" s="725"/>
      <c r="CHM28" s="725"/>
      <c r="CHN28" s="725"/>
      <c r="CHO28" s="725"/>
      <c r="CHP28" s="725"/>
      <c r="CHQ28" s="725"/>
      <c r="CHR28" s="725"/>
      <c r="CHS28" s="725"/>
      <c r="CHT28" s="725"/>
      <c r="CHU28" s="725"/>
      <c r="CHV28" s="725"/>
      <c r="CHW28" s="725"/>
      <c r="CHX28" s="725"/>
      <c r="CHY28" s="725"/>
      <c r="CHZ28" s="725"/>
      <c r="CIA28" s="725"/>
      <c r="CIB28" s="725"/>
      <c r="CIC28" s="725"/>
      <c r="CID28" s="725"/>
      <c r="CIE28" s="725"/>
      <c r="CIF28" s="725"/>
      <c r="CIG28" s="725"/>
      <c r="CIH28" s="725"/>
      <c r="CII28" s="725"/>
      <c r="CIJ28" s="725"/>
      <c r="CIK28" s="725"/>
      <c r="CIL28" s="725"/>
      <c r="CIM28" s="725"/>
      <c r="CIN28" s="725"/>
      <c r="CIO28" s="725"/>
      <c r="CIP28" s="725"/>
      <c r="CIQ28" s="725"/>
      <c r="CIR28" s="725"/>
      <c r="CIS28" s="725"/>
      <c r="CIT28" s="725"/>
      <c r="CIU28" s="725"/>
      <c r="CIV28" s="725"/>
      <c r="CIW28" s="725"/>
      <c r="CIX28" s="725"/>
      <c r="CIY28" s="725"/>
      <c r="CIZ28" s="725"/>
      <c r="CJA28" s="725"/>
      <c r="CJB28" s="725"/>
      <c r="CJC28" s="725"/>
      <c r="CJD28" s="725"/>
      <c r="CJE28" s="725"/>
      <c r="CJF28" s="725"/>
      <c r="CJG28" s="725"/>
      <c r="CJH28" s="725"/>
      <c r="CJI28" s="725"/>
      <c r="CJJ28" s="725"/>
      <c r="CJK28" s="725"/>
      <c r="CJL28" s="725"/>
      <c r="CJM28" s="725"/>
      <c r="CJN28" s="725"/>
      <c r="CJO28" s="725"/>
      <c r="CJP28" s="725"/>
      <c r="CJQ28" s="725"/>
      <c r="CJR28" s="725"/>
      <c r="CJS28" s="725"/>
      <c r="CJT28" s="725"/>
      <c r="CJU28" s="725"/>
      <c r="CJV28" s="725"/>
      <c r="CJW28" s="725"/>
      <c r="CJX28" s="725"/>
      <c r="CJY28" s="725"/>
      <c r="CJZ28" s="725"/>
      <c r="CKA28" s="725"/>
      <c r="CKB28" s="725"/>
      <c r="CKC28" s="725"/>
      <c r="CKD28" s="725"/>
      <c r="CKE28" s="725"/>
      <c r="CKF28" s="725"/>
      <c r="CKG28" s="725"/>
      <c r="CKH28" s="725"/>
      <c r="CKI28" s="725"/>
      <c r="CKJ28" s="725"/>
      <c r="CKK28" s="725"/>
      <c r="CKL28" s="725"/>
      <c r="CKM28" s="725"/>
      <c r="CKN28" s="725"/>
      <c r="CKO28" s="725"/>
      <c r="CKP28" s="725"/>
      <c r="CKQ28" s="725"/>
      <c r="CKR28" s="725"/>
      <c r="CKS28" s="725"/>
      <c r="CKT28" s="725"/>
      <c r="CKU28" s="725"/>
      <c r="CKV28" s="725"/>
      <c r="CKW28" s="725"/>
      <c r="CKX28" s="725"/>
      <c r="CKY28" s="725"/>
      <c r="CKZ28" s="725"/>
      <c r="CLA28" s="725"/>
      <c r="CLB28" s="725"/>
      <c r="CLC28" s="725"/>
      <c r="CLD28" s="725"/>
      <c r="CLE28" s="725"/>
      <c r="CLF28" s="725"/>
      <c r="CLG28" s="725"/>
      <c r="CLH28" s="725"/>
      <c r="CLI28" s="725"/>
      <c r="CLJ28" s="725"/>
      <c r="CLK28" s="725"/>
      <c r="CLL28" s="725"/>
      <c r="CLM28" s="725"/>
      <c r="CLN28" s="725"/>
      <c r="CLO28" s="725"/>
      <c r="CLP28" s="725"/>
      <c r="CLQ28" s="725"/>
      <c r="CLR28" s="725"/>
      <c r="CLS28" s="725"/>
      <c r="CLT28" s="725"/>
      <c r="CLU28" s="725"/>
      <c r="CLV28" s="725"/>
      <c r="CLW28" s="725"/>
      <c r="CLX28" s="725"/>
      <c r="CLY28" s="725"/>
      <c r="CLZ28" s="725"/>
      <c r="CMA28" s="725"/>
      <c r="CMB28" s="725"/>
      <c r="CMC28" s="725"/>
      <c r="CMD28" s="725"/>
      <c r="CME28" s="725"/>
      <c r="CMF28" s="725"/>
      <c r="CMG28" s="725"/>
      <c r="CMH28" s="725"/>
      <c r="CMI28" s="725"/>
      <c r="CMJ28" s="725"/>
      <c r="CMK28" s="725"/>
      <c r="CML28" s="725"/>
      <c r="CMM28" s="725"/>
      <c r="CMN28" s="725"/>
      <c r="CMO28" s="725"/>
      <c r="CMP28" s="725"/>
      <c r="CMQ28" s="725"/>
      <c r="CMR28" s="725"/>
      <c r="CMS28" s="725"/>
      <c r="CMT28" s="725"/>
      <c r="CMU28" s="725"/>
      <c r="CMV28" s="725"/>
      <c r="CMW28" s="725"/>
      <c r="CMX28" s="725"/>
      <c r="CMY28" s="725"/>
      <c r="CMZ28" s="725"/>
      <c r="CNA28" s="725"/>
      <c r="CNB28" s="725"/>
      <c r="CNC28" s="725"/>
      <c r="CND28" s="725"/>
      <c r="CNE28" s="725"/>
      <c r="CNF28" s="725"/>
      <c r="CNG28" s="725"/>
      <c r="CNH28" s="725"/>
      <c r="CNI28" s="725"/>
      <c r="CNJ28" s="725"/>
      <c r="CNK28" s="725"/>
      <c r="CNL28" s="725"/>
      <c r="CNM28" s="725"/>
      <c r="CNN28" s="725"/>
      <c r="CNO28" s="725"/>
      <c r="CNP28" s="725"/>
      <c r="CNQ28" s="725"/>
      <c r="CNR28" s="725"/>
      <c r="CNS28" s="725"/>
      <c r="CNT28" s="725"/>
      <c r="CNU28" s="725"/>
      <c r="CNV28" s="725"/>
      <c r="CNW28" s="725"/>
      <c r="CNX28" s="725"/>
      <c r="CNY28" s="725"/>
      <c r="CNZ28" s="725"/>
      <c r="COA28" s="725"/>
      <c r="COB28" s="725"/>
      <c r="COC28" s="725"/>
      <c r="COD28" s="725"/>
      <c r="COE28" s="725"/>
      <c r="COF28" s="725"/>
      <c r="COG28" s="725"/>
      <c r="COH28" s="725"/>
      <c r="COI28" s="725"/>
      <c r="COJ28" s="725"/>
      <c r="COK28" s="725"/>
      <c r="COL28" s="725"/>
      <c r="COM28" s="725"/>
      <c r="CON28" s="725"/>
      <c r="COO28" s="725"/>
      <c r="COP28" s="725"/>
      <c r="COQ28" s="725"/>
      <c r="COR28" s="725"/>
      <c r="COS28" s="725"/>
      <c r="COT28" s="725"/>
      <c r="COU28" s="725"/>
      <c r="COV28" s="725"/>
      <c r="COW28" s="725"/>
      <c r="COX28" s="725"/>
      <c r="COY28" s="725"/>
      <c r="COZ28" s="725"/>
      <c r="CPA28" s="725"/>
      <c r="CPB28" s="725"/>
      <c r="CPC28" s="725"/>
      <c r="CPD28" s="725"/>
      <c r="CPE28" s="725"/>
      <c r="CPF28" s="725"/>
      <c r="CPG28" s="725"/>
      <c r="CPH28" s="725"/>
      <c r="CPI28" s="725"/>
      <c r="CPJ28" s="725"/>
      <c r="CPK28" s="725"/>
      <c r="CPL28" s="725"/>
      <c r="CPM28" s="725"/>
      <c r="CPN28" s="725"/>
      <c r="CPO28" s="725"/>
      <c r="CPP28" s="725"/>
      <c r="CPQ28" s="725"/>
      <c r="CPR28" s="725"/>
      <c r="CPS28" s="725"/>
      <c r="CPT28" s="725"/>
      <c r="CPU28" s="725"/>
      <c r="CPV28" s="725"/>
      <c r="CPW28" s="725"/>
      <c r="CPX28" s="725"/>
      <c r="CPY28" s="725"/>
      <c r="CPZ28" s="725"/>
      <c r="CQA28" s="725"/>
      <c r="CQB28" s="725"/>
      <c r="CQC28" s="725"/>
      <c r="CQD28" s="725"/>
      <c r="CQE28" s="725"/>
      <c r="CQF28" s="725"/>
      <c r="CQG28" s="725"/>
      <c r="CQH28" s="725"/>
      <c r="CQI28" s="725"/>
      <c r="CQJ28" s="725"/>
      <c r="CQK28" s="725"/>
      <c r="CQL28" s="725"/>
      <c r="CQM28" s="725"/>
      <c r="CQN28" s="725"/>
      <c r="CQO28" s="725"/>
      <c r="CQP28" s="725"/>
      <c r="CQQ28" s="725"/>
      <c r="CQR28" s="725"/>
      <c r="CQS28" s="725"/>
      <c r="CQT28" s="725"/>
      <c r="CQU28" s="725"/>
      <c r="CQV28" s="725"/>
      <c r="CQW28" s="725"/>
      <c r="CQX28" s="725"/>
      <c r="CQY28" s="725"/>
      <c r="CQZ28" s="725"/>
      <c r="CRA28" s="725"/>
      <c r="CRB28" s="725"/>
      <c r="CRC28" s="725"/>
      <c r="CRD28" s="725"/>
      <c r="CRE28" s="725"/>
      <c r="CRF28" s="725"/>
      <c r="CRG28" s="725"/>
      <c r="CRH28" s="725"/>
      <c r="CRI28" s="725"/>
      <c r="CRJ28" s="725"/>
      <c r="CRK28" s="725"/>
      <c r="CRL28" s="725"/>
      <c r="CRM28" s="725"/>
      <c r="CRN28" s="725"/>
      <c r="CRO28" s="725"/>
      <c r="CRP28" s="725"/>
      <c r="CRQ28" s="725"/>
      <c r="CRR28" s="725"/>
      <c r="CRS28" s="725"/>
      <c r="CRT28" s="725"/>
      <c r="CRU28" s="725"/>
      <c r="CRV28" s="725"/>
      <c r="CRW28" s="725"/>
      <c r="CRX28" s="725"/>
      <c r="CRY28" s="725"/>
      <c r="CRZ28" s="725"/>
      <c r="CSA28" s="725"/>
      <c r="CSB28" s="725"/>
      <c r="CSC28" s="725"/>
      <c r="CSD28" s="725"/>
      <c r="CSE28" s="725"/>
      <c r="CSF28" s="725"/>
      <c r="CSG28" s="725"/>
      <c r="CSH28" s="725"/>
      <c r="CSI28" s="725"/>
      <c r="CSJ28" s="725"/>
      <c r="CSK28" s="725"/>
      <c r="CSL28" s="725"/>
      <c r="CSM28" s="725"/>
      <c r="CSN28" s="725"/>
      <c r="CSO28" s="725"/>
      <c r="CSP28" s="725"/>
      <c r="CSQ28" s="725"/>
      <c r="CSR28" s="725"/>
      <c r="CSS28" s="725"/>
      <c r="CST28" s="725"/>
      <c r="CSU28" s="725"/>
      <c r="CSV28" s="725"/>
      <c r="CSW28" s="725"/>
      <c r="CSX28" s="725"/>
      <c r="CSY28" s="725"/>
      <c r="CSZ28" s="725"/>
      <c r="CTA28" s="725"/>
      <c r="CTB28" s="725"/>
      <c r="CTC28" s="725"/>
      <c r="CTD28" s="725"/>
      <c r="CTE28" s="725"/>
      <c r="CTF28" s="725"/>
      <c r="CTG28" s="725"/>
      <c r="CTH28" s="725"/>
      <c r="CTI28" s="725"/>
      <c r="CTJ28" s="725"/>
      <c r="CTK28" s="725"/>
      <c r="CTL28" s="725"/>
      <c r="CTM28" s="725"/>
      <c r="CTN28" s="725"/>
      <c r="CTO28" s="725"/>
      <c r="CTP28" s="725"/>
      <c r="CTQ28" s="725"/>
      <c r="CTR28" s="725"/>
      <c r="CTS28" s="725"/>
      <c r="CTT28" s="725"/>
      <c r="CTU28" s="725"/>
      <c r="CTV28" s="725"/>
      <c r="CTW28" s="725"/>
      <c r="CTX28" s="725"/>
      <c r="CTY28" s="725"/>
      <c r="CTZ28" s="725"/>
      <c r="CUA28" s="725"/>
      <c r="CUB28" s="725"/>
      <c r="CUC28" s="725"/>
      <c r="CUD28" s="725"/>
      <c r="CUE28" s="725"/>
      <c r="CUF28" s="725"/>
      <c r="CUG28" s="725"/>
      <c r="CUH28" s="725"/>
      <c r="CUI28" s="725"/>
      <c r="CUJ28" s="725"/>
      <c r="CUK28" s="725"/>
      <c r="CUL28" s="725"/>
      <c r="CUM28" s="725"/>
      <c r="CUN28" s="725"/>
      <c r="CUO28" s="725"/>
      <c r="CUP28" s="725"/>
      <c r="CUQ28" s="725"/>
      <c r="CUR28" s="725"/>
      <c r="CUS28" s="725"/>
      <c r="CUT28" s="725"/>
      <c r="CUU28" s="725"/>
      <c r="CUV28" s="725"/>
      <c r="CUW28" s="725"/>
      <c r="CUX28" s="725"/>
      <c r="CUY28" s="725"/>
      <c r="CUZ28" s="725"/>
      <c r="CVA28" s="725"/>
      <c r="CVB28" s="725"/>
      <c r="CVC28" s="725"/>
      <c r="CVD28" s="725"/>
      <c r="CVE28" s="725"/>
      <c r="CVF28" s="725"/>
      <c r="CVG28" s="725"/>
      <c r="CVH28" s="725"/>
      <c r="CVI28" s="725"/>
      <c r="CVJ28" s="725"/>
      <c r="CVK28" s="725"/>
      <c r="CVL28" s="725"/>
      <c r="CVM28" s="725"/>
      <c r="CVN28" s="725"/>
      <c r="CVO28" s="725"/>
      <c r="CVP28" s="725"/>
      <c r="CVQ28" s="725"/>
      <c r="CVR28" s="725"/>
      <c r="CVS28" s="725"/>
      <c r="CVT28" s="725"/>
      <c r="CVU28" s="725"/>
      <c r="CVV28" s="725"/>
      <c r="CVW28" s="725"/>
      <c r="CVX28" s="725"/>
      <c r="CVY28" s="725"/>
      <c r="CVZ28" s="725"/>
      <c r="CWA28" s="725"/>
      <c r="CWB28" s="725"/>
      <c r="CWC28" s="725"/>
      <c r="CWD28" s="725"/>
      <c r="CWE28" s="725"/>
      <c r="CWF28" s="725"/>
      <c r="CWG28" s="725"/>
      <c r="CWH28" s="725"/>
      <c r="CWI28" s="725"/>
      <c r="CWJ28" s="725"/>
      <c r="CWK28" s="725"/>
      <c r="CWL28" s="725"/>
      <c r="CWM28" s="725"/>
      <c r="CWN28" s="725"/>
      <c r="CWO28" s="725"/>
      <c r="CWP28" s="725"/>
      <c r="CWQ28" s="725"/>
      <c r="CWR28" s="725"/>
      <c r="CWS28" s="725"/>
      <c r="CWT28" s="725"/>
      <c r="CWU28" s="725"/>
      <c r="CWV28" s="725"/>
      <c r="CWW28" s="725"/>
      <c r="CWX28" s="725"/>
      <c r="CWY28" s="725"/>
      <c r="CWZ28" s="725"/>
      <c r="CXA28" s="725"/>
      <c r="CXB28" s="725"/>
      <c r="CXC28" s="725"/>
      <c r="CXD28" s="725"/>
      <c r="CXE28" s="725"/>
      <c r="CXF28" s="725"/>
      <c r="CXG28" s="725"/>
      <c r="CXH28" s="725"/>
      <c r="CXI28" s="725"/>
      <c r="CXJ28" s="725"/>
      <c r="CXK28" s="725"/>
      <c r="CXL28" s="725"/>
      <c r="CXM28" s="725"/>
      <c r="CXN28" s="725"/>
      <c r="CXO28" s="725"/>
      <c r="CXP28" s="725"/>
      <c r="CXQ28" s="725"/>
      <c r="CXR28" s="725"/>
      <c r="CXS28" s="725"/>
      <c r="CXT28" s="725"/>
      <c r="CXU28" s="725"/>
      <c r="CXV28" s="725"/>
      <c r="CXW28" s="725"/>
      <c r="CXX28" s="725"/>
      <c r="CXY28" s="725"/>
      <c r="CXZ28" s="725"/>
      <c r="CYA28" s="725"/>
      <c r="CYB28" s="725"/>
      <c r="CYC28" s="725"/>
      <c r="CYD28" s="725"/>
      <c r="CYE28" s="725"/>
      <c r="CYF28" s="725"/>
      <c r="CYG28" s="725"/>
      <c r="CYH28" s="725"/>
      <c r="CYI28" s="725"/>
      <c r="CYJ28" s="725"/>
      <c r="CYK28" s="725"/>
      <c r="CYL28" s="725"/>
      <c r="CYM28" s="725"/>
      <c r="CYN28" s="725"/>
      <c r="CYO28" s="725"/>
      <c r="CYP28" s="725"/>
      <c r="CYQ28" s="725"/>
      <c r="CYR28" s="725"/>
      <c r="CYS28" s="725"/>
      <c r="CYT28" s="725"/>
      <c r="CYU28" s="725"/>
      <c r="CYV28" s="725"/>
      <c r="CYW28" s="725"/>
      <c r="CYX28" s="725"/>
      <c r="CYY28" s="725"/>
      <c r="CYZ28" s="725"/>
      <c r="CZA28" s="725"/>
      <c r="CZB28" s="725"/>
      <c r="CZC28" s="725"/>
      <c r="CZD28" s="725"/>
      <c r="CZE28" s="725"/>
      <c r="CZF28" s="725"/>
      <c r="CZG28" s="725"/>
      <c r="CZH28" s="725"/>
      <c r="CZI28" s="725"/>
      <c r="CZJ28" s="725"/>
      <c r="CZK28" s="725"/>
      <c r="CZL28" s="725"/>
      <c r="CZM28" s="725"/>
      <c r="CZN28" s="725"/>
      <c r="CZO28" s="725"/>
      <c r="CZP28" s="725"/>
      <c r="CZQ28" s="725"/>
      <c r="CZR28" s="725"/>
      <c r="CZS28" s="725"/>
      <c r="CZT28" s="725"/>
      <c r="CZU28" s="725"/>
      <c r="CZV28" s="725"/>
      <c r="CZW28" s="725"/>
      <c r="CZX28" s="725"/>
      <c r="CZY28" s="725"/>
      <c r="CZZ28" s="725"/>
      <c r="DAA28" s="725"/>
      <c r="DAB28" s="725"/>
      <c r="DAC28" s="725"/>
      <c r="DAD28" s="725"/>
      <c r="DAE28" s="725"/>
      <c r="DAF28" s="725"/>
      <c r="DAG28" s="725"/>
      <c r="DAH28" s="725"/>
      <c r="DAI28" s="725"/>
      <c r="DAJ28" s="725"/>
      <c r="DAK28" s="725"/>
      <c r="DAL28" s="725"/>
      <c r="DAM28" s="725"/>
      <c r="DAN28" s="725"/>
      <c r="DAO28" s="725"/>
      <c r="DAP28" s="725"/>
      <c r="DAQ28" s="725"/>
      <c r="DAR28" s="725"/>
      <c r="DAS28" s="725"/>
      <c r="DAT28" s="725"/>
      <c r="DAU28" s="725"/>
      <c r="DAV28" s="725"/>
      <c r="DAW28" s="725"/>
      <c r="DAX28" s="725"/>
      <c r="DAY28" s="725"/>
      <c r="DAZ28" s="725"/>
      <c r="DBA28" s="725"/>
      <c r="DBB28" s="725"/>
      <c r="DBC28" s="725"/>
      <c r="DBD28" s="725"/>
      <c r="DBE28" s="725"/>
      <c r="DBF28" s="725"/>
      <c r="DBG28" s="725"/>
      <c r="DBH28" s="725"/>
      <c r="DBI28" s="725"/>
      <c r="DBJ28" s="725"/>
      <c r="DBK28" s="725"/>
      <c r="DBL28" s="725"/>
      <c r="DBM28" s="725"/>
      <c r="DBN28" s="725"/>
      <c r="DBO28" s="725"/>
      <c r="DBP28" s="725"/>
      <c r="DBQ28" s="725"/>
      <c r="DBR28" s="725"/>
      <c r="DBS28" s="725"/>
      <c r="DBT28" s="725"/>
      <c r="DBU28" s="725"/>
      <c r="DBV28" s="725"/>
      <c r="DBW28" s="725"/>
      <c r="DBX28" s="725"/>
      <c r="DBY28" s="725"/>
      <c r="DBZ28" s="725"/>
      <c r="DCA28" s="725"/>
      <c r="DCB28" s="725"/>
      <c r="DCC28" s="725"/>
      <c r="DCD28" s="725"/>
      <c r="DCE28" s="725"/>
      <c r="DCF28" s="725"/>
      <c r="DCG28" s="725"/>
      <c r="DCH28" s="725"/>
      <c r="DCI28" s="725"/>
      <c r="DCJ28" s="725"/>
      <c r="DCK28" s="725"/>
      <c r="DCL28" s="725"/>
      <c r="DCM28" s="725"/>
      <c r="DCN28" s="725"/>
      <c r="DCO28" s="725"/>
      <c r="DCP28" s="725"/>
      <c r="DCQ28" s="725"/>
      <c r="DCR28" s="725"/>
      <c r="DCS28" s="725"/>
      <c r="DCT28" s="725"/>
      <c r="DCU28" s="725"/>
      <c r="DCV28" s="725"/>
      <c r="DCW28" s="725"/>
      <c r="DCX28" s="725"/>
      <c r="DCY28" s="725"/>
      <c r="DCZ28" s="725"/>
      <c r="DDA28" s="725"/>
      <c r="DDB28" s="725"/>
      <c r="DDC28" s="725"/>
      <c r="DDD28" s="725"/>
      <c r="DDE28" s="725"/>
      <c r="DDF28" s="725"/>
      <c r="DDG28" s="725"/>
      <c r="DDH28" s="725"/>
      <c r="DDI28" s="725"/>
      <c r="DDJ28" s="725"/>
      <c r="DDK28" s="725"/>
      <c r="DDL28" s="725"/>
      <c r="DDM28" s="725"/>
      <c r="DDN28" s="725"/>
      <c r="DDO28" s="725"/>
      <c r="DDP28" s="725"/>
      <c r="DDQ28" s="725"/>
      <c r="DDR28" s="725"/>
      <c r="DDS28" s="725"/>
      <c r="DDT28" s="725"/>
      <c r="DDU28" s="725"/>
      <c r="DDV28" s="725"/>
      <c r="DDW28" s="725"/>
      <c r="DDX28" s="725"/>
      <c r="DDY28" s="725"/>
      <c r="DDZ28" s="725"/>
      <c r="DEA28" s="725"/>
      <c r="DEB28" s="725"/>
      <c r="DEC28" s="725"/>
      <c r="DED28" s="725"/>
      <c r="DEE28" s="725"/>
      <c r="DEF28" s="725"/>
      <c r="DEG28" s="725"/>
      <c r="DEH28" s="725"/>
      <c r="DEI28" s="725"/>
      <c r="DEJ28" s="725"/>
      <c r="DEK28" s="725"/>
      <c r="DEL28" s="725"/>
      <c r="DEM28" s="725"/>
      <c r="DEN28" s="725"/>
      <c r="DEO28" s="725"/>
      <c r="DEP28" s="725"/>
      <c r="DEQ28" s="725"/>
      <c r="DER28" s="725"/>
      <c r="DES28" s="725"/>
      <c r="DET28" s="725"/>
      <c r="DEU28" s="725"/>
      <c r="DEV28" s="725"/>
      <c r="DEW28" s="725"/>
      <c r="DEX28" s="725"/>
      <c r="DEY28" s="725"/>
      <c r="DEZ28" s="725"/>
      <c r="DFA28" s="725"/>
      <c r="DFB28" s="725"/>
      <c r="DFC28" s="725"/>
      <c r="DFD28" s="725"/>
      <c r="DFE28" s="725"/>
      <c r="DFF28" s="725"/>
      <c r="DFG28" s="725"/>
      <c r="DFH28" s="725"/>
      <c r="DFI28" s="725"/>
      <c r="DFJ28" s="725"/>
      <c r="DFK28" s="725"/>
      <c r="DFL28" s="725"/>
      <c r="DFM28" s="725"/>
      <c r="DFN28" s="725"/>
      <c r="DFO28" s="725"/>
      <c r="DFP28" s="725"/>
      <c r="DFQ28" s="725"/>
      <c r="DFR28" s="725"/>
      <c r="DFS28" s="725"/>
      <c r="DFT28" s="725"/>
      <c r="DFU28" s="725"/>
      <c r="DFV28" s="725"/>
      <c r="DFW28" s="725"/>
      <c r="DFX28" s="725"/>
      <c r="DFY28" s="725"/>
      <c r="DFZ28" s="725"/>
      <c r="DGA28" s="725"/>
      <c r="DGB28" s="725"/>
      <c r="DGC28" s="725"/>
      <c r="DGD28" s="725"/>
      <c r="DGE28" s="725"/>
      <c r="DGF28" s="725"/>
      <c r="DGG28" s="725"/>
      <c r="DGH28" s="725"/>
      <c r="DGI28" s="725"/>
      <c r="DGJ28" s="725"/>
      <c r="DGK28" s="725"/>
      <c r="DGL28" s="725"/>
      <c r="DGM28" s="725"/>
      <c r="DGN28" s="725"/>
      <c r="DGO28" s="725"/>
      <c r="DGP28" s="725"/>
      <c r="DGQ28" s="725"/>
      <c r="DGR28" s="725"/>
      <c r="DGS28" s="725"/>
      <c r="DGT28" s="725"/>
      <c r="DGU28" s="725"/>
      <c r="DGV28" s="725"/>
      <c r="DGW28" s="725"/>
      <c r="DGX28" s="725"/>
      <c r="DGY28" s="725"/>
      <c r="DGZ28" s="725"/>
      <c r="DHA28" s="725"/>
      <c r="DHB28" s="725"/>
      <c r="DHC28" s="725"/>
      <c r="DHD28" s="725"/>
      <c r="DHE28" s="725"/>
      <c r="DHF28" s="725"/>
      <c r="DHG28" s="725"/>
      <c r="DHH28" s="725"/>
      <c r="DHI28" s="725"/>
      <c r="DHJ28" s="725"/>
      <c r="DHK28" s="725"/>
      <c r="DHL28" s="725"/>
      <c r="DHM28" s="725"/>
      <c r="DHN28" s="725"/>
      <c r="DHO28" s="725"/>
      <c r="DHP28" s="725"/>
      <c r="DHQ28" s="725"/>
      <c r="DHR28" s="725"/>
      <c r="DHS28" s="725"/>
      <c r="DHT28" s="725"/>
      <c r="DHU28" s="725"/>
      <c r="DHV28" s="725"/>
      <c r="DHW28" s="725"/>
      <c r="DHX28" s="725"/>
      <c r="DHY28" s="725"/>
      <c r="DHZ28" s="725"/>
      <c r="DIA28" s="725"/>
      <c r="DIB28" s="725"/>
      <c r="DIC28" s="725"/>
      <c r="DID28" s="725"/>
      <c r="DIE28" s="725"/>
      <c r="DIF28" s="725"/>
      <c r="DIG28" s="725"/>
      <c r="DIH28" s="725"/>
      <c r="DII28" s="725"/>
      <c r="DIJ28" s="725"/>
      <c r="DIK28" s="725"/>
      <c r="DIL28" s="725"/>
      <c r="DIM28" s="725"/>
      <c r="DIN28" s="725"/>
      <c r="DIO28" s="725"/>
      <c r="DIP28" s="725"/>
      <c r="DIQ28" s="725"/>
      <c r="DIR28" s="725"/>
      <c r="DIS28" s="725"/>
      <c r="DIT28" s="725"/>
      <c r="DIU28" s="725"/>
      <c r="DIV28" s="725"/>
      <c r="DIW28" s="725"/>
      <c r="DIX28" s="725"/>
      <c r="DIY28" s="725"/>
      <c r="DIZ28" s="725"/>
      <c r="DJA28" s="725"/>
      <c r="DJB28" s="725"/>
      <c r="DJC28" s="725"/>
      <c r="DJD28" s="725"/>
      <c r="DJE28" s="725"/>
      <c r="DJF28" s="725"/>
      <c r="DJG28" s="725"/>
      <c r="DJH28" s="725"/>
      <c r="DJI28" s="725"/>
      <c r="DJJ28" s="725"/>
      <c r="DJK28" s="725"/>
      <c r="DJL28" s="725"/>
      <c r="DJM28" s="725"/>
      <c r="DJN28" s="725"/>
      <c r="DJO28" s="725"/>
      <c r="DJP28" s="725"/>
      <c r="DJQ28" s="725"/>
      <c r="DJR28" s="725"/>
      <c r="DJS28" s="725"/>
      <c r="DJT28" s="725"/>
      <c r="DJU28" s="725"/>
      <c r="DJV28" s="725"/>
      <c r="DJW28" s="725"/>
      <c r="DJX28" s="725"/>
      <c r="DJY28" s="725"/>
      <c r="DJZ28" s="725"/>
      <c r="DKA28" s="725"/>
      <c r="DKB28" s="725"/>
      <c r="DKC28" s="725"/>
      <c r="DKD28" s="725"/>
      <c r="DKE28" s="725"/>
      <c r="DKF28" s="725"/>
      <c r="DKG28" s="725"/>
      <c r="DKH28" s="725"/>
      <c r="DKI28" s="725"/>
      <c r="DKJ28" s="725"/>
      <c r="DKK28" s="725"/>
      <c r="DKL28" s="725"/>
      <c r="DKM28" s="725"/>
      <c r="DKN28" s="725"/>
      <c r="DKO28" s="725"/>
      <c r="DKP28" s="725"/>
      <c r="DKQ28" s="725"/>
      <c r="DKR28" s="725"/>
      <c r="DKS28" s="725"/>
      <c r="DKT28" s="725"/>
      <c r="DKU28" s="725"/>
      <c r="DKV28" s="725"/>
      <c r="DKW28" s="725"/>
      <c r="DKX28" s="725"/>
      <c r="DKY28" s="725"/>
      <c r="DKZ28" s="725"/>
      <c r="DLA28" s="725"/>
      <c r="DLB28" s="725"/>
      <c r="DLC28" s="725"/>
      <c r="DLD28" s="725"/>
      <c r="DLE28" s="725"/>
      <c r="DLF28" s="725"/>
      <c r="DLG28" s="725"/>
      <c r="DLH28" s="725"/>
      <c r="DLI28" s="725"/>
      <c r="DLJ28" s="725"/>
      <c r="DLK28" s="725"/>
      <c r="DLL28" s="725"/>
      <c r="DLM28" s="725"/>
      <c r="DLN28" s="725"/>
      <c r="DLO28" s="725"/>
      <c r="DLP28" s="725"/>
      <c r="DLQ28" s="725"/>
      <c r="DLR28" s="725"/>
      <c r="DLS28" s="725"/>
      <c r="DLT28" s="725"/>
      <c r="DLU28" s="725"/>
      <c r="DLV28" s="725"/>
      <c r="DLW28" s="725"/>
      <c r="DLX28" s="725"/>
      <c r="DLY28" s="725"/>
      <c r="DLZ28" s="725"/>
      <c r="DMA28" s="725"/>
      <c r="DMB28" s="725"/>
      <c r="DMC28" s="725"/>
      <c r="DMD28" s="725"/>
      <c r="DME28" s="725"/>
      <c r="DMF28" s="725"/>
      <c r="DMG28" s="725"/>
      <c r="DMH28" s="725"/>
      <c r="DMI28" s="725"/>
      <c r="DMJ28" s="725"/>
      <c r="DMK28" s="725"/>
      <c r="DML28" s="725"/>
      <c r="DMM28" s="725"/>
      <c r="DMN28" s="725"/>
      <c r="DMO28" s="725"/>
      <c r="DMP28" s="725"/>
      <c r="DMQ28" s="725"/>
      <c r="DMR28" s="725"/>
      <c r="DMS28" s="725"/>
      <c r="DMT28" s="725"/>
      <c r="DMU28" s="725"/>
      <c r="DMV28" s="725"/>
      <c r="DMW28" s="725"/>
      <c r="DMX28" s="725"/>
      <c r="DMY28" s="725"/>
      <c r="DMZ28" s="725"/>
      <c r="DNA28" s="725"/>
      <c r="DNB28" s="725"/>
      <c r="DNC28" s="725"/>
      <c r="DND28" s="725"/>
      <c r="DNE28" s="725"/>
      <c r="DNF28" s="725"/>
      <c r="DNG28" s="725"/>
      <c r="DNH28" s="725"/>
      <c r="DNI28" s="725"/>
      <c r="DNJ28" s="725"/>
      <c r="DNK28" s="725"/>
      <c r="DNL28" s="725"/>
      <c r="DNM28" s="725"/>
      <c r="DNN28" s="725"/>
      <c r="DNO28" s="725"/>
      <c r="DNP28" s="725"/>
      <c r="DNQ28" s="725"/>
      <c r="DNR28" s="725"/>
      <c r="DNS28" s="725"/>
      <c r="DNT28" s="725"/>
      <c r="DNU28" s="725"/>
      <c r="DNV28" s="725"/>
      <c r="DNW28" s="725"/>
      <c r="DNX28" s="725"/>
      <c r="DNY28" s="725"/>
      <c r="DNZ28" s="725"/>
      <c r="DOA28" s="725"/>
      <c r="DOB28" s="725"/>
      <c r="DOC28" s="725"/>
      <c r="DOD28" s="725"/>
      <c r="DOE28" s="725"/>
      <c r="DOF28" s="725"/>
      <c r="DOG28" s="725"/>
      <c r="DOH28" s="725"/>
      <c r="DOI28" s="725"/>
      <c r="DOJ28" s="725"/>
      <c r="DOK28" s="725"/>
      <c r="DOL28" s="725"/>
      <c r="DOM28" s="725"/>
      <c r="DON28" s="725"/>
      <c r="DOO28" s="725"/>
      <c r="DOP28" s="725"/>
      <c r="DOQ28" s="725"/>
      <c r="DOR28" s="725"/>
      <c r="DOS28" s="725"/>
      <c r="DOT28" s="725"/>
      <c r="DOU28" s="725"/>
      <c r="DOV28" s="725"/>
      <c r="DOW28" s="725"/>
      <c r="DOX28" s="725"/>
      <c r="DOY28" s="725"/>
      <c r="DOZ28" s="725"/>
      <c r="DPA28" s="725"/>
      <c r="DPB28" s="725"/>
      <c r="DPC28" s="725"/>
      <c r="DPD28" s="725"/>
      <c r="DPE28" s="725"/>
      <c r="DPF28" s="725"/>
      <c r="DPG28" s="725"/>
      <c r="DPH28" s="725"/>
      <c r="DPI28" s="725"/>
      <c r="DPJ28" s="725"/>
      <c r="DPK28" s="725"/>
      <c r="DPL28" s="725"/>
      <c r="DPM28" s="725"/>
      <c r="DPN28" s="725"/>
      <c r="DPO28" s="725"/>
      <c r="DPP28" s="725"/>
      <c r="DPQ28" s="725"/>
      <c r="DPR28" s="725"/>
      <c r="DPS28" s="725"/>
      <c r="DPT28" s="725"/>
      <c r="DPU28" s="725"/>
      <c r="DPV28" s="725"/>
      <c r="DPW28" s="725"/>
      <c r="DPX28" s="725"/>
      <c r="DPY28" s="725"/>
      <c r="DPZ28" s="725"/>
      <c r="DQA28" s="725"/>
      <c r="DQB28" s="725"/>
      <c r="DQC28" s="725"/>
      <c r="DQD28" s="725"/>
      <c r="DQE28" s="725"/>
      <c r="DQF28" s="725"/>
      <c r="DQG28" s="725"/>
      <c r="DQH28" s="725"/>
      <c r="DQI28" s="725"/>
      <c r="DQJ28" s="725"/>
      <c r="DQK28" s="725"/>
      <c r="DQL28" s="725"/>
      <c r="DQM28" s="725"/>
      <c r="DQN28" s="725"/>
      <c r="DQO28" s="725"/>
      <c r="DQP28" s="725"/>
      <c r="DQQ28" s="725"/>
      <c r="DQR28" s="725"/>
      <c r="DQS28" s="725"/>
      <c r="DQT28" s="725"/>
      <c r="DQU28" s="725"/>
      <c r="DQV28" s="725"/>
      <c r="DQW28" s="725"/>
      <c r="DQX28" s="725"/>
      <c r="DQY28" s="725"/>
      <c r="DQZ28" s="725"/>
      <c r="DRA28" s="725"/>
      <c r="DRB28" s="725"/>
      <c r="DRC28" s="725"/>
      <c r="DRD28" s="725"/>
      <c r="DRE28" s="725"/>
      <c r="DRF28" s="725"/>
      <c r="DRG28" s="725"/>
      <c r="DRH28" s="725"/>
      <c r="DRI28" s="725"/>
      <c r="DRJ28" s="725"/>
      <c r="DRK28" s="725"/>
      <c r="DRL28" s="725"/>
      <c r="DRM28" s="725"/>
      <c r="DRN28" s="725"/>
      <c r="DRO28" s="725"/>
      <c r="DRP28" s="725"/>
      <c r="DRQ28" s="725"/>
      <c r="DRR28" s="725"/>
      <c r="DRS28" s="725"/>
      <c r="DRT28" s="725"/>
      <c r="DRU28" s="725"/>
      <c r="DRV28" s="725"/>
      <c r="DRW28" s="725"/>
      <c r="DRX28" s="725"/>
      <c r="DRY28" s="725"/>
      <c r="DRZ28" s="725"/>
      <c r="DSA28" s="725"/>
      <c r="DSB28" s="725"/>
      <c r="DSC28" s="725"/>
      <c r="DSD28" s="725"/>
      <c r="DSE28" s="725"/>
      <c r="DSF28" s="725"/>
      <c r="DSG28" s="725"/>
      <c r="DSH28" s="725"/>
      <c r="DSI28" s="725"/>
      <c r="DSJ28" s="725"/>
      <c r="DSK28" s="725"/>
      <c r="DSL28" s="725"/>
      <c r="DSM28" s="725"/>
      <c r="DSN28" s="725"/>
      <c r="DSO28" s="725"/>
      <c r="DSP28" s="725"/>
      <c r="DSQ28" s="725"/>
      <c r="DSR28" s="725"/>
      <c r="DSS28" s="725"/>
      <c r="DST28" s="725"/>
      <c r="DSU28" s="725"/>
      <c r="DSV28" s="725"/>
      <c r="DSW28" s="725"/>
      <c r="DSX28" s="725"/>
      <c r="DSY28" s="725"/>
      <c r="DSZ28" s="725"/>
      <c r="DTA28" s="725"/>
      <c r="DTB28" s="725"/>
      <c r="DTC28" s="725"/>
      <c r="DTD28" s="725"/>
      <c r="DTE28" s="725"/>
      <c r="DTF28" s="725"/>
      <c r="DTG28" s="725"/>
      <c r="DTH28" s="725"/>
      <c r="DTI28" s="725"/>
      <c r="DTJ28" s="725"/>
      <c r="DTK28" s="725"/>
      <c r="DTL28" s="725"/>
      <c r="DTM28" s="725"/>
      <c r="DTN28" s="725"/>
      <c r="DTO28" s="725"/>
      <c r="DTP28" s="725"/>
      <c r="DTQ28" s="725"/>
      <c r="DTR28" s="725"/>
      <c r="DTS28" s="725"/>
      <c r="DTT28" s="725"/>
      <c r="DTU28" s="725"/>
      <c r="DTV28" s="725"/>
      <c r="DTW28" s="725"/>
      <c r="DTX28" s="725"/>
      <c r="DTY28" s="725"/>
      <c r="DTZ28" s="725"/>
      <c r="DUA28" s="725"/>
      <c r="DUB28" s="725"/>
      <c r="DUC28" s="725"/>
      <c r="DUD28" s="725"/>
      <c r="DUE28" s="725"/>
      <c r="DUF28" s="725"/>
      <c r="DUG28" s="725"/>
      <c r="DUH28" s="725"/>
      <c r="DUI28" s="725"/>
      <c r="DUJ28" s="725"/>
      <c r="DUK28" s="725"/>
      <c r="DUL28" s="725"/>
      <c r="DUM28" s="725"/>
      <c r="DUN28" s="725"/>
      <c r="DUO28" s="725"/>
      <c r="DUP28" s="725"/>
      <c r="DUQ28" s="725"/>
      <c r="DUR28" s="725"/>
      <c r="DUS28" s="725"/>
      <c r="DUT28" s="725"/>
      <c r="DUU28" s="725"/>
      <c r="DUV28" s="725"/>
      <c r="DUW28" s="725"/>
      <c r="DUX28" s="725"/>
      <c r="DUY28" s="725"/>
      <c r="DUZ28" s="725"/>
      <c r="DVA28" s="725"/>
      <c r="DVB28" s="725"/>
      <c r="DVC28" s="725"/>
      <c r="DVD28" s="725"/>
      <c r="DVE28" s="725"/>
      <c r="DVF28" s="725"/>
      <c r="DVG28" s="725"/>
      <c r="DVH28" s="725"/>
      <c r="DVI28" s="725"/>
      <c r="DVJ28" s="725"/>
      <c r="DVK28" s="725"/>
      <c r="DVL28" s="725"/>
      <c r="DVM28" s="725"/>
      <c r="DVN28" s="725"/>
      <c r="DVO28" s="725"/>
      <c r="DVP28" s="725"/>
      <c r="DVQ28" s="725"/>
      <c r="DVR28" s="725"/>
      <c r="DVS28" s="725"/>
      <c r="DVT28" s="725"/>
      <c r="DVU28" s="725"/>
      <c r="DVV28" s="725"/>
      <c r="DVW28" s="725"/>
      <c r="DVX28" s="725"/>
      <c r="DVY28" s="725"/>
      <c r="DVZ28" s="725"/>
      <c r="DWA28" s="725"/>
      <c r="DWB28" s="725"/>
      <c r="DWC28" s="725"/>
      <c r="DWD28" s="725"/>
      <c r="DWE28" s="725"/>
      <c r="DWF28" s="725"/>
      <c r="DWG28" s="725"/>
      <c r="DWH28" s="725"/>
      <c r="DWI28" s="725"/>
      <c r="DWJ28" s="725"/>
      <c r="DWK28" s="725"/>
      <c r="DWL28" s="725"/>
      <c r="DWM28" s="725"/>
      <c r="DWN28" s="725"/>
      <c r="DWO28" s="725"/>
      <c r="DWP28" s="725"/>
      <c r="DWQ28" s="725"/>
      <c r="DWR28" s="725"/>
      <c r="DWS28" s="725"/>
      <c r="DWT28" s="725"/>
      <c r="DWU28" s="725"/>
      <c r="DWV28" s="725"/>
      <c r="DWW28" s="725"/>
      <c r="DWX28" s="725"/>
      <c r="DWY28" s="725"/>
      <c r="DWZ28" s="725"/>
      <c r="DXA28" s="725"/>
      <c r="DXB28" s="725"/>
      <c r="DXC28" s="725"/>
      <c r="DXD28" s="725"/>
      <c r="DXE28" s="725"/>
      <c r="DXF28" s="725"/>
      <c r="DXG28" s="725"/>
      <c r="DXH28" s="725"/>
      <c r="DXI28" s="725"/>
      <c r="DXJ28" s="725"/>
      <c r="DXK28" s="725"/>
      <c r="DXL28" s="725"/>
      <c r="DXM28" s="725"/>
      <c r="DXN28" s="725"/>
      <c r="DXO28" s="725"/>
      <c r="DXP28" s="725"/>
      <c r="DXQ28" s="725"/>
      <c r="DXR28" s="725"/>
      <c r="DXS28" s="725"/>
      <c r="DXT28" s="725"/>
      <c r="DXU28" s="725"/>
      <c r="DXV28" s="725"/>
      <c r="DXW28" s="725"/>
      <c r="DXX28" s="725"/>
      <c r="DXY28" s="725"/>
      <c r="DXZ28" s="725"/>
      <c r="DYA28" s="725"/>
      <c r="DYB28" s="725"/>
      <c r="DYC28" s="725"/>
      <c r="DYD28" s="725"/>
      <c r="DYE28" s="725"/>
      <c r="DYF28" s="725"/>
      <c r="DYG28" s="725"/>
      <c r="DYH28" s="725"/>
      <c r="DYI28" s="725"/>
      <c r="DYJ28" s="725"/>
      <c r="DYK28" s="725"/>
      <c r="DYL28" s="725"/>
      <c r="DYM28" s="725"/>
      <c r="DYN28" s="725"/>
      <c r="DYO28" s="725"/>
      <c r="DYP28" s="725"/>
      <c r="DYQ28" s="725"/>
      <c r="DYR28" s="725"/>
      <c r="DYS28" s="725"/>
      <c r="DYT28" s="725"/>
      <c r="DYU28" s="725"/>
      <c r="DYV28" s="725"/>
      <c r="DYW28" s="725"/>
      <c r="DYX28" s="725"/>
      <c r="DYY28" s="725"/>
      <c r="DYZ28" s="725"/>
      <c r="DZA28" s="725"/>
      <c r="DZB28" s="725"/>
      <c r="DZC28" s="725"/>
      <c r="DZD28" s="725"/>
      <c r="DZE28" s="725"/>
      <c r="DZF28" s="725"/>
      <c r="DZG28" s="725"/>
      <c r="DZH28" s="725"/>
      <c r="DZI28" s="725"/>
      <c r="DZJ28" s="725"/>
      <c r="DZK28" s="725"/>
      <c r="DZL28" s="725"/>
      <c r="DZM28" s="725"/>
      <c r="DZN28" s="725"/>
      <c r="DZO28" s="725"/>
      <c r="DZP28" s="725"/>
      <c r="DZQ28" s="725"/>
      <c r="DZR28" s="725"/>
      <c r="DZS28" s="725"/>
      <c r="DZT28" s="725"/>
      <c r="DZU28" s="725"/>
      <c r="DZV28" s="725"/>
      <c r="DZW28" s="725"/>
      <c r="DZX28" s="725"/>
      <c r="DZY28" s="725"/>
      <c r="DZZ28" s="725"/>
      <c r="EAA28" s="725"/>
      <c r="EAB28" s="725"/>
      <c r="EAC28" s="725"/>
      <c r="EAD28" s="725"/>
      <c r="EAE28" s="725"/>
      <c r="EAF28" s="725"/>
      <c r="EAG28" s="725"/>
      <c r="EAH28" s="725"/>
      <c r="EAI28" s="725"/>
      <c r="EAJ28" s="725"/>
      <c r="EAK28" s="725"/>
      <c r="EAL28" s="725"/>
      <c r="EAM28" s="725"/>
      <c r="EAN28" s="725"/>
      <c r="EAO28" s="725"/>
      <c r="EAP28" s="725"/>
      <c r="EAQ28" s="725"/>
      <c r="EAR28" s="725"/>
      <c r="EAS28" s="725"/>
      <c r="EAT28" s="725"/>
      <c r="EAU28" s="725"/>
      <c r="EAV28" s="725"/>
      <c r="EAW28" s="725"/>
      <c r="EAX28" s="725"/>
      <c r="EAY28" s="725"/>
      <c r="EAZ28" s="725"/>
      <c r="EBA28" s="725"/>
      <c r="EBB28" s="725"/>
      <c r="EBC28" s="725"/>
      <c r="EBD28" s="725"/>
      <c r="EBE28" s="725"/>
      <c r="EBF28" s="725"/>
      <c r="EBG28" s="725"/>
      <c r="EBH28" s="725"/>
      <c r="EBI28" s="725"/>
      <c r="EBJ28" s="725"/>
      <c r="EBK28" s="725"/>
      <c r="EBL28" s="725"/>
      <c r="EBM28" s="725"/>
      <c r="EBN28" s="725"/>
      <c r="EBO28" s="725"/>
      <c r="EBP28" s="725"/>
      <c r="EBQ28" s="725"/>
      <c r="EBR28" s="725"/>
      <c r="EBS28" s="725"/>
      <c r="EBT28" s="725"/>
      <c r="EBU28" s="725"/>
      <c r="EBV28" s="725"/>
      <c r="EBW28" s="725"/>
      <c r="EBX28" s="725"/>
      <c r="EBY28" s="725"/>
      <c r="EBZ28" s="725"/>
      <c r="ECA28" s="725"/>
      <c r="ECB28" s="725"/>
      <c r="ECC28" s="725"/>
      <c r="ECD28" s="725"/>
      <c r="ECE28" s="725"/>
      <c r="ECF28" s="725"/>
      <c r="ECG28" s="725"/>
      <c r="ECH28" s="725"/>
      <c r="ECI28" s="725"/>
      <c r="ECJ28" s="725"/>
      <c r="ECK28" s="725"/>
      <c r="ECL28" s="725"/>
      <c r="ECM28" s="725"/>
      <c r="ECN28" s="725"/>
      <c r="ECO28" s="725"/>
      <c r="ECP28" s="725"/>
      <c r="ECQ28" s="725"/>
      <c r="ECR28" s="725"/>
      <c r="ECS28" s="725"/>
      <c r="ECT28" s="725"/>
      <c r="ECU28" s="725"/>
      <c r="ECV28" s="725"/>
      <c r="ECW28" s="725"/>
      <c r="ECX28" s="725"/>
      <c r="ECY28" s="725"/>
      <c r="ECZ28" s="725"/>
      <c r="EDA28" s="725"/>
      <c r="EDB28" s="725"/>
      <c r="EDC28" s="725"/>
      <c r="EDD28" s="725"/>
      <c r="EDE28" s="725"/>
      <c r="EDF28" s="725"/>
      <c r="EDG28" s="725"/>
      <c r="EDH28" s="725"/>
      <c r="EDI28" s="725"/>
      <c r="EDJ28" s="725"/>
      <c r="EDK28" s="725"/>
      <c r="EDL28" s="725"/>
      <c r="EDM28" s="725"/>
      <c r="EDN28" s="725"/>
      <c r="EDO28" s="725"/>
      <c r="EDP28" s="725"/>
      <c r="EDQ28" s="725"/>
      <c r="EDR28" s="725"/>
      <c r="EDS28" s="725"/>
      <c r="EDT28" s="725"/>
      <c r="EDU28" s="725"/>
      <c r="EDV28" s="725"/>
      <c r="EDW28" s="725"/>
      <c r="EDX28" s="725"/>
      <c r="EDY28" s="725"/>
      <c r="EDZ28" s="725"/>
      <c r="EEA28" s="725"/>
      <c r="EEB28" s="725"/>
      <c r="EEC28" s="725"/>
      <c r="EED28" s="725"/>
      <c r="EEE28" s="725"/>
      <c r="EEF28" s="725"/>
      <c r="EEG28" s="725"/>
      <c r="EEH28" s="725"/>
      <c r="EEI28" s="725"/>
      <c r="EEJ28" s="725"/>
      <c r="EEK28" s="725"/>
      <c r="EEL28" s="725"/>
      <c r="EEM28" s="725"/>
      <c r="EEN28" s="725"/>
      <c r="EEO28" s="725"/>
      <c r="EEP28" s="725"/>
      <c r="EEQ28" s="725"/>
      <c r="EER28" s="725"/>
      <c r="EES28" s="725"/>
      <c r="EET28" s="725"/>
      <c r="EEU28" s="725"/>
      <c r="EEV28" s="725"/>
      <c r="EEW28" s="725"/>
      <c r="EEX28" s="725"/>
      <c r="EEY28" s="725"/>
      <c r="EEZ28" s="725"/>
      <c r="EFA28" s="725"/>
      <c r="EFB28" s="725"/>
      <c r="EFC28" s="725"/>
      <c r="EFD28" s="725"/>
      <c r="EFE28" s="725"/>
      <c r="EFF28" s="725"/>
      <c r="EFG28" s="725"/>
      <c r="EFH28" s="725"/>
      <c r="EFI28" s="725"/>
      <c r="EFJ28" s="725"/>
      <c r="EFK28" s="725"/>
      <c r="EFL28" s="725"/>
      <c r="EFM28" s="725"/>
      <c r="EFN28" s="725"/>
      <c r="EFO28" s="725"/>
      <c r="EFP28" s="725"/>
      <c r="EFQ28" s="725"/>
      <c r="EFR28" s="725"/>
      <c r="EFS28" s="725"/>
      <c r="EFT28" s="725"/>
      <c r="EFU28" s="725"/>
      <c r="EFV28" s="725"/>
      <c r="EFW28" s="725"/>
      <c r="EFX28" s="725"/>
      <c r="EFY28" s="725"/>
      <c r="EFZ28" s="725"/>
      <c r="EGA28" s="725"/>
      <c r="EGB28" s="725"/>
      <c r="EGC28" s="725"/>
      <c r="EGD28" s="725"/>
      <c r="EGE28" s="725"/>
      <c r="EGF28" s="725"/>
      <c r="EGG28" s="725"/>
      <c r="EGH28" s="725"/>
      <c r="EGI28" s="725"/>
      <c r="EGJ28" s="725"/>
      <c r="EGK28" s="725"/>
      <c r="EGL28" s="725"/>
      <c r="EGM28" s="725"/>
      <c r="EGN28" s="725"/>
      <c r="EGO28" s="725"/>
      <c r="EGP28" s="725"/>
      <c r="EGQ28" s="725"/>
      <c r="EGR28" s="725"/>
      <c r="EGS28" s="725"/>
      <c r="EGT28" s="725"/>
      <c r="EGU28" s="725"/>
      <c r="EGV28" s="725"/>
      <c r="EGW28" s="725"/>
      <c r="EGX28" s="725"/>
      <c r="EGY28" s="725"/>
      <c r="EGZ28" s="725"/>
      <c r="EHA28" s="725"/>
      <c r="EHB28" s="725"/>
      <c r="EHC28" s="725"/>
      <c r="EHD28" s="725"/>
      <c r="EHE28" s="725"/>
      <c r="EHF28" s="725"/>
      <c r="EHG28" s="725"/>
      <c r="EHH28" s="725"/>
      <c r="EHI28" s="725"/>
      <c r="EHJ28" s="725"/>
      <c r="EHK28" s="725"/>
      <c r="EHL28" s="725"/>
      <c r="EHM28" s="725"/>
      <c r="EHN28" s="725"/>
      <c r="EHO28" s="725"/>
      <c r="EHP28" s="725"/>
      <c r="EHQ28" s="725"/>
      <c r="EHR28" s="725"/>
      <c r="EHS28" s="725"/>
      <c r="EHT28" s="725"/>
      <c r="EHU28" s="725"/>
      <c r="EHV28" s="725"/>
      <c r="EHW28" s="725"/>
      <c r="EHX28" s="725"/>
      <c r="EHY28" s="725"/>
      <c r="EHZ28" s="725"/>
      <c r="EIA28" s="725"/>
      <c r="EIB28" s="725"/>
      <c r="EIC28" s="725"/>
      <c r="EID28" s="725"/>
      <c r="EIE28" s="725"/>
      <c r="EIF28" s="725"/>
      <c r="EIG28" s="725"/>
      <c r="EIH28" s="725"/>
      <c r="EII28" s="725"/>
      <c r="EIJ28" s="725"/>
      <c r="EIK28" s="725"/>
      <c r="EIL28" s="725"/>
      <c r="EIM28" s="725"/>
      <c r="EIN28" s="725"/>
      <c r="EIO28" s="725"/>
      <c r="EIP28" s="725"/>
      <c r="EIQ28" s="725"/>
      <c r="EIR28" s="725"/>
      <c r="EIS28" s="725"/>
      <c r="EIT28" s="725"/>
      <c r="EIU28" s="725"/>
      <c r="EIV28" s="725"/>
      <c r="EIW28" s="725"/>
      <c r="EIX28" s="725"/>
      <c r="EIY28" s="725"/>
      <c r="EIZ28" s="725"/>
      <c r="EJA28" s="725"/>
      <c r="EJB28" s="725"/>
      <c r="EJC28" s="725"/>
      <c r="EJD28" s="725"/>
      <c r="EJE28" s="725"/>
      <c r="EJF28" s="725"/>
      <c r="EJG28" s="725"/>
      <c r="EJH28" s="725"/>
      <c r="EJI28" s="725"/>
      <c r="EJJ28" s="725"/>
      <c r="EJK28" s="725"/>
      <c r="EJL28" s="725"/>
      <c r="EJM28" s="725"/>
      <c r="EJN28" s="725"/>
      <c r="EJO28" s="725"/>
      <c r="EJP28" s="725"/>
      <c r="EJQ28" s="725"/>
      <c r="EJR28" s="725"/>
      <c r="EJS28" s="725"/>
      <c r="EJT28" s="725"/>
      <c r="EJU28" s="725"/>
      <c r="EJV28" s="725"/>
      <c r="EJW28" s="725"/>
      <c r="EJX28" s="725"/>
      <c r="EJY28" s="725"/>
      <c r="EJZ28" s="725"/>
      <c r="EKA28" s="725"/>
      <c r="EKB28" s="725"/>
      <c r="EKC28" s="725"/>
      <c r="EKD28" s="725"/>
      <c r="EKE28" s="725"/>
      <c r="EKF28" s="725"/>
      <c r="EKG28" s="725"/>
      <c r="EKH28" s="725"/>
      <c r="EKI28" s="725"/>
      <c r="EKJ28" s="725"/>
      <c r="EKK28" s="725"/>
      <c r="EKL28" s="725"/>
      <c r="EKM28" s="725"/>
      <c r="EKN28" s="725"/>
      <c r="EKO28" s="725"/>
      <c r="EKP28" s="725"/>
      <c r="EKQ28" s="725"/>
      <c r="EKR28" s="725"/>
      <c r="EKS28" s="725"/>
      <c r="EKT28" s="725"/>
      <c r="EKU28" s="725"/>
      <c r="EKV28" s="725"/>
      <c r="EKW28" s="725"/>
      <c r="EKX28" s="725"/>
      <c r="EKY28" s="725"/>
      <c r="EKZ28" s="725"/>
      <c r="ELA28" s="725"/>
      <c r="ELB28" s="725"/>
      <c r="ELC28" s="725"/>
      <c r="ELD28" s="725"/>
      <c r="ELE28" s="725"/>
      <c r="ELF28" s="725"/>
      <c r="ELG28" s="725"/>
      <c r="ELH28" s="725"/>
      <c r="ELI28" s="725"/>
      <c r="ELJ28" s="725"/>
      <c r="ELK28" s="725"/>
      <c r="ELL28" s="725"/>
      <c r="ELM28" s="725"/>
      <c r="ELN28" s="725"/>
      <c r="ELO28" s="725"/>
      <c r="ELP28" s="725"/>
      <c r="ELQ28" s="725"/>
      <c r="ELR28" s="725"/>
      <c r="ELS28" s="725"/>
      <c r="ELT28" s="725"/>
      <c r="ELU28" s="725"/>
      <c r="ELV28" s="725"/>
      <c r="ELW28" s="725"/>
      <c r="ELX28" s="725"/>
      <c r="ELY28" s="725"/>
      <c r="ELZ28" s="725"/>
      <c r="EMA28" s="725"/>
      <c r="EMB28" s="725"/>
      <c r="EMC28" s="725"/>
      <c r="EMD28" s="725"/>
      <c r="EME28" s="725"/>
      <c r="EMF28" s="725"/>
      <c r="EMG28" s="725"/>
      <c r="EMH28" s="725"/>
      <c r="EMI28" s="725"/>
      <c r="EMJ28" s="725"/>
      <c r="EMK28" s="725"/>
      <c r="EML28" s="725"/>
      <c r="EMM28" s="725"/>
      <c r="EMN28" s="725"/>
      <c r="EMO28" s="725"/>
      <c r="EMP28" s="725"/>
      <c r="EMQ28" s="725"/>
      <c r="EMR28" s="725"/>
      <c r="EMS28" s="725"/>
      <c r="EMT28" s="725"/>
      <c r="EMU28" s="725"/>
      <c r="EMV28" s="725"/>
      <c r="EMW28" s="725"/>
      <c r="EMX28" s="725"/>
      <c r="EMY28" s="725"/>
      <c r="EMZ28" s="725"/>
      <c r="ENA28" s="725"/>
      <c r="ENB28" s="725"/>
      <c r="ENC28" s="725"/>
      <c r="END28" s="725"/>
      <c r="ENE28" s="725"/>
      <c r="ENF28" s="725"/>
      <c r="ENG28" s="725"/>
      <c r="ENH28" s="725"/>
      <c r="ENI28" s="725"/>
      <c r="ENJ28" s="725"/>
      <c r="ENK28" s="725"/>
      <c r="ENL28" s="725"/>
      <c r="ENM28" s="725"/>
      <c r="ENN28" s="725"/>
      <c r="ENO28" s="725"/>
      <c r="ENP28" s="725"/>
      <c r="ENQ28" s="725"/>
      <c r="ENR28" s="725"/>
      <c r="ENS28" s="725"/>
      <c r="ENT28" s="725"/>
      <c r="ENU28" s="725"/>
      <c r="ENV28" s="725"/>
      <c r="ENW28" s="725"/>
      <c r="ENX28" s="725"/>
      <c r="ENY28" s="725"/>
      <c r="ENZ28" s="725"/>
      <c r="EOA28" s="725"/>
      <c r="EOB28" s="725"/>
      <c r="EOC28" s="725"/>
      <c r="EOD28" s="725"/>
      <c r="EOE28" s="725"/>
      <c r="EOF28" s="725"/>
      <c r="EOG28" s="725"/>
      <c r="EOH28" s="725"/>
      <c r="EOI28" s="725"/>
      <c r="EOJ28" s="725"/>
      <c r="EOK28" s="725"/>
      <c r="EOL28" s="725"/>
      <c r="EOM28" s="725"/>
      <c r="EON28" s="725"/>
      <c r="EOO28" s="725"/>
      <c r="EOP28" s="725"/>
      <c r="EOQ28" s="725"/>
      <c r="EOR28" s="725"/>
      <c r="EOS28" s="725"/>
      <c r="EOT28" s="725"/>
      <c r="EOU28" s="725"/>
      <c r="EOV28" s="725"/>
      <c r="EOW28" s="725"/>
      <c r="EOX28" s="725"/>
      <c r="EOY28" s="725"/>
      <c r="EOZ28" s="725"/>
      <c r="EPA28" s="725"/>
      <c r="EPB28" s="725"/>
      <c r="EPC28" s="725"/>
      <c r="EPD28" s="725"/>
      <c r="EPE28" s="725"/>
      <c r="EPF28" s="725"/>
      <c r="EPG28" s="725"/>
      <c r="EPH28" s="725"/>
      <c r="EPI28" s="725"/>
      <c r="EPJ28" s="725"/>
      <c r="EPK28" s="725"/>
      <c r="EPL28" s="725"/>
      <c r="EPM28" s="725"/>
      <c r="EPN28" s="725"/>
      <c r="EPO28" s="725"/>
      <c r="EPP28" s="725"/>
      <c r="EPQ28" s="725"/>
      <c r="EPR28" s="725"/>
      <c r="EPS28" s="725"/>
      <c r="EPT28" s="725"/>
      <c r="EPU28" s="725"/>
      <c r="EPV28" s="725"/>
      <c r="EPW28" s="725"/>
      <c r="EPX28" s="725"/>
      <c r="EPY28" s="725"/>
      <c r="EPZ28" s="725"/>
      <c r="EQA28" s="725"/>
      <c r="EQB28" s="725"/>
      <c r="EQC28" s="725"/>
      <c r="EQD28" s="725"/>
      <c r="EQE28" s="725"/>
      <c r="EQF28" s="725"/>
      <c r="EQG28" s="725"/>
      <c r="EQH28" s="725"/>
      <c r="EQI28" s="725"/>
      <c r="EQJ28" s="725"/>
      <c r="EQK28" s="725"/>
      <c r="EQL28" s="725"/>
      <c r="EQM28" s="725"/>
      <c r="EQN28" s="725"/>
      <c r="EQO28" s="725"/>
      <c r="EQP28" s="725"/>
      <c r="EQQ28" s="725"/>
      <c r="EQR28" s="725"/>
      <c r="EQS28" s="725"/>
      <c r="EQT28" s="725"/>
      <c r="EQU28" s="725"/>
      <c r="EQV28" s="725"/>
      <c r="EQW28" s="725"/>
      <c r="EQX28" s="725"/>
      <c r="EQY28" s="725"/>
      <c r="EQZ28" s="725"/>
      <c r="ERA28" s="725"/>
      <c r="ERB28" s="725"/>
      <c r="ERC28" s="725"/>
      <c r="ERD28" s="725"/>
      <c r="ERE28" s="725"/>
      <c r="ERF28" s="725"/>
      <c r="ERG28" s="725"/>
      <c r="ERH28" s="725"/>
      <c r="ERI28" s="725"/>
      <c r="ERJ28" s="725"/>
      <c r="ERK28" s="725"/>
      <c r="ERL28" s="725"/>
      <c r="ERM28" s="725"/>
      <c r="ERN28" s="725"/>
      <c r="ERO28" s="725"/>
      <c r="ERP28" s="725"/>
      <c r="ERQ28" s="725"/>
      <c r="ERR28" s="725"/>
      <c r="ERS28" s="725"/>
      <c r="ERT28" s="725"/>
      <c r="ERU28" s="725"/>
      <c r="ERV28" s="725"/>
      <c r="ERW28" s="725"/>
      <c r="ERX28" s="725"/>
      <c r="ERY28" s="725"/>
      <c r="ERZ28" s="725"/>
      <c r="ESA28" s="725"/>
      <c r="ESB28" s="725"/>
      <c r="ESC28" s="725"/>
      <c r="ESD28" s="725"/>
      <c r="ESE28" s="725"/>
      <c r="ESF28" s="725"/>
      <c r="ESG28" s="725"/>
      <c r="ESH28" s="725"/>
      <c r="ESI28" s="725"/>
      <c r="ESJ28" s="725"/>
      <c r="ESK28" s="725"/>
      <c r="ESL28" s="725"/>
      <c r="ESM28" s="725"/>
      <c r="ESN28" s="725"/>
      <c r="ESO28" s="725"/>
      <c r="ESP28" s="725"/>
      <c r="ESQ28" s="725"/>
      <c r="ESR28" s="725"/>
      <c r="ESS28" s="725"/>
      <c r="EST28" s="725"/>
      <c r="ESU28" s="725"/>
      <c r="ESV28" s="725"/>
      <c r="ESW28" s="725"/>
      <c r="ESX28" s="725"/>
      <c r="ESY28" s="725"/>
      <c r="ESZ28" s="725"/>
      <c r="ETA28" s="725"/>
      <c r="ETB28" s="725"/>
      <c r="ETC28" s="725"/>
      <c r="ETD28" s="725"/>
      <c r="ETE28" s="725"/>
      <c r="ETF28" s="725"/>
      <c r="ETG28" s="725"/>
      <c r="ETH28" s="725"/>
      <c r="ETI28" s="725"/>
      <c r="ETJ28" s="725"/>
      <c r="ETK28" s="725"/>
      <c r="ETL28" s="725"/>
      <c r="ETM28" s="725"/>
      <c r="ETN28" s="725"/>
      <c r="ETO28" s="725"/>
      <c r="ETP28" s="725"/>
      <c r="ETQ28" s="725"/>
      <c r="ETR28" s="725"/>
      <c r="ETS28" s="725"/>
      <c r="ETT28" s="725"/>
      <c r="ETU28" s="725"/>
      <c r="ETV28" s="725"/>
      <c r="ETW28" s="725"/>
      <c r="ETX28" s="725"/>
      <c r="ETY28" s="725"/>
      <c r="ETZ28" s="725"/>
      <c r="EUA28" s="725"/>
      <c r="EUB28" s="725"/>
      <c r="EUC28" s="725"/>
      <c r="EUD28" s="725"/>
      <c r="EUE28" s="725"/>
      <c r="EUF28" s="725"/>
      <c r="EUG28" s="725"/>
      <c r="EUH28" s="725"/>
      <c r="EUI28" s="725"/>
      <c r="EUJ28" s="725"/>
      <c r="EUK28" s="725"/>
      <c r="EUL28" s="725"/>
      <c r="EUM28" s="725"/>
      <c r="EUN28" s="725"/>
      <c r="EUO28" s="725"/>
      <c r="EUP28" s="725"/>
      <c r="EUQ28" s="725"/>
      <c r="EUR28" s="725"/>
      <c r="EUS28" s="725"/>
      <c r="EUT28" s="725"/>
      <c r="EUU28" s="725"/>
      <c r="EUV28" s="725"/>
      <c r="EUW28" s="725"/>
      <c r="EUX28" s="725"/>
      <c r="EUY28" s="725"/>
      <c r="EUZ28" s="725"/>
      <c r="EVA28" s="725"/>
      <c r="EVB28" s="725"/>
      <c r="EVC28" s="725"/>
      <c r="EVD28" s="725"/>
      <c r="EVE28" s="725"/>
      <c r="EVF28" s="725"/>
      <c r="EVG28" s="725"/>
      <c r="EVH28" s="725"/>
      <c r="EVI28" s="725"/>
      <c r="EVJ28" s="725"/>
      <c r="EVK28" s="725"/>
      <c r="EVL28" s="725"/>
      <c r="EVM28" s="725"/>
      <c r="EVN28" s="725"/>
      <c r="EVO28" s="725"/>
      <c r="EVP28" s="725"/>
      <c r="EVQ28" s="725"/>
      <c r="EVR28" s="725"/>
      <c r="EVS28" s="725"/>
      <c r="EVT28" s="725"/>
      <c r="EVU28" s="725"/>
      <c r="EVV28" s="725"/>
      <c r="EVW28" s="725"/>
      <c r="EVX28" s="725"/>
      <c r="EVY28" s="725"/>
      <c r="EVZ28" s="725"/>
      <c r="EWA28" s="725"/>
      <c r="EWB28" s="725"/>
      <c r="EWC28" s="725"/>
      <c r="EWD28" s="725"/>
      <c r="EWE28" s="725"/>
      <c r="EWF28" s="725"/>
      <c r="EWG28" s="725"/>
      <c r="EWH28" s="725"/>
      <c r="EWI28" s="725"/>
      <c r="EWJ28" s="725"/>
      <c r="EWK28" s="725"/>
      <c r="EWL28" s="725"/>
      <c r="EWM28" s="725"/>
      <c r="EWN28" s="725"/>
      <c r="EWO28" s="725"/>
      <c r="EWP28" s="725"/>
      <c r="EWQ28" s="725"/>
      <c r="EWR28" s="725"/>
      <c r="EWS28" s="725"/>
      <c r="EWT28" s="725"/>
      <c r="EWU28" s="725"/>
      <c r="EWV28" s="725"/>
      <c r="EWW28" s="725"/>
      <c r="EWX28" s="725"/>
      <c r="EWY28" s="725"/>
      <c r="EWZ28" s="725"/>
      <c r="EXA28" s="725"/>
      <c r="EXB28" s="725"/>
      <c r="EXC28" s="725"/>
      <c r="EXD28" s="725"/>
      <c r="EXE28" s="725"/>
      <c r="EXF28" s="725"/>
      <c r="EXG28" s="725"/>
      <c r="EXH28" s="725"/>
      <c r="EXI28" s="725"/>
      <c r="EXJ28" s="725"/>
      <c r="EXK28" s="725"/>
      <c r="EXL28" s="725"/>
      <c r="EXM28" s="725"/>
      <c r="EXN28" s="725"/>
      <c r="EXO28" s="725"/>
      <c r="EXP28" s="725"/>
      <c r="EXQ28" s="725"/>
      <c r="EXR28" s="725"/>
      <c r="EXS28" s="725"/>
      <c r="EXT28" s="725"/>
      <c r="EXU28" s="725"/>
      <c r="EXV28" s="725"/>
      <c r="EXW28" s="725"/>
      <c r="EXX28" s="725"/>
      <c r="EXY28" s="725"/>
      <c r="EXZ28" s="725"/>
      <c r="EYA28" s="725"/>
      <c r="EYB28" s="725"/>
      <c r="EYC28" s="725"/>
      <c r="EYD28" s="725"/>
      <c r="EYE28" s="725"/>
      <c r="EYF28" s="725"/>
      <c r="EYG28" s="725"/>
      <c r="EYH28" s="725"/>
      <c r="EYI28" s="725"/>
      <c r="EYJ28" s="725"/>
      <c r="EYK28" s="725"/>
      <c r="EYL28" s="725"/>
      <c r="EYM28" s="725"/>
      <c r="EYN28" s="725"/>
      <c r="EYO28" s="725"/>
      <c r="EYP28" s="725"/>
      <c r="EYQ28" s="725"/>
      <c r="EYR28" s="725"/>
      <c r="EYS28" s="725"/>
      <c r="EYT28" s="725"/>
      <c r="EYU28" s="725"/>
      <c r="EYV28" s="725"/>
      <c r="EYW28" s="725"/>
      <c r="EYX28" s="725"/>
      <c r="EYY28" s="725"/>
      <c r="EYZ28" s="725"/>
      <c r="EZA28" s="725"/>
      <c r="EZB28" s="725"/>
      <c r="EZC28" s="725"/>
      <c r="EZD28" s="725"/>
      <c r="EZE28" s="725"/>
      <c r="EZF28" s="725"/>
      <c r="EZG28" s="725"/>
      <c r="EZH28" s="725"/>
      <c r="EZI28" s="725"/>
      <c r="EZJ28" s="725"/>
      <c r="EZK28" s="725"/>
      <c r="EZL28" s="725"/>
      <c r="EZM28" s="725"/>
      <c r="EZN28" s="725"/>
      <c r="EZO28" s="725"/>
      <c r="EZP28" s="725"/>
      <c r="EZQ28" s="725"/>
      <c r="EZR28" s="725"/>
      <c r="EZS28" s="725"/>
      <c r="EZT28" s="725"/>
      <c r="EZU28" s="725"/>
      <c r="EZV28" s="725"/>
      <c r="EZW28" s="725"/>
      <c r="EZX28" s="725"/>
      <c r="EZY28" s="725"/>
      <c r="EZZ28" s="725"/>
      <c r="FAA28" s="725"/>
      <c r="FAB28" s="725"/>
      <c r="FAC28" s="725"/>
      <c r="FAD28" s="725"/>
      <c r="FAE28" s="725"/>
      <c r="FAF28" s="725"/>
      <c r="FAG28" s="725"/>
      <c r="FAH28" s="725"/>
      <c r="FAI28" s="725"/>
      <c r="FAJ28" s="725"/>
      <c r="FAK28" s="725"/>
      <c r="FAL28" s="725"/>
      <c r="FAM28" s="725"/>
      <c r="FAN28" s="725"/>
      <c r="FAO28" s="725"/>
      <c r="FAP28" s="725"/>
      <c r="FAQ28" s="725"/>
      <c r="FAR28" s="725"/>
      <c r="FAS28" s="725"/>
      <c r="FAT28" s="725"/>
      <c r="FAU28" s="725"/>
      <c r="FAV28" s="725"/>
      <c r="FAW28" s="725"/>
      <c r="FAX28" s="725"/>
      <c r="FAY28" s="725"/>
      <c r="FAZ28" s="725"/>
      <c r="FBA28" s="725"/>
      <c r="FBB28" s="725"/>
      <c r="FBC28" s="725"/>
      <c r="FBD28" s="725"/>
      <c r="FBE28" s="725"/>
      <c r="FBF28" s="725"/>
      <c r="FBG28" s="725"/>
      <c r="FBH28" s="725"/>
      <c r="FBI28" s="725"/>
      <c r="FBJ28" s="725"/>
      <c r="FBK28" s="725"/>
      <c r="FBL28" s="725"/>
      <c r="FBM28" s="725"/>
      <c r="FBN28" s="725"/>
      <c r="FBO28" s="725"/>
      <c r="FBP28" s="725"/>
      <c r="FBQ28" s="725"/>
      <c r="FBR28" s="725"/>
      <c r="FBS28" s="725"/>
      <c r="FBT28" s="725"/>
      <c r="FBU28" s="725"/>
      <c r="FBV28" s="725"/>
      <c r="FBW28" s="725"/>
      <c r="FBX28" s="725"/>
      <c r="FBY28" s="725"/>
      <c r="FBZ28" s="725"/>
      <c r="FCA28" s="725"/>
      <c r="FCB28" s="725"/>
      <c r="FCC28" s="725"/>
      <c r="FCD28" s="725"/>
      <c r="FCE28" s="725"/>
      <c r="FCF28" s="725"/>
      <c r="FCG28" s="725"/>
      <c r="FCH28" s="725"/>
      <c r="FCI28" s="725"/>
      <c r="FCJ28" s="725"/>
      <c r="FCK28" s="725"/>
      <c r="FCL28" s="725"/>
      <c r="FCM28" s="725"/>
      <c r="FCN28" s="725"/>
      <c r="FCO28" s="725"/>
      <c r="FCP28" s="725"/>
      <c r="FCQ28" s="725"/>
      <c r="FCR28" s="725"/>
      <c r="FCS28" s="725"/>
      <c r="FCT28" s="725"/>
      <c r="FCU28" s="725"/>
      <c r="FCV28" s="725"/>
      <c r="FCW28" s="725"/>
      <c r="FCX28" s="725"/>
      <c r="FCY28" s="725"/>
      <c r="FCZ28" s="725"/>
      <c r="FDA28" s="725"/>
      <c r="FDB28" s="725"/>
      <c r="FDC28" s="725"/>
      <c r="FDD28" s="725"/>
      <c r="FDE28" s="725"/>
      <c r="FDF28" s="725"/>
      <c r="FDG28" s="725"/>
      <c r="FDH28" s="725"/>
      <c r="FDI28" s="725"/>
      <c r="FDJ28" s="725"/>
      <c r="FDK28" s="725"/>
      <c r="FDL28" s="725"/>
      <c r="FDM28" s="725"/>
      <c r="FDN28" s="725"/>
      <c r="FDO28" s="725"/>
      <c r="FDP28" s="725"/>
      <c r="FDQ28" s="725"/>
      <c r="FDR28" s="725"/>
      <c r="FDS28" s="725"/>
      <c r="FDT28" s="725"/>
      <c r="FDU28" s="725"/>
      <c r="FDV28" s="725"/>
      <c r="FDW28" s="725"/>
      <c r="FDX28" s="725"/>
      <c r="FDY28" s="725"/>
      <c r="FDZ28" s="725"/>
      <c r="FEA28" s="725"/>
      <c r="FEB28" s="725"/>
      <c r="FEC28" s="725"/>
      <c r="FED28" s="725"/>
      <c r="FEE28" s="725"/>
      <c r="FEF28" s="725"/>
      <c r="FEG28" s="725"/>
      <c r="FEH28" s="725"/>
      <c r="FEI28" s="725"/>
      <c r="FEJ28" s="725"/>
      <c r="FEK28" s="725"/>
      <c r="FEL28" s="725"/>
      <c r="FEM28" s="725"/>
      <c r="FEN28" s="725"/>
      <c r="FEO28" s="725"/>
      <c r="FEP28" s="725"/>
      <c r="FEQ28" s="725"/>
      <c r="FER28" s="725"/>
      <c r="FES28" s="725"/>
      <c r="FET28" s="725"/>
      <c r="FEU28" s="725"/>
      <c r="FEV28" s="725"/>
      <c r="FEW28" s="725"/>
      <c r="FEX28" s="725"/>
      <c r="FEY28" s="725"/>
      <c r="FEZ28" s="725"/>
      <c r="FFA28" s="725"/>
      <c r="FFB28" s="725"/>
      <c r="FFC28" s="725"/>
      <c r="FFD28" s="725"/>
      <c r="FFE28" s="725"/>
      <c r="FFF28" s="725"/>
      <c r="FFG28" s="725"/>
      <c r="FFH28" s="725"/>
      <c r="FFI28" s="725"/>
      <c r="FFJ28" s="725"/>
      <c r="FFK28" s="725"/>
      <c r="FFL28" s="725"/>
      <c r="FFM28" s="725"/>
      <c r="FFN28" s="725"/>
      <c r="FFO28" s="725"/>
      <c r="FFP28" s="725"/>
      <c r="FFQ28" s="725"/>
      <c r="FFR28" s="725"/>
      <c r="FFS28" s="725"/>
      <c r="FFT28" s="725"/>
      <c r="FFU28" s="725"/>
      <c r="FFV28" s="725"/>
      <c r="FFW28" s="725"/>
      <c r="FFX28" s="725"/>
      <c r="FFY28" s="725"/>
      <c r="FFZ28" s="725"/>
      <c r="FGA28" s="725"/>
      <c r="FGB28" s="725"/>
      <c r="FGC28" s="725"/>
      <c r="FGD28" s="725"/>
      <c r="FGE28" s="725"/>
      <c r="FGF28" s="725"/>
      <c r="FGG28" s="725"/>
      <c r="FGH28" s="725"/>
      <c r="FGI28" s="725"/>
      <c r="FGJ28" s="725"/>
      <c r="FGK28" s="725"/>
      <c r="FGL28" s="725"/>
      <c r="FGM28" s="725"/>
      <c r="FGN28" s="725"/>
      <c r="FGO28" s="725"/>
      <c r="FGP28" s="725"/>
      <c r="FGQ28" s="725"/>
      <c r="FGR28" s="725"/>
      <c r="FGS28" s="725"/>
      <c r="FGT28" s="725"/>
      <c r="FGU28" s="725"/>
      <c r="FGV28" s="725"/>
      <c r="FGW28" s="725"/>
      <c r="FGX28" s="725"/>
      <c r="FGY28" s="725"/>
      <c r="FGZ28" s="725"/>
      <c r="FHA28" s="725"/>
      <c r="FHB28" s="725"/>
      <c r="FHC28" s="725"/>
      <c r="FHD28" s="725"/>
      <c r="FHE28" s="725"/>
      <c r="FHF28" s="725"/>
      <c r="FHG28" s="725"/>
      <c r="FHH28" s="725"/>
      <c r="FHI28" s="725"/>
      <c r="FHJ28" s="725"/>
      <c r="FHK28" s="725"/>
      <c r="FHL28" s="725"/>
      <c r="FHM28" s="725"/>
      <c r="FHN28" s="725"/>
      <c r="FHO28" s="725"/>
      <c r="FHP28" s="725"/>
      <c r="FHQ28" s="725"/>
      <c r="FHR28" s="725"/>
      <c r="FHS28" s="725"/>
      <c r="FHT28" s="725"/>
      <c r="FHU28" s="725"/>
      <c r="FHV28" s="725"/>
      <c r="FHW28" s="725"/>
      <c r="FHX28" s="725"/>
      <c r="FHY28" s="725"/>
      <c r="FHZ28" s="725"/>
      <c r="FIA28" s="725"/>
      <c r="FIB28" s="725"/>
      <c r="FIC28" s="725"/>
      <c r="FID28" s="725"/>
      <c r="FIE28" s="725"/>
      <c r="FIF28" s="725"/>
      <c r="FIG28" s="725"/>
      <c r="FIH28" s="725"/>
      <c r="FII28" s="725"/>
      <c r="FIJ28" s="725"/>
      <c r="FIK28" s="725"/>
      <c r="FIL28" s="725"/>
      <c r="FIM28" s="725"/>
      <c r="FIN28" s="725"/>
      <c r="FIO28" s="725"/>
      <c r="FIP28" s="725"/>
      <c r="FIQ28" s="725"/>
      <c r="FIR28" s="725"/>
      <c r="FIS28" s="725"/>
      <c r="FIT28" s="725"/>
      <c r="FIU28" s="725"/>
      <c r="FIV28" s="725"/>
      <c r="FIW28" s="725"/>
      <c r="FIX28" s="725"/>
      <c r="FIY28" s="725"/>
      <c r="FIZ28" s="725"/>
      <c r="FJA28" s="725"/>
      <c r="FJB28" s="725"/>
      <c r="FJC28" s="725"/>
      <c r="FJD28" s="725"/>
      <c r="FJE28" s="725"/>
      <c r="FJF28" s="725"/>
      <c r="FJG28" s="725"/>
      <c r="FJH28" s="725"/>
      <c r="FJI28" s="725"/>
      <c r="FJJ28" s="725"/>
      <c r="FJK28" s="725"/>
      <c r="FJL28" s="725"/>
      <c r="FJM28" s="725"/>
      <c r="FJN28" s="725"/>
      <c r="FJO28" s="725"/>
      <c r="FJP28" s="725"/>
      <c r="FJQ28" s="725"/>
      <c r="FJR28" s="725"/>
      <c r="FJS28" s="725"/>
      <c r="FJT28" s="725"/>
      <c r="FJU28" s="725"/>
      <c r="FJV28" s="725"/>
      <c r="FJW28" s="725"/>
      <c r="FJX28" s="725"/>
      <c r="FJY28" s="725"/>
      <c r="FJZ28" s="725"/>
      <c r="FKA28" s="725"/>
      <c r="FKB28" s="725"/>
      <c r="FKC28" s="725"/>
      <c r="FKD28" s="725"/>
      <c r="FKE28" s="725"/>
      <c r="FKF28" s="725"/>
      <c r="FKG28" s="725"/>
      <c r="FKH28" s="725"/>
      <c r="FKI28" s="725"/>
      <c r="FKJ28" s="725"/>
      <c r="FKK28" s="725"/>
      <c r="FKL28" s="725"/>
      <c r="FKM28" s="725"/>
      <c r="FKN28" s="725"/>
      <c r="FKO28" s="725"/>
      <c r="FKP28" s="725"/>
      <c r="FKQ28" s="725"/>
      <c r="FKR28" s="725"/>
      <c r="FKS28" s="725"/>
      <c r="FKT28" s="725"/>
      <c r="FKU28" s="725"/>
      <c r="FKV28" s="725"/>
      <c r="FKW28" s="725"/>
      <c r="FKX28" s="725"/>
      <c r="FKY28" s="725"/>
      <c r="FKZ28" s="725"/>
      <c r="FLA28" s="725"/>
      <c r="FLB28" s="725"/>
      <c r="FLC28" s="725"/>
      <c r="FLD28" s="725"/>
      <c r="FLE28" s="725"/>
      <c r="FLF28" s="725"/>
      <c r="FLG28" s="725"/>
      <c r="FLH28" s="725"/>
      <c r="FLI28" s="725"/>
      <c r="FLJ28" s="725"/>
      <c r="FLK28" s="725"/>
      <c r="FLL28" s="725"/>
      <c r="FLM28" s="725"/>
      <c r="FLN28" s="725"/>
      <c r="FLO28" s="725"/>
      <c r="FLP28" s="725"/>
      <c r="FLQ28" s="725"/>
      <c r="FLR28" s="725"/>
      <c r="FLS28" s="725"/>
      <c r="FLT28" s="725"/>
      <c r="FLU28" s="725"/>
      <c r="FLV28" s="725"/>
      <c r="FLW28" s="725"/>
      <c r="FLX28" s="725"/>
      <c r="FLY28" s="725"/>
      <c r="FLZ28" s="725"/>
      <c r="FMA28" s="725"/>
      <c r="FMB28" s="725"/>
      <c r="FMC28" s="725"/>
      <c r="FMD28" s="725"/>
      <c r="FME28" s="725"/>
      <c r="FMF28" s="725"/>
      <c r="FMG28" s="725"/>
      <c r="FMH28" s="725"/>
      <c r="FMI28" s="725"/>
      <c r="FMJ28" s="725"/>
      <c r="FMK28" s="725"/>
      <c r="FML28" s="725"/>
      <c r="FMM28" s="725"/>
      <c r="FMN28" s="725"/>
      <c r="FMO28" s="725"/>
      <c r="FMP28" s="725"/>
      <c r="FMQ28" s="725"/>
      <c r="FMR28" s="725"/>
      <c r="FMS28" s="725"/>
      <c r="FMT28" s="725"/>
      <c r="FMU28" s="725"/>
      <c r="FMV28" s="725"/>
      <c r="FMW28" s="725"/>
      <c r="FMX28" s="725"/>
      <c r="FMY28" s="725"/>
      <c r="FMZ28" s="725"/>
      <c r="FNA28" s="725"/>
      <c r="FNB28" s="725"/>
      <c r="FNC28" s="725"/>
      <c r="FND28" s="725"/>
      <c r="FNE28" s="725"/>
      <c r="FNF28" s="725"/>
      <c r="FNG28" s="725"/>
      <c r="FNH28" s="725"/>
      <c r="FNI28" s="725"/>
      <c r="FNJ28" s="725"/>
      <c r="FNK28" s="725"/>
      <c r="FNL28" s="725"/>
      <c r="FNM28" s="725"/>
      <c r="FNN28" s="725"/>
      <c r="FNO28" s="725"/>
      <c r="FNP28" s="725"/>
      <c r="FNQ28" s="725"/>
      <c r="FNR28" s="725"/>
      <c r="FNS28" s="725"/>
      <c r="FNT28" s="725"/>
      <c r="FNU28" s="725"/>
      <c r="FNV28" s="725"/>
      <c r="FNW28" s="725"/>
      <c r="FNX28" s="725"/>
      <c r="FNY28" s="725"/>
      <c r="FNZ28" s="725"/>
      <c r="FOA28" s="725"/>
      <c r="FOB28" s="725"/>
      <c r="FOC28" s="725"/>
      <c r="FOD28" s="725"/>
      <c r="FOE28" s="725"/>
      <c r="FOF28" s="725"/>
      <c r="FOG28" s="725"/>
      <c r="FOH28" s="725"/>
      <c r="FOI28" s="725"/>
      <c r="FOJ28" s="725"/>
      <c r="FOK28" s="725"/>
      <c r="FOL28" s="725"/>
      <c r="FOM28" s="725"/>
      <c r="FON28" s="725"/>
      <c r="FOO28" s="725"/>
      <c r="FOP28" s="725"/>
      <c r="FOQ28" s="725"/>
      <c r="FOR28" s="725"/>
      <c r="FOS28" s="725"/>
      <c r="FOT28" s="725"/>
      <c r="FOU28" s="725"/>
      <c r="FOV28" s="725"/>
      <c r="FOW28" s="725"/>
      <c r="FOX28" s="725"/>
      <c r="FOY28" s="725"/>
      <c r="FOZ28" s="725"/>
      <c r="FPA28" s="725"/>
      <c r="FPB28" s="725"/>
      <c r="FPC28" s="725"/>
      <c r="FPD28" s="725"/>
      <c r="FPE28" s="725"/>
      <c r="FPF28" s="725"/>
      <c r="FPG28" s="725"/>
      <c r="FPH28" s="725"/>
      <c r="FPI28" s="725"/>
      <c r="FPJ28" s="725"/>
      <c r="FPK28" s="725"/>
      <c r="FPL28" s="725"/>
      <c r="FPM28" s="725"/>
      <c r="FPN28" s="725"/>
      <c r="FPO28" s="725"/>
      <c r="FPP28" s="725"/>
      <c r="FPQ28" s="725"/>
      <c r="FPR28" s="725"/>
      <c r="FPS28" s="725"/>
      <c r="FPT28" s="725"/>
      <c r="FPU28" s="725"/>
      <c r="FPV28" s="725"/>
      <c r="FPW28" s="725"/>
      <c r="FPX28" s="725"/>
      <c r="FPY28" s="725"/>
      <c r="FPZ28" s="725"/>
      <c r="FQA28" s="725"/>
      <c r="FQB28" s="725"/>
      <c r="FQC28" s="725"/>
      <c r="FQD28" s="725"/>
      <c r="FQE28" s="725"/>
      <c r="FQF28" s="725"/>
      <c r="FQG28" s="725"/>
      <c r="FQH28" s="725"/>
      <c r="FQI28" s="725"/>
      <c r="FQJ28" s="725"/>
      <c r="FQK28" s="725"/>
      <c r="FQL28" s="725"/>
      <c r="FQM28" s="725"/>
      <c r="FQN28" s="725"/>
      <c r="FQO28" s="725"/>
      <c r="FQP28" s="725"/>
      <c r="FQQ28" s="725"/>
      <c r="FQR28" s="725"/>
      <c r="FQS28" s="725"/>
      <c r="FQT28" s="725"/>
      <c r="FQU28" s="725"/>
      <c r="FQV28" s="725"/>
      <c r="FQW28" s="725"/>
      <c r="FQX28" s="725"/>
      <c r="FQY28" s="725"/>
      <c r="FQZ28" s="725"/>
      <c r="FRA28" s="725"/>
      <c r="FRB28" s="725"/>
      <c r="FRC28" s="725"/>
      <c r="FRD28" s="725"/>
      <c r="FRE28" s="725"/>
      <c r="FRF28" s="725"/>
      <c r="FRG28" s="725"/>
      <c r="FRH28" s="725"/>
      <c r="FRI28" s="725"/>
      <c r="FRJ28" s="725"/>
      <c r="FRK28" s="725"/>
      <c r="FRL28" s="725"/>
      <c r="FRM28" s="725"/>
      <c r="FRN28" s="725"/>
      <c r="FRO28" s="725"/>
      <c r="FRP28" s="725"/>
      <c r="FRQ28" s="725"/>
      <c r="FRR28" s="725"/>
      <c r="FRS28" s="725"/>
      <c r="FRT28" s="725"/>
      <c r="FRU28" s="725"/>
      <c r="FRV28" s="725"/>
      <c r="FRW28" s="725"/>
      <c r="FRX28" s="725"/>
      <c r="FRY28" s="725"/>
      <c r="FRZ28" s="725"/>
      <c r="FSA28" s="725"/>
      <c r="FSB28" s="725"/>
      <c r="FSC28" s="725"/>
      <c r="FSD28" s="725"/>
      <c r="FSE28" s="725"/>
      <c r="FSF28" s="725"/>
      <c r="FSG28" s="725"/>
      <c r="FSH28" s="725"/>
      <c r="FSI28" s="725"/>
      <c r="FSJ28" s="725"/>
      <c r="FSK28" s="725"/>
      <c r="FSL28" s="725"/>
      <c r="FSM28" s="725"/>
      <c r="FSN28" s="725"/>
      <c r="FSO28" s="725"/>
      <c r="FSP28" s="725"/>
      <c r="FSQ28" s="725"/>
      <c r="FSR28" s="725"/>
      <c r="FSS28" s="725"/>
      <c r="FST28" s="725"/>
      <c r="FSU28" s="725"/>
      <c r="FSV28" s="725"/>
      <c r="FSW28" s="725"/>
      <c r="FSX28" s="725"/>
      <c r="FSY28" s="725"/>
      <c r="FSZ28" s="725"/>
      <c r="FTA28" s="725"/>
      <c r="FTB28" s="725"/>
      <c r="FTC28" s="725"/>
      <c r="FTD28" s="725"/>
      <c r="FTE28" s="725"/>
      <c r="FTF28" s="725"/>
      <c r="FTG28" s="725"/>
      <c r="FTH28" s="725"/>
      <c r="FTI28" s="725"/>
      <c r="FTJ28" s="725"/>
      <c r="FTK28" s="725"/>
      <c r="FTL28" s="725"/>
      <c r="FTM28" s="725"/>
      <c r="FTN28" s="725"/>
      <c r="FTO28" s="725"/>
      <c r="FTP28" s="725"/>
      <c r="FTQ28" s="725"/>
      <c r="FTR28" s="725"/>
      <c r="FTS28" s="725"/>
      <c r="FTT28" s="725"/>
      <c r="FTU28" s="725"/>
      <c r="FTV28" s="725"/>
      <c r="FTW28" s="725"/>
      <c r="FTX28" s="725"/>
      <c r="FTY28" s="725"/>
      <c r="FTZ28" s="725"/>
      <c r="FUA28" s="725"/>
      <c r="FUB28" s="725"/>
      <c r="FUC28" s="725"/>
      <c r="FUD28" s="725"/>
      <c r="FUE28" s="725"/>
      <c r="FUF28" s="725"/>
      <c r="FUG28" s="725"/>
      <c r="FUH28" s="725"/>
      <c r="FUI28" s="725"/>
      <c r="FUJ28" s="725"/>
      <c r="FUK28" s="725"/>
      <c r="FUL28" s="725"/>
      <c r="FUM28" s="725"/>
      <c r="FUN28" s="725"/>
      <c r="FUO28" s="725"/>
      <c r="FUP28" s="725"/>
      <c r="FUQ28" s="725"/>
      <c r="FUR28" s="725"/>
      <c r="FUS28" s="725"/>
      <c r="FUT28" s="725"/>
      <c r="FUU28" s="725"/>
      <c r="FUV28" s="725"/>
      <c r="FUW28" s="725"/>
      <c r="FUX28" s="725"/>
      <c r="FUY28" s="725"/>
      <c r="FUZ28" s="725"/>
      <c r="FVA28" s="725"/>
      <c r="FVB28" s="725"/>
      <c r="FVC28" s="725"/>
      <c r="FVD28" s="725"/>
      <c r="FVE28" s="725"/>
      <c r="FVF28" s="725"/>
      <c r="FVG28" s="725"/>
      <c r="FVH28" s="725"/>
      <c r="FVI28" s="725"/>
      <c r="FVJ28" s="725"/>
      <c r="FVK28" s="725"/>
      <c r="FVL28" s="725"/>
      <c r="FVM28" s="725"/>
      <c r="FVN28" s="725"/>
      <c r="FVO28" s="725"/>
      <c r="FVP28" s="725"/>
      <c r="FVQ28" s="725"/>
      <c r="FVR28" s="725"/>
      <c r="FVS28" s="725"/>
      <c r="FVT28" s="725"/>
      <c r="FVU28" s="725"/>
      <c r="FVV28" s="725"/>
      <c r="FVW28" s="725"/>
      <c r="FVX28" s="725"/>
      <c r="FVY28" s="725"/>
      <c r="FVZ28" s="725"/>
      <c r="FWA28" s="725"/>
      <c r="FWB28" s="725"/>
      <c r="FWC28" s="725"/>
      <c r="FWD28" s="725"/>
      <c r="FWE28" s="725"/>
      <c r="FWF28" s="725"/>
      <c r="FWG28" s="725"/>
      <c r="FWH28" s="725"/>
      <c r="FWI28" s="725"/>
      <c r="FWJ28" s="725"/>
      <c r="FWK28" s="725"/>
      <c r="FWL28" s="725"/>
      <c r="FWM28" s="725"/>
      <c r="FWN28" s="725"/>
      <c r="FWO28" s="725"/>
      <c r="FWP28" s="725"/>
      <c r="FWQ28" s="725"/>
      <c r="FWR28" s="725"/>
      <c r="FWS28" s="725"/>
      <c r="FWT28" s="725"/>
      <c r="FWU28" s="725"/>
      <c r="FWV28" s="725"/>
      <c r="FWW28" s="725"/>
      <c r="FWX28" s="725"/>
      <c r="FWY28" s="725"/>
      <c r="FWZ28" s="725"/>
      <c r="FXA28" s="725"/>
      <c r="FXB28" s="725"/>
      <c r="FXC28" s="725"/>
      <c r="FXD28" s="725"/>
      <c r="FXE28" s="725"/>
      <c r="FXF28" s="725"/>
      <c r="FXG28" s="725"/>
      <c r="FXH28" s="725"/>
      <c r="FXI28" s="725"/>
      <c r="FXJ28" s="725"/>
      <c r="FXK28" s="725"/>
      <c r="FXL28" s="725"/>
      <c r="FXM28" s="725"/>
      <c r="FXN28" s="725"/>
      <c r="FXO28" s="725"/>
      <c r="FXP28" s="725"/>
      <c r="FXQ28" s="725"/>
      <c r="FXR28" s="725"/>
      <c r="FXS28" s="725"/>
      <c r="FXT28" s="725"/>
      <c r="FXU28" s="725"/>
      <c r="FXV28" s="725"/>
      <c r="FXW28" s="725"/>
      <c r="FXX28" s="725"/>
      <c r="FXY28" s="725"/>
      <c r="FXZ28" s="725"/>
      <c r="FYA28" s="725"/>
      <c r="FYB28" s="725"/>
      <c r="FYC28" s="725"/>
      <c r="FYD28" s="725"/>
      <c r="FYE28" s="725"/>
      <c r="FYF28" s="725"/>
      <c r="FYG28" s="725"/>
      <c r="FYH28" s="725"/>
      <c r="FYI28" s="725"/>
      <c r="FYJ28" s="725"/>
      <c r="FYK28" s="725"/>
      <c r="FYL28" s="725"/>
      <c r="FYM28" s="725"/>
      <c r="FYN28" s="725"/>
      <c r="FYO28" s="725"/>
      <c r="FYP28" s="725"/>
      <c r="FYQ28" s="725"/>
      <c r="FYR28" s="725"/>
      <c r="FYS28" s="725"/>
      <c r="FYT28" s="725"/>
      <c r="FYU28" s="725"/>
      <c r="FYV28" s="725"/>
      <c r="FYW28" s="725"/>
      <c r="FYX28" s="725"/>
      <c r="FYY28" s="725"/>
      <c r="FYZ28" s="725"/>
      <c r="FZA28" s="725"/>
      <c r="FZB28" s="725"/>
      <c r="FZC28" s="725"/>
      <c r="FZD28" s="725"/>
      <c r="FZE28" s="725"/>
      <c r="FZF28" s="725"/>
      <c r="FZG28" s="725"/>
      <c r="FZH28" s="725"/>
      <c r="FZI28" s="725"/>
      <c r="FZJ28" s="725"/>
      <c r="FZK28" s="725"/>
      <c r="FZL28" s="725"/>
      <c r="FZM28" s="725"/>
      <c r="FZN28" s="725"/>
      <c r="FZO28" s="725"/>
      <c r="FZP28" s="725"/>
      <c r="FZQ28" s="725"/>
      <c r="FZR28" s="725"/>
      <c r="FZS28" s="725"/>
      <c r="FZT28" s="725"/>
      <c r="FZU28" s="725"/>
      <c r="FZV28" s="725"/>
      <c r="FZW28" s="725"/>
      <c r="FZX28" s="725"/>
      <c r="FZY28" s="725"/>
      <c r="FZZ28" s="725"/>
      <c r="GAA28" s="725"/>
      <c r="GAB28" s="725"/>
      <c r="GAC28" s="725"/>
      <c r="GAD28" s="725"/>
      <c r="GAE28" s="725"/>
      <c r="GAF28" s="725"/>
      <c r="GAG28" s="725"/>
      <c r="GAH28" s="725"/>
      <c r="GAI28" s="725"/>
      <c r="GAJ28" s="725"/>
      <c r="GAK28" s="725"/>
      <c r="GAL28" s="725"/>
      <c r="GAM28" s="725"/>
      <c r="GAN28" s="725"/>
      <c r="GAO28" s="725"/>
      <c r="GAP28" s="725"/>
      <c r="GAQ28" s="725"/>
      <c r="GAR28" s="725"/>
      <c r="GAS28" s="725"/>
      <c r="GAT28" s="725"/>
      <c r="GAU28" s="725"/>
      <c r="GAV28" s="725"/>
      <c r="GAW28" s="725"/>
      <c r="GAX28" s="725"/>
      <c r="GAY28" s="725"/>
      <c r="GAZ28" s="725"/>
      <c r="GBA28" s="725"/>
      <c r="GBB28" s="725"/>
      <c r="GBC28" s="725"/>
      <c r="GBD28" s="725"/>
      <c r="GBE28" s="725"/>
      <c r="GBF28" s="725"/>
      <c r="GBG28" s="725"/>
      <c r="GBH28" s="725"/>
      <c r="GBI28" s="725"/>
      <c r="GBJ28" s="725"/>
      <c r="GBK28" s="725"/>
      <c r="GBL28" s="725"/>
      <c r="GBM28" s="725"/>
      <c r="GBN28" s="725"/>
      <c r="GBO28" s="725"/>
      <c r="GBP28" s="725"/>
      <c r="GBQ28" s="725"/>
      <c r="GBR28" s="725"/>
      <c r="GBS28" s="725"/>
      <c r="GBT28" s="725"/>
      <c r="GBU28" s="725"/>
      <c r="GBV28" s="725"/>
      <c r="GBW28" s="725"/>
      <c r="GBX28" s="725"/>
      <c r="GBY28" s="725"/>
      <c r="GBZ28" s="725"/>
      <c r="GCA28" s="725"/>
      <c r="GCB28" s="725"/>
      <c r="GCC28" s="725"/>
      <c r="GCD28" s="725"/>
      <c r="GCE28" s="725"/>
      <c r="GCF28" s="725"/>
      <c r="GCG28" s="725"/>
      <c r="GCH28" s="725"/>
      <c r="GCI28" s="725"/>
      <c r="GCJ28" s="725"/>
      <c r="GCK28" s="725"/>
      <c r="GCL28" s="725"/>
      <c r="GCM28" s="725"/>
      <c r="GCN28" s="725"/>
      <c r="GCO28" s="725"/>
      <c r="GCP28" s="725"/>
      <c r="GCQ28" s="725"/>
      <c r="GCR28" s="725"/>
      <c r="GCS28" s="725"/>
      <c r="GCT28" s="725"/>
      <c r="GCU28" s="725"/>
      <c r="GCV28" s="725"/>
      <c r="GCW28" s="725"/>
      <c r="GCX28" s="725"/>
      <c r="GCY28" s="725"/>
      <c r="GCZ28" s="725"/>
      <c r="GDA28" s="725"/>
      <c r="GDB28" s="725"/>
      <c r="GDC28" s="725"/>
      <c r="GDD28" s="725"/>
      <c r="GDE28" s="725"/>
      <c r="GDF28" s="725"/>
      <c r="GDG28" s="725"/>
      <c r="GDH28" s="725"/>
      <c r="GDI28" s="725"/>
      <c r="GDJ28" s="725"/>
      <c r="GDK28" s="725"/>
      <c r="GDL28" s="725"/>
      <c r="GDM28" s="725"/>
      <c r="GDN28" s="725"/>
      <c r="GDO28" s="725"/>
      <c r="GDP28" s="725"/>
      <c r="GDQ28" s="725"/>
      <c r="GDR28" s="725"/>
      <c r="GDS28" s="725"/>
      <c r="GDT28" s="725"/>
      <c r="GDU28" s="725"/>
      <c r="GDV28" s="725"/>
      <c r="GDW28" s="725"/>
      <c r="GDX28" s="725"/>
      <c r="GDY28" s="725"/>
      <c r="GDZ28" s="725"/>
      <c r="GEA28" s="725"/>
      <c r="GEB28" s="725"/>
      <c r="GEC28" s="725"/>
      <c r="GED28" s="725"/>
      <c r="GEE28" s="725"/>
      <c r="GEF28" s="725"/>
      <c r="GEG28" s="725"/>
      <c r="GEH28" s="725"/>
      <c r="GEI28" s="725"/>
      <c r="GEJ28" s="725"/>
      <c r="GEK28" s="725"/>
      <c r="GEL28" s="725"/>
      <c r="GEM28" s="725"/>
      <c r="GEN28" s="725"/>
      <c r="GEO28" s="725"/>
      <c r="GEP28" s="725"/>
      <c r="GEQ28" s="725"/>
      <c r="GER28" s="725"/>
      <c r="GES28" s="725"/>
      <c r="GET28" s="725"/>
      <c r="GEU28" s="725"/>
      <c r="GEV28" s="725"/>
      <c r="GEW28" s="725"/>
      <c r="GEX28" s="725"/>
      <c r="GEY28" s="725"/>
      <c r="GEZ28" s="725"/>
      <c r="GFA28" s="725"/>
      <c r="GFB28" s="725"/>
      <c r="GFC28" s="725"/>
      <c r="GFD28" s="725"/>
      <c r="GFE28" s="725"/>
      <c r="GFF28" s="725"/>
      <c r="GFG28" s="725"/>
      <c r="GFH28" s="725"/>
      <c r="GFI28" s="725"/>
      <c r="GFJ28" s="725"/>
      <c r="GFK28" s="725"/>
      <c r="GFL28" s="725"/>
      <c r="GFM28" s="725"/>
      <c r="GFN28" s="725"/>
      <c r="GFO28" s="725"/>
      <c r="GFP28" s="725"/>
      <c r="GFQ28" s="725"/>
      <c r="GFR28" s="725"/>
      <c r="GFS28" s="725"/>
      <c r="GFT28" s="725"/>
      <c r="GFU28" s="725"/>
      <c r="GFV28" s="725"/>
      <c r="GFW28" s="725"/>
      <c r="GFX28" s="725"/>
      <c r="GFY28" s="725"/>
      <c r="GFZ28" s="725"/>
      <c r="GGA28" s="725"/>
      <c r="GGB28" s="725"/>
      <c r="GGC28" s="725"/>
      <c r="GGD28" s="725"/>
      <c r="GGE28" s="725"/>
      <c r="GGF28" s="725"/>
      <c r="GGG28" s="725"/>
      <c r="GGH28" s="725"/>
      <c r="GGI28" s="725"/>
      <c r="GGJ28" s="725"/>
      <c r="GGK28" s="725"/>
      <c r="GGL28" s="725"/>
      <c r="GGM28" s="725"/>
      <c r="GGN28" s="725"/>
      <c r="GGO28" s="725"/>
      <c r="GGP28" s="725"/>
      <c r="GGQ28" s="725"/>
      <c r="GGR28" s="725"/>
      <c r="GGS28" s="725"/>
      <c r="GGT28" s="725"/>
      <c r="GGU28" s="725"/>
      <c r="GGV28" s="725"/>
      <c r="GGW28" s="725"/>
      <c r="GGX28" s="725"/>
      <c r="GGY28" s="725"/>
      <c r="GGZ28" s="725"/>
      <c r="GHA28" s="725"/>
      <c r="GHB28" s="725"/>
      <c r="GHC28" s="725"/>
      <c r="GHD28" s="725"/>
      <c r="GHE28" s="725"/>
      <c r="GHF28" s="725"/>
      <c r="GHG28" s="725"/>
      <c r="GHH28" s="725"/>
      <c r="GHI28" s="725"/>
      <c r="GHJ28" s="725"/>
      <c r="GHK28" s="725"/>
      <c r="GHL28" s="725"/>
      <c r="GHM28" s="725"/>
      <c r="GHN28" s="725"/>
      <c r="GHO28" s="725"/>
      <c r="GHP28" s="725"/>
      <c r="GHQ28" s="725"/>
      <c r="GHR28" s="725"/>
      <c r="GHS28" s="725"/>
      <c r="GHT28" s="725"/>
      <c r="GHU28" s="725"/>
      <c r="GHV28" s="725"/>
      <c r="GHW28" s="725"/>
      <c r="GHX28" s="725"/>
      <c r="GHY28" s="725"/>
      <c r="GHZ28" s="725"/>
      <c r="GIA28" s="725"/>
      <c r="GIB28" s="725"/>
      <c r="GIC28" s="725"/>
      <c r="GID28" s="725"/>
      <c r="GIE28" s="725"/>
      <c r="GIF28" s="725"/>
      <c r="GIG28" s="725"/>
      <c r="GIH28" s="725"/>
      <c r="GII28" s="725"/>
      <c r="GIJ28" s="725"/>
      <c r="GIK28" s="725"/>
      <c r="GIL28" s="725"/>
      <c r="GIM28" s="725"/>
      <c r="GIN28" s="725"/>
      <c r="GIO28" s="725"/>
      <c r="GIP28" s="725"/>
      <c r="GIQ28" s="725"/>
      <c r="GIR28" s="725"/>
      <c r="GIS28" s="725"/>
      <c r="GIT28" s="725"/>
      <c r="GIU28" s="725"/>
      <c r="GIV28" s="725"/>
      <c r="GIW28" s="725"/>
      <c r="GIX28" s="725"/>
      <c r="GIY28" s="725"/>
      <c r="GIZ28" s="725"/>
      <c r="GJA28" s="725"/>
      <c r="GJB28" s="725"/>
      <c r="GJC28" s="725"/>
      <c r="GJD28" s="725"/>
      <c r="GJE28" s="725"/>
      <c r="GJF28" s="725"/>
      <c r="GJG28" s="725"/>
      <c r="GJH28" s="725"/>
      <c r="GJI28" s="725"/>
      <c r="GJJ28" s="725"/>
      <c r="GJK28" s="725"/>
      <c r="GJL28" s="725"/>
      <c r="GJM28" s="725"/>
      <c r="GJN28" s="725"/>
      <c r="GJO28" s="725"/>
      <c r="GJP28" s="725"/>
      <c r="GJQ28" s="725"/>
      <c r="GJR28" s="725"/>
      <c r="GJS28" s="725"/>
      <c r="GJT28" s="725"/>
      <c r="GJU28" s="725"/>
      <c r="GJV28" s="725"/>
      <c r="GJW28" s="725"/>
      <c r="GJX28" s="725"/>
      <c r="GJY28" s="725"/>
      <c r="GJZ28" s="725"/>
      <c r="GKA28" s="725"/>
      <c r="GKB28" s="725"/>
      <c r="GKC28" s="725"/>
      <c r="GKD28" s="725"/>
      <c r="GKE28" s="725"/>
      <c r="GKF28" s="725"/>
      <c r="GKG28" s="725"/>
      <c r="GKH28" s="725"/>
      <c r="GKI28" s="725"/>
      <c r="GKJ28" s="725"/>
      <c r="GKK28" s="725"/>
      <c r="GKL28" s="725"/>
      <c r="GKM28" s="725"/>
      <c r="GKN28" s="725"/>
      <c r="GKO28" s="725"/>
      <c r="GKP28" s="725"/>
      <c r="GKQ28" s="725"/>
      <c r="GKR28" s="725"/>
      <c r="GKS28" s="725"/>
      <c r="GKT28" s="725"/>
      <c r="GKU28" s="725"/>
      <c r="GKV28" s="725"/>
      <c r="GKW28" s="725"/>
      <c r="GKX28" s="725"/>
      <c r="GKY28" s="725"/>
      <c r="GKZ28" s="725"/>
      <c r="GLA28" s="725"/>
      <c r="GLB28" s="725"/>
      <c r="GLC28" s="725"/>
      <c r="GLD28" s="725"/>
      <c r="GLE28" s="725"/>
      <c r="GLF28" s="725"/>
      <c r="GLG28" s="725"/>
      <c r="GLH28" s="725"/>
      <c r="GLI28" s="725"/>
      <c r="GLJ28" s="725"/>
      <c r="GLK28" s="725"/>
      <c r="GLL28" s="725"/>
      <c r="GLM28" s="725"/>
      <c r="GLN28" s="725"/>
      <c r="GLO28" s="725"/>
      <c r="GLP28" s="725"/>
      <c r="GLQ28" s="725"/>
      <c r="GLR28" s="725"/>
      <c r="GLS28" s="725"/>
      <c r="GLT28" s="725"/>
      <c r="GLU28" s="725"/>
      <c r="GLV28" s="725"/>
      <c r="GLW28" s="725"/>
      <c r="GLX28" s="725"/>
      <c r="GLY28" s="725"/>
      <c r="GLZ28" s="725"/>
      <c r="GMA28" s="725"/>
      <c r="GMB28" s="725"/>
      <c r="GMC28" s="725"/>
      <c r="GMD28" s="725"/>
      <c r="GME28" s="725"/>
      <c r="GMF28" s="725"/>
      <c r="GMG28" s="725"/>
      <c r="GMH28" s="725"/>
      <c r="GMI28" s="725"/>
      <c r="GMJ28" s="725"/>
      <c r="GMK28" s="725"/>
      <c r="GML28" s="725"/>
      <c r="GMM28" s="725"/>
      <c r="GMN28" s="725"/>
      <c r="GMO28" s="725"/>
      <c r="GMP28" s="725"/>
      <c r="GMQ28" s="725"/>
      <c r="GMR28" s="725"/>
      <c r="GMS28" s="725"/>
      <c r="GMT28" s="725"/>
      <c r="GMU28" s="725"/>
      <c r="GMV28" s="725"/>
      <c r="GMW28" s="725"/>
      <c r="GMX28" s="725"/>
      <c r="GMY28" s="725"/>
      <c r="GMZ28" s="725"/>
      <c r="GNA28" s="725"/>
      <c r="GNB28" s="725"/>
      <c r="GNC28" s="725"/>
      <c r="GND28" s="725"/>
      <c r="GNE28" s="725"/>
      <c r="GNF28" s="725"/>
      <c r="GNG28" s="725"/>
      <c r="GNH28" s="725"/>
      <c r="GNI28" s="725"/>
      <c r="GNJ28" s="725"/>
      <c r="GNK28" s="725"/>
      <c r="GNL28" s="725"/>
      <c r="GNM28" s="725"/>
      <c r="GNN28" s="725"/>
      <c r="GNO28" s="725"/>
      <c r="GNP28" s="725"/>
      <c r="GNQ28" s="725"/>
      <c r="GNR28" s="725"/>
      <c r="GNS28" s="725"/>
      <c r="GNT28" s="725"/>
      <c r="GNU28" s="725"/>
      <c r="GNV28" s="725"/>
      <c r="GNW28" s="725"/>
      <c r="GNX28" s="725"/>
      <c r="GNY28" s="725"/>
      <c r="GNZ28" s="725"/>
      <c r="GOA28" s="725"/>
      <c r="GOB28" s="725"/>
      <c r="GOC28" s="725"/>
      <c r="GOD28" s="725"/>
      <c r="GOE28" s="725"/>
      <c r="GOF28" s="725"/>
      <c r="GOG28" s="725"/>
      <c r="GOH28" s="725"/>
      <c r="GOI28" s="725"/>
      <c r="GOJ28" s="725"/>
      <c r="GOK28" s="725"/>
      <c r="GOL28" s="725"/>
      <c r="GOM28" s="725"/>
      <c r="GON28" s="725"/>
      <c r="GOO28" s="725"/>
      <c r="GOP28" s="725"/>
      <c r="GOQ28" s="725"/>
      <c r="GOR28" s="725"/>
      <c r="GOS28" s="725"/>
      <c r="GOT28" s="725"/>
      <c r="GOU28" s="725"/>
      <c r="GOV28" s="725"/>
      <c r="GOW28" s="725"/>
      <c r="GOX28" s="725"/>
      <c r="GOY28" s="725"/>
      <c r="GOZ28" s="725"/>
      <c r="GPA28" s="725"/>
      <c r="GPB28" s="725"/>
      <c r="GPC28" s="725"/>
      <c r="GPD28" s="725"/>
      <c r="GPE28" s="725"/>
      <c r="GPF28" s="725"/>
      <c r="GPG28" s="725"/>
      <c r="GPH28" s="725"/>
      <c r="GPI28" s="725"/>
      <c r="GPJ28" s="725"/>
      <c r="GPK28" s="725"/>
      <c r="GPL28" s="725"/>
      <c r="GPM28" s="725"/>
      <c r="GPN28" s="725"/>
      <c r="GPO28" s="725"/>
      <c r="GPP28" s="725"/>
      <c r="GPQ28" s="725"/>
      <c r="GPR28" s="725"/>
      <c r="GPS28" s="725"/>
      <c r="GPT28" s="725"/>
      <c r="GPU28" s="725"/>
      <c r="GPV28" s="725"/>
      <c r="GPW28" s="725"/>
      <c r="GPX28" s="725"/>
      <c r="GPY28" s="725"/>
      <c r="GPZ28" s="725"/>
      <c r="GQA28" s="725"/>
      <c r="GQB28" s="725"/>
      <c r="GQC28" s="725"/>
      <c r="GQD28" s="725"/>
      <c r="GQE28" s="725"/>
      <c r="GQF28" s="725"/>
      <c r="GQG28" s="725"/>
      <c r="GQH28" s="725"/>
      <c r="GQI28" s="725"/>
      <c r="GQJ28" s="725"/>
      <c r="GQK28" s="725"/>
      <c r="GQL28" s="725"/>
      <c r="GQM28" s="725"/>
      <c r="GQN28" s="725"/>
      <c r="GQO28" s="725"/>
      <c r="GQP28" s="725"/>
      <c r="GQQ28" s="725"/>
      <c r="GQR28" s="725"/>
      <c r="GQS28" s="725"/>
      <c r="GQT28" s="725"/>
      <c r="GQU28" s="725"/>
      <c r="GQV28" s="725"/>
      <c r="GQW28" s="725"/>
      <c r="GQX28" s="725"/>
      <c r="GQY28" s="725"/>
      <c r="GQZ28" s="725"/>
      <c r="GRA28" s="725"/>
      <c r="GRB28" s="725"/>
      <c r="GRC28" s="725"/>
      <c r="GRD28" s="725"/>
      <c r="GRE28" s="725"/>
      <c r="GRF28" s="725"/>
      <c r="GRG28" s="725"/>
      <c r="GRH28" s="725"/>
      <c r="GRI28" s="725"/>
      <c r="GRJ28" s="725"/>
      <c r="GRK28" s="725"/>
      <c r="GRL28" s="725"/>
      <c r="GRM28" s="725"/>
      <c r="GRN28" s="725"/>
      <c r="GRO28" s="725"/>
      <c r="GRP28" s="725"/>
      <c r="GRQ28" s="725"/>
      <c r="GRR28" s="725"/>
      <c r="GRS28" s="725"/>
      <c r="GRT28" s="725"/>
      <c r="GRU28" s="725"/>
      <c r="GRV28" s="725"/>
      <c r="GRW28" s="725"/>
      <c r="GRX28" s="725"/>
      <c r="GRY28" s="725"/>
      <c r="GRZ28" s="725"/>
      <c r="GSA28" s="725"/>
      <c r="GSB28" s="725"/>
      <c r="GSC28" s="725"/>
      <c r="GSD28" s="725"/>
      <c r="GSE28" s="725"/>
      <c r="GSF28" s="725"/>
      <c r="GSG28" s="725"/>
      <c r="GSH28" s="725"/>
      <c r="GSI28" s="725"/>
      <c r="GSJ28" s="725"/>
      <c r="GSK28" s="725"/>
      <c r="GSL28" s="725"/>
      <c r="GSM28" s="725"/>
      <c r="GSN28" s="725"/>
      <c r="GSO28" s="725"/>
      <c r="GSP28" s="725"/>
      <c r="GSQ28" s="725"/>
      <c r="GSR28" s="725"/>
      <c r="GSS28" s="725"/>
      <c r="GST28" s="725"/>
      <c r="GSU28" s="725"/>
      <c r="GSV28" s="725"/>
      <c r="GSW28" s="725"/>
      <c r="GSX28" s="725"/>
      <c r="GSY28" s="725"/>
      <c r="GSZ28" s="725"/>
      <c r="GTA28" s="725"/>
      <c r="GTB28" s="725"/>
      <c r="GTC28" s="725"/>
      <c r="GTD28" s="725"/>
      <c r="GTE28" s="725"/>
      <c r="GTF28" s="725"/>
      <c r="GTG28" s="725"/>
      <c r="GTH28" s="725"/>
      <c r="GTI28" s="725"/>
      <c r="GTJ28" s="725"/>
      <c r="GTK28" s="725"/>
      <c r="GTL28" s="725"/>
      <c r="GTM28" s="725"/>
      <c r="GTN28" s="725"/>
      <c r="GTO28" s="725"/>
      <c r="GTP28" s="725"/>
      <c r="GTQ28" s="725"/>
      <c r="GTR28" s="725"/>
      <c r="GTS28" s="725"/>
      <c r="GTT28" s="725"/>
      <c r="GTU28" s="725"/>
      <c r="GTV28" s="725"/>
      <c r="GTW28" s="725"/>
      <c r="GTX28" s="725"/>
      <c r="GTY28" s="725"/>
      <c r="GTZ28" s="725"/>
      <c r="GUA28" s="725"/>
      <c r="GUB28" s="725"/>
      <c r="GUC28" s="725"/>
      <c r="GUD28" s="725"/>
      <c r="GUE28" s="725"/>
      <c r="GUF28" s="725"/>
      <c r="GUG28" s="725"/>
      <c r="GUH28" s="725"/>
      <c r="GUI28" s="725"/>
      <c r="GUJ28" s="725"/>
      <c r="GUK28" s="725"/>
      <c r="GUL28" s="725"/>
      <c r="GUM28" s="725"/>
      <c r="GUN28" s="725"/>
      <c r="GUO28" s="725"/>
      <c r="GUP28" s="725"/>
      <c r="GUQ28" s="725"/>
      <c r="GUR28" s="725"/>
      <c r="GUS28" s="725"/>
      <c r="GUT28" s="725"/>
      <c r="GUU28" s="725"/>
      <c r="GUV28" s="725"/>
      <c r="GUW28" s="725"/>
      <c r="GUX28" s="725"/>
      <c r="GUY28" s="725"/>
      <c r="GUZ28" s="725"/>
      <c r="GVA28" s="725"/>
      <c r="GVB28" s="725"/>
      <c r="GVC28" s="725"/>
      <c r="GVD28" s="725"/>
      <c r="GVE28" s="725"/>
      <c r="GVF28" s="725"/>
      <c r="GVG28" s="725"/>
      <c r="GVH28" s="725"/>
      <c r="GVI28" s="725"/>
      <c r="GVJ28" s="725"/>
      <c r="GVK28" s="725"/>
      <c r="GVL28" s="725"/>
      <c r="GVM28" s="725"/>
      <c r="GVN28" s="725"/>
      <c r="GVO28" s="725"/>
      <c r="GVP28" s="725"/>
      <c r="GVQ28" s="725"/>
      <c r="GVR28" s="725"/>
      <c r="GVS28" s="725"/>
      <c r="GVT28" s="725"/>
      <c r="GVU28" s="725"/>
      <c r="GVV28" s="725"/>
      <c r="GVW28" s="725"/>
      <c r="GVX28" s="725"/>
      <c r="GVY28" s="725"/>
      <c r="GVZ28" s="725"/>
      <c r="GWA28" s="725"/>
      <c r="GWB28" s="725"/>
      <c r="GWC28" s="725"/>
      <c r="GWD28" s="725"/>
      <c r="GWE28" s="725"/>
      <c r="GWF28" s="725"/>
      <c r="GWG28" s="725"/>
      <c r="GWH28" s="725"/>
      <c r="GWI28" s="725"/>
      <c r="GWJ28" s="725"/>
      <c r="GWK28" s="725"/>
      <c r="GWL28" s="725"/>
      <c r="GWM28" s="725"/>
      <c r="GWN28" s="725"/>
      <c r="GWO28" s="725"/>
      <c r="GWP28" s="725"/>
      <c r="GWQ28" s="725"/>
      <c r="GWR28" s="725"/>
      <c r="GWS28" s="725"/>
      <c r="GWT28" s="725"/>
      <c r="GWU28" s="725"/>
      <c r="GWV28" s="725"/>
      <c r="GWW28" s="725"/>
      <c r="GWX28" s="725"/>
      <c r="GWY28" s="725"/>
      <c r="GWZ28" s="725"/>
      <c r="GXA28" s="725"/>
      <c r="GXB28" s="725"/>
      <c r="GXC28" s="725"/>
      <c r="GXD28" s="725"/>
      <c r="GXE28" s="725"/>
      <c r="GXF28" s="725"/>
      <c r="GXG28" s="725"/>
      <c r="GXH28" s="725"/>
      <c r="GXI28" s="725"/>
      <c r="GXJ28" s="725"/>
      <c r="GXK28" s="725"/>
      <c r="GXL28" s="725"/>
      <c r="GXM28" s="725"/>
      <c r="GXN28" s="725"/>
      <c r="GXO28" s="725"/>
      <c r="GXP28" s="725"/>
      <c r="GXQ28" s="725"/>
      <c r="GXR28" s="725"/>
      <c r="GXS28" s="725"/>
      <c r="GXT28" s="725"/>
      <c r="GXU28" s="725"/>
      <c r="GXV28" s="725"/>
      <c r="GXW28" s="725"/>
      <c r="GXX28" s="725"/>
      <c r="GXY28" s="725"/>
      <c r="GXZ28" s="725"/>
      <c r="GYA28" s="725"/>
      <c r="GYB28" s="725"/>
      <c r="GYC28" s="725"/>
      <c r="GYD28" s="725"/>
      <c r="GYE28" s="725"/>
      <c r="GYF28" s="725"/>
      <c r="GYG28" s="725"/>
      <c r="GYH28" s="725"/>
      <c r="GYI28" s="725"/>
      <c r="GYJ28" s="725"/>
      <c r="GYK28" s="725"/>
      <c r="GYL28" s="725"/>
      <c r="GYM28" s="725"/>
      <c r="GYN28" s="725"/>
      <c r="GYO28" s="725"/>
      <c r="GYP28" s="725"/>
      <c r="GYQ28" s="725"/>
      <c r="GYR28" s="725"/>
      <c r="GYS28" s="725"/>
      <c r="GYT28" s="725"/>
      <c r="GYU28" s="725"/>
      <c r="GYV28" s="725"/>
      <c r="GYW28" s="725"/>
      <c r="GYX28" s="725"/>
      <c r="GYY28" s="725"/>
      <c r="GYZ28" s="725"/>
      <c r="GZA28" s="725"/>
      <c r="GZB28" s="725"/>
      <c r="GZC28" s="725"/>
      <c r="GZD28" s="725"/>
      <c r="GZE28" s="725"/>
      <c r="GZF28" s="725"/>
      <c r="GZG28" s="725"/>
      <c r="GZH28" s="725"/>
      <c r="GZI28" s="725"/>
      <c r="GZJ28" s="725"/>
      <c r="GZK28" s="725"/>
      <c r="GZL28" s="725"/>
      <c r="GZM28" s="725"/>
      <c r="GZN28" s="725"/>
      <c r="GZO28" s="725"/>
      <c r="GZP28" s="725"/>
      <c r="GZQ28" s="725"/>
      <c r="GZR28" s="725"/>
      <c r="GZS28" s="725"/>
      <c r="GZT28" s="725"/>
      <c r="GZU28" s="725"/>
      <c r="GZV28" s="725"/>
      <c r="GZW28" s="725"/>
      <c r="GZX28" s="725"/>
      <c r="GZY28" s="725"/>
      <c r="GZZ28" s="725"/>
      <c r="HAA28" s="725"/>
      <c r="HAB28" s="725"/>
      <c r="HAC28" s="725"/>
      <c r="HAD28" s="725"/>
      <c r="HAE28" s="725"/>
      <c r="HAF28" s="725"/>
      <c r="HAG28" s="725"/>
      <c r="HAH28" s="725"/>
      <c r="HAI28" s="725"/>
      <c r="HAJ28" s="725"/>
      <c r="HAK28" s="725"/>
      <c r="HAL28" s="725"/>
      <c r="HAM28" s="725"/>
      <c r="HAN28" s="725"/>
      <c r="HAO28" s="725"/>
      <c r="HAP28" s="725"/>
      <c r="HAQ28" s="725"/>
      <c r="HAR28" s="725"/>
      <c r="HAS28" s="725"/>
      <c r="HAT28" s="725"/>
      <c r="HAU28" s="725"/>
      <c r="HAV28" s="725"/>
      <c r="HAW28" s="725"/>
      <c r="HAX28" s="725"/>
      <c r="HAY28" s="725"/>
      <c r="HAZ28" s="725"/>
      <c r="HBA28" s="725"/>
      <c r="HBB28" s="725"/>
      <c r="HBC28" s="725"/>
      <c r="HBD28" s="725"/>
      <c r="HBE28" s="725"/>
      <c r="HBF28" s="725"/>
      <c r="HBG28" s="725"/>
      <c r="HBH28" s="725"/>
      <c r="HBI28" s="725"/>
      <c r="HBJ28" s="725"/>
      <c r="HBK28" s="725"/>
      <c r="HBL28" s="725"/>
      <c r="HBM28" s="725"/>
      <c r="HBN28" s="725"/>
      <c r="HBO28" s="725"/>
      <c r="HBP28" s="725"/>
      <c r="HBQ28" s="725"/>
      <c r="HBR28" s="725"/>
      <c r="HBS28" s="725"/>
      <c r="HBT28" s="725"/>
      <c r="HBU28" s="725"/>
      <c r="HBV28" s="725"/>
      <c r="HBW28" s="725"/>
      <c r="HBX28" s="725"/>
      <c r="HBY28" s="725"/>
      <c r="HBZ28" s="725"/>
      <c r="HCA28" s="725"/>
      <c r="HCB28" s="725"/>
      <c r="HCC28" s="725"/>
      <c r="HCD28" s="725"/>
      <c r="HCE28" s="725"/>
      <c r="HCF28" s="725"/>
      <c r="HCG28" s="725"/>
      <c r="HCH28" s="725"/>
      <c r="HCI28" s="725"/>
      <c r="HCJ28" s="725"/>
      <c r="HCK28" s="725"/>
      <c r="HCL28" s="725"/>
      <c r="HCM28" s="725"/>
      <c r="HCN28" s="725"/>
      <c r="HCO28" s="725"/>
      <c r="HCP28" s="725"/>
      <c r="HCQ28" s="725"/>
      <c r="HCR28" s="725"/>
      <c r="HCS28" s="725"/>
      <c r="HCT28" s="725"/>
      <c r="HCU28" s="725"/>
      <c r="HCV28" s="725"/>
      <c r="HCW28" s="725"/>
      <c r="HCX28" s="725"/>
      <c r="HCY28" s="725"/>
      <c r="HCZ28" s="725"/>
      <c r="HDA28" s="725"/>
      <c r="HDB28" s="725"/>
      <c r="HDC28" s="725"/>
      <c r="HDD28" s="725"/>
      <c r="HDE28" s="725"/>
      <c r="HDF28" s="725"/>
      <c r="HDG28" s="725"/>
      <c r="HDH28" s="725"/>
      <c r="HDI28" s="725"/>
      <c r="HDJ28" s="725"/>
      <c r="HDK28" s="725"/>
      <c r="HDL28" s="725"/>
      <c r="HDM28" s="725"/>
      <c r="HDN28" s="725"/>
      <c r="HDO28" s="725"/>
      <c r="HDP28" s="725"/>
      <c r="HDQ28" s="725"/>
      <c r="HDR28" s="725"/>
      <c r="HDS28" s="725"/>
      <c r="HDT28" s="725"/>
      <c r="HDU28" s="725"/>
      <c r="HDV28" s="725"/>
      <c r="HDW28" s="725"/>
      <c r="HDX28" s="725"/>
      <c r="HDY28" s="725"/>
      <c r="HDZ28" s="725"/>
      <c r="HEA28" s="725"/>
      <c r="HEB28" s="725"/>
      <c r="HEC28" s="725"/>
      <c r="HED28" s="725"/>
      <c r="HEE28" s="725"/>
      <c r="HEF28" s="725"/>
      <c r="HEG28" s="725"/>
      <c r="HEH28" s="725"/>
      <c r="HEI28" s="725"/>
      <c r="HEJ28" s="725"/>
      <c r="HEK28" s="725"/>
      <c r="HEL28" s="725"/>
      <c r="HEM28" s="725"/>
      <c r="HEN28" s="725"/>
      <c r="HEO28" s="725"/>
      <c r="HEP28" s="725"/>
      <c r="HEQ28" s="725"/>
      <c r="HER28" s="725"/>
      <c r="HES28" s="725"/>
      <c r="HET28" s="725"/>
      <c r="HEU28" s="725"/>
      <c r="HEV28" s="725"/>
      <c r="HEW28" s="725"/>
      <c r="HEX28" s="725"/>
      <c r="HEY28" s="725"/>
      <c r="HEZ28" s="725"/>
      <c r="HFA28" s="725"/>
      <c r="HFB28" s="725"/>
      <c r="HFC28" s="725"/>
      <c r="HFD28" s="725"/>
      <c r="HFE28" s="725"/>
      <c r="HFF28" s="725"/>
      <c r="HFG28" s="725"/>
      <c r="HFH28" s="725"/>
      <c r="HFI28" s="725"/>
      <c r="HFJ28" s="725"/>
      <c r="HFK28" s="725"/>
      <c r="HFL28" s="725"/>
      <c r="HFM28" s="725"/>
      <c r="HFN28" s="725"/>
      <c r="HFO28" s="725"/>
      <c r="HFP28" s="725"/>
      <c r="HFQ28" s="725"/>
      <c r="HFR28" s="725"/>
      <c r="HFS28" s="725"/>
      <c r="HFT28" s="725"/>
      <c r="HFU28" s="725"/>
      <c r="HFV28" s="725"/>
      <c r="HFW28" s="725"/>
      <c r="HFX28" s="725"/>
      <c r="HFY28" s="725"/>
      <c r="HFZ28" s="725"/>
      <c r="HGA28" s="725"/>
      <c r="HGB28" s="725"/>
      <c r="HGC28" s="725"/>
      <c r="HGD28" s="725"/>
      <c r="HGE28" s="725"/>
      <c r="HGF28" s="725"/>
      <c r="HGG28" s="725"/>
      <c r="HGH28" s="725"/>
      <c r="HGI28" s="725"/>
      <c r="HGJ28" s="725"/>
      <c r="HGK28" s="725"/>
      <c r="HGL28" s="725"/>
      <c r="HGM28" s="725"/>
      <c r="HGN28" s="725"/>
      <c r="HGO28" s="725"/>
      <c r="HGP28" s="725"/>
      <c r="HGQ28" s="725"/>
      <c r="HGR28" s="725"/>
      <c r="HGS28" s="725"/>
      <c r="HGT28" s="725"/>
      <c r="HGU28" s="725"/>
      <c r="HGV28" s="725"/>
      <c r="HGW28" s="725"/>
      <c r="HGX28" s="725"/>
      <c r="HGY28" s="725"/>
      <c r="HGZ28" s="725"/>
      <c r="HHA28" s="725"/>
      <c r="HHB28" s="725"/>
      <c r="HHC28" s="725"/>
      <c r="HHD28" s="725"/>
      <c r="HHE28" s="725"/>
      <c r="HHF28" s="725"/>
      <c r="HHG28" s="725"/>
      <c r="HHH28" s="725"/>
      <c r="HHI28" s="725"/>
      <c r="HHJ28" s="725"/>
      <c r="HHK28" s="725"/>
      <c r="HHL28" s="725"/>
      <c r="HHM28" s="725"/>
      <c r="HHN28" s="725"/>
      <c r="HHO28" s="725"/>
      <c r="HHP28" s="725"/>
      <c r="HHQ28" s="725"/>
      <c r="HHR28" s="725"/>
      <c r="HHS28" s="725"/>
      <c r="HHT28" s="725"/>
      <c r="HHU28" s="725"/>
      <c r="HHV28" s="725"/>
      <c r="HHW28" s="725"/>
      <c r="HHX28" s="725"/>
      <c r="HHY28" s="725"/>
      <c r="HHZ28" s="725"/>
      <c r="HIA28" s="725"/>
      <c r="HIB28" s="725"/>
      <c r="HIC28" s="725"/>
      <c r="HID28" s="725"/>
      <c r="HIE28" s="725"/>
      <c r="HIF28" s="725"/>
      <c r="HIG28" s="725"/>
      <c r="HIH28" s="725"/>
      <c r="HII28" s="725"/>
      <c r="HIJ28" s="725"/>
      <c r="HIK28" s="725"/>
      <c r="HIL28" s="725"/>
      <c r="HIM28" s="725"/>
      <c r="HIN28" s="725"/>
      <c r="HIO28" s="725"/>
      <c r="HIP28" s="725"/>
      <c r="HIQ28" s="725"/>
      <c r="HIR28" s="725"/>
      <c r="HIS28" s="725"/>
      <c r="HIT28" s="725"/>
      <c r="HIU28" s="725"/>
      <c r="HIV28" s="725"/>
      <c r="HIW28" s="725"/>
      <c r="HIX28" s="725"/>
      <c r="HIY28" s="725"/>
      <c r="HIZ28" s="725"/>
      <c r="HJA28" s="725"/>
      <c r="HJB28" s="725"/>
      <c r="HJC28" s="725"/>
      <c r="HJD28" s="725"/>
      <c r="HJE28" s="725"/>
      <c r="HJF28" s="725"/>
      <c r="HJG28" s="725"/>
      <c r="HJH28" s="725"/>
      <c r="HJI28" s="725"/>
      <c r="HJJ28" s="725"/>
      <c r="HJK28" s="725"/>
      <c r="HJL28" s="725"/>
      <c r="HJM28" s="725"/>
      <c r="HJN28" s="725"/>
      <c r="HJO28" s="725"/>
      <c r="HJP28" s="725"/>
      <c r="HJQ28" s="725"/>
      <c r="HJR28" s="725"/>
      <c r="HJS28" s="725"/>
      <c r="HJT28" s="725"/>
      <c r="HJU28" s="725"/>
      <c r="HJV28" s="725"/>
      <c r="HJW28" s="725"/>
      <c r="HJX28" s="725"/>
      <c r="HJY28" s="725"/>
      <c r="HJZ28" s="725"/>
      <c r="HKA28" s="725"/>
      <c r="HKB28" s="725"/>
      <c r="HKC28" s="725"/>
      <c r="HKD28" s="725"/>
      <c r="HKE28" s="725"/>
      <c r="HKF28" s="725"/>
      <c r="HKG28" s="725"/>
      <c r="HKH28" s="725"/>
      <c r="HKI28" s="725"/>
      <c r="HKJ28" s="725"/>
      <c r="HKK28" s="725"/>
      <c r="HKL28" s="725"/>
      <c r="HKM28" s="725"/>
      <c r="HKN28" s="725"/>
      <c r="HKO28" s="725"/>
      <c r="HKP28" s="725"/>
      <c r="HKQ28" s="725"/>
      <c r="HKR28" s="725"/>
      <c r="HKS28" s="725"/>
      <c r="HKT28" s="725"/>
      <c r="HKU28" s="725"/>
      <c r="HKV28" s="725"/>
      <c r="HKW28" s="725"/>
      <c r="HKX28" s="725"/>
      <c r="HKY28" s="725"/>
      <c r="HKZ28" s="725"/>
      <c r="HLA28" s="725"/>
      <c r="HLB28" s="725"/>
      <c r="HLC28" s="725"/>
      <c r="HLD28" s="725"/>
      <c r="HLE28" s="725"/>
      <c r="HLF28" s="725"/>
      <c r="HLG28" s="725"/>
      <c r="HLH28" s="725"/>
      <c r="HLI28" s="725"/>
      <c r="HLJ28" s="725"/>
      <c r="HLK28" s="725"/>
      <c r="HLL28" s="725"/>
      <c r="HLM28" s="725"/>
      <c r="HLN28" s="725"/>
      <c r="HLO28" s="725"/>
      <c r="HLP28" s="725"/>
      <c r="HLQ28" s="725"/>
      <c r="HLR28" s="725"/>
      <c r="HLS28" s="725"/>
      <c r="HLT28" s="725"/>
      <c r="HLU28" s="725"/>
      <c r="HLV28" s="725"/>
      <c r="HLW28" s="725"/>
      <c r="HLX28" s="725"/>
      <c r="HLY28" s="725"/>
      <c r="HLZ28" s="725"/>
      <c r="HMA28" s="725"/>
      <c r="HMB28" s="725"/>
      <c r="HMC28" s="725"/>
      <c r="HMD28" s="725"/>
      <c r="HME28" s="725"/>
      <c r="HMF28" s="725"/>
      <c r="HMG28" s="725"/>
      <c r="HMH28" s="725"/>
      <c r="HMI28" s="725"/>
      <c r="HMJ28" s="725"/>
      <c r="HMK28" s="725"/>
      <c r="HML28" s="725"/>
      <c r="HMM28" s="725"/>
      <c r="HMN28" s="725"/>
      <c r="HMO28" s="725"/>
      <c r="HMP28" s="725"/>
      <c r="HMQ28" s="725"/>
      <c r="HMR28" s="725"/>
      <c r="HMS28" s="725"/>
      <c r="HMT28" s="725"/>
      <c r="HMU28" s="725"/>
      <c r="HMV28" s="725"/>
      <c r="HMW28" s="725"/>
      <c r="HMX28" s="725"/>
      <c r="HMY28" s="725"/>
      <c r="HMZ28" s="725"/>
      <c r="HNA28" s="725"/>
      <c r="HNB28" s="725"/>
      <c r="HNC28" s="725"/>
      <c r="HND28" s="725"/>
      <c r="HNE28" s="725"/>
      <c r="HNF28" s="725"/>
      <c r="HNG28" s="725"/>
      <c r="HNH28" s="725"/>
      <c r="HNI28" s="725"/>
      <c r="HNJ28" s="725"/>
      <c r="HNK28" s="725"/>
      <c r="HNL28" s="725"/>
      <c r="HNM28" s="725"/>
      <c r="HNN28" s="725"/>
      <c r="HNO28" s="725"/>
      <c r="HNP28" s="725"/>
      <c r="HNQ28" s="725"/>
      <c r="HNR28" s="725"/>
      <c r="HNS28" s="725"/>
      <c r="HNT28" s="725"/>
      <c r="HNU28" s="725"/>
      <c r="HNV28" s="725"/>
      <c r="HNW28" s="725"/>
      <c r="HNX28" s="725"/>
      <c r="HNY28" s="725"/>
      <c r="HNZ28" s="725"/>
      <c r="HOA28" s="725"/>
      <c r="HOB28" s="725"/>
      <c r="HOC28" s="725"/>
      <c r="HOD28" s="725"/>
      <c r="HOE28" s="725"/>
      <c r="HOF28" s="725"/>
      <c r="HOG28" s="725"/>
      <c r="HOH28" s="725"/>
      <c r="HOI28" s="725"/>
      <c r="HOJ28" s="725"/>
      <c r="HOK28" s="725"/>
      <c r="HOL28" s="725"/>
      <c r="HOM28" s="725"/>
      <c r="HON28" s="725"/>
      <c r="HOO28" s="725"/>
      <c r="HOP28" s="725"/>
      <c r="HOQ28" s="725"/>
      <c r="HOR28" s="725"/>
      <c r="HOS28" s="725"/>
      <c r="HOT28" s="725"/>
      <c r="HOU28" s="725"/>
      <c r="HOV28" s="725"/>
      <c r="HOW28" s="725"/>
      <c r="HOX28" s="725"/>
      <c r="HOY28" s="725"/>
      <c r="HOZ28" s="725"/>
      <c r="HPA28" s="725"/>
      <c r="HPB28" s="725"/>
      <c r="HPC28" s="725"/>
      <c r="HPD28" s="725"/>
      <c r="HPE28" s="725"/>
      <c r="HPF28" s="725"/>
      <c r="HPG28" s="725"/>
      <c r="HPH28" s="725"/>
      <c r="HPI28" s="725"/>
      <c r="HPJ28" s="725"/>
      <c r="HPK28" s="725"/>
      <c r="HPL28" s="725"/>
      <c r="HPM28" s="725"/>
      <c r="HPN28" s="725"/>
      <c r="HPO28" s="725"/>
      <c r="HPP28" s="725"/>
      <c r="HPQ28" s="725"/>
      <c r="HPR28" s="725"/>
      <c r="HPS28" s="725"/>
      <c r="HPT28" s="725"/>
      <c r="HPU28" s="725"/>
      <c r="HPV28" s="725"/>
      <c r="HPW28" s="725"/>
      <c r="HPX28" s="725"/>
      <c r="HPY28" s="725"/>
      <c r="HPZ28" s="725"/>
      <c r="HQA28" s="725"/>
      <c r="HQB28" s="725"/>
      <c r="HQC28" s="725"/>
      <c r="HQD28" s="725"/>
      <c r="HQE28" s="725"/>
      <c r="HQF28" s="725"/>
      <c r="HQG28" s="725"/>
      <c r="HQH28" s="725"/>
      <c r="HQI28" s="725"/>
      <c r="HQJ28" s="725"/>
      <c r="HQK28" s="725"/>
      <c r="HQL28" s="725"/>
      <c r="HQM28" s="725"/>
      <c r="HQN28" s="725"/>
      <c r="HQO28" s="725"/>
      <c r="HQP28" s="725"/>
      <c r="HQQ28" s="725"/>
      <c r="HQR28" s="725"/>
      <c r="HQS28" s="725"/>
      <c r="HQT28" s="725"/>
      <c r="HQU28" s="725"/>
      <c r="HQV28" s="725"/>
      <c r="HQW28" s="725"/>
      <c r="HQX28" s="725"/>
      <c r="HQY28" s="725"/>
      <c r="HQZ28" s="725"/>
      <c r="HRA28" s="725"/>
      <c r="HRB28" s="725"/>
      <c r="HRC28" s="725"/>
      <c r="HRD28" s="725"/>
      <c r="HRE28" s="725"/>
      <c r="HRF28" s="725"/>
      <c r="HRG28" s="725"/>
      <c r="HRH28" s="725"/>
      <c r="HRI28" s="725"/>
      <c r="HRJ28" s="725"/>
      <c r="HRK28" s="725"/>
      <c r="HRL28" s="725"/>
      <c r="HRM28" s="725"/>
      <c r="HRN28" s="725"/>
      <c r="HRO28" s="725"/>
      <c r="HRP28" s="725"/>
      <c r="HRQ28" s="725"/>
      <c r="HRR28" s="725"/>
      <c r="HRS28" s="725"/>
      <c r="HRT28" s="725"/>
      <c r="HRU28" s="725"/>
      <c r="HRV28" s="725"/>
      <c r="HRW28" s="725"/>
      <c r="HRX28" s="725"/>
      <c r="HRY28" s="725"/>
      <c r="HRZ28" s="725"/>
      <c r="HSA28" s="725"/>
      <c r="HSB28" s="725"/>
      <c r="HSC28" s="725"/>
      <c r="HSD28" s="725"/>
      <c r="HSE28" s="725"/>
      <c r="HSF28" s="725"/>
      <c r="HSG28" s="725"/>
      <c r="HSH28" s="725"/>
      <c r="HSI28" s="725"/>
      <c r="HSJ28" s="725"/>
      <c r="HSK28" s="725"/>
      <c r="HSL28" s="725"/>
      <c r="HSM28" s="725"/>
      <c r="HSN28" s="725"/>
      <c r="HSO28" s="725"/>
      <c r="HSP28" s="725"/>
      <c r="HSQ28" s="725"/>
      <c r="HSR28" s="725"/>
      <c r="HSS28" s="725"/>
      <c r="HST28" s="725"/>
      <c r="HSU28" s="725"/>
      <c r="HSV28" s="725"/>
      <c r="HSW28" s="725"/>
      <c r="HSX28" s="725"/>
      <c r="HSY28" s="725"/>
      <c r="HSZ28" s="725"/>
      <c r="HTA28" s="725"/>
      <c r="HTB28" s="725"/>
      <c r="HTC28" s="725"/>
      <c r="HTD28" s="725"/>
      <c r="HTE28" s="725"/>
      <c r="HTF28" s="725"/>
      <c r="HTG28" s="725"/>
      <c r="HTH28" s="725"/>
      <c r="HTI28" s="725"/>
      <c r="HTJ28" s="725"/>
      <c r="HTK28" s="725"/>
      <c r="HTL28" s="725"/>
      <c r="HTM28" s="725"/>
      <c r="HTN28" s="725"/>
      <c r="HTO28" s="725"/>
      <c r="HTP28" s="725"/>
      <c r="HTQ28" s="725"/>
      <c r="HTR28" s="725"/>
      <c r="HTS28" s="725"/>
      <c r="HTT28" s="725"/>
      <c r="HTU28" s="725"/>
      <c r="HTV28" s="725"/>
      <c r="HTW28" s="725"/>
      <c r="HTX28" s="725"/>
      <c r="HTY28" s="725"/>
      <c r="HTZ28" s="725"/>
      <c r="HUA28" s="725"/>
      <c r="HUB28" s="725"/>
      <c r="HUC28" s="725"/>
      <c r="HUD28" s="725"/>
      <c r="HUE28" s="725"/>
      <c r="HUF28" s="725"/>
      <c r="HUG28" s="725"/>
      <c r="HUH28" s="725"/>
      <c r="HUI28" s="725"/>
      <c r="HUJ28" s="725"/>
      <c r="HUK28" s="725"/>
      <c r="HUL28" s="725"/>
      <c r="HUM28" s="725"/>
      <c r="HUN28" s="725"/>
      <c r="HUO28" s="725"/>
      <c r="HUP28" s="725"/>
      <c r="HUQ28" s="725"/>
      <c r="HUR28" s="725"/>
      <c r="HUS28" s="725"/>
      <c r="HUT28" s="725"/>
      <c r="HUU28" s="725"/>
      <c r="HUV28" s="725"/>
      <c r="HUW28" s="725"/>
      <c r="HUX28" s="725"/>
      <c r="HUY28" s="725"/>
      <c r="HUZ28" s="725"/>
      <c r="HVA28" s="725"/>
      <c r="HVB28" s="725"/>
      <c r="HVC28" s="725"/>
      <c r="HVD28" s="725"/>
      <c r="HVE28" s="725"/>
      <c r="HVF28" s="725"/>
      <c r="HVG28" s="725"/>
      <c r="HVH28" s="725"/>
      <c r="HVI28" s="725"/>
      <c r="HVJ28" s="725"/>
      <c r="HVK28" s="725"/>
      <c r="HVL28" s="725"/>
      <c r="HVM28" s="725"/>
      <c r="HVN28" s="725"/>
      <c r="HVO28" s="725"/>
      <c r="HVP28" s="725"/>
      <c r="HVQ28" s="725"/>
      <c r="HVR28" s="725"/>
      <c r="HVS28" s="725"/>
      <c r="HVT28" s="725"/>
      <c r="HVU28" s="725"/>
      <c r="HVV28" s="725"/>
      <c r="HVW28" s="725"/>
      <c r="HVX28" s="725"/>
      <c r="HVY28" s="725"/>
      <c r="HVZ28" s="725"/>
      <c r="HWA28" s="725"/>
      <c r="HWB28" s="725"/>
      <c r="HWC28" s="725"/>
      <c r="HWD28" s="725"/>
      <c r="HWE28" s="725"/>
      <c r="HWF28" s="725"/>
      <c r="HWG28" s="725"/>
      <c r="HWH28" s="725"/>
      <c r="HWI28" s="725"/>
      <c r="HWJ28" s="725"/>
      <c r="HWK28" s="725"/>
      <c r="HWL28" s="725"/>
      <c r="HWM28" s="725"/>
      <c r="HWN28" s="725"/>
      <c r="HWO28" s="725"/>
      <c r="HWP28" s="725"/>
      <c r="HWQ28" s="725"/>
      <c r="HWR28" s="725"/>
      <c r="HWS28" s="725"/>
      <c r="HWT28" s="725"/>
      <c r="HWU28" s="725"/>
      <c r="HWV28" s="725"/>
      <c r="HWW28" s="725"/>
      <c r="HWX28" s="725"/>
      <c r="HWY28" s="725"/>
      <c r="HWZ28" s="725"/>
      <c r="HXA28" s="725"/>
      <c r="HXB28" s="725"/>
      <c r="HXC28" s="725"/>
      <c r="HXD28" s="725"/>
      <c r="HXE28" s="725"/>
      <c r="HXF28" s="725"/>
      <c r="HXG28" s="725"/>
      <c r="HXH28" s="725"/>
      <c r="HXI28" s="725"/>
      <c r="HXJ28" s="725"/>
      <c r="HXK28" s="725"/>
      <c r="HXL28" s="725"/>
      <c r="HXM28" s="725"/>
      <c r="HXN28" s="725"/>
      <c r="HXO28" s="725"/>
      <c r="HXP28" s="725"/>
      <c r="HXQ28" s="725"/>
      <c r="HXR28" s="725"/>
      <c r="HXS28" s="725"/>
      <c r="HXT28" s="725"/>
      <c r="HXU28" s="725"/>
      <c r="HXV28" s="725"/>
      <c r="HXW28" s="725"/>
      <c r="HXX28" s="725"/>
      <c r="HXY28" s="725"/>
      <c r="HXZ28" s="725"/>
      <c r="HYA28" s="725"/>
      <c r="HYB28" s="725"/>
      <c r="HYC28" s="725"/>
      <c r="HYD28" s="725"/>
      <c r="HYE28" s="725"/>
      <c r="HYF28" s="725"/>
      <c r="HYG28" s="725"/>
      <c r="HYH28" s="725"/>
      <c r="HYI28" s="725"/>
      <c r="HYJ28" s="725"/>
      <c r="HYK28" s="725"/>
      <c r="HYL28" s="725"/>
      <c r="HYM28" s="725"/>
      <c r="HYN28" s="725"/>
      <c r="HYO28" s="725"/>
      <c r="HYP28" s="725"/>
      <c r="HYQ28" s="725"/>
      <c r="HYR28" s="725"/>
      <c r="HYS28" s="725"/>
      <c r="HYT28" s="725"/>
      <c r="HYU28" s="725"/>
      <c r="HYV28" s="725"/>
      <c r="HYW28" s="725"/>
      <c r="HYX28" s="725"/>
      <c r="HYY28" s="725"/>
      <c r="HYZ28" s="725"/>
      <c r="HZA28" s="725"/>
      <c r="HZB28" s="725"/>
      <c r="HZC28" s="725"/>
      <c r="HZD28" s="725"/>
      <c r="HZE28" s="725"/>
      <c r="HZF28" s="725"/>
      <c r="HZG28" s="725"/>
      <c r="HZH28" s="725"/>
      <c r="HZI28" s="725"/>
      <c r="HZJ28" s="725"/>
      <c r="HZK28" s="725"/>
      <c r="HZL28" s="725"/>
      <c r="HZM28" s="725"/>
      <c r="HZN28" s="725"/>
      <c r="HZO28" s="725"/>
      <c r="HZP28" s="725"/>
      <c r="HZQ28" s="725"/>
      <c r="HZR28" s="725"/>
      <c r="HZS28" s="725"/>
      <c r="HZT28" s="725"/>
      <c r="HZU28" s="725"/>
      <c r="HZV28" s="725"/>
      <c r="HZW28" s="725"/>
      <c r="HZX28" s="725"/>
      <c r="HZY28" s="725"/>
      <c r="HZZ28" s="725"/>
      <c r="IAA28" s="725"/>
      <c r="IAB28" s="725"/>
      <c r="IAC28" s="725"/>
      <c r="IAD28" s="725"/>
      <c r="IAE28" s="725"/>
      <c r="IAF28" s="725"/>
      <c r="IAG28" s="725"/>
      <c r="IAH28" s="725"/>
      <c r="IAI28" s="725"/>
      <c r="IAJ28" s="725"/>
      <c r="IAK28" s="725"/>
      <c r="IAL28" s="725"/>
      <c r="IAM28" s="725"/>
      <c r="IAN28" s="725"/>
      <c r="IAO28" s="725"/>
      <c r="IAP28" s="725"/>
      <c r="IAQ28" s="725"/>
      <c r="IAR28" s="725"/>
      <c r="IAS28" s="725"/>
      <c r="IAT28" s="725"/>
      <c r="IAU28" s="725"/>
      <c r="IAV28" s="725"/>
      <c r="IAW28" s="725"/>
      <c r="IAX28" s="725"/>
      <c r="IAY28" s="725"/>
      <c r="IAZ28" s="725"/>
      <c r="IBA28" s="725"/>
      <c r="IBB28" s="725"/>
      <c r="IBC28" s="725"/>
      <c r="IBD28" s="725"/>
      <c r="IBE28" s="725"/>
      <c r="IBF28" s="725"/>
      <c r="IBG28" s="725"/>
      <c r="IBH28" s="725"/>
      <c r="IBI28" s="725"/>
      <c r="IBJ28" s="725"/>
      <c r="IBK28" s="725"/>
      <c r="IBL28" s="725"/>
      <c r="IBM28" s="725"/>
      <c r="IBN28" s="725"/>
      <c r="IBO28" s="725"/>
      <c r="IBP28" s="725"/>
      <c r="IBQ28" s="725"/>
      <c r="IBR28" s="725"/>
      <c r="IBS28" s="725"/>
      <c r="IBT28" s="725"/>
      <c r="IBU28" s="725"/>
      <c r="IBV28" s="725"/>
      <c r="IBW28" s="725"/>
      <c r="IBX28" s="725"/>
      <c r="IBY28" s="725"/>
      <c r="IBZ28" s="725"/>
      <c r="ICA28" s="725"/>
      <c r="ICB28" s="725"/>
      <c r="ICC28" s="725"/>
      <c r="ICD28" s="725"/>
      <c r="ICE28" s="725"/>
      <c r="ICF28" s="725"/>
      <c r="ICG28" s="725"/>
      <c r="ICH28" s="725"/>
      <c r="ICI28" s="725"/>
      <c r="ICJ28" s="725"/>
      <c r="ICK28" s="725"/>
      <c r="ICL28" s="725"/>
      <c r="ICM28" s="725"/>
      <c r="ICN28" s="725"/>
      <c r="ICO28" s="725"/>
      <c r="ICP28" s="725"/>
      <c r="ICQ28" s="725"/>
      <c r="ICR28" s="725"/>
      <c r="ICS28" s="725"/>
      <c r="ICT28" s="725"/>
      <c r="ICU28" s="725"/>
      <c r="ICV28" s="725"/>
      <c r="ICW28" s="725"/>
      <c r="ICX28" s="725"/>
      <c r="ICY28" s="725"/>
      <c r="ICZ28" s="725"/>
      <c r="IDA28" s="725"/>
      <c r="IDB28" s="725"/>
      <c r="IDC28" s="725"/>
      <c r="IDD28" s="725"/>
      <c r="IDE28" s="725"/>
      <c r="IDF28" s="725"/>
      <c r="IDG28" s="725"/>
      <c r="IDH28" s="725"/>
      <c r="IDI28" s="725"/>
      <c r="IDJ28" s="725"/>
      <c r="IDK28" s="725"/>
      <c r="IDL28" s="725"/>
      <c r="IDM28" s="725"/>
      <c r="IDN28" s="725"/>
      <c r="IDO28" s="725"/>
      <c r="IDP28" s="725"/>
      <c r="IDQ28" s="725"/>
      <c r="IDR28" s="725"/>
      <c r="IDS28" s="725"/>
      <c r="IDT28" s="725"/>
      <c r="IDU28" s="725"/>
      <c r="IDV28" s="725"/>
      <c r="IDW28" s="725"/>
      <c r="IDX28" s="725"/>
      <c r="IDY28" s="725"/>
      <c r="IDZ28" s="725"/>
      <c r="IEA28" s="725"/>
      <c r="IEB28" s="725"/>
      <c r="IEC28" s="725"/>
      <c r="IED28" s="725"/>
      <c r="IEE28" s="725"/>
      <c r="IEF28" s="725"/>
      <c r="IEG28" s="725"/>
      <c r="IEH28" s="725"/>
      <c r="IEI28" s="725"/>
      <c r="IEJ28" s="725"/>
      <c r="IEK28" s="725"/>
      <c r="IEL28" s="725"/>
      <c r="IEM28" s="725"/>
      <c r="IEN28" s="725"/>
      <c r="IEO28" s="725"/>
      <c r="IEP28" s="725"/>
      <c r="IEQ28" s="725"/>
      <c r="IER28" s="725"/>
      <c r="IES28" s="725"/>
      <c r="IET28" s="725"/>
      <c r="IEU28" s="725"/>
      <c r="IEV28" s="725"/>
      <c r="IEW28" s="725"/>
      <c r="IEX28" s="725"/>
      <c r="IEY28" s="725"/>
      <c r="IEZ28" s="725"/>
      <c r="IFA28" s="725"/>
      <c r="IFB28" s="725"/>
      <c r="IFC28" s="725"/>
      <c r="IFD28" s="725"/>
      <c r="IFE28" s="725"/>
      <c r="IFF28" s="725"/>
      <c r="IFG28" s="725"/>
      <c r="IFH28" s="725"/>
      <c r="IFI28" s="725"/>
      <c r="IFJ28" s="725"/>
      <c r="IFK28" s="725"/>
      <c r="IFL28" s="725"/>
      <c r="IFM28" s="725"/>
      <c r="IFN28" s="725"/>
      <c r="IFO28" s="725"/>
      <c r="IFP28" s="725"/>
      <c r="IFQ28" s="725"/>
      <c r="IFR28" s="725"/>
      <c r="IFS28" s="725"/>
      <c r="IFT28" s="725"/>
      <c r="IFU28" s="725"/>
      <c r="IFV28" s="725"/>
      <c r="IFW28" s="725"/>
      <c r="IFX28" s="725"/>
      <c r="IFY28" s="725"/>
      <c r="IFZ28" s="725"/>
      <c r="IGA28" s="725"/>
      <c r="IGB28" s="725"/>
      <c r="IGC28" s="725"/>
      <c r="IGD28" s="725"/>
      <c r="IGE28" s="725"/>
      <c r="IGF28" s="725"/>
      <c r="IGG28" s="725"/>
      <c r="IGH28" s="725"/>
      <c r="IGI28" s="725"/>
      <c r="IGJ28" s="725"/>
      <c r="IGK28" s="725"/>
      <c r="IGL28" s="725"/>
      <c r="IGM28" s="725"/>
      <c r="IGN28" s="725"/>
      <c r="IGO28" s="725"/>
      <c r="IGP28" s="725"/>
      <c r="IGQ28" s="725"/>
      <c r="IGR28" s="725"/>
      <c r="IGS28" s="725"/>
      <c r="IGT28" s="725"/>
      <c r="IGU28" s="725"/>
      <c r="IGV28" s="725"/>
      <c r="IGW28" s="725"/>
      <c r="IGX28" s="725"/>
      <c r="IGY28" s="725"/>
      <c r="IGZ28" s="725"/>
      <c r="IHA28" s="725"/>
      <c r="IHB28" s="725"/>
      <c r="IHC28" s="725"/>
      <c r="IHD28" s="725"/>
      <c r="IHE28" s="725"/>
      <c r="IHF28" s="725"/>
      <c r="IHG28" s="725"/>
      <c r="IHH28" s="725"/>
      <c r="IHI28" s="725"/>
      <c r="IHJ28" s="725"/>
      <c r="IHK28" s="725"/>
      <c r="IHL28" s="725"/>
      <c r="IHM28" s="725"/>
      <c r="IHN28" s="725"/>
      <c r="IHO28" s="725"/>
      <c r="IHP28" s="725"/>
      <c r="IHQ28" s="725"/>
      <c r="IHR28" s="725"/>
      <c r="IHS28" s="725"/>
      <c r="IHT28" s="725"/>
      <c r="IHU28" s="725"/>
      <c r="IHV28" s="725"/>
      <c r="IHW28" s="725"/>
      <c r="IHX28" s="725"/>
      <c r="IHY28" s="725"/>
      <c r="IHZ28" s="725"/>
      <c r="IIA28" s="725"/>
      <c r="IIB28" s="725"/>
      <c r="IIC28" s="725"/>
      <c r="IID28" s="725"/>
      <c r="IIE28" s="725"/>
      <c r="IIF28" s="725"/>
      <c r="IIG28" s="725"/>
      <c r="IIH28" s="725"/>
      <c r="III28" s="725"/>
      <c r="IIJ28" s="725"/>
      <c r="IIK28" s="725"/>
      <c r="IIL28" s="725"/>
      <c r="IIM28" s="725"/>
      <c r="IIN28" s="725"/>
      <c r="IIO28" s="725"/>
      <c r="IIP28" s="725"/>
      <c r="IIQ28" s="725"/>
      <c r="IIR28" s="725"/>
      <c r="IIS28" s="725"/>
      <c r="IIT28" s="725"/>
      <c r="IIU28" s="725"/>
      <c r="IIV28" s="725"/>
      <c r="IIW28" s="725"/>
      <c r="IIX28" s="725"/>
      <c r="IIY28" s="725"/>
      <c r="IIZ28" s="725"/>
      <c r="IJA28" s="725"/>
      <c r="IJB28" s="725"/>
      <c r="IJC28" s="725"/>
      <c r="IJD28" s="725"/>
      <c r="IJE28" s="725"/>
      <c r="IJF28" s="725"/>
      <c r="IJG28" s="725"/>
      <c r="IJH28" s="725"/>
      <c r="IJI28" s="725"/>
      <c r="IJJ28" s="725"/>
      <c r="IJK28" s="725"/>
      <c r="IJL28" s="725"/>
      <c r="IJM28" s="725"/>
      <c r="IJN28" s="725"/>
      <c r="IJO28" s="725"/>
      <c r="IJP28" s="725"/>
      <c r="IJQ28" s="725"/>
      <c r="IJR28" s="725"/>
      <c r="IJS28" s="725"/>
      <c r="IJT28" s="725"/>
      <c r="IJU28" s="725"/>
      <c r="IJV28" s="725"/>
      <c r="IJW28" s="725"/>
      <c r="IJX28" s="725"/>
      <c r="IJY28" s="725"/>
      <c r="IJZ28" s="725"/>
      <c r="IKA28" s="725"/>
      <c r="IKB28" s="725"/>
      <c r="IKC28" s="725"/>
      <c r="IKD28" s="725"/>
      <c r="IKE28" s="725"/>
      <c r="IKF28" s="725"/>
      <c r="IKG28" s="725"/>
      <c r="IKH28" s="725"/>
      <c r="IKI28" s="725"/>
      <c r="IKJ28" s="725"/>
      <c r="IKK28" s="725"/>
      <c r="IKL28" s="725"/>
      <c r="IKM28" s="725"/>
      <c r="IKN28" s="725"/>
      <c r="IKO28" s="725"/>
      <c r="IKP28" s="725"/>
      <c r="IKQ28" s="725"/>
      <c r="IKR28" s="725"/>
      <c r="IKS28" s="725"/>
      <c r="IKT28" s="725"/>
      <c r="IKU28" s="725"/>
      <c r="IKV28" s="725"/>
      <c r="IKW28" s="725"/>
      <c r="IKX28" s="725"/>
      <c r="IKY28" s="725"/>
      <c r="IKZ28" s="725"/>
      <c r="ILA28" s="725"/>
      <c r="ILB28" s="725"/>
      <c r="ILC28" s="725"/>
      <c r="ILD28" s="725"/>
      <c r="ILE28" s="725"/>
      <c r="ILF28" s="725"/>
      <c r="ILG28" s="725"/>
      <c r="ILH28" s="725"/>
      <c r="ILI28" s="725"/>
      <c r="ILJ28" s="725"/>
      <c r="ILK28" s="725"/>
      <c r="ILL28" s="725"/>
      <c r="ILM28" s="725"/>
      <c r="ILN28" s="725"/>
      <c r="ILO28" s="725"/>
      <c r="ILP28" s="725"/>
      <c r="ILQ28" s="725"/>
      <c r="ILR28" s="725"/>
      <c r="ILS28" s="725"/>
      <c r="ILT28" s="725"/>
      <c r="ILU28" s="725"/>
      <c r="ILV28" s="725"/>
      <c r="ILW28" s="725"/>
      <c r="ILX28" s="725"/>
      <c r="ILY28" s="725"/>
      <c r="ILZ28" s="725"/>
      <c r="IMA28" s="725"/>
      <c r="IMB28" s="725"/>
      <c r="IMC28" s="725"/>
      <c r="IMD28" s="725"/>
      <c r="IME28" s="725"/>
      <c r="IMF28" s="725"/>
      <c r="IMG28" s="725"/>
      <c r="IMH28" s="725"/>
      <c r="IMI28" s="725"/>
      <c r="IMJ28" s="725"/>
      <c r="IMK28" s="725"/>
      <c r="IML28" s="725"/>
      <c r="IMM28" s="725"/>
      <c r="IMN28" s="725"/>
      <c r="IMO28" s="725"/>
      <c r="IMP28" s="725"/>
      <c r="IMQ28" s="725"/>
      <c r="IMR28" s="725"/>
      <c r="IMS28" s="725"/>
      <c r="IMT28" s="725"/>
      <c r="IMU28" s="725"/>
      <c r="IMV28" s="725"/>
      <c r="IMW28" s="725"/>
      <c r="IMX28" s="725"/>
      <c r="IMY28" s="725"/>
      <c r="IMZ28" s="725"/>
      <c r="INA28" s="725"/>
      <c r="INB28" s="725"/>
      <c r="INC28" s="725"/>
      <c r="IND28" s="725"/>
      <c r="INE28" s="725"/>
      <c r="INF28" s="725"/>
      <c r="ING28" s="725"/>
      <c r="INH28" s="725"/>
      <c r="INI28" s="725"/>
      <c r="INJ28" s="725"/>
      <c r="INK28" s="725"/>
      <c r="INL28" s="725"/>
      <c r="INM28" s="725"/>
      <c r="INN28" s="725"/>
      <c r="INO28" s="725"/>
      <c r="INP28" s="725"/>
      <c r="INQ28" s="725"/>
      <c r="INR28" s="725"/>
      <c r="INS28" s="725"/>
      <c r="INT28" s="725"/>
      <c r="INU28" s="725"/>
      <c r="INV28" s="725"/>
      <c r="INW28" s="725"/>
      <c r="INX28" s="725"/>
      <c r="INY28" s="725"/>
      <c r="INZ28" s="725"/>
      <c r="IOA28" s="725"/>
      <c r="IOB28" s="725"/>
      <c r="IOC28" s="725"/>
      <c r="IOD28" s="725"/>
      <c r="IOE28" s="725"/>
      <c r="IOF28" s="725"/>
      <c r="IOG28" s="725"/>
      <c r="IOH28" s="725"/>
      <c r="IOI28" s="725"/>
      <c r="IOJ28" s="725"/>
      <c r="IOK28" s="725"/>
      <c r="IOL28" s="725"/>
      <c r="IOM28" s="725"/>
      <c r="ION28" s="725"/>
      <c r="IOO28" s="725"/>
      <c r="IOP28" s="725"/>
      <c r="IOQ28" s="725"/>
      <c r="IOR28" s="725"/>
      <c r="IOS28" s="725"/>
      <c r="IOT28" s="725"/>
      <c r="IOU28" s="725"/>
      <c r="IOV28" s="725"/>
      <c r="IOW28" s="725"/>
      <c r="IOX28" s="725"/>
      <c r="IOY28" s="725"/>
      <c r="IOZ28" s="725"/>
      <c r="IPA28" s="725"/>
      <c r="IPB28" s="725"/>
      <c r="IPC28" s="725"/>
      <c r="IPD28" s="725"/>
      <c r="IPE28" s="725"/>
      <c r="IPF28" s="725"/>
      <c r="IPG28" s="725"/>
      <c r="IPH28" s="725"/>
      <c r="IPI28" s="725"/>
      <c r="IPJ28" s="725"/>
      <c r="IPK28" s="725"/>
      <c r="IPL28" s="725"/>
      <c r="IPM28" s="725"/>
      <c r="IPN28" s="725"/>
      <c r="IPO28" s="725"/>
      <c r="IPP28" s="725"/>
      <c r="IPQ28" s="725"/>
      <c r="IPR28" s="725"/>
      <c r="IPS28" s="725"/>
      <c r="IPT28" s="725"/>
      <c r="IPU28" s="725"/>
      <c r="IPV28" s="725"/>
      <c r="IPW28" s="725"/>
      <c r="IPX28" s="725"/>
      <c r="IPY28" s="725"/>
      <c r="IPZ28" s="725"/>
      <c r="IQA28" s="725"/>
      <c r="IQB28" s="725"/>
      <c r="IQC28" s="725"/>
      <c r="IQD28" s="725"/>
      <c r="IQE28" s="725"/>
      <c r="IQF28" s="725"/>
      <c r="IQG28" s="725"/>
      <c r="IQH28" s="725"/>
      <c r="IQI28" s="725"/>
      <c r="IQJ28" s="725"/>
      <c r="IQK28" s="725"/>
      <c r="IQL28" s="725"/>
      <c r="IQM28" s="725"/>
      <c r="IQN28" s="725"/>
      <c r="IQO28" s="725"/>
      <c r="IQP28" s="725"/>
      <c r="IQQ28" s="725"/>
      <c r="IQR28" s="725"/>
      <c r="IQS28" s="725"/>
      <c r="IQT28" s="725"/>
      <c r="IQU28" s="725"/>
      <c r="IQV28" s="725"/>
      <c r="IQW28" s="725"/>
      <c r="IQX28" s="725"/>
      <c r="IQY28" s="725"/>
      <c r="IQZ28" s="725"/>
      <c r="IRA28" s="725"/>
      <c r="IRB28" s="725"/>
      <c r="IRC28" s="725"/>
      <c r="IRD28" s="725"/>
      <c r="IRE28" s="725"/>
      <c r="IRF28" s="725"/>
      <c r="IRG28" s="725"/>
      <c r="IRH28" s="725"/>
      <c r="IRI28" s="725"/>
      <c r="IRJ28" s="725"/>
      <c r="IRK28" s="725"/>
      <c r="IRL28" s="725"/>
      <c r="IRM28" s="725"/>
      <c r="IRN28" s="725"/>
      <c r="IRO28" s="725"/>
      <c r="IRP28" s="725"/>
      <c r="IRQ28" s="725"/>
      <c r="IRR28" s="725"/>
      <c r="IRS28" s="725"/>
      <c r="IRT28" s="725"/>
      <c r="IRU28" s="725"/>
      <c r="IRV28" s="725"/>
      <c r="IRW28" s="725"/>
      <c r="IRX28" s="725"/>
      <c r="IRY28" s="725"/>
      <c r="IRZ28" s="725"/>
      <c r="ISA28" s="725"/>
      <c r="ISB28" s="725"/>
      <c r="ISC28" s="725"/>
      <c r="ISD28" s="725"/>
      <c r="ISE28" s="725"/>
      <c r="ISF28" s="725"/>
      <c r="ISG28" s="725"/>
      <c r="ISH28" s="725"/>
      <c r="ISI28" s="725"/>
      <c r="ISJ28" s="725"/>
      <c r="ISK28" s="725"/>
      <c r="ISL28" s="725"/>
      <c r="ISM28" s="725"/>
      <c r="ISN28" s="725"/>
      <c r="ISO28" s="725"/>
      <c r="ISP28" s="725"/>
      <c r="ISQ28" s="725"/>
      <c r="ISR28" s="725"/>
      <c r="ISS28" s="725"/>
      <c r="IST28" s="725"/>
      <c r="ISU28" s="725"/>
      <c r="ISV28" s="725"/>
      <c r="ISW28" s="725"/>
      <c r="ISX28" s="725"/>
      <c r="ISY28" s="725"/>
      <c r="ISZ28" s="725"/>
      <c r="ITA28" s="725"/>
      <c r="ITB28" s="725"/>
      <c r="ITC28" s="725"/>
      <c r="ITD28" s="725"/>
      <c r="ITE28" s="725"/>
      <c r="ITF28" s="725"/>
      <c r="ITG28" s="725"/>
      <c r="ITH28" s="725"/>
      <c r="ITI28" s="725"/>
      <c r="ITJ28" s="725"/>
      <c r="ITK28" s="725"/>
      <c r="ITL28" s="725"/>
      <c r="ITM28" s="725"/>
      <c r="ITN28" s="725"/>
      <c r="ITO28" s="725"/>
      <c r="ITP28" s="725"/>
      <c r="ITQ28" s="725"/>
      <c r="ITR28" s="725"/>
      <c r="ITS28" s="725"/>
      <c r="ITT28" s="725"/>
      <c r="ITU28" s="725"/>
      <c r="ITV28" s="725"/>
      <c r="ITW28" s="725"/>
      <c r="ITX28" s="725"/>
      <c r="ITY28" s="725"/>
      <c r="ITZ28" s="725"/>
      <c r="IUA28" s="725"/>
      <c r="IUB28" s="725"/>
      <c r="IUC28" s="725"/>
      <c r="IUD28" s="725"/>
      <c r="IUE28" s="725"/>
      <c r="IUF28" s="725"/>
      <c r="IUG28" s="725"/>
      <c r="IUH28" s="725"/>
      <c r="IUI28" s="725"/>
      <c r="IUJ28" s="725"/>
      <c r="IUK28" s="725"/>
      <c r="IUL28" s="725"/>
      <c r="IUM28" s="725"/>
      <c r="IUN28" s="725"/>
      <c r="IUO28" s="725"/>
      <c r="IUP28" s="725"/>
      <c r="IUQ28" s="725"/>
      <c r="IUR28" s="725"/>
      <c r="IUS28" s="725"/>
      <c r="IUT28" s="725"/>
      <c r="IUU28" s="725"/>
      <c r="IUV28" s="725"/>
      <c r="IUW28" s="725"/>
      <c r="IUX28" s="725"/>
      <c r="IUY28" s="725"/>
      <c r="IUZ28" s="725"/>
      <c r="IVA28" s="725"/>
      <c r="IVB28" s="725"/>
      <c r="IVC28" s="725"/>
      <c r="IVD28" s="725"/>
      <c r="IVE28" s="725"/>
      <c r="IVF28" s="725"/>
      <c r="IVG28" s="725"/>
      <c r="IVH28" s="725"/>
      <c r="IVI28" s="725"/>
      <c r="IVJ28" s="725"/>
      <c r="IVK28" s="725"/>
      <c r="IVL28" s="725"/>
      <c r="IVM28" s="725"/>
      <c r="IVN28" s="725"/>
      <c r="IVO28" s="725"/>
      <c r="IVP28" s="725"/>
      <c r="IVQ28" s="725"/>
      <c r="IVR28" s="725"/>
      <c r="IVS28" s="725"/>
      <c r="IVT28" s="725"/>
      <c r="IVU28" s="725"/>
      <c r="IVV28" s="725"/>
      <c r="IVW28" s="725"/>
      <c r="IVX28" s="725"/>
      <c r="IVY28" s="725"/>
      <c r="IVZ28" s="725"/>
      <c r="IWA28" s="725"/>
      <c r="IWB28" s="725"/>
      <c r="IWC28" s="725"/>
      <c r="IWD28" s="725"/>
      <c r="IWE28" s="725"/>
      <c r="IWF28" s="725"/>
      <c r="IWG28" s="725"/>
      <c r="IWH28" s="725"/>
      <c r="IWI28" s="725"/>
      <c r="IWJ28" s="725"/>
      <c r="IWK28" s="725"/>
      <c r="IWL28" s="725"/>
      <c r="IWM28" s="725"/>
      <c r="IWN28" s="725"/>
      <c r="IWO28" s="725"/>
      <c r="IWP28" s="725"/>
      <c r="IWQ28" s="725"/>
      <c r="IWR28" s="725"/>
      <c r="IWS28" s="725"/>
      <c r="IWT28" s="725"/>
      <c r="IWU28" s="725"/>
      <c r="IWV28" s="725"/>
      <c r="IWW28" s="725"/>
      <c r="IWX28" s="725"/>
      <c r="IWY28" s="725"/>
      <c r="IWZ28" s="725"/>
      <c r="IXA28" s="725"/>
      <c r="IXB28" s="725"/>
      <c r="IXC28" s="725"/>
      <c r="IXD28" s="725"/>
      <c r="IXE28" s="725"/>
      <c r="IXF28" s="725"/>
      <c r="IXG28" s="725"/>
      <c r="IXH28" s="725"/>
      <c r="IXI28" s="725"/>
      <c r="IXJ28" s="725"/>
      <c r="IXK28" s="725"/>
      <c r="IXL28" s="725"/>
      <c r="IXM28" s="725"/>
      <c r="IXN28" s="725"/>
      <c r="IXO28" s="725"/>
      <c r="IXP28" s="725"/>
      <c r="IXQ28" s="725"/>
      <c r="IXR28" s="725"/>
      <c r="IXS28" s="725"/>
      <c r="IXT28" s="725"/>
      <c r="IXU28" s="725"/>
      <c r="IXV28" s="725"/>
      <c r="IXW28" s="725"/>
      <c r="IXX28" s="725"/>
      <c r="IXY28" s="725"/>
      <c r="IXZ28" s="725"/>
      <c r="IYA28" s="725"/>
      <c r="IYB28" s="725"/>
      <c r="IYC28" s="725"/>
      <c r="IYD28" s="725"/>
      <c r="IYE28" s="725"/>
      <c r="IYF28" s="725"/>
      <c r="IYG28" s="725"/>
      <c r="IYH28" s="725"/>
      <c r="IYI28" s="725"/>
      <c r="IYJ28" s="725"/>
      <c r="IYK28" s="725"/>
      <c r="IYL28" s="725"/>
      <c r="IYM28" s="725"/>
      <c r="IYN28" s="725"/>
      <c r="IYO28" s="725"/>
      <c r="IYP28" s="725"/>
      <c r="IYQ28" s="725"/>
      <c r="IYR28" s="725"/>
      <c r="IYS28" s="725"/>
      <c r="IYT28" s="725"/>
      <c r="IYU28" s="725"/>
      <c r="IYV28" s="725"/>
      <c r="IYW28" s="725"/>
      <c r="IYX28" s="725"/>
      <c r="IYY28" s="725"/>
      <c r="IYZ28" s="725"/>
      <c r="IZA28" s="725"/>
      <c r="IZB28" s="725"/>
      <c r="IZC28" s="725"/>
      <c r="IZD28" s="725"/>
      <c r="IZE28" s="725"/>
      <c r="IZF28" s="725"/>
      <c r="IZG28" s="725"/>
      <c r="IZH28" s="725"/>
      <c r="IZI28" s="725"/>
      <c r="IZJ28" s="725"/>
      <c r="IZK28" s="725"/>
      <c r="IZL28" s="725"/>
      <c r="IZM28" s="725"/>
      <c r="IZN28" s="725"/>
      <c r="IZO28" s="725"/>
      <c r="IZP28" s="725"/>
      <c r="IZQ28" s="725"/>
      <c r="IZR28" s="725"/>
      <c r="IZS28" s="725"/>
      <c r="IZT28" s="725"/>
      <c r="IZU28" s="725"/>
      <c r="IZV28" s="725"/>
      <c r="IZW28" s="725"/>
      <c r="IZX28" s="725"/>
      <c r="IZY28" s="725"/>
      <c r="IZZ28" s="725"/>
      <c r="JAA28" s="725"/>
      <c r="JAB28" s="725"/>
      <c r="JAC28" s="725"/>
      <c r="JAD28" s="725"/>
      <c r="JAE28" s="725"/>
      <c r="JAF28" s="725"/>
      <c r="JAG28" s="725"/>
      <c r="JAH28" s="725"/>
      <c r="JAI28" s="725"/>
      <c r="JAJ28" s="725"/>
      <c r="JAK28" s="725"/>
      <c r="JAL28" s="725"/>
      <c r="JAM28" s="725"/>
      <c r="JAN28" s="725"/>
      <c r="JAO28" s="725"/>
      <c r="JAP28" s="725"/>
      <c r="JAQ28" s="725"/>
      <c r="JAR28" s="725"/>
      <c r="JAS28" s="725"/>
      <c r="JAT28" s="725"/>
      <c r="JAU28" s="725"/>
      <c r="JAV28" s="725"/>
      <c r="JAW28" s="725"/>
      <c r="JAX28" s="725"/>
      <c r="JAY28" s="725"/>
      <c r="JAZ28" s="725"/>
      <c r="JBA28" s="725"/>
      <c r="JBB28" s="725"/>
      <c r="JBC28" s="725"/>
      <c r="JBD28" s="725"/>
      <c r="JBE28" s="725"/>
      <c r="JBF28" s="725"/>
      <c r="JBG28" s="725"/>
      <c r="JBH28" s="725"/>
      <c r="JBI28" s="725"/>
      <c r="JBJ28" s="725"/>
      <c r="JBK28" s="725"/>
      <c r="JBL28" s="725"/>
      <c r="JBM28" s="725"/>
      <c r="JBN28" s="725"/>
      <c r="JBO28" s="725"/>
      <c r="JBP28" s="725"/>
      <c r="JBQ28" s="725"/>
      <c r="JBR28" s="725"/>
      <c r="JBS28" s="725"/>
      <c r="JBT28" s="725"/>
      <c r="JBU28" s="725"/>
      <c r="JBV28" s="725"/>
      <c r="JBW28" s="725"/>
      <c r="JBX28" s="725"/>
      <c r="JBY28" s="725"/>
      <c r="JBZ28" s="725"/>
      <c r="JCA28" s="725"/>
      <c r="JCB28" s="725"/>
      <c r="JCC28" s="725"/>
      <c r="JCD28" s="725"/>
      <c r="JCE28" s="725"/>
      <c r="JCF28" s="725"/>
      <c r="JCG28" s="725"/>
      <c r="JCH28" s="725"/>
      <c r="JCI28" s="725"/>
      <c r="JCJ28" s="725"/>
      <c r="JCK28" s="725"/>
      <c r="JCL28" s="725"/>
      <c r="JCM28" s="725"/>
      <c r="JCN28" s="725"/>
      <c r="JCO28" s="725"/>
      <c r="JCP28" s="725"/>
      <c r="JCQ28" s="725"/>
      <c r="JCR28" s="725"/>
      <c r="JCS28" s="725"/>
      <c r="JCT28" s="725"/>
      <c r="JCU28" s="725"/>
      <c r="JCV28" s="725"/>
      <c r="JCW28" s="725"/>
      <c r="JCX28" s="725"/>
      <c r="JCY28" s="725"/>
      <c r="JCZ28" s="725"/>
      <c r="JDA28" s="725"/>
      <c r="JDB28" s="725"/>
      <c r="JDC28" s="725"/>
      <c r="JDD28" s="725"/>
      <c r="JDE28" s="725"/>
      <c r="JDF28" s="725"/>
      <c r="JDG28" s="725"/>
      <c r="JDH28" s="725"/>
      <c r="JDI28" s="725"/>
      <c r="JDJ28" s="725"/>
      <c r="JDK28" s="725"/>
      <c r="JDL28" s="725"/>
      <c r="JDM28" s="725"/>
      <c r="JDN28" s="725"/>
      <c r="JDO28" s="725"/>
      <c r="JDP28" s="725"/>
      <c r="JDQ28" s="725"/>
      <c r="JDR28" s="725"/>
      <c r="JDS28" s="725"/>
      <c r="JDT28" s="725"/>
      <c r="JDU28" s="725"/>
      <c r="JDV28" s="725"/>
      <c r="JDW28" s="725"/>
      <c r="JDX28" s="725"/>
      <c r="JDY28" s="725"/>
      <c r="JDZ28" s="725"/>
      <c r="JEA28" s="725"/>
      <c r="JEB28" s="725"/>
      <c r="JEC28" s="725"/>
      <c r="JED28" s="725"/>
      <c r="JEE28" s="725"/>
      <c r="JEF28" s="725"/>
      <c r="JEG28" s="725"/>
      <c r="JEH28" s="725"/>
      <c r="JEI28" s="725"/>
      <c r="JEJ28" s="725"/>
      <c r="JEK28" s="725"/>
      <c r="JEL28" s="725"/>
      <c r="JEM28" s="725"/>
      <c r="JEN28" s="725"/>
      <c r="JEO28" s="725"/>
      <c r="JEP28" s="725"/>
      <c r="JEQ28" s="725"/>
      <c r="JER28" s="725"/>
      <c r="JES28" s="725"/>
      <c r="JET28" s="725"/>
      <c r="JEU28" s="725"/>
      <c r="JEV28" s="725"/>
      <c r="JEW28" s="725"/>
      <c r="JEX28" s="725"/>
      <c r="JEY28" s="725"/>
      <c r="JEZ28" s="725"/>
      <c r="JFA28" s="725"/>
      <c r="JFB28" s="725"/>
      <c r="JFC28" s="725"/>
      <c r="JFD28" s="725"/>
      <c r="JFE28" s="725"/>
      <c r="JFF28" s="725"/>
      <c r="JFG28" s="725"/>
      <c r="JFH28" s="725"/>
      <c r="JFI28" s="725"/>
      <c r="JFJ28" s="725"/>
      <c r="JFK28" s="725"/>
      <c r="JFL28" s="725"/>
      <c r="JFM28" s="725"/>
      <c r="JFN28" s="725"/>
      <c r="JFO28" s="725"/>
      <c r="JFP28" s="725"/>
      <c r="JFQ28" s="725"/>
      <c r="JFR28" s="725"/>
      <c r="JFS28" s="725"/>
      <c r="JFT28" s="725"/>
      <c r="JFU28" s="725"/>
      <c r="JFV28" s="725"/>
      <c r="JFW28" s="725"/>
      <c r="JFX28" s="725"/>
      <c r="JFY28" s="725"/>
      <c r="JFZ28" s="725"/>
      <c r="JGA28" s="725"/>
      <c r="JGB28" s="725"/>
      <c r="JGC28" s="725"/>
      <c r="JGD28" s="725"/>
      <c r="JGE28" s="725"/>
      <c r="JGF28" s="725"/>
      <c r="JGG28" s="725"/>
      <c r="JGH28" s="725"/>
      <c r="JGI28" s="725"/>
      <c r="JGJ28" s="725"/>
      <c r="JGK28" s="725"/>
      <c r="JGL28" s="725"/>
      <c r="JGM28" s="725"/>
      <c r="JGN28" s="725"/>
      <c r="JGO28" s="725"/>
      <c r="JGP28" s="725"/>
      <c r="JGQ28" s="725"/>
      <c r="JGR28" s="725"/>
      <c r="JGS28" s="725"/>
      <c r="JGT28" s="725"/>
      <c r="JGU28" s="725"/>
      <c r="JGV28" s="725"/>
      <c r="JGW28" s="725"/>
      <c r="JGX28" s="725"/>
      <c r="JGY28" s="725"/>
      <c r="JGZ28" s="725"/>
      <c r="JHA28" s="725"/>
      <c r="JHB28" s="725"/>
      <c r="JHC28" s="725"/>
      <c r="JHD28" s="725"/>
      <c r="JHE28" s="725"/>
      <c r="JHF28" s="725"/>
      <c r="JHG28" s="725"/>
      <c r="JHH28" s="725"/>
      <c r="JHI28" s="725"/>
      <c r="JHJ28" s="725"/>
      <c r="JHK28" s="725"/>
      <c r="JHL28" s="725"/>
      <c r="JHM28" s="725"/>
      <c r="JHN28" s="725"/>
      <c r="JHO28" s="725"/>
      <c r="JHP28" s="725"/>
      <c r="JHQ28" s="725"/>
      <c r="JHR28" s="725"/>
      <c r="JHS28" s="725"/>
      <c r="JHT28" s="725"/>
      <c r="JHU28" s="725"/>
      <c r="JHV28" s="725"/>
      <c r="JHW28" s="725"/>
      <c r="JHX28" s="725"/>
      <c r="JHY28" s="725"/>
      <c r="JHZ28" s="725"/>
      <c r="JIA28" s="725"/>
      <c r="JIB28" s="725"/>
      <c r="JIC28" s="725"/>
      <c r="JID28" s="725"/>
      <c r="JIE28" s="725"/>
      <c r="JIF28" s="725"/>
      <c r="JIG28" s="725"/>
      <c r="JIH28" s="725"/>
      <c r="JII28" s="725"/>
      <c r="JIJ28" s="725"/>
      <c r="JIK28" s="725"/>
      <c r="JIL28" s="725"/>
      <c r="JIM28" s="725"/>
      <c r="JIN28" s="725"/>
      <c r="JIO28" s="725"/>
      <c r="JIP28" s="725"/>
      <c r="JIQ28" s="725"/>
      <c r="JIR28" s="725"/>
      <c r="JIS28" s="725"/>
      <c r="JIT28" s="725"/>
      <c r="JIU28" s="725"/>
      <c r="JIV28" s="725"/>
      <c r="JIW28" s="725"/>
      <c r="JIX28" s="725"/>
      <c r="JIY28" s="725"/>
      <c r="JIZ28" s="725"/>
      <c r="JJA28" s="725"/>
      <c r="JJB28" s="725"/>
      <c r="JJC28" s="725"/>
      <c r="JJD28" s="725"/>
      <c r="JJE28" s="725"/>
      <c r="JJF28" s="725"/>
      <c r="JJG28" s="725"/>
      <c r="JJH28" s="725"/>
      <c r="JJI28" s="725"/>
      <c r="JJJ28" s="725"/>
      <c r="JJK28" s="725"/>
      <c r="JJL28" s="725"/>
      <c r="JJM28" s="725"/>
      <c r="JJN28" s="725"/>
      <c r="JJO28" s="725"/>
      <c r="JJP28" s="725"/>
      <c r="JJQ28" s="725"/>
      <c r="JJR28" s="725"/>
      <c r="JJS28" s="725"/>
      <c r="JJT28" s="725"/>
      <c r="JJU28" s="725"/>
      <c r="JJV28" s="725"/>
      <c r="JJW28" s="725"/>
      <c r="JJX28" s="725"/>
      <c r="JJY28" s="725"/>
      <c r="JJZ28" s="725"/>
      <c r="JKA28" s="725"/>
      <c r="JKB28" s="725"/>
      <c r="JKC28" s="725"/>
      <c r="JKD28" s="725"/>
      <c r="JKE28" s="725"/>
      <c r="JKF28" s="725"/>
      <c r="JKG28" s="725"/>
      <c r="JKH28" s="725"/>
      <c r="JKI28" s="725"/>
      <c r="JKJ28" s="725"/>
      <c r="JKK28" s="725"/>
      <c r="JKL28" s="725"/>
      <c r="JKM28" s="725"/>
      <c r="JKN28" s="725"/>
      <c r="JKO28" s="725"/>
      <c r="JKP28" s="725"/>
      <c r="JKQ28" s="725"/>
      <c r="JKR28" s="725"/>
      <c r="JKS28" s="725"/>
      <c r="JKT28" s="725"/>
      <c r="JKU28" s="725"/>
      <c r="JKV28" s="725"/>
      <c r="JKW28" s="725"/>
      <c r="JKX28" s="725"/>
      <c r="JKY28" s="725"/>
      <c r="JKZ28" s="725"/>
      <c r="JLA28" s="725"/>
      <c r="JLB28" s="725"/>
      <c r="JLC28" s="725"/>
      <c r="JLD28" s="725"/>
      <c r="JLE28" s="725"/>
      <c r="JLF28" s="725"/>
      <c r="JLG28" s="725"/>
      <c r="JLH28" s="725"/>
      <c r="JLI28" s="725"/>
      <c r="JLJ28" s="725"/>
      <c r="JLK28" s="725"/>
      <c r="JLL28" s="725"/>
      <c r="JLM28" s="725"/>
      <c r="JLN28" s="725"/>
      <c r="JLO28" s="725"/>
      <c r="JLP28" s="725"/>
      <c r="JLQ28" s="725"/>
      <c r="JLR28" s="725"/>
      <c r="JLS28" s="725"/>
      <c r="JLT28" s="725"/>
      <c r="JLU28" s="725"/>
      <c r="JLV28" s="725"/>
      <c r="JLW28" s="725"/>
      <c r="JLX28" s="725"/>
      <c r="JLY28" s="725"/>
      <c r="JLZ28" s="725"/>
      <c r="JMA28" s="725"/>
      <c r="JMB28" s="725"/>
      <c r="JMC28" s="725"/>
      <c r="JMD28" s="725"/>
      <c r="JME28" s="725"/>
      <c r="JMF28" s="725"/>
      <c r="JMG28" s="725"/>
      <c r="JMH28" s="725"/>
      <c r="JMI28" s="725"/>
      <c r="JMJ28" s="725"/>
      <c r="JMK28" s="725"/>
      <c r="JML28" s="725"/>
      <c r="JMM28" s="725"/>
      <c r="JMN28" s="725"/>
      <c r="JMO28" s="725"/>
      <c r="JMP28" s="725"/>
      <c r="JMQ28" s="725"/>
      <c r="JMR28" s="725"/>
      <c r="JMS28" s="725"/>
      <c r="JMT28" s="725"/>
      <c r="JMU28" s="725"/>
      <c r="JMV28" s="725"/>
      <c r="JMW28" s="725"/>
      <c r="JMX28" s="725"/>
      <c r="JMY28" s="725"/>
      <c r="JMZ28" s="725"/>
      <c r="JNA28" s="725"/>
      <c r="JNB28" s="725"/>
      <c r="JNC28" s="725"/>
      <c r="JND28" s="725"/>
      <c r="JNE28" s="725"/>
      <c r="JNF28" s="725"/>
      <c r="JNG28" s="725"/>
      <c r="JNH28" s="725"/>
      <c r="JNI28" s="725"/>
      <c r="JNJ28" s="725"/>
      <c r="JNK28" s="725"/>
      <c r="JNL28" s="725"/>
      <c r="JNM28" s="725"/>
      <c r="JNN28" s="725"/>
      <c r="JNO28" s="725"/>
      <c r="JNP28" s="725"/>
      <c r="JNQ28" s="725"/>
      <c r="JNR28" s="725"/>
      <c r="JNS28" s="725"/>
      <c r="JNT28" s="725"/>
      <c r="JNU28" s="725"/>
      <c r="JNV28" s="725"/>
      <c r="JNW28" s="725"/>
      <c r="JNX28" s="725"/>
      <c r="JNY28" s="725"/>
      <c r="JNZ28" s="725"/>
      <c r="JOA28" s="725"/>
      <c r="JOB28" s="725"/>
      <c r="JOC28" s="725"/>
      <c r="JOD28" s="725"/>
      <c r="JOE28" s="725"/>
      <c r="JOF28" s="725"/>
      <c r="JOG28" s="725"/>
      <c r="JOH28" s="725"/>
      <c r="JOI28" s="725"/>
      <c r="JOJ28" s="725"/>
      <c r="JOK28" s="725"/>
      <c r="JOL28" s="725"/>
      <c r="JOM28" s="725"/>
      <c r="JON28" s="725"/>
      <c r="JOO28" s="725"/>
      <c r="JOP28" s="725"/>
      <c r="JOQ28" s="725"/>
      <c r="JOR28" s="725"/>
      <c r="JOS28" s="725"/>
      <c r="JOT28" s="725"/>
      <c r="JOU28" s="725"/>
      <c r="JOV28" s="725"/>
      <c r="JOW28" s="725"/>
      <c r="JOX28" s="725"/>
      <c r="JOY28" s="725"/>
      <c r="JOZ28" s="725"/>
      <c r="JPA28" s="725"/>
      <c r="JPB28" s="725"/>
      <c r="JPC28" s="725"/>
      <c r="JPD28" s="725"/>
      <c r="JPE28" s="725"/>
      <c r="JPF28" s="725"/>
      <c r="JPG28" s="725"/>
      <c r="JPH28" s="725"/>
      <c r="JPI28" s="725"/>
      <c r="JPJ28" s="725"/>
      <c r="JPK28" s="725"/>
      <c r="JPL28" s="725"/>
      <c r="JPM28" s="725"/>
      <c r="JPN28" s="725"/>
      <c r="JPO28" s="725"/>
      <c r="JPP28" s="725"/>
      <c r="JPQ28" s="725"/>
      <c r="JPR28" s="725"/>
      <c r="JPS28" s="725"/>
      <c r="JPT28" s="725"/>
      <c r="JPU28" s="725"/>
      <c r="JPV28" s="725"/>
      <c r="JPW28" s="725"/>
      <c r="JPX28" s="725"/>
      <c r="JPY28" s="725"/>
      <c r="JPZ28" s="725"/>
      <c r="JQA28" s="725"/>
      <c r="JQB28" s="725"/>
      <c r="JQC28" s="725"/>
      <c r="JQD28" s="725"/>
      <c r="JQE28" s="725"/>
      <c r="JQF28" s="725"/>
      <c r="JQG28" s="725"/>
      <c r="JQH28" s="725"/>
      <c r="JQI28" s="725"/>
      <c r="JQJ28" s="725"/>
      <c r="JQK28" s="725"/>
      <c r="JQL28" s="725"/>
      <c r="JQM28" s="725"/>
      <c r="JQN28" s="725"/>
      <c r="JQO28" s="725"/>
      <c r="JQP28" s="725"/>
      <c r="JQQ28" s="725"/>
      <c r="JQR28" s="725"/>
      <c r="JQS28" s="725"/>
      <c r="JQT28" s="725"/>
      <c r="JQU28" s="725"/>
      <c r="JQV28" s="725"/>
      <c r="JQW28" s="725"/>
      <c r="JQX28" s="725"/>
      <c r="JQY28" s="725"/>
      <c r="JQZ28" s="725"/>
      <c r="JRA28" s="725"/>
      <c r="JRB28" s="725"/>
      <c r="JRC28" s="725"/>
      <c r="JRD28" s="725"/>
      <c r="JRE28" s="725"/>
      <c r="JRF28" s="725"/>
      <c r="JRG28" s="725"/>
      <c r="JRH28" s="725"/>
      <c r="JRI28" s="725"/>
      <c r="JRJ28" s="725"/>
      <c r="JRK28" s="725"/>
      <c r="JRL28" s="725"/>
      <c r="JRM28" s="725"/>
      <c r="JRN28" s="725"/>
      <c r="JRO28" s="725"/>
      <c r="JRP28" s="725"/>
      <c r="JRQ28" s="725"/>
      <c r="JRR28" s="725"/>
      <c r="JRS28" s="725"/>
      <c r="JRT28" s="725"/>
      <c r="JRU28" s="725"/>
      <c r="JRV28" s="725"/>
      <c r="JRW28" s="725"/>
      <c r="JRX28" s="725"/>
      <c r="JRY28" s="725"/>
      <c r="JRZ28" s="725"/>
      <c r="JSA28" s="725"/>
      <c r="JSB28" s="725"/>
      <c r="JSC28" s="725"/>
      <c r="JSD28" s="725"/>
      <c r="JSE28" s="725"/>
      <c r="JSF28" s="725"/>
      <c r="JSG28" s="725"/>
      <c r="JSH28" s="725"/>
      <c r="JSI28" s="725"/>
      <c r="JSJ28" s="725"/>
      <c r="JSK28" s="725"/>
      <c r="JSL28" s="725"/>
      <c r="JSM28" s="725"/>
      <c r="JSN28" s="725"/>
      <c r="JSO28" s="725"/>
      <c r="JSP28" s="725"/>
      <c r="JSQ28" s="725"/>
      <c r="JSR28" s="725"/>
      <c r="JSS28" s="725"/>
      <c r="JST28" s="725"/>
      <c r="JSU28" s="725"/>
      <c r="JSV28" s="725"/>
      <c r="JSW28" s="725"/>
      <c r="JSX28" s="725"/>
      <c r="JSY28" s="725"/>
      <c r="JSZ28" s="725"/>
      <c r="JTA28" s="725"/>
      <c r="JTB28" s="725"/>
      <c r="JTC28" s="725"/>
      <c r="JTD28" s="725"/>
      <c r="JTE28" s="725"/>
      <c r="JTF28" s="725"/>
      <c r="JTG28" s="725"/>
      <c r="JTH28" s="725"/>
      <c r="JTI28" s="725"/>
      <c r="JTJ28" s="725"/>
      <c r="JTK28" s="725"/>
      <c r="JTL28" s="725"/>
      <c r="JTM28" s="725"/>
      <c r="JTN28" s="725"/>
      <c r="JTO28" s="725"/>
      <c r="JTP28" s="725"/>
      <c r="JTQ28" s="725"/>
      <c r="JTR28" s="725"/>
      <c r="JTS28" s="725"/>
      <c r="JTT28" s="725"/>
      <c r="JTU28" s="725"/>
      <c r="JTV28" s="725"/>
      <c r="JTW28" s="725"/>
      <c r="JTX28" s="725"/>
      <c r="JTY28" s="725"/>
      <c r="JTZ28" s="725"/>
      <c r="JUA28" s="725"/>
      <c r="JUB28" s="725"/>
      <c r="JUC28" s="725"/>
      <c r="JUD28" s="725"/>
      <c r="JUE28" s="725"/>
      <c r="JUF28" s="725"/>
      <c r="JUG28" s="725"/>
      <c r="JUH28" s="725"/>
      <c r="JUI28" s="725"/>
      <c r="JUJ28" s="725"/>
      <c r="JUK28" s="725"/>
      <c r="JUL28" s="725"/>
      <c r="JUM28" s="725"/>
      <c r="JUN28" s="725"/>
      <c r="JUO28" s="725"/>
      <c r="JUP28" s="725"/>
      <c r="JUQ28" s="725"/>
      <c r="JUR28" s="725"/>
      <c r="JUS28" s="725"/>
      <c r="JUT28" s="725"/>
      <c r="JUU28" s="725"/>
      <c r="JUV28" s="725"/>
      <c r="JUW28" s="725"/>
      <c r="JUX28" s="725"/>
      <c r="JUY28" s="725"/>
      <c r="JUZ28" s="725"/>
      <c r="JVA28" s="725"/>
      <c r="JVB28" s="725"/>
      <c r="JVC28" s="725"/>
      <c r="JVD28" s="725"/>
      <c r="JVE28" s="725"/>
      <c r="JVF28" s="725"/>
      <c r="JVG28" s="725"/>
      <c r="JVH28" s="725"/>
      <c r="JVI28" s="725"/>
      <c r="JVJ28" s="725"/>
      <c r="JVK28" s="725"/>
      <c r="JVL28" s="725"/>
      <c r="JVM28" s="725"/>
      <c r="JVN28" s="725"/>
      <c r="JVO28" s="725"/>
      <c r="JVP28" s="725"/>
      <c r="JVQ28" s="725"/>
      <c r="JVR28" s="725"/>
      <c r="JVS28" s="725"/>
      <c r="JVT28" s="725"/>
      <c r="JVU28" s="725"/>
      <c r="JVV28" s="725"/>
      <c r="JVW28" s="725"/>
      <c r="JVX28" s="725"/>
      <c r="JVY28" s="725"/>
      <c r="JVZ28" s="725"/>
      <c r="JWA28" s="725"/>
      <c r="JWB28" s="725"/>
      <c r="JWC28" s="725"/>
      <c r="JWD28" s="725"/>
      <c r="JWE28" s="725"/>
      <c r="JWF28" s="725"/>
      <c r="JWG28" s="725"/>
      <c r="JWH28" s="725"/>
      <c r="JWI28" s="725"/>
      <c r="JWJ28" s="725"/>
      <c r="JWK28" s="725"/>
      <c r="JWL28" s="725"/>
      <c r="JWM28" s="725"/>
      <c r="JWN28" s="725"/>
      <c r="JWO28" s="725"/>
      <c r="JWP28" s="725"/>
      <c r="JWQ28" s="725"/>
      <c r="JWR28" s="725"/>
      <c r="JWS28" s="725"/>
      <c r="JWT28" s="725"/>
      <c r="JWU28" s="725"/>
      <c r="JWV28" s="725"/>
      <c r="JWW28" s="725"/>
      <c r="JWX28" s="725"/>
      <c r="JWY28" s="725"/>
      <c r="JWZ28" s="725"/>
      <c r="JXA28" s="725"/>
      <c r="JXB28" s="725"/>
      <c r="JXC28" s="725"/>
      <c r="JXD28" s="725"/>
      <c r="JXE28" s="725"/>
      <c r="JXF28" s="725"/>
      <c r="JXG28" s="725"/>
      <c r="JXH28" s="725"/>
      <c r="JXI28" s="725"/>
      <c r="JXJ28" s="725"/>
      <c r="JXK28" s="725"/>
      <c r="JXL28" s="725"/>
      <c r="JXM28" s="725"/>
      <c r="JXN28" s="725"/>
      <c r="JXO28" s="725"/>
      <c r="JXP28" s="725"/>
      <c r="JXQ28" s="725"/>
      <c r="JXR28" s="725"/>
      <c r="JXS28" s="725"/>
      <c r="JXT28" s="725"/>
      <c r="JXU28" s="725"/>
      <c r="JXV28" s="725"/>
      <c r="JXW28" s="725"/>
      <c r="JXX28" s="725"/>
      <c r="JXY28" s="725"/>
      <c r="JXZ28" s="725"/>
      <c r="JYA28" s="725"/>
      <c r="JYB28" s="725"/>
      <c r="JYC28" s="725"/>
      <c r="JYD28" s="725"/>
      <c r="JYE28" s="725"/>
      <c r="JYF28" s="725"/>
      <c r="JYG28" s="725"/>
      <c r="JYH28" s="725"/>
      <c r="JYI28" s="725"/>
      <c r="JYJ28" s="725"/>
      <c r="JYK28" s="725"/>
      <c r="JYL28" s="725"/>
      <c r="JYM28" s="725"/>
      <c r="JYN28" s="725"/>
      <c r="JYO28" s="725"/>
      <c r="JYP28" s="725"/>
      <c r="JYQ28" s="725"/>
      <c r="JYR28" s="725"/>
      <c r="JYS28" s="725"/>
      <c r="JYT28" s="725"/>
      <c r="JYU28" s="725"/>
      <c r="JYV28" s="725"/>
      <c r="JYW28" s="725"/>
      <c r="JYX28" s="725"/>
      <c r="JYY28" s="725"/>
      <c r="JYZ28" s="725"/>
      <c r="JZA28" s="725"/>
      <c r="JZB28" s="725"/>
      <c r="JZC28" s="725"/>
      <c r="JZD28" s="725"/>
      <c r="JZE28" s="725"/>
      <c r="JZF28" s="725"/>
      <c r="JZG28" s="725"/>
      <c r="JZH28" s="725"/>
      <c r="JZI28" s="725"/>
      <c r="JZJ28" s="725"/>
      <c r="JZK28" s="725"/>
      <c r="JZL28" s="725"/>
      <c r="JZM28" s="725"/>
      <c r="JZN28" s="725"/>
      <c r="JZO28" s="725"/>
      <c r="JZP28" s="725"/>
      <c r="JZQ28" s="725"/>
      <c r="JZR28" s="725"/>
      <c r="JZS28" s="725"/>
      <c r="JZT28" s="725"/>
      <c r="JZU28" s="725"/>
      <c r="JZV28" s="725"/>
      <c r="JZW28" s="725"/>
      <c r="JZX28" s="725"/>
      <c r="JZY28" s="725"/>
      <c r="JZZ28" s="725"/>
      <c r="KAA28" s="725"/>
      <c r="KAB28" s="725"/>
      <c r="KAC28" s="725"/>
      <c r="KAD28" s="725"/>
      <c r="KAE28" s="725"/>
      <c r="KAF28" s="725"/>
      <c r="KAG28" s="725"/>
      <c r="KAH28" s="725"/>
      <c r="KAI28" s="725"/>
      <c r="KAJ28" s="725"/>
      <c r="KAK28" s="725"/>
      <c r="KAL28" s="725"/>
      <c r="KAM28" s="725"/>
      <c r="KAN28" s="725"/>
      <c r="KAO28" s="725"/>
      <c r="KAP28" s="725"/>
      <c r="KAQ28" s="725"/>
      <c r="KAR28" s="725"/>
      <c r="KAS28" s="725"/>
      <c r="KAT28" s="725"/>
      <c r="KAU28" s="725"/>
      <c r="KAV28" s="725"/>
      <c r="KAW28" s="725"/>
      <c r="KAX28" s="725"/>
      <c r="KAY28" s="725"/>
      <c r="KAZ28" s="725"/>
      <c r="KBA28" s="725"/>
      <c r="KBB28" s="725"/>
      <c r="KBC28" s="725"/>
      <c r="KBD28" s="725"/>
      <c r="KBE28" s="725"/>
      <c r="KBF28" s="725"/>
      <c r="KBG28" s="725"/>
      <c r="KBH28" s="725"/>
      <c r="KBI28" s="725"/>
      <c r="KBJ28" s="725"/>
      <c r="KBK28" s="725"/>
      <c r="KBL28" s="725"/>
      <c r="KBM28" s="725"/>
      <c r="KBN28" s="725"/>
      <c r="KBO28" s="725"/>
      <c r="KBP28" s="725"/>
      <c r="KBQ28" s="725"/>
      <c r="KBR28" s="725"/>
      <c r="KBS28" s="725"/>
      <c r="KBT28" s="725"/>
      <c r="KBU28" s="725"/>
      <c r="KBV28" s="725"/>
      <c r="KBW28" s="725"/>
      <c r="KBX28" s="725"/>
      <c r="KBY28" s="725"/>
      <c r="KBZ28" s="725"/>
      <c r="KCA28" s="725"/>
      <c r="KCB28" s="725"/>
      <c r="KCC28" s="725"/>
      <c r="KCD28" s="725"/>
      <c r="KCE28" s="725"/>
      <c r="KCF28" s="725"/>
      <c r="KCG28" s="725"/>
      <c r="KCH28" s="725"/>
      <c r="KCI28" s="725"/>
      <c r="KCJ28" s="725"/>
      <c r="KCK28" s="725"/>
      <c r="KCL28" s="725"/>
      <c r="KCM28" s="725"/>
      <c r="KCN28" s="725"/>
      <c r="KCO28" s="725"/>
      <c r="KCP28" s="725"/>
      <c r="KCQ28" s="725"/>
      <c r="KCR28" s="725"/>
      <c r="KCS28" s="725"/>
      <c r="KCT28" s="725"/>
      <c r="KCU28" s="725"/>
      <c r="KCV28" s="725"/>
      <c r="KCW28" s="725"/>
      <c r="KCX28" s="725"/>
      <c r="KCY28" s="725"/>
      <c r="KCZ28" s="725"/>
      <c r="KDA28" s="725"/>
      <c r="KDB28" s="725"/>
      <c r="KDC28" s="725"/>
      <c r="KDD28" s="725"/>
      <c r="KDE28" s="725"/>
      <c r="KDF28" s="725"/>
      <c r="KDG28" s="725"/>
      <c r="KDH28" s="725"/>
      <c r="KDI28" s="725"/>
      <c r="KDJ28" s="725"/>
      <c r="KDK28" s="725"/>
      <c r="KDL28" s="725"/>
      <c r="KDM28" s="725"/>
      <c r="KDN28" s="725"/>
      <c r="KDO28" s="725"/>
      <c r="KDP28" s="725"/>
      <c r="KDQ28" s="725"/>
      <c r="KDR28" s="725"/>
      <c r="KDS28" s="725"/>
      <c r="KDT28" s="725"/>
      <c r="KDU28" s="725"/>
      <c r="KDV28" s="725"/>
      <c r="KDW28" s="725"/>
      <c r="KDX28" s="725"/>
      <c r="KDY28" s="725"/>
      <c r="KDZ28" s="725"/>
      <c r="KEA28" s="725"/>
      <c r="KEB28" s="725"/>
      <c r="KEC28" s="725"/>
      <c r="KED28" s="725"/>
      <c r="KEE28" s="725"/>
      <c r="KEF28" s="725"/>
      <c r="KEG28" s="725"/>
      <c r="KEH28" s="725"/>
      <c r="KEI28" s="725"/>
      <c r="KEJ28" s="725"/>
      <c r="KEK28" s="725"/>
      <c r="KEL28" s="725"/>
      <c r="KEM28" s="725"/>
      <c r="KEN28" s="725"/>
      <c r="KEO28" s="725"/>
      <c r="KEP28" s="725"/>
      <c r="KEQ28" s="725"/>
      <c r="KER28" s="725"/>
      <c r="KES28" s="725"/>
      <c r="KET28" s="725"/>
      <c r="KEU28" s="725"/>
      <c r="KEV28" s="725"/>
      <c r="KEW28" s="725"/>
      <c r="KEX28" s="725"/>
      <c r="KEY28" s="725"/>
      <c r="KEZ28" s="725"/>
      <c r="KFA28" s="725"/>
      <c r="KFB28" s="725"/>
      <c r="KFC28" s="725"/>
      <c r="KFD28" s="725"/>
      <c r="KFE28" s="725"/>
      <c r="KFF28" s="725"/>
      <c r="KFG28" s="725"/>
      <c r="KFH28" s="725"/>
      <c r="KFI28" s="725"/>
      <c r="KFJ28" s="725"/>
      <c r="KFK28" s="725"/>
      <c r="KFL28" s="725"/>
      <c r="KFM28" s="725"/>
      <c r="KFN28" s="725"/>
      <c r="KFO28" s="725"/>
      <c r="KFP28" s="725"/>
      <c r="KFQ28" s="725"/>
      <c r="KFR28" s="725"/>
      <c r="KFS28" s="725"/>
      <c r="KFT28" s="725"/>
      <c r="KFU28" s="725"/>
      <c r="KFV28" s="725"/>
      <c r="KFW28" s="725"/>
      <c r="KFX28" s="725"/>
      <c r="KFY28" s="725"/>
      <c r="KFZ28" s="725"/>
      <c r="KGA28" s="725"/>
      <c r="KGB28" s="725"/>
      <c r="KGC28" s="725"/>
      <c r="KGD28" s="725"/>
      <c r="KGE28" s="725"/>
      <c r="KGF28" s="725"/>
      <c r="KGG28" s="725"/>
      <c r="KGH28" s="725"/>
      <c r="KGI28" s="725"/>
      <c r="KGJ28" s="725"/>
      <c r="KGK28" s="725"/>
      <c r="KGL28" s="725"/>
      <c r="KGM28" s="725"/>
      <c r="KGN28" s="725"/>
      <c r="KGO28" s="725"/>
      <c r="KGP28" s="725"/>
      <c r="KGQ28" s="725"/>
      <c r="KGR28" s="725"/>
      <c r="KGS28" s="725"/>
      <c r="KGT28" s="725"/>
      <c r="KGU28" s="725"/>
      <c r="KGV28" s="725"/>
      <c r="KGW28" s="725"/>
      <c r="KGX28" s="725"/>
      <c r="KGY28" s="725"/>
      <c r="KGZ28" s="725"/>
      <c r="KHA28" s="725"/>
      <c r="KHB28" s="725"/>
      <c r="KHC28" s="725"/>
      <c r="KHD28" s="725"/>
      <c r="KHE28" s="725"/>
      <c r="KHF28" s="725"/>
      <c r="KHG28" s="725"/>
      <c r="KHH28" s="725"/>
      <c r="KHI28" s="725"/>
      <c r="KHJ28" s="725"/>
      <c r="KHK28" s="725"/>
      <c r="KHL28" s="725"/>
      <c r="KHM28" s="725"/>
      <c r="KHN28" s="725"/>
      <c r="KHO28" s="725"/>
      <c r="KHP28" s="725"/>
      <c r="KHQ28" s="725"/>
      <c r="KHR28" s="725"/>
      <c r="KHS28" s="725"/>
      <c r="KHT28" s="725"/>
      <c r="KHU28" s="725"/>
      <c r="KHV28" s="725"/>
      <c r="KHW28" s="725"/>
      <c r="KHX28" s="725"/>
      <c r="KHY28" s="725"/>
      <c r="KHZ28" s="725"/>
      <c r="KIA28" s="725"/>
      <c r="KIB28" s="725"/>
      <c r="KIC28" s="725"/>
      <c r="KID28" s="725"/>
      <c r="KIE28" s="725"/>
      <c r="KIF28" s="725"/>
      <c r="KIG28" s="725"/>
      <c r="KIH28" s="725"/>
      <c r="KII28" s="725"/>
      <c r="KIJ28" s="725"/>
      <c r="KIK28" s="725"/>
      <c r="KIL28" s="725"/>
      <c r="KIM28" s="725"/>
      <c r="KIN28" s="725"/>
      <c r="KIO28" s="725"/>
      <c r="KIP28" s="725"/>
      <c r="KIQ28" s="725"/>
      <c r="KIR28" s="725"/>
      <c r="KIS28" s="725"/>
      <c r="KIT28" s="725"/>
      <c r="KIU28" s="725"/>
      <c r="KIV28" s="725"/>
      <c r="KIW28" s="725"/>
      <c r="KIX28" s="725"/>
      <c r="KIY28" s="725"/>
      <c r="KIZ28" s="725"/>
      <c r="KJA28" s="725"/>
      <c r="KJB28" s="725"/>
      <c r="KJC28" s="725"/>
      <c r="KJD28" s="725"/>
      <c r="KJE28" s="725"/>
      <c r="KJF28" s="725"/>
      <c r="KJG28" s="725"/>
      <c r="KJH28" s="725"/>
      <c r="KJI28" s="725"/>
      <c r="KJJ28" s="725"/>
      <c r="KJK28" s="725"/>
      <c r="KJL28" s="725"/>
      <c r="KJM28" s="725"/>
      <c r="KJN28" s="725"/>
      <c r="KJO28" s="725"/>
      <c r="KJP28" s="725"/>
      <c r="KJQ28" s="725"/>
      <c r="KJR28" s="725"/>
      <c r="KJS28" s="725"/>
      <c r="KJT28" s="725"/>
      <c r="KJU28" s="725"/>
      <c r="KJV28" s="725"/>
      <c r="KJW28" s="725"/>
      <c r="KJX28" s="725"/>
      <c r="KJY28" s="725"/>
      <c r="KJZ28" s="725"/>
      <c r="KKA28" s="725"/>
      <c r="KKB28" s="725"/>
      <c r="KKC28" s="725"/>
      <c r="KKD28" s="725"/>
      <c r="KKE28" s="725"/>
      <c r="KKF28" s="725"/>
      <c r="KKG28" s="725"/>
      <c r="KKH28" s="725"/>
      <c r="KKI28" s="725"/>
      <c r="KKJ28" s="725"/>
      <c r="KKK28" s="725"/>
      <c r="KKL28" s="725"/>
      <c r="KKM28" s="725"/>
      <c r="KKN28" s="725"/>
      <c r="KKO28" s="725"/>
      <c r="KKP28" s="725"/>
      <c r="KKQ28" s="725"/>
      <c r="KKR28" s="725"/>
      <c r="KKS28" s="725"/>
      <c r="KKT28" s="725"/>
      <c r="KKU28" s="725"/>
      <c r="KKV28" s="725"/>
      <c r="KKW28" s="725"/>
      <c r="KKX28" s="725"/>
      <c r="KKY28" s="725"/>
      <c r="KKZ28" s="725"/>
      <c r="KLA28" s="725"/>
      <c r="KLB28" s="725"/>
      <c r="KLC28" s="725"/>
      <c r="KLD28" s="725"/>
      <c r="KLE28" s="725"/>
      <c r="KLF28" s="725"/>
      <c r="KLG28" s="725"/>
      <c r="KLH28" s="725"/>
      <c r="KLI28" s="725"/>
      <c r="KLJ28" s="725"/>
      <c r="KLK28" s="725"/>
      <c r="KLL28" s="725"/>
      <c r="KLM28" s="725"/>
      <c r="KLN28" s="725"/>
      <c r="KLO28" s="725"/>
      <c r="KLP28" s="725"/>
      <c r="KLQ28" s="725"/>
      <c r="KLR28" s="725"/>
      <c r="KLS28" s="725"/>
      <c r="KLT28" s="725"/>
      <c r="KLU28" s="725"/>
      <c r="KLV28" s="725"/>
      <c r="KLW28" s="725"/>
      <c r="KLX28" s="725"/>
      <c r="KLY28" s="725"/>
      <c r="KLZ28" s="725"/>
      <c r="KMA28" s="725"/>
      <c r="KMB28" s="725"/>
      <c r="KMC28" s="725"/>
      <c r="KMD28" s="725"/>
      <c r="KME28" s="725"/>
      <c r="KMF28" s="725"/>
      <c r="KMG28" s="725"/>
      <c r="KMH28" s="725"/>
      <c r="KMI28" s="725"/>
      <c r="KMJ28" s="725"/>
      <c r="KMK28" s="725"/>
      <c r="KML28" s="725"/>
      <c r="KMM28" s="725"/>
      <c r="KMN28" s="725"/>
      <c r="KMO28" s="725"/>
      <c r="KMP28" s="725"/>
      <c r="KMQ28" s="725"/>
      <c r="KMR28" s="725"/>
      <c r="KMS28" s="725"/>
      <c r="KMT28" s="725"/>
      <c r="KMU28" s="725"/>
      <c r="KMV28" s="725"/>
      <c r="KMW28" s="725"/>
      <c r="KMX28" s="725"/>
      <c r="KMY28" s="725"/>
      <c r="KMZ28" s="725"/>
      <c r="KNA28" s="725"/>
      <c r="KNB28" s="725"/>
      <c r="KNC28" s="725"/>
      <c r="KND28" s="725"/>
      <c r="KNE28" s="725"/>
      <c r="KNF28" s="725"/>
      <c r="KNG28" s="725"/>
      <c r="KNH28" s="725"/>
      <c r="KNI28" s="725"/>
      <c r="KNJ28" s="725"/>
      <c r="KNK28" s="725"/>
      <c r="KNL28" s="725"/>
      <c r="KNM28" s="725"/>
      <c r="KNN28" s="725"/>
      <c r="KNO28" s="725"/>
      <c r="KNP28" s="725"/>
      <c r="KNQ28" s="725"/>
      <c r="KNR28" s="725"/>
      <c r="KNS28" s="725"/>
      <c r="KNT28" s="725"/>
      <c r="KNU28" s="725"/>
      <c r="KNV28" s="725"/>
      <c r="KNW28" s="725"/>
      <c r="KNX28" s="725"/>
      <c r="KNY28" s="725"/>
      <c r="KNZ28" s="725"/>
      <c r="KOA28" s="725"/>
      <c r="KOB28" s="725"/>
      <c r="KOC28" s="725"/>
      <c r="KOD28" s="725"/>
      <c r="KOE28" s="725"/>
      <c r="KOF28" s="725"/>
      <c r="KOG28" s="725"/>
      <c r="KOH28" s="725"/>
      <c r="KOI28" s="725"/>
      <c r="KOJ28" s="725"/>
      <c r="KOK28" s="725"/>
      <c r="KOL28" s="725"/>
      <c r="KOM28" s="725"/>
      <c r="KON28" s="725"/>
      <c r="KOO28" s="725"/>
      <c r="KOP28" s="725"/>
      <c r="KOQ28" s="725"/>
      <c r="KOR28" s="725"/>
      <c r="KOS28" s="725"/>
      <c r="KOT28" s="725"/>
      <c r="KOU28" s="725"/>
      <c r="KOV28" s="725"/>
      <c r="KOW28" s="725"/>
      <c r="KOX28" s="725"/>
      <c r="KOY28" s="725"/>
      <c r="KOZ28" s="725"/>
      <c r="KPA28" s="725"/>
      <c r="KPB28" s="725"/>
      <c r="KPC28" s="725"/>
      <c r="KPD28" s="725"/>
      <c r="KPE28" s="725"/>
      <c r="KPF28" s="725"/>
      <c r="KPG28" s="725"/>
      <c r="KPH28" s="725"/>
      <c r="KPI28" s="725"/>
      <c r="KPJ28" s="725"/>
      <c r="KPK28" s="725"/>
      <c r="KPL28" s="725"/>
      <c r="KPM28" s="725"/>
      <c r="KPN28" s="725"/>
      <c r="KPO28" s="725"/>
      <c r="KPP28" s="725"/>
      <c r="KPQ28" s="725"/>
      <c r="KPR28" s="725"/>
      <c r="KPS28" s="725"/>
      <c r="KPT28" s="725"/>
      <c r="KPU28" s="725"/>
      <c r="KPV28" s="725"/>
      <c r="KPW28" s="725"/>
      <c r="KPX28" s="725"/>
      <c r="KPY28" s="725"/>
      <c r="KPZ28" s="725"/>
      <c r="KQA28" s="725"/>
      <c r="KQB28" s="725"/>
      <c r="KQC28" s="725"/>
      <c r="KQD28" s="725"/>
      <c r="KQE28" s="725"/>
      <c r="KQF28" s="725"/>
      <c r="KQG28" s="725"/>
      <c r="KQH28" s="725"/>
      <c r="KQI28" s="725"/>
      <c r="KQJ28" s="725"/>
      <c r="KQK28" s="725"/>
      <c r="KQL28" s="725"/>
      <c r="KQM28" s="725"/>
      <c r="KQN28" s="725"/>
      <c r="KQO28" s="725"/>
      <c r="KQP28" s="725"/>
      <c r="KQQ28" s="725"/>
      <c r="KQR28" s="725"/>
      <c r="KQS28" s="725"/>
      <c r="KQT28" s="725"/>
      <c r="KQU28" s="725"/>
      <c r="KQV28" s="725"/>
      <c r="KQW28" s="725"/>
      <c r="KQX28" s="725"/>
      <c r="KQY28" s="725"/>
      <c r="KQZ28" s="725"/>
      <c r="KRA28" s="725"/>
      <c r="KRB28" s="725"/>
      <c r="KRC28" s="725"/>
      <c r="KRD28" s="725"/>
      <c r="KRE28" s="725"/>
      <c r="KRF28" s="725"/>
      <c r="KRG28" s="725"/>
      <c r="KRH28" s="725"/>
      <c r="KRI28" s="725"/>
      <c r="KRJ28" s="725"/>
      <c r="KRK28" s="725"/>
      <c r="KRL28" s="725"/>
      <c r="KRM28" s="725"/>
      <c r="KRN28" s="725"/>
      <c r="KRO28" s="725"/>
      <c r="KRP28" s="725"/>
      <c r="KRQ28" s="725"/>
      <c r="KRR28" s="725"/>
      <c r="KRS28" s="725"/>
      <c r="KRT28" s="725"/>
      <c r="KRU28" s="725"/>
      <c r="KRV28" s="725"/>
      <c r="KRW28" s="725"/>
      <c r="KRX28" s="725"/>
      <c r="KRY28" s="725"/>
      <c r="KRZ28" s="725"/>
      <c r="KSA28" s="725"/>
      <c r="KSB28" s="725"/>
      <c r="KSC28" s="725"/>
      <c r="KSD28" s="725"/>
      <c r="KSE28" s="725"/>
      <c r="KSF28" s="725"/>
      <c r="KSG28" s="725"/>
      <c r="KSH28" s="725"/>
      <c r="KSI28" s="725"/>
      <c r="KSJ28" s="725"/>
      <c r="KSK28" s="725"/>
      <c r="KSL28" s="725"/>
      <c r="KSM28" s="725"/>
      <c r="KSN28" s="725"/>
      <c r="KSO28" s="725"/>
      <c r="KSP28" s="725"/>
      <c r="KSQ28" s="725"/>
      <c r="KSR28" s="725"/>
      <c r="KSS28" s="725"/>
      <c r="KST28" s="725"/>
      <c r="KSU28" s="725"/>
      <c r="KSV28" s="725"/>
      <c r="KSW28" s="725"/>
      <c r="KSX28" s="725"/>
      <c r="KSY28" s="725"/>
      <c r="KSZ28" s="725"/>
      <c r="KTA28" s="725"/>
      <c r="KTB28" s="725"/>
      <c r="KTC28" s="725"/>
      <c r="KTD28" s="725"/>
      <c r="KTE28" s="725"/>
      <c r="KTF28" s="725"/>
      <c r="KTG28" s="725"/>
      <c r="KTH28" s="725"/>
      <c r="KTI28" s="725"/>
      <c r="KTJ28" s="725"/>
      <c r="KTK28" s="725"/>
      <c r="KTL28" s="725"/>
      <c r="KTM28" s="725"/>
      <c r="KTN28" s="725"/>
      <c r="KTO28" s="725"/>
      <c r="KTP28" s="725"/>
      <c r="KTQ28" s="725"/>
      <c r="KTR28" s="725"/>
      <c r="KTS28" s="725"/>
      <c r="KTT28" s="725"/>
      <c r="KTU28" s="725"/>
      <c r="KTV28" s="725"/>
      <c r="KTW28" s="725"/>
      <c r="KTX28" s="725"/>
      <c r="KTY28" s="725"/>
      <c r="KTZ28" s="725"/>
      <c r="KUA28" s="725"/>
      <c r="KUB28" s="725"/>
      <c r="KUC28" s="725"/>
      <c r="KUD28" s="725"/>
      <c r="KUE28" s="725"/>
      <c r="KUF28" s="725"/>
      <c r="KUG28" s="725"/>
      <c r="KUH28" s="725"/>
      <c r="KUI28" s="725"/>
      <c r="KUJ28" s="725"/>
      <c r="KUK28" s="725"/>
      <c r="KUL28" s="725"/>
      <c r="KUM28" s="725"/>
      <c r="KUN28" s="725"/>
      <c r="KUO28" s="725"/>
      <c r="KUP28" s="725"/>
      <c r="KUQ28" s="725"/>
      <c r="KUR28" s="725"/>
      <c r="KUS28" s="725"/>
      <c r="KUT28" s="725"/>
      <c r="KUU28" s="725"/>
      <c r="KUV28" s="725"/>
      <c r="KUW28" s="725"/>
      <c r="KUX28" s="725"/>
      <c r="KUY28" s="725"/>
      <c r="KUZ28" s="725"/>
      <c r="KVA28" s="725"/>
      <c r="KVB28" s="725"/>
      <c r="KVC28" s="725"/>
      <c r="KVD28" s="725"/>
      <c r="KVE28" s="725"/>
      <c r="KVF28" s="725"/>
      <c r="KVG28" s="725"/>
      <c r="KVH28" s="725"/>
      <c r="KVI28" s="725"/>
      <c r="KVJ28" s="725"/>
      <c r="KVK28" s="725"/>
      <c r="KVL28" s="725"/>
      <c r="KVM28" s="725"/>
      <c r="KVN28" s="725"/>
      <c r="KVO28" s="725"/>
      <c r="KVP28" s="725"/>
      <c r="KVQ28" s="725"/>
      <c r="KVR28" s="725"/>
      <c r="KVS28" s="725"/>
      <c r="KVT28" s="725"/>
      <c r="KVU28" s="725"/>
      <c r="KVV28" s="725"/>
      <c r="KVW28" s="725"/>
      <c r="KVX28" s="725"/>
      <c r="KVY28" s="725"/>
      <c r="KVZ28" s="725"/>
      <c r="KWA28" s="725"/>
      <c r="KWB28" s="725"/>
      <c r="KWC28" s="725"/>
      <c r="KWD28" s="725"/>
      <c r="KWE28" s="725"/>
      <c r="KWF28" s="725"/>
      <c r="KWG28" s="725"/>
      <c r="KWH28" s="725"/>
      <c r="KWI28" s="725"/>
      <c r="KWJ28" s="725"/>
      <c r="KWK28" s="725"/>
      <c r="KWL28" s="725"/>
      <c r="KWM28" s="725"/>
      <c r="KWN28" s="725"/>
      <c r="KWO28" s="725"/>
      <c r="KWP28" s="725"/>
      <c r="KWQ28" s="725"/>
      <c r="KWR28" s="725"/>
      <c r="KWS28" s="725"/>
      <c r="KWT28" s="725"/>
      <c r="KWU28" s="725"/>
      <c r="KWV28" s="725"/>
      <c r="KWW28" s="725"/>
      <c r="KWX28" s="725"/>
      <c r="KWY28" s="725"/>
      <c r="KWZ28" s="725"/>
      <c r="KXA28" s="725"/>
      <c r="KXB28" s="725"/>
      <c r="KXC28" s="725"/>
      <c r="KXD28" s="725"/>
      <c r="KXE28" s="725"/>
      <c r="KXF28" s="725"/>
      <c r="KXG28" s="725"/>
      <c r="KXH28" s="725"/>
      <c r="KXI28" s="725"/>
      <c r="KXJ28" s="725"/>
      <c r="KXK28" s="725"/>
      <c r="KXL28" s="725"/>
      <c r="KXM28" s="725"/>
      <c r="KXN28" s="725"/>
      <c r="KXO28" s="725"/>
      <c r="KXP28" s="725"/>
      <c r="KXQ28" s="725"/>
      <c r="KXR28" s="725"/>
      <c r="KXS28" s="725"/>
      <c r="KXT28" s="725"/>
      <c r="KXU28" s="725"/>
      <c r="KXV28" s="725"/>
      <c r="KXW28" s="725"/>
      <c r="KXX28" s="725"/>
      <c r="KXY28" s="725"/>
      <c r="KXZ28" s="725"/>
      <c r="KYA28" s="725"/>
      <c r="KYB28" s="725"/>
      <c r="KYC28" s="725"/>
      <c r="KYD28" s="725"/>
      <c r="KYE28" s="725"/>
      <c r="KYF28" s="725"/>
      <c r="KYG28" s="725"/>
      <c r="KYH28" s="725"/>
      <c r="KYI28" s="725"/>
      <c r="KYJ28" s="725"/>
      <c r="KYK28" s="725"/>
      <c r="KYL28" s="725"/>
      <c r="KYM28" s="725"/>
      <c r="KYN28" s="725"/>
      <c r="KYO28" s="725"/>
      <c r="KYP28" s="725"/>
      <c r="KYQ28" s="725"/>
      <c r="KYR28" s="725"/>
      <c r="KYS28" s="725"/>
      <c r="KYT28" s="725"/>
      <c r="KYU28" s="725"/>
      <c r="KYV28" s="725"/>
      <c r="KYW28" s="725"/>
      <c r="KYX28" s="725"/>
      <c r="KYY28" s="725"/>
      <c r="KYZ28" s="725"/>
      <c r="KZA28" s="725"/>
      <c r="KZB28" s="725"/>
      <c r="KZC28" s="725"/>
      <c r="KZD28" s="725"/>
      <c r="KZE28" s="725"/>
      <c r="KZF28" s="725"/>
      <c r="KZG28" s="725"/>
      <c r="KZH28" s="725"/>
      <c r="KZI28" s="725"/>
      <c r="KZJ28" s="725"/>
      <c r="KZK28" s="725"/>
      <c r="KZL28" s="725"/>
      <c r="KZM28" s="725"/>
      <c r="KZN28" s="725"/>
      <c r="KZO28" s="725"/>
      <c r="KZP28" s="725"/>
      <c r="KZQ28" s="725"/>
      <c r="KZR28" s="725"/>
      <c r="KZS28" s="725"/>
      <c r="KZT28" s="725"/>
      <c r="KZU28" s="725"/>
      <c r="KZV28" s="725"/>
      <c r="KZW28" s="725"/>
      <c r="KZX28" s="725"/>
      <c r="KZY28" s="725"/>
      <c r="KZZ28" s="725"/>
      <c r="LAA28" s="725"/>
      <c r="LAB28" s="725"/>
      <c r="LAC28" s="725"/>
      <c r="LAD28" s="725"/>
      <c r="LAE28" s="725"/>
      <c r="LAF28" s="725"/>
      <c r="LAG28" s="725"/>
      <c r="LAH28" s="725"/>
      <c r="LAI28" s="725"/>
      <c r="LAJ28" s="725"/>
      <c r="LAK28" s="725"/>
      <c r="LAL28" s="725"/>
      <c r="LAM28" s="725"/>
      <c r="LAN28" s="725"/>
      <c r="LAO28" s="725"/>
      <c r="LAP28" s="725"/>
      <c r="LAQ28" s="725"/>
      <c r="LAR28" s="725"/>
      <c r="LAS28" s="725"/>
      <c r="LAT28" s="725"/>
      <c r="LAU28" s="725"/>
      <c r="LAV28" s="725"/>
      <c r="LAW28" s="725"/>
      <c r="LAX28" s="725"/>
      <c r="LAY28" s="725"/>
      <c r="LAZ28" s="725"/>
      <c r="LBA28" s="725"/>
      <c r="LBB28" s="725"/>
      <c r="LBC28" s="725"/>
      <c r="LBD28" s="725"/>
      <c r="LBE28" s="725"/>
      <c r="LBF28" s="725"/>
      <c r="LBG28" s="725"/>
      <c r="LBH28" s="725"/>
      <c r="LBI28" s="725"/>
      <c r="LBJ28" s="725"/>
      <c r="LBK28" s="725"/>
      <c r="LBL28" s="725"/>
      <c r="LBM28" s="725"/>
      <c r="LBN28" s="725"/>
      <c r="LBO28" s="725"/>
      <c r="LBP28" s="725"/>
      <c r="LBQ28" s="725"/>
      <c r="LBR28" s="725"/>
      <c r="LBS28" s="725"/>
      <c r="LBT28" s="725"/>
      <c r="LBU28" s="725"/>
      <c r="LBV28" s="725"/>
      <c r="LBW28" s="725"/>
      <c r="LBX28" s="725"/>
      <c r="LBY28" s="725"/>
      <c r="LBZ28" s="725"/>
      <c r="LCA28" s="725"/>
      <c r="LCB28" s="725"/>
      <c r="LCC28" s="725"/>
      <c r="LCD28" s="725"/>
      <c r="LCE28" s="725"/>
      <c r="LCF28" s="725"/>
      <c r="LCG28" s="725"/>
      <c r="LCH28" s="725"/>
      <c r="LCI28" s="725"/>
      <c r="LCJ28" s="725"/>
      <c r="LCK28" s="725"/>
      <c r="LCL28" s="725"/>
      <c r="LCM28" s="725"/>
      <c r="LCN28" s="725"/>
      <c r="LCO28" s="725"/>
      <c r="LCP28" s="725"/>
      <c r="LCQ28" s="725"/>
      <c r="LCR28" s="725"/>
      <c r="LCS28" s="725"/>
      <c r="LCT28" s="725"/>
      <c r="LCU28" s="725"/>
      <c r="LCV28" s="725"/>
      <c r="LCW28" s="725"/>
      <c r="LCX28" s="725"/>
      <c r="LCY28" s="725"/>
      <c r="LCZ28" s="725"/>
      <c r="LDA28" s="725"/>
      <c r="LDB28" s="725"/>
      <c r="LDC28" s="725"/>
      <c r="LDD28" s="725"/>
      <c r="LDE28" s="725"/>
      <c r="LDF28" s="725"/>
      <c r="LDG28" s="725"/>
      <c r="LDH28" s="725"/>
      <c r="LDI28" s="725"/>
      <c r="LDJ28" s="725"/>
      <c r="LDK28" s="725"/>
      <c r="LDL28" s="725"/>
      <c r="LDM28" s="725"/>
      <c r="LDN28" s="725"/>
      <c r="LDO28" s="725"/>
      <c r="LDP28" s="725"/>
      <c r="LDQ28" s="725"/>
      <c r="LDR28" s="725"/>
      <c r="LDS28" s="725"/>
      <c r="LDT28" s="725"/>
      <c r="LDU28" s="725"/>
      <c r="LDV28" s="725"/>
      <c r="LDW28" s="725"/>
      <c r="LDX28" s="725"/>
      <c r="LDY28" s="725"/>
      <c r="LDZ28" s="725"/>
      <c r="LEA28" s="725"/>
      <c r="LEB28" s="725"/>
      <c r="LEC28" s="725"/>
      <c r="LED28" s="725"/>
      <c r="LEE28" s="725"/>
      <c r="LEF28" s="725"/>
      <c r="LEG28" s="725"/>
      <c r="LEH28" s="725"/>
      <c r="LEI28" s="725"/>
      <c r="LEJ28" s="725"/>
      <c r="LEK28" s="725"/>
      <c r="LEL28" s="725"/>
      <c r="LEM28" s="725"/>
      <c r="LEN28" s="725"/>
      <c r="LEO28" s="725"/>
      <c r="LEP28" s="725"/>
      <c r="LEQ28" s="725"/>
      <c r="LER28" s="725"/>
      <c r="LES28" s="725"/>
      <c r="LET28" s="725"/>
      <c r="LEU28" s="725"/>
      <c r="LEV28" s="725"/>
      <c r="LEW28" s="725"/>
      <c r="LEX28" s="725"/>
      <c r="LEY28" s="725"/>
      <c r="LEZ28" s="725"/>
      <c r="LFA28" s="725"/>
      <c r="LFB28" s="725"/>
      <c r="LFC28" s="725"/>
      <c r="LFD28" s="725"/>
      <c r="LFE28" s="725"/>
      <c r="LFF28" s="725"/>
      <c r="LFG28" s="725"/>
      <c r="LFH28" s="725"/>
      <c r="LFI28" s="725"/>
      <c r="LFJ28" s="725"/>
      <c r="LFK28" s="725"/>
      <c r="LFL28" s="725"/>
      <c r="LFM28" s="725"/>
      <c r="LFN28" s="725"/>
      <c r="LFO28" s="725"/>
      <c r="LFP28" s="725"/>
      <c r="LFQ28" s="725"/>
      <c r="LFR28" s="725"/>
      <c r="LFS28" s="725"/>
      <c r="LFT28" s="725"/>
      <c r="LFU28" s="725"/>
      <c r="LFV28" s="725"/>
      <c r="LFW28" s="725"/>
      <c r="LFX28" s="725"/>
      <c r="LFY28" s="725"/>
      <c r="LFZ28" s="725"/>
      <c r="LGA28" s="725"/>
      <c r="LGB28" s="725"/>
      <c r="LGC28" s="725"/>
      <c r="LGD28" s="725"/>
      <c r="LGE28" s="725"/>
      <c r="LGF28" s="725"/>
      <c r="LGG28" s="725"/>
      <c r="LGH28" s="725"/>
      <c r="LGI28" s="725"/>
      <c r="LGJ28" s="725"/>
      <c r="LGK28" s="725"/>
      <c r="LGL28" s="725"/>
      <c r="LGM28" s="725"/>
      <c r="LGN28" s="725"/>
      <c r="LGO28" s="725"/>
      <c r="LGP28" s="725"/>
      <c r="LGQ28" s="725"/>
      <c r="LGR28" s="725"/>
      <c r="LGS28" s="725"/>
      <c r="LGT28" s="725"/>
      <c r="LGU28" s="725"/>
      <c r="LGV28" s="725"/>
      <c r="LGW28" s="725"/>
      <c r="LGX28" s="725"/>
      <c r="LGY28" s="725"/>
      <c r="LGZ28" s="725"/>
      <c r="LHA28" s="725"/>
      <c r="LHB28" s="725"/>
      <c r="LHC28" s="725"/>
      <c r="LHD28" s="725"/>
      <c r="LHE28" s="725"/>
      <c r="LHF28" s="725"/>
      <c r="LHG28" s="725"/>
      <c r="LHH28" s="725"/>
      <c r="LHI28" s="725"/>
      <c r="LHJ28" s="725"/>
      <c r="LHK28" s="725"/>
      <c r="LHL28" s="725"/>
      <c r="LHM28" s="725"/>
      <c r="LHN28" s="725"/>
      <c r="LHO28" s="725"/>
      <c r="LHP28" s="725"/>
      <c r="LHQ28" s="725"/>
      <c r="LHR28" s="725"/>
      <c r="LHS28" s="725"/>
      <c r="LHT28" s="725"/>
      <c r="LHU28" s="725"/>
      <c r="LHV28" s="725"/>
      <c r="LHW28" s="725"/>
      <c r="LHX28" s="725"/>
      <c r="LHY28" s="725"/>
      <c r="LHZ28" s="725"/>
      <c r="LIA28" s="725"/>
      <c r="LIB28" s="725"/>
      <c r="LIC28" s="725"/>
      <c r="LID28" s="725"/>
      <c r="LIE28" s="725"/>
      <c r="LIF28" s="725"/>
      <c r="LIG28" s="725"/>
      <c r="LIH28" s="725"/>
      <c r="LII28" s="725"/>
      <c r="LIJ28" s="725"/>
      <c r="LIK28" s="725"/>
      <c r="LIL28" s="725"/>
      <c r="LIM28" s="725"/>
      <c r="LIN28" s="725"/>
      <c r="LIO28" s="725"/>
      <c r="LIP28" s="725"/>
      <c r="LIQ28" s="725"/>
      <c r="LIR28" s="725"/>
      <c r="LIS28" s="725"/>
      <c r="LIT28" s="725"/>
      <c r="LIU28" s="725"/>
      <c r="LIV28" s="725"/>
      <c r="LIW28" s="725"/>
      <c r="LIX28" s="725"/>
      <c r="LIY28" s="725"/>
      <c r="LIZ28" s="725"/>
      <c r="LJA28" s="725"/>
      <c r="LJB28" s="725"/>
      <c r="LJC28" s="725"/>
      <c r="LJD28" s="725"/>
      <c r="LJE28" s="725"/>
      <c r="LJF28" s="725"/>
      <c r="LJG28" s="725"/>
      <c r="LJH28" s="725"/>
      <c r="LJI28" s="725"/>
      <c r="LJJ28" s="725"/>
      <c r="LJK28" s="725"/>
      <c r="LJL28" s="725"/>
      <c r="LJM28" s="725"/>
      <c r="LJN28" s="725"/>
      <c r="LJO28" s="725"/>
      <c r="LJP28" s="725"/>
      <c r="LJQ28" s="725"/>
      <c r="LJR28" s="725"/>
      <c r="LJS28" s="725"/>
      <c r="LJT28" s="725"/>
      <c r="LJU28" s="725"/>
      <c r="LJV28" s="725"/>
      <c r="LJW28" s="725"/>
      <c r="LJX28" s="725"/>
      <c r="LJY28" s="725"/>
      <c r="LJZ28" s="725"/>
      <c r="LKA28" s="725"/>
      <c r="LKB28" s="725"/>
      <c r="LKC28" s="725"/>
      <c r="LKD28" s="725"/>
      <c r="LKE28" s="725"/>
      <c r="LKF28" s="725"/>
      <c r="LKG28" s="725"/>
      <c r="LKH28" s="725"/>
      <c r="LKI28" s="725"/>
      <c r="LKJ28" s="725"/>
      <c r="LKK28" s="725"/>
      <c r="LKL28" s="725"/>
      <c r="LKM28" s="725"/>
      <c r="LKN28" s="725"/>
      <c r="LKO28" s="725"/>
      <c r="LKP28" s="725"/>
      <c r="LKQ28" s="725"/>
      <c r="LKR28" s="725"/>
      <c r="LKS28" s="725"/>
      <c r="LKT28" s="725"/>
      <c r="LKU28" s="725"/>
      <c r="LKV28" s="725"/>
      <c r="LKW28" s="725"/>
      <c r="LKX28" s="725"/>
      <c r="LKY28" s="725"/>
      <c r="LKZ28" s="725"/>
      <c r="LLA28" s="725"/>
      <c r="LLB28" s="725"/>
      <c r="LLC28" s="725"/>
      <c r="LLD28" s="725"/>
      <c r="LLE28" s="725"/>
      <c r="LLF28" s="725"/>
      <c r="LLG28" s="725"/>
      <c r="LLH28" s="725"/>
      <c r="LLI28" s="725"/>
      <c r="LLJ28" s="725"/>
      <c r="LLK28" s="725"/>
      <c r="LLL28" s="725"/>
      <c r="LLM28" s="725"/>
      <c r="LLN28" s="725"/>
      <c r="LLO28" s="725"/>
      <c r="LLP28" s="725"/>
      <c r="LLQ28" s="725"/>
      <c r="LLR28" s="725"/>
      <c r="LLS28" s="725"/>
      <c r="LLT28" s="725"/>
      <c r="LLU28" s="725"/>
      <c r="LLV28" s="725"/>
      <c r="LLW28" s="725"/>
      <c r="LLX28" s="725"/>
      <c r="LLY28" s="725"/>
      <c r="LLZ28" s="725"/>
      <c r="LMA28" s="725"/>
      <c r="LMB28" s="725"/>
      <c r="LMC28" s="725"/>
      <c r="LMD28" s="725"/>
      <c r="LME28" s="725"/>
      <c r="LMF28" s="725"/>
      <c r="LMG28" s="725"/>
      <c r="LMH28" s="725"/>
      <c r="LMI28" s="725"/>
      <c r="LMJ28" s="725"/>
      <c r="LMK28" s="725"/>
      <c r="LML28" s="725"/>
      <c r="LMM28" s="725"/>
      <c r="LMN28" s="725"/>
      <c r="LMO28" s="725"/>
      <c r="LMP28" s="725"/>
      <c r="LMQ28" s="725"/>
      <c r="LMR28" s="725"/>
      <c r="LMS28" s="725"/>
      <c r="LMT28" s="725"/>
      <c r="LMU28" s="725"/>
      <c r="LMV28" s="725"/>
      <c r="LMW28" s="725"/>
      <c r="LMX28" s="725"/>
      <c r="LMY28" s="725"/>
      <c r="LMZ28" s="725"/>
      <c r="LNA28" s="725"/>
      <c r="LNB28" s="725"/>
      <c r="LNC28" s="725"/>
      <c r="LND28" s="725"/>
      <c r="LNE28" s="725"/>
      <c r="LNF28" s="725"/>
      <c r="LNG28" s="725"/>
      <c r="LNH28" s="725"/>
      <c r="LNI28" s="725"/>
      <c r="LNJ28" s="725"/>
      <c r="LNK28" s="725"/>
      <c r="LNL28" s="725"/>
      <c r="LNM28" s="725"/>
      <c r="LNN28" s="725"/>
      <c r="LNO28" s="725"/>
      <c r="LNP28" s="725"/>
      <c r="LNQ28" s="725"/>
      <c r="LNR28" s="725"/>
      <c r="LNS28" s="725"/>
      <c r="LNT28" s="725"/>
      <c r="LNU28" s="725"/>
      <c r="LNV28" s="725"/>
      <c r="LNW28" s="725"/>
      <c r="LNX28" s="725"/>
      <c r="LNY28" s="725"/>
      <c r="LNZ28" s="725"/>
      <c r="LOA28" s="725"/>
      <c r="LOB28" s="725"/>
      <c r="LOC28" s="725"/>
      <c r="LOD28" s="725"/>
      <c r="LOE28" s="725"/>
      <c r="LOF28" s="725"/>
      <c r="LOG28" s="725"/>
      <c r="LOH28" s="725"/>
      <c r="LOI28" s="725"/>
      <c r="LOJ28" s="725"/>
      <c r="LOK28" s="725"/>
      <c r="LOL28" s="725"/>
      <c r="LOM28" s="725"/>
      <c r="LON28" s="725"/>
      <c r="LOO28" s="725"/>
      <c r="LOP28" s="725"/>
      <c r="LOQ28" s="725"/>
      <c r="LOR28" s="725"/>
      <c r="LOS28" s="725"/>
      <c r="LOT28" s="725"/>
      <c r="LOU28" s="725"/>
      <c r="LOV28" s="725"/>
      <c r="LOW28" s="725"/>
      <c r="LOX28" s="725"/>
      <c r="LOY28" s="725"/>
      <c r="LOZ28" s="725"/>
      <c r="LPA28" s="725"/>
      <c r="LPB28" s="725"/>
      <c r="LPC28" s="725"/>
      <c r="LPD28" s="725"/>
      <c r="LPE28" s="725"/>
      <c r="LPF28" s="725"/>
      <c r="LPG28" s="725"/>
      <c r="LPH28" s="725"/>
      <c r="LPI28" s="725"/>
      <c r="LPJ28" s="725"/>
      <c r="LPK28" s="725"/>
      <c r="LPL28" s="725"/>
      <c r="LPM28" s="725"/>
      <c r="LPN28" s="725"/>
      <c r="LPO28" s="725"/>
      <c r="LPP28" s="725"/>
      <c r="LPQ28" s="725"/>
      <c r="LPR28" s="725"/>
      <c r="LPS28" s="725"/>
      <c r="LPT28" s="725"/>
      <c r="LPU28" s="725"/>
      <c r="LPV28" s="725"/>
      <c r="LPW28" s="725"/>
      <c r="LPX28" s="725"/>
      <c r="LPY28" s="725"/>
      <c r="LPZ28" s="725"/>
      <c r="LQA28" s="725"/>
      <c r="LQB28" s="725"/>
      <c r="LQC28" s="725"/>
      <c r="LQD28" s="725"/>
      <c r="LQE28" s="725"/>
      <c r="LQF28" s="725"/>
      <c r="LQG28" s="725"/>
      <c r="LQH28" s="725"/>
      <c r="LQI28" s="725"/>
      <c r="LQJ28" s="725"/>
      <c r="LQK28" s="725"/>
      <c r="LQL28" s="725"/>
      <c r="LQM28" s="725"/>
      <c r="LQN28" s="725"/>
      <c r="LQO28" s="725"/>
      <c r="LQP28" s="725"/>
      <c r="LQQ28" s="725"/>
      <c r="LQR28" s="725"/>
      <c r="LQS28" s="725"/>
      <c r="LQT28" s="725"/>
      <c r="LQU28" s="725"/>
      <c r="LQV28" s="725"/>
      <c r="LQW28" s="725"/>
      <c r="LQX28" s="725"/>
      <c r="LQY28" s="725"/>
      <c r="LQZ28" s="725"/>
      <c r="LRA28" s="725"/>
      <c r="LRB28" s="725"/>
      <c r="LRC28" s="725"/>
      <c r="LRD28" s="725"/>
      <c r="LRE28" s="725"/>
      <c r="LRF28" s="725"/>
      <c r="LRG28" s="725"/>
      <c r="LRH28" s="725"/>
      <c r="LRI28" s="725"/>
      <c r="LRJ28" s="725"/>
      <c r="LRK28" s="725"/>
      <c r="LRL28" s="725"/>
      <c r="LRM28" s="725"/>
      <c r="LRN28" s="725"/>
      <c r="LRO28" s="725"/>
      <c r="LRP28" s="725"/>
      <c r="LRQ28" s="725"/>
      <c r="LRR28" s="725"/>
      <c r="LRS28" s="725"/>
      <c r="LRT28" s="725"/>
      <c r="LRU28" s="725"/>
      <c r="LRV28" s="725"/>
      <c r="LRW28" s="725"/>
      <c r="LRX28" s="725"/>
      <c r="LRY28" s="725"/>
      <c r="LRZ28" s="725"/>
      <c r="LSA28" s="725"/>
      <c r="LSB28" s="725"/>
      <c r="LSC28" s="725"/>
      <c r="LSD28" s="725"/>
      <c r="LSE28" s="725"/>
      <c r="LSF28" s="725"/>
      <c r="LSG28" s="725"/>
      <c r="LSH28" s="725"/>
      <c r="LSI28" s="725"/>
      <c r="LSJ28" s="725"/>
      <c r="LSK28" s="725"/>
      <c r="LSL28" s="725"/>
      <c r="LSM28" s="725"/>
      <c r="LSN28" s="725"/>
      <c r="LSO28" s="725"/>
      <c r="LSP28" s="725"/>
      <c r="LSQ28" s="725"/>
      <c r="LSR28" s="725"/>
      <c r="LSS28" s="725"/>
      <c r="LST28" s="725"/>
      <c r="LSU28" s="725"/>
      <c r="LSV28" s="725"/>
      <c r="LSW28" s="725"/>
      <c r="LSX28" s="725"/>
      <c r="LSY28" s="725"/>
      <c r="LSZ28" s="725"/>
      <c r="LTA28" s="725"/>
      <c r="LTB28" s="725"/>
      <c r="LTC28" s="725"/>
      <c r="LTD28" s="725"/>
      <c r="LTE28" s="725"/>
      <c r="LTF28" s="725"/>
      <c r="LTG28" s="725"/>
      <c r="LTH28" s="725"/>
      <c r="LTI28" s="725"/>
      <c r="LTJ28" s="725"/>
      <c r="LTK28" s="725"/>
      <c r="LTL28" s="725"/>
      <c r="LTM28" s="725"/>
      <c r="LTN28" s="725"/>
      <c r="LTO28" s="725"/>
      <c r="LTP28" s="725"/>
      <c r="LTQ28" s="725"/>
      <c r="LTR28" s="725"/>
      <c r="LTS28" s="725"/>
      <c r="LTT28" s="725"/>
      <c r="LTU28" s="725"/>
      <c r="LTV28" s="725"/>
      <c r="LTW28" s="725"/>
      <c r="LTX28" s="725"/>
      <c r="LTY28" s="725"/>
      <c r="LTZ28" s="725"/>
      <c r="LUA28" s="725"/>
      <c r="LUB28" s="725"/>
      <c r="LUC28" s="725"/>
      <c r="LUD28" s="725"/>
      <c r="LUE28" s="725"/>
      <c r="LUF28" s="725"/>
      <c r="LUG28" s="725"/>
      <c r="LUH28" s="725"/>
      <c r="LUI28" s="725"/>
      <c r="LUJ28" s="725"/>
      <c r="LUK28" s="725"/>
      <c r="LUL28" s="725"/>
      <c r="LUM28" s="725"/>
      <c r="LUN28" s="725"/>
      <c r="LUO28" s="725"/>
      <c r="LUP28" s="725"/>
      <c r="LUQ28" s="725"/>
      <c r="LUR28" s="725"/>
      <c r="LUS28" s="725"/>
      <c r="LUT28" s="725"/>
      <c r="LUU28" s="725"/>
      <c r="LUV28" s="725"/>
      <c r="LUW28" s="725"/>
      <c r="LUX28" s="725"/>
      <c r="LUY28" s="725"/>
      <c r="LUZ28" s="725"/>
      <c r="LVA28" s="725"/>
      <c r="LVB28" s="725"/>
      <c r="LVC28" s="725"/>
      <c r="LVD28" s="725"/>
      <c r="LVE28" s="725"/>
      <c r="LVF28" s="725"/>
      <c r="LVG28" s="725"/>
      <c r="LVH28" s="725"/>
      <c r="LVI28" s="725"/>
      <c r="LVJ28" s="725"/>
      <c r="LVK28" s="725"/>
      <c r="LVL28" s="725"/>
      <c r="LVM28" s="725"/>
      <c r="LVN28" s="725"/>
      <c r="LVO28" s="725"/>
      <c r="LVP28" s="725"/>
      <c r="LVQ28" s="725"/>
      <c r="LVR28" s="725"/>
      <c r="LVS28" s="725"/>
      <c r="LVT28" s="725"/>
      <c r="LVU28" s="725"/>
      <c r="LVV28" s="725"/>
      <c r="LVW28" s="725"/>
      <c r="LVX28" s="725"/>
      <c r="LVY28" s="725"/>
      <c r="LVZ28" s="725"/>
      <c r="LWA28" s="725"/>
      <c r="LWB28" s="725"/>
      <c r="LWC28" s="725"/>
      <c r="LWD28" s="725"/>
      <c r="LWE28" s="725"/>
      <c r="LWF28" s="725"/>
      <c r="LWG28" s="725"/>
      <c r="LWH28" s="725"/>
      <c r="LWI28" s="725"/>
      <c r="LWJ28" s="725"/>
      <c r="LWK28" s="725"/>
      <c r="LWL28" s="725"/>
      <c r="LWM28" s="725"/>
      <c r="LWN28" s="725"/>
      <c r="LWO28" s="725"/>
      <c r="LWP28" s="725"/>
      <c r="LWQ28" s="725"/>
      <c r="LWR28" s="725"/>
      <c r="LWS28" s="725"/>
      <c r="LWT28" s="725"/>
      <c r="LWU28" s="725"/>
      <c r="LWV28" s="725"/>
      <c r="LWW28" s="725"/>
      <c r="LWX28" s="725"/>
      <c r="LWY28" s="725"/>
      <c r="LWZ28" s="725"/>
      <c r="LXA28" s="725"/>
      <c r="LXB28" s="725"/>
      <c r="LXC28" s="725"/>
      <c r="LXD28" s="725"/>
      <c r="LXE28" s="725"/>
      <c r="LXF28" s="725"/>
      <c r="LXG28" s="725"/>
      <c r="LXH28" s="725"/>
      <c r="LXI28" s="725"/>
      <c r="LXJ28" s="725"/>
      <c r="LXK28" s="725"/>
      <c r="LXL28" s="725"/>
      <c r="LXM28" s="725"/>
      <c r="LXN28" s="725"/>
      <c r="LXO28" s="725"/>
      <c r="LXP28" s="725"/>
      <c r="LXQ28" s="725"/>
      <c r="LXR28" s="725"/>
      <c r="LXS28" s="725"/>
      <c r="LXT28" s="725"/>
      <c r="LXU28" s="725"/>
      <c r="LXV28" s="725"/>
      <c r="LXW28" s="725"/>
      <c r="LXX28" s="725"/>
      <c r="LXY28" s="725"/>
      <c r="LXZ28" s="725"/>
      <c r="LYA28" s="725"/>
      <c r="LYB28" s="725"/>
      <c r="LYC28" s="725"/>
      <c r="LYD28" s="725"/>
      <c r="LYE28" s="725"/>
      <c r="LYF28" s="725"/>
      <c r="LYG28" s="725"/>
      <c r="LYH28" s="725"/>
      <c r="LYI28" s="725"/>
      <c r="LYJ28" s="725"/>
      <c r="LYK28" s="725"/>
      <c r="LYL28" s="725"/>
      <c r="LYM28" s="725"/>
      <c r="LYN28" s="725"/>
      <c r="LYO28" s="725"/>
      <c r="LYP28" s="725"/>
      <c r="LYQ28" s="725"/>
      <c r="LYR28" s="725"/>
      <c r="LYS28" s="725"/>
      <c r="LYT28" s="725"/>
      <c r="LYU28" s="725"/>
      <c r="LYV28" s="725"/>
      <c r="LYW28" s="725"/>
      <c r="LYX28" s="725"/>
      <c r="LYY28" s="725"/>
      <c r="LYZ28" s="725"/>
      <c r="LZA28" s="725"/>
      <c r="LZB28" s="725"/>
      <c r="LZC28" s="725"/>
      <c r="LZD28" s="725"/>
      <c r="LZE28" s="725"/>
      <c r="LZF28" s="725"/>
      <c r="LZG28" s="725"/>
      <c r="LZH28" s="725"/>
      <c r="LZI28" s="725"/>
      <c r="LZJ28" s="725"/>
      <c r="LZK28" s="725"/>
      <c r="LZL28" s="725"/>
      <c r="LZM28" s="725"/>
      <c r="LZN28" s="725"/>
      <c r="LZO28" s="725"/>
      <c r="LZP28" s="725"/>
      <c r="LZQ28" s="725"/>
      <c r="LZR28" s="725"/>
      <c r="LZS28" s="725"/>
      <c r="LZT28" s="725"/>
      <c r="LZU28" s="725"/>
      <c r="LZV28" s="725"/>
      <c r="LZW28" s="725"/>
      <c r="LZX28" s="725"/>
      <c r="LZY28" s="725"/>
      <c r="LZZ28" s="725"/>
      <c r="MAA28" s="725"/>
      <c r="MAB28" s="725"/>
      <c r="MAC28" s="725"/>
      <c r="MAD28" s="725"/>
      <c r="MAE28" s="725"/>
      <c r="MAF28" s="725"/>
      <c r="MAG28" s="725"/>
      <c r="MAH28" s="725"/>
      <c r="MAI28" s="725"/>
      <c r="MAJ28" s="725"/>
      <c r="MAK28" s="725"/>
      <c r="MAL28" s="725"/>
      <c r="MAM28" s="725"/>
      <c r="MAN28" s="725"/>
      <c r="MAO28" s="725"/>
      <c r="MAP28" s="725"/>
      <c r="MAQ28" s="725"/>
      <c r="MAR28" s="725"/>
      <c r="MAS28" s="725"/>
      <c r="MAT28" s="725"/>
      <c r="MAU28" s="725"/>
      <c r="MAV28" s="725"/>
      <c r="MAW28" s="725"/>
      <c r="MAX28" s="725"/>
      <c r="MAY28" s="725"/>
      <c r="MAZ28" s="725"/>
      <c r="MBA28" s="725"/>
      <c r="MBB28" s="725"/>
      <c r="MBC28" s="725"/>
      <c r="MBD28" s="725"/>
      <c r="MBE28" s="725"/>
      <c r="MBF28" s="725"/>
      <c r="MBG28" s="725"/>
      <c r="MBH28" s="725"/>
      <c r="MBI28" s="725"/>
      <c r="MBJ28" s="725"/>
      <c r="MBK28" s="725"/>
      <c r="MBL28" s="725"/>
      <c r="MBM28" s="725"/>
      <c r="MBN28" s="725"/>
      <c r="MBO28" s="725"/>
      <c r="MBP28" s="725"/>
      <c r="MBQ28" s="725"/>
      <c r="MBR28" s="725"/>
      <c r="MBS28" s="725"/>
      <c r="MBT28" s="725"/>
      <c r="MBU28" s="725"/>
      <c r="MBV28" s="725"/>
      <c r="MBW28" s="725"/>
      <c r="MBX28" s="725"/>
      <c r="MBY28" s="725"/>
      <c r="MBZ28" s="725"/>
      <c r="MCA28" s="725"/>
      <c r="MCB28" s="725"/>
      <c r="MCC28" s="725"/>
      <c r="MCD28" s="725"/>
      <c r="MCE28" s="725"/>
      <c r="MCF28" s="725"/>
      <c r="MCG28" s="725"/>
      <c r="MCH28" s="725"/>
      <c r="MCI28" s="725"/>
      <c r="MCJ28" s="725"/>
      <c r="MCK28" s="725"/>
      <c r="MCL28" s="725"/>
      <c r="MCM28" s="725"/>
      <c r="MCN28" s="725"/>
      <c r="MCO28" s="725"/>
      <c r="MCP28" s="725"/>
      <c r="MCQ28" s="725"/>
      <c r="MCR28" s="725"/>
      <c r="MCS28" s="725"/>
      <c r="MCT28" s="725"/>
      <c r="MCU28" s="725"/>
      <c r="MCV28" s="725"/>
      <c r="MCW28" s="725"/>
      <c r="MCX28" s="725"/>
      <c r="MCY28" s="725"/>
      <c r="MCZ28" s="725"/>
      <c r="MDA28" s="725"/>
      <c r="MDB28" s="725"/>
      <c r="MDC28" s="725"/>
      <c r="MDD28" s="725"/>
      <c r="MDE28" s="725"/>
      <c r="MDF28" s="725"/>
      <c r="MDG28" s="725"/>
      <c r="MDH28" s="725"/>
      <c r="MDI28" s="725"/>
      <c r="MDJ28" s="725"/>
      <c r="MDK28" s="725"/>
      <c r="MDL28" s="725"/>
      <c r="MDM28" s="725"/>
      <c r="MDN28" s="725"/>
      <c r="MDO28" s="725"/>
      <c r="MDP28" s="725"/>
      <c r="MDQ28" s="725"/>
      <c r="MDR28" s="725"/>
      <c r="MDS28" s="725"/>
      <c r="MDT28" s="725"/>
      <c r="MDU28" s="725"/>
      <c r="MDV28" s="725"/>
      <c r="MDW28" s="725"/>
      <c r="MDX28" s="725"/>
      <c r="MDY28" s="725"/>
      <c r="MDZ28" s="725"/>
      <c r="MEA28" s="725"/>
      <c r="MEB28" s="725"/>
      <c r="MEC28" s="725"/>
      <c r="MED28" s="725"/>
      <c r="MEE28" s="725"/>
      <c r="MEF28" s="725"/>
      <c r="MEG28" s="725"/>
      <c r="MEH28" s="725"/>
      <c r="MEI28" s="725"/>
      <c r="MEJ28" s="725"/>
      <c r="MEK28" s="725"/>
      <c r="MEL28" s="725"/>
      <c r="MEM28" s="725"/>
      <c r="MEN28" s="725"/>
      <c r="MEO28" s="725"/>
      <c r="MEP28" s="725"/>
      <c r="MEQ28" s="725"/>
      <c r="MER28" s="725"/>
      <c r="MES28" s="725"/>
      <c r="MET28" s="725"/>
      <c r="MEU28" s="725"/>
      <c r="MEV28" s="725"/>
      <c r="MEW28" s="725"/>
      <c r="MEX28" s="725"/>
      <c r="MEY28" s="725"/>
      <c r="MEZ28" s="725"/>
      <c r="MFA28" s="725"/>
      <c r="MFB28" s="725"/>
      <c r="MFC28" s="725"/>
      <c r="MFD28" s="725"/>
      <c r="MFE28" s="725"/>
      <c r="MFF28" s="725"/>
      <c r="MFG28" s="725"/>
      <c r="MFH28" s="725"/>
      <c r="MFI28" s="725"/>
      <c r="MFJ28" s="725"/>
      <c r="MFK28" s="725"/>
      <c r="MFL28" s="725"/>
      <c r="MFM28" s="725"/>
      <c r="MFN28" s="725"/>
      <c r="MFO28" s="725"/>
      <c r="MFP28" s="725"/>
      <c r="MFQ28" s="725"/>
      <c r="MFR28" s="725"/>
      <c r="MFS28" s="725"/>
      <c r="MFT28" s="725"/>
      <c r="MFU28" s="725"/>
      <c r="MFV28" s="725"/>
      <c r="MFW28" s="725"/>
      <c r="MFX28" s="725"/>
      <c r="MFY28" s="725"/>
      <c r="MFZ28" s="725"/>
      <c r="MGA28" s="725"/>
      <c r="MGB28" s="725"/>
      <c r="MGC28" s="725"/>
      <c r="MGD28" s="725"/>
      <c r="MGE28" s="725"/>
      <c r="MGF28" s="725"/>
      <c r="MGG28" s="725"/>
      <c r="MGH28" s="725"/>
      <c r="MGI28" s="725"/>
      <c r="MGJ28" s="725"/>
      <c r="MGK28" s="725"/>
      <c r="MGL28" s="725"/>
      <c r="MGM28" s="725"/>
      <c r="MGN28" s="725"/>
      <c r="MGO28" s="725"/>
      <c r="MGP28" s="725"/>
      <c r="MGQ28" s="725"/>
      <c r="MGR28" s="725"/>
      <c r="MGS28" s="725"/>
      <c r="MGT28" s="725"/>
      <c r="MGU28" s="725"/>
      <c r="MGV28" s="725"/>
      <c r="MGW28" s="725"/>
      <c r="MGX28" s="725"/>
      <c r="MGY28" s="725"/>
      <c r="MGZ28" s="725"/>
      <c r="MHA28" s="725"/>
      <c r="MHB28" s="725"/>
      <c r="MHC28" s="725"/>
      <c r="MHD28" s="725"/>
      <c r="MHE28" s="725"/>
      <c r="MHF28" s="725"/>
      <c r="MHG28" s="725"/>
      <c r="MHH28" s="725"/>
      <c r="MHI28" s="725"/>
      <c r="MHJ28" s="725"/>
      <c r="MHK28" s="725"/>
      <c r="MHL28" s="725"/>
      <c r="MHM28" s="725"/>
      <c r="MHN28" s="725"/>
      <c r="MHO28" s="725"/>
      <c r="MHP28" s="725"/>
      <c r="MHQ28" s="725"/>
      <c r="MHR28" s="725"/>
      <c r="MHS28" s="725"/>
      <c r="MHT28" s="725"/>
      <c r="MHU28" s="725"/>
      <c r="MHV28" s="725"/>
      <c r="MHW28" s="725"/>
      <c r="MHX28" s="725"/>
      <c r="MHY28" s="725"/>
      <c r="MHZ28" s="725"/>
      <c r="MIA28" s="725"/>
      <c r="MIB28" s="725"/>
      <c r="MIC28" s="725"/>
      <c r="MID28" s="725"/>
      <c r="MIE28" s="725"/>
      <c r="MIF28" s="725"/>
      <c r="MIG28" s="725"/>
      <c r="MIH28" s="725"/>
      <c r="MII28" s="725"/>
      <c r="MIJ28" s="725"/>
      <c r="MIK28" s="725"/>
      <c r="MIL28" s="725"/>
      <c r="MIM28" s="725"/>
      <c r="MIN28" s="725"/>
      <c r="MIO28" s="725"/>
      <c r="MIP28" s="725"/>
      <c r="MIQ28" s="725"/>
      <c r="MIR28" s="725"/>
      <c r="MIS28" s="725"/>
      <c r="MIT28" s="725"/>
      <c r="MIU28" s="725"/>
      <c r="MIV28" s="725"/>
      <c r="MIW28" s="725"/>
      <c r="MIX28" s="725"/>
      <c r="MIY28" s="725"/>
      <c r="MIZ28" s="725"/>
      <c r="MJA28" s="725"/>
      <c r="MJB28" s="725"/>
      <c r="MJC28" s="725"/>
      <c r="MJD28" s="725"/>
      <c r="MJE28" s="725"/>
      <c r="MJF28" s="725"/>
      <c r="MJG28" s="725"/>
      <c r="MJH28" s="725"/>
      <c r="MJI28" s="725"/>
      <c r="MJJ28" s="725"/>
      <c r="MJK28" s="725"/>
      <c r="MJL28" s="725"/>
      <c r="MJM28" s="725"/>
      <c r="MJN28" s="725"/>
      <c r="MJO28" s="725"/>
      <c r="MJP28" s="725"/>
      <c r="MJQ28" s="725"/>
      <c r="MJR28" s="725"/>
      <c r="MJS28" s="725"/>
      <c r="MJT28" s="725"/>
      <c r="MJU28" s="725"/>
      <c r="MJV28" s="725"/>
      <c r="MJW28" s="725"/>
      <c r="MJX28" s="725"/>
      <c r="MJY28" s="725"/>
      <c r="MJZ28" s="725"/>
      <c r="MKA28" s="725"/>
      <c r="MKB28" s="725"/>
      <c r="MKC28" s="725"/>
      <c r="MKD28" s="725"/>
      <c r="MKE28" s="725"/>
      <c r="MKF28" s="725"/>
      <c r="MKG28" s="725"/>
      <c r="MKH28" s="725"/>
      <c r="MKI28" s="725"/>
      <c r="MKJ28" s="725"/>
      <c r="MKK28" s="725"/>
      <c r="MKL28" s="725"/>
      <c r="MKM28" s="725"/>
      <c r="MKN28" s="725"/>
      <c r="MKO28" s="725"/>
      <c r="MKP28" s="725"/>
      <c r="MKQ28" s="725"/>
      <c r="MKR28" s="725"/>
      <c r="MKS28" s="725"/>
      <c r="MKT28" s="725"/>
      <c r="MKU28" s="725"/>
      <c r="MKV28" s="725"/>
      <c r="MKW28" s="725"/>
      <c r="MKX28" s="725"/>
      <c r="MKY28" s="725"/>
      <c r="MKZ28" s="725"/>
      <c r="MLA28" s="725"/>
      <c r="MLB28" s="725"/>
      <c r="MLC28" s="725"/>
      <c r="MLD28" s="725"/>
      <c r="MLE28" s="725"/>
      <c r="MLF28" s="725"/>
      <c r="MLG28" s="725"/>
      <c r="MLH28" s="725"/>
      <c r="MLI28" s="725"/>
      <c r="MLJ28" s="725"/>
      <c r="MLK28" s="725"/>
      <c r="MLL28" s="725"/>
      <c r="MLM28" s="725"/>
      <c r="MLN28" s="725"/>
      <c r="MLO28" s="725"/>
      <c r="MLP28" s="725"/>
      <c r="MLQ28" s="725"/>
      <c r="MLR28" s="725"/>
      <c r="MLS28" s="725"/>
      <c r="MLT28" s="725"/>
      <c r="MLU28" s="725"/>
      <c r="MLV28" s="725"/>
      <c r="MLW28" s="725"/>
      <c r="MLX28" s="725"/>
      <c r="MLY28" s="725"/>
      <c r="MLZ28" s="725"/>
      <c r="MMA28" s="725"/>
      <c r="MMB28" s="725"/>
      <c r="MMC28" s="725"/>
      <c r="MMD28" s="725"/>
      <c r="MME28" s="725"/>
      <c r="MMF28" s="725"/>
      <c r="MMG28" s="725"/>
      <c r="MMH28" s="725"/>
      <c r="MMI28" s="725"/>
      <c r="MMJ28" s="725"/>
      <c r="MMK28" s="725"/>
      <c r="MML28" s="725"/>
      <c r="MMM28" s="725"/>
      <c r="MMN28" s="725"/>
      <c r="MMO28" s="725"/>
      <c r="MMP28" s="725"/>
      <c r="MMQ28" s="725"/>
      <c r="MMR28" s="725"/>
      <c r="MMS28" s="725"/>
      <c r="MMT28" s="725"/>
      <c r="MMU28" s="725"/>
      <c r="MMV28" s="725"/>
      <c r="MMW28" s="725"/>
      <c r="MMX28" s="725"/>
      <c r="MMY28" s="725"/>
      <c r="MMZ28" s="725"/>
      <c r="MNA28" s="725"/>
      <c r="MNB28" s="725"/>
      <c r="MNC28" s="725"/>
      <c r="MND28" s="725"/>
      <c r="MNE28" s="725"/>
      <c r="MNF28" s="725"/>
      <c r="MNG28" s="725"/>
      <c r="MNH28" s="725"/>
      <c r="MNI28" s="725"/>
      <c r="MNJ28" s="725"/>
      <c r="MNK28" s="725"/>
      <c r="MNL28" s="725"/>
      <c r="MNM28" s="725"/>
      <c r="MNN28" s="725"/>
      <c r="MNO28" s="725"/>
      <c r="MNP28" s="725"/>
      <c r="MNQ28" s="725"/>
      <c r="MNR28" s="725"/>
      <c r="MNS28" s="725"/>
      <c r="MNT28" s="725"/>
      <c r="MNU28" s="725"/>
      <c r="MNV28" s="725"/>
      <c r="MNW28" s="725"/>
      <c r="MNX28" s="725"/>
      <c r="MNY28" s="725"/>
      <c r="MNZ28" s="725"/>
      <c r="MOA28" s="725"/>
      <c r="MOB28" s="725"/>
      <c r="MOC28" s="725"/>
      <c r="MOD28" s="725"/>
      <c r="MOE28" s="725"/>
      <c r="MOF28" s="725"/>
      <c r="MOG28" s="725"/>
      <c r="MOH28" s="725"/>
      <c r="MOI28" s="725"/>
      <c r="MOJ28" s="725"/>
      <c r="MOK28" s="725"/>
      <c r="MOL28" s="725"/>
      <c r="MOM28" s="725"/>
      <c r="MON28" s="725"/>
      <c r="MOO28" s="725"/>
      <c r="MOP28" s="725"/>
      <c r="MOQ28" s="725"/>
      <c r="MOR28" s="725"/>
      <c r="MOS28" s="725"/>
      <c r="MOT28" s="725"/>
      <c r="MOU28" s="725"/>
      <c r="MOV28" s="725"/>
      <c r="MOW28" s="725"/>
      <c r="MOX28" s="725"/>
      <c r="MOY28" s="725"/>
      <c r="MOZ28" s="725"/>
      <c r="MPA28" s="725"/>
      <c r="MPB28" s="725"/>
      <c r="MPC28" s="725"/>
      <c r="MPD28" s="725"/>
      <c r="MPE28" s="725"/>
      <c r="MPF28" s="725"/>
      <c r="MPG28" s="725"/>
      <c r="MPH28" s="725"/>
      <c r="MPI28" s="725"/>
      <c r="MPJ28" s="725"/>
      <c r="MPK28" s="725"/>
      <c r="MPL28" s="725"/>
      <c r="MPM28" s="725"/>
      <c r="MPN28" s="725"/>
      <c r="MPO28" s="725"/>
      <c r="MPP28" s="725"/>
      <c r="MPQ28" s="725"/>
      <c r="MPR28" s="725"/>
      <c r="MPS28" s="725"/>
      <c r="MPT28" s="725"/>
      <c r="MPU28" s="725"/>
      <c r="MPV28" s="725"/>
      <c r="MPW28" s="725"/>
      <c r="MPX28" s="725"/>
      <c r="MPY28" s="725"/>
      <c r="MPZ28" s="725"/>
      <c r="MQA28" s="725"/>
      <c r="MQB28" s="725"/>
      <c r="MQC28" s="725"/>
      <c r="MQD28" s="725"/>
      <c r="MQE28" s="725"/>
      <c r="MQF28" s="725"/>
      <c r="MQG28" s="725"/>
      <c r="MQH28" s="725"/>
      <c r="MQI28" s="725"/>
      <c r="MQJ28" s="725"/>
      <c r="MQK28" s="725"/>
      <c r="MQL28" s="725"/>
      <c r="MQM28" s="725"/>
      <c r="MQN28" s="725"/>
      <c r="MQO28" s="725"/>
      <c r="MQP28" s="725"/>
      <c r="MQQ28" s="725"/>
      <c r="MQR28" s="725"/>
      <c r="MQS28" s="725"/>
      <c r="MQT28" s="725"/>
      <c r="MQU28" s="725"/>
      <c r="MQV28" s="725"/>
      <c r="MQW28" s="725"/>
      <c r="MQX28" s="725"/>
      <c r="MQY28" s="725"/>
      <c r="MQZ28" s="725"/>
      <c r="MRA28" s="725"/>
      <c r="MRB28" s="725"/>
      <c r="MRC28" s="725"/>
      <c r="MRD28" s="725"/>
      <c r="MRE28" s="725"/>
      <c r="MRF28" s="725"/>
      <c r="MRG28" s="725"/>
      <c r="MRH28" s="725"/>
      <c r="MRI28" s="725"/>
      <c r="MRJ28" s="725"/>
      <c r="MRK28" s="725"/>
      <c r="MRL28" s="725"/>
      <c r="MRM28" s="725"/>
      <c r="MRN28" s="725"/>
      <c r="MRO28" s="725"/>
      <c r="MRP28" s="725"/>
      <c r="MRQ28" s="725"/>
      <c r="MRR28" s="725"/>
      <c r="MRS28" s="725"/>
      <c r="MRT28" s="725"/>
      <c r="MRU28" s="725"/>
      <c r="MRV28" s="725"/>
      <c r="MRW28" s="725"/>
      <c r="MRX28" s="725"/>
      <c r="MRY28" s="725"/>
      <c r="MRZ28" s="725"/>
      <c r="MSA28" s="725"/>
      <c r="MSB28" s="725"/>
      <c r="MSC28" s="725"/>
      <c r="MSD28" s="725"/>
      <c r="MSE28" s="725"/>
      <c r="MSF28" s="725"/>
      <c r="MSG28" s="725"/>
      <c r="MSH28" s="725"/>
      <c r="MSI28" s="725"/>
      <c r="MSJ28" s="725"/>
      <c r="MSK28" s="725"/>
      <c r="MSL28" s="725"/>
      <c r="MSM28" s="725"/>
      <c r="MSN28" s="725"/>
      <c r="MSO28" s="725"/>
      <c r="MSP28" s="725"/>
      <c r="MSQ28" s="725"/>
      <c r="MSR28" s="725"/>
      <c r="MSS28" s="725"/>
      <c r="MST28" s="725"/>
      <c r="MSU28" s="725"/>
      <c r="MSV28" s="725"/>
      <c r="MSW28" s="725"/>
      <c r="MSX28" s="725"/>
      <c r="MSY28" s="725"/>
      <c r="MSZ28" s="725"/>
      <c r="MTA28" s="725"/>
      <c r="MTB28" s="725"/>
      <c r="MTC28" s="725"/>
      <c r="MTD28" s="725"/>
      <c r="MTE28" s="725"/>
      <c r="MTF28" s="725"/>
      <c r="MTG28" s="725"/>
      <c r="MTH28" s="725"/>
      <c r="MTI28" s="725"/>
      <c r="MTJ28" s="725"/>
      <c r="MTK28" s="725"/>
      <c r="MTL28" s="725"/>
      <c r="MTM28" s="725"/>
      <c r="MTN28" s="725"/>
      <c r="MTO28" s="725"/>
      <c r="MTP28" s="725"/>
      <c r="MTQ28" s="725"/>
      <c r="MTR28" s="725"/>
      <c r="MTS28" s="725"/>
      <c r="MTT28" s="725"/>
      <c r="MTU28" s="725"/>
      <c r="MTV28" s="725"/>
      <c r="MTW28" s="725"/>
      <c r="MTX28" s="725"/>
      <c r="MTY28" s="725"/>
      <c r="MTZ28" s="725"/>
      <c r="MUA28" s="725"/>
      <c r="MUB28" s="725"/>
      <c r="MUC28" s="725"/>
      <c r="MUD28" s="725"/>
      <c r="MUE28" s="725"/>
      <c r="MUF28" s="725"/>
      <c r="MUG28" s="725"/>
      <c r="MUH28" s="725"/>
      <c r="MUI28" s="725"/>
      <c r="MUJ28" s="725"/>
      <c r="MUK28" s="725"/>
      <c r="MUL28" s="725"/>
      <c r="MUM28" s="725"/>
      <c r="MUN28" s="725"/>
      <c r="MUO28" s="725"/>
      <c r="MUP28" s="725"/>
      <c r="MUQ28" s="725"/>
      <c r="MUR28" s="725"/>
      <c r="MUS28" s="725"/>
      <c r="MUT28" s="725"/>
      <c r="MUU28" s="725"/>
      <c r="MUV28" s="725"/>
      <c r="MUW28" s="725"/>
      <c r="MUX28" s="725"/>
      <c r="MUY28" s="725"/>
      <c r="MUZ28" s="725"/>
      <c r="MVA28" s="725"/>
      <c r="MVB28" s="725"/>
      <c r="MVC28" s="725"/>
      <c r="MVD28" s="725"/>
      <c r="MVE28" s="725"/>
      <c r="MVF28" s="725"/>
      <c r="MVG28" s="725"/>
      <c r="MVH28" s="725"/>
      <c r="MVI28" s="725"/>
      <c r="MVJ28" s="725"/>
      <c r="MVK28" s="725"/>
      <c r="MVL28" s="725"/>
      <c r="MVM28" s="725"/>
      <c r="MVN28" s="725"/>
      <c r="MVO28" s="725"/>
      <c r="MVP28" s="725"/>
      <c r="MVQ28" s="725"/>
      <c r="MVR28" s="725"/>
      <c r="MVS28" s="725"/>
      <c r="MVT28" s="725"/>
      <c r="MVU28" s="725"/>
      <c r="MVV28" s="725"/>
      <c r="MVW28" s="725"/>
      <c r="MVX28" s="725"/>
      <c r="MVY28" s="725"/>
      <c r="MVZ28" s="725"/>
      <c r="MWA28" s="725"/>
      <c r="MWB28" s="725"/>
      <c r="MWC28" s="725"/>
      <c r="MWD28" s="725"/>
      <c r="MWE28" s="725"/>
      <c r="MWF28" s="725"/>
      <c r="MWG28" s="725"/>
      <c r="MWH28" s="725"/>
      <c r="MWI28" s="725"/>
      <c r="MWJ28" s="725"/>
      <c r="MWK28" s="725"/>
      <c r="MWL28" s="725"/>
      <c r="MWM28" s="725"/>
      <c r="MWN28" s="725"/>
      <c r="MWO28" s="725"/>
      <c r="MWP28" s="725"/>
      <c r="MWQ28" s="725"/>
      <c r="MWR28" s="725"/>
      <c r="MWS28" s="725"/>
      <c r="MWT28" s="725"/>
      <c r="MWU28" s="725"/>
      <c r="MWV28" s="725"/>
      <c r="MWW28" s="725"/>
      <c r="MWX28" s="725"/>
      <c r="MWY28" s="725"/>
      <c r="MWZ28" s="725"/>
      <c r="MXA28" s="725"/>
      <c r="MXB28" s="725"/>
      <c r="MXC28" s="725"/>
      <c r="MXD28" s="725"/>
      <c r="MXE28" s="725"/>
      <c r="MXF28" s="725"/>
      <c r="MXG28" s="725"/>
      <c r="MXH28" s="725"/>
      <c r="MXI28" s="725"/>
      <c r="MXJ28" s="725"/>
      <c r="MXK28" s="725"/>
      <c r="MXL28" s="725"/>
      <c r="MXM28" s="725"/>
      <c r="MXN28" s="725"/>
      <c r="MXO28" s="725"/>
      <c r="MXP28" s="725"/>
      <c r="MXQ28" s="725"/>
      <c r="MXR28" s="725"/>
      <c r="MXS28" s="725"/>
      <c r="MXT28" s="725"/>
      <c r="MXU28" s="725"/>
      <c r="MXV28" s="725"/>
      <c r="MXW28" s="725"/>
      <c r="MXX28" s="725"/>
      <c r="MXY28" s="725"/>
      <c r="MXZ28" s="725"/>
      <c r="MYA28" s="725"/>
      <c r="MYB28" s="725"/>
      <c r="MYC28" s="725"/>
      <c r="MYD28" s="725"/>
      <c r="MYE28" s="725"/>
      <c r="MYF28" s="725"/>
      <c r="MYG28" s="725"/>
      <c r="MYH28" s="725"/>
      <c r="MYI28" s="725"/>
      <c r="MYJ28" s="725"/>
      <c r="MYK28" s="725"/>
      <c r="MYL28" s="725"/>
      <c r="MYM28" s="725"/>
      <c r="MYN28" s="725"/>
      <c r="MYO28" s="725"/>
      <c r="MYP28" s="725"/>
      <c r="MYQ28" s="725"/>
      <c r="MYR28" s="725"/>
      <c r="MYS28" s="725"/>
      <c r="MYT28" s="725"/>
      <c r="MYU28" s="725"/>
      <c r="MYV28" s="725"/>
      <c r="MYW28" s="725"/>
      <c r="MYX28" s="725"/>
      <c r="MYY28" s="725"/>
      <c r="MYZ28" s="725"/>
      <c r="MZA28" s="725"/>
      <c r="MZB28" s="725"/>
      <c r="MZC28" s="725"/>
      <c r="MZD28" s="725"/>
      <c r="MZE28" s="725"/>
      <c r="MZF28" s="725"/>
      <c r="MZG28" s="725"/>
      <c r="MZH28" s="725"/>
      <c r="MZI28" s="725"/>
      <c r="MZJ28" s="725"/>
      <c r="MZK28" s="725"/>
      <c r="MZL28" s="725"/>
      <c r="MZM28" s="725"/>
      <c r="MZN28" s="725"/>
      <c r="MZO28" s="725"/>
      <c r="MZP28" s="725"/>
      <c r="MZQ28" s="725"/>
      <c r="MZR28" s="725"/>
      <c r="MZS28" s="725"/>
      <c r="MZT28" s="725"/>
      <c r="MZU28" s="725"/>
      <c r="MZV28" s="725"/>
      <c r="MZW28" s="725"/>
      <c r="MZX28" s="725"/>
      <c r="MZY28" s="725"/>
      <c r="MZZ28" s="725"/>
      <c r="NAA28" s="725"/>
      <c r="NAB28" s="725"/>
      <c r="NAC28" s="725"/>
      <c r="NAD28" s="725"/>
      <c r="NAE28" s="725"/>
      <c r="NAF28" s="725"/>
      <c r="NAG28" s="725"/>
      <c r="NAH28" s="725"/>
      <c r="NAI28" s="725"/>
      <c r="NAJ28" s="725"/>
      <c r="NAK28" s="725"/>
      <c r="NAL28" s="725"/>
      <c r="NAM28" s="725"/>
      <c r="NAN28" s="725"/>
      <c r="NAO28" s="725"/>
      <c r="NAP28" s="725"/>
      <c r="NAQ28" s="725"/>
      <c r="NAR28" s="725"/>
      <c r="NAS28" s="725"/>
      <c r="NAT28" s="725"/>
      <c r="NAU28" s="725"/>
      <c r="NAV28" s="725"/>
      <c r="NAW28" s="725"/>
      <c r="NAX28" s="725"/>
      <c r="NAY28" s="725"/>
      <c r="NAZ28" s="725"/>
      <c r="NBA28" s="725"/>
      <c r="NBB28" s="725"/>
      <c r="NBC28" s="725"/>
      <c r="NBD28" s="725"/>
      <c r="NBE28" s="725"/>
      <c r="NBF28" s="725"/>
      <c r="NBG28" s="725"/>
      <c r="NBH28" s="725"/>
      <c r="NBI28" s="725"/>
      <c r="NBJ28" s="725"/>
      <c r="NBK28" s="725"/>
      <c r="NBL28" s="725"/>
      <c r="NBM28" s="725"/>
      <c r="NBN28" s="725"/>
      <c r="NBO28" s="725"/>
      <c r="NBP28" s="725"/>
      <c r="NBQ28" s="725"/>
      <c r="NBR28" s="725"/>
      <c r="NBS28" s="725"/>
      <c r="NBT28" s="725"/>
      <c r="NBU28" s="725"/>
      <c r="NBV28" s="725"/>
      <c r="NBW28" s="725"/>
      <c r="NBX28" s="725"/>
      <c r="NBY28" s="725"/>
      <c r="NBZ28" s="725"/>
      <c r="NCA28" s="725"/>
      <c r="NCB28" s="725"/>
      <c r="NCC28" s="725"/>
      <c r="NCD28" s="725"/>
      <c r="NCE28" s="725"/>
      <c r="NCF28" s="725"/>
      <c r="NCG28" s="725"/>
      <c r="NCH28" s="725"/>
      <c r="NCI28" s="725"/>
      <c r="NCJ28" s="725"/>
      <c r="NCK28" s="725"/>
      <c r="NCL28" s="725"/>
      <c r="NCM28" s="725"/>
      <c r="NCN28" s="725"/>
      <c r="NCO28" s="725"/>
      <c r="NCP28" s="725"/>
      <c r="NCQ28" s="725"/>
      <c r="NCR28" s="725"/>
      <c r="NCS28" s="725"/>
      <c r="NCT28" s="725"/>
      <c r="NCU28" s="725"/>
      <c r="NCV28" s="725"/>
      <c r="NCW28" s="725"/>
      <c r="NCX28" s="725"/>
      <c r="NCY28" s="725"/>
      <c r="NCZ28" s="725"/>
      <c r="NDA28" s="725"/>
      <c r="NDB28" s="725"/>
      <c r="NDC28" s="725"/>
      <c r="NDD28" s="725"/>
      <c r="NDE28" s="725"/>
      <c r="NDF28" s="725"/>
      <c r="NDG28" s="725"/>
      <c r="NDH28" s="725"/>
      <c r="NDI28" s="725"/>
      <c r="NDJ28" s="725"/>
      <c r="NDK28" s="725"/>
      <c r="NDL28" s="725"/>
      <c r="NDM28" s="725"/>
      <c r="NDN28" s="725"/>
      <c r="NDO28" s="725"/>
      <c r="NDP28" s="725"/>
      <c r="NDQ28" s="725"/>
      <c r="NDR28" s="725"/>
      <c r="NDS28" s="725"/>
      <c r="NDT28" s="725"/>
      <c r="NDU28" s="725"/>
      <c r="NDV28" s="725"/>
      <c r="NDW28" s="725"/>
      <c r="NDX28" s="725"/>
      <c r="NDY28" s="725"/>
      <c r="NDZ28" s="725"/>
      <c r="NEA28" s="725"/>
      <c r="NEB28" s="725"/>
      <c r="NEC28" s="725"/>
      <c r="NED28" s="725"/>
      <c r="NEE28" s="725"/>
      <c r="NEF28" s="725"/>
      <c r="NEG28" s="725"/>
      <c r="NEH28" s="725"/>
      <c r="NEI28" s="725"/>
      <c r="NEJ28" s="725"/>
      <c r="NEK28" s="725"/>
      <c r="NEL28" s="725"/>
      <c r="NEM28" s="725"/>
      <c r="NEN28" s="725"/>
      <c r="NEO28" s="725"/>
      <c r="NEP28" s="725"/>
      <c r="NEQ28" s="725"/>
      <c r="NER28" s="725"/>
      <c r="NES28" s="725"/>
      <c r="NET28" s="725"/>
      <c r="NEU28" s="725"/>
      <c r="NEV28" s="725"/>
      <c r="NEW28" s="725"/>
      <c r="NEX28" s="725"/>
      <c r="NEY28" s="725"/>
      <c r="NEZ28" s="725"/>
      <c r="NFA28" s="725"/>
      <c r="NFB28" s="725"/>
      <c r="NFC28" s="725"/>
      <c r="NFD28" s="725"/>
      <c r="NFE28" s="725"/>
      <c r="NFF28" s="725"/>
      <c r="NFG28" s="725"/>
      <c r="NFH28" s="725"/>
      <c r="NFI28" s="725"/>
      <c r="NFJ28" s="725"/>
      <c r="NFK28" s="725"/>
      <c r="NFL28" s="725"/>
      <c r="NFM28" s="725"/>
      <c r="NFN28" s="725"/>
      <c r="NFO28" s="725"/>
      <c r="NFP28" s="725"/>
      <c r="NFQ28" s="725"/>
      <c r="NFR28" s="725"/>
      <c r="NFS28" s="725"/>
      <c r="NFT28" s="725"/>
      <c r="NFU28" s="725"/>
      <c r="NFV28" s="725"/>
      <c r="NFW28" s="725"/>
      <c r="NFX28" s="725"/>
      <c r="NFY28" s="725"/>
      <c r="NFZ28" s="725"/>
      <c r="NGA28" s="725"/>
      <c r="NGB28" s="725"/>
      <c r="NGC28" s="725"/>
      <c r="NGD28" s="725"/>
      <c r="NGE28" s="725"/>
      <c r="NGF28" s="725"/>
      <c r="NGG28" s="725"/>
      <c r="NGH28" s="725"/>
      <c r="NGI28" s="725"/>
      <c r="NGJ28" s="725"/>
      <c r="NGK28" s="725"/>
      <c r="NGL28" s="725"/>
      <c r="NGM28" s="725"/>
      <c r="NGN28" s="725"/>
      <c r="NGO28" s="725"/>
      <c r="NGP28" s="725"/>
      <c r="NGQ28" s="725"/>
      <c r="NGR28" s="725"/>
      <c r="NGS28" s="725"/>
      <c r="NGT28" s="725"/>
      <c r="NGU28" s="725"/>
      <c r="NGV28" s="725"/>
      <c r="NGW28" s="725"/>
      <c r="NGX28" s="725"/>
      <c r="NGY28" s="725"/>
      <c r="NGZ28" s="725"/>
      <c r="NHA28" s="725"/>
      <c r="NHB28" s="725"/>
      <c r="NHC28" s="725"/>
      <c r="NHD28" s="725"/>
      <c r="NHE28" s="725"/>
      <c r="NHF28" s="725"/>
      <c r="NHG28" s="725"/>
      <c r="NHH28" s="725"/>
      <c r="NHI28" s="725"/>
      <c r="NHJ28" s="725"/>
      <c r="NHK28" s="725"/>
      <c r="NHL28" s="725"/>
      <c r="NHM28" s="725"/>
      <c r="NHN28" s="725"/>
      <c r="NHO28" s="725"/>
      <c r="NHP28" s="725"/>
      <c r="NHQ28" s="725"/>
      <c r="NHR28" s="725"/>
      <c r="NHS28" s="725"/>
      <c r="NHT28" s="725"/>
      <c r="NHU28" s="725"/>
      <c r="NHV28" s="725"/>
      <c r="NHW28" s="725"/>
      <c r="NHX28" s="725"/>
      <c r="NHY28" s="725"/>
      <c r="NHZ28" s="725"/>
      <c r="NIA28" s="725"/>
      <c r="NIB28" s="725"/>
      <c r="NIC28" s="725"/>
      <c r="NID28" s="725"/>
      <c r="NIE28" s="725"/>
      <c r="NIF28" s="725"/>
      <c r="NIG28" s="725"/>
      <c r="NIH28" s="725"/>
      <c r="NII28" s="725"/>
      <c r="NIJ28" s="725"/>
      <c r="NIK28" s="725"/>
      <c r="NIL28" s="725"/>
      <c r="NIM28" s="725"/>
      <c r="NIN28" s="725"/>
      <c r="NIO28" s="725"/>
      <c r="NIP28" s="725"/>
      <c r="NIQ28" s="725"/>
      <c r="NIR28" s="725"/>
      <c r="NIS28" s="725"/>
      <c r="NIT28" s="725"/>
      <c r="NIU28" s="725"/>
      <c r="NIV28" s="725"/>
      <c r="NIW28" s="725"/>
      <c r="NIX28" s="725"/>
      <c r="NIY28" s="725"/>
      <c r="NIZ28" s="725"/>
      <c r="NJA28" s="725"/>
      <c r="NJB28" s="725"/>
      <c r="NJC28" s="725"/>
      <c r="NJD28" s="725"/>
      <c r="NJE28" s="725"/>
      <c r="NJF28" s="725"/>
      <c r="NJG28" s="725"/>
      <c r="NJH28" s="725"/>
      <c r="NJI28" s="725"/>
      <c r="NJJ28" s="725"/>
      <c r="NJK28" s="725"/>
      <c r="NJL28" s="725"/>
      <c r="NJM28" s="725"/>
      <c r="NJN28" s="725"/>
      <c r="NJO28" s="725"/>
      <c r="NJP28" s="725"/>
      <c r="NJQ28" s="725"/>
      <c r="NJR28" s="725"/>
      <c r="NJS28" s="725"/>
      <c r="NJT28" s="725"/>
      <c r="NJU28" s="725"/>
      <c r="NJV28" s="725"/>
      <c r="NJW28" s="725"/>
      <c r="NJX28" s="725"/>
      <c r="NJY28" s="725"/>
      <c r="NJZ28" s="725"/>
      <c r="NKA28" s="725"/>
      <c r="NKB28" s="725"/>
      <c r="NKC28" s="725"/>
      <c r="NKD28" s="725"/>
      <c r="NKE28" s="725"/>
      <c r="NKF28" s="725"/>
      <c r="NKG28" s="725"/>
      <c r="NKH28" s="725"/>
      <c r="NKI28" s="725"/>
      <c r="NKJ28" s="725"/>
      <c r="NKK28" s="725"/>
      <c r="NKL28" s="725"/>
      <c r="NKM28" s="725"/>
      <c r="NKN28" s="725"/>
      <c r="NKO28" s="725"/>
      <c r="NKP28" s="725"/>
      <c r="NKQ28" s="725"/>
      <c r="NKR28" s="725"/>
      <c r="NKS28" s="725"/>
      <c r="NKT28" s="725"/>
      <c r="NKU28" s="725"/>
      <c r="NKV28" s="725"/>
      <c r="NKW28" s="725"/>
      <c r="NKX28" s="725"/>
      <c r="NKY28" s="725"/>
      <c r="NKZ28" s="725"/>
      <c r="NLA28" s="725"/>
      <c r="NLB28" s="725"/>
      <c r="NLC28" s="725"/>
      <c r="NLD28" s="725"/>
      <c r="NLE28" s="725"/>
      <c r="NLF28" s="725"/>
      <c r="NLG28" s="725"/>
      <c r="NLH28" s="725"/>
      <c r="NLI28" s="725"/>
      <c r="NLJ28" s="725"/>
      <c r="NLK28" s="725"/>
      <c r="NLL28" s="725"/>
      <c r="NLM28" s="725"/>
      <c r="NLN28" s="725"/>
      <c r="NLO28" s="725"/>
      <c r="NLP28" s="725"/>
      <c r="NLQ28" s="725"/>
      <c r="NLR28" s="725"/>
      <c r="NLS28" s="725"/>
      <c r="NLT28" s="725"/>
      <c r="NLU28" s="725"/>
      <c r="NLV28" s="725"/>
      <c r="NLW28" s="725"/>
      <c r="NLX28" s="725"/>
      <c r="NLY28" s="725"/>
      <c r="NLZ28" s="725"/>
      <c r="NMA28" s="725"/>
      <c r="NMB28" s="725"/>
      <c r="NMC28" s="725"/>
      <c r="NMD28" s="725"/>
      <c r="NME28" s="725"/>
      <c r="NMF28" s="725"/>
      <c r="NMG28" s="725"/>
      <c r="NMH28" s="725"/>
      <c r="NMI28" s="725"/>
      <c r="NMJ28" s="725"/>
      <c r="NMK28" s="725"/>
      <c r="NML28" s="725"/>
      <c r="NMM28" s="725"/>
      <c r="NMN28" s="725"/>
      <c r="NMO28" s="725"/>
      <c r="NMP28" s="725"/>
      <c r="NMQ28" s="725"/>
      <c r="NMR28" s="725"/>
      <c r="NMS28" s="725"/>
      <c r="NMT28" s="725"/>
      <c r="NMU28" s="725"/>
      <c r="NMV28" s="725"/>
      <c r="NMW28" s="725"/>
      <c r="NMX28" s="725"/>
      <c r="NMY28" s="725"/>
      <c r="NMZ28" s="725"/>
      <c r="NNA28" s="725"/>
      <c r="NNB28" s="725"/>
      <c r="NNC28" s="725"/>
      <c r="NND28" s="725"/>
      <c r="NNE28" s="725"/>
      <c r="NNF28" s="725"/>
      <c r="NNG28" s="725"/>
      <c r="NNH28" s="725"/>
      <c r="NNI28" s="725"/>
      <c r="NNJ28" s="725"/>
      <c r="NNK28" s="725"/>
      <c r="NNL28" s="725"/>
      <c r="NNM28" s="725"/>
      <c r="NNN28" s="725"/>
      <c r="NNO28" s="725"/>
      <c r="NNP28" s="725"/>
      <c r="NNQ28" s="725"/>
      <c r="NNR28" s="725"/>
      <c r="NNS28" s="725"/>
      <c r="NNT28" s="725"/>
      <c r="NNU28" s="725"/>
      <c r="NNV28" s="725"/>
      <c r="NNW28" s="725"/>
      <c r="NNX28" s="725"/>
      <c r="NNY28" s="725"/>
      <c r="NNZ28" s="725"/>
      <c r="NOA28" s="725"/>
      <c r="NOB28" s="725"/>
      <c r="NOC28" s="725"/>
      <c r="NOD28" s="725"/>
      <c r="NOE28" s="725"/>
      <c r="NOF28" s="725"/>
      <c r="NOG28" s="725"/>
      <c r="NOH28" s="725"/>
      <c r="NOI28" s="725"/>
      <c r="NOJ28" s="725"/>
      <c r="NOK28" s="725"/>
      <c r="NOL28" s="725"/>
      <c r="NOM28" s="725"/>
      <c r="NON28" s="725"/>
      <c r="NOO28" s="725"/>
      <c r="NOP28" s="725"/>
      <c r="NOQ28" s="725"/>
      <c r="NOR28" s="725"/>
      <c r="NOS28" s="725"/>
      <c r="NOT28" s="725"/>
      <c r="NOU28" s="725"/>
      <c r="NOV28" s="725"/>
      <c r="NOW28" s="725"/>
      <c r="NOX28" s="725"/>
      <c r="NOY28" s="725"/>
      <c r="NOZ28" s="725"/>
      <c r="NPA28" s="725"/>
      <c r="NPB28" s="725"/>
      <c r="NPC28" s="725"/>
      <c r="NPD28" s="725"/>
      <c r="NPE28" s="725"/>
      <c r="NPF28" s="725"/>
      <c r="NPG28" s="725"/>
      <c r="NPH28" s="725"/>
      <c r="NPI28" s="725"/>
      <c r="NPJ28" s="725"/>
      <c r="NPK28" s="725"/>
      <c r="NPL28" s="725"/>
      <c r="NPM28" s="725"/>
      <c r="NPN28" s="725"/>
      <c r="NPO28" s="725"/>
      <c r="NPP28" s="725"/>
      <c r="NPQ28" s="725"/>
      <c r="NPR28" s="725"/>
      <c r="NPS28" s="725"/>
      <c r="NPT28" s="725"/>
      <c r="NPU28" s="725"/>
      <c r="NPV28" s="725"/>
      <c r="NPW28" s="725"/>
      <c r="NPX28" s="725"/>
      <c r="NPY28" s="725"/>
      <c r="NPZ28" s="725"/>
      <c r="NQA28" s="725"/>
      <c r="NQB28" s="725"/>
      <c r="NQC28" s="725"/>
      <c r="NQD28" s="725"/>
      <c r="NQE28" s="725"/>
      <c r="NQF28" s="725"/>
      <c r="NQG28" s="725"/>
      <c r="NQH28" s="725"/>
      <c r="NQI28" s="725"/>
      <c r="NQJ28" s="725"/>
      <c r="NQK28" s="725"/>
      <c r="NQL28" s="725"/>
      <c r="NQM28" s="725"/>
      <c r="NQN28" s="725"/>
      <c r="NQO28" s="725"/>
      <c r="NQP28" s="725"/>
      <c r="NQQ28" s="725"/>
      <c r="NQR28" s="725"/>
      <c r="NQS28" s="725"/>
      <c r="NQT28" s="725"/>
      <c r="NQU28" s="725"/>
      <c r="NQV28" s="725"/>
      <c r="NQW28" s="725"/>
      <c r="NQX28" s="725"/>
      <c r="NQY28" s="725"/>
      <c r="NQZ28" s="725"/>
      <c r="NRA28" s="725"/>
      <c r="NRB28" s="725"/>
      <c r="NRC28" s="725"/>
      <c r="NRD28" s="725"/>
      <c r="NRE28" s="725"/>
      <c r="NRF28" s="725"/>
      <c r="NRG28" s="725"/>
      <c r="NRH28" s="725"/>
      <c r="NRI28" s="725"/>
      <c r="NRJ28" s="725"/>
      <c r="NRK28" s="725"/>
      <c r="NRL28" s="725"/>
      <c r="NRM28" s="725"/>
      <c r="NRN28" s="725"/>
      <c r="NRO28" s="725"/>
      <c r="NRP28" s="725"/>
      <c r="NRQ28" s="725"/>
      <c r="NRR28" s="725"/>
      <c r="NRS28" s="725"/>
      <c r="NRT28" s="725"/>
      <c r="NRU28" s="725"/>
      <c r="NRV28" s="725"/>
      <c r="NRW28" s="725"/>
      <c r="NRX28" s="725"/>
      <c r="NRY28" s="725"/>
      <c r="NRZ28" s="725"/>
      <c r="NSA28" s="725"/>
      <c r="NSB28" s="725"/>
      <c r="NSC28" s="725"/>
      <c r="NSD28" s="725"/>
      <c r="NSE28" s="725"/>
      <c r="NSF28" s="725"/>
      <c r="NSG28" s="725"/>
      <c r="NSH28" s="725"/>
      <c r="NSI28" s="725"/>
      <c r="NSJ28" s="725"/>
      <c r="NSK28" s="725"/>
      <c r="NSL28" s="725"/>
      <c r="NSM28" s="725"/>
      <c r="NSN28" s="725"/>
      <c r="NSO28" s="725"/>
      <c r="NSP28" s="725"/>
      <c r="NSQ28" s="725"/>
      <c r="NSR28" s="725"/>
      <c r="NSS28" s="725"/>
      <c r="NST28" s="725"/>
      <c r="NSU28" s="725"/>
      <c r="NSV28" s="725"/>
      <c r="NSW28" s="725"/>
      <c r="NSX28" s="725"/>
      <c r="NSY28" s="725"/>
      <c r="NSZ28" s="725"/>
      <c r="NTA28" s="725"/>
      <c r="NTB28" s="725"/>
      <c r="NTC28" s="725"/>
      <c r="NTD28" s="725"/>
      <c r="NTE28" s="725"/>
      <c r="NTF28" s="725"/>
      <c r="NTG28" s="725"/>
      <c r="NTH28" s="725"/>
      <c r="NTI28" s="725"/>
      <c r="NTJ28" s="725"/>
      <c r="NTK28" s="725"/>
      <c r="NTL28" s="725"/>
      <c r="NTM28" s="725"/>
      <c r="NTN28" s="725"/>
      <c r="NTO28" s="725"/>
      <c r="NTP28" s="725"/>
      <c r="NTQ28" s="725"/>
      <c r="NTR28" s="725"/>
      <c r="NTS28" s="725"/>
      <c r="NTT28" s="725"/>
      <c r="NTU28" s="725"/>
      <c r="NTV28" s="725"/>
      <c r="NTW28" s="725"/>
      <c r="NTX28" s="725"/>
      <c r="NTY28" s="725"/>
      <c r="NTZ28" s="725"/>
      <c r="NUA28" s="725"/>
      <c r="NUB28" s="725"/>
      <c r="NUC28" s="725"/>
      <c r="NUD28" s="725"/>
      <c r="NUE28" s="725"/>
      <c r="NUF28" s="725"/>
      <c r="NUG28" s="725"/>
      <c r="NUH28" s="725"/>
      <c r="NUI28" s="725"/>
      <c r="NUJ28" s="725"/>
      <c r="NUK28" s="725"/>
      <c r="NUL28" s="725"/>
      <c r="NUM28" s="725"/>
      <c r="NUN28" s="725"/>
      <c r="NUO28" s="725"/>
      <c r="NUP28" s="725"/>
      <c r="NUQ28" s="725"/>
      <c r="NUR28" s="725"/>
      <c r="NUS28" s="725"/>
      <c r="NUT28" s="725"/>
      <c r="NUU28" s="725"/>
      <c r="NUV28" s="725"/>
      <c r="NUW28" s="725"/>
      <c r="NUX28" s="725"/>
      <c r="NUY28" s="725"/>
      <c r="NUZ28" s="725"/>
      <c r="NVA28" s="725"/>
      <c r="NVB28" s="725"/>
      <c r="NVC28" s="725"/>
      <c r="NVD28" s="725"/>
      <c r="NVE28" s="725"/>
      <c r="NVF28" s="725"/>
      <c r="NVG28" s="725"/>
      <c r="NVH28" s="725"/>
      <c r="NVI28" s="725"/>
      <c r="NVJ28" s="725"/>
      <c r="NVK28" s="725"/>
      <c r="NVL28" s="725"/>
      <c r="NVM28" s="725"/>
      <c r="NVN28" s="725"/>
      <c r="NVO28" s="725"/>
      <c r="NVP28" s="725"/>
      <c r="NVQ28" s="725"/>
      <c r="NVR28" s="725"/>
      <c r="NVS28" s="725"/>
      <c r="NVT28" s="725"/>
      <c r="NVU28" s="725"/>
      <c r="NVV28" s="725"/>
      <c r="NVW28" s="725"/>
      <c r="NVX28" s="725"/>
      <c r="NVY28" s="725"/>
      <c r="NVZ28" s="725"/>
      <c r="NWA28" s="725"/>
      <c r="NWB28" s="725"/>
      <c r="NWC28" s="725"/>
      <c r="NWD28" s="725"/>
      <c r="NWE28" s="725"/>
      <c r="NWF28" s="725"/>
      <c r="NWG28" s="725"/>
      <c r="NWH28" s="725"/>
      <c r="NWI28" s="725"/>
      <c r="NWJ28" s="725"/>
      <c r="NWK28" s="725"/>
      <c r="NWL28" s="725"/>
      <c r="NWM28" s="725"/>
      <c r="NWN28" s="725"/>
      <c r="NWO28" s="725"/>
      <c r="NWP28" s="725"/>
      <c r="NWQ28" s="725"/>
      <c r="NWR28" s="725"/>
      <c r="NWS28" s="725"/>
      <c r="NWT28" s="725"/>
      <c r="NWU28" s="725"/>
      <c r="NWV28" s="725"/>
      <c r="NWW28" s="725"/>
      <c r="NWX28" s="725"/>
      <c r="NWY28" s="725"/>
      <c r="NWZ28" s="725"/>
      <c r="NXA28" s="725"/>
      <c r="NXB28" s="725"/>
      <c r="NXC28" s="725"/>
      <c r="NXD28" s="725"/>
      <c r="NXE28" s="725"/>
      <c r="NXF28" s="725"/>
      <c r="NXG28" s="725"/>
      <c r="NXH28" s="725"/>
      <c r="NXI28" s="725"/>
      <c r="NXJ28" s="725"/>
      <c r="NXK28" s="725"/>
      <c r="NXL28" s="725"/>
      <c r="NXM28" s="725"/>
      <c r="NXN28" s="725"/>
      <c r="NXO28" s="725"/>
      <c r="NXP28" s="725"/>
      <c r="NXQ28" s="725"/>
      <c r="NXR28" s="725"/>
      <c r="NXS28" s="725"/>
      <c r="NXT28" s="725"/>
      <c r="NXU28" s="725"/>
      <c r="NXV28" s="725"/>
      <c r="NXW28" s="725"/>
      <c r="NXX28" s="725"/>
      <c r="NXY28" s="725"/>
      <c r="NXZ28" s="725"/>
      <c r="NYA28" s="725"/>
      <c r="NYB28" s="725"/>
      <c r="NYC28" s="725"/>
      <c r="NYD28" s="725"/>
      <c r="NYE28" s="725"/>
      <c r="NYF28" s="725"/>
      <c r="NYG28" s="725"/>
      <c r="NYH28" s="725"/>
      <c r="NYI28" s="725"/>
      <c r="NYJ28" s="725"/>
      <c r="NYK28" s="725"/>
      <c r="NYL28" s="725"/>
      <c r="NYM28" s="725"/>
      <c r="NYN28" s="725"/>
      <c r="NYO28" s="725"/>
      <c r="NYP28" s="725"/>
      <c r="NYQ28" s="725"/>
      <c r="NYR28" s="725"/>
      <c r="NYS28" s="725"/>
      <c r="NYT28" s="725"/>
      <c r="NYU28" s="725"/>
      <c r="NYV28" s="725"/>
      <c r="NYW28" s="725"/>
      <c r="NYX28" s="725"/>
      <c r="NYY28" s="725"/>
      <c r="NYZ28" s="725"/>
      <c r="NZA28" s="725"/>
      <c r="NZB28" s="725"/>
      <c r="NZC28" s="725"/>
      <c r="NZD28" s="725"/>
      <c r="NZE28" s="725"/>
      <c r="NZF28" s="725"/>
      <c r="NZG28" s="725"/>
      <c r="NZH28" s="725"/>
      <c r="NZI28" s="725"/>
      <c r="NZJ28" s="725"/>
      <c r="NZK28" s="725"/>
      <c r="NZL28" s="725"/>
      <c r="NZM28" s="725"/>
      <c r="NZN28" s="725"/>
      <c r="NZO28" s="725"/>
      <c r="NZP28" s="725"/>
      <c r="NZQ28" s="725"/>
      <c r="NZR28" s="725"/>
      <c r="NZS28" s="725"/>
      <c r="NZT28" s="725"/>
      <c r="NZU28" s="725"/>
      <c r="NZV28" s="725"/>
      <c r="NZW28" s="725"/>
      <c r="NZX28" s="725"/>
      <c r="NZY28" s="725"/>
      <c r="NZZ28" s="725"/>
      <c r="OAA28" s="725"/>
      <c r="OAB28" s="725"/>
      <c r="OAC28" s="725"/>
      <c r="OAD28" s="725"/>
      <c r="OAE28" s="725"/>
      <c r="OAF28" s="725"/>
      <c r="OAG28" s="725"/>
      <c r="OAH28" s="725"/>
      <c r="OAI28" s="725"/>
      <c r="OAJ28" s="725"/>
      <c r="OAK28" s="725"/>
      <c r="OAL28" s="725"/>
      <c r="OAM28" s="725"/>
      <c r="OAN28" s="725"/>
      <c r="OAO28" s="725"/>
      <c r="OAP28" s="725"/>
      <c r="OAQ28" s="725"/>
      <c r="OAR28" s="725"/>
      <c r="OAS28" s="725"/>
      <c r="OAT28" s="725"/>
      <c r="OAU28" s="725"/>
      <c r="OAV28" s="725"/>
      <c r="OAW28" s="725"/>
      <c r="OAX28" s="725"/>
      <c r="OAY28" s="725"/>
      <c r="OAZ28" s="725"/>
      <c r="OBA28" s="725"/>
      <c r="OBB28" s="725"/>
      <c r="OBC28" s="725"/>
      <c r="OBD28" s="725"/>
      <c r="OBE28" s="725"/>
      <c r="OBF28" s="725"/>
      <c r="OBG28" s="725"/>
      <c r="OBH28" s="725"/>
      <c r="OBI28" s="725"/>
      <c r="OBJ28" s="725"/>
      <c r="OBK28" s="725"/>
      <c r="OBL28" s="725"/>
      <c r="OBM28" s="725"/>
      <c r="OBN28" s="725"/>
      <c r="OBO28" s="725"/>
      <c r="OBP28" s="725"/>
      <c r="OBQ28" s="725"/>
      <c r="OBR28" s="725"/>
      <c r="OBS28" s="725"/>
      <c r="OBT28" s="725"/>
      <c r="OBU28" s="725"/>
      <c r="OBV28" s="725"/>
      <c r="OBW28" s="725"/>
      <c r="OBX28" s="725"/>
      <c r="OBY28" s="725"/>
      <c r="OBZ28" s="725"/>
      <c r="OCA28" s="725"/>
      <c r="OCB28" s="725"/>
      <c r="OCC28" s="725"/>
      <c r="OCD28" s="725"/>
      <c r="OCE28" s="725"/>
      <c r="OCF28" s="725"/>
      <c r="OCG28" s="725"/>
      <c r="OCH28" s="725"/>
      <c r="OCI28" s="725"/>
      <c r="OCJ28" s="725"/>
      <c r="OCK28" s="725"/>
      <c r="OCL28" s="725"/>
      <c r="OCM28" s="725"/>
      <c r="OCN28" s="725"/>
      <c r="OCO28" s="725"/>
      <c r="OCP28" s="725"/>
      <c r="OCQ28" s="725"/>
      <c r="OCR28" s="725"/>
      <c r="OCS28" s="725"/>
      <c r="OCT28" s="725"/>
      <c r="OCU28" s="725"/>
      <c r="OCV28" s="725"/>
      <c r="OCW28" s="725"/>
      <c r="OCX28" s="725"/>
      <c r="OCY28" s="725"/>
      <c r="OCZ28" s="725"/>
      <c r="ODA28" s="725"/>
      <c r="ODB28" s="725"/>
      <c r="ODC28" s="725"/>
      <c r="ODD28" s="725"/>
      <c r="ODE28" s="725"/>
      <c r="ODF28" s="725"/>
      <c r="ODG28" s="725"/>
      <c r="ODH28" s="725"/>
      <c r="ODI28" s="725"/>
      <c r="ODJ28" s="725"/>
      <c r="ODK28" s="725"/>
      <c r="ODL28" s="725"/>
      <c r="ODM28" s="725"/>
      <c r="ODN28" s="725"/>
      <c r="ODO28" s="725"/>
      <c r="ODP28" s="725"/>
      <c r="ODQ28" s="725"/>
      <c r="ODR28" s="725"/>
      <c r="ODS28" s="725"/>
      <c r="ODT28" s="725"/>
      <c r="ODU28" s="725"/>
      <c r="ODV28" s="725"/>
      <c r="ODW28" s="725"/>
      <c r="ODX28" s="725"/>
      <c r="ODY28" s="725"/>
      <c r="ODZ28" s="725"/>
      <c r="OEA28" s="725"/>
      <c r="OEB28" s="725"/>
      <c r="OEC28" s="725"/>
      <c r="OED28" s="725"/>
      <c r="OEE28" s="725"/>
      <c r="OEF28" s="725"/>
      <c r="OEG28" s="725"/>
      <c r="OEH28" s="725"/>
      <c r="OEI28" s="725"/>
      <c r="OEJ28" s="725"/>
      <c r="OEK28" s="725"/>
      <c r="OEL28" s="725"/>
      <c r="OEM28" s="725"/>
      <c r="OEN28" s="725"/>
      <c r="OEO28" s="725"/>
      <c r="OEP28" s="725"/>
      <c r="OEQ28" s="725"/>
      <c r="OER28" s="725"/>
      <c r="OES28" s="725"/>
      <c r="OET28" s="725"/>
      <c r="OEU28" s="725"/>
      <c r="OEV28" s="725"/>
      <c r="OEW28" s="725"/>
      <c r="OEX28" s="725"/>
      <c r="OEY28" s="725"/>
      <c r="OEZ28" s="725"/>
      <c r="OFA28" s="725"/>
      <c r="OFB28" s="725"/>
      <c r="OFC28" s="725"/>
      <c r="OFD28" s="725"/>
      <c r="OFE28" s="725"/>
      <c r="OFF28" s="725"/>
      <c r="OFG28" s="725"/>
      <c r="OFH28" s="725"/>
      <c r="OFI28" s="725"/>
      <c r="OFJ28" s="725"/>
      <c r="OFK28" s="725"/>
      <c r="OFL28" s="725"/>
      <c r="OFM28" s="725"/>
      <c r="OFN28" s="725"/>
      <c r="OFO28" s="725"/>
      <c r="OFP28" s="725"/>
      <c r="OFQ28" s="725"/>
      <c r="OFR28" s="725"/>
      <c r="OFS28" s="725"/>
      <c r="OFT28" s="725"/>
      <c r="OFU28" s="725"/>
      <c r="OFV28" s="725"/>
      <c r="OFW28" s="725"/>
      <c r="OFX28" s="725"/>
      <c r="OFY28" s="725"/>
      <c r="OFZ28" s="725"/>
      <c r="OGA28" s="725"/>
      <c r="OGB28" s="725"/>
      <c r="OGC28" s="725"/>
      <c r="OGD28" s="725"/>
      <c r="OGE28" s="725"/>
      <c r="OGF28" s="725"/>
      <c r="OGG28" s="725"/>
      <c r="OGH28" s="725"/>
      <c r="OGI28" s="725"/>
      <c r="OGJ28" s="725"/>
      <c r="OGK28" s="725"/>
      <c r="OGL28" s="725"/>
      <c r="OGM28" s="725"/>
      <c r="OGN28" s="725"/>
      <c r="OGO28" s="725"/>
      <c r="OGP28" s="725"/>
      <c r="OGQ28" s="725"/>
      <c r="OGR28" s="725"/>
      <c r="OGS28" s="725"/>
      <c r="OGT28" s="725"/>
      <c r="OGU28" s="725"/>
      <c r="OGV28" s="725"/>
      <c r="OGW28" s="725"/>
      <c r="OGX28" s="725"/>
      <c r="OGY28" s="725"/>
      <c r="OGZ28" s="725"/>
      <c r="OHA28" s="725"/>
      <c r="OHB28" s="725"/>
      <c r="OHC28" s="725"/>
      <c r="OHD28" s="725"/>
      <c r="OHE28" s="725"/>
      <c r="OHF28" s="725"/>
      <c r="OHG28" s="725"/>
      <c r="OHH28" s="725"/>
      <c r="OHI28" s="725"/>
      <c r="OHJ28" s="725"/>
      <c r="OHK28" s="725"/>
      <c r="OHL28" s="725"/>
      <c r="OHM28" s="725"/>
      <c r="OHN28" s="725"/>
      <c r="OHO28" s="725"/>
      <c r="OHP28" s="725"/>
      <c r="OHQ28" s="725"/>
      <c r="OHR28" s="725"/>
      <c r="OHS28" s="725"/>
      <c r="OHT28" s="725"/>
      <c r="OHU28" s="725"/>
      <c r="OHV28" s="725"/>
      <c r="OHW28" s="725"/>
      <c r="OHX28" s="725"/>
      <c r="OHY28" s="725"/>
      <c r="OHZ28" s="725"/>
      <c r="OIA28" s="725"/>
      <c r="OIB28" s="725"/>
      <c r="OIC28" s="725"/>
      <c r="OID28" s="725"/>
      <c r="OIE28" s="725"/>
      <c r="OIF28" s="725"/>
      <c r="OIG28" s="725"/>
      <c r="OIH28" s="725"/>
      <c r="OII28" s="725"/>
      <c r="OIJ28" s="725"/>
      <c r="OIK28" s="725"/>
      <c r="OIL28" s="725"/>
      <c r="OIM28" s="725"/>
      <c r="OIN28" s="725"/>
      <c r="OIO28" s="725"/>
      <c r="OIP28" s="725"/>
      <c r="OIQ28" s="725"/>
      <c r="OIR28" s="725"/>
      <c r="OIS28" s="725"/>
      <c r="OIT28" s="725"/>
      <c r="OIU28" s="725"/>
      <c r="OIV28" s="725"/>
      <c r="OIW28" s="725"/>
      <c r="OIX28" s="725"/>
      <c r="OIY28" s="725"/>
      <c r="OIZ28" s="725"/>
      <c r="OJA28" s="725"/>
      <c r="OJB28" s="725"/>
      <c r="OJC28" s="725"/>
      <c r="OJD28" s="725"/>
      <c r="OJE28" s="725"/>
      <c r="OJF28" s="725"/>
      <c r="OJG28" s="725"/>
      <c r="OJH28" s="725"/>
      <c r="OJI28" s="725"/>
      <c r="OJJ28" s="725"/>
      <c r="OJK28" s="725"/>
      <c r="OJL28" s="725"/>
      <c r="OJM28" s="725"/>
      <c r="OJN28" s="725"/>
      <c r="OJO28" s="725"/>
      <c r="OJP28" s="725"/>
      <c r="OJQ28" s="725"/>
      <c r="OJR28" s="725"/>
      <c r="OJS28" s="725"/>
      <c r="OJT28" s="725"/>
      <c r="OJU28" s="725"/>
      <c r="OJV28" s="725"/>
      <c r="OJW28" s="725"/>
      <c r="OJX28" s="725"/>
      <c r="OJY28" s="725"/>
      <c r="OJZ28" s="725"/>
      <c r="OKA28" s="725"/>
      <c r="OKB28" s="725"/>
      <c r="OKC28" s="725"/>
      <c r="OKD28" s="725"/>
      <c r="OKE28" s="725"/>
      <c r="OKF28" s="725"/>
      <c r="OKG28" s="725"/>
      <c r="OKH28" s="725"/>
      <c r="OKI28" s="725"/>
      <c r="OKJ28" s="725"/>
      <c r="OKK28" s="725"/>
      <c r="OKL28" s="725"/>
      <c r="OKM28" s="725"/>
      <c r="OKN28" s="725"/>
      <c r="OKO28" s="725"/>
      <c r="OKP28" s="725"/>
      <c r="OKQ28" s="725"/>
      <c r="OKR28" s="725"/>
      <c r="OKS28" s="725"/>
      <c r="OKT28" s="725"/>
      <c r="OKU28" s="725"/>
      <c r="OKV28" s="725"/>
      <c r="OKW28" s="725"/>
      <c r="OKX28" s="725"/>
      <c r="OKY28" s="725"/>
      <c r="OKZ28" s="725"/>
      <c r="OLA28" s="725"/>
      <c r="OLB28" s="725"/>
      <c r="OLC28" s="725"/>
      <c r="OLD28" s="725"/>
      <c r="OLE28" s="725"/>
      <c r="OLF28" s="725"/>
      <c r="OLG28" s="725"/>
      <c r="OLH28" s="725"/>
      <c r="OLI28" s="725"/>
      <c r="OLJ28" s="725"/>
      <c r="OLK28" s="725"/>
      <c r="OLL28" s="725"/>
      <c r="OLM28" s="725"/>
      <c r="OLN28" s="725"/>
      <c r="OLO28" s="725"/>
      <c r="OLP28" s="725"/>
      <c r="OLQ28" s="725"/>
      <c r="OLR28" s="725"/>
      <c r="OLS28" s="725"/>
      <c r="OLT28" s="725"/>
      <c r="OLU28" s="725"/>
      <c r="OLV28" s="725"/>
      <c r="OLW28" s="725"/>
      <c r="OLX28" s="725"/>
      <c r="OLY28" s="725"/>
      <c r="OLZ28" s="725"/>
      <c r="OMA28" s="725"/>
      <c r="OMB28" s="725"/>
      <c r="OMC28" s="725"/>
      <c r="OMD28" s="725"/>
      <c r="OME28" s="725"/>
      <c r="OMF28" s="725"/>
      <c r="OMG28" s="725"/>
      <c r="OMH28" s="725"/>
      <c r="OMI28" s="725"/>
      <c r="OMJ28" s="725"/>
      <c r="OMK28" s="725"/>
      <c r="OML28" s="725"/>
      <c r="OMM28" s="725"/>
      <c r="OMN28" s="725"/>
      <c r="OMO28" s="725"/>
      <c r="OMP28" s="725"/>
      <c r="OMQ28" s="725"/>
      <c r="OMR28" s="725"/>
      <c r="OMS28" s="725"/>
      <c r="OMT28" s="725"/>
      <c r="OMU28" s="725"/>
      <c r="OMV28" s="725"/>
      <c r="OMW28" s="725"/>
      <c r="OMX28" s="725"/>
      <c r="OMY28" s="725"/>
      <c r="OMZ28" s="725"/>
      <c r="ONA28" s="725"/>
      <c r="ONB28" s="725"/>
      <c r="ONC28" s="725"/>
      <c r="OND28" s="725"/>
      <c r="ONE28" s="725"/>
      <c r="ONF28" s="725"/>
      <c r="ONG28" s="725"/>
      <c r="ONH28" s="725"/>
      <c r="ONI28" s="725"/>
      <c r="ONJ28" s="725"/>
      <c r="ONK28" s="725"/>
      <c r="ONL28" s="725"/>
      <c r="ONM28" s="725"/>
      <c r="ONN28" s="725"/>
      <c r="ONO28" s="725"/>
      <c r="ONP28" s="725"/>
      <c r="ONQ28" s="725"/>
      <c r="ONR28" s="725"/>
      <c r="ONS28" s="725"/>
      <c r="ONT28" s="725"/>
      <c r="ONU28" s="725"/>
      <c r="ONV28" s="725"/>
      <c r="ONW28" s="725"/>
      <c r="ONX28" s="725"/>
      <c r="ONY28" s="725"/>
      <c r="ONZ28" s="725"/>
      <c r="OOA28" s="725"/>
      <c r="OOB28" s="725"/>
      <c r="OOC28" s="725"/>
      <c r="OOD28" s="725"/>
      <c r="OOE28" s="725"/>
      <c r="OOF28" s="725"/>
      <c r="OOG28" s="725"/>
      <c r="OOH28" s="725"/>
      <c r="OOI28" s="725"/>
      <c r="OOJ28" s="725"/>
      <c r="OOK28" s="725"/>
      <c r="OOL28" s="725"/>
      <c r="OOM28" s="725"/>
      <c r="OON28" s="725"/>
      <c r="OOO28" s="725"/>
      <c r="OOP28" s="725"/>
      <c r="OOQ28" s="725"/>
      <c r="OOR28" s="725"/>
      <c r="OOS28" s="725"/>
      <c r="OOT28" s="725"/>
      <c r="OOU28" s="725"/>
      <c r="OOV28" s="725"/>
      <c r="OOW28" s="725"/>
      <c r="OOX28" s="725"/>
      <c r="OOY28" s="725"/>
      <c r="OOZ28" s="725"/>
      <c r="OPA28" s="725"/>
      <c r="OPB28" s="725"/>
      <c r="OPC28" s="725"/>
      <c r="OPD28" s="725"/>
      <c r="OPE28" s="725"/>
      <c r="OPF28" s="725"/>
      <c r="OPG28" s="725"/>
      <c r="OPH28" s="725"/>
      <c r="OPI28" s="725"/>
      <c r="OPJ28" s="725"/>
      <c r="OPK28" s="725"/>
      <c r="OPL28" s="725"/>
      <c r="OPM28" s="725"/>
      <c r="OPN28" s="725"/>
      <c r="OPO28" s="725"/>
      <c r="OPP28" s="725"/>
      <c r="OPQ28" s="725"/>
      <c r="OPR28" s="725"/>
      <c r="OPS28" s="725"/>
      <c r="OPT28" s="725"/>
      <c r="OPU28" s="725"/>
      <c r="OPV28" s="725"/>
      <c r="OPW28" s="725"/>
      <c r="OPX28" s="725"/>
      <c r="OPY28" s="725"/>
      <c r="OPZ28" s="725"/>
      <c r="OQA28" s="725"/>
      <c r="OQB28" s="725"/>
      <c r="OQC28" s="725"/>
      <c r="OQD28" s="725"/>
      <c r="OQE28" s="725"/>
      <c r="OQF28" s="725"/>
      <c r="OQG28" s="725"/>
      <c r="OQH28" s="725"/>
      <c r="OQI28" s="725"/>
      <c r="OQJ28" s="725"/>
      <c r="OQK28" s="725"/>
      <c r="OQL28" s="725"/>
      <c r="OQM28" s="725"/>
      <c r="OQN28" s="725"/>
      <c r="OQO28" s="725"/>
      <c r="OQP28" s="725"/>
      <c r="OQQ28" s="725"/>
      <c r="OQR28" s="725"/>
      <c r="OQS28" s="725"/>
      <c r="OQT28" s="725"/>
      <c r="OQU28" s="725"/>
      <c r="OQV28" s="725"/>
      <c r="OQW28" s="725"/>
      <c r="OQX28" s="725"/>
      <c r="OQY28" s="725"/>
      <c r="OQZ28" s="725"/>
      <c r="ORA28" s="725"/>
      <c r="ORB28" s="725"/>
      <c r="ORC28" s="725"/>
      <c r="ORD28" s="725"/>
      <c r="ORE28" s="725"/>
      <c r="ORF28" s="725"/>
      <c r="ORG28" s="725"/>
      <c r="ORH28" s="725"/>
      <c r="ORI28" s="725"/>
      <c r="ORJ28" s="725"/>
      <c r="ORK28" s="725"/>
      <c r="ORL28" s="725"/>
      <c r="ORM28" s="725"/>
      <c r="ORN28" s="725"/>
      <c r="ORO28" s="725"/>
      <c r="ORP28" s="725"/>
      <c r="ORQ28" s="725"/>
      <c r="ORR28" s="725"/>
      <c r="ORS28" s="725"/>
      <c r="ORT28" s="725"/>
      <c r="ORU28" s="725"/>
      <c r="ORV28" s="725"/>
      <c r="ORW28" s="725"/>
      <c r="ORX28" s="725"/>
      <c r="ORY28" s="725"/>
      <c r="ORZ28" s="725"/>
      <c r="OSA28" s="725"/>
      <c r="OSB28" s="725"/>
      <c r="OSC28" s="725"/>
      <c r="OSD28" s="725"/>
      <c r="OSE28" s="725"/>
      <c r="OSF28" s="725"/>
      <c r="OSG28" s="725"/>
      <c r="OSH28" s="725"/>
      <c r="OSI28" s="725"/>
      <c r="OSJ28" s="725"/>
      <c r="OSK28" s="725"/>
      <c r="OSL28" s="725"/>
      <c r="OSM28" s="725"/>
      <c r="OSN28" s="725"/>
      <c r="OSO28" s="725"/>
      <c r="OSP28" s="725"/>
      <c r="OSQ28" s="725"/>
      <c r="OSR28" s="725"/>
      <c r="OSS28" s="725"/>
      <c r="OST28" s="725"/>
      <c r="OSU28" s="725"/>
      <c r="OSV28" s="725"/>
      <c r="OSW28" s="725"/>
      <c r="OSX28" s="725"/>
      <c r="OSY28" s="725"/>
      <c r="OSZ28" s="725"/>
      <c r="OTA28" s="725"/>
      <c r="OTB28" s="725"/>
      <c r="OTC28" s="725"/>
      <c r="OTD28" s="725"/>
      <c r="OTE28" s="725"/>
      <c r="OTF28" s="725"/>
      <c r="OTG28" s="725"/>
      <c r="OTH28" s="725"/>
      <c r="OTI28" s="725"/>
      <c r="OTJ28" s="725"/>
      <c r="OTK28" s="725"/>
      <c r="OTL28" s="725"/>
      <c r="OTM28" s="725"/>
      <c r="OTN28" s="725"/>
      <c r="OTO28" s="725"/>
      <c r="OTP28" s="725"/>
      <c r="OTQ28" s="725"/>
      <c r="OTR28" s="725"/>
      <c r="OTS28" s="725"/>
      <c r="OTT28" s="725"/>
      <c r="OTU28" s="725"/>
      <c r="OTV28" s="725"/>
      <c r="OTW28" s="725"/>
      <c r="OTX28" s="725"/>
      <c r="OTY28" s="725"/>
      <c r="OTZ28" s="725"/>
      <c r="OUA28" s="725"/>
      <c r="OUB28" s="725"/>
      <c r="OUC28" s="725"/>
      <c r="OUD28" s="725"/>
      <c r="OUE28" s="725"/>
      <c r="OUF28" s="725"/>
      <c r="OUG28" s="725"/>
      <c r="OUH28" s="725"/>
      <c r="OUI28" s="725"/>
      <c r="OUJ28" s="725"/>
      <c r="OUK28" s="725"/>
      <c r="OUL28" s="725"/>
      <c r="OUM28" s="725"/>
      <c r="OUN28" s="725"/>
      <c r="OUO28" s="725"/>
      <c r="OUP28" s="725"/>
      <c r="OUQ28" s="725"/>
      <c r="OUR28" s="725"/>
      <c r="OUS28" s="725"/>
      <c r="OUT28" s="725"/>
      <c r="OUU28" s="725"/>
      <c r="OUV28" s="725"/>
      <c r="OUW28" s="725"/>
      <c r="OUX28" s="725"/>
      <c r="OUY28" s="725"/>
      <c r="OUZ28" s="725"/>
      <c r="OVA28" s="725"/>
      <c r="OVB28" s="725"/>
      <c r="OVC28" s="725"/>
      <c r="OVD28" s="725"/>
      <c r="OVE28" s="725"/>
      <c r="OVF28" s="725"/>
      <c r="OVG28" s="725"/>
      <c r="OVH28" s="725"/>
      <c r="OVI28" s="725"/>
      <c r="OVJ28" s="725"/>
      <c r="OVK28" s="725"/>
      <c r="OVL28" s="725"/>
      <c r="OVM28" s="725"/>
      <c r="OVN28" s="725"/>
      <c r="OVO28" s="725"/>
      <c r="OVP28" s="725"/>
      <c r="OVQ28" s="725"/>
      <c r="OVR28" s="725"/>
      <c r="OVS28" s="725"/>
      <c r="OVT28" s="725"/>
      <c r="OVU28" s="725"/>
      <c r="OVV28" s="725"/>
      <c r="OVW28" s="725"/>
      <c r="OVX28" s="725"/>
      <c r="OVY28" s="725"/>
      <c r="OVZ28" s="725"/>
      <c r="OWA28" s="725"/>
      <c r="OWB28" s="725"/>
      <c r="OWC28" s="725"/>
      <c r="OWD28" s="725"/>
      <c r="OWE28" s="725"/>
      <c r="OWF28" s="725"/>
      <c r="OWG28" s="725"/>
      <c r="OWH28" s="725"/>
      <c r="OWI28" s="725"/>
      <c r="OWJ28" s="725"/>
      <c r="OWK28" s="725"/>
      <c r="OWL28" s="725"/>
      <c r="OWM28" s="725"/>
      <c r="OWN28" s="725"/>
      <c r="OWO28" s="725"/>
      <c r="OWP28" s="725"/>
      <c r="OWQ28" s="725"/>
      <c r="OWR28" s="725"/>
      <c r="OWS28" s="725"/>
      <c r="OWT28" s="725"/>
      <c r="OWU28" s="725"/>
      <c r="OWV28" s="725"/>
      <c r="OWW28" s="725"/>
      <c r="OWX28" s="725"/>
      <c r="OWY28" s="725"/>
      <c r="OWZ28" s="725"/>
      <c r="OXA28" s="725"/>
      <c r="OXB28" s="725"/>
      <c r="OXC28" s="725"/>
      <c r="OXD28" s="725"/>
      <c r="OXE28" s="725"/>
      <c r="OXF28" s="725"/>
      <c r="OXG28" s="725"/>
      <c r="OXH28" s="725"/>
      <c r="OXI28" s="725"/>
      <c r="OXJ28" s="725"/>
      <c r="OXK28" s="725"/>
      <c r="OXL28" s="725"/>
      <c r="OXM28" s="725"/>
      <c r="OXN28" s="725"/>
      <c r="OXO28" s="725"/>
      <c r="OXP28" s="725"/>
      <c r="OXQ28" s="725"/>
      <c r="OXR28" s="725"/>
      <c r="OXS28" s="725"/>
      <c r="OXT28" s="725"/>
      <c r="OXU28" s="725"/>
      <c r="OXV28" s="725"/>
      <c r="OXW28" s="725"/>
      <c r="OXX28" s="725"/>
      <c r="OXY28" s="725"/>
      <c r="OXZ28" s="725"/>
      <c r="OYA28" s="725"/>
      <c r="OYB28" s="725"/>
      <c r="OYC28" s="725"/>
      <c r="OYD28" s="725"/>
      <c r="OYE28" s="725"/>
      <c r="OYF28" s="725"/>
      <c r="OYG28" s="725"/>
      <c r="OYH28" s="725"/>
      <c r="OYI28" s="725"/>
      <c r="OYJ28" s="725"/>
      <c r="OYK28" s="725"/>
      <c r="OYL28" s="725"/>
      <c r="OYM28" s="725"/>
      <c r="OYN28" s="725"/>
      <c r="OYO28" s="725"/>
      <c r="OYP28" s="725"/>
      <c r="OYQ28" s="725"/>
      <c r="OYR28" s="725"/>
      <c r="OYS28" s="725"/>
      <c r="OYT28" s="725"/>
      <c r="OYU28" s="725"/>
      <c r="OYV28" s="725"/>
      <c r="OYW28" s="725"/>
      <c r="OYX28" s="725"/>
      <c r="OYY28" s="725"/>
      <c r="OYZ28" s="725"/>
      <c r="OZA28" s="725"/>
      <c r="OZB28" s="725"/>
      <c r="OZC28" s="725"/>
      <c r="OZD28" s="725"/>
      <c r="OZE28" s="725"/>
      <c r="OZF28" s="725"/>
      <c r="OZG28" s="725"/>
      <c r="OZH28" s="725"/>
      <c r="OZI28" s="725"/>
      <c r="OZJ28" s="725"/>
      <c r="OZK28" s="725"/>
      <c r="OZL28" s="725"/>
      <c r="OZM28" s="725"/>
      <c r="OZN28" s="725"/>
      <c r="OZO28" s="725"/>
      <c r="OZP28" s="725"/>
      <c r="OZQ28" s="725"/>
      <c r="OZR28" s="725"/>
      <c r="OZS28" s="725"/>
      <c r="OZT28" s="725"/>
      <c r="OZU28" s="725"/>
      <c r="OZV28" s="725"/>
      <c r="OZW28" s="725"/>
      <c r="OZX28" s="725"/>
      <c r="OZY28" s="725"/>
      <c r="OZZ28" s="725"/>
      <c r="PAA28" s="725"/>
      <c r="PAB28" s="725"/>
      <c r="PAC28" s="725"/>
      <c r="PAD28" s="725"/>
      <c r="PAE28" s="725"/>
      <c r="PAF28" s="725"/>
      <c r="PAG28" s="725"/>
      <c r="PAH28" s="725"/>
      <c r="PAI28" s="725"/>
      <c r="PAJ28" s="725"/>
      <c r="PAK28" s="725"/>
      <c r="PAL28" s="725"/>
      <c r="PAM28" s="725"/>
      <c r="PAN28" s="725"/>
      <c r="PAO28" s="725"/>
      <c r="PAP28" s="725"/>
      <c r="PAQ28" s="725"/>
      <c r="PAR28" s="725"/>
      <c r="PAS28" s="725"/>
      <c r="PAT28" s="725"/>
      <c r="PAU28" s="725"/>
      <c r="PAV28" s="725"/>
      <c r="PAW28" s="725"/>
      <c r="PAX28" s="725"/>
      <c r="PAY28" s="725"/>
      <c r="PAZ28" s="725"/>
      <c r="PBA28" s="725"/>
      <c r="PBB28" s="725"/>
      <c r="PBC28" s="725"/>
      <c r="PBD28" s="725"/>
      <c r="PBE28" s="725"/>
      <c r="PBF28" s="725"/>
      <c r="PBG28" s="725"/>
      <c r="PBH28" s="725"/>
      <c r="PBI28" s="725"/>
      <c r="PBJ28" s="725"/>
      <c r="PBK28" s="725"/>
      <c r="PBL28" s="725"/>
      <c r="PBM28" s="725"/>
      <c r="PBN28" s="725"/>
      <c r="PBO28" s="725"/>
      <c r="PBP28" s="725"/>
      <c r="PBQ28" s="725"/>
      <c r="PBR28" s="725"/>
      <c r="PBS28" s="725"/>
      <c r="PBT28" s="725"/>
      <c r="PBU28" s="725"/>
      <c r="PBV28" s="725"/>
      <c r="PBW28" s="725"/>
      <c r="PBX28" s="725"/>
      <c r="PBY28" s="725"/>
      <c r="PBZ28" s="725"/>
      <c r="PCA28" s="725"/>
      <c r="PCB28" s="725"/>
      <c r="PCC28" s="725"/>
      <c r="PCD28" s="725"/>
      <c r="PCE28" s="725"/>
      <c r="PCF28" s="725"/>
      <c r="PCG28" s="725"/>
      <c r="PCH28" s="725"/>
      <c r="PCI28" s="725"/>
      <c r="PCJ28" s="725"/>
      <c r="PCK28" s="725"/>
      <c r="PCL28" s="725"/>
      <c r="PCM28" s="725"/>
      <c r="PCN28" s="725"/>
      <c r="PCO28" s="725"/>
      <c r="PCP28" s="725"/>
      <c r="PCQ28" s="725"/>
      <c r="PCR28" s="725"/>
      <c r="PCS28" s="725"/>
      <c r="PCT28" s="725"/>
      <c r="PCU28" s="725"/>
      <c r="PCV28" s="725"/>
      <c r="PCW28" s="725"/>
      <c r="PCX28" s="725"/>
      <c r="PCY28" s="725"/>
      <c r="PCZ28" s="725"/>
      <c r="PDA28" s="725"/>
      <c r="PDB28" s="725"/>
      <c r="PDC28" s="725"/>
      <c r="PDD28" s="725"/>
      <c r="PDE28" s="725"/>
      <c r="PDF28" s="725"/>
      <c r="PDG28" s="725"/>
      <c r="PDH28" s="725"/>
      <c r="PDI28" s="725"/>
      <c r="PDJ28" s="725"/>
      <c r="PDK28" s="725"/>
      <c r="PDL28" s="725"/>
      <c r="PDM28" s="725"/>
      <c r="PDN28" s="725"/>
      <c r="PDO28" s="725"/>
      <c r="PDP28" s="725"/>
      <c r="PDQ28" s="725"/>
      <c r="PDR28" s="725"/>
      <c r="PDS28" s="725"/>
      <c r="PDT28" s="725"/>
      <c r="PDU28" s="725"/>
      <c r="PDV28" s="725"/>
      <c r="PDW28" s="725"/>
      <c r="PDX28" s="725"/>
      <c r="PDY28" s="725"/>
      <c r="PDZ28" s="725"/>
      <c r="PEA28" s="725"/>
      <c r="PEB28" s="725"/>
      <c r="PEC28" s="725"/>
      <c r="PED28" s="725"/>
      <c r="PEE28" s="725"/>
      <c r="PEF28" s="725"/>
      <c r="PEG28" s="725"/>
      <c r="PEH28" s="725"/>
      <c r="PEI28" s="725"/>
      <c r="PEJ28" s="725"/>
      <c r="PEK28" s="725"/>
      <c r="PEL28" s="725"/>
      <c r="PEM28" s="725"/>
      <c r="PEN28" s="725"/>
      <c r="PEO28" s="725"/>
      <c r="PEP28" s="725"/>
      <c r="PEQ28" s="725"/>
      <c r="PER28" s="725"/>
      <c r="PES28" s="725"/>
      <c r="PET28" s="725"/>
      <c r="PEU28" s="725"/>
      <c r="PEV28" s="725"/>
      <c r="PEW28" s="725"/>
      <c r="PEX28" s="725"/>
      <c r="PEY28" s="725"/>
      <c r="PEZ28" s="725"/>
      <c r="PFA28" s="725"/>
      <c r="PFB28" s="725"/>
      <c r="PFC28" s="725"/>
      <c r="PFD28" s="725"/>
      <c r="PFE28" s="725"/>
      <c r="PFF28" s="725"/>
      <c r="PFG28" s="725"/>
      <c r="PFH28" s="725"/>
      <c r="PFI28" s="725"/>
      <c r="PFJ28" s="725"/>
      <c r="PFK28" s="725"/>
      <c r="PFL28" s="725"/>
      <c r="PFM28" s="725"/>
      <c r="PFN28" s="725"/>
      <c r="PFO28" s="725"/>
      <c r="PFP28" s="725"/>
      <c r="PFQ28" s="725"/>
      <c r="PFR28" s="725"/>
      <c r="PFS28" s="725"/>
      <c r="PFT28" s="725"/>
      <c r="PFU28" s="725"/>
      <c r="PFV28" s="725"/>
      <c r="PFW28" s="725"/>
      <c r="PFX28" s="725"/>
      <c r="PFY28" s="725"/>
      <c r="PFZ28" s="725"/>
      <c r="PGA28" s="725"/>
      <c r="PGB28" s="725"/>
      <c r="PGC28" s="725"/>
      <c r="PGD28" s="725"/>
      <c r="PGE28" s="725"/>
      <c r="PGF28" s="725"/>
      <c r="PGG28" s="725"/>
      <c r="PGH28" s="725"/>
      <c r="PGI28" s="725"/>
      <c r="PGJ28" s="725"/>
      <c r="PGK28" s="725"/>
      <c r="PGL28" s="725"/>
      <c r="PGM28" s="725"/>
      <c r="PGN28" s="725"/>
      <c r="PGO28" s="725"/>
      <c r="PGP28" s="725"/>
      <c r="PGQ28" s="725"/>
      <c r="PGR28" s="725"/>
      <c r="PGS28" s="725"/>
      <c r="PGT28" s="725"/>
      <c r="PGU28" s="725"/>
      <c r="PGV28" s="725"/>
      <c r="PGW28" s="725"/>
      <c r="PGX28" s="725"/>
      <c r="PGY28" s="725"/>
      <c r="PGZ28" s="725"/>
      <c r="PHA28" s="725"/>
      <c r="PHB28" s="725"/>
      <c r="PHC28" s="725"/>
      <c r="PHD28" s="725"/>
      <c r="PHE28" s="725"/>
      <c r="PHF28" s="725"/>
      <c r="PHG28" s="725"/>
      <c r="PHH28" s="725"/>
      <c r="PHI28" s="725"/>
      <c r="PHJ28" s="725"/>
      <c r="PHK28" s="725"/>
      <c r="PHL28" s="725"/>
      <c r="PHM28" s="725"/>
      <c r="PHN28" s="725"/>
      <c r="PHO28" s="725"/>
      <c r="PHP28" s="725"/>
      <c r="PHQ28" s="725"/>
      <c r="PHR28" s="725"/>
      <c r="PHS28" s="725"/>
      <c r="PHT28" s="725"/>
      <c r="PHU28" s="725"/>
      <c r="PHV28" s="725"/>
      <c r="PHW28" s="725"/>
      <c r="PHX28" s="725"/>
      <c r="PHY28" s="725"/>
      <c r="PHZ28" s="725"/>
      <c r="PIA28" s="725"/>
      <c r="PIB28" s="725"/>
      <c r="PIC28" s="725"/>
      <c r="PID28" s="725"/>
      <c r="PIE28" s="725"/>
      <c r="PIF28" s="725"/>
      <c r="PIG28" s="725"/>
      <c r="PIH28" s="725"/>
      <c r="PII28" s="725"/>
      <c r="PIJ28" s="725"/>
      <c r="PIK28" s="725"/>
      <c r="PIL28" s="725"/>
      <c r="PIM28" s="725"/>
      <c r="PIN28" s="725"/>
      <c r="PIO28" s="725"/>
      <c r="PIP28" s="725"/>
      <c r="PIQ28" s="725"/>
      <c r="PIR28" s="725"/>
      <c r="PIS28" s="725"/>
      <c r="PIT28" s="725"/>
      <c r="PIU28" s="725"/>
      <c r="PIV28" s="725"/>
      <c r="PIW28" s="725"/>
      <c r="PIX28" s="725"/>
      <c r="PIY28" s="725"/>
      <c r="PIZ28" s="725"/>
      <c r="PJA28" s="725"/>
      <c r="PJB28" s="725"/>
      <c r="PJC28" s="725"/>
      <c r="PJD28" s="725"/>
      <c r="PJE28" s="725"/>
      <c r="PJF28" s="725"/>
      <c r="PJG28" s="725"/>
      <c r="PJH28" s="725"/>
      <c r="PJI28" s="725"/>
      <c r="PJJ28" s="725"/>
      <c r="PJK28" s="725"/>
      <c r="PJL28" s="725"/>
      <c r="PJM28" s="725"/>
      <c r="PJN28" s="725"/>
      <c r="PJO28" s="725"/>
      <c r="PJP28" s="725"/>
      <c r="PJQ28" s="725"/>
      <c r="PJR28" s="725"/>
      <c r="PJS28" s="725"/>
      <c r="PJT28" s="725"/>
      <c r="PJU28" s="725"/>
      <c r="PJV28" s="725"/>
      <c r="PJW28" s="725"/>
      <c r="PJX28" s="725"/>
      <c r="PJY28" s="725"/>
      <c r="PJZ28" s="725"/>
      <c r="PKA28" s="725"/>
      <c r="PKB28" s="725"/>
      <c r="PKC28" s="725"/>
      <c r="PKD28" s="725"/>
      <c r="PKE28" s="725"/>
      <c r="PKF28" s="725"/>
      <c r="PKG28" s="725"/>
      <c r="PKH28" s="725"/>
      <c r="PKI28" s="725"/>
      <c r="PKJ28" s="725"/>
      <c r="PKK28" s="725"/>
      <c r="PKL28" s="725"/>
      <c r="PKM28" s="725"/>
      <c r="PKN28" s="725"/>
      <c r="PKO28" s="725"/>
      <c r="PKP28" s="725"/>
      <c r="PKQ28" s="725"/>
      <c r="PKR28" s="725"/>
      <c r="PKS28" s="725"/>
      <c r="PKT28" s="725"/>
      <c r="PKU28" s="725"/>
      <c r="PKV28" s="725"/>
      <c r="PKW28" s="725"/>
      <c r="PKX28" s="725"/>
      <c r="PKY28" s="725"/>
      <c r="PKZ28" s="725"/>
      <c r="PLA28" s="725"/>
      <c r="PLB28" s="725"/>
      <c r="PLC28" s="725"/>
      <c r="PLD28" s="725"/>
      <c r="PLE28" s="725"/>
      <c r="PLF28" s="725"/>
      <c r="PLG28" s="725"/>
      <c r="PLH28" s="725"/>
      <c r="PLI28" s="725"/>
      <c r="PLJ28" s="725"/>
      <c r="PLK28" s="725"/>
      <c r="PLL28" s="725"/>
      <c r="PLM28" s="725"/>
      <c r="PLN28" s="725"/>
      <c r="PLO28" s="725"/>
      <c r="PLP28" s="725"/>
      <c r="PLQ28" s="725"/>
      <c r="PLR28" s="725"/>
      <c r="PLS28" s="725"/>
      <c r="PLT28" s="725"/>
      <c r="PLU28" s="725"/>
      <c r="PLV28" s="725"/>
      <c r="PLW28" s="725"/>
      <c r="PLX28" s="725"/>
      <c r="PLY28" s="725"/>
      <c r="PLZ28" s="725"/>
      <c r="PMA28" s="725"/>
      <c r="PMB28" s="725"/>
      <c r="PMC28" s="725"/>
      <c r="PMD28" s="725"/>
      <c r="PME28" s="725"/>
      <c r="PMF28" s="725"/>
      <c r="PMG28" s="725"/>
      <c r="PMH28" s="725"/>
      <c r="PMI28" s="725"/>
      <c r="PMJ28" s="725"/>
      <c r="PMK28" s="725"/>
      <c r="PML28" s="725"/>
      <c r="PMM28" s="725"/>
      <c r="PMN28" s="725"/>
      <c r="PMO28" s="725"/>
      <c r="PMP28" s="725"/>
      <c r="PMQ28" s="725"/>
      <c r="PMR28" s="725"/>
      <c r="PMS28" s="725"/>
      <c r="PMT28" s="725"/>
      <c r="PMU28" s="725"/>
      <c r="PMV28" s="725"/>
      <c r="PMW28" s="725"/>
      <c r="PMX28" s="725"/>
      <c r="PMY28" s="725"/>
      <c r="PMZ28" s="725"/>
      <c r="PNA28" s="725"/>
      <c r="PNB28" s="725"/>
      <c r="PNC28" s="725"/>
      <c r="PND28" s="725"/>
      <c r="PNE28" s="725"/>
      <c r="PNF28" s="725"/>
      <c r="PNG28" s="725"/>
      <c r="PNH28" s="725"/>
      <c r="PNI28" s="725"/>
      <c r="PNJ28" s="725"/>
      <c r="PNK28" s="725"/>
      <c r="PNL28" s="725"/>
      <c r="PNM28" s="725"/>
      <c r="PNN28" s="725"/>
      <c r="PNO28" s="725"/>
      <c r="PNP28" s="725"/>
      <c r="PNQ28" s="725"/>
      <c r="PNR28" s="725"/>
      <c r="PNS28" s="725"/>
      <c r="PNT28" s="725"/>
      <c r="PNU28" s="725"/>
      <c r="PNV28" s="725"/>
      <c r="PNW28" s="725"/>
      <c r="PNX28" s="725"/>
      <c r="PNY28" s="725"/>
      <c r="PNZ28" s="725"/>
      <c r="POA28" s="725"/>
      <c r="POB28" s="725"/>
      <c r="POC28" s="725"/>
      <c r="POD28" s="725"/>
      <c r="POE28" s="725"/>
      <c r="POF28" s="725"/>
      <c r="POG28" s="725"/>
      <c r="POH28" s="725"/>
      <c r="POI28" s="725"/>
      <c r="POJ28" s="725"/>
      <c r="POK28" s="725"/>
      <c r="POL28" s="725"/>
      <c r="POM28" s="725"/>
      <c r="PON28" s="725"/>
      <c r="POO28" s="725"/>
      <c r="POP28" s="725"/>
      <c r="POQ28" s="725"/>
      <c r="POR28" s="725"/>
      <c r="POS28" s="725"/>
      <c r="POT28" s="725"/>
      <c r="POU28" s="725"/>
      <c r="POV28" s="725"/>
      <c r="POW28" s="725"/>
      <c r="POX28" s="725"/>
      <c r="POY28" s="725"/>
      <c r="POZ28" s="725"/>
      <c r="PPA28" s="725"/>
      <c r="PPB28" s="725"/>
      <c r="PPC28" s="725"/>
      <c r="PPD28" s="725"/>
      <c r="PPE28" s="725"/>
      <c r="PPF28" s="725"/>
      <c r="PPG28" s="725"/>
      <c r="PPH28" s="725"/>
      <c r="PPI28" s="725"/>
      <c r="PPJ28" s="725"/>
      <c r="PPK28" s="725"/>
      <c r="PPL28" s="725"/>
      <c r="PPM28" s="725"/>
      <c r="PPN28" s="725"/>
      <c r="PPO28" s="725"/>
      <c r="PPP28" s="725"/>
      <c r="PPQ28" s="725"/>
      <c r="PPR28" s="725"/>
      <c r="PPS28" s="725"/>
      <c r="PPT28" s="725"/>
      <c r="PPU28" s="725"/>
      <c r="PPV28" s="725"/>
      <c r="PPW28" s="725"/>
      <c r="PPX28" s="725"/>
      <c r="PPY28" s="725"/>
      <c r="PPZ28" s="725"/>
      <c r="PQA28" s="725"/>
      <c r="PQB28" s="725"/>
      <c r="PQC28" s="725"/>
      <c r="PQD28" s="725"/>
      <c r="PQE28" s="725"/>
      <c r="PQF28" s="725"/>
      <c r="PQG28" s="725"/>
      <c r="PQH28" s="725"/>
      <c r="PQI28" s="725"/>
      <c r="PQJ28" s="725"/>
      <c r="PQK28" s="725"/>
      <c r="PQL28" s="725"/>
      <c r="PQM28" s="725"/>
      <c r="PQN28" s="725"/>
      <c r="PQO28" s="725"/>
      <c r="PQP28" s="725"/>
      <c r="PQQ28" s="725"/>
      <c r="PQR28" s="725"/>
      <c r="PQS28" s="725"/>
      <c r="PQT28" s="725"/>
      <c r="PQU28" s="725"/>
      <c r="PQV28" s="725"/>
      <c r="PQW28" s="725"/>
      <c r="PQX28" s="725"/>
      <c r="PQY28" s="725"/>
      <c r="PQZ28" s="725"/>
      <c r="PRA28" s="725"/>
      <c r="PRB28" s="725"/>
      <c r="PRC28" s="725"/>
      <c r="PRD28" s="725"/>
      <c r="PRE28" s="725"/>
      <c r="PRF28" s="725"/>
      <c r="PRG28" s="725"/>
      <c r="PRH28" s="725"/>
      <c r="PRI28" s="725"/>
      <c r="PRJ28" s="725"/>
      <c r="PRK28" s="725"/>
      <c r="PRL28" s="725"/>
      <c r="PRM28" s="725"/>
      <c r="PRN28" s="725"/>
      <c r="PRO28" s="725"/>
      <c r="PRP28" s="725"/>
      <c r="PRQ28" s="725"/>
      <c r="PRR28" s="725"/>
      <c r="PRS28" s="725"/>
      <c r="PRT28" s="725"/>
      <c r="PRU28" s="725"/>
      <c r="PRV28" s="725"/>
      <c r="PRW28" s="725"/>
      <c r="PRX28" s="725"/>
      <c r="PRY28" s="725"/>
      <c r="PRZ28" s="725"/>
      <c r="PSA28" s="725"/>
      <c r="PSB28" s="725"/>
      <c r="PSC28" s="725"/>
      <c r="PSD28" s="725"/>
      <c r="PSE28" s="725"/>
      <c r="PSF28" s="725"/>
      <c r="PSG28" s="725"/>
      <c r="PSH28" s="725"/>
      <c r="PSI28" s="725"/>
      <c r="PSJ28" s="725"/>
      <c r="PSK28" s="725"/>
      <c r="PSL28" s="725"/>
      <c r="PSM28" s="725"/>
      <c r="PSN28" s="725"/>
      <c r="PSO28" s="725"/>
      <c r="PSP28" s="725"/>
      <c r="PSQ28" s="725"/>
      <c r="PSR28" s="725"/>
      <c r="PSS28" s="725"/>
      <c r="PST28" s="725"/>
      <c r="PSU28" s="725"/>
      <c r="PSV28" s="725"/>
      <c r="PSW28" s="725"/>
      <c r="PSX28" s="725"/>
      <c r="PSY28" s="725"/>
      <c r="PSZ28" s="725"/>
      <c r="PTA28" s="725"/>
      <c r="PTB28" s="725"/>
      <c r="PTC28" s="725"/>
      <c r="PTD28" s="725"/>
      <c r="PTE28" s="725"/>
      <c r="PTF28" s="725"/>
      <c r="PTG28" s="725"/>
      <c r="PTH28" s="725"/>
      <c r="PTI28" s="725"/>
      <c r="PTJ28" s="725"/>
      <c r="PTK28" s="725"/>
      <c r="PTL28" s="725"/>
      <c r="PTM28" s="725"/>
      <c r="PTN28" s="725"/>
      <c r="PTO28" s="725"/>
      <c r="PTP28" s="725"/>
      <c r="PTQ28" s="725"/>
      <c r="PTR28" s="725"/>
      <c r="PTS28" s="725"/>
      <c r="PTT28" s="725"/>
      <c r="PTU28" s="725"/>
      <c r="PTV28" s="725"/>
      <c r="PTW28" s="725"/>
      <c r="PTX28" s="725"/>
      <c r="PTY28" s="725"/>
      <c r="PTZ28" s="725"/>
      <c r="PUA28" s="725"/>
      <c r="PUB28" s="725"/>
      <c r="PUC28" s="725"/>
      <c r="PUD28" s="725"/>
      <c r="PUE28" s="725"/>
      <c r="PUF28" s="725"/>
      <c r="PUG28" s="725"/>
      <c r="PUH28" s="725"/>
      <c r="PUI28" s="725"/>
      <c r="PUJ28" s="725"/>
      <c r="PUK28" s="725"/>
      <c r="PUL28" s="725"/>
      <c r="PUM28" s="725"/>
      <c r="PUN28" s="725"/>
      <c r="PUO28" s="725"/>
      <c r="PUP28" s="725"/>
      <c r="PUQ28" s="725"/>
      <c r="PUR28" s="725"/>
      <c r="PUS28" s="725"/>
      <c r="PUT28" s="725"/>
      <c r="PUU28" s="725"/>
      <c r="PUV28" s="725"/>
      <c r="PUW28" s="725"/>
      <c r="PUX28" s="725"/>
      <c r="PUY28" s="725"/>
      <c r="PUZ28" s="725"/>
      <c r="PVA28" s="725"/>
      <c r="PVB28" s="725"/>
      <c r="PVC28" s="725"/>
      <c r="PVD28" s="725"/>
      <c r="PVE28" s="725"/>
      <c r="PVF28" s="725"/>
      <c r="PVG28" s="725"/>
      <c r="PVH28" s="725"/>
      <c r="PVI28" s="725"/>
      <c r="PVJ28" s="725"/>
      <c r="PVK28" s="725"/>
      <c r="PVL28" s="725"/>
      <c r="PVM28" s="725"/>
      <c r="PVN28" s="725"/>
      <c r="PVO28" s="725"/>
      <c r="PVP28" s="725"/>
      <c r="PVQ28" s="725"/>
      <c r="PVR28" s="725"/>
      <c r="PVS28" s="725"/>
      <c r="PVT28" s="725"/>
      <c r="PVU28" s="725"/>
      <c r="PVV28" s="725"/>
      <c r="PVW28" s="725"/>
      <c r="PVX28" s="725"/>
      <c r="PVY28" s="725"/>
      <c r="PVZ28" s="725"/>
      <c r="PWA28" s="725"/>
      <c r="PWB28" s="725"/>
      <c r="PWC28" s="725"/>
      <c r="PWD28" s="725"/>
      <c r="PWE28" s="725"/>
      <c r="PWF28" s="725"/>
      <c r="PWG28" s="725"/>
      <c r="PWH28" s="725"/>
      <c r="PWI28" s="725"/>
      <c r="PWJ28" s="725"/>
      <c r="PWK28" s="725"/>
      <c r="PWL28" s="725"/>
      <c r="PWM28" s="725"/>
      <c r="PWN28" s="725"/>
      <c r="PWO28" s="725"/>
      <c r="PWP28" s="725"/>
      <c r="PWQ28" s="725"/>
      <c r="PWR28" s="725"/>
      <c r="PWS28" s="725"/>
      <c r="PWT28" s="725"/>
      <c r="PWU28" s="725"/>
      <c r="PWV28" s="725"/>
      <c r="PWW28" s="725"/>
      <c r="PWX28" s="725"/>
      <c r="PWY28" s="725"/>
      <c r="PWZ28" s="725"/>
      <c r="PXA28" s="725"/>
      <c r="PXB28" s="725"/>
      <c r="PXC28" s="725"/>
      <c r="PXD28" s="725"/>
      <c r="PXE28" s="725"/>
      <c r="PXF28" s="725"/>
      <c r="PXG28" s="725"/>
      <c r="PXH28" s="725"/>
      <c r="PXI28" s="725"/>
      <c r="PXJ28" s="725"/>
      <c r="PXK28" s="725"/>
      <c r="PXL28" s="725"/>
      <c r="PXM28" s="725"/>
      <c r="PXN28" s="725"/>
      <c r="PXO28" s="725"/>
      <c r="PXP28" s="725"/>
      <c r="PXQ28" s="725"/>
      <c r="PXR28" s="725"/>
      <c r="PXS28" s="725"/>
      <c r="PXT28" s="725"/>
      <c r="PXU28" s="725"/>
      <c r="PXV28" s="725"/>
      <c r="PXW28" s="725"/>
      <c r="PXX28" s="725"/>
      <c r="PXY28" s="725"/>
      <c r="PXZ28" s="725"/>
      <c r="PYA28" s="725"/>
      <c r="PYB28" s="725"/>
      <c r="PYC28" s="725"/>
      <c r="PYD28" s="725"/>
      <c r="PYE28" s="725"/>
      <c r="PYF28" s="725"/>
      <c r="PYG28" s="725"/>
      <c r="PYH28" s="725"/>
      <c r="PYI28" s="725"/>
      <c r="PYJ28" s="725"/>
      <c r="PYK28" s="725"/>
      <c r="PYL28" s="725"/>
      <c r="PYM28" s="725"/>
      <c r="PYN28" s="725"/>
      <c r="PYO28" s="725"/>
      <c r="PYP28" s="725"/>
      <c r="PYQ28" s="725"/>
      <c r="PYR28" s="725"/>
      <c r="PYS28" s="725"/>
      <c r="PYT28" s="725"/>
      <c r="PYU28" s="725"/>
      <c r="PYV28" s="725"/>
      <c r="PYW28" s="725"/>
      <c r="PYX28" s="725"/>
      <c r="PYY28" s="725"/>
      <c r="PYZ28" s="725"/>
      <c r="PZA28" s="725"/>
      <c r="PZB28" s="725"/>
      <c r="PZC28" s="725"/>
      <c r="PZD28" s="725"/>
      <c r="PZE28" s="725"/>
      <c r="PZF28" s="725"/>
      <c r="PZG28" s="725"/>
      <c r="PZH28" s="725"/>
      <c r="PZI28" s="725"/>
      <c r="PZJ28" s="725"/>
      <c r="PZK28" s="725"/>
      <c r="PZL28" s="725"/>
      <c r="PZM28" s="725"/>
      <c r="PZN28" s="725"/>
      <c r="PZO28" s="725"/>
      <c r="PZP28" s="725"/>
      <c r="PZQ28" s="725"/>
      <c r="PZR28" s="725"/>
      <c r="PZS28" s="725"/>
      <c r="PZT28" s="725"/>
      <c r="PZU28" s="725"/>
      <c r="PZV28" s="725"/>
      <c r="PZW28" s="725"/>
      <c r="PZX28" s="725"/>
      <c r="PZY28" s="725"/>
      <c r="PZZ28" s="725"/>
      <c r="QAA28" s="725"/>
      <c r="QAB28" s="725"/>
      <c r="QAC28" s="725"/>
      <c r="QAD28" s="725"/>
      <c r="QAE28" s="725"/>
      <c r="QAF28" s="725"/>
      <c r="QAG28" s="725"/>
      <c r="QAH28" s="725"/>
      <c r="QAI28" s="725"/>
      <c r="QAJ28" s="725"/>
      <c r="QAK28" s="725"/>
      <c r="QAL28" s="725"/>
      <c r="QAM28" s="725"/>
      <c r="QAN28" s="725"/>
      <c r="QAO28" s="725"/>
      <c r="QAP28" s="725"/>
      <c r="QAQ28" s="725"/>
      <c r="QAR28" s="725"/>
      <c r="QAS28" s="725"/>
      <c r="QAT28" s="725"/>
      <c r="QAU28" s="725"/>
      <c r="QAV28" s="725"/>
      <c r="QAW28" s="725"/>
      <c r="QAX28" s="725"/>
      <c r="QAY28" s="725"/>
      <c r="QAZ28" s="725"/>
      <c r="QBA28" s="725"/>
      <c r="QBB28" s="725"/>
      <c r="QBC28" s="725"/>
      <c r="QBD28" s="725"/>
      <c r="QBE28" s="725"/>
      <c r="QBF28" s="725"/>
      <c r="QBG28" s="725"/>
      <c r="QBH28" s="725"/>
      <c r="QBI28" s="725"/>
      <c r="QBJ28" s="725"/>
      <c r="QBK28" s="725"/>
      <c r="QBL28" s="725"/>
      <c r="QBM28" s="725"/>
      <c r="QBN28" s="725"/>
      <c r="QBO28" s="725"/>
      <c r="QBP28" s="725"/>
      <c r="QBQ28" s="725"/>
      <c r="QBR28" s="725"/>
      <c r="QBS28" s="725"/>
      <c r="QBT28" s="725"/>
      <c r="QBU28" s="725"/>
      <c r="QBV28" s="725"/>
      <c r="QBW28" s="725"/>
      <c r="QBX28" s="725"/>
      <c r="QBY28" s="725"/>
      <c r="QBZ28" s="725"/>
      <c r="QCA28" s="725"/>
      <c r="QCB28" s="725"/>
      <c r="QCC28" s="725"/>
      <c r="QCD28" s="725"/>
      <c r="QCE28" s="725"/>
      <c r="QCF28" s="725"/>
      <c r="QCG28" s="725"/>
      <c r="QCH28" s="725"/>
      <c r="QCI28" s="725"/>
      <c r="QCJ28" s="725"/>
      <c r="QCK28" s="725"/>
      <c r="QCL28" s="725"/>
      <c r="QCM28" s="725"/>
      <c r="QCN28" s="725"/>
      <c r="QCO28" s="725"/>
      <c r="QCP28" s="725"/>
      <c r="QCQ28" s="725"/>
      <c r="QCR28" s="725"/>
      <c r="QCS28" s="725"/>
      <c r="QCT28" s="725"/>
      <c r="QCU28" s="725"/>
      <c r="QCV28" s="725"/>
      <c r="QCW28" s="725"/>
      <c r="QCX28" s="725"/>
      <c r="QCY28" s="725"/>
      <c r="QCZ28" s="725"/>
      <c r="QDA28" s="725"/>
      <c r="QDB28" s="725"/>
      <c r="QDC28" s="725"/>
      <c r="QDD28" s="725"/>
      <c r="QDE28" s="725"/>
      <c r="QDF28" s="725"/>
      <c r="QDG28" s="725"/>
      <c r="QDH28" s="725"/>
      <c r="QDI28" s="725"/>
      <c r="QDJ28" s="725"/>
      <c r="QDK28" s="725"/>
      <c r="QDL28" s="725"/>
      <c r="QDM28" s="725"/>
      <c r="QDN28" s="725"/>
      <c r="QDO28" s="725"/>
      <c r="QDP28" s="725"/>
      <c r="QDQ28" s="725"/>
      <c r="QDR28" s="725"/>
      <c r="QDS28" s="725"/>
      <c r="QDT28" s="725"/>
      <c r="QDU28" s="725"/>
      <c r="QDV28" s="725"/>
      <c r="QDW28" s="725"/>
      <c r="QDX28" s="725"/>
      <c r="QDY28" s="725"/>
      <c r="QDZ28" s="725"/>
      <c r="QEA28" s="725"/>
      <c r="QEB28" s="725"/>
      <c r="QEC28" s="725"/>
      <c r="QED28" s="725"/>
      <c r="QEE28" s="725"/>
      <c r="QEF28" s="725"/>
      <c r="QEG28" s="725"/>
      <c r="QEH28" s="725"/>
      <c r="QEI28" s="725"/>
      <c r="QEJ28" s="725"/>
      <c r="QEK28" s="725"/>
      <c r="QEL28" s="725"/>
      <c r="QEM28" s="725"/>
      <c r="QEN28" s="725"/>
      <c r="QEO28" s="725"/>
      <c r="QEP28" s="725"/>
      <c r="QEQ28" s="725"/>
      <c r="QER28" s="725"/>
      <c r="QES28" s="725"/>
      <c r="QET28" s="725"/>
      <c r="QEU28" s="725"/>
      <c r="QEV28" s="725"/>
      <c r="QEW28" s="725"/>
      <c r="QEX28" s="725"/>
      <c r="QEY28" s="725"/>
      <c r="QEZ28" s="725"/>
      <c r="QFA28" s="725"/>
      <c r="QFB28" s="725"/>
      <c r="QFC28" s="725"/>
      <c r="QFD28" s="725"/>
      <c r="QFE28" s="725"/>
      <c r="QFF28" s="725"/>
      <c r="QFG28" s="725"/>
      <c r="QFH28" s="725"/>
      <c r="QFI28" s="725"/>
      <c r="QFJ28" s="725"/>
      <c r="QFK28" s="725"/>
      <c r="QFL28" s="725"/>
      <c r="QFM28" s="725"/>
      <c r="QFN28" s="725"/>
      <c r="QFO28" s="725"/>
      <c r="QFP28" s="725"/>
      <c r="QFQ28" s="725"/>
      <c r="QFR28" s="725"/>
      <c r="QFS28" s="725"/>
      <c r="QFT28" s="725"/>
      <c r="QFU28" s="725"/>
      <c r="QFV28" s="725"/>
      <c r="QFW28" s="725"/>
      <c r="QFX28" s="725"/>
      <c r="QFY28" s="725"/>
      <c r="QFZ28" s="725"/>
      <c r="QGA28" s="725"/>
      <c r="QGB28" s="725"/>
      <c r="QGC28" s="725"/>
      <c r="QGD28" s="725"/>
      <c r="QGE28" s="725"/>
      <c r="QGF28" s="725"/>
      <c r="QGG28" s="725"/>
      <c r="QGH28" s="725"/>
      <c r="QGI28" s="725"/>
      <c r="QGJ28" s="725"/>
      <c r="QGK28" s="725"/>
      <c r="QGL28" s="725"/>
      <c r="QGM28" s="725"/>
      <c r="QGN28" s="725"/>
      <c r="QGO28" s="725"/>
      <c r="QGP28" s="725"/>
      <c r="QGQ28" s="725"/>
      <c r="QGR28" s="725"/>
      <c r="QGS28" s="725"/>
      <c r="QGT28" s="725"/>
      <c r="QGU28" s="725"/>
      <c r="QGV28" s="725"/>
      <c r="QGW28" s="725"/>
      <c r="QGX28" s="725"/>
      <c r="QGY28" s="725"/>
      <c r="QGZ28" s="725"/>
      <c r="QHA28" s="725"/>
      <c r="QHB28" s="725"/>
      <c r="QHC28" s="725"/>
      <c r="QHD28" s="725"/>
      <c r="QHE28" s="725"/>
      <c r="QHF28" s="725"/>
      <c r="QHG28" s="725"/>
      <c r="QHH28" s="725"/>
      <c r="QHI28" s="725"/>
      <c r="QHJ28" s="725"/>
      <c r="QHK28" s="725"/>
      <c r="QHL28" s="725"/>
      <c r="QHM28" s="725"/>
      <c r="QHN28" s="725"/>
      <c r="QHO28" s="725"/>
      <c r="QHP28" s="725"/>
      <c r="QHQ28" s="725"/>
      <c r="QHR28" s="725"/>
      <c r="QHS28" s="725"/>
      <c r="QHT28" s="725"/>
      <c r="QHU28" s="725"/>
      <c r="QHV28" s="725"/>
      <c r="QHW28" s="725"/>
      <c r="QHX28" s="725"/>
      <c r="QHY28" s="725"/>
      <c r="QHZ28" s="725"/>
      <c r="QIA28" s="725"/>
      <c r="QIB28" s="725"/>
      <c r="QIC28" s="725"/>
      <c r="QID28" s="725"/>
      <c r="QIE28" s="725"/>
      <c r="QIF28" s="725"/>
      <c r="QIG28" s="725"/>
      <c r="QIH28" s="725"/>
      <c r="QII28" s="725"/>
      <c r="QIJ28" s="725"/>
      <c r="QIK28" s="725"/>
      <c r="QIL28" s="725"/>
      <c r="QIM28" s="725"/>
      <c r="QIN28" s="725"/>
      <c r="QIO28" s="725"/>
      <c r="QIP28" s="725"/>
      <c r="QIQ28" s="725"/>
      <c r="QIR28" s="725"/>
      <c r="QIS28" s="725"/>
      <c r="QIT28" s="725"/>
      <c r="QIU28" s="725"/>
      <c r="QIV28" s="725"/>
      <c r="QIW28" s="725"/>
      <c r="QIX28" s="725"/>
      <c r="QIY28" s="725"/>
      <c r="QIZ28" s="725"/>
      <c r="QJA28" s="725"/>
      <c r="QJB28" s="725"/>
      <c r="QJC28" s="725"/>
      <c r="QJD28" s="725"/>
      <c r="QJE28" s="725"/>
      <c r="QJF28" s="725"/>
      <c r="QJG28" s="725"/>
      <c r="QJH28" s="725"/>
      <c r="QJI28" s="725"/>
      <c r="QJJ28" s="725"/>
      <c r="QJK28" s="725"/>
      <c r="QJL28" s="725"/>
      <c r="QJM28" s="725"/>
      <c r="QJN28" s="725"/>
      <c r="QJO28" s="725"/>
      <c r="QJP28" s="725"/>
      <c r="QJQ28" s="725"/>
      <c r="QJR28" s="725"/>
      <c r="QJS28" s="725"/>
      <c r="QJT28" s="725"/>
      <c r="QJU28" s="725"/>
      <c r="QJV28" s="725"/>
      <c r="QJW28" s="725"/>
      <c r="QJX28" s="725"/>
      <c r="QJY28" s="725"/>
      <c r="QJZ28" s="725"/>
      <c r="QKA28" s="725"/>
      <c r="QKB28" s="725"/>
      <c r="QKC28" s="725"/>
      <c r="QKD28" s="725"/>
      <c r="QKE28" s="725"/>
      <c r="QKF28" s="725"/>
      <c r="QKG28" s="725"/>
      <c r="QKH28" s="725"/>
      <c r="QKI28" s="725"/>
      <c r="QKJ28" s="725"/>
      <c r="QKK28" s="725"/>
      <c r="QKL28" s="725"/>
      <c r="QKM28" s="725"/>
      <c r="QKN28" s="725"/>
      <c r="QKO28" s="725"/>
      <c r="QKP28" s="725"/>
      <c r="QKQ28" s="725"/>
      <c r="QKR28" s="725"/>
      <c r="QKS28" s="725"/>
      <c r="QKT28" s="725"/>
      <c r="QKU28" s="725"/>
      <c r="QKV28" s="725"/>
      <c r="QKW28" s="725"/>
      <c r="QKX28" s="725"/>
      <c r="QKY28" s="725"/>
      <c r="QKZ28" s="725"/>
      <c r="QLA28" s="725"/>
      <c r="QLB28" s="725"/>
      <c r="QLC28" s="725"/>
      <c r="QLD28" s="725"/>
      <c r="QLE28" s="725"/>
      <c r="QLF28" s="725"/>
      <c r="QLG28" s="725"/>
      <c r="QLH28" s="725"/>
      <c r="QLI28" s="725"/>
      <c r="QLJ28" s="725"/>
      <c r="QLK28" s="725"/>
      <c r="QLL28" s="725"/>
      <c r="QLM28" s="725"/>
      <c r="QLN28" s="725"/>
      <c r="QLO28" s="725"/>
      <c r="QLP28" s="725"/>
      <c r="QLQ28" s="725"/>
      <c r="QLR28" s="725"/>
      <c r="QLS28" s="725"/>
      <c r="QLT28" s="725"/>
      <c r="QLU28" s="725"/>
      <c r="QLV28" s="725"/>
      <c r="QLW28" s="725"/>
      <c r="QLX28" s="725"/>
      <c r="QLY28" s="725"/>
      <c r="QLZ28" s="725"/>
      <c r="QMA28" s="725"/>
      <c r="QMB28" s="725"/>
      <c r="QMC28" s="725"/>
      <c r="QMD28" s="725"/>
      <c r="QME28" s="725"/>
      <c r="QMF28" s="725"/>
      <c r="QMG28" s="725"/>
      <c r="QMH28" s="725"/>
      <c r="QMI28" s="725"/>
      <c r="QMJ28" s="725"/>
      <c r="QMK28" s="725"/>
      <c r="QML28" s="725"/>
      <c r="QMM28" s="725"/>
      <c r="QMN28" s="725"/>
      <c r="QMO28" s="725"/>
      <c r="QMP28" s="725"/>
      <c r="QMQ28" s="725"/>
      <c r="QMR28" s="725"/>
      <c r="QMS28" s="725"/>
      <c r="QMT28" s="725"/>
      <c r="QMU28" s="725"/>
      <c r="QMV28" s="725"/>
      <c r="QMW28" s="725"/>
      <c r="QMX28" s="725"/>
      <c r="QMY28" s="725"/>
      <c r="QMZ28" s="725"/>
      <c r="QNA28" s="725"/>
      <c r="QNB28" s="725"/>
      <c r="QNC28" s="725"/>
      <c r="QND28" s="725"/>
      <c r="QNE28" s="725"/>
      <c r="QNF28" s="725"/>
      <c r="QNG28" s="725"/>
      <c r="QNH28" s="725"/>
      <c r="QNI28" s="725"/>
      <c r="QNJ28" s="725"/>
      <c r="QNK28" s="725"/>
      <c r="QNL28" s="725"/>
      <c r="QNM28" s="725"/>
      <c r="QNN28" s="725"/>
      <c r="QNO28" s="725"/>
      <c r="QNP28" s="725"/>
      <c r="QNQ28" s="725"/>
      <c r="QNR28" s="725"/>
      <c r="QNS28" s="725"/>
      <c r="QNT28" s="725"/>
      <c r="QNU28" s="725"/>
      <c r="QNV28" s="725"/>
      <c r="QNW28" s="725"/>
      <c r="QNX28" s="725"/>
      <c r="QNY28" s="725"/>
      <c r="QNZ28" s="725"/>
      <c r="QOA28" s="725"/>
      <c r="QOB28" s="725"/>
      <c r="QOC28" s="725"/>
      <c r="QOD28" s="725"/>
      <c r="QOE28" s="725"/>
      <c r="QOF28" s="725"/>
      <c r="QOG28" s="725"/>
      <c r="QOH28" s="725"/>
      <c r="QOI28" s="725"/>
      <c r="QOJ28" s="725"/>
      <c r="QOK28" s="725"/>
      <c r="QOL28" s="725"/>
      <c r="QOM28" s="725"/>
      <c r="QON28" s="725"/>
      <c r="QOO28" s="725"/>
      <c r="QOP28" s="725"/>
      <c r="QOQ28" s="725"/>
      <c r="QOR28" s="725"/>
      <c r="QOS28" s="725"/>
      <c r="QOT28" s="725"/>
      <c r="QOU28" s="725"/>
      <c r="QOV28" s="725"/>
      <c r="QOW28" s="725"/>
      <c r="QOX28" s="725"/>
      <c r="QOY28" s="725"/>
      <c r="QOZ28" s="725"/>
      <c r="QPA28" s="725"/>
      <c r="QPB28" s="725"/>
      <c r="QPC28" s="725"/>
      <c r="QPD28" s="725"/>
      <c r="QPE28" s="725"/>
      <c r="QPF28" s="725"/>
      <c r="QPG28" s="725"/>
      <c r="QPH28" s="725"/>
      <c r="QPI28" s="725"/>
      <c r="QPJ28" s="725"/>
      <c r="QPK28" s="725"/>
      <c r="QPL28" s="725"/>
      <c r="QPM28" s="725"/>
      <c r="QPN28" s="725"/>
      <c r="QPO28" s="725"/>
      <c r="QPP28" s="725"/>
      <c r="QPQ28" s="725"/>
      <c r="QPR28" s="725"/>
      <c r="QPS28" s="725"/>
      <c r="QPT28" s="725"/>
      <c r="QPU28" s="725"/>
      <c r="QPV28" s="725"/>
      <c r="QPW28" s="725"/>
      <c r="QPX28" s="725"/>
      <c r="QPY28" s="725"/>
      <c r="QPZ28" s="725"/>
      <c r="QQA28" s="725"/>
      <c r="QQB28" s="725"/>
      <c r="QQC28" s="725"/>
      <c r="QQD28" s="725"/>
      <c r="QQE28" s="725"/>
      <c r="QQF28" s="725"/>
      <c r="QQG28" s="725"/>
      <c r="QQH28" s="725"/>
      <c r="QQI28" s="725"/>
      <c r="QQJ28" s="725"/>
      <c r="QQK28" s="725"/>
      <c r="QQL28" s="725"/>
      <c r="QQM28" s="725"/>
      <c r="QQN28" s="725"/>
      <c r="QQO28" s="725"/>
      <c r="QQP28" s="725"/>
      <c r="QQQ28" s="725"/>
      <c r="QQR28" s="725"/>
      <c r="QQS28" s="725"/>
      <c r="QQT28" s="725"/>
      <c r="QQU28" s="725"/>
      <c r="QQV28" s="725"/>
      <c r="QQW28" s="725"/>
      <c r="QQX28" s="725"/>
      <c r="QQY28" s="725"/>
      <c r="QQZ28" s="725"/>
      <c r="QRA28" s="725"/>
      <c r="QRB28" s="725"/>
      <c r="QRC28" s="725"/>
      <c r="QRD28" s="725"/>
      <c r="QRE28" s="725"/>
      <c r="QRF28" s="725"/>
      <c r="QRG28" s="725"/>
      <c r="QRH28" s="725"/>
      <c r="QRI28" s="725"/>
      <c r="QRJ28" s="725"/>
      <c r="QRK28" s="725"/>
      <c r="QRL28" s="725"/>
      <c r="QRM28" s="725"/>
      <c r="QRN28" s="725"/>
      <c r="QRO28" s="725"/>
      <c r="QRP28" s="725"/>
      <c r="QRQ28" s="725"/>
      <c r="QRR28" s="725"/>
      <c r="QRS28" s="725"/>
      <c r="QRT28" s="725"/>
      <c r="QRU28" s="725"/>
      <c r="QRV28" s="725"/>
      <c r="QRW28" s="725"/>
      <c r="QRX28" s="725"/>
      <c r="QRY28" s="725"/>
      <c r="QRZ28" s="725"/>
      <c r="QSA28" s="725"/>
      <c r="QSB28" s="725"/>
      <c r="QSC28" s="725"/>
      <c r="QSD28" s="725"/>
      <c r="QSE28" s="725"/>
      <c r="QSF28" s="725"/>
      <c r="QSG28" s="725"/>
      <c r="QSH28" s="725"/>
      <c r="QSI28" s="725"/>
      <c r="QSJ28" s="725"/>
      <c r="QSK28" s="725"/>
      <c r="QSL28" s="725"/>
      <c r="QSM28" s="725"/>
      <c r="QSN28" s="725"/>
      <c r="QSO28" s="725"/>
      <c r="QSP28" s="725"/>
      <c r="QSQ28" s="725"/>
      <c r="QSR28" s="725"/>
      <c r="QSS28" s="725"/>
      <c r="QST28" s="725"/>
      <c r="QSU28" s="725"/>
      <c r="QSV28" s="725"/>
      <c r="QSW28" s="725"/>
      <c r="QSX28" s="725"/>
      <c r="QSY28" s="725"/>
      <c r="QSZ28" s="725"/>
      <c r="QTA28" s="725"/>
      <c r="QTB28" s="725"/>
      <c r="QTC28" s="725"/>
      <c r="QTD28" s="725"/>
      <c r="QTE28" s="725"/>
      <c r="QTF28" s="725"/>
      <c r="QTG28" s="725"/>
      <c r="QTH28" s="725"/>
      <c r="QTI28" s="725"/>
      <c r="QTJ28" s="725"/>
      <c r="QTK28" s="725"/>
      <c r="QTL28" s="725"/>
      <c r="QTM28" s="725"/>
      <c r="QTN28" s="725"/>
      <c r="QTO28" s="725"/>
      <c r="QTP28" s="725"/>
      <c r="QTQ28" s="725"/>
      <c r="QTR28" s="725"/>
      <c r="QTS28" s="725"/>
      <c r="QTT28" s="725"/>
      <c r="QTU28" s="725"/>
      <c r="QTV28" s="725"/>
      <c r="QTW28" s="725"/>
      <c r="QTX28" s="725"/>
      <c r="QTY28" s="725"/>
      <c r="QTZ28" s="725"/>
      <c r="QUA28" s="725"/>
      <c r="QUB28" s="725"/>
      <c r="QUC28" s="725"/>
      <c r="QUD28" s="725"/>
      <c r="QUE28" s="725"/>
      <c r="QUF28" s="725"/>
      <c r="QUG28" s="725"/>
      <c r="QUH28" s="725"/>
      <c r="QUI28" s="725"/>
      <c r="QUJ28" s="725"/>
      <c r="QUK28" s="725"/>
      <c r="QUL28" s="725"/>
      <c r="QUM28" s="725"/>
      <c r="QUN28" s="725"/>
      <c r="QUO28" s="725"/>
      <c r="QUP28" s="725"/>
      <c r="QUQ28" s="725"/>
      <c r="QUR28" s="725"/>
      <c r="QUS28" s="725"/>
      <c r="QUT28" s="725"/>
      <c r="QUU28" s="725"/>
      <c r="QUV28" s="725"/>
      <c r="QUW28" s="725"/>
      <c r="QUX28" s="725"/>
      <c r="QUY28" s="725"/>
      <c r="QUZ28" s="725"/>
      <c r="QVA28" s="725"/>
      <c r="QVB28" s="725"/>
      <c r="QVC28" s="725"/>
      <c r="QVD28" s="725"/>
      <c r="QVE28" s="725"/>
      <c r="QVF28" s="725"/>
      <c r="QVG28" s="725"/>
      <c r="QVH28" s="725"/>
      <c r="QVI28" s="725"/>
      <c r="QVJ28" s="725"/>
      <c r="QVK28" s="725"/>
      <c r="QVL28" s="725"/>
      <c r="QVM28" s="725"/>
      <c r="QVN28" s="725"/>
      <c r="QVO28" s="725"/>
      <c r="QVP28" s="725"/>
      <c r="QVQ28" s="725"/>
      <c r="QVR28" s="725"/>
      <c r="QVS28" s="725"/>
      <c r="QVT28" s="725"/>
      <c r="QVU28" s="725"/>
      <c r="QVV28" s="725"/>
      <c r="QVW28" s="725"/>
      <c r="QVX28" s="725"/>
      <c r="QVY28" s="725"/>
      <c r="QVZ28" s="725"/>
      <c r="QWA28" s="725"/>
      <c r="QWB28" s="725"/>
      <c r="QWC28" s="725"/>
      <c r="QWD28" s="725"/>
      <c r="QWE28" s="725"/>
      <c r="QWF28" s="725"/>
      <c r="QWG28" s="725"/>
      <c r="QWH28" s="725"/>
      <c r="QWI28" s="725"/>
      <c r="QWJ28" s="725"/>
      <c r="QWK28" s="725"/>
      <c r="QWL28" s="725"/>
      <c r="QWM28" s="725"/>
      <c r="QWN28" s="725"/>
      <c r="QWO28" s="725"/>
      <c r="QWP28" s="725"/>
      <c r="QWQ28" s="725"/>
      <c r="QWR28" s="725"/>
      <c r="QWS28" s="725"/>
      <c r="QWT28" s="725"/>
      <c r="QWU28" s="725"/>
      <c r="QWV28" s="725"/>
      <c r="QWW28" s="725"/>
      <c r="QWX28" s="725"/>
      <c r="QWY28" s="725"/>
      <c r="QWZ28" s="725"/>
      <c r="QXA28" s="725"/>
      <c r="QXB28" s="725"/>
      <c r="QXC28" s="725"/>
      <c r="QXD28" s="725"/>
      <c r="QXE28" s="725"/>
      <c r="QXF28" s="725"/>
      <c r="QXG28" s="725"/>
      <c r="QXH28" s="725"/>
      <c r="QXI28" s="725"/>
      <c r="QXJ28" s="725"/>
      <c r="QXK28" s="725"/>
      <c r="QXL28" s="725"/>
      <c r="QXM28" s="725"/>
      <c r="QXN28" s="725"/>
      <c r="QXO28" s="725"/>
      <c r="QXP28" s="725"/>
      <c r="QXQ28" s="725"/>
      <c r="QXR28" s="725"/>
      <c r="QXS28" s="725"/>
      <c r="QXT28" s="725"/>
      <c r="QXU28" s="725"/>
      <c r="QXV28" s="725"/>
      <c r="QXW28" s="725"/>
      <c r="QXX28" s="725"/>
      <c r="QXY28" s="725"/>
      <c r="QXZ28" s="725"/>
      <c r="QYA28" s="725"/>
      <c r="QYB28" s="725"/>
      <c r="QYC28" s="725"/>
      <c r="QYD28" s="725"/>
      <c r="QYE28" s="725"/>
      <c r="QYF28" s="725"/>
      <c r="QYG28" s="725"/>
      <c r="QYH28" s="725"/>
      <c r="QYI28" s="725"/>
      <c r="QYJ28" s="725"/>
      <c r="QYK28" s="725"/>
      <c r="QYL28" s="725"/>
      <c r="QYM28" s="725"/>
      <c r="QYN28" s="725"/>
      <c r="QYO28" s="725"/>
      <c r="QYP28" s="725"/>
      <c r="QYQ28" s="725"/>
      <c r="QYR28" s="725"/>
      <c r="QYS28" s="725"/>
      <c r="QYT28" s="725"/>
      <c r="QYU28" s="725"/>
      <c r="QYV28" s="725"/>
      <c r="QYW28" s="725"/>
      <c r="QYX28" s="725"/>
      <c r="QYY28" s="725"/>
      <c r="QYZ28" s="725"/>
      <c r="QZA28" s="725"/>
      <c r="QZB28" s="725"/>
      <c r="QZC28" s="725"/>
      <c r="QZD28" s="725"/>
      <c r="QZE28" s="725"/>
      <c r="QZF28" s="725"/>
      <c r="QZG28" s="725"/>
      <c r="QZH28" s="725"/>
      <c r="QZI28" s="725"/>
      <c r="QZJ28" s="725"/>
      <c r="QZK28" s="725"/>
      <c r="QZL28" s="725"/>
      <c r="QZM28" s="725"/>
      <c r="QZN28" s="725"/>
      <c r="QZO28" s="725"/>
      <c r="QZP28" s="725"/>
      <c r="QZQ28" s="725"/>
      <c r="QZR28" s="725"/>
      <c r="QZS28" s="725"/>
      <c r="QZT28" s="725"/>
      <c r="QZU28" s="725"/>
      <c r="QZV28" s="725"/>
      <c r="QZW28" s="725"/>
      <c r="QZX28" s="725"/>
      <c r="QZY28" s="725"/>
      <c r="QZZ28" s="725"/>
      <c r="RAA28" s="725"/>
      <c r="RAB28" s="725"/>
      <c r="RAC28" s="725"/>
      <c r="RAD28" s="725"/>
      <c r="RAE28" s="725"/>
      <c r="RAF28" s="725"/>
      <c r="RAG28" s="725"/>
      <c r="RAH28" s="725"/>
      <c r="RAI28" s="725"/>
      <c r="RAJ28" s="725"/>
      <c r="RAK28" s="725"/>
      <c r="RAL28" s="725"/>
      <c r="RAM28" s="725"/>
      <c r="RAN28" s="725"/>
      <c r="RAO28" s="725"/>
      <c r="RAP28" s="725"/>
      <c r="RAQ28" s="725"/>
      <c r="RAR28" s="725"/>
      <c r="RAS28" s="725"/>
      <c r="RAT28" s="725"/>
      <c r="RAU28" s="725"/>
      <c r="RAV28" s="725"/>
      <c r="RAW28" s="725"/>
      <c r="RAX28" s="725"/>
      <c r="RAY28" s="725"/>
      <c r="RAZ28" s="725"/>
      <c r="RBA28" s="725"/>
      <c r="RBB28" s="725"/>
      <c r="RBC28" s="725"/>
      <c r="RBD28" s="725"/>
      <c r="RBE28" s="725"/>
      <c r="RBF28" s="725"/>
      <c r="RBG28" s="725"/>
      <c r="RBH28" s="725"/>
      <c r="RBI28" s="725"/>
      <c r="RBJ28" s="725"/>
      <c r="RBK28" s="725"/>
      <c r="RBL28" s="725"/>
      <c r="RBM28" s="725"/>
      <c r="RBN28" s="725"/>
      <c r="RBO28" s="725"/>
      <c r="RBP28" s="725"/>
      <c r="RBQ28" s="725"/>
      <c r="RBR28" s="725"/>
      <c r="RBS28" s="725"/>
      <c r="RBT28" s="725"/>
      <c r="RBU28" s="725"/>
      <c r="RBV28" s="725"/>
      <c r="RBW28" s="725"/>
      <c r="RBX28" s="725"/>
      <c r="RBY28" s="725"/>
      <c r="RBZ28" s="725"/>
      <c r="RCA28" s="725"/>
      <c r="RCB28" s="725"/>
      <c r="RCC28" s="725"/>
      <c r="RCD28" s="725"/>
      <c r="RCE28" s="725"/>
      <c r="RCF28" s="725"/>
      <c r="RCG28" s="725"/>
      <c r="RCH28" s="725"/>
      <c r="RCI28" s="725"/>
      <c r="RCJ28" s="725"/>
      <c r="RCK28" s="725"/>
      <c r="RCL28" s="725"/>
      <c r="RCM28" s="725"/>
      <c r="RCN28" s="725"/>
      <c r="RCO28" s="725"/>
      <c r="RCP28" s="725"/>
      <c r="RCQ28" s="725"/>
      <c r="RCR28" s="725"/>
      <c r="RCS28" s="725"/>
      <c r="RCT28" s="725"/>
      <c r="RCU28" s="725"/>
      <c r="RCV28" s="725"/>
      <c r="RCW28" s="725"/>
      <c r="RCX28" s="725"/>
      <c r="RCY28" s="725"/>
      <c r="RCZ28" s="725"/>
      <c r="RDA28" s="725"/>
      <c r="RDB28" s="725"/>
      <c r="RDC28" s="725"/>
      <c r="RDD28" s="725"/>
      <c r="RDE28" s="725"/>
      <c r="RDF28" s="725"/>
      <c r="RDG28" s="725"/>
      <c r="RDH28" s="725"/>
      <c r="RDI28" s="725"/>
      <c r="RDJ28" s="725"/>
      <c r="RDK28" s="725"/>
      <c r="RDL28" s="725"/>
      <c r="RDM28" s="725"/>
      <c r="RDN28" s="725"/>
      <c r="RDO28" s="725"/>
      <c r="RDP28" s="725"/>
      <c r="RDQ28" s="725"/>
      <c r="RDR28" s="725"/>
      <c r="RDS28" s="725"/>
      <c r="RDT28" s="725"/>
      <c r="RDU28" s="725"/>
      <c r="RDV28" s="725"/>
      <c r="RDW28" s="725"/>
      <c r="RDX28" s="725"/>
      <c r="RDY28" s="725"/>
      <c r="RDZ28" s="725"/>
      <c r="REA28" s="725"/>
      <c r="REB28" s="725"/>
      <c r="REC28" s="725"/>
      <c r="RED28" s="725"/>
      <c r="REE28" s="725"/>
      <c r="REF28" s="725"/>
      <c r="REG28" s="725"/>
      <c r="REH28" s="725"/>
      <c r="REI28" s="725"/>
      <c r="REJ28" s="725"/>
      <c r="REK28" s="725"/>
      <c r="REL28" s="725"/>
      <c r="REM28" s="725"/>
      <c r="REN28" s="725"/>
      <c r="REO28" s="725"/>
      <c r="REP28" s="725"/>
      <c r="REQ28" s="725"/>
      <c r="RER28" s="725"/>
      <c r="RES28" s="725"/>
      <c r="RET28" s="725"/>
      <c r="REU28" s="725"/>
      <c r="REV28" s="725"/>
      <c r="REW28" s="725"/>
      <c r="REX28" s="725"/>
      <c r="REY28" s="725"/>
      <c r="REZ28" s="725"/>
      <c r="RFA28" s="725"/>
      <c r="RFB28" s="725"/>
      <c r="RFC28" s="725"/>
      <c r="RFD28" s="725"/>
      <c r="RFE28" s="725"/>
      <c r="RFF28" s="725"/>
      <c r="RFG28" s="725"/>
      <c r="RFH28" s="725"/>
      <c r="RFI28" s="725"/>
      <c r="RFJ28" s="725"/>
      <c r="RFK28" s="725"/>
      <c r="RFL28" s="725"/>
      <c r="RFM28" s="725"/>
      <c r="RFN28" s="725"/>
      <c r="RFO28" s="725"/>
      <c r="RFP28" s="725"/>
      <c r="RFQ28" s="725"/>
      <c r="RFR28" s="725"/>
      <c r="RFS28" s="725"/>
      <c r="RFT28" s="725"/>
      <c r="RFU28" s="725"/>
      <c r="RFV28" s="725"/>
      <c r="RFW28" s="725"/>
      <c r="RFX28" s="725"/>
      <c r="RFY28" s="725"/>
      <c r="RFZ28" s="725"/>
      <c r="RGA28" s="725"/>
      <c r="RGB28" s="725"/>
      <c r="RGC28" s="725"/>
      <c r="RGD28" s="725"/>
      <c r="RGE28" s="725"/>
      <c r="RGF28" s="725"/>
      <c r="RGG28" s="725"/>
      <c r="RGH28" s="725"/>
      <c r="RGI28" s="725"/>
      <c r="RGJ28" s="725"/>
      <c r="RGK28" s="725"/>
      <c r="RGL28" s="725"/>
      <c r="RGM28" s="725"/>
      <c r="RGN28" s="725"/>
      <c r="RGO28" s="725"/>
      <c r="RGP28" s="725"/>
      <c r="RGQ28" s="725"/>
      <c r="RGR28" s="725"/>
      <c r="RGS28" s="725"/>
      <c r="RGT28" s="725"/>
      <c r="RGU28" s="725"/>
      <c r="RGV28" s="725"/>
      <c r="RGW28" s="725"/>
      <c r="RGX28" s="725"/>
      <c r="RGY28" s="725"/>
      <c r="RGZ28" s="725"/>
      <c r="RHA28" s="725"/>
      <c r="RHB28" s="725"/>
      <c r="RHC28" s="725"/>
      <c r="RHD28" s="725"/>
      <c r="RHE28" s="725"/>
      <c r="RHF28" s="725"/>
      <c r="RHG28" s="725"/>
      <c r="RHH28" s="725"/>
      <c r="RHI28" s="725"/>
      <c r="RHJ28" s="725"/>
      <c r="RHK28" s="725"/>
      <c r="RHL28" s="725"/>
      <c r="RHM28" s="725"/>
      <c r="RHN28" s="725"/>
      <c r="RHO28" s="725"/>
      <c r="RHP28" s="725"/>
      <c r="RHQ28" s="725"/>
      <c r="RHR28" s="725"/>
      <c r="RHS28" s="725"/>
      <c r="RHT28" s="725"/>
      <c r="RHU28" s="725"/>
      <c r="RHV28" s="725"/>
      <c r="RHW28" s="725"/>
      <c r="RHX28" s="725"/>
      <c r="RHY28" s="725"/>
      <c r="RHZ28" s="725"/>
      <c r="RIA28" s="725"/>
      <c r="RIB28" s="725"/>
      <c r="RIC28" s="725"/>
      <c r="RID28" s="725"/>
      <c r="RIE28" s="725"/>
      <c r="RIF28" s="725"/>
      <c r="RIG28" s="725"/>
      <c r="RIH28" s="725"/>
      <c r="RII28" s="725"/>
      <c r="RIJ28" s="725"/>
      <c r="RIK28" s="725"/>
      <c r="RIL28" s="725"/>
      <c r="RIM28" s="725"/>
      <c r="RIN28" s="725"/>
      <c r="RIO28" s="725"/>
      <c r="RIP28" s="725"/>
      <c r="RIQ28" s="725"/>
      <c r="RIR28" s="725"/>
      <c r="RIS28" s="725"/>
      <c r="RIT28" s="725"/>
      <c r="RIU28" s="725"/>
      <c r="RIV28" s="725"/>
      <c r="RIW28" s="725"/>
      <c r="RIX28" s="725"/>
      <c r="RIY28" s="725"/>
      <c r="RIZ28" s="725"/>
      <c r="RJA28" s="725"/>
      <c r="RJB28" s="725"/>
      <c r="RJC28" s="725"/>
      <c r="RJD28" s="725"/>
      <c r="RJE28" s="725"/>
      <c r="RJF28" s="725"/>
      <c r="RJG28" s="725"/>
      <c r="RJH28" s="725"/>
      <c r="RJI28" s="725"/>
      <c r="RJJ28" s="725"/>
      <c r="RJK28" s="725"/>
      <c r="RJL28" s="725"/>
      <c r="RJM28" s="725"/>
      <c r="RJN28" s="725"/>
      <c r="RJO28" s="725"/>
      <c r="RJP28" s="725"/>
      <c r="RJQ28" s="725"/>
      <c r="RJR28" s="725"/>
      <c r="RJS28" s="725"/>
      <c r="RJT28" s="725"/>
      <c r="RJU28" s="725"/>
      <c r="RJV28" s="725"/>
      <c r="RJW28" s="725"/>
      <c r="RJX28" s="725"/>
      <c r="RJY28" s="725"/>
      <c r="RJZ28" s="725"/>
      <c r="RKA28" s="725"/>
      <c r="RKB28" s="725"/>
      <c r="RKC28" s="725"/>
      <c r="RKD28" s="725"/>
      <c r="RKE28" s="725"/>
      <c r="RKF28" s="725"/>
      <c r="RKG28" s="725"/>
      <c r="RKH28" s="725"/>
      <c r="RKI28" s="725"/>
      <c r="RKJ28" s="725"/>
      <c r="RKK28" s="725"/>
      <c r="RKL28" s="725"/>
      <c r="RKM28" s="725"/>
      <c r="RKN28" s="725"/>
      <c r="RKO28" s="725"/>
      <c r="RKP28" s="725"/>
      <c r="RKQ28" s="725"/>
      <c r="RKR28" s="725"/>
      <c r="RKS28" s="725"/>
      <c r="RKT28" s="725"/>
      <c r="RKU28" s="725"/>
      <c r="RKV28" s="725"/>
      <c r="RKW28" s="725"/>
      <c r="RKX28" s="725"/>
      <c r="RKY28" s="725"/>
      <c r="RKZ28" s="725"/>
      <c r="RLA28" s="725"/>
      <c r="RLB28" s="725"/>
      <c r="RLC28" s="725"/>
      <c r="RLD28" s="725"/>
      <c r="RLE28" s="725"/>
      <c r="RLF28" s="725"/>
      <c r="RLG28" s="725"/>
      <c r="RLH28" s="725"/>
      <c r="RLI28" s="725"/>
      <c r="RLJ28" s="725"/>
      <c r="RLK28" s="725"/>
      <c r="RLL28" s="725"/>
      <c r="RLM28" s="725"/>
      <c r="RLN28" s="725"/>
      <c r="RLO28" s="725"/>
      <c r="RLP28" s="725"/>
      <c r="RLQ28" s="725"/>
      <c r="RLR28" s="725"/>
      <c r="RLS28" s="725"/>
      <c r="RLT28" s="725"/>
      <c r="RLU28" s="725"/>
      <c r="RLV28" s="725"/>
      <c r="RLW28" s="725"/>
      <c r="RLX28" s="725"/>
      <c r="RLY28" s="725"/>
      <c r="RLZ28" s="725"/>
      <c r="RMA28" s="725"/>
      <c r="RMB28" s="725"/>
      <c r="RMC28" s="725"/>
      <c r="RMD28" s="725"/>
      <c r="RME28" s="725"/>
      <c r="RMF28" s="725"/>
      <c r="RMG28" s="725"/>
      <c r="RMH28" s="725"/>
      <c r="RMI28" s="725"/>
      <c r="RMJ28" s="725"/>
      <c r="RMK28" s="725"/>
      <c r="RML28" s="725"/>
      <c r="RMM28" s="725"/>
      <c r="RMN28" s="725"/>
      <c r="RMO28" s="725"/>
      <c r="RMP28" s="725"/>
      <c r="RMQ28" s="725"/>
      <c r="RMR28" s="725"/>
      <c r="RMS28" s="725"/>
      <c r="RMT28" s="725"/>
      <c r="RMU28" s="725"/>
      <c r="RMV28" s="725"/>
      <c r="RMW28" s="725"/>
      <c r="RMX28" s="725"/>
      <c r="RMY28" s="725"/>
      <c r="RMZ28" s="725"/>
      <c r="RNA28" s="725"/>
      <c r="RNB28" s="725"/>
      <c r="RNC28" s="725"/>
      <c r="RND28" s="725"/>
      <c r="RNE28" s="725"/>
      <c r="RNF28" s="725"/>
      <c r="RNG28" s="725"/>
      <c r="RNH28" s="725"/>
      <c r="RNI28" s="725"/>
      <c r="RNJ28" s="725"/>
      <c r="RNK28" s="725"/>
      <c r="RNL28" s="725"/>
      <c r="RNM28" s="725"/>
      <c r="RNN28" s="725"/>
      <c r="RNO28" s="725"/>
      <c r="RNP28" s="725"/>
      <c r="RNQ28" s="725"/>
      <c r="RNR28" s="725"/>
      <c r="RNS28" s="725"/>
      <c r="RNT28" s="725"/>
      <c r="RNU28" s="725"/>
      <c r="RNV28" s="725"/>
      <c r="RNW28" s="725"/>
      <c r="RNX28" s="725"/>
      <c r="RNY28" s="725"/>
      <c r="RNZ28" s="725"/>
      <c r="ROA28" s="725"/>
      <c r="ROB28" s="725"/>
      <c r="ROC28" s="725"/>
      <c r="ROD28" s="725"/>
      <c r="ROE28" s="725"/>
      <c r="ROF28" s="725"/>
      <c r="ROG28" s="725"/>
      <c r="ROH28" s="725"/>
      <c r="ROI28" s="725"/>
      <c r="ROJ28" s="725"/>
      <c r="ROK28" s="725"/>
      <c r="ROL28" s="725"/>
      <c r="ROM28" s="725"/>
      <c r="RON28" s="725"/>
      <c r="ROO28" s="725"/>
      <c r="ROP28" s="725"/>
      <c r="ROQ28" s="725"/>
      <c r="ROR28" s="725"/>
      <c r="ROS28" s="725"/>
      <c r="ROT28" s="725"/>
      <c r="ROU28" s="725"/>
      <c r="ROV28" s="725"/>
      <c r="ROW28" s="725"/>
      <c r="ROX28" s="725"/>
      <c r="ROY28" s="725"/>
      <c r="ROZ28" s="725"/>
      <c r="RPA28" s="725"/>
      <c r="RPB28" s="725"/>
      <c r="RPC28" s="725"/>
      <c r="RPD28" s="725"/>
      <c r="RPE28" s="725"/>
      <c r="RPF28" s="725"/>
      <c r="RPG28" s="725"/>
      <c r="RPH28" s="725"/>
      <c r="RPI28" s="725"/>
      <c r="RPJ28" s="725"/>
      <c r="RPK28" s="725"/>
      <c r="RPL28" s="725"/>
      <c r="RPM28" s="725"/>
      <c r="RPN28" s="725"/>
      <c r="RPO28" s="725"/>
      <c r="RPP28" s="725"/>
      <c r="RPQ28" s="725"/>
      <c r="RPR28" s="725"/>
      <c r="RPS28" s="725"/>
      <c r="RPT28" s="725"/>
      <c r="RPU28" s="725"/>
      <c r="RPV28" s="725"/>
      <c r="RPW28" s="725"/>
      <c r="RPX28" s="725"/>
      <c r="RPY28" s="725"/>
      <c r="RPZ28" s="725"/>
      <c r="RQA28" s="725"/>
      <c r="RQB28" s="725"/>
      <c r="RQC28" s="725"/>
      <c r="RQD28" s="725"/>
      <c r="RQE28" s="725"/>
      <c r="RQF28" s="725"/>
      <c r="RQG28" s="725"/>
      <c r="RQH28" s="725"/>
      <c r="RQI28" s="725"/>
      <c r="RQJ28" s="725"/>
      <c r="RQK28" s="725"/>
      <c r="RQL28" s="725"/>
      <c r="RQM28" s="725"/>
      <c r="RQN28" s="725"/>
      <c r="RQO28" s="725"/>
      <c r="RQP28" s="725"/>
      <c r="RQQ28" s="725"/>
      <c r="RQR28" s="725"/>
      <c r="RQS28" s="725"/>
      <c r="RQT28" s="725"/>
      <c r="RQU28" s="725"/>
      <c r="RQV28" s="725"/>
      <c r="RQW28" s="725"/>
      <c r="RQX28" s="725"/>
      <c r="RQY28" s="725"/>
      <c r="RQZ28" s="725"/>
      <c r="RRA28" s="725"/>
      <c r="RRB28" s="725"/>
      <c r="RRC28" s="725"/>
      <c r="RRD28" s="725"/>
      <c r="RRE28" s="725"/>
      <c r="RRF28" s="725"/>
      <c r="RRG28" s="725"/>
      <c r="RRH28" s="725"/>
      <c r="RRI28" s="725"/>
      <c r="RRJ28" s="725"/>
      <c r="RRK28" s="725"/>
      <c r="RRL28" s="725"/>
      <c r="RRM28" s="725"/>
      <c r="RRN28" s="725"/>
      <c r="RRO28" s="725"/>
      <c r="RRP28" s="725"/>
      <c r="RRQ28" s="725"/>
      <c r="RRR28" s="725"/>
      <c r="RRS28" s="725"/>
      <c r="RRT28" s="725"/>
      <c r="RRU28" s="725"/>
      <c r="RRV28" s="725"/>
      <c r="RRW28" s="725"/>
      <c r="RRX28" s="725"/>
      <c r="RRY28" s="725"/>
      <c r="RRZ28" s="725"/>
      <c r="RSA28" s="725"/>
      <c r="RSB28" s="725"/>
      <c r="RSC28" s="725"/>
      <c r="RSD28" s="725"/>
      <c r="RSE28" s="725"/>
      <c r="RSF28" s="725"/>
      <c r="RSG28" s="725"/>
      <c r="RSH28" s="725"/>
      <c r="RSI28" s="725"/>
      <c r="RSJ28" s="725"/>
      <c r="RSK28" s="725"/>
      <c r="RSL28" s="725"/>
      <c r="RSM28" s="725"/>
      <c r="RSN28" s="725"/>
      <c r="RSO28" s="725"/>
      <c r="RSP28" s="725"/>
      <c r="RSQ28" s="725"/>
      <c r="RSR28" s="725"/>
      <c r="RSS28" s="725"/>
      <c r="RST28" s="725"/>
      <c r="RSU28" s="725"/>
      <c r="RSV28" s="725"/>
      <c r="RSW28" s="725"/>
      <c r="RSX28" s="725"/>
      <c r="RSY28" s="725"/>
      <c r="RSZ28" s="725"/>
      <c r="RTA28" s="725"/>
      <c r="RTB28" s="725"/>
      <c r="RTC28" s="725"/>
      <c r="RTD28" s="725"/>
      <c r="RTE28" s="725"/>
      <c r="RTF28" s="725"/>
      <c r="RTG28" s="725"/>
      <c r="RTH28" s="725"/>
      <c r="RTI28" s="725"/>
      <c r="RTJ28" s="725"/>
      <c r="RTK28" s="725"/>
      <c r="RTL28" s="725"/>
      <c r="RTM28" s="725"/>
      <c r="RTN28" s="725"/>
      <c r="RTO28" s="725"/>
      <c r="RTP28" s="725"/>
      <c r="RTQ28" s="725"/>
      <c r="RTR28" s="725"/>
      <c r="RTS28" s="725"/>
      <c r="RTT28" s="725"/>
      <c r="RTU28" s="725"/>
      <c r="RTV28" s="725"/>
      <c r="RTW28" s="725"/>
      <c r="RTX28" s="725"/>
      <c r="RTY28" s="725"/>
      <c r="RTZ28" s="725"/>
      <c r="RUA28" s="725"/>
      <c r="RUB28" s="725"/>
      <c r="RUC28" s="725"/>
      <c r="RUD28" s="725"/>
      <c r="RUE28" s="725"/>
      <c r="RUF28" s="725"/>
      <c r="RUG28" s="725"/>
      <c r="RUH28" s="725"/>
      <c r="RUI28" s="725"/>
      <c r="RUJ28" s="725"/>
      <c r="RUK28" s="725"/>
      <c r="RUL28" s="725"/>
      <c r="RUM28" s="725"/>
      <c r="RUN28" s="725"/>
      <c r="RUO28" s="725"/>
      <c r="RUP28" s="725"/>
      <c r="RUQ28" s="725"/>
      <c r="RUR28" s="725"/>
      <c r="RUS28" s="725"/>
      <c r="RUT28" s="725"/>
      <c r="RUU28" s="725"/>
      <c r="RUV28" s="725"/>
      <c r="RUW28" s="725"/>
      <c r="RUX28" s="725"/>
      <c r="RUY28" s="725"/>
      <c r="RUZ28" s="725"/>
      <c r="RVA28" s="725"/>
      <c r="RVB28" s="725"/>
      <c r="RVC28" s="725"/>
      <c r="RVD28" s="725"/>
      <c r="RVE28" s="725"/>
      <c r="RVF28" s="725"/>
      <c r="RVG28" s="725"/>
      <c r="RVH28" s="725"/>
      <c r="RVI28" s="725"/>
      <c r="RVJ28" s="725"/>
      <c r="RVK28" s="725"/>
      <c r="RVL28" s="725"/>
      <c r="RVM28" s="725"/>
      <c r="RVN28" s="725"/>
      <c r="RVO28" s="725"/>
      <c r="RVP28" s="725"/>
      <c r="RVQ28" s="725"/>
      <c r="RVR28" s="725"/>
      <c r="RVS28" s="725"/>
      <c r="RVT28" s="725"/>
      <c r="RVU28" s="725"/>
      <c r="RVV28" s="725"/>
      <c r="RVW28" s="725"/>
      <c r="RVX28" s="725"/>
      <c r="RVY28" s="725"/>
      <c r="RVZ28" s="725"/>
      <c r="RWA28" s="725"/>
      <c r="RWB28" s="725"/>
      <c r="RWC28" s="725"/>
      <c r="RWD28" s="725"/>
      <c r="RWE28" s="725"/>
      <c r="RWF28" s="725"/>
      <c r="RWG28" s="725"/>
      <c r="RWH28" s="725"/>
      <c r="RWI28" s="725"/>
      <c r="RWJ28" s="725"/>
      <c r="RWK28" s="725"/>
      <c r="RWL28" s="725"/>
      <c r="RWM28" s="725"/>
      <c r="RWN28" s="725"/>
      <c r="RWO28" s="725"/>
      <c r="RWP28" s="725"/>
      <c r="RWQ28" s="725"/>
      <c r="RWR28" s="725"/>
      <c r="RWS28" s="725"/>
      <c r="RWT28" s="725"/>
      <c r="RWU28" s="725"/>
      <c r="RWV28" s="725"/>
      <c r="RWW28" s="725"/>
      <c r="RWX28" s="725"/>
      <c r="RWY28" s="725"/>
      <c r="RWZ28" s="725"/>
      <c r="RXA28" s="725"/>
      <c r="RXB28" s="725"/>
      <c r="RXC28" s="725"/>
      <c r="RXD28" s="725"/>
      <c r="RXE28" s="725"/>
      <c r="RXF28" s="725"/>
      <c r="RXG28" s="725"/>
      <c r="RXH28" s="725"/>
      <c r="RXI28" s="725"/>
      <c r="RXJ28" s="725"/>
      <c r="RXK28" s="725"/>
      <c r="RXL28" s="725"/>
      <c r="RXM28" s="725"/>
      <c r="RXN28" s="725"/>
      <c r="RXO28" s="725"/>
      <c r="RXP28" s="725"/>
      <c r="RXQ28" s="725"/>
      <c r="RXR28" s="725"/>
      <c r="RXS28" s="725"/>
      <c r="RXT28" s="725"/>
      <c r="RXU28" s="725"/>
      <c r="RXV28" s="725"/>
      <c r="RXW28" s="725"/>
      <c r="RXX28" s="725"/>
      <c r="RXY28" s="725"/>
      <c r="RXZ28" s="725"/>
      <c r="RYA28" s="725"/>
      <c r="RYB28" s="725"/>
      <c r="RYC28" s="725"/>
      <c r="RYD28" s="725"/>
      <c r="RYE28" s="725"/>
      <c r="RYF28" s="725"/>
      <c r="RYG28" s="725"/>
      <c r="RYH28" s="725"/>
      <c r="RYI28" s="725"/>
      <c r="RYJ28" s="725"/>
      <c r="RYK28" s="725"/>
      <c r="RYL28" s="725"/>
      <c r="RYM28" s="725"/>
      <c r="RYN28" s="725"/>
      <c r="RYO28" s="725"/>
      <c r="RYP28" s="725"/>
      <c r="RYQ28" s="725"/>
      <c r="RYR28" s="725"/>
      <c r="RYS28" s="725"/>
      <c r="RYT28" s="725"/>
      <c r="RYU28" s="725"/>
      <c r="RYV28" s="725"/>
      <c r="RYW28" s="725"/>
      <c r="RYX28" s="725"/>
      <c r="RYY28" s="725"/>
      <c r="RYZ28" s="725"/>
      <c r="RZA28" s="725"/>
      <c r="RZB28" s="725"/>
      <c r="RZC28" s="725"/>
      <c r="RZD28" s="725"/>
      <c r="RZE28" s="725"/>
      <c r="RZF28" s="725"/>
      <c r="RZG28" s="725"/>
      <c r="RZH28" s="725"/>
      <c r="RZI28" s="725"/>
      <c r="RZJ28" s="725"/>
      <c r="RZK28" s="725"/>
      <c r="RZL28" s="725"/>
      <c r="RZM28" s="725"/>
      <c r="RZN28" s="725"/>
      <c r="RZO28" s="725"/>
      <c r="RZP28" s="725"/>
      <c r="RZQ28" s="725"/>
      <c r="RZR28" s="725"/>
      <c r="RZS28" s="725"/>
      <c r="RZT28" s="725"/>
      <c r="RZU28" s="725"/>
      <c r="RZV28" s="725"/>
      <c r="RZW28" s="725"/>
      <c r="RZX28" s="725"/>
      <c r="RZY28" s="725"/>
      <c r="RZZ28" s="725"/>
      <c r="SAA28" s="725"/>
      <c r="SAB28" s="725"/>
      <c r="SAC28" s="725"/>
      <c r="SAD28" s="725"/>
      <c r="SAE28" s="725"/>
      <c r="SAF28" s="725"/>
      <c r="SAG28" s="725"/>
      <c r="SAH28" s="725"/>
      <c r="SAI28" s="725"/>
      <c r="SAJ28" s="725"/>
      <c r="SAK28" s="725"/>
      <c r="SAL28" s="725"/>
      <c r="SAM28" s="725"/>
      <c r="SAN28" s="725"/>
      <c r="SAO28" s="725"/>
      <c r="SAP28" s="725"/>
      <c r="SAQ28" s="725"/>
      <c r="SAR28" s="725"/>
      <c r="SAS28" s="725"/>
      <c r="SAT28" s="725"/>
      <c r="SAU28" s="725"/>
      <c r="SAV28" s="725"/>
      <c r="SAW28" s="725"/>
      <c r="SAX28" s="725"/>
      <c r="SAY28" s="725"/>
      <c r="SAZ28" s="725"/>
      <c r="SBA28" s="725"/>
      <c r="SBB28" s="725"/>
      <c r="SBC28" s="725"/>
      <c r="SBD28" s="725"/>
      <c r="SBE28" s="725"/>
      <c r="SBF28" s="725"/>
      <c r="SBG28" s="725"/>
      <c r="SBH28" s="725"/>
      <c r="SBI28" s="725"/>
      <c r="SBJ28" s="725"/>
      <c r="SBK28" s="725"/>
      <c r="SBL28" s="725"/>
      <c r="SBM28" s="725"/>
      <c r="SBN28" s="725"/>
      <c r="SBO28" s="725"/>
      <c r="SBP28" s="725"/>
      <c r="SBQ28" s="725"/>
      <c r="SBR28" s="725"/>
      <c r="SBS28" s="725"/>
      <c r="SBT28" s="725"/>
      <c r="SBU28" s="725"/>
      <c r="SBV28" s="725"/>
      <c r="SBW28" s="725"/>
      <c r="SBX28" s="725"/>
      <c r="SBY28" s="725"/>
      <c r="SBZ28" s="725"/>
      <c r="SCA28" s="725"/>
      <c r="SCB28" s="725"/>
      <c r="SCC28" s="725"/>
      <c r="SCD28" s="725"/>
      <c r="SCE28" s="725"/>
      <c r="SCF28" s="725"/>
      <c r="SCG28" s="725"/>
      <c r="SCH28" s="725"/>
      <c r="SCI28" s="725"/>
      <c r="SCJ28" s="725"/>
      <c r="SCK28" s="725"/>
      <c r="SCL28" s="725"/>
      <c r="SCM28" s="725"/>
      <c r="SCN28" s="725"/>
      <c r="SCO28" s="725"/>
      <c r="SCP28" s="725"/>
      <c r="SCQ28" s="725"/>
      <c r="SCR28" s="725"/>
      <c r="SCS28" s="725"/>
      <c r="SCT28" s="725"/>
      <c r="SCU28" s="725"/>
      <c r="SCV28" s="725"/>
      <c r="SCW28" s="725"/>
      <c r="SCX28" s="725"/>
      <c r="SCY28" s="725"/>
      <c r="SCZ28" s="725"/>
      <c r="SDA28" s="725"/>
      <c r="SDB28" s="725"/>
      <c r="SDC28" s="725"/>
      <c r="SDD28" s="725"/>
      <c r="SDE28" s="725"/>
      <c r="SDF28" s="725"/>
      <c r="SDG28" s="725"/>
      <c r="SDH28" s="725"/>
      <c r="SDI28" s="725"/>
      <c r="SDJ28" s="725"/>
      <c r="SDK28" s="725"/>
      <c r="SDL28" s="725"/>
      <c r="SDM28" s="725"/>
      <c r="SDN28" s="725"/>
      <c r="SDO28" s="725"/>
      <c r="SDP28" s="725"/>
      <c r="SDQ28" s="725"/>
      <c r="SDR28" s="725"/>
      <c r="SDS28" s="725"/>
      <c r="SDT28" s="725"/>
      <c r="SDU28" s="725"/>
      <c r="SDV28" s="725"/>
      <c r="SDW28" s="725"/>
      <c r="SDX28" s="725"/>
      <c r="SDY28" s="725"/>
      <c r="SDZ28" s="725"/>
      <c r="SEA28" s="725"/>
      <c r="SEB28" s="725"/>
      <c r="SEC28" s="725"/>
      <c r="SED28" s="725"/>
      <c r="SEE28" s="725"/>
      <c r="SEF28" s="725"/>
      <c r="SEG28" s="725"/>
      <c r="SEH28" s="725"/>
      <c r="SEI28" s="725"/>
      <c r="SEJ28" s="725"/>
      <c r="SEK28" s="725"/>
      <c r="SEL28" s="725"/>
      <c r="SEM28" s="725"/>
      <c r="SEN28" s="725"/>
      <c r="SEO28" s="725"/>
      <c r="SEP28" s="725"/>
      <c r="SEQ28" s="725"/>
      <c r="SER28" s="725"/>
      <c r="SES28" s="725"/>
      <c r="SET28" s="725"/>
      <c r="SEU28" s="725"/>
      <c r="SEV28" s="725"/>
      <c r="SEW28" s="725"/>
      <c r="SEX28" s="725"/>
      <c r="SEY28" s="725"/>
      <c r="SEZ28" s="725"/>
      <c r="SFA28" s="725"/>
      <c r="SFB28" s="725"/>
      <c r="SFC28" s="725"/>
      <c r="SFD28" s="725"/>
      <c r="SFE28" s="725"/>
      <c r="SFF28" s="725"/>
      <c r="SFG28" s="725"/>
      <c r="SFH28" s="725"/>
      <c r="SFI28" s="725"/>
      <c r="SFJ28" s="725"/>
      <c r="SFK28" s="725"/>
      <c r="SFL28" s="725"/>
      <c r="SFM28" s="725"/>
      <c r="SFN28" s="725"/>
      <c r="SFO28" s="725"/>
      <c r="SFP28" s="725"/>
      <c r="SFQ28" s="725"/>
      <c r="SFR28" s="725"/>
      <c r="SFS28" s="725"/>
      <c r="SFT28" s="725"/>
      <c r="SFU28" s="725"/>
      <c r="SFV28" s="725"/>
      <c r="SFW28" s="725"/>
      <c r="SFX28" s="725"/>
      <c r="SFY28" s="725"/>
      <c r="SFZ28" s="725"/>
      <c r="SGA28" s="725"/>
      <c r="SGB28" s="725"/>
      <c r="SGC28" s="725"/>
      <c r="SGD28" s="725"/>
      <c r="SGE28" s="725"/>
      <c r="SGF28" s="725"/>
      <c r="SGG28" s="725"/>
      <c r="SGH28" s="725"/>
      <c r="SGI28" s="725"/>
      <c r="SGJ28" s="725"/>
      <c r="SGK28" s="725"/>
      <c r="SGL28" s="725"/>
      <c r="SGM28" s="725"/>
      <c r="SGN28" s="725"/>
      <c r="SGO28" s="725"/>
      <c r="SGP28" s="725"/>
      <c r="SGQ28" s="725"/>
      <c r="SGR28" s="725"/>
      <c r="SGS28" s="725"/>
      <c r="SGT28" s="725"/>
      <c r="SGU28" s="725"/>
      <c r="SGV28" s="725"/>
      <c r="SGW28" s="725"/>
      <c r="SGX28" s="725"/>
      <c r="SGY28" s="725"/>
      <c r="SGZ28" s="725"/>
      <c r="SHA28" s="725"/>
      <c r="SHB28" s="725"/>
      <c r="SHC28" s="725"/>
      <c r="SHD28" s="725"/>
      <c r="SHE28" s="725"/>
      <c r="SHF28" s="725"/>
      <c r="SHG28" s="725"/>
      <c r="SHH28" s="725"/>
      <c r="SHI28" s="725"/>
      <c r="SHJ28" s="725"/>
      <c r="SHK28" s="725"/>
      <c r="SHL28" s="725"/>
      <c r="SHM28" s="725"/>
      <c r="SHN28" s="725"/>
      <c r="SHO28" s="725"/>
      <c r="SHP28" s="725"/>
      <c r="SHQ28" s="725"/>
      <c r="SHR28" s="725"/>
      <c r="SHS28" s="725"/>
      <c r="SHT28" s="725"/>
      <c r="SHU28" s="725"/>
      <c r="SHV28" s="725"/>
      <c r="SHW28" s="725"/>
      <c r="SHX28" s="725"/>
      <c r="SHY28" s="725"/>
      <c r="SHZ28" s="725"/>
      <c r="SIA28" s="725"/>
      <c r="SIB28" s="725"/>
      <c r="SIC28" s="725"/>
      <c r="SID28" s="725"/>
      <c r="SIE28" s="725"/>
      <c r="SIF28" s="725"/>
      <c r="SIG28" s="725"/>
      <c r="SIH28" s="725"/>
      <c r="SII28" s="725"/>
      <c r="SIJ28" s="725"/>
      <c r="SIK28" s="725"/>
      <c r="SIL28" s="725"/>
      <c r="SIM28" s="725"/>
      <c r="SIN28" s="725"/>
      <c r="SIO28" s="725"/>
      <c r="SIP28" s="725"/>
      <c r="SIQ28" s="725"/>
      <c r="SIR28" s="725"/>
      <c r="SIS28" s="725"/>
      <c r="SIT28" s="725"/>
      <c r="SIU28" s="725"/>
      <c r="SIV28" s="725"/>
      <c r="SIW28" s="725"/>
      <c r="SIX28" s="725"/>
      <c r="SIY28" s="725"/>
      <c r="SIZ28" s="725"/>
      <c r="SJA28" s="725"/>
      <c r="SJB28" s="725"/>
      <c r="SJC28" s="725"/>
      <c r="SJD28" s="725"/>
      <c r="SJE28" s="725"/>
      <c r="SJF28" s="725"/>
      <c r="SJG28" s="725"/>
      <c r="SJH28" s="725"/>
      <c r="SJI28" s="725"/>
      <c r="SJJ28" s="725"/>
      <c r="SJK28" s="725"/>
      <c r="SJL28" s="725"/>
      <c r="SJM28" s="725"/>
      <c r="SJN28" s="725"/>
      <c r="SJO28" s="725"/>
      <c r="SJP28" s="725"/>
      <c r="SJQ28" s="725"/>
      <c r="SJR28" s="725"/>
      <c r="SJS28" s="725"/>
      <c r="SJT28" s="725"/>
      <c r="SJU28" s="725"/>
      <c r="SJV28" s="725"/>
      <c r="SJW28" s="725"/>
      <c r="SJX28" s="725"/>
      <c r="SJY28" s="725"/>
      <c r="SJZ28" s="725"/>
      <c r="SKA28" s="725"/>
      <c r="SKB28" s="725"/>
      <c r="SKC28" s="725"/>
      <c r="SKD28" s="725"/>
      <c r="SKE28" s="725"/>
      <c r="SKF28" s="725"/>
      <c r="SKG28" s="725"/>
      <c r="SKH28" s="725"/>
      <c r="SKI28" s="725"/>
      <c r="SKJ28" s="725"/>
      <c r="SKK28" s="725"/>
      <c r="SKL28" s="725"/>
      <c r="SKM28" s="725"/>
      <c r="SKN28" s="725"/>
      <c r="SKO28" s="725"/>
      <c r="SKP28" s="725"/>
      <c r="SKQ28" s="725"/>
      <c r="SKR28" s="725"/>
      <c r="SKS28" s="725"/>
      <c r="SKT28" s="725"/>
      <c r="SKU28" s="725"/>
      <c r="SKV28" s="725"/>
      <c r="SKW28" s="725"/>
      <c r="SKX28" s="725"/>
      <c r="SKY28" s="725"/>
      <c r="SKZ28" s="725"/>
      <c r="SLA28" s="725"/>
      <c r="SLB28" s="725"/>
      <c r="SLC28" s="725"/>
      <c r="SLD28" s="725"/>
      <c r="SLE28" s="725"/>
      <c r="SLF28" s="725"/>
      <c r="SLG28" s="725"/>
      <c r="SLH28" s="725"/>
      <c r="SLI28" s="725"/>
      <c r="SLJ28" s="725"/>
      <c r="SLK28" s="725"/>
      <c r="SLL28" s="725"/>
      <c r="SLM28" s="725"/>
      <c r="SLN28" s="725"/>
      <c r="SLO28" s="725"/>
      <c r="SLP28" s="725"/>
      <c r="SLQ28" s="725"/>
      <c r="SLR28" s="725"/>
      <c r="SLS28" s="725"/>
      <c r="SLT28" s="725"/>
      <c r="SLU28" s="725"/>
      <c r="SLV28" s="725"/>
      <c r="SLW28" s="725"/>
      <c r="SLX28" s="725"/>
      <c r="SLY28" s="725"/>
      <c r="SLZ28" s="725"/>
      <c r="SMA28" s="725"/>
      <c r="SMB28" s="725"/>
      <c r="SMC28" s="725"/>
      <c r="SMD28" s="725"/>
      <c r="SME28" s="725"/>
      <c r="SMF28" s="725"/>
      <c r="SMG28" s="725"/>
      <c r="SMH28" s="725"/>
      <c r="SMI28" s="725"/>
      <c r="SMJ28" s="725"/>
      <c r="SMK28" s="725"/>
      <c r="SML28" s="725"/>
      <c r="SMM28" s="725"/>
      <c r="SMN28" s="725"/>
      <c r="SMO28" s="725"/>
      <c r="SMP28" s="725"/>
      <c r="SMQ28" s="725"/>
      <c r="SMR28" s="725"/>
      <c r="SMS28" s="725"/>
      <c r="SMT28" s="725"/>
      <c r="SMU28" s="725"/>
      <c r="SMV28" s="725"/>
      <c r="SMW28" s="725"/>
      <c r="SMX28" s="725"/>
      <c r="SMY28" s="725"/>
      <c r="SMZ28" s="725"/>
      <c r="SNA28" s="725"/>
      <c r="SNB28" s="725"/>
      <c r="SNC28" s="725"/>
      <c r="SND28" s="725"/>
      <c r="SNE28" s="725"/>
      <c r="SNF28" s="725"/>
      <c r="SNG28" s="725"/>
      <c r="SNH28" s="725"/>
      <c r="SNI28" s="725"/>
      <c r="SNJ28" s="725"/>
      <c r="SNK28" s="725"/>
      <c r="SNL28" s="725"/>
      <c r="SNM28" s="725"/>
      <c r="SNN28" s="725"/>
      <c r="SNO28" s="725"/>
      <c r="SNP28" s="725"/>
      <c r="SNQ28" s="725"/>
      <c r="SNR28" s="725"/>
      <c r="SNS28" s="725"/>
      <c r="SNT28" s="725"/>
      <c r="SNU28" s="725"/>
      <c r="SNV28" s="725"/>
      <c r="SNW28" s="725"/>
      <c r="SNX28" s="725"/>
      <c r="SNY28" s="725"/>
      <c r="SNZ28" s="725"/>
      <c r="SOA28" s="725"/>
      <c r="SOB28" s="725"/>
      <c r="SOC28" s="725"/>
      <c r="SOD28" s="725"/>
      <c r="SOE28" s="725"/>
      <c r="SOF28" s="725"/>
      <c r="SOG28" s="725"/>
      <c r="SOH28" s="725"/>
      <c r="SOI28" s="725"/>
      <c r="SOJ28" s="725"/>
      <c r="SOK28" s="725"/>
      <c r="SOL28" s="725"/>
      <c r="SOM28" s="725"/>
      <c r="SON28" s="725"/>
      <c r="SOO28" s="725"/>
      <c r="SOP28" s="725"/>
      <c r="SOQ28" s="725"/>
      <c r="SOR28" s="725"/>
      <c r="SOS28" s="725"/>
      <c r="SOT28" s="725"/>
      <c r="SOU28" s="725"/>
      <c r="SOV28" s="725"/>
      <c r="SOW28" s="725"/>
      <c r="SOX28" s="725"/>
      <c r="SOY28" s="725"/>
      <c r="SOZ28" s="725"/>
      <c r="SPA28" s="725"/>
      <c r="SPB28" s="725"/>
      <c r="SPC28" s="725"/>
      <c r="SPD28" s="725"/>
      <c r="SPE28" s="725"/>
      <c r="SPF28" s="725"/>
      <c r="SPG28" s="725"/>
      <c r="SPH28" s="725"/>
      <c r="SPI28" s="725"/>
      <c r="SPJ28" s="725"/>
      <c r="SPK28" s="725"/>
      <c r="SPL28" s="725"/>
      <c r="SPM28" s="725"/>
      <c r="SPN28" s="725"/>
      <c r="SPO28" s="725"/>
      <c r="SPP28" s="725"/>
      <c r="SPQ28" s="725"/>
      <c r="SPR28" s="725"/>
      <c r="SPS28" s="725"/>
      <c r="SPT28" s="725"/>
      <c r="SPU28" s="725"/>
      <c r="SPV28" s="725"/>
      <c r="SPW28" s="725"/>
      <c r="SPX28" s="725"/>
      <c r="SPY28" s="725"/>
      <c r="SPZ28" s="725"/>
      <c r="SQA28" s="725"/>
      <c r="SQB28" s="725"/>
      <c r="SQC28" s="725"/>
      <c r="SQD28" s="725"/>
      <c r="SQE28" s="725"/>
      <c r="SQF28" s="725"/>
      <c r="SQG28" s="725"/>
      <c r="SQH28" s="725"/>
      <c r="SQI28" s="725"/>
      <c r="SQJ28" s="725"/>
      <c r="SQK28" s="725"/>
      <c r="SQL28" s="725"/>
      <c r="SQM28" s="725"/>
      <c r="SQN28" s="725"/>
      <c r="SQO28" s="725"/>
      <c r="SQP28" s="725"/>
      <c r="SQQ28" s="725"/>
      <c r="SQR28" s="725"/>
      <c r="SQS28" s="725"/>
      <c r="SQT28" s="725"/>
      <c r="SQU28" s="725"/>
      <c r="SQV28" s="725"/>
      <c r="SQW28" s="725"/>
      <c r="SQX28" s="725"/>
      <c r="SQY28" s="725"/>
      <c r="SQZ28" s="725"/>
      <c r="SRA28" s="725"/>
      <c r="SRB28" s="725"/>
      <c r="SRC28" s="725"/>
      <c r="SRD28" s="725"/>
      <c r="SRE28" s="725"/>
      <c r="SRF28" s="725"/>
      <c r="SRG28" s="725"/>
      <c r="SRH28" s="725"/>
      <c r="SRI28" s="725"/>
      <c r="SRJ28" s="725"/>
      <c r="SRK28" s="725"/>
      <c r="SRL28" s="725"/>
      <c r="SRM28" s="725"/>
      <c r="SRN28" s="725"/>
      <c r="SRO28" s="725"/>
      <c r="SRP28" s="725"/>
      <c r="SRQ28" s="725"/>
      <c r="SRR28" s="725"/>
      <c r="SRS28" s="725"/>
      <c r="SRT28" s="725"/>
      <c r="SRU28" s="725"/>
      <c r="SRV28" s="725"/>
      <c r="SRW28" s="725"/>
      <c r="SRX28" s="725"/>
      <c r="SRY28" s="725"/>
      <c r="SRZ28" s="725"/>
      <c r="SSA28" s="725"/>
      <c r="SSB28" s="725"/>
      <c r="SSC28" s="725"/>
      <c r="SSD28" s="725"/>
      <c r="SSE28" s="725"/>
      <c r="SSF28" s="725"/>
      <c r="SSG28" s="725"/>
      <c r="SSH28" s="725"/>
      <c r="SSI28" s="725"/>
      <c r="SSJ28" s="725"/>
      <c r="SSK28" s="725"/>
      <c r="SSL28" s="725"/>
      <c r="SSM28" s="725"/>
      <c r="SSN28" s="725"/>
      <c r="SSO28" s="725"/>
      <c r="SSP28" s="725"/>
      <c r="SSQ28" s="725"/>
      <c r="SSR28" s="725"/>
      <c r="SSS28" s="725"/>
      <c r="SST28" s="725"/>
      <c r="SSU28" s="725"/>
      <c r="SSV28" s="725"/>
      <c r="SSW28" s="725"/>
      <c r="SSX28" s="725"/>
      <c r="SSY28" s="725"/>
      <c r="SSZ28" s="725"/>
      <c r="STA28" s="725"/>
      <c r="STB28" s="725"/>
      <c r="STC28" s="725"/>
      <c r="STD28" s="725"/>
      <c r="STE28" s="725"/>
      <c r="STF28" s="725"/>
      <c r="STG28" s="725"/>
      <c r="STH28" s="725"/>
      <c r="STI28" s="725"/>
      <c r="STJ28" s="725"/>
      <c r="STK28" s="725"/>
      <c r="STL28" s="725"/>
      <c r="STM28" s="725"/>
      <c r="STN28" s="725"/>
      <c r="STO28" s="725"/>
      <c r="STP28" s="725"/>
      <c r="STQ28" s="725"/>
      <c r="STR28" s="725"/>
      <c r="STS28" s="725"/>
      <c r="STT28" s="725"/>
      <c r="STU28" s="725"/>
      <c r="STV28" s="725"/>
      <c r="STW28" s="725"/>
      <c r="STX28" s="725"/>
      <c r="STY28" s="725"/>
      <c r="STZ28" s="725"/>
      <c r="SUA28" s="725"/>
      <c r="SUB28" s="725"/>
      <c r="SUC28" s="725"/>
      <c r="SUD28" s="725"/>
      <c r="SUE28" s="725"/>
      <c r="SUF28" s="725"/>
      <c r="SUG28" s="725"/>
      <c r="SUH28" s="725"/>
      <c r="SUI28" s="725"/>
      <c r="SUJ28" s="725"/>
      <c r="SUK28" s="725"/>
      <c r="SUL28" s="725"/>
      <c r="SUM28" s="725"/>
      <c r="SUN28" s="725"/>
      <c r="SUO28" s="725"/>
      <c r="SUP28" s="725"/>
      <c r="SUQ28" s="725"/>
      <c r="SUR28" s="725"/>
      <c r="SUS28" s="725"/>
      <c r="SUT28" s="725"/>
      <c r="SUU28" s="725"/>
      <c r="SUV28" s="725"/>
      <c r="SUW28" s="725"/>
      <c r="SUX28" s="725"/>
      <c r="SUY28" s="725"/>
      <c r="SUZ28" s="725"/>
      <c r="SVA28" s="725"/>
      <c r="SVB28" s="725"/>
      <c r="SVC28" s="725"/>
      <c r="SVD28" s="725"/>
      <c r="SVE28" s="725"/>
      <c r="SVF28" s="725"/>
      <c r="SVG28" s="725"/>
      <c r="SVH28" s="725"/>
      <c r="SVI28" s="725"/>
      <c r="SVJ28" s="725"/>
      <c r="SVK28" s="725"/>
      <c r="SVL28" s="725"/>
      <c r="SVM28" s="725"/>
      <c r="SVN28" s="725"/>
      <c r="SVO28" s="725"/>
      <c r="SVP28" s="725"/>
      <c r="SVQ28" s="725"/>
      <c r="SVR28" s="725"/>
      <c r="SVS28" s="725"/>
      <c r="SVT28" s="725"/>
      <c r="SVU28" s="725"/>
      <c r="SVV28" s="725"/>
      <c r="SVW28" s="725"/>
      <c r="SVX28" s="725"/>
      <c r="SVY28" s="725"/>
      <c r="SVZ28" s="725"/>
      <c r="SWA28" s="725"/>
      <c r="SWB28" s="725"/>
      <c r="SWC28" s="725"/>
      <c r="SWD28" s="725"/>
      <c r="SWE28" s="725"/>
      <c r="SWF28" s="725"/>
      <c r="SWG28" s="725"/>
      <c r="SWH28" s="725"/>
      <c r="SWI28" s="725"/>
      <c r="SWJ28" s="725"/>
      <c r="SWK28" s="725"/>
      <c r="SWL28" s="725"/>
      <c r="SWM28" s="725"/>
      <c r="SWN28" s="725"/>
      <c r="SWO28" s="725"/>
      <c r="SWP28" s="725"/>
      <c r="SWQ28" s="725"/>
      <c r="SWR28" s="725"/>
      <c r="SWS28" s="725"/>
      <c r="SWT28" s="725"/>
      <c r="SWU28" s="725"/>
      <c r="SWV28" s="725"/>
      <c r="SWW28" s="725"/>
      <c r="SWX28" s="725"/>
      <c r="SWY28" s="725"/>
      <c r="SWZ28" s="725"/>
      <c r="SXA28" s="725"/>
      <c r="SXB28" s="725"/>
      <c r="SXC28" s="725"/>
      <c r="SXD28" s="725"/>
      <c r="SXE28" s="725"/>
      <c r="SXF28" s="725"/>
      <c r="SXG28" s="725"/>
      <c r="SXH28" s="725"/>
      <c r="SXI28" s="725"/>
      <c r="SXJ28" s="725"/>
      <c r="SXK28" s="725"/>
      <c r="SXL28" s="725"/>
      <c r="SXM28" s="725"/>
      <c r="SXN28" s="725"/>
      <c r="SXO28" s="725"/>
      <c r="SXP28" s="725"/>
      <c r="SXQ28" s="725"/>
      <c r="SXR28" s="725"/>
      <c r="SXS28" s="725"/>
      <c r="SXT28" s="725"/>
      <c r="SXU28" s="725"/>
      <c r="SXV28" s="725"/>
      <c r="SXW28" s="725"/>
      <c r="SXX28" s="725"/>
      <c r="SXY28" s="725"/>
      <c r="SXZ28" s="725"/>
      <c r="SYA28" s="725"/>
      <c r="SYB28" s="725"/>
      <c r="SYC28" s="725"/>
      <c r="SYD28" s="725"/>
      <c r="SYE28" s="725"/>
      <c r="SYF28" s="725"/>
      <c r="SYG28" s="725"/>
      <c r="SYH28" s="725"/>
      <c r="SYI28" s="725"/>
      <c r="SYJ28" s="725"/>
      <c r="SYK28" s="725"/>
      <c r="SYL28" s="725"/>
      <c r="SYM28" s="725"/>
      <c r="SYN28" s="725"/>
      <c r="SYO28" s="725"/>
      <c r="SYP28" s="725"/>
      <c r="SYQ28" s="725"/>
      <c r="SYR28" s="725"/>
      <c r="SYS28" s="725"/>
      <c r="SYT28" s="725"/>
      <c r="SYU28" s="725"/>
      <c r="SYV28" s="725"/>
      <c r="SYW28" s="725"/>
      <c r="SYX28" s="725"/>
      <c r="SYY28" s="725"/>
      <c r="SYZ28" s="725"/>
      <c r="SZA28" s="725"/>
      <c r="SZB28" s="725"/>
      <c r="SZC28" s="725"/>
      <c r="SZD28" s="725"/>
      <c r="SZE28" s="725"/>
      <c r="SZF28" s="725"/>
      <c r="SZG28" s="725"/>
      <c r="SZH28" s="725"/>
      <c r="SZI28" s="725"/>
      <c r="SZJ28" s="725"/>
      <c r="SZK28" s="725"/>
      <c r="SZL28" s="725"/>
      <c r="SZM28" s="725"/>
      <c r="SZN28" s="725"/>
      <c r="SZO28" s="725"/>
      <c r="SZP28" s="725"/>
      <c r="SZQ28" s="725"/>
      <c r="SZR28" s="725"/>
      <c r="SZS28" s="725"/>
      <c r="SZT28" s="725"/>
      <c r="SZU28" s="725"/>
      <c r="SZV28" s="725"/>
      <c r="SZW28" s="725"/>
      <c r="SZX28" s="725"/>
      <c r="SZY28" s="725"/>
      <c r="SZZ28" s="725"/>
      <c r="TAA28" s="725"/>
      <c r="TAB28" s="725"/>
      <c r="TAC28" s="725"/>
      <c r="TAD28" s="725"/>
      <c r="TAE28" s="725"/>
      <c r="TAF28" s="725"/>
      <c r="TAG28" s="725"/>
      <c r="TAH28" s="725"/>
      <c r="TAI28" s="725"/>
      <c r="TAJ28" s="725"/>
      <c r="TAK28" s="725"/>
      <c r="TAL28" s="725"/>
      <c r="TAM28" s="725"/>
      <c r="TAN28" s="725"/>
      <c r="TAO28" s="725"/>
      <c r="TAP28" s="725"/>
      <c r="TAQ28" s="725"/>
      <c r="TAR28" s="725"/>
      <c r="TAS28" s="725"/>
      <c r="TAT28" s="725"/>
      <c r="TAU28" s="725"/>
      <c r="TAV28" s="725"/>
      <c r="TAW28" s="725"/>
      <c r="TAX28" s="725"/>
      <c r="TAY28" s="725"/>
      <c r="TAZ28" s="725"/>
      <c r="TBA28" s="725"/>
      <c r="TBB28" s="725"/>
      <c r="TBC28" s="725"/>
      <c r="TBD28" s="725"/>
      <c r="TBE28" s="725"/>
      <c r="TBF28" s="725"/>
      <c r="TBG28" s="725"/>
      <c r="TBH28" s="725"/>
      <c r="TBI28" s="725"/>
      <c r="TBJ28" s="725"/>
      <c r="TBK28" s="725"/>
      <c r="TBL28" s="725"/>
      <c r="TBM28" s="725"/>
      <c r="TBN28" s="725"/>
      <c r="TBO28" s="725"/>
      <c r="TBP28" s="725"/>
      <c r="TBQ28" s="725"/>
      <c r="TBR28" s="725"/>
      <c r="TBS28" s="725"/>
      <c r="TBT28" s="725"/>
      <c r="TBU28" s="725"/>
      <c r="TBV28" s="725"/>
      <c r="TBW28" s="725"/>
      <c r="TBX28" s="725"/>
      <c r="TBY28" s="725"/>
      <c r="TBZ28" s="725"/>
      <c r="TCA28" s="725"/>
      <c r="TCB28" s="725"/>
      <c r="TCC28" s="725"/>
      <c r="TCD28" s="725"/>
      <c r="TCE28" s="725"/>
      <c r="TCF28" s="725"/>
      <c r="TCG28" s="725"/>
      <c r="TCH28" s="725"/>
      <c r="TCI28" s="725"/>
      <c r="TCJ28" s="725"/>
      <c r="TCK28" s="725"/>
      <c r="TCL28" s="725"/>
      <c r="TCM28" s="725"/>
      <c r="TCN28" s="725"/>
      <c r="TCO28" s="725"/>
      <c r="TCP28" s="725"/>
      <c r="TCQ28" s="725"/>
      <c r="TCR28" s="725"/>
      <c r="TCS28" s="725"/>
      <c r="TCT28" s="725"/>
      <c r="TCU28" s="725"/>
      <c r="TCV28" s="725"/>
      <c r="TCW28" s="725"/>
      <c r="TCX28" s="725"/>
      <c r="TCY28" s="725"/>
      <c r="TCZ28" s="725"/>
      <c r="TDA28" s="725"/>
      <c r="TDB28" s="725"/>
      <c r="TDC28" s="725"/>
      <c r="TDD28" s="725"/>
      <c r="TDE28" s="725"/>
      <c r="TDF28" s="725"/>
      <c r="TDG28" s="725"/>
      <c r="TDH28" s="725"/>
      <c r="TDI28" s="725"/>
      <c r="TDJ28" s="725"/>
      <c r="TDK28" s="725"/>
      <c r="TDL28" s="725"/>
      <c r="TDM28" s="725"/>
      <c r="TDN28" s="725"/>
      <c r="TDO28" s="725"/>
      <c r="TDP28" s="725"/>
      <c r="TDQ28" s="725"/>
      <c r="TDR28" s="725"/>
      <c r="TDS28" s="725"/>
      <c r="TDT28" s="725"/>
      <c r="TDU28" s="725"/>
      <c r="TDV28" s="725"/>
      <c r="TDW28" s="725"/>
      <c r="TDX28" s="725"/>
      <c r="TDY28" s="725"/>
      <c r="TDZ28" s="725"/>
      <c r="TEA28" s="725"/>
      <c r="TEB28" s="725"/>
      <c r="TEC28" s="725"/>
      <c r="TED28" s="725"/>
      <c r="TEE28" s="725"/>
      <c r="TEF28" s="725"/>
      <c r="TEG28" s="725"/>
      <c r="TEH28" s="725"/>
      <c r="TEI28" s="725"/>
      <c r="TEJ28" s="725"/>
      <c r="TEK28" s="725"/>
      <c r="TEL28" s="725"/>
      <c r="TEM28" s="725"/>
      <c r="TEN28" s="725"/>
      <c r="TEO28" s="725"/>
      <c r="TEP28" s="725"/>
      <c r="TEQ28" s="725"/>
      <c r="TER28" s="725"/>
      <c r="TES28" s="725"/>
      <c r="TET28" s="725"/>
      <c r="TEU28" s="725"/>
      <c r="TEV28" s="725"/>
      <c r="TEW28" s="725"/>
      <c r="TEX28" s="725"/>
      <c r="TEY28" s="725"/>
      <c r="TEZ28" s="725"/>
      <c r="TFA28" s="725"/>
      <c r="TFB28" s="725"/>
      <c r="TFC28" s="725"/>
      <c r="TFD28" s="725"/>
      <c r="TFE28" s="725"/>
      <c r="TFF28" s="725"/>
      <c r="TFG28" s="725"/>
      <c r="TFH28" s="725"/>
      <c r="TFI28" s="725"/>
      <c r="TFJ28" s="725"/>
      <c r="TFK28" s="725"/>
      <c r="TFL28" s="725"/>
      <c r="TFM28" s="725"/>
      <c r="TFN28" s="725"/>
      <c r="TFO28" s="725"/>
      <c r="TFP28" s="725"/>
      <c r="TFQ28" s="725"/>
      <c r="TFR28" s="725"/>
      <c r="TFS28" s="725"/>
      <c r="TFT28" s="725"/>
      <c r="TFU28" s="725"/>
      <c r="TFV28" s="725"/>
      <c r="TFW28" s="725"/>
      <c r="TFX28" s="725"/>
      <c r="TFY28" s="725"/>
      <c r="TFZ28" s="725"/>
      <c r="TGA28" s="725"/>
      <c r="TGB28" s="725"/>
      <c r="TGC28" s="725"/>
      <c r="TGD28" s="725"/>
      <c r="TGE28" s="725"/>
      <c r="TGF28" s="725"/>
      <c r="TGG28" s="725"/>
      <c r="TGH28" s="725"/>
      <c r="TGI28" s="725"/>
      <c r="TGJ28" s="725"/>
      <c r="TGK28" s="725"/>
      <c r="TGL28" s="725"/>
      <c r="TGM28" s="725"/>
      <c r="TGN28" s="725"/>
      <c r="TGO28" s="725"/>
      <c r="TGP28" s="725"/>
      <c r="TGQ28" s="725"/>
      <c r="TGR28" s="725"/>
      <c r="TGS28" s="725"/>
      <c r="TGT28" s="725"/>
      <c r="TGU28" s="725"/>
      <c r="TGV28" s="725"/>
      <c r="TGW28" s="725"/>
      <c r="TGX28" s="725"/>
      <c r="TGY28" s="725"/>
      <c r="TGZ28" s="725"/>
      <c r="THA28" s="725"/>
      <c r="THB28" s="725"/>
      <c r="THC28" s="725"/>
      <c r="THD28" s="725"/>
      <c r="THE28" s="725"/>
      <c r="THF28" s="725"/>
      <c r="THG28" s="725"/>
      <c r="THH28" s="725"/>
      <c r="THI28" s="725"/>
      <c r="THJ28" s="725"/>
      <c r="THK28" s="725"/>
      <c r="THL28" s="725"/>
      <c r="THM28" s="725"/>
      <c r="THN28" s="725"/>
      <c r="THO28" s="725"/>
      <c r="THP28" s="725"/>
      <c r="THQ28" s="725"/>
      <c r="THR28" s="725"/>
      <c r="THS28" s="725"/>
      <c r="THT28" s="725"/>
      <c r="THU28" s="725"/>
      <c r="THV28" s="725"/>
      <c r="THW28" s="725"/>
      <c r="THX28" s="725"/>
      <c r="THY28" s="725"/>
      <c r="THZ28" s="725"/>
      <c r="TIA28" s="725"/>
      <c r="TIB28" s="725"/>
      <c r="TIC28" s="725"/>
      <c r="TID28" s="725"/>
      <c r="TIE28" s="725"/>
      <c r="TIF28" s="725"/>
      <c r="TIG28" s="725"/>
      <c r="TIH28" s="725"/>
      <c r="TII28" s="725"/>
      <c r="TIJ28" s="725"/>
      <c r="TIK28" s="725"/>
      <c r="TIL28" s="725"/>
      <c r="TIM28" s="725"/>
      <c r="TIN28" s="725"/>
      <c r="TIO28" s="725"/>
      <c r="TIP28" s="725"/>
      <c r="TIQ28" s="725"/>
      <c r="TIR28" s="725"/>
      <c r="TIS28" s="725"/>
      <c r="TIT28" s="725"/>
      <c r="TIU28" s="725"/>
      <c r="TIV28" s="725"/>
      <c r="TIW28" s="725"/>
      <c r="TIX28" s="725"/>
      <c r="TIY28" s="725"/>
      <c r="TIZ28" s="725"/>
      <c r="TJA28" s="725"/>
      <c r="TJB28" s="725"/>
      <c r="TJC28" s="725"/>
      <c r="TJD28" s="725"/>
      <c r="TJE28" s="725"/>
      <c r="TJF28" s="725"/>
      <c r="TJG28" s="725"/>
      <c r="TJH28" s="725"/>
      <c r="TJI28" s="725"/>
      <c r="TJJ28" s="725"/>
      <c r="TJK28" s="725"/>
      <c r="TJL28" s="725"/>
      <c r="TJM28" s="725"/>
      <c r="TJN28" s="725"/>
      <c r="TJO28" s="725"/>
      <c r="TJP28" s="725"/>
      <c r="TJQ28" s="725"/>
      <c r="TJR28" s="725"/>
      <c r="TJS28" s="725"/>
      <c r="TJT28" s="725"/>
      <c r="TJU28" s="725"/>
      <c r="TJV28" s="725"/>
      <c r="TJW28" s="725"/>
      <c r="TJX28" s="725"/>
      <c r="TJY28" s="725"/>
      <c r="TJZ28" s="725"/>
      <c r="TKA28" s="725"/>
      <c r="TKB28" s="725"/>
      <c r="TKC28" s="725"/>
      <c r="TKD28" s="725"/>
      <c r="TKE28" s="725"/>
      <c r="TKF28" s="725"/>
      <c r="TKG28" s="725"/>
      <c r="TKH28" s="725"/>
      <c r="TKI28" s="725"/>
      <c r="TKJ28" s="725"/>
      <c r="TKK28" s="725"/>
      <c r="TKL28" s="725"/>
      <c r="TKM28" s="725"/>
      <c r="TKN28" s="725"/>
      <c r="TKO28" s="725"/>
      <c r="TKP28" s="725"/>
      <c r="TKQ28" s="725"/>
      <c r="TKR28" s="725"/>
      <c r="TKS28" s="725"/>
      <c r="TKT28" s="725"/>
      <c r="TKU28" s="725"/>
      <c r="TKV28" s="725"/>
      <c r="TKW28" s="725"/>
      <c r="TKX28" s="725"/>
      <c r="TKY28" s="725"/>
      <c r="TKZ28" s="725"/>
      <c r="TLA28" s="725"/>
      <c r="TLB28" s="725"/>
      <c r="TLC28" s="725"/>
      <c r="TLD28" s="725"/>
      <c r="TLE28" s="725"/>
      <c r="TLF28" s="725"/>
      <c r="TLG28" s="725"/>
      <c r="TLH28" s="725"/>
      <c r="TLI28" s="725"/>
      <c r="TLJ28" s="725"/>
      <c r="TLK28" s="725"/>
      <c r="TLL28" s="725"/>
      <c r="TLM28" s="725"/>
      <c r="TLN28" s="725"/>
      <c r="TLO28" s="725"/>
      <c r="TLP28" s="725"/>
      <c r="TLQ28" s="725"/>
      <c r="TLR28" s="725"/>
      <c r="TLS28" s="725"/>
      <c r="TLT28" s="725"/>
      <c r="TLU28" s="725"/>
      <c r="TLV28" s="725"/>
      <c r="TLW28" s="725"/>
      <c r="TLX28" s="725"/>
      <c r="TLY28" s="725"/>
      <c r="TLZ28" s="725"/>
      <c r="TMA28" s="725"/>
      <c r="TMB28" s="725"/>
      <c r="TMC28" s="725"/>
      <c r="TMD28" s="725"/>
      <c r="TME28" s="725"/>
      <c r="TMF28" s="725"/>
      <c r="TMG28" s="725"/>
      <c r="TMH28" s="725"/>
      <c r="TMI28" s="725"/>
      <c r="TMJ28" s="725"/>
      <c r="TMK28" s="725"/>
      <c r="TML28" s="725"/>
      <c r="TMM28" s="725"/>
      <c r="TMN28" s="725"/>
      <c r="TMO28" s="725"/>
      <c r="TMP28" s="725"/>
      <c r="TMQ28" s="725"/>
      <c r="TMR28" s="725"/>
      <c r="TMS28" s="725"/>
      <c r="TMT28" s="725"/>
      <c r="TMU28" s="725"/>
      <c r="TMV28" s="725"/>
      <c r="TMW28" s="725"/>
      <c r="TMX28" s="725"/>
      <c r="TMY28" s="725"/>
      <c r="TMZ28" s="725"/>
      <c r="TNA28" s="725"/>
      <c r="TNB28" s="725"/>
      <c r="TNC28" s="725"/>
      <c r="TND28" s="725"/>
      <c r="TNE28" s="725"/>
      <c r="TNF28" s="725"/>
      <c r="TNG28" s="725"/>
      <c r="TNH28" s="725"/>
      <c r="TNI28" s="725"/>
      <c r="TNJ28" s="725"/>
      <c r="TNK28" s="725"/>
      <c r="TNL28" s="725"/>
      <c r="TNM28" s="725"/>
      <c r="TNN28" s="725"/>
      <c r="TNO28" s="725"/>
      <c r="TNP28" s="725"/>
      <c r="TNQ28" s="725"/>
      <c r="TNR28" s="725"/>
      <c r="TNS28" s="725"/>
      <c r="TNT28" s="725"/>
      <c r="TNU28" s="725"/>
      <c r="TNV28" s="725"/>
      <c r="TNW28" s="725"/>
      <c r="TNX28" s="725"/>
      <c r="TNY28" s="725"/>
      <c r="TNZ28" s="725"/>
      <c r="TOA28" s="725"/>
      <c r="TOB28" s="725"/>
      <c r="TOC28" s="725"/>
      <c r="TOD28" s="725"/>
      <c r="TOE28" s="725"/>
      <c r="TOF28" s="725"/>
      <c r="TOG28" s="725"/>
      <c r="TOH28" s="725"/>
      <c r="TOI28" s="725"/>
      <c r="TOJ28" s="725"/>
      <c r="TOK28" s="725"/>
      <c r="TOL28" s="725"/>
      <c r="TOM28" s="725"/>
      <c r="TON28" s="725"/>
      <c r="TOO28" s="725"/>
      <c r="TOP28" s="725"/>
      <c r="TOQ28" s="725"/>
      <c r="TOR28" s="725"/>
      <c r="TOS28" s="725"/>
      <c r="TOT28" s="725"/>
      <c r="TOU28" s="725"/>
      <c r="TOV28" s="725"/>
      <c r="TOW28" s="725"/>
      <c r="TOX28" s="725"/>
      <c r="TOY28" s="725"/>
      <c r="TOZ28" s="725"/>
      <c r="TPA28" s="725"/>
      <c r="TPB28" s="725"/>
      <c r="TPC28" s="725"/>
      <c r="TPD28" s="725"/>
      <c r="TPE28" s="725"/>
      <c r="TPF28" s="725"/>
      <c r="TPG28" s="725"/>
      <c r="TPH28" s="725"/>
      <c r="TPI28" s="725"/>
      <c r="TPJ28" s="725"/>
      <c r="TPK28" s="725"/>
      <c r="TPL28" s="725"/>
      <c r="TPM28" s="725"/>
      <c r="TPN28" s="725"/>
      <c r="TPO28" s="725"/>
      <c r="TPP28" s="725"/>
      <c r="TPQ28" s="725"/>
      <c r="TPR28" s="725"/>
      <c r="TPS28" s="725"/>
      <c r="TPT28" s="725"/>
      <c r="TPU28" s="725"/>
      <c r="TPV28" s="725"/>
      <c r="TPW28" s="725"/>
      <c r="TPX28" s="725"/>
      <c r="TPY28" s="725"/>
      <c r="TPZ28" s="725"/>
      <c r="TQA28" s="725"/>
      <c r="TQB28" s="725"/>
      <c r="TQC28" s="725"/>
      <c r="TQD28" s="725"/>
      <c r="TQE28" s="725"/>
      <c r="TQF28" s="725"/>
      <c r="TQG28" s="725"/>
      <c r="TQH28" s="725"/>
      <c r="TQI28" s="725"/>
      <c r="TQJ28" s="725"/>
      <c r="TQK28" s="725"/>
      <c r="TQL28" s="725"/>
      <c r="TQM28" s="725"/>
      <c r="TQN28" s="725"/>
      <c r="TQO28" s="725"/>
      <c r="TQP28" s="725"/>
      <c r="TQQ28" s="725"/>
      <c r="TQR28" s="725"/>
      <c r="TQS28" s="725"/>
      <c r="TQT28" s="725"/>
      <c r="TQU28" s="725"/>
      <c r="TQV28" s="725"/>
      <c r="TQW28" s="725"/>
      <c r="TQX28" s="725"/>
      <c r="TQY28" s="725"/>
      <c r="TQZ28" s="725"/>
      <c r="TRA28" s="725"/>
      <c r="TRB28" s="725"/>
      <c r="TRC28" s="725"/>
      <c r="TRD28" s="725"/>
      <c r="TRE28" s="725"/>
      <c r="TRF28" s="725"/>
      <c r="TRG28" s="725"/>
      <c r="TRH28" s="725"/>
      <c r="TRI28" s="725"/>
      <c r="TRJ28" s="725"/>
      <c r="TRK28" s="725"/>
      <c r="TRL28" s="725"/>
      <c r="TRM28" s="725"/>
      <c r="TRN28" s="725"/>
      <c r="TRO28" s="725"/>
      <c r="TRP28" s="725"/>
      <c r="TRQ28" s="725"/>
      <c r="TRR28" s="725"/>
      <c r="TRS28" s="725"/>
      <c r="TRT28" s="725"/>
      <c r="TRU28" s="725"/>
      <c r="TRV28" s="725"/>
      <c r="TRW28" s="725"/>
      <c r="TRX28" s="725"/>
      <c r="TRY28" s="725"/>
      <c r="TRZ28" s="725"/>
      <c r="TSA28" s="725"/>
      <c r="TSB28" s="725"/>
      <c r="TSC28" s="725"/>
      <c r="TSD28" s="725"/>
      <c r="TSE28" s="725"/>
      <c r="TSF28" s="725"/>
      <c r="TSG28" s="725"/>
      <c r="TSH28" s="725"/>
      <c r="TSI28" s="725"/>
      <c r="TSJ28" s="725"/>
      <c r="TSK28" s="725"/>
      <c r="TSL28" s="725"/>
      <c r="TSM28" s="725"/>
      <c r="TSN28" s="725"/>
      <c r="TSO28" s="725"/>
      <c r="TSP28" s="725"/>
      <c r="TSQ28" s="725"/>
      <c r="TSR28" s="725"/>
      <c r="TSS28" s="725"/>
      <c r="TST28" s="725"/>
      <c r="TSU28" s="725"/>
      <c r="TSV28" s="725"/>
      <c r="TSW28" s="725"/>
      <c r="TSX28" s="725"/>
      <c r="TSY28" s="725"/>
      <c r="TSZ28" s="725"/>
      <c r="TTA28" s="725"/>
      <c r="TTB28" s="725"/>
      <c r="TTC28" s="725"/>
      <c r="TTD28" s="725"/>
      <c r="TTE28" s="725"/>
      <c r="TTF28" s="725"/>
      <c r="TTG28" s="725"/>
      <c r="TTH28" s="725"/>
      <c r="TTI28" s="725"/>
      <c r="TTJ28" s="725"/>
      <c r="TTK28" s="725"/>
      <c r="TTL28" s="725"/>
      <c r="TTM28" s="725"/>
      <c r="TTN28" s="725"/>
      <c r="TTO28" s="725"/>
      <c r="TTP28" s="725"/>
      <c r="TTQ28" s="725"/>
      <c r="TTR28" s="725"/>
      <c r="TTS28" s="725"/>
      <c r="TTT28" s="725"/>
      <c r="TTU28" s="725"/>
      <c r="TTV28" s="725"/>
      <c r="TTW28" s="725"/>
      <c r="TTX28" s="725"/>
      <c r="TTY28" s="725"/>
      <c r="TTZ28" s="725"/>
      <c r="TUA28" s="725"/>
      <c r="TUB28" s="725"/>
      <c r="TUC28" s="725"/>
      <c r="TUD28" s="725"/>
      <c r="TUE28" s="725"/>
      <c r="TUF28" s="725"/>
      <c r="TUG28" s="725"/>
      <c r="TUH28" s="725"/>
      <c r="TUI28" s="725"/>
      <c r="TUJ28" s="725"/>
      <c r="TUK28" s="725"/>
      <c r="TUL28" s="725"/>
      <c r="TUM28" s="725"/>
      <c r="TUN28" s="725"/>
      <c r="TUO28" s="725"/>
      <c r="TUP28" s="725"/>
      <c r="TUQ28" s="725"/>
      <c r="TUR28" s="725"/>
      <c r="TUS28" s="725"/>
      <c r="TUT28" s="725"/>
      <c r="TUU28" s="725"/>
      <c r="TUV28" s="725"/>
      <c r="TUW28" s="725"/>
      <c r="TUX28" s="725"/>
      <c r="TUY28" s="725"/>
      <c r="TUZ28" s="725"/>
      <c r="TVA28" s="725"/>
      <c r="TVB28" s="725"/>
      <c r="TVC28" s="725"/>
      <c r="TVD28" s="725"/>
      <c r="TVE28" s="725"/>
      <c r="TVF28" s="725"/>
      <c r="TVG28" s="725"/>
      <c r="TVH28" s="725"/>
      <c r="TVI28" s="725"/>
      <c r="TVJ28" s="725"/>
      <c r="TVK28" s="725"/>
      <c r="TVL28" s="725"/>
      <c r="TVM28" s="725"/>
      <c r="TVN28" s="725"/>
      <c r="TVO28" s="725"/>
      <c r="TVP28" s="725"/>
      <c r="TVQ28" s="725"/>
      <c r="TVR28" s="725"/>
      <c r="TVS28" s="725"/>
      <c r="TVT28" s="725"/>
      <c r="TVU28" s="725"/>
      <c r="TVV28" s="725"/>
      <c r="TVW28" s="725"/>
      <c r="TVX28" s="725"/>
      <c r="TVY28" s="725"/>
      <c r="TVZ28" s="725"/>
      <c r="TWA28" s="725"/>
      <c r="TWB28" s="725"/>
      <c r="TWC28" s="725"/>
      <c r="TWD28" s="725"/>
      <c r="TWE28" s="725"/>
      <c r="TWF28" s="725"/>
      <c r="TWG28" s="725"/>
      <c r="TWH28" s="725"/>
      <c r="TWI28" s="725"/>
      <c r="TWJ28" s="725"/>
      <c r="TWK28" s="725"/>
      <c r="TWL28" s="725"/>
      <c r="TWM28" s="725"/>
      <c r="TWN28" s="725"/>
      <c r="TWO28" s="725"/>
      <c r="TWP28" s="725"/>
      <c r="TWQ28" s="725"/>
      <c r="TWR28" s="725"/>
      <c r="TWS28" s="725"/>
      <c r="TWT28" s="725"/>
      <c r="TWU28" s="725"/>
      <c r="TWV28" s="725"/>
      <c r="TWW28" s="725"/>
      <c r="TWX28" s="725"/>
      <c r="TWY28" s="725"/>
      <c r="TWZ28" s="725"/>
      <c r="TXA28" s="725"/>
      <c r="TXB28" s="725"/>
      <c r="TXC28" s="725"/>
      <c r="TXD28" s="725"/>
      <c r="TXE28" s="725"/>
      <c r="TXF28" s="725"/>
      <c r="TXG28" s="725"/>
      <c r="TXH28" s="725"/>
      <c r="TXI28" s="725"/>
      <c r="TXJ28" s="725"/>
      <c r="TXK28" s="725"/>
      <c r="TXL28" s="725"/>
      <c r="TXM28" s="725"/>
      <c r="TXN28" s="725"/>
      <c r="TXO28" s="725"/>
      <c r="TXP28" s="725"/>
      <c r="TXQ28" s="725"/>
      <c r="TXR28" s="725"/>
      <c r="TXS28" s="725"/>
      <c r="TXT28" s="725"/>
      <c r="TXU28" s="725"/>
      <c r="TXV28" s="725"/>
      <c r="TXW28" s="725"/>
      <c r="TXX28" s="725"/>
      <c r="TXY28" s="725"/>
      <c r="TXZ28" s="725"/>
      <c r="TYA28" s="725"/>
      <c r="TYB28" s="725"/>
      <c r="TYC28" s="725"/>
      <c r="TYD28" s="725"/>
      <c r="TYE28" s="725"/>
      <c r="TYF28" s="725"/>
      <c r="TYG28" s="725"/>
      <c r="TYH28" s="725"/>
      <c r="TYI28" s="725"/>
      <c r="TYJ28" s="725"/>
      <c r="TYK28" s="725"/>
      <c r="TYL28" s="725"/>
      <c r="TYM28" s="725"/>
      <c r="TYN28" s="725"/>
      <c r="TYO28" s="725"/>
      <c r="TYP28" s="725"/>
      <c r="TYQ28" s="725"/>
      <c r="TYR28" s="725"/>
      <c r="TYS28" s="725"/>
      <c r="TYT28" s="725"/>
      <c r="TYU28" s="725"/>
      <c r="TYV28" s="725"/>
      <c r="TYW28" s="725"/>
      <c r="TYX28" s="725"/>
      <c r="TYY28" s="725"/>
      <c r="TYZ28" s="725"/>
      <c r="TZA28" s="725"/>
      <c r="TZB28" s="725"/>
      <c r="TZC28" s="725"/>
      <c r="TZD28" s="725"/>
      <c r="TZE28" s="725"/>
      <c r="TZF28" s="725"/>
      <c r="TZG28" s="725"/>
      <c r="TZH28" s="725"/>
      <c r="TZI28" s="725"/>
      <c r="TZJ28" s="725"/>
      <c r="TZK28" s="725"/>
      <c r="TZL28" s="725"/>
      <c r="TZM28" s="725"/>
      <c r="TZN28" s="725"/>
      <c r="TZO28" s="725"/>
      <c r="TZP28" s="725"/>
      <c r="TZQ28" s="725"/>
      <c r="TZR28" s="725"/>
      <c r="TZS28" s="725"/>
      <c r="TZT28" s="725"/>
      <c r="TZU28" s="725"/>
      <c r="TZV28" s="725"/>
      <c r="TZW28" s="725"/>
      <c r="TZX28" s="725"/>
      <c r="TZY28" s="725"/>
      <c r="TZZ28" s="725"/>
      <c r="UAA28" s="725"/>
      <c r="UAB28" s="725"/>
      <c r="UAC28" s="725"/>
      <c r="UAD28" s="725"/>
      <c r="UAE28" s="725"/>
      <c r="UAF28" s="725"/>
      <c r="UAG28" s="725"/>
      <c r="UAH28" s="725"/>
      <c r="UAI28" s="725"/>
      <c r="UAJ28" s="725"/>
      <c r="UAK28" s="725"/>
      <c r="UAL28" s="725"/>
      <c r="UAM28" s="725"/>
      <c r="UAN28" s="725"/>
      <c r="UAO28" s="725"/>
      <c r="UAP28" s="725"/>
      <c r="UAQ28" s="725"/>
      <c r="UAR28" s="725"/>
      <c r="UAS28" s="725"/>
      <c r="UAT28" s="725"/>
      <c r="UAU28" s="725"/>
      <c r="UAV28" s="725"/>
      <c r="UAW28" s="725"/>
      <c r="UAX28" s="725"/>
      <c r="UAY28" s="725"/>
      <c r="UAZ28" s="725"/>
      <c r="UBA28" s="725"/>
      <c r="UBB28" s="725"/>
      <c r="UBC28" s="725"/>
      <c r="UBD28" s="725"/>
      <c r="UBE28" s="725"/>
      <c r="UBF28" s="725"/>
      <c r="UBG28" s="725"/>
      <c r="UBH28" s="725"/>
      <c r="UBI28" s="725"/>
      <c r="UBJ28" s="725"/>
      <c r="UBK28" s="725"/>
      <c r="UBL28" s="725"/>
      <c r="UBM28" s="725"/>
      <c r="UBN28" s="725"/>
      <c r="UBO28" s="725"/>
      <c r="UBP28" s="725"/>
      <c r="UBQ28" s="725"/>
      <c r="UBR28" s="725"/>
      <c r="UBS28" s="725"/>
      <c r="UBT28" s="725"/>
      <c r="UBU28" s="725"/>
      <c r="UBV28" s="725"/>
      <c r="UBW28" s="725"/>
      <c r="UBX28" s="725"/>
      <c r="UBY28" s="725"/>
      <c r="UBZ28" s="725"/>
      <c r="UCA28" s="725"/>
      <c r="UCB28" s="725"/>
      <c r="UCC28" s="725"/>
      <c r="UCD28" s="725"/>
      <c r="UCE28" s="725"/>
      <c r="UCF28" s="725"/>
      <c r="UCG28" s="725"/>
      <c r="UCH28" s="725"/>
      <c r="UCI28" s="725"/>
      <c r="UCJ28" s="725"/>
      <c r="UCK28" s="725"/>
      <c r="UCL28" s="725"/>
      <c r="UCM28" s="725"/>
      <c r="UCN28" s="725"/>
      <c r="UCO28" s="725"/>
      <c r="UCP28" s="725"/>
      <c r="UCQ28" s="725"/>
      <c r="UCR28" s="725"/>
      <c r="UCS28" s="725"/>
      <c r="UCT28" s="725"/>
      <c r="UCU28" s="725"/>
      <c r="UCV28" s="725"/>
      <c r="UCW28" s="725"/>
      <c r="UCX28" s="725"/>
      <c r="UCY28" s="725"/>
      <c r="UCZ28" s="725"/>
      <c r="UDA28" s="725"/>
      <c r="UDB28" s="725"/>
      <c r="UDC28" s="725"/>
      <c r="UDD28" s="725"/>
      <c r="UDE28" s="725"/>
      <c r="UDF28" s="725"/>
      <c r="UDG28" s="725"/>
      <c r="UDH28" s="725"/>
      <c r="UDI28" s="725"/>
      <c r="UDJ28" s="725"/>
      <c r="UDK28" s="725"/>
      <c r="UDL28" s="725"/>
      <c r="UDM28" s="725"/>
      <c r="UDN28" s="725"/>
      <c r="UDO28" s="725"/>
      <c r="UDP28" s="725"/>
      <c r="UDQ28" s="725"/>
      <c r="UDR28" s="725"/>
      <c r="UDS28" s="725"/>
      <c r="UDT28" s="725"/>
      <c r="UDU28" s="725"/>
      <c r="UDV28" s="725"/>
      <c r="UDW28" s="725"/>
      <c r="UDX28" s="725"/>
      <c r="UDY28" s="725"/>
      <c r="UDZ28" s="725"/>
      <c r="UEA28" s="725"/>
      <c r="UEB28" s="725"/>
      <c r="UEC28" s="725"/>
      <c r="UED28" s="725"/>
      <c r="UEE28" s="725"/>
      <c r="UEF28" s="725"/>
      <c r="UEG28" s="725"/>
      <c r="UEH28" s="725"/>
      <c r="UEI28" s="725"/>
      <c r="UEJ28" s="725"/>
      <c r="UEK28" s="725"/>
      <c r="UEL28" s="725"/>
      <c r="UEM28" s="725"/>
      <c r="UEN28" s="725"/>
      <c r="UEO28" s="725"/>
      <c r="UEP28" s="725"/>
      <c r="UEQ28" s="725"/>
      <c r="UER28" s="725"/>
      <c r="UES28" s="725"/>
      <c r="UET28" s="725"/>
      <c r="UEU28" s="725"/>
      <c r="UEV28" s="725"/>
      <c r="UEW28" s="725"/>
      <c r="UEX28" s="725"/>
      <c r="UEY28" s="725"/>
      <c r="UEZ28" s="725"/>
      <c r="UFA28" s="725"/>
      <c r="UFB28" s="725"/>
      <c r="UFC28" s="725"/>
      <c r="UFD28" s="725"/>
      <c r="UFE28" s="725"/>
      <c r="UFF28" s="725"/>
      <c r="UFG28" s="725"/>
      <c r="UFH28" s="725"/>
      <c r="UFI28" s="725"/>
      <c r="UFJ28" s="725"/>
      <c r="UFK28" s="725"/>
      <c r="UFL28" s="725"/>
      <c r="UFM28" s="725"/>
      <c r="UFN28" s="725"/>
      <c r="UFO28" s="725"/>
      <c r="UFP28" s="725"/>
      <c r="UFQ28" s="725"/>
      <c r="UFR28" s="725"/>
      <c r="UFS28" s="725"/>
      <c r="UFT28" s="725"/>
      <c r="UFU28" s="725"/>
      <c r="UFV28" s="725"/>
      <c r="UFW28" s="725"/>
      <c r="UFX28" s="725"/>
      <c r="UFY28" s="725"/>
      <c r="UFZ28" s="725"/>
      <c r="UGA28" s="725"/>
      <c r="UGB28" s="725"/>
      <c r="UGC28" s="725"/>
      <c r="UGD28" s="725"/>
      <c r="UGE28" s="725"/>
      <c r="UGF28" s="725"/>
      <c r="UGG28" s="725"/>
      <c r="UGH28" s="725"/>
      <c r="UGI28" s="725"/>
      <c r="UGJ28" s="725"/>
      <c r="UGK28" s="725"/>
      <c r="UGL28" s="725"/>
      <c r="UGM28" s="725"/>
      <c r="UGN28" s="725"/>
      <c r="UGO28" s="725"/>
      <c r="UGP28" s="725"/>
      <c r="UGQ28" s="725"/>
      <c r="UGR28" s="725"/>
      <c r="UGS28" s="725"/>
      <c r="UGT28" s="725"/>
      <c r="UGU28" s="725"/>
      <c r="UGV28" s="725"/>
      <c r="UGW28" s="725"/>
      <c r="UGX28" s="725"/>
      <c r="UGY28" s="725"/>
      <c r="UGZ28" s="725"/>
      <c r="UHA28" s="725"/>
      <c r="UHB28" s="725"/>
      <c r="UHC28" s="725"/>
      <c r="UHD28" s="725"/>
      <c r="UHE28" s="725"/>
      <c r="UHF28" s="725"/>
      <c r="UHG28" s="725"/>
      <c r="UHH28" s="725"/>
      <c r="UHI28" s="725"/>
      <c r="UHJ28" s="725"/>
      <c r="UHK28" s="725"/>
      <c r="UHL28" s="725"/>
      <c r="UHM28" s="725"/>
      <c r="UHN28" s="725"/>
      <c r="UHO28" s="725"/>
      <c r="UHP28" s="725"/>
      <c r="UHQ28" s="725"/>
      <c r="UHR28" s="725"/>
      <c r="UHS28" s="725"/>
      <c r="UHT28" s="725"/>
      <c r="UHU28" s="725"/>
      <c r="UHV28" s="725"/>
      <c r="UHW28" s="725"/>
      <c r="UHX28" s="725"/>
      <c r="UHY28" s="725"/>
      <c r="UHZ28" s="725"/>
      <c r="UIA28" s="725"/>
      <c r="UIB28" s="725"/>
      <c r="UIC28" s="725"/>
      <c r="UID28" s="725"/>
      <c r="UIE28" s="725"/>
      <c r="UIF28" s="725"/>
      <c r="UIG28" s="725"/>
      <c r="UIH28" s="725"/>
      <c r="UII28" s="725"/>
      <c r="UIJ28" s="725"/>
      <c r="UIK28" s="725"/>
      <c r="UIL28" s="725"/>
      <c r="UIM28" s="725"/>
      <c r="UIN28" s="725"/>
      <c r="UIO28" s="725"/>
      <c r="UIP28" s="725"/>
      <c r="UIQ28" s="725"/>
      <c r="UIR28" s="725"/>
      <c r="UIS28" s="725"/>
      <c r="UIT28" s="725"/>
      <c r="UIU28" s="725"/>
      <c r="UIV28" s="725"/>
      <c r="UIW28" s="725"/>
      <c r="UIX28" s="725"/>
      <c r="UIY28" s="725"/>
      <c r="UIZ28" s="725"/>
      <c r="UJA28" s="725"/>
      <c r="UJB28" s="725"/>
      <c r="UJC28" s="725"/>
      <c r="UJD28" s="725"/>
      <c r="UJE28" s="725"/>
      <c r="UJF28" s="725"/>
      <c r="UJG28" s="725"/>
      <c r="UJH28" s="725"/>
      <c r="UJI28" s="725"/>
      <c r="UJJ28" s="725"/>
      <c r="UJK28" s="725"/>
      <c r="UJL28" s="725"/>
      <c r="UJM28" s="725"/>
      <c r="UJN28" s="725"/>
      <c r="UJO28" s="725"/>
      <c r="UJP28" s="725"/>
      <c r="UJQ28" s="725"/>
      <c r="UJR28" s="725"/>
      <c r="UJS28" s="725"/>
      <c r="UJT28" s="725"/>
      <c r="UJU28" s="725"/>
      <c r="UJV28" s="725"/>
      <c r="UJW28" s="725"/>
      <c r="UJX28" s="725"/>
      <c r="UJY28" s="725"/>
      <c r="UJZ28" s="725"/>
      <c r="UKA28" s="725"/>
      <c r="UKB28" s="725"/>
      <c r="UKC28" s="725"/>
      <c r="UKD28" s="725"/>
      <c r="UKE28" s="725"/>
      <c r="UKF28" s="725"/>
      <c r="UKG28" s="725"/>
      <c r="UKH28" s="725"/>
      <c r="UKI28" s="725"/>
      <c r="UKJ28" s="725"/>
      <c r="UKK28" s="725"/>
      <c r="UKL28" s="725"/>
      <c r="UKM28" s="725"/>
      <c r="UKN28" s="725"/>
      <c r="UKO28" s="725"/>
      <c r="UKP28" s="725"/>
      <c r="UKQ28" s="725"/>
      <c r="UKR28" s="725"/>
      <c r="UKS28" s="725"/>
      <c r="UKT28" s="725"/>
      <c r="UKU28" s="725"/>
      <c r="UKV28" s="725"/>
      <c r="UKW28" s="725"/>
      <c r="UKX28" s="725"/>
      <c r="UKY28" s="725"/>
      <c r="UKZ28" s="725"/>
      <c r="ULA28" s="725"/>
      <c r="ULB28" s="725"/>
      <c r="ULC28" s="725"/>
      <c r="ULD28" s="725"/>
      <c r="ULE28" s="725"/>
      <c r="ULF28" s="725"/>
      <c r="ULG28" s="725"/>
      <c r="ULH28" s="725"/>
      <c r="ULI28" s="725"/>
      <c r="ULJ28" s="725"/>
      <c r="ULK28" s="725"/>
      <c r="ULL28" s="725"/>
      <c r="ULM28" s="725"/>
      <c r="ULN28" s="725"/>
      <c r="ULO28" s="725"/>
      <c r="ULP28" s="725"/>
      <c r="ULQ28" s="725"/>
      <c r="ULR28" s="725"/>
      <c r="ULS28" s="725"/>
      <c r="ULT28" s="725"/>
      <c r="ULU28" s="725"/>
      <c r="ULV28" s="725"/>
      <c r="ULW28" s="725"/>
      <c r="ULX28" s="725"/>
      <c r="ULY28" s="725"/>
      <c r="ULZ28" s="725"/>
      <c r="UMA28" s="725"/>
      <c r="UMB28" s="725"/>
      <c r="UMC28" s="725"/>
      <c r="UMD28" s="725"/>
      <c r="UME28" s="725"/>
      <c r="UMF28" s="725"/>
      <c r="UMG28" s="725"/>
      <c r="UMH28" s="725"/>
      <c r="UMI28" s="725"/>
      <c r="UMJ28" s="725"/>
      <c r="UMK28" s="725"/>
      <c r="UML28" s="725"/>
      <c r="UMM28" s="725"/>
      <c r="UMN28" s="725"/>
      <c r="UMO28" s="725"/>
      <c r="UMP28" s="725"/>
      <c r="UMQ28" s="725"/>
      <c r="UMR28" s="725"/>
      <c r="UMS28" s="725"/>
      <c r="UMT28" s="725"/>
      <c r="UMU28" s="725"/>
      <c r="UMV28" s="725"/>
      <c r="UMW28" s="725"/>
      <c r="UMX28" s="725"/>
      <c r="UMY28" s="725"/>
      <c r="UMZ28" s="725"/>
      <c r="UNA28" s="725"/>
      <c r="UNB28" s="725"/>
      <c r="UNC28" s="725"/>
      <c r="UND28" s="725"/>
      <c r="UNE28" s="725"/>
      <c r="UNF28" s="725"/>
      <c r="UNG28" s="725"/>
      <c r="UNH28" s="725"/>
      <c r="UNI28" s="725"/>
      <c r="UNJ28" s="725"/>
      <c r="UNK28" s="725"/>
      <c r="UNL28" s="725"/>
      <c r="UNM28" s="725"/>
      <c r="UNN28" s="725"/>
      <c r="UNO28" s="725"/>
      <c r="UNP28" s="725"/>
      <c r="UNQ28" s="725"/>
      <c r="UNR28" s="725"/>
      <c r="UNS28" s="725"/>
      <c r="UNT28" s="725"/>
      <c r="UNU28" s="725"/>
      <c r="UNV28" s="725"/>
      <c r="UNW28" s="725"/>
      <c r="UNX28" s="725"/>
      <c r="UNY28" s="725"/>
      <c r="UNZ28" s="725"/>
      <c r="UOA28" s="725"/>
      <c r="UOB28" s="725"/>
      <c r="UOC28" s="725"/>
      <c r="UOD28" s="725"/>
      <c r="UOE28" s="725"/>
      <c r="UOF28" s="725"/>
      <c r="UOG28" s="725"/>
      <c r="UOH28" s="725"/>
      <c r="UOI28" s="725"/>
      <c r="UOJ28" s="725"/>
      <c r="UOK28" s="725"/>
      <c r="UOL28" s="725"/>
      <c r="UOM28" s="725"/>
      <c r="UON28" s="725"/>
      <c r="UOO28" s="725"/>
      <c r="UOP28" s="725"/>
      <c r="UOQ28" s="725"/>
      <c r="UOR28" s="725"/>
      <c r="UOS28" s="725"/>
      <c r="UOT28" s="725"/>
      <c r="UOU28" s="725"/>
      <c r="UOV28" s="725"/>
      <c r="UOW28" s="725"/>
      <c r="UOX28" s="725"/>
      <c r="UOY28" s="725"/>
      <c r="UOZ28" s="725"/>
      <c r="UPA28" s="725"/>
      <c r="UPB28" s="725"/>
      <c r="UPC28" s="725"/>
      <c r="UPD28" s="725"/>
      <c r="UPE28" s="725"/>
      <c r="UPF28" s="725"/>
      <c r="UPG28" s="725"/>
      <c r="UPH28" s="725"/>
      <c r="UPI28" s="725"/>
      <c r="UPJ28" s="725"/>
      <c r="UPK28" s="725"/>
      <c r="UPL28" s="725"/>
      <c r="UPM28" s="725"/>
      <c r="UPN28" s="725"/>
      <c r="UPO28" s="725"/>
      <c r="UPP28" s="725"/>
      <c r="UPQ28" s="725"/>
      <c r="UPR28" s="725"/>
      <c r="UPS28" s="725"/>
      <c r="UPT28" s="725"/>
      <c r="UPU28" s="725"/>
      <c r="UPV28" s="725"/>
      <c r="UPW28" s="725"/>
      <c r="UPX28" s="725"/>
      <c r="UPY28" s="725"/>
      <c r="UPZ28" s="725"/>
      <c r="UQA28" s="725"/>
      <c r="UQB28" s="725"/>
      <c r="UQC28" s="725"/>
      <c r="UQD28" s="725"/>
      <c r="UQE28" s="725"/>
      <c r="UQF28" s="725"/>
      <c r="UQG28" s="725"/>
      <c r="UQH28" s="725"/>
      <c r="UQI28" s="725"/>
      <c r="UQJ28" s="725"/>
      <c r="UQK28" s="725"/>
      <c r="UQL28" s="725"/>
      <c r="UQM28" s="725"/>
      <c r="UQN28" s="725"/>
      <c r="UQO28" s="725"/>
      <c r="UQP28" s="725"/>
      <c r="UQQ28" s="725"/>
      <c r="UQR28" s="725"/>
      <c r="UQS28" s="725"/>
      <c r="UQT28" s="725"/>
      <c r="UQU28" s="725"/>
      <c r="UQV28" s="725"/>
      <c r="UQW28" s="725"/>
      <c r="UQX28" s="725"/>
      <c r="UQY28" s="725"/>
      <c r="UQZ28" s="725"/>
      <c r="URA28" s="725"/>
      <c r="URB28" s="725"/>
      <c r="URC28" s="725"/>
      <c r="URD28" s="725"/>
      <c r="URE28" s="725"/>
      <c r="URF28" s="725"/>
      <c r="URG28" s="725"/>
      <c r="URH28" s="725"/>
      <c r="URI28" s="725"/>
      <c r="URJ28" s="725"/>
      <c r="URK28" s="725"/>
      <c r="URL28" s="725"/>
      <c r="URM28" s="725"/>
      <c r="URN28" s="725"/>
      <c r="URO28" s="725"/>
      <c r="URP28" s="725"/>
      <c r="URQ28" s="725"/>
      <c r="URR28" s="725"/>
      <c r="URS28" s="725"/>
      <c r="URT28" s="725"/>
      <c r="URU28" s="725"/>
      <c r="URV28" s="725"/>
      <c r="URW28" s="725"/>
      <c r="URX28" s="725"/>
      <c r="URY28" s="725"/>
      <c r="URZ28" s="725"/>
      <c r="USA28" s="725"/>
      <c r="USB28" s="725"/>
      <c r="USC28" s="725"/>
      <c r="USD28" s="725"/>
      <c r="USE28" s="725"/>
      <c r="USF28" s="725"/>
      <c r="USG28" s="725"/>
      <c r="USH28" s="725"/>
      <c r="USI28" s="725"/>
      <c r="USJ28" s="725"/>
      <c r="USK28" s="725"/>
      <c r="USL28" s="725"/>
      <c r="USM28" s="725"/>
      <c r="USN28" s="725"/>
      <c r="USO28" s="725"/>
      <c r="USP28" s="725"/>
      <c r="USQ28" s="725"/>
      <c r="USR28" s="725"/>
      <c r="USS28" s="725"/>
      <c r="UST28" s="725"/>
      <c r="USU28" s="725"/>
      <c r="USV28" s="725"/>
      <c r="USW28" s="725"/>
      <c r="USX28" s="725"/>
      <c r="USY28" s="725"/>
      <c r="USZ28" s="725"/>
      <c r="UTA28" s="725"/>
      <c r="UTB28" s="725"/>
      <c r="UTC28" s="725"/>
      <c r="UTD28" s="725"/>
      <c r="UTE28" s="725"/>
      <c r="UTF28" s="725"/>
      <c r="UTG28" s="725"/>
      <c r="UTH28" s="725"/>
      <c r="UTI28" s="725"/>
      <c r="UTJ28" s="725"/>
      <c r="UTK28" s="725"/>
      <c r="UTL28" s="725"/>
      <c r="UTM28" s="725"/>
      <c r="UTN28" s="725"/>
      <c r="UTO28" s="725"/>
      <c r="UTP28" s="725"/>
      <c r="UTQ28" s="725"/>
      <c r="UTR28" s="725"/>
      <c r="UTS28" s="725"/>
      <c r="UTT28" s="725"/>
      <c r="UTU28" s="725"/>
      <c r="UTV28" s="725"/>
      <c r="UTW28" s="725"/>
      <c r="UTX28" s="725"/>
      <c r="UTY28" s="725"/>
      <c r="UTZ28" s="725"/>
      <c r="UUA28" s="725"/>
      <c r="UUB28" s="725"/>
      <c r="UUC28" s="725"/>
      <c r="UUD28" s="725"/>
      <c r="UUE28" s="725"/>
      <c r="UUF28" s="725"/>
      <c r="UUG28" s="725"/>
      <c r="UUH28" s="725"/>
      <c r="UUI28" s="725"/>
      <c r="UUJ28" s="725"/>
      <c r="UUK28" s="725"/>
      <c r="UUL28" s="725"/>
      <c r="UUM28" s="725"/>
      <c r="UUN28" s="725"/>
      <c r="UUO28" s="725"/>
      <c r="UUP28" s="725"/>
      <c r="UUQ28" s="725"/>
      <c r="UUR28" s="725"/>
      <c r="UUS28" s="725"/>
      <c r="UUT28" s="725"/>
      <c r="UUU28" s="725"/>
      <c r="UUV28" s="725"/>
      <c r="UUW28" s="725"/>
      <c r="UUX28" s="725"/>
      <c r="UUY28" s="725"/>
      <c r="UUZ28" s="725"/>
      <c r="UVA28" s="725"/>
      <c r="UVB28" s="725"/>
      <c r="UVC28" s="725"/>
      <c r="UVD28" s="725"/>
      <c r="UVE28" s="725"/>
      <c r="UVF28" s="725"/>
      <c r="UVG28" s="725"/>
      <c r="UVH28" s="725"/>
      <c r="UVI28" s="725"/>
      <c r="UVJ28" s="725"/>
      <c r="UVK28" s="725"/>
      <c r="UVL28" s="725"/>
      <c r="UVM28" s="725"/>
      <c r="UVN28" s="725"/>
      <c r="UVO28" s="725"/>
      <c r="UVP28" s="725"/>
      <c r="UVQ28" s="725"/>
      <c r="UVR28" s="725"/>
      <c r="UVS28" s="725"/>
      <c r="UVT28" s="725"/>
      <c r="UVU28" s="725"/>
      <c r="UVV28" s="725"/>
      <c r="UVW28" s="725"/>
      <c r="UVX28" s="725"/>
      <c r="UVY28" s="725"/>
      <c r="UVZ28" s="725"/>
      <c r="UWA28" s="725"/>
      <c r="UWB28" s="725"/>
      <c r="UWC28" s="725"/>
      <c r="UWD28" s="725"/>
      <c r="UWE28" s="725"/>
      <c r="UWF28" s="725"/>
      <c r="UWG28" s="725"/>
      <c r="UWH28" s="725"/>
      <c r="UWI28" s="725"/>
      <c r="UWJ28" s="725"/>
      <c r="UWK28" s="725"/>
      <c r="UWL28" s="725"/>
      <c r="UWM28" s="725"/>
      <c r="UWN28" s="725"/>
      <c r="UWO28" s="725"/>
      <c r="UWP28" s="725"/>
      <c r="UWQ28" s="725"/>
      <c r="UWR28" s="725"/>
      <c r="UWS28" s="725"/>
      <c r="UWT28" s="725"/>
      <c r="UWU28" s="725"/>
      <c r="UWV28" s="725"/>
      <c r="UWW28" s="725"/>
      <c r="UWX28" s="725"/>
      <c r="UWY28" s="725"/>
      <c r="UWZ28" s="725"/>
      <c r="UXA28" s="725"/>
      <c r="UXB28" s="725"/>
      <c r="UXC28" s="725"/>
      <c r="UXD28" s="725"/>
      <c r="UXE28" s="725"/>
      <c r="UXF28" s="725"/>
      <c r="UXG28" s="725"/>
      <c r="UXH28" s="725"/>
      <c r="UXI28" s="725"/>
      <c r="UXJ28" s="725"/>
      <c r="UXK28" s="725"/>
      <c r="UXL28" s="725"/>
      <c r="UXM28" s="725"/>
      <c r="UXN28" s="725"/>
      <c r="UXO28" s="725"/>
      <c r="UXP28" s="725"/>
      <c r="UXQ28" s="725"/>
      <c r="UXR28" s="725"/>
      <c r="UXS28" s="725"/>
      <c r="UXT28" s="725"/>
      <c r="UXU28" s="725"/>
      <c r="UXV28" s="725"/>
      <c r="UXW28" s="725"/>
      <c r="UXX28" s="725"/>
      <c r="UXY28" s="725"/>
      <c r="UXZ28" s="725"/>
      <c r="UYA28" s="725"/>
      <c r="UYB28" s="725"/>
      <c r="UYC28" s="725"/>
      <c r="UYD28" s="725"/>
      <c r="UYE28" s="725"/>
      <c r="UYF28" s="725"/>
      <c r="UYG28" s="725"/>
      <c r="UYH28" s="725"/>
      <c r="UYI28" s="725"/>
      <c r="UYJ28" s="725"/>
      <c r="UYK28" s="725"/>
      <c r="UYL28" s="725"/>
      <c r="UYM28" s="725"/>
      <c r="UYN28" s="725"/>
      <c r="UYO28" s="725"/>
      <c r="UYP28" s="725"/>
      <c r="UYQ28" s="725"/>
      <c r="UYR28" s="725"/>
      <c r="UYS28" s="725"/>
      <c r="UYT28" s="725"/>
      <c r="UYU28" s="725"/>
      <c r="UYV28" s="725"/>
      <c r="UYW28" s="725"/>
      <c r="UYX28" s="725"/>
      <c r="UYY28" s="725"/>
      <c r="UYZ28" s="725"/>
      <c r="UZA28" s="725"/>
      <c r="UZB28" s="725"/>
      <c r="UZC28" s="725"/>
      <c r="UZD28" s="725"/>
      <c r="UZE28" s="725"/>
      <c r="UZF28" s="725"/>
      <c r="UZG28" s="725"/>
      <c r="UZH28" s="725"/>
      <c r="UZI28" s="725"/>
      <c r="UZJ28" s="725"/>
      <c r="UZK28" s="725"/>
      <c r="UZL28" s="725"/>
      <c r="UZM28" s="725"/>
      <c r="UZN28" s="725"/>
      <c r="UZO28" s="725"/>
      <c r="UZP28" s="725"/>
      <c r="UZQ28" s="725"/>
      <c r="UZR28" s="725"/>
      <c r="UZS28" s="725"/>
      <c r="UZT28" s="725"/>
      <c r="UZU28" s="725"/>
      <c r="UZV28" s="725"/>
      <c r="UZW28" s="725"/>
      <c r="UZX28" s="725"/>
      <c r="UZY28" s="725"/>
      <c r="UZZ28" s="725"/>
      <c r="VAA28" s="725"/>
      <c r="VAB28" s="725"/>
      <c r="VAC28" s="725"/>
      <c r="VAD28" s="725"/>
      <c r="VAE28" s="725"/>
      <c r="VAF28" s="725"/>
      <c r="VAG28" s="725"/>
      <c r="VAH28" s="725"/>
      <c r="VAI28" s="725"/>
      <c r="VAJ28" s="725"/>
      <c r="VAK28" s="725"/>
      <c r="VAL28" s="725"/>
      <c r="VAM28" s="725"/>
      <c r="VAN28" s="725"/>
      <c r="VAO28" s="725"/>
      <c r="VAP28" s="725"/>
      <c r="VAQ28" s="725"/>
      <c r="VAR28" s="725"/>
      <c r="VAS28" s="725"/>
      <c r="VAT28" s="725"/>
      <c r="VAU28" s="725"/>
      <c r="VAV28" s="725"/>
      <c r="VAW28" s="725"/>
      <c r="VAX28" s="725"/>
      <c r="VAY28" s="725"/>
      <c r="VAZ28" s="725"/>
      <c r="VBA28" s="725"/>
      <c r="VBB28" s="725"/>
      <c r="VBC28" s="725"/>
      <c r="VBD28" s="725"/>
      <c r="VBE28" s="725"/>
      <c r="VBF28" s="725"/>
      <c r="VBG28" s="725"/>
      <c r="VBH28" s="725"/>
      <c r="VBI28" s="725"/>
      <c r="VBJ28" s="725"/>
      <c r="VBK28" s="725"/>
      <c r="VBL28" s="725"/>
      <c r="VBM28" s="725"/>
      <c r="VBN28" s="725"/>
      <c r="VBO28" s="725"/>
      <c r="VBP28" s="725"/>
      <c r="VBQ28" s="725"/>
      <c r="VBR28" s="725"/>
      <c r="VBS28" s="725"/>
      <c r="VBT28" s="725"/>
      <c r="VBU28" s="725"/>
      <c r="VBV28" s="725"/>
      <c r="VBW28" s="725"/>
      <c r="VBX28" s="725"/>
      <c r="VBY28" s="725"/>
      <c r="VBZ28" s="725"/>
      <c r="VCA28" s="725"/>
      <c r="VCB28" s="725"/>
      <c r="VCC28" s="725"/>
      <c r="VCD28" s="725"/>
      <c r="VCE28" s="725"/>
      <c r="VCF28" s="725"/>
      <c r="VCG28" s="725"/>
      <c r="VCH28" s="725"/>
      <c r="VCI28" s="725"/>
      <c r="VCJ28" s="725"/>
      <c r="VCK28" s="725"/>
      <c r="VCL28" s="725"/>
      <c r="VCM28" s="725"/>
      <c r="VCN28" s="725"/>
      <c r="VCO28" s="725"/>
      <c r="VCP28" s="725"/>
      <c r="VCQ28" s="725"/>
      <c r="VCR28" s="725"/>
      <c r="VCS28" s="725"/>
      <c r="VCT28" s="725"/>
      <c r="VCU28" s="725"/>
      <c r="VCV28" s="725"/>
      <c r="VCW28" s="725"/>
      <c r="VCX28" s="725"/>
      <c r="VCY28" s="725"/>
      <c r="VCZ28" s="725"/>
      <c r="VDA28" s="725"/>
      <c r="VDB28" s="725"/>
      <c r="VDC28" s="725"/>
      <c r="VDD28" s="725"/>
      <c r="VDE28" s="725"/>
      <c r="VDF28" s="725"/>
      <c r="VDG28" s="725"/>
      <c r="VDH28" s="725"/>
      <c r="VDI28" s="725"/>
      <c r="VDJ28" s="725"/>
      <c r="VDK28" s="725"/>
      <c r="VDL28" s="725"/>
      <c r="VDM28" s="725"/>
      <c r="VDN28" s="725"/>
      <c r="VDO28" s="725"/>
      <c r="VDP28" s="725"/>
      <c r="VDQ28" s="725"/>
      <c r="VDR28" s="725"/>
      <c r="VDS28" s="725"/>
      <c r="VDT28" s="725"/>
      <c r="VDU28" s="725"/>
      <c r="VDV28" s="725"/>
      <c r="VDW28" s="725"/>
      <c r="VDX28" s="725"/>
      <c r="VDY28" s="725"/>
      <c r="VDZ28" s="725"/>
      <c r="VEA28" s="725"/>
      <c r="VEB28" s="725"/>
      <c r="VEC28" s="725"/>
      <c r="VED28" s="725"/>
      <c r="VEE28" s="725"/>
      <c r="VEF28" s="725"/>
      <c r="VEG28" s="725"/>
      <c r="VEH28" s="725"/>
      <c r="VEI28" s="725"/>
      <c r="VEJ28" s="725"/>
      <c r="VEK28" s="725"/>
      <c r="VEL28" s="725"/>
      <c r="VEM28" s="725"/>
      <c r="VEN28" s="725"/>
      <c r="VEO28" s="725"/>
      <c r="VEP28" s="725"/>
      <c r="VEQ28" s="725"/>
      <c r="VER28" s="725"/>
      <c r="VES28" s="725"/>
      <c r="VET28" s="725"/>
      <c r="VEU28" s="725"/>
      <c r="VEV28" s="725"/>
      <c r="VEW28" s="725"/>
      <c r="VEX28" s="725"/>
      <c r="VEY28" s="725"/>
      <c r="VEZ28" s="725"/>
      <c r="VFA28" s="725"/>
      <c r="VFB28" s="725"/>
      <c r="VFC28" s="725"/>
      <c r="VFD28" s="725"/>
      <c r="VFE28" s="725"/>
      <c r="VFF28" s="725"/>
      <c r="VFG28" s="725"/>
      <c r="VFH28" s="725"/>
      <c r="VFI28" s="725"/>
      <c r="VFJ28" s="725"/>
      <c r="VFK28" s="725"/>
      <c r="VFL28" s="725"/>
      <c r="VFM28" s="725"/>
      <c r="VFN28" s="725"/>
      <c r="VFO28" s="725"/>
      <c r="VFP28" s="725"/>
      <c r="VFQ28" s="725"/>
      <c r="VFR28" s="725"/>
      <c r="VFS28" s="725"/>
      <c r="VFT28" s="725"/>
      <c r="VFU28" s="725"/>
      <c r="VFV28" s="725"/>
      <c r="VFW28" s="725"/>
      <c r="VFX28" s="725"/>
      <c r="VFY28" s="725"/>
      <c r="VFZ28" s="725"/>
      <c r="VGA28" s="725"/>
      <c r="VGB28" s="725"/>
      <c r="VGC28" s="725"/>
      <c r="VGD28" s="725"/>
      <c r="VGE28" s="725"/>
      <c r="VGF28" s="725"/>
      <c r="VGG28" s="725"/>
      <c r="VGH28" s="725"/>
      <c r="VGI28" s="725"/>
      <c r="VGJ28" s="725"/>
      <c r="VGK28" s="725"/>
      <c r="VGL28" s="725"/>
      <c r="VGM28" s="725"/>
      <c r="VGN28" s="725"/>
      <c r="VGO28" s="725"/>
      <c r="VGP28" s="725"/>
      <c r="VGQ28" s="725"/>
      <c r="VGR28" s="725"/>
      <c r="VGS28" s="725"/>
      <c r="VGT28" s="725"/>
      <c r="VGU28" s="725"/>
      <c r="VGV28" s="725"/>
      <c r="VGW28" s="725"/>
      <c r="VGX28" s="725"/>
      <c r="VGY28" s="725"/>
      <c r="VGZ28" s="725"/>
      <c r="VHA28" s="725"/>
      <c r="VHB28" s="725"/>
      <c r="VHC28" s="725"/>
      <c r="VHD28" s="725"/>
      <c r="VHE28" s="725"/>
      <c r="VHF28" s="725"/>
      <c r="VHG28" s="725"/>
      <c r="VHH28" s="725"/>
      <c r="VHI28" s="725"/>
      <c r="VHJ28" s="725"/>
      <c r="VHK28" s="725"/>
      <c r="VHL28" s="725"/>
      <c r="VHM28" s="725"/>
      <c r="VHN28" s="725"/>
      <c r="VHO28" s="725"/>
      <c r="VHP28" s="725"/>
      <c r="VHQ28" s="725"/>
      <c r="VHR28" s="725"/>
      <c r="VHS28" s="725"/>
      <c r="VHT28" s="725"/>
      <c r="VHU28" s="725"/>
      <c r="VHV28" s="725"/>
      <c r="VHW28" s="725"/>
      <c r="VHX28" s="725"/>
      <c r="VHY28" s="725"/>
      <c r="VHZ28" s="725"/>
      <c r="VIA28" s="725"/>
      <c r="VIB28" s="725"/>
      <c r="VIC28" s="725"/>
      <c r="VID28" s="725"/>
      <c r="VIE28" s="725"/>
      <c r="VIF28" s="725"/>
      <c r="VIG28" s="725"/>
      <c r="VIH28" s="725"/>
      <c r="VII28" s="725"/>
      <c r="VIJ28" s="725"/>
      <c r="VIK28" s="725"/>
      <c r="VIL28" s="725"/>
      <c r="VIM28" s="725"/>
      <c r="VIN28" s="725"/>
      <c r="VIO28" s="725"/>
      <c r="VIP28" s="725"/>
      <c r="VIQ28" s="725"/>
      <c r="VIR28" s="725"/>
      <c r="VIS28" s="725"/>
      <c r="VIT28" s="725"/>
      <c r="VIU28" s="725"/>
      <c r="VIV28" s="725"/>
      <c r="VIW28" s="725"/>
      <c r="VIX28" s="725"/>
      <c r="VIY28" s="725"/>
      <c r="VIZ28" s="725"/>
      <c r="VJA28" s="725"/>
      <c r="VJB28" s="725"/>
      <c r="VJC28" s="725"/>
      <c r="VJD28" s="725"/>
      <c r="VJE28" s="725"/>
      <c r="VJF28" s="725"/>
      <c r="VJG28" s="725"/>
      <c r="VJH28" s="725"/>
      <c r="VJI28" s="725"/>
      <c r="VJJ28" s="725"/>
      <c r="VJK28" s="725"/>
      <c r="VJL28" s="725"/>
      <c r="VJM28" s="725"/>
      <c r="VJN28" s="725"/>
      <c r="VJO28" s="725"/>
      <c r="VJP28" s="725"/>
      <c r="VJQ28" s="725"/>
      <c r="VJR28" s="725"/>
      <c r="VJS28" s="725"/>
      <c r="VJT28" s="725"/>
      <c r="VJU28" s="725"/>
      <c r="VJV28" s="725"/>
      <c r="VJW28" s="725"/>
      <c r="VJX28" s="725"/>
      <c r="VJY28" s="725"/>
      <c r="VJZ28" s="725"/>
      <c r="VKA28" s="725"/>
      <c r="VKB28" s="725"/>
      <c r="VKC28" s="725"/>
      <c r="VKD28" s="725"/>
      <c r="VKE28" s="725"/>
      <c r="VKF28" s="725"/>
      <c r="VKG28" s="725"/>
      <c r="VKH28" s="725"/>
      <c r="VKI28" s="725"/>
      <c r="VKJ28" s="725"/>
      <c r="VKK28" s="725"/>
      <c r="VKL28" s="725"/>
      <c r="VKM28" s="725"/>
      <c r="VKN28" s="725"/>
      <c r="VKO28" s="725"/>
      <c r="VKP28" s="725"/>
      <c r="VKQ28" s="725"/>
      <c r="VKR28" s="725"/>
      <c r="VKS28" s="725"/>
      <c r="VKT28" s="725"/>
      <c r="VKU28" s="725"/>
      <c r="VKV28" s="725"/>
      <c r="VKW28" s="725"/>
      <c r="VKX28" s="725"/>
      <c r="VKY28" s="725"/>
      <c r="VKZ28" s="725"/>
      <c r="VLA28" s="725"/>
      <c r="VLB28" s="725"/>
      <c r="VLC28" s="725"/>
      <c r="VLD28" s="725"/>
      <c r="VLE28" s="725"/>
      <c r="VLF28" s="725"/>
      <c r="VLG28" s="725"/>
      <c r="VLH28" s="725"/>
      <c r="VLI28" s="725"/>
      <c r="VLJ28" s="725"/>
      <c r="VLK28" s="725"/>
      <c r="VLL28" s="725"/>
      <c r="VLM28" s="725"/>
      <c r="VLN28" s="725"/>
      <c r="VLO28" s="725"/>
      <c r="VLP28" s="725"/>
      <c r="VLQ28" s="725"/>
      <c r="VLR28" s="725"/>
      <c r="VLS28" s="725"/>
      <c r="VLT28" s="725"/>
      <c r="VLU28" s="725"/>
      <c r="VLV28" s="725"/>
      <c r="VLW28" s="725"/>
      <c r="VLX28" s="725"/>
      <c r="VLY28" s="725"/>
      <c r="VLZ28" s="725"/>
      <c r="VMA28" s="725"/>
      <c r="VMB28" s="725"/>
      <c r="VMC28" s="725"/>
      <c r="VMD28" s="725"/>
      <c r="VME28" s="725"/>
      <c r="VMF28" s="725"/>
      <c r="VMG28" s="725"/>
      <c r="VMH28" s="725"/>
      <c r="VMI28" s="725"/>
      <c r="VMJ28" s="725"/>
      <c r="VMK28" s="725"/>
      <c r="VML28" s="725"/>
      <c r="VMM28" s="725"/>
      <c r="VMN28" s="725"/>
      <c r="VMO28" s="725"/>
      <c r="VMP28" s="725"/>
      <c r="VMQ28" s="725"/>
      <c r="VMR28" s="725"/>
      <c r="VMS28" s="725"/>
      <c r="VMT28" s="725"/>
      <c r="VMU28" s="725"/>
      <c r="VMV28" s="725"/>
      <c r="VMW28" s="725"/>
      <c r="VMX28" s="725"/>
      <c r="VMY28" s="725"/>
      <c r="VMZ28" s="725"/>
      <c r="VNA28" s="725"/>
      <c r="VNB28" s="725"/>
      <c r="VNC28" s="725"/>
      <c r="VND28" s="725"/>
      <c r="VNE28" s="725"/>
      <c r="VNF28" s="725"/>
      <c r="VNG28" s="725"/>
      <c r="VNH28" s="725"/>
      <c r="VNI28" s="725"/>
      <c r="VNJ28" s="725"/>
      <c r="VNK28" s="725"/>
      <c r="VNL28" s="725"/>
      <c r="VNM28" s="725"/>
      <c r="VNN28" s="725"/>
      <c r="VNO28" s="725"/>
      <c r="VNP28" s="725"/>
      <c r="VNQ28" s="725"/>
      <c r="VNR28" s="725"/>
      <c r="VNS28" s="725"/>
      <c r="VNT28" s="725"/>
      <c r="VNU28" s="725"/>
      <c r="VNV28" s="725"/>
      <c r="VNW28" s="725"/>
      <c r="VNX28" s="725"/>
      <c r="VNY28" s="725"/>
      <c r="VNZ28" s="725"/>
      <c r="VOA28" s="725"/>
      <c r="VOB28" s="725"/>
      <c r="VOC28" s="725"/>
      <c r="VOD28" s="725"/>
      <c r="VOE28" s="725"/>
      <c r="VOF28" s="725"/>
      <c r="VOG28" s="725"/>
      <c r="VOH28" s="725"/>
      <c r="VOI28" s="725"/>
      <c r="VOJ28" s="725"/>
      <c r="VOK28" s="725"/>
      <c r="VOL28" s="725"/>
      <c r="VOM28" s="725"/>
      <c r="VON28" s="725"/>
      <c r="VOO28" s="725"/>
      <c r="VOP28" s="725"/>
      <c r="VOQ28" s="725"/>
      <c r="VOR28" s="725"/>
      <c r="VOS28" s="725"/>
      <c r="VOT28" s="725"/>
      <c r="VOU28" s="725"/>
      <c r="VOV28" s="725"/>
      <c r="VOW28" s="725"/>
      <c r="VOX28" s="725"/>
      <c r="VOY28" s="725"/>
      <c r="VOZ28" s="725"/>
      <c r="VPA28" s="725"/>
      <c r="VPB28" s="725"/>
      <c r="VPC28" s="725"/>
      <c r="VPD28" s="725"/>
      <c r="VPE28" s="725"/>
      <c r="VPF28" s="725"/>
      <c r="VPG28" s="725"/>
      <c r="VPH28" s="725"/>
      <c r="VPI28" s="725"/>
      <c r="VPJ28" s="725"/>
      <c r="VPK28" s="725"/>
      <c r="VPL28" s="725"/>
      <c r="VPM28" s="725"/>
      <c r="VPN28" s="725"/>
      <c r="VPO28" s="725"/>
      <c r="VPP28" s="725"/>
      <c r="VPQ28" s="725"/>
      <c r="VPR28" s="725"/>
      <c r="VPS28" s="725"/>
      <c r="VPT28" s="725"/>
      <c r="VPU28" s="725"/>
      <c r="VPV28" s="725"/>
      <c r="VPW28" s="725"/>
      <c r="VPX28" s="725"/>
      <c r="VPY28" s="725"/>
      <c r="VPZ28" s="725"/>
      <c r="VQA28" s="725"/>
      <c r="VQB28" s="725"/>
      <c r="VQC28" s="725"/>
      <c r="VQD28" s="725"/>
      <c r="VQE28" s="725"/>
      <c r="VQF28" s="725"/>
      <c r="VQG28" s="725"/>
      <c r="VQH28" s="725"/>
      <c r="VQI28" s="725"/>
      <c r="VQJ28" s="725"/>
      <c r="VQK28" s="725"/>
      <c r="VQL28" s="725"/>
      <c r="VQM28" s="725"/>
      <c r="VQN28" s="725"/>
      <c r="VQO28" s="725"/>
      <c r="VQP28" s="725"/>
      <c r="VQQ28" s="725"/>
      <c r="VQR28" s="725"/>
      <c r="VQS28" s="725"/>
      <c r="VQT28" s="725"/>
      <c r="VQU28" s="725"/>
      <c r="VQV28" s="725"/>
      <c r="VQW28" s="725"/>
      <c r="VQX28" s="725"/>
      <c r="VQY28" s="725"/>
      <c r="VQZ28" s="725"/>
      <c r="VRA28" s="725"/>
      <c r="VRB28" s="725"/>
      <c r="VRC28" s="725"/>
      <c r="VRD28" s="725"/>
      <c r="VRE28" s="725"/>
      <c r="VRF28" s="725"/>
      <c r="VRG28" s="725"/>
      <c r="VRH28" s="725"/>
      <c r="VRI28" s="725"/>
      <c r="VRJ28" s="725"/>
      <c r="VRK28" s="725"/>
      <c r="VRL28" s="725"/>
      <c r="VRM28" s="725"/>
      <c r="VRN28" s="725"/>
      <c r="VRO28" s="725"/>
      <c r="VRP28" s="725"/>
      <c r="VRQ28" s="725"/>
      <c r="VRR28" s="725"/>
      <c r="VRS28" s="725"/>
      <c r="VRT28" s="725"/>
      <c r="VRU28" s="725"/>
      <c r="VRV28" s="725"/>
      <c r="VRW28" s="725"/>
      <c r="VRX28" s="725"/>
      <c r="VRY28" s="725"/>
      <c r="VRZ28" s="725"/>
      <c r="VSA28" s="725"/>
      <c r="VSB28" s="725"/>
      <c r="VSC28" s="725"/>
      <c r="VSD28" s="725"/>
      <c r="VSE28" s="725"/>
      <c r="VSF28" s="725"/>
      <c r="VSG28" s="725"/>
      <c r="VSH28" s="725"/>
      <c r="VSI28" s="725"/>
      <c r="VSJ28" s="725"/>
      <c r="VSK28" s="725"/>
      <c r="VSL28" s="725"/>
      <c r="VSM28" s="725"/>
      <c r="VSN28" s="725"/>
      <c r="VSO28" s="725"/>
      <c r="VSP28" s="725"/>
      <c r="VSQ28" s="725"/>
      <c r="VSR28" s="725"/>
      <c r="VSS28" s="725"/>
      <c r="VST28" s="725"/>
      <c r="VSU28" s="725"/>
      <c r="VSV28" s="725"/>
      <c r="VSW28" s="725"/>
      <c r="VSX28" s="725"/>
      <c r="VSY28" s="725"/>
      <c r="VSZ28" s="725"/>
      <c r="VTA28" s="725"/>
      <c r="VTB28" s="725"/>
      <c r="VTC28" s="725"/>
      <c r="VTD28" s="725"/>
      <c r="VTE28" s="725"/>
      <c r="VTF28" s="725"/>
      <c r="VTG28" s="725"/>
      <c r="VTH28" s="725"/>
      <c r="VTI28" s="725"/>
      <c r="VTJ28" s="725"/>
      <c r="VTK28" s="725"/>
      <c r="VTL28" s="725"/>
      <c r="VTM28" s="725"/>
      <c r="VTN28" s="725"/>
      <c r="VTO28" s="725"/>
      <c r="VTP28" s="725"/>
      <c r="VTQ28" s="725"/>
      <c r="VTR28" s="725"/>
      <c r="VTS28" s="725"/>
      <c r="VTT28" s="725"/>
      <c r="VTU28" s="725"/>
      <c r="VTV28" s="725"/>
      <c r="VTW28" s="725"/>
      <c r="VTX28" s="725"/>
      <c r="VTY28" s="725"/>
      <c r="VTZ28" s="725"/>
      <c r="VUA28" s="725"/>
      <c r="VUB28" s="725"/>
      <c r="VUC28" s="725"/>
      <c r="VUD28" s="725"/>
      <c r="VUE28" s="725"/>
      <c r="VUF28" s="725"/>
      <c r="VUG28" s="725"/>
      <c r="VUH28" s="725"/>
      <c r="VUI28" s="725"/>
      <c r="VUJ28" s="725"/>
      <c r="VUK28" s="725"/>
      <c r="VUL28" s="725"/>
      <c r="VUM28" s="725"/>
      <c r="VUN28" s="725"/>
      <c r="VUO28" s="725"/>
      <c r="VUP28" s="725"/>
      <c r="VUQ28" s="725"/>
      <c r="VUR28" s="725"/>
      <c r="VUS28" s="725"/>
      <c r="VUT28" s="725"/>
      <c r="VUU28" s="725"/>
      <c r="VUV28" s="725"/>
      <c r="VUW28" s="725"/>
      <c r="VUX28" s="725"/>
      <c r="VUY28" s="725"/>
      <c r="VUZ28" s="725"/>
      <c r="VVA28" s="725"/>
      <c r="VVB28" s="725"/>
      <c r="VVC28" s="725"/>
      <c r="VVD28" s="725"/>
      <c r="VVE28" s="725"/>
      <c r="VVF28" s="725"/>
      <c r="VVG28" s="725"/>
      <c r="VVH28" s="725"/>
      <c r="VVI28" s="725"/>
      <c r="VVJ28" s="725"/>
      <c r="VVK28" s="725"/>
      <c r="VVL28" s="725"/>
      <c r="VVM28" s="725"/>
      <c r="VVN28" s="725"/>
      <c r="VVO28" s="725"/>
      <c r="VVP28" s="725"/>
      <c r="VVQ28" s="725"/>
      <c r="VVR28" s="725"/>
      <c r="VVS28" s="725"/>
      <c r="VVT28" s="725"/>
      <c r="VVU28" s="725"/>
      <c r="VVV28" s="725"/>
      <c r="VVW28" s="725"/>
      <c r="VVX28" s="725"/>
      <c r="VVY28" s="725"/>
      <c r="VVZ28" s="725"/>
      <c r="VWA28" s="725"/>
      <c r="VWB28" s="725"/>
      <c r="VWC28" s="725"/>
      <c r="VWD28" s="725"/>
      <c r="VWE28" s="725"/>
      <c r="VWF28" s="725"/>
      <c r="VWG28" s="725"/>
      <c r="VWH28" s="725"/>
      <c r="VWI28" s="725"/>
      <c r="VWJ28" s="725"/>
      <c r="VWK28" s="725"/>
      <c r="VWL28" s="725"/>
      <c r="VWM28" s="725"/>
      <c r="VWN28" s="725"/>
      <c r="VWO28" s="725"/>
      <c r="VWP28" s="725"/>
      <c r="VWQ28" s="725"/>
      <c r="VWR28" s="725"/>
      <c r="VWS28" s="725"/>
      <c r="VWT28" s="725"/>
      <c r="VWU28" s="725"/>
      <c r="VWV28" s="725"/>
      <c r="VWW28" s="725"/>
      <c r="VWX28" s="725"/>
      <c r="VWY28" s="725"/>
      <c r="VWZ28" s="725"/>
      <c r="VXA28" s="725"/>
      <c r="VXB28" s="725"/>
      <c r="VXC28" s="725"/>
      <c r="VXD28" s="725"/>
      <c r="VXE28" s="725"/>
      <c r="VXF28" s="725"/>
      <c r="VXG28" s="725"/>
      <c r="VXH28" s="725"/>
      <c r="VXI28" s="725"/>
      <c r="VXJ28" s="725"/>
      <c r="VXK28" s="725"/>
      <c r="VXL28" s="725"/>
      <c r="VXM28" s="725"/>
      <c r="VXN28" s="725"/>
      <c r="VXO28" s="725"/>
      <c r="VXP28" s="725"/>
      <c r="VXQ28" s="725"/>
      <c r="VXR28" s="725"/>
      <c r="VXS28" s="725"/>
      <c r="VXT28" s="725"/>
      <c r="VXU28" s="725"/>
      <c r="VXV28" s="725"/>
      <c r="VXW28" s="725"/>
      <c r="VXX28" s="725"/>
      <c r="VXY28" s="725"/>
      <c r="VXZ28" s="725"/>
      <c r="VYA28" s="725"/>
      <c r="VYB28" s="725"/>
      <c r="VYC28" s="725"/>
      <c r="VYD28" s="725"/>
      <c r="VYE28" s="725"/>
      <c r="VYF28" s="725"/>
      <c r="VYG28" s="725"/>
      <c r="VYH28" s="725"/>
      <c r="VYI28" s="725"/>
      <c r="VYJ28" s="725"/>
      <c r="VYK28" s="725"/>
      <c r="VYL28" s="725"/>
      <c r="VYM28" s="725"/>
      <c r="VYN28" s="725"/>
      <c r="VYO28" s="725"/>
      <c r="VYP28" s="725"/>
      <c r="VYQ28" s="725"/>
      <c r="VYR28" s="725"/>
      <c r="VYS28" s="725"/>
      <c r="VYT28" s="725"/>
      <c r="VYU28" s="725"/>
      <c r="VYV28" s="725"/>
      <c r="VYW28" s="725"/>
      <c r="VYX28" s="725"/>
      <c r="VYY28" s="725"/>
      <c r="VYZ28" s="725"/>
      <c r="VZA28" s="725"/>
      <c r="VZB28" s="725"/>
      <c r="VZC28" s="725"/>
      <c r="VZD28" s="725"/>
      <c r="VZE28" s="725"/>
      <c r="VZF28" s="725"/>
      <c r="VZG28" s="725"/>
      <c r="VZH28" s="725"/>
      <c r="VZI28" s="725"/>
      <c r="VZJ28" s="725"/>
      <c r="VZK28" s="725"/>
      <c r="VZL28" s="725"/>
      <c r="VZM28" s="725"/>
      <c r="VZN28" s="725"/>
      <c r="VZO28" s="725"/>
      <c r="VZP28" s="725"/>
      <c r="VZQ28" s="725"/>
      <c r="VZR28" s="725"/>
      <c r="VZS28" s="725"/>
      <c r="VZT28" s="725"/>
      <c r="VZU28" s="725"/>
      <c r="VZV28" s="725"/>
      <c r="VZW28" s="725"/>
      <c r="VZX28" s="725"/>
      <c r="VZY28" s="725"/>
      <c r="VZZ28" s="725"/>
      <c r="WAA28" s="725"/>
      <c r="WAB28" s="725"/>
      <c r="WAC28" s="725"/>
      <c r="WAD28" s="725"/>
      <c r="WAE28" s="725"/>
      <c r="WAF28" s="725"/>
      <c r="WAG28" s="725"/>
      <c r="WAH28" s="725"/>
      <c r="WAI28" s="725"/>
      <c r="WAJ28" s="725"/>
      <c r="WAK28" s="725"/>
      <c r="WAL28" s="725"/>
      <c r="WAM28" s="725"/>
      <c r="WAN28" s="725"/>
      <c r="WAO28" s="725"/>
      <c r="WAP28" s="725"/>
      <c r="WAQ28" s="725"/>
      <c r="WAR28" s="725"/>
      <c r="WAS28" s="725"/>
      <c r="WAT28" s="725"/>
      <c r="WAU28" s="725"/>
      <c r="WAV28" s="725"/>
      <c r="WAW28" s="725"/>
      <c r="WAX28" s="725"/>
      <c r="WAY28" s="725"/>
      <c r="WAZ28" s="725"/>
      <c r="WBA28" s="725"/>
      <c r="WBB28" s="725"/>
      <c r="WBC28" s="725"/>
      <c r="WBD28" s="725"/>
      <c r="WBE28" s="725"/>
      <c r="WBF28" s="725"/>
      <c r="WBG28" s="725"/>
      <c r="WBH28" s="725"/>
      <c r="WBI28" s="725"/>
      <c r="WBJ28" s="725"/>
      <c r="WBK28" s="725"/>
      <c r="WBL28" s="725"/>
      <c r="WBM28" s="725"/>
      <c r="WBN28" s="725"/>
      <c r="WBO28" s="725"/>
      <c r="WBP28" s="725"/>
      <c r="WBQ28" s="725"/>
      <c r="WBR28" s="725"/>
      <c r="WBS28" s="725"/>
      <c r="WBT28" s="725"/>
      <c r="WBU28" s="725"/>
      <c r="WBV28" s="725"/>
      <c r="WBW28" s="725"/>
      <c r="WBX28" s="725"/>
      <c r="WBY28" s="725"/>
      <c r="WBZ28" s="725"/>
      <c r="WCA28" s="725"/>
      <c r="WCB28" s="725"/>
      <c r="WCC28" s="725"/>
      <c r="WCD28" s="725"/>
      <c r="WCE28" s="725"/>
      <c r="WCF28" s="725"/>
      <c r="WCG28" s="725"/>
      <c r="WCH28" s="725"/>
      <c r="WCI28" s="725"/>
      <c r="WCJ28" s="725"/>
      <c r="WCK28" s="725"/>
      <c r="WCL28" s="725"/>
      <c r="WCM28" s="725"/>
      <c r="WCN28" s="725"/>
      <c r="WCO28" s="725"/>
      <c r="WCP28" s="725"/>
      <c r="WCQ28" s="725"/>
      <c r="WCR28" s="725"/>
      <c r="WCS28" s="725"/>
      <c r="WCT28" s="725"/>
      <c r="WCU28" s="725"/>
      <c r="WCV28" s="725"/>
      <c r="WCW28" s="725"/>
      <c r="WCX28" s="725"/>
      <c r="WCY28" s="725"/>
      <c r="WCZ28" s="725"/>
      <c r="WDA28" s="725"/>
      <c r="WDB28" s="725"/>
      <c r="WDC28" s="725"/>
      <c r="WDD28" s="725"/>
      <c r="WDE28" s="725"/>
      <c r="WDF28" s="725"/>
      <c r="WDG28" s="725"/>
      <c r="WDH28" s="725"/>
      <c r="WDI28" s="725"/>
      <c r="WDJ28" s="725"/>
      <c r="WDK28" s="725"/>
      <c r="WDL28" s="725"/>
      <c r="WDM28" s="725"/>
      <c r="WDN28" s="725"/>
      <c r="WDO28" s="725"/>
      <c r="WDP28" s="725"/>
      <c r="WDQ28" s="725"/>
      <c r="WDR28" s="725"/>
      <c r="WDS28" s="725"/>
      <c r="WDT28" s="725"/>
      <c r="WDU28" s="725"/>
      <c r="WDV28" s="725"/>
      <c r="WDW28" s="725"/>
      <c r="WDX28" s="725"/>
      <c r="WDY28" s="725"/>
      <c r="WDZ28" s="725"/>
      <c r="WEA28" s="725"/>
      <c r="WEB28" s="725"/>
      <c r="WEC28" s="725"/>
      <c r="WED28" s="725"/>
      <c r="WEE28" s="725"/>
      <c r="WEF28" s="725"/>
      <c r="WEG28" s="725"/>
      <c r="WEH28" s="725"/>
      <c r="WEI28" s="725"/>
      <c r="WEJ28" s="725"/>
      <c r="WEK28" s="725"/>
      <c r="WEL28" s="725"/>
      <c r="WEM28" s="725"/>
      <c r="WEN28" s="725"/>
      <c r="WEO28" s="725"/>
      <c r="WEP28" s="725"/>
      <c r="WEQ28" s="725"/>
      <c r="WER28" s="725"/>
      <c r="WES28" s="725"/>
      <c r="WET28" s="725"/>
      <c r="WEU28" s="725"/>
      <c r="WEV28" s="725"/>
      <c r="WEW28" s="725"/>
      <c r="WEX28" s="725"/>
      <c r="WEY28" s="725"/>
      <c r="WEZ28" s="725"/>
      <c r="WFA28" s="725"/>
      <c r="WFB28" s="725"/>
      <c r="WFC28" s="725"/>
      <c r="WFD28" s="725"/>
      <c r="WFE28" s="725"/>
      <c r="WFF28" s="725"/>
      <c r="WFG28" s="725"/>
      <c r="WFH28" s="725"/>
      <c r="WFI28" s="725"/>
      <c r="WFJ28" s="725"/>
      <c r="WFK28" s="725"/>
      <c r="WFL28" s="725"/>
      <c r="WFM28" s="725"/>
      <c r="WFN28" s="725"/>
      <c r="WFO28" s="725"/>
      <c r="WFP28" s="725"/>
      <c r="WFQ28" s="725"/>
      <c r="WFR28" s="725"/>
      <c r="WFS28" s="725"/>
      <c r="WFT28" s="725"/>
      <c r="WFU28" s="725"/>
      <c r="WFV28" s="725"/>
      <c r="WFW28" s="725"/>
      <c r="WFX28" s="725"/>
      <c r="WFY28" s="725"/>
      <c r="WFZ28" s="725"/>
      <c r="WGA28" s="725"/>
      <c r="WGB28" s="725"/>
      <c r="WGC28" s="725"/>
      <c r="WGD28" s="725"/>
      <c r="WGE28" s="725"/>
      <c r="WGF28" s="725"/>
      <c r="WGG28" s="725"/>
      <c r="WGH28" s="725"/>
      <c r="WGI28" s="725"/>
      <c r="WGJ28" s="725"/>
      <c r="WGK28" s="725"/>
      <c r="WGL28" s="725"/>
      <c r="WGM28" s="725"/>
      <c r="WGN28" s="725"/>
      <c r="WGO28" s="725"/>
      <c r="WGP28" s="725"/>
      <c r="WGQ28" s="725"/>
      <c r="WGR28" s="725"/>
      <c r="WGS28" s="725"/>
      <c r="WGT28" s="725"/>
      <c r="WGU28" s="725"/>
      <c r="WGV28" s="725"/>
      <c r="WGW28" s="725"/>
      <c r="WGX28" s="725"/>
      <c r="WGY28" s="725"/>
      <c r="WGZ28" s="725"/>
      <c r="WHA28" s="725"/>
      <c r="WHB28" s="725"/>
      <c r="WHC28" s="725"/>
      <c r="WHD28" s="725"/>
      <c r="WHE28" s="725"/>
      <c r="WHF28" s="725"/>
      <c r="WHG28" s="725"/>
      <c r="WHH28" s="725"/>
      <c r="WHI28" s="725"/>
      <c r="WHJ28" s="725"/>
      <c r="WHK28" s="725"/>
      <c r="WHL28" s="725"/>
      <c r="WHM28" s="725"/>
      <c r="WHN28" s="725"/>
      <c r="WHO28" s="725"/>
      <c r="WHP28" s="725"/>
      <c r="WHQ28" s="725"/>
      <c r="WHR28" s="725"/>
      <c r="WHS28" s="725"/>
      <c r="WHT28" s="725"/>
      <c r="WHU28" s="725"/>
      <c r="WHV28" s="725"/>
      <c r="WHW28" s="725"/>
      <c r="WHX28" s="725"/>
      <c r="WHY28" s="725"/>
      <c r="WHZ28" s="725"/>
      <c r="WIA28" s="725"/>
      <c r="WIB28" s="725"/>
      <c r="WIC28" s="725"/>
      <c r="WID28" s="725"/>
      <c r="WIE28" s="725"/>
      <c r="WIF28" s="725"/>
      <c r="WIG28" s="725"/>
      <c r="WIH28" s="725"/>
      <c r="WII28" s="725"/>
      <c r="WIJ28" s="725"/>
      <c r="WIK28" s="725"/>
      <c r="WIL28" s="725"/>
      <c r="WIM28" s="725"/>
      <c r="WIN28" s="725"/>
      <c r="WIO28" s="725"/>
      <c r="WIP28" s="725"/>
      <c r="WIQ28" s="725"/>
      <c r="WIR28" s="725"/>
      <c r="WIS28" s="725"/>
      <c r="WIT28" s="725"/>
      <c r="WIU28" s="725"/>
      <c r="WIV28" s="725"/>
      <c r="WIW28" s="725"/>
      <c r="WIX28" s="725"/>
      <c r="WIY28" s="725"/>
      <c r="WIZ28" s="725"/>
      <c r="WJA28" s="725"/>
      <c r="WJB28" s="725"/>
      <c r="WJC28" s="725"/>
      <c r="WJD28" s="725"/>
      <c r="WJE28" s="725"/>
      <c r="WJF28" s="725"/>
      <c r="WJG28" s="725"/>
      <c r="WJH28" s="725"/>
      <c r="WJI28" s="725"/>
      <c r="WJJ28" s="725"/>
      <c r="WJK28" s="725"/>
      <c r="WJL28" s="725"/>
      <c r="WJM28" s="725"/>
      <c r="WJN28" s="725"/>
      <c r="WJO28" s="725"/>
      <c r="WJP28" s="725"/>
      <c r="WJQ28" s="725"/>
      <c r="WJR28" s="725"/>
      <c r="WJS28" s="725"/>
      <c r="WJT28" s="725"/>
      <c r="WJU28" s="725"/>
      <c r="WJV28" s="725"/>
      <c r="WJW28" s="725"/>
      <c r="WJX28" s="725"/>
      <c r="WJY28" s="725"/>
      <c r="WJZ28" s="725"/>
      <c r="WKA28" s="725"/>
      <c r="WKB28" s="725"/>
      <c r="WKC28" s="725"/>
      <c r="WKD28" s="725"/>
      <c r="WKE28" s="725"/>
      <c r="WKF28" s="725"/>
      <c r="WKG28" s="725"/>
      <c r="WKH28" s="725"/>
      <c r="WKI28" s="725"/>
      <c r="WKJ28" s="725"/>
      <c r="WKK28" s="725"/>
      <c r="WKL28" s="725"/>
      <c r="WKM28" s="725"/>
      <c r="WKN28" s="725"/>
      <c r="WKO28" s="725"/>
      <c r="WKP28" s="725"/>
      <c r="WKQ28" s="725"/>
      <c r="WKR28" s="725"/>
      <c r="WKS28" s="725"/>
      <c r="WKT28" s="725"/>
      <c r="WKU28" s="725"/>
      <c r="WKV28" s="725"/>
      <c r="WKW28" s="725"/>
      <c r="WKX28" s="725"/>
      <c r="WKY28" s="725"/>
      <c r="WKZ28" s="725"/>
      <c r="WLA28" s="725"/>
      <c r="WLB28" s="725"/>
      <c r="WLC28" s="725"/>
      <c r="WLD28" s="725"/>
      <c r="WLE28" s="725"/>
      <c r="WLF28" s="725"/>
      <c r="WLG28" s="725"/>
      <c r="WLH28" s="725"/>
      <c r="WLI28" s="725"/>
      <c r="WLJ28" s="725"/>
      <c r="WLK28" s="725"/>
      <c r="WLL28" s="725"/>
      <c r="WLM28" s="725"/>
      <c r="WLN28" s="725"/>
      <c r="WLO28" s="725"/>
      <c r="WLP28" s="725"/>
      <c r="WLQ28" s="725"/>
      <c r="WLR28" s="725"/>
      <c r="WLS28" s="725"/>
      <c r="WLT28" s="725"/>
      <c r="WLU28" s="725"/>
      <c r="WLV28" s="725"/>
      <c r="WLW28" s="725"/>
      <c r="WLX28" s="725"/>
      <c r="WLY28" s="725"/>
      <c r="WLZ28" s="725"/>
      <c r="WMA28" s="725"/>
      <c r="WMB28" s="725"/>
      <c r="WMC28" s="725"/>
      <c r="WMD28" s="725"/>
      <c r="WME28" s="725"/>
      <c r="WMF28" s="725"/>
      <c r="WMG28" s="725"/>
      <c r="WMH28" s="725"/>
      <c r="WMI28" s="725"/>
      <c r="WMJ28" s="725"/>
      <c r="WMK28" s="725"/>
      <c r="WML28" s="725"/>
      <c r="WMM28" s="725"/>
      <c r="WMN28" s="725"/>
      <c r="WMO28" s="725"/>
      <c r="WMP28" s="725"/>
      <c r="WMQ28" s="725"/>
      <c r="WMR28" s="725"/>
      <c r="WMS28" s="725"/>
      <c r="WMT28" s="725"/>
      <c r="WMU28" s="725"/>
      <c r="WMV28" s="725"/>
      <c r="WMW28" s="725"/>
      <c r="WMX28" s="725"/>
      <c r="WMY28" s="725"/>
      <c r="WMZ28" s="725"/>
      <c r="WNA28" s="725"/>
      <c r="WNB28" s="725"/>
      <c r="WNC28" s="725"/>
      <c r="WND28" s="725"/>
      <c r="WNE28" s="725"/>
      <c r="WNF28" s="725"/>
      <c r="WNG28" s="725"/>
      <c r="WNH28" s="725"/>
      <c r="WNI28" s="725"/>
      <c r="WNJ28" s="725"/>
      <c r="WNK28" s="725"/>
      <c r="WNL28" s="725"/>
      <c r="WNM28" s="725"/>
      <c r="WNN28" s="725"/>
      <c r="WNO28" s="725"/>
      <c r="WNP28" s="725"/>
      <c r="WNQ28" s="725"/>
      <c r="WNR28" s="725"/>
      <c r="WNS28" s="725"/>
      <c r="WNT28" s="725"/>
      <c r="WNU28" s="725"/>
      <c r="WNV28" s="725"/>
      <c r="WNW28" s="725"/>
      <c r="WNX28" s="725"/>
      <c r="WNY28" s="725"/>
      <c r="WNZ28" s="725"/>
      <c r="WOA28" s="725"/>
      <c r="WOB28" s="725"/>
      <c r="WOC28" s="725"/>
      <c r="WOD28" s="725"/>
      <c r="WOE28" s="725"/>
      <c r="WOF28" s="725"/>
      <c r="WOG28" s="725"/>
      <c r="WOH28" s="725"/>
      <c r="WOI28" s="725"/>
      <c r="WOJ28" s="725"/>
      <c r="WOK28" s="725"/>
      <c r="WOL28" s="725"/>
      <c r="WOM28" s="725"/>
      <c r="WON28" s="725"/>
      <c r="WOO28" s="725"/>
      <c r="WOP28" s="725"/>
      <c r="WOQ28" s="725"/>
      <c r="WOR28" s="725"/>
      <c r="WOS28" s="725"/>
      <c r="WOT28" s="725"/>
      <c r="WOU28" s="725"/>
      <c r="WOV28" s="725"/>
      <c r="WOW28" s="725"/>
      <c r="WOX28" s="725"/>
      <c r="WOY28" s="725"/>
      <c r="WOZ28" s="725"/>
      <c r="WPA28" s="725"/>
      <c r="WPB28" s="725"/>
      <c r="WPC28" s="725"/>
      <c r="WPD28" s="725"/>
      <c r="WPE28" s="725"/>
      <c r="WPF28" s="725"/>
      <c r="WPG28" s="725"/>
      <c r="WPH28" s="725"/>
      <c r="WPI28" s="725"/>
      <c r="WPJ28" s="725"/>
      <c r="WPK28" s="725"/>
      <c r="WPL28" s="725"/>
      <c r="WPM28" s="725"/>
      <c r="WPN28" s="725"/>
      <c r="WPO28" s="725"/>
      <c r="WPP28" s="725"/>
      <c r="WPQ28" s="725"/>
      <c r="WPR28" s="725"/>
      <c r="WPS28" s="725"/>
      <c r="WPT28" s="725"/>
      <c r="WPU28" s="725"/>
      <c r="WPV28" s="725"/>
      <c r="WPW28" s="725"/>
      <c r="WPX28" s="725"/>
      <c r="WPY28" s="725"/>
      <c r="WPZ28" s="725"/>
      <c r="WQA28" s="725"/>
      <c r="WQB28" s="725"/>
      <c r="WQC28" s="725"/>
      <c r="WQD28" s="725"/>
      <c r="WQE28" s="725"/>
      <c r="WQF28" s="725"/>
      <c r="WQG28" s="725"/>
      <c r="WQH28" s="725"/>
      <c r="WQI28" s="725"/>
      <c r="WQJ28" s="725"/>
      <c r="WQK28" s="725"/>
      <c r="WQL28" s="725"/>
      <c r="WQM28" s="725"/>
      <c r="WQN28" s="725"/>
      <c r="WQO28" s="725"/>
      <c r="WQP28" s="725"/>
      <c r="WQQ28" s="725"/>
      <c r="WQR28" s="725"/>
      <c r="WQS28" s="725"/>
      <c r="WQT28" s="725"/>
      <c r="WQU28" s="725"/>
      <c r="WQV28" s="725"/>
      <c r="WQW28" s="725"/>
      <c r="WQX28" s="725"/>
      <c r="WQY28" s="725"/>
      <c r="WQZ28" s="725"/>
      <c r="WRA28" s="725"/>
      <c r="WRB28" s="725"/>
      <c r="WRC28" s="725"/>
      <c r="WRD28" s="725"/>
      <c r="WRE28" s="725"/>
      <c r="WRF28" s="725"/>
      <c r="WRG28" s="725"/>
      <c r="WRH28" s="725"/>
      <c r="WRI28" s="725"/>
      <c r="WRJ28" s="725"/>
      <c r="WRK28" s="725"/>
      <c r="WRL28" s="725"/>
      <c r="WRM28" s="725"/>
      <c r="WRN28" s="725"/>
      <c r="WRO28" s="725"/>
      <c r="WRP28" s="725"/>
      <c r="WRQ28" s="725"/>
      <c r="WRR28" s="725"/>
      <c r="WRS28" s="725"/>
      <c r="WRT28" s="725"/>
      <c r="WRU28" s="725"/>
      <c r="WRV28" s="725"/>
      <c r="WRW28" s="725"/>
      <c r="WRX28" s="725"/>
      <c r="WRY28" s="725"/>
      <c r="WRZ28" s="725"/>
      <c r="WSA28" s="725"/>
      <c r="WSB28" s="725"/>
      <c r="WSC28" s="725"/>
      <c r="WSD28" s="725"/>
      <c r="WSE28" s="725"/>
      <c r="WSF28" s="725"/>
      <c r="WSG28" s="725"/>
      <c r="WSH28" s="725"/>
      <c r="WSI28" s="725"/>
      <c r="WSJ28" s="725"/>
      <c r="WSK28" s="725"/>
      <c r="WSL28" s="725"/>
      <c r="WSM28" s="725"/>
      <c r="WSN28" s="725"/>
      <c r="WSO28" s="725"/>
      <c r="WSP28" s="725"/>
      <c r="WSQ28" s="725"/>
      <c r="WSR28" s="725"/>
      <c r="WSS28" s="725"/>
      <c r="WST28" s="725"/>
      <c r="WSU28" s="725"/>
      <c r="WSV28" s="725"/>
      <c r="WSW28" s="725"/>
      <c r="WSX28" s="725"/>
      <c r="WSY28" s="725"/>
      <c r="WSZ28" s="725"/>
      <c r="WTA28" s="725"/>
      <c r="WTB28" s="725"/>
      <c r="WTC28" s="725"/>
      <c r="WTD28" s="725"/>
      <c r="WTE28" s="725"/>
      <c r="WTF28" s="725"/>
      <c r="WTG28" s="725"/>
      <c r="WTH28" s="725"/>
      <c r="WTI28" s="725"/>
      <c r="WTJ28" s="725"/>
      <c r="WTK28" s="725"/>
      <c r="WTL28" s="725"/>
      <c r="WTM28" s="725"/>
      <c r="WTN28" s="725"/>
      <c r="WTO28" s="725"/>
      <c r="WTP28" s="725"/>
      <c r="WTQ28" s="725"/>
      <c r="WTR28" s="725"/>
      <c r="WTS28" s="725"/>
      <c r="WTT28" s="725"/>
      <c r="WTU28" s="725"/>
      <c r="WTV28" s="725"/>
      <c r="WTW28" s="725"/>
      <c r="WTX28" s="725"/>
      <c r="WTY28" s="725"/>
      <c r="WTZ28" s="725"/>
      <c r="WUA28" s="725"/>
      <c r="WUB28" s="725"/>
      <c r="WUC28" s="725"/>
      <c r="WUD28" s="725"/>
      <c r="WUE28" s="725"/>
      <c r="WUF28" s="725"/>
      <c r="WUG28" s="725"/>
      <c r="WUH28" s="725"/>
      <c r="WUI28" s="725"/>
      <c r="WUJ28" s="725"/>
      <c r="WUK28" s="725"/>
      <c r="WUL28" s="725"/>
      <c r="WUM28" s="725"/>
      <c r="WUN28" s="725"/>
      <c r="WUO28" s="725"/>
      <c r="WUP28" s="725"/>
      <c r="WUQ28" s="725"/>
      <c r="WUR28" s="725"/>
      <c r="WUS28" s="725"/>
      <c r="WUT28" s="725"/>
      <c r="WUU28" s="725"/>
      <c r="WUV28" s="725"/>
      <c r="WUW28" s="725"/>
      <c r="WUX28" s="725"/>
      <c r="WUY28" s="725"/>
      <c r="WUZ28" s="725"/>
      <c r="WVA28" s="725"/>
      <c r="WVB28" s="725"/>
      <c r="WVC28" s="725"/>
      <c r="WVD28" s="725"/>
      <c r="WVE28" s="725"/>
      <c r="WVF28" s="725"/>
      <c r="WVG28" s="725"/>
      <c r="WVH28" s="725"/>
      <c r="WVI28" s="725"/>
      <c r="WVJ28" s="725"/>
      <c r="WVK28" s="725"/>
      <c r="WVL28" s="725"/>
      <c r="WVM28" s="725"/>
      <c r="WVN28" s="725"/>
      <c r="WVO28" s="725"/>
      <c r="WVP28" s="725"/>
      <c r="WVQ28" s="725"/>
      <c r="WVR28" s="725"/>
      <c r="WVS28" s="725"/>
      <c r="WVT28" s="725"/>
      <c r="WVU28" s="725"/>
      <c r="WVV28" s="725"/>
      <c r="WVW28" s="725"/>
      <c r="WVX28" s="725"/>
      <c r="WVY28" s="725"/>
      <c r="WVZ28" s="725"/>
      <c r="WWA28" s="725"/>
      <c r="WWB28" s="725"/>
      <c r="WWC28" s="725"/>
      <c r="WWD28" s="725"/>
      <c r="WWE28" s="725"/>
      <c r="WWF28" s="725"/>
      <c r="WWG28" s="725"/>
      <c r="WWH28" s="725"/>
      <c r="WWI28" s="725"/>
      <c r="WWJ28" s="725"/>
      <c r="WWK28" s="725"/>
      <c r="WWL28" s="725"/>
      <c r="WWM28" s="725"/>
      <c r="WWN28" s="725"/>
      <c r="WWO28" s="725"/>
      <c r="WWP28" s="725"/>
      <c r="WWQ28" s="725"/>
      <c r="WWR28" s="725"/>
      <c r="WWS28" s="725"/>
      <c r="WWT28" s="725"/>
      <c r="WWU28" s="725"/>
      <c r="WWV28" s="725"/>
      <c r="WWW28" s="725"/>
      <c r="WWX28" s="725"/>
      <c r="WWY28" s="725"/>
      <c r="WWZ28" s="725"/>
      <c r="WXA28" s="725"/>
      <c r="WXB28" s="725"/>
      <c r="WXC28" s="725"/>
      <c r="WXD28" s="725"/>
      <c r="WXE28" s="725"/>
      <c r="WXF28" s="725"/>
      <c r="WXG28" s="725"/>
      <c r="WXH28" s="725"/>
      <c r="WXI28" s="725"/>
      <c r="WXJ28" s="725"/>
      <c r="WXK28" s="725"/>
      <c r="WXL28" s="725"/>
      <c r="WXM28" s="725"/>
      <c r="WXN28" s="725"/>
      <c r="WXO28" s="725"/>
      <c r="WXP28" s="725"/>
      <c r="WXQ28" s="725"/>
      <c r="WXR28" s="725"/>
      <c r="WXS28" s="725"/>
      <c r="WXT28" s="725"/>
      <c r="WXU28" s="725"/>
      <c r="WXV28" s="725"/>
      <c r="WXW28" s="725"/>
      <c r="WXX28" s="725"/>
      <c r="WXY28" s="725"/>
      <c r="WXZ28" s="725"/>
      <c r="WYA28" s="725"/>
      <c r="WYB28" s="725"/>
      <c r="WYC28" s="725"/>
      <c r="WYD28" s="725"/>
      <c r="WYE28" s="725"/>
      <c r="WYF28" s="725"/>
      <c r="WYG28" s="725"/>
      <c r="WYH28" s="725"/>
      <c r="WYI28" s="725"/>
      <c r="WYJ28" s="725"/>
      <c r="WYK28" s="725"/>
      <c r="WYL28" s="725"/>
      <c r="WYM28" s="725"/>
      <c r="WYN28" s="725"/>
      <c r="WYO28" s="725"/>
      <c r="WYP28" s="725"/>
      <c r="WYQ28" s="725"/>
      <c r="WYR28" s="725"/>
      <c r="WYS28" s="725"/>
      <c r="WYT28" s="725"/>
      <c r="WYU28" s="725"/>
      <c r="WYV28" s="725"/>
      <c r="WYW28" s="725"/>
      <c r="WYX28" s="725"/>
      <c r="WYY28" s="725"/>
      <c r="WYZ28" s="725"/>
      <c r="WZA28" s="725"/>
      <c r="WZB28" s="725"/>
      <c r="WZC28" s="725"/>
      <c r="WZD28" s="725"/>
      <c r="WZE28" s="725"/>
      <c r="WZF28" s="725"/>
      <c r="WZG28" s="725"/>
      <c r="WZH28" s="725"/>
      <c r="WZI28" s="725"/>
      <c r="WZJ28" s="725"/>
      <c r="WZK28" s="725"/>
      <c r="WZL28" s="725"/>
      <c r="WZM28" s="725"/>
      <c r="WZN28" s="725"/>
      <c r="WZO28" s="725"/>
      <c r="WZP28" s="725"/>
      <c r="WZQ28" s="725"/>
      <c r="WZR28" s="725"/>
      <c r="WZS28" s="725"/>
      <c r="WZT28" s="725"/>
      <c r="WZU28" s="725"/>
      <c r="WZV28" s="725"/>
      <c r="WZW28" s="725"/>
      <c r="WZX28" s="725"/>
      <c r="WZY28" s="725"/>
      <c r="WZZ28" s="725"/>
      <c r="XAA28" s="725"/>
      <c r="XAB28" s="725"/>
      <c r="XAC28" s="725"/>
      <c r="XAD28" s="725"/>
      <c r="XAE28" s="725"/>
      <c r="XAF28" s="725"/>
      <c r="XAG28" s="725"/>
      <c r="XAH28" s="725"/>
      <c r="XAI28" s="725"/>
      <c r="XAJ28" s="725"/>
      <c r="XAK28" s="725"/>
      <c r="XAL28" s="725"/>
      <c r="XAM28" s="725"/>
      <c r="XAN28" s="725"/>
      <c r="XAO28" s="725"/>
      <c r="XAP28" s="725"/>
      <c r="XAQ28" s="725"/>
      <c r="XAR28" s="725"/>
      <c r="XAS28" s="725"/>
      <c r="XAT28" s="725"/>
      <c r="XAU28" s="725"/>
      <c r="XAV28" s="725"/>
      <c r="XAW28" s="725"/>
      <c r="XAX28" s="725"/>
      <c r="XAY28" s="725"/>
      <c r="XAZ28" s="725"/>
      <c r="XBA28" s="725"/>
      <c r="XBB28" s="725"/>
      <c r="XBC28" s="725"/>
      <c r="XBD28" s="725"/>
      <c r="XBE28" s="725"/>
      <c r="XBF28" s="725"/>
      <c r="XBG28" s="725"/>
      <c r="XBH28" s="725"/>
      <c r="XBI28" s="725"/>
      <c r="XBJ28" s="725"/>
      <c r="XBK28" s="725"/>
      <c r="XBL28" s="725"/>
      <c r="XBM28" s="725"/>
      <c r="XBN28" s="725"/>
      <c r="XBO28" s="725"/>
      <c r="XBP28" s="725"/>
      <c r="XBQ28" s="725"/>
      <c r="XBR28" s="725"/>
      <c r="XBS28" s="725"/>
      <c r="XBT28" s="725"/>
      <c r="XBU28" s="725"/>
      <c r="XBV28" s="725"/>
      <c r="XBW28" s="725"/>
      <c r="XBX28" s="725"/>
      <c r="XBY28" s="725"/>
      <c r="XBZ28" s="725"/>
      <c r="XCA28" s="725"/>
      <c r="XCB28" s="725"/>
      <c r="XCC28" s="725"/>
      <c r="XCD28" s="725"/>
      <c r="XCE28" s="725"/>
      <c r="XCF28" s="725"/>
      <c r="XCG28" s="725"/>
      <c r="XCH28" s="725"/>
      <c r="XCI28" s="725"/>
      <c r="XCJ28" s="725"/>
      <c r="XCK28" s="725"/>
      <c r="XCL28" s="725"/>
      <c r="XCM28" s="725"/>
      <c r="XCN28" s="725"/>
      <c r="XCO28" s="725"/>
      <c r="XCP28" s="725"/>
      <c r="XCQ28" s="725"/>
      <c r="XCR28" s="725"/>
      <c r="XCS28" s="725"/>
      <c r="XCT28" s="725"/>
      <c r="XCU28" s="725"/>
      <c r="XCV28" s="725"/>
      <c r="XCW28" s="725"/>
      <c r="XCX28" s="725"/>
      <c r="XCY28" s="725"/>
      <c r="XCZ28" s="725"/>
      <c r="XDA28" s="725"/>
      <c r="XDB28" s="725"/>
      <c r="XDC28" s="725"/>
      <c r="XDD28" s="725"/>
      <c r="XDE28" s="725"/>
      <c r="XDF28" s="725"/>
      <c r="XDG28" s="725"/>
      <c r="XDH28" s="725"/>
      <c r="XDI28" s="725"/>
      <c r="XDJ28" s="725"/>
      <c r="XDK28" s="725"/>
      <c r="XDL28" s="725"/>
      <c r="XDM28" s="725"/>
      <c r="XDN28" s="725"/>
      <c r="XDO28" s="725"/>
      <c r="XDP28" s="725"/>
      <c r="XDQ28" s="725"/>
      <c r="XDR28" s="725"/>
      <c r="XDS28" s="725"/>
      <c r="XDT28" s="725"/>
      <c r="XDU28" s="725"/>
      <c r="XDV28" s="725"/>
      <c r="XDW28" s="725"/>
      <c r="XDX28" s="725"/>
      <c r="XDY28" s="725"/>
      <c r="XDZ28" s="725"/>
      <c r="XEA28" s="725"/>
      <c r="XEB28" s="725"/>
      <c r="XEC28" s="725"/>
      <c r="XED28" s="725"/>
      <c r="XEE28" s="725"/>
      <c r="XEF28" s="725"/>
      <c r="XEG28" s="725"/>
      <c r="XEH28" s="725"/>
      <c r="XEI28" s="725"/>
      <c r="XEJ28" s="725"/>
      <c r="XEK28" s="725"/>
      <c r="XEL28" s="725"/>
      <c r="XEM28" s="725"/>
      <c r="XEN28" s="725"/>
      <c r="XEO28" s="725"/>
      <c r="XEP28" s="725"/>
      <c r="XEQ28" s="725"/>
      <c r="XER28" s="725"/>
      <c r="XES28" s="725"/>
      <c r="XET28" s="725"/>
      <c r="XEU28" s="725"/>
      <c r="XEV28" s="725"/>
      <c r="XEW28" s="725"/>
      <c r="XEX28" s="725"/>
      <c r="XEY28" s="725"/>
      <c r="XEZ28" s="725"/>
      <c r="XFA28" s="725"/>
      <c r="XFB28" s="725"/>
      <c r="XFC28" s="725"/>
      <c r="XFD28" s="725"/>
    </row>
    <row r="29" spans="1:16384" s="1984" customFormat="1">
      <c r="A29" s="720"/>
      <c r="B29" s="2498" t="s">
        <v>4367</v>
      </c>
      <c r="C29" s="2503">
        <f>SUM(F27:AG27)</f>
        <v>2.6712037153397437</v>
      </c>
      <c r="D29" s="2245"/>
      <c r="E29" s="2245"/>
      <c r="F29" s="725"/>
      <c r="G29" s="2500"/>
      <c r="H29" s="725"/>
      <c r="I29" s="725"/>
      <c r="J29" s="2246"/>
      <c r="K29" s="726"/>
      <c r="L29" s="2246"/>
      <c r="M29" s="725"/>
      <c r="N29" s="2202"/>
      <c r="O29" s="725"/>
      <c r="P29" s="725"/>
      <c r="Q29" s="725"/>
      <c r="R29" s="2246"/>
      <c r="S29" s="726"/>
      <c r="T29" s="2246"/>
      <c r="U29" s="725"/>
      <c r="V29" s="2246"/>
      <c r="W29" s="726"/>
      <c r="X29" s="2246"/>
      <c r="Y29" s="725"/>
      <c r="Z29" s="725"/>
      <c r="AA29" s="725"/>
      <c r="AB29" s="725"/>
      <c r="AC29" s="725"/>
      <c r="AD29" s="2202"/>
      <c r="AE29" s="725"/>
      <c r="AF29" s="725"/>
      <c r="AG29" s="725"/>
      <c r="AH29" s="2202"/>
      <c r="AI29" s="2202"/>
      <c r="AJ29" s="2202"/>
      <c r="AK29" s="2202"/>
      <c r="AL29" s="2202"/>
      <c r="AM29" s="2202"/>
      <c r="AN29" s="2202"/>
      <c r="AO29" s="2202"/>
      <c r="AP29" s="2202"/>
      <c r="AQ29" s="2202"/>
      <c r="AR29" s="2202"/>
    </row>
    <row r="30" spans="1:16384">
      <c r="D30" s="2247"/>
      <c r="E30" s="2247"/>
      <c r="F30" s="2248"/>
      <c r="G30" s="2248"/>
      <c r="H30" s="2248"/>
      <c r="I30" s="2248"/>
      <c r="J30" s="2202"/>
      <c r="K30" s="2202"/>
      <c r="L30" s="2202"/>
      <c r="M30" s="2202"/>
      <c r="N30" s="2202"/>
      <c r="O30" s="2202"/>
      <c r="P30" s="2202"/>
      <c r="Q30" s="2202"/>
      <c r="R30" s="2202"/>
      <c r="S30" s="2202"/>
      <c r="T30" s="2202"/>
      <c r="U30" s="2202"/>
      <c r="V30" s="2202"/>
      <c r="W30" s="2202"/>
      <c r="X30" s="2202"/>
      <c r="Y30" s="2202"/>
      <c r="Z30" s="2202"/>
      <c r="AA30" s="2202"/>
      <c r="AB30" s="2202"/>
      <c r="AC30" s="2202"/>
      <c r="AD30" s="2202"/>
      <c r="AE30" s="2202"/>
      <c r="AF30" s="2202"/>
      <c r="AG30" s="2202"/>
      <c r="AH30" s="2202"/>
      <c r="AI30" s="2202"/>
      <c r="AJ30" s="2202"/>
      <c r="AK30" s="2202"/>
      <c r="AL30" s="2202"/>
      <c r="AM30" s="2202"/>
      <c r="AN30" s="2202"/>
      <c r="AO30" s="2202"/>
      <c r="AP30" s="2202"/>
      <c r="AQ30" s="2202"/>
      <c r="AR30" s="2202"/>
    </row>
    <row r="31" spans="1:16384">
      <c r="F31" s="2250" t="s">
        <v>86</v>
      </c>
      <c r="G31" s="1984"/>
      <c r="H31" s="1984"/>
      <c r="I31" s="1984"/>
      <c r="J31" s="2250" t="s">
        <v>86</v>
      </c>
      <c r="K31" s="1984"/>
      <c r="L31" s="1984"/>
      <c r="M31" s="1984"/>
      <c r="N31" s="2250" t="s">
        <v>86</v>
      </c>
      <c r="O31" s="1984"/>
      <c r="P31" s="1984"/>
      <c r="Q31" s="1984"/>
      <c r="R31" s="2250" t="s">
        <v>86</v>
      </c>
      <c r="S31" s="2250"/>
      <c r="T31" s="1984"/>
      <c r="U31" s="1984"/>
      <c r="V31" s="2250" t="s">
        <v>86</v>
      </c>
      <c r="W31" s="2250"/>
      <c r="X31" s="1984"/>
      <c r="Y31" s="2250" t="s">
        <v>86</v>
      </c>
      <c r="Z31" s="1984"/>
      <c r="AA31" s="1984"/>
      <c r="AB31" s="1984"/>
      <c r="AD31" s="2250" t="s">
        <v>86</v>
      </c>
    </row>
    <row r="32" spans="1:16384" ht="27.75" customHeight="1">
      <c r="A32" s="2253"/>
      <c r="B32" s="1984"/>
      <c r="C32" s="1984"/>
      <c r="D32" s="2167"/>
      <c r="E32" s="2167" t="s">
        <v>210</v>
      </c>
      <c r="F32" s="3253" t="str">
        <f>"The last quarterly payment for research will be based on the total duration of Phase A and Phase B research. Refer to "&amp;'Milestone Calcs'!B3&amp;"."</f>
        <v>The last quarterly payment for research will be based on the total duration of Phase A and Phase B research. Refer to Workpaper #2.</v>
      </c>
      <c r="G32" s="3253"/>
      <c r="H32" s="3253"/>
      <c r="I32" s="3253"/>
      <c r="J32" s="3253" t="str">
        <f>F32</f>
        <v>The last quarterly payment for research will be based on the total duration of Phase A and Phase B research. Refer to Workpaper #2.</v>
      </c>
      <c r="K32" s="3253"/>
      <c r="L32" s="3253"/>
      <c r="M32" s="3253"/>
      <c r="N32" s="3253" t="str">
        <f>J32</f>
        <v>The last quarterly payment for research will be based on the total duration of Phase A and Phase B research. Refer to Workpaper #2.</v>
      </c>
      <c r="O32" s="3253"/>
      <c r="P32" s="3253"/>
      <c r="Q32" s="3253"/>
      <c r="R32" s="3253" t="str">
        <f>N32</f>
        <v>The last quarterly payment for research will be based on the total duration of Phase A and Phase B research. Refer to Workpaper #2.</v>
      </c>
      <c r="S32" s="3253"/>
      <c r="T32" s="3253"/>
      <c r="U32" s="3253"/>
      <c r="V32" s="3253" t="str">
        <f>R32</f>
        <v>The last quarterly payment for research will be based on the total duration of Phase A and Phase B research. Refer to Workpaper #2.</v>
      </c>
      <c r="W32" s="3253"/>
      <c r="X32" s="3253"/>
      <c r="Y32" s="3253" t="str">
        <f>V32</f>
        <v>The last quarterly payment for research will be based on the total duration of Phase A and Phase B research. Refer to Workpaper #2.</v>
      </c>
      <c r="Z32" s="3253"/>
      <c r="AA32" s="3253"/>
      <c r="AB32" s="3155"/>
      <c r="AD32" s="3254" t="str">
        <f>Y32</f>
        <v>The last quarterly payment for research will be based on the total duration of Phase A and Phase B research. Refer to Workpaper #2.</v>
      </c>
      <c r="AE32" s="3254"/>
      <c r="AF32" s="3254"/>
      <c r="AG32" s="3254"/>
    </row>
    <row r="33" spans="1:33" ht="15.75" customHeight="1">
      <c r="A33" s="2253"/>
      <c r="B33" s="1984"/>
      <c r="C33" s="1984"/>
      <c r="D33" s="2167"/>
      <c r="E33" s="2167" t="s">
        <v>209</v>
      </c>
      <c r="F33" s="3253" t="s">
        <v>4371</v>
      </c>
      <c r="G33" s="3253"/>
      <c r="H33" s="3253"/>
      <c r="I33" s="3253"/>
      <c r="J33" s="3253" t="str">
        <f t="shared" ref="J33" si="18">F33</f>
        <v>Represents the cumulative probability of success for Phase A and Phase B research.</v>
      </c>
      <c r="K33" s="3253"/>
      <c r="L33" s="3253"/>
      <c r="M33" s="3253"/>
      <c r="N33" s="3253" t="str">
        <f t="shared" ref="N33" si="19">J33</f>
        <v>Represents the cumulative probability of success for Phase A and Phase B research.</v>
      </c>
      <c r="O33" s="3253"/>
      <c r="P33" s="3253"/>
      <c r="Q33" s="3253"/>
      <c r="R33" s="3253" t="str">
        <f t="shared" ref="R33" si="20">N33</f>
        <v>Represents the cumulative probability of success for Phase A and Phase B research.</v>
      </c>
      <c r="S33" s="3253"/>
      <c r="T33" s="3253"/>
      <c r="U33" s="3253"/>
      <c r="V33" s="3253" t="str">
        <f t="shared" ref="V33" si="21">R33</f>
        <v>Represents the cumulative probability of success for Phase A and Phase B research.</v>
      </c>
      <c r="W33" s="3253"/>
      <c r="X33" s="3253"/>
      <c r="Y33" s="3253" t="str">
        <f>V33</f>
        <v>Represents the cumulative probability of success for Phase A and Phase B research.</v>
      </c>
      <c r="Z33" s="3253"/>
      <c r="AA33" s="3253"/>
      <c r="AB33" s="3155"/>
      <c r="AD33" s="3254" t="str">
        <f>Y33</f>
        <v>Represents the cumulative probability of success for Phase A and Phase B research.</v>
      </c>
      <c r="AE33" s="3254"/>
      <c r="AF33" s="3254"/>
      <c r="AG33" s="3254"/>
    </row>
    <row r="34" spans="1:33" ht="15.75" customHeight="1">
      <c r="A34" s="2253"/>
      <c r="B34" s="1984"/>
      <c r="C34" s="1984"/>
      <c r="D34" s="2167"/>
      <c r="E34" s="2167" t="s">
        <v>246</v>
      </c>
      <c r="F34" s="3253" t="s">
        <v>2848</v>
      </c>
      <c r="G34" s="3253"/>
      <c r="H34" s="3253"/>
      <c r="I34" s="3253"/>
      <c r="J34" s="3253" t="str">
        <f t="shared" ref="J34:J35" si="22">F34</f>
        <v>Applied mid-period discounting.</v>
      </c>
      <c r="K34" s="3253"/>
      <c r="L34" s="3253"/>
      <c r="M34" s="3253"/>
      <c r="N34" s="3253" t="str">
        <f t="shared" ref="N34:N35" si="23">J34</f>
        <v>Applied mid-period discounting.</v>
      </c>
      <c r="O34" s="3253"/>
      <c r="P34" s="3253"/>
      <c r="Q34" s="3253"/>
      <c r="R34" s="3253" t="str">
        <f t="shared" ref="R34:R35" si="24">N34</f>
        <v>Applied mid-period discounting.</v>
      </c>
      <c r="S34" s="3253"/>
      <c r="T34" s="3253"/>
      <c r="U34" s="3253"/>
      <c r="V34" s="3253" t="str">
        <f t="shared" ref="V34:V35" si="25">R34</f>
        <v>Applied mid-period discounting.</v>
      </c>
      <c r="W34" s="3253"/>
      <c r="X34" s="3253"/>
      <c r="Y34" s="3253" t="str">
        <f>V34</f>
        <v>Applied mid-period discounting.</v>
      </c>
      <c r="Z34" s="3253"/>
      <c r="AA34" s="3253"/>
      <c r="AB34" s="3155"/>
      <c r="AD34" s="3254" t="str">
        <f>Y34</f>
        <v>Applied mid-period discounting.</v>
      </c>
      <c r="AE34" s="3254"/>
      <c r="AF34" s="3254"/>
      <c r="AG34" s="3254"/>
    </row>
    <row r="35" spans="1:33" ht="12.75" customHeight="1">
      <c r="A35" s="2253"/>
      <c r="B35" s="1984"/>
      <c r="C35" s="1984"/>
      <c r="D35" s="2167"/>
      <c r="E35" s="2167" t="s">
        <v>247</v>
      </c>
      <c r="F35" s="3253" t="str">
        <f>"Refer to "&amp;'WACC CAPM_rNPV'!B3&amp;"."</f>
        <v>Refer to Workpaper #12.</v>
      </c>
      <c r="G35" s="3253"/>
      <c r="H35" s="3253"/>
      <c r="I35" s="3253"/>
      <c r="J35" s="3253" t="str">
        <f t="shared" si="22"/>
        <v>Refer to Workpaper #12.</v>
      </c>
      <c r="K35" s="3253"/>
      <c r="L35" s="3253"/>
      <c r="M35" s="3253"/>
      <c r="N35" s="3253" t="str">
        <f t="shared" si="23"/>
        <v>Refer to Workpaper #12.</v>
      </c>
      <c r="O35" s="3253"/>
      <c r="P35" s="3253"/>
      <c r="Q35" s="3253"/>
      <c r="R35" s="3253" t="str">
        <f t="shared" si="24"/>
        <v>Refer to Workpaper #12.</v>
      </c>
      <c r="S35" s="3253"/>
      <c r="T35" s="3253"/>
      <c r="U35" s="3253"/>
      <c r="V35" s="3253" t="str">
        <f t="shared" si="25"/>
        <v>Refer to Workpaper #12.</v>
      </c>
      <c r="W35" s="3253"/>
      <c r="X35" s="3253"/>
      <c r="Y35" s="3253" t="str">
        <f>V35</f>
        <v>Refer to Workpaper #12.</v>
      </c>
      <c r="Z35" s="3253"/>
      <c r="AA35" s="3253"/>
      <c r="AB35" s="3155"/>
      <c r="AD35" s="3254" t="str">
        <f>Y35</f>
        <v>Refer to Workpaper #12.</v>
      </c>
      <c r="AE35" s="3254"/>
      <c r="AF35" s="3254"/>
      <c r="AG35" s="3254"/>
    </row>
    <row r="36" spans="1:33">
      <c r="A36" s="762"/>
      <c r="B36" s="1984"/>
      <c r="J36" s="2254"/>
      <c r="K36" s="2254"/>
    </row>
    <row r="37" spans="1:33">
      <c r="C37" s="2231"/>
      <c r="D37" s="2231"/>
      <c r="E37" s="2231"/>
      <c r="F37" s="2231"/>
      <c r="G37" s="2231"/>
      <c r="H37" s="2231"/>
      <c r="I37" s="2231"/>
      <c r="J37" s="2231"/>
      <c r="K37" s="2231"/>
      <c r="L37" s="2231"/>
      <c r="M37" s="2231"/>
      <c r="N37" s="2231"/>
      <c r="O37" s="2231"/>
      <c r="P37" s="2231"/>
      <c r="Q37" s="2231"/>
      <c r="R37" s="2231"/>
      <c r="S37" s="2231"/>
      <c r="T37" s="2231"/>
      <c r="U37" s="2231"/>
      <c r="V37" s="2231"/>
      <c r="W37" s="2231"/>
      <c r="X37" s="2231"/>
      <c r="Y37" s="2231"/>
      <c r="Z37" s="2231"/>
      <c r="AA37" s="2231"/>
      <c r="AB37" s="2231"/>
      <c r="AC37" s="2231"/>
      <c r="AD37" s="2231"/>
      <c r="AE37" s="2231"/>
      <c r="AF37" s="2231"/>
      <c r="AG37" s="2231"/>
    </row>
  </sheetData>
  <mergeCells count="28">
    <mergeCell ref="F32:I32"/>
    <mergeCell ref="F34:I34"/>
    <mergeCell ref="F35:I35"/>
    <mergeCell ref="J32:M32"/>
    <mergeCell ref="J34:M34"/>
    <mergeCell ref="J35:M35"/>
    <mergeCell ref="F33:I33"/>
    <mergeCell ref="J33:M33"/>
    <mergeCell ref="N32:Q32"/>
    <mergeCell ref="N34:Q34"/>
    <mergeCell ref="N35:Q35"/>
    <mergeCell ref="R32:U32"/>
    <mergeCell ref="R34:U34"/>
    <mergeCell ref="R35:U35"/>
    <mergeCell ref="N33:Q33"/>
    <mergeCell ref="R33:U33"/>
    <mergeCell ref="Y34:AA34"/>
    <mergeCell ref="Y35:AA35"/>
    <mergeCell ref="V33:X33"/>
    <mergeCell ref="Y33:AA33"/>
    <mergeCell ref="AD32:AG32"/>
    <mergeCell ref="AD34:AG34"/>
    <mergeCell ref="AD35:AG35"/>
    <mergeCell ref="AD33:AG33"/>
    <mergeCell ref="V32:X32"/>
    <mergeCell ref="V34:X34"/>
    <mergeCell ref="V35:X35"/>
    <mergeCell ref="Y32:AA32"/>
  </mergeCells>
  <conditionalFormatting sqref="B4:E4 G4:K4 AD4:AE4 M4:Q4 S4:U4">
    <cfRule type="cellIs" dxfId="472" priority="40" stopIfTrue="1" operator="equal">
      <formula>"input"</formula>
    </cfRule>
  </conditionalFormatting>
  <conditionalFormatting sqref="F17:AG17 F14:AG14 F22:AG22 F19:AG20">
    <cfRule type="cellIs" dxfId="471" priority="39" operator="equal">
      <formula>0</formula>
    </cfRule>
  </conditionalFormatting>
  <conditionalFormatting sqref="F16:AG16">
    <cfRule type="cellIs" dxfId="470" priority="36" operator="equal">
      <formula>0</formula>
    </cfRule>
  </conditionalFormatting>
  <conditionalFormatting sqref="F4">
    <cfRule type="cellIs" dxfId="469" priority="37" stopIfTrue="1" operator="equal">
      <formula>"input"</formula>
    </cfRule>
  </conditionalFormatting>
  <conditionalFormatting sqref="L4">
    <cfRule type="cellIs" dxfId="468" priority="31" stopIfTrue="1" operator="equal">
      <formula>"input"</formula>
    </cfRule>
  </conditionalFormatting>
  <conditionalFormatting sqref="R4">
    <cfRule type="cellIs" dxfId="467" priority="30" stopIfTrue="1" operator="equal">
      <formula>"input"</formula>
    </cfRule>
  </conditionalFormatting>
  <conditionalFormatting sqref="AF24:AG25 G25:AE25 H27:AG27 H24:AG24">
    <cfRule type="cellIs" dxfId="466" priority="28" operator="equal">
      <formula>0</formula>
    </cfRule>
  </conditionalFormatting>
  <conditionalFormatting sqref="G24">
    <cfRule type="cellIs" dxfId="465" priority="27" operator="equal">
      <formula>0</formula>
    </cfRule>
  </conditionalFormatting>
  <conditionalFormatting sqref="F24:AG24">
    <cfRule type="cellIs" dxfId="464" priority="26" operator="equal">
      <formula>0</formula>
    </cfRule>
  </conditionalFormatting>
  <conditionalFormatting sqref="F25:AG25">
    <cfRule type="cellIs" dxfId="463" priority="25" operator="equal">
      <formula>0</formula>
    </cfRule>
  </conditionalFormatting>
  <conditionalFormatting sqref="G27:AG27">
    <cfRule type="cellIs" dxfId="462" priority="24" operator="equal">
      <formula>0</formula>
    </cfRule>
  </conditionalFormatting>
  <conditionalFormatting sqref="G27">
    <cfRule type="cellIs" dxfId="461" priority="23" operator="equal">
      <formula>0</formula>
    </cfRule>
  </conditionalFormatting>
  <conditionalFormatting sqref="F27:AG27">
    <cfRule type="cellIs" dxfId="460" priority="22" operator="equal">
      <formula>0</formula>
    </cfRule>
  </conditionalFormatting>
  <conditionalFormatting sqref="AF4">
    <cfRule type="cellIs" dxfId="459" priority="20" stopIfTrue="1" operator="equal">
      <formula>"input"</formula>
    </cfRule>
  </conditionalFormatting>
  <conditionalFormatting sqref="V4:W4 Z4 AB4">
    <cfRule type="cellIs" dxfId="458" priority="12" stopIfTrue="1" operator="equal">
      <formula>"input"</formula>
    </cfRule>
  </conditionalFormatting>
  <conditionalFormatting sqref="Y4">
    <cfRule type="cellIs" dxfId="457" priority="4" stopIfTrue="1" operator="equal">
      <formula>"input"</formula>
    </cfRule>
  </conditionalFormatting>
  <conditionalFormatting sqref="AG4">
    <cfRule type="cellIs" dxfId="456" priority="5" stopIfTrue="1" operator="equal">
      <formula>"input"</formula>
    </cfRule>
  </conditionalFormatting>
  <conditionalFormatting sqref="AC4">
    <cfRule type="cellIs" dxfId="455" priority="3" stopIfTrue="1" operator="equal">
      <formula>"input"</formula>
    </cfRule>
  </conditionalFormatting>
  <conditionalFormatting sqref="X4">
    <cfRule type="cellIs" dxfId="454" priority="2" stopIfTrue="1" operator="equal">
      <formula>"input"</formula>
    </cfRule>
  </conditionalFormatting>
  <conditionalFormatting sqref="AA4">
    <cfRule type="cellIs" dxfId="453" priority="1" stopIfTrue="1" operator="equal">
      <formula>"input"</formula>
    </cfRule>
  </conditionalFormatting>
  <pageMargins left="0.5" right="0.5" top="0.5" bottom="0.5" header="0.5" footer="0.5"/>
  <pageSetup scale="92" fitToWidth="0" fitToHeight="0" pageOrder="overThenDown" orientation="landscape" r:id="rId1"/>
  <colBreaks count="4" manualBreakCount="4">
    <brk id="9" max="40" man="1"/>
    <brk id="13" max="40" man="1"/>
    <brk id="17" max="40" man="1"/>
    <brk id="24" max="33" man="1"/>
  </colBreak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S253"/>
  <sheetViews>
    <sheetView showGridLines="0" view="pageBreakPreview" zoomScale="70" zoomScaleNormal="100" zoomScaleSheetLayoutView="70" workbookViewId="0">
      <selection activeCell="O15" sqref="O15"/>
    </sheetView>
  </sheetViews>
  <sheetFormatPr defaultRowHeight="12.75"/>
  <cols>
    <col min="1" max="1" width="4.5" style="2168" customWidth="1"/>
    <col min="2" max="2" width="36.1640625" style="2168" customWidth="1"/>
    <col min="3" max="4" width="18.5" style="2168" customWidth="1"/>
    <col min="5" max="5" width="15" style="2168" customWidth="1"/>
    <col min="6" max="6" width="14.1640625" style="2168" customWidth="1"/>
    <col min="7" max="7" width="9" style="2168" customWidth="1"/>
    <col min="8" max="8" width="26.6640625" style="2168" customWidth="1"/>
    <col min="9" max="9" width="23.1640625" style="2168" customWidth="1"/>
    <col min="10" max="10" width="4.5" style="2168" customWidth="1"/>
    <col min="11" max="11" width="12" style="2168" customWidth="1"/>
    <col min="12" max="12" width="15.5" style="2168" bestFit="1" customWidth="1"/>
    <col min="13" max="13" width="16.83203125" style="2168" bestFit="1" customWidth="1"/>
    <col min="14" max="21" width="9.33203125" style="2168"/>
    <col min="22" max="22" width="9.6640625" style="2168" bestFit="1" customWidth="1"/>
    <col min="23" max="16384" width="9.33203125" style="2168"/>
  </cols>
  <sheetData>
    <row r="1" spans="2:12" ht="13.5" thickBot="1"/>
    <row r="2" spans="2:12" ht="16.5" thickTop="1">
      <c r="B2" s="10" t="str">
        <f>'MASTER PubCo Inputs'!$C$5</f>
        <v>Kallyope, Inc.</v>
      </c>
      <c r="C2" s="10"/>
      <c r="D2" s="10"/>
      <c r="E2" s="10"/>
      <c r="F2" s="10"/>
      <c r="G2" s="10"/>
      <c r="H2" s="10"/>
      <c r="I2" s="10"/>
    </row>
    <row r="3" spans="2:12" ht="15.75">
      <c r="B3" s="11" t="str">
        <f>VLOOKUP(B4,Outline!$E$8:$G$69,COLUMNS(Outline!$E$8:$G$8),FALSE)</f>
        <v>Workpaper #4</v>
      </c>
      <c r="C3" s="11"/>
      <c r="D3" s="11"/>
      <c r="E3" s="11"/>
      <c r="F3" s="11"/>
      <c r="G3" s="11"/>
      <c r="H3" s="11"/>
      <c r="I3" s="11"/>
    </row>
    <row r="4" spans="2:12" ht="16.5" thickBot="1">
      <c r="B4" s="12" t="s">
        <v>3858</v>
      </c>
      <c r="C4" s="12"/>
      <c r="D4" s="12"/>
      <c r="E4" s="12"/>
      <c r="F4" s="12"/>
      <c r="G4" s="12"/>
      <c r="H4" s="12"/>
      <c r="I4" s="13" t="str">
        <f>'MASTER PubCo Inputs'!$C$24</f>
        <v>(in millions of USD)</v>
      </c>
    </row>
    <row r="5" spans="2:12" s="720" customFormat="1" ht="7.5" customHeight="1" thickTop="1"/>
    <row r="6" spans="2:12" s="720" customFormat="1">
      <c r="B6" s="2171" t="s">
        <v>2825</v>
      </c>
      <c r="C6" s="2172"/>
      <c r="D6" s="2173"/>
      <c r="E6" s="1171"/>
    </row>
    <row r="7" spans="2:12" s="720" customFormat="1">
      <c r="B7" s="3160" t="s">
        <v>2826</v>
      </c>
      <c r="C7" s="3139"/>
      <c r="D7" s="3164">
        <f>'WACC CAPM_rNPV'!H14</f>
        <v>0.2</v>
      </c>
      <c r="E7" s="2174" t="s">
        <v>210</v>
      </c>
      <c r="F7" s="2175"/>
      <c r="G7" s="2175"/>
      <c r="K7" s="2169" t="s">
        <v>2902</v>
      </c>
      <c r="L7" s="2456">
        <v>0</v>
      </c>
    </row>
    <row r="8" spans="2:12" s="720" customFormat="1">
      <c r="B8" s="1171"/>
      <c r="C8" s="1171"/>
      <c r="D8" s="2430"/>
      <c r="E8" s="2174"/>
      <c r="F8" s="2175"/>
      <c r="G8" s="2175"/>
    </row>
    <row r="9" spans="2:12" s="720" customFormat="1">
      <c r="B9" s="1171"/>
      <c r="C9" s="1171"/>
      <c r="D9" s="2430"/>
      <c r="E9" s="2174"/>
      <c r="F9" s="2175"/>
      <c r="G9" s="2175"/>
    </row>
    <row r="10" spans="2:12" s="720" customFormat="1">
      <c r="B10" s="2313" t="s">
        <v>2900</v>
      </c>
      <c r="C10" s="2314"/>
      <c r="D10" s="2315"/>
      <c r="E10" s="2174"/>
      <c r="F10" s="2175"/>
      <c r="G10" s="2175"/>
    </row>
    <row r="11" spans="2:12" s="720" customFormat="1">
      <c r="B11" s="1171"/>
      <c r="C11" s="1171"/>
      <c r="D11" s="1171"/>
      <c r="E11" s="2174"/>
      <c r="F11" s="2175"/>
      <c r="G11" s="2175"/>
    </row>
    <row r="12" spans="2:12" s="720" customFormat="1">
      <c r="B12" s="2487" t="s">
        <v>2910</v>
      </c>
      <c r="C12" s="2285" t="s">
        <v>4372</v>
      </c>
      <c r="D12" s="2488" t="s">
        <v>4019</v>
      </c>
      <c r="E12" s="2181"/>
      <c r="F12" s="2181"/>
      <c r="G12" s="2181"/>
      <c r="H12" s="2181"/>
      <c r="I12" s="2181"/>
    </row>
    <row r="13" spans="2:12" s="720" customFormat="1">
      <c r="B13" s="2485" t="s">
        <v>2862</v>
      </c>
      <c r="C13" s="2484">
        <v>5</v>
      </c>
      <c r="D13" s="2489">
        <v>5</v>
      </c>
      <c r="E13" s="2423"/>
      <c r="F13" s="2480"/>
      <c r="G13" s="2481"/>
      <c r="H13" s="2482"/>
      <c r="I13" s="2481"/>
    </row>
    <row r="14" spans="2:12" s="720" customFormat="1">
      <c r="B14" s="2296" t="s">
        <v>2857</v>
      </c>
      <c r="C14" s="2533">
        <f>C13</f>
        <v>5</v>
      </c>
      <c r="D14" s="2490">
        <v>1.5</v>
      </c>
      <c r="E14" s="2423"/>
      <c r="F14" s="2480"/>
      <c r="G14" s="2481"/>
      <c r="H14" s="2482"/>
      <c r="I14" s="2481"/>
    </row>
    <row r="15" spans="2:12" s="720" customFormat="1">
      <c r="B15" s="2300" t="s">
        <v>2853</v>
      </c>
      <c r="C15" s="2534">
        <f>D23</f>
        <v>6</v>
      </c>
      <c r="D15" s="2486">
        <v>3</v>
      </c>
      <c r="E15" s="2423"/>
      <c r="F15" s="2480"/>
      <c r="G15" s="2481"/>
      <c r="H15" s="2482"/>
      <c r="I15" s="2483"/>
    </row>
    <row r="16" spans="2:12" s="720" customFormat="1">
      <c r="B16" s="2476"/>
      <c r="C16" s="1171"/>
      <c r="D16" s="2422"/>
      <c r="E16" s="2423"/>
      <c r="F16" s="2424"/>
      <c r="G16" s="2425"/>
      <c r="H16" s="2426"/>
      <c r="I16" s="2477"/>
    </row>
    <row r="17" spans="2:12" s="720" customFormat="1">
      <c r="B17" s="1171"/>
      <c r="C17" s="1171"/>
      <c r="D17" s="2430"/>
      <c r="E17" s="2174"/>
      <c r="F17" s="2175"/>
      <c r="G17" s="2175"/>
    </row>
    <row r="18" spans="2:12" s="720" customFormat="1" ht="15" customHeight="1">
      <c r="B18" s="2429" t="s">
        <v>2908</v>
      </c>
      <c r="C18" s="2433" t="s">
        <v>2416</v>
      </c>
      <c r="D18" s="2433"/>
      <c r="E18" s="2431"/>
      <c r="F18" s="2459"/>
      <c r="G18" s="1171"/>
      <c r="L18" s="2178"/>
    </row>
    <row r="19" spans="2:12" s="720" customFormat="1" ht="5.0999999999999996" customHeight="1">
      <c r="B19" s="2176"/>
      <c r="D19" s="2177"/>
      <c r="E19" s="2177"/>
      <c r="F19" s="2432"/>
      <c r="G19" s="1171"/>
      <c r="L19" s="2178"/>
    </row>
    <row r="20" spans="2:12" s="720" customFormat="1" ht="38.25">
      <c r="B20" s="2310" t="s">
        <v>514</v>
      </c>
      <c r="C20" s="2311" t="s">
        <v>2827</v>
      </c>
      <c r="D20" s="2285" t="s">
        <v>4372</v>
      </c>
      <c r="E20" s="2286" t="s">
        <v>4373</v>
      </c>
      <c r="F20" s="2286" t="s">
        <v>2805</v>
      </c>
      <c r="H20" s="2181"/>
      <c r="L20" s="2182"/>
    </row>
    <row r="21" spans="2:12" s="720" customFormat="1">
      <c r="B21" s="2296" t="s">
        <v>2862</v>
      </c>
      <c r="C21" s="2535">
        <v>0</v>
      </c>
      <c r="D21" s="2531">
        <f>C13</f>
        <v>5</v>
      </c>
      <c r="E21" s="2291">
        <v>0.15</v>
      </c>
      <c r="F21" s="2298">
        <f>'Milestone Calcs'!F15*E21</f>
        <v>4.725E-2</v>
      </c>
      <c r="H21" s="2181"/>
      <c r="L21" s="2182"/>
    </row>
    <row r="22" spans="2:12" s="720" customFormat="1">
      <c r="B22" s="2443" t="s">
        <v>2857</v>
      </c>
      <c r="C22" s="2184">
        <v>1</v>
      </c>
      <c r="D22" s="2531">
        <f>C14</f>
        <v>5</v>
      </c>
      <c r="E22" s="3185">
        <v>1</v>
      </c>
      <c r="F22" s="2294">
        <f>F21*E22</f>
        <v>4.725E-2</v>
      </c>
      <c r="H22" s="2181"/>
      <c r="I22"/>
      <c r="L22" s="2182"/>
    </row>
    <row r="23" spans="2:12" s="720" customFormat="1">
      <c r="B23" s="2444" t="s">
        <v>2853</v>
      </c>
      <c r="C23" s="2184">
        <v>0</v>
      </c>
      <c r="D23" s="2531">
        <f>D22+C22</f>
        <v>6</v>
      </c>
      <c r="E23" s="2185">
        <f>'PoTS _rNPV'!B83</f>
        <v>0.7</v>
      </c>
      <c r="F23" s="2294">
        <f>F22*E23</f>
        <v>3.3075E-2</v>
      </c>
      <c r="H23" s="2181"/>
      <c r="K23" s="2254"/>
      <c r="L23" s="2182"/>
    </row>
    <row r="24" spans="2:12" s="720" customFormat="1">
      <c r="B24" s="2183" t="s">
        <v>781</v>
      </c>
      <c r="C24" s="2184">
        <v>1</v>
      </c>
      <c r="D24" s="2531">
        <f t="shared" ref="D24:D30" si="0">D23+C23</f>
        <v>6</v>
      </c>
      <c r="E24" s="2185">
        <f>'PoTS _rNPV'!C83</f>
        <v>0.65</v>
      </c>
      <c r="F24" s="2294">
        <f>F23*E24</f>
        <v>2.149875E-2</v>
      </c>
      <c r="H24" s="2292" t="s">
        <v>2828</v>
      </c>
      <c r="I24" s="2293"/>
      <c r="K24" s="2254"/>
      <c r="L24" s="1171"/>
    </row>
    <row r="25" spans="2:12" s="720" customFormat="1">
      <c r="B25" s="2183" t="s">
        <v>517</v>
      </c>
      <c r="C25" s="2184">
        <v>2</v>
      </c>
      <c r="D25" s="2531">
        <f t="shared" si="0"/>
        <v>7</v>
      </c>
      <c r="E25" s="2185">
        <f>'PoTS _rNPV'!D83</f>
        <v>0.60000000000000009</v>
      </c>
      <c r="F25" s="2186">
        <f>E25*F24</f>
        <v>1.2899250000000003E-2</v>
      </c>
      <c r="H25" s="2187" t="s">
        <v>2829</v>
      </c>
      <c r="I25" s="2188">
        <v>750</v>
      </c>
      <c r="J25" s="2003" t="s">
        <v>248</v>
      </c>
      <c r="L25" s="1171"/>
    </row>
    <row r="26" spans="2:12" s="720" customFormat="1">
      <c r="B26" s="2183" t="s">
        <v>510</v>
      </c>
      <c r="C26" s="2184">
        <v>2</v>
      </c>
      <c r="D26" s="2531">
        <f t="shared" si="0"/>
        <v>9</v>
      </c>
      <c r="E26" s="2185">
        <f>'PoTS _rNPV'!E83</f>
        <v>0.45</v>
      </c>
      <c r="F26" s="2186">
        <f>E26*F25</f>
        <v>5.804662500000001E-3</v>
      </c>
      <c r="H26" s="2189" t="s">
        <v>2830</v>
      </c>
      <c r="I26" s="2190">
        <v>0.08</v>
      </c>
      <c r="J26" s="2003" t="s">
        <v>273</v>
      </c>
      <c r="L26" s="1171"/>
    </row>
    <row r="27" spans="2:12" s="720" customFormat="1">
      <c r="B27" s="2183" t="s">
        <v>518</v>
      </c>
      <c r="C27" s="2184">
        <v>3</v>
      </c>
      <c r="D27" s="2531">
        <f t="shared" si="0"/>
        <v>11</v>
      </c>
      <c r="E27" s="2185">
        <f>'PoTS _rNPV'!F83</f>
        <v>0.6</v>
      </c>
      <c r="F27" s="2186">
        <f>E27*F26</f>
        <v>3.4827975000000003E-3</v>
      </c>
      <c r="H27" s="2191" t="s">
        <v>2810</v>
      </c>
      <c r="I27" s="2192">
        <v>6</v>
      </c>
      <c r="J27" s="2003" t="s">
        <v>274</v>
      </c>
      <c r="L27" s="1171"/>
    </row>
    <row r="28" spans="2:12" s="720" customFormat="1">
      <c r="B28" s="2183" t="s">
        <v>3659</v>
      </c>
      <c r="C28" s="2184">
        <v>1</v>
      </c>
      <c r="D28" s="2531">
        <f t="shared" si="0"/>
        <v>14</v>
      </c>
      <c r="E28" s="2185">
        <f>'PoTS _rNPV'!B86</f>
        <v>0.75</v>
      </c>
      <c r="F28" s="2186">
        <f>E28*F27</f>
        <v>2.6120981250000001E-3</v>
      </c>
      <c r="H28" s="2191" t="s">
        <v>2831</v>
      </c>
      <c r="I28" s="2193" t="s">
        <v>2832</v>
      </c>
      <c r="L28" s="1171"/>
    </row>
    <row r="29" spans="2:12" s="720" customFormat="1">
      <c r="B29" s="2194" t="s">
        <v>2806</v>
      </c>
      <c r="C29" s="2184">
        <v>10</v>
      </c>
      <c r="D29" s="2531">
        <f t="shared" si="0"/>
        <v>15</v>
      </c>
      <c r="E29" s="2185">
        <f>'PoTS _rNPV'!C86</f>
        <v>1</v>
      </c>
      <c r="F29" s="2186">
        <f>E29*F28</f>
        <v>2.6120981250000001E-3</v>
      </c>
      <c r="H29" s="2195" t="s">
        <v>2833</v>
      </c>
      <c r="I29" s="2196">
        <v>10</v>
      </c>
      <c r="L29" s="1171"/>
    </row>
    <row r="30" spans="2:12" s="720" customFormat="1">
      <c r="B30" s="2197" t="s">
        <v>2808</v>
      </c>
      <c r="C30" s="2198"/>
      <c r="D30" s="2532">
        <f t="shared" si="0"/>
        <v>25</v>
      </c>
      <c r="E30" s="2199" t="s">
        <v>2807</v>
      </c>
      <c r="F30" s="2199" t="s">
        <v>2807</v>
      </c>
      <c r="L30" s="1171"/>
    </row>
    <row r="31" spans="2:12" s="720" customFormat="1">
      <c r="B31" s="2282"/>
      <c r="C31" s="2284"/>
      <c r="D31" s="2221"/>
      <c r="E31" s="2283"/>
      <c r="F31" s="2283"/>
      <c r="G31" s="2283"/>
      <c r="L31" s="1171"/>
    </row>
    <row r="32" spans="2:12" s="720" customFormat="1">
      <c r="B32" s="2478" t="s">
        <v>2854</v>
      </c>
      <c r="C32" s="2285" t="s">
        <v>4372</v>
      </c>
      <c r="D32" s="2479" t="s">
        <v>4019</v>
      </c>
      <c r="E32" s="2283"/>
      <c r="F32" s="2283"/>
      <c r="G32" s="2283"/>
      <c r="L32" s="1171"/>
    </row>
    <row r="33" spans="1:14" s="720" customFormat="1">
      <c r="B33" s="2445" t="s">
        <v>2849</v>
      </c>
      <c r="C33" s="2446">
        <f>D25</f>
        <v>7</v>
      </c>
      <c r="D33" s="2447">
        <v>5</v>
      </c>
      <c r="E33" s="2283"/>
      <c r="F33" s="2283"/>
      <c r="G33" s="2283"/>
      <c r="L33" s="1171"/>
    </row>
    <row r="34" spans="1:14" s="720" customFormat="1">
      <c r="B34" s="2444" t="s">
        <v>2850</v>
      </c>
      <c r="C34" s="2448">
        <f>D26</f>
        <v>9</v>
      </c>
      <c r="D34" s="2449">
        <v>7</v>
      </c>
      <c r="E34" s="2283"/>
      <c r="F34" s="2283"/>
      <c r="G34" s="2283"/>
      <c r="L34" s="1171"/>
      <c r="M34" s="1171"/>
      <c r="N34" s="1171"/>
    </row>
    <row r="35" spans="1:14" s="720" customFormat="1">
      <c r="B35" s="2444" t="s">
        <v>2851</v>
      </c>
      <c r="C35" s="2448">
        <f>D27</f>
        <v>11</v>
      </c>
      <c r="D35" s="2449">
        <v>9</v>
      </c>
      <c r="E35" s="2283"/>
      <c r="F35" s="2283"/>
      <c r="G35" s="2283"/>
      <c r="L35" s="1171"/>
      <c r="M35" s="1171"/>
      <c r="N35" s="1171"/>
    </row>
    <row r="36" spans="1:14" s="720" customFormat="1">
      <c r="B36" s="2444" t="s">
        <v>3659</v>
      </c>
      <c r="C36" s="2448">
        <f>D28</f>
        <v>14</v>
      </c>
      <c r="D36" s="2449">
        <f>15+10+6</f>
        <v>31</v>
      </c>
      <c r="E36" s="2283"/>
      <c r="F36" s="2283"/>
      <c r="G36" s="2283"/>
      <c r="L36" s="1171"/>
      <c r="M36" s="1171"/>
      <c r="N36" s="1171"/>
    </row>
    <row r="37" spans="1:14" s="720" customFormat="1">
      <c r="B37" s="2434" t="s">
        <v>160</v>
      </c>
      <c r="C37" s="2435"/>
      <c r="D37" s="2436">
        <f>SUM(D33:D36)</f>
        <v>52</v>
      </c>
      <c r="E37" s="2283"/>
      <c r="F37" s="2283"/>
      <c r="G37" s="2283"/>
      <c r="L37" s="1171"/>
      <c r="M37" s="1171"/>
      <c r="N37" s="1171"/>
    </row>
    <row r="38" spans="1:14" s="720" customFormat="1">
      <c r="B38" s="2428"/>
      <c r="C38" s="2213"/>
      <c r="D38" s="2206"/>
      <c r="E38" s="2283"/>
      <c r="F38" s="2283"/>
      <c r="G38" s="2283"/>
      <c r="L38" s="2502" t="s">
        <v>579</v>
      </c>
      <c r="M38" s="2459"/>
      <c r="N38" s="1171"/>
    </row>
    <row r="39" spans="1:14" s="720" customFormat="1">
      <c r="B39" s="2282"/>
      <c r="C39" s="2284"/>
      <c r="D39" s="2221"/>
      <c r="E39" s="2283"/>
      <c r="F39" s="2283"/>
      <c r="G39" s="2283"/>
      <c r="L39" s="2439">
        <v>1</v>
      </c>
      <c r="M39" s="2440"/>
      <c r="N39" s="1171"/>
    </row>
    <row r="40" spans="1:14" s="720" customFormat="1">
      <c r="B40" s="2182" t="s">
        <v>2906</v>
      </c>
      <c r="L40" s="2176">
        <v>0</v>
      </c>
      <c r="M40" s="2432"/>
      <c r="N40" s="1171"/>
    </row>
    <row r="41" spans="1:14" s="720" customFormat="1">
      <c r="B41" s="2182"/>
      <c r="L41" s="1171"/>
      <c r="M41" s="1171"/>
      <c r="N41" s="1171"/>
    </row>
    <row r="42" spans="1:14" s="720" customFormat="1">
      <c r="B42" s="1171" t="s">
        <v>2909</v>
      </c>
      <c r="C42" s="1171"/>
      <c r="D42" s="2524">
        <v>0</v>
      </c>
      <c r="F42"/>
      <c r="L42" s="1171"/>
      <c r="M42" s="1171"/>
      <c r="N42" s="1171"/>
    </row>
    <row r="43" spans="1:14" s="720" customFormat="1">
      <c r="A43" s="1171"/>
      <c r="B43" s="2177"/>
      <c r="C43" s="2177"/>
      <c r="D43" s="2177"/>
      <c r="E43" s="2177"/>
      <c r="F43" s="2177"/>
      <c r="G43" s="1171"/>
      <c r="L43" s="1171"/>
      <c r="M43" s="1171"/>
      <c r="N43" s="1171"/>
    </row>
    <row r="44" spans="1:14" s="720" customFormat="1" ht="38.25">
      <c r="B44" s="2310" t="s">
        <v>2901</v>
      </c>
      <c r="C44" s="2311" t="s">
        <v>2827</v>
      </c>
      <c r="D44" s="2285" t="s">
        <v>4372</v>
      </c>
      <c r="E44" s="2286" t="s">
        <v>4377</v>
      </c>
      <c r="F44" s="2286" t="s">
        <v>4379</v>
      </c>
      <c r="G44" s="2181"/>
      <c r="L44" s="1171"/>
      <c r="M44" s="1171"/>
      <c r="N44" s="1171"/>
    </row>
    <row r="45" spans="1:14" s="720" customFormat="1">
      <c r="B45" s="2296" t="s">
        <v>2862</v>
      </c>
      <c r="C45" s="2297">
        <f>C21</f>
        <v>0</v>
      </c>
      <c r="D45" s="2492">
        <f>D21</f>
        <v>5</v>
      </c>
      <c r="E45" s="2291">
        <v>1</v>
      </c>
      <c r="F45" s="2298">
        <f>F21*E45</f>
        <v>4.725E-2</v>
      </c>
      <c r="G45" s="2295"/>
      <c r="L45" s="1171"/>
      <c r="M45" s="1171"/>
      <c r="N45" s="1171"/>
    </row>
    <row r="46" spans="1:14" s="720" customFormat="1">
      <c r="B46" s="2443" t="s">
        <v>2857</v>
      </c>
      <c r="C46" s="2297">
        <f t="shared" ref="C46:C53" si="1">C22</f>
        <v>1</v>
      </c>
      <c r="D46" s="2493">
        <f t="shared" ref="D46:E54" si="2">D22</f>
        <v>5</v>
      </c>
      <c r="E46" s="2298">
        <f>E45</f>
        <v>1</v>
      </c>
      <c r="F46" s="2294">
        <f>E22*E46*F45</f>
        <v>4.725E-2</v>
      </c>
      <c r="G46" s="2295"/>
      <c r="H46"/>
      <c r="I46"/>
      <c r="L46" s="1171"/>
      <c r="M46" s="1171"/>
      <c r="N46" s="1171"/>
    </row>
    <row r="47" spans="1:14" s="720" customFormat="1">
      <c r="B47" s="2444" t="s">
        <v>2853</v>
      </c>
      <c r="C47" s="2297">
        <f t="shared" si="1"/>
        <v>0</v>
      </c>
      <c r="D47" s="2493">
        <f t="shared" si="2"/>
        <v>6</v>
      </c>
      <c r="E47" s="2298">
        <f>E46</f>
        <v>1</v>
      </c>
      <c r="F47" s="2294">
        <f>E23*E47*F46</f>
        <v>3.3075E-2</v>
      </c>
      <c r="G47" s="2295"/>
      <c r="L47" s="1171"/>
      <c r="M47" s="1171"/>
      <c r="N47" s="1171"/>
    </row>
    <row r="48" spans="1:14" s="720" customFormat="1">
      <c r="B48" s="2183" t="s">
        <v>781</v>
      </c>
      <c r="C48" s="2297">
        <f t="shared" si="1"/>
        <v>1</v>
      </c>
      <c r="D48" s="2493">
        <f t="shared" si="2"/>
        <v>6</v>
      </c>
      <c r="E48" s="2298">
        <f>E47</f>
        <v>1</v>
      </c>
      <c r="F48" s="2294">
        <f t="shared" ref="F48:F50" si="3">E24*E48*F47</f>
        <v>2.149875E-2</v>
      </c>
      <c r="G48" s="2295"/>
      <c r="H48" s="2292" t="s">
        <v>2828</v>
      </c>
      <c r="I48" s="2293"/>
      <c r="L48" s="1171"/>
      <c r="M48" s="1171"/>
      <c r="N48" s="1171"/>
    </row>
    <row r="49" spans="1:19" s="720" customFormat="1">
      <c r="B49" s="2183" t="s">
        <v>517</v>
      </c>
      <c r="C49" s="2297">
        <f t="shared" si="1"/>
        <v>2</v>
      </c>
      <c r="D49" s="2493">
        <f t="shared" si="2"/>
        <v>7</v>
      </c>
      <c r="E49" s="2298">
        <f>E48</f>
        <v>1</v>
      </c>
      <c r="F49" s="2294">
        <f t="shared" si="3"/>
        <v>1.2899250000000003E-2</v>
      </c>
      <c r="G49" s="2299"/>
      <c r="H49" s="2187" t="s">
        <v>2829</v>
      </c>
      <c r="I49" s="3141">
        <f>I25</f>
        <v>750</v>
      </c>
      <c r="J49" s="2003" t="s">
        <v>248</v>
      </c>
      <c r="L49" s="1171"/>
      <c r="M49" s="1171"/>
      <c r="N49" s="1171"/>
    </row>
    <row r="50" spans="1:19" s="720" customFormat="1">
      <c r="B50" s="3175" t="s">
        <v>510</v>
      </c>
      <c r="C50" s="3176">
        <f t="shared" si="1"/>
        <v>2</v>
      </c>
      <c r="D50" s="2494">
        <f t="shared" si="2"/>
        <v>9</v>
      </c>
      <c r="E50" s="3177">
        <f>E49</f>
        <v>1</v>
      </c>
      <c r="F50" s="3178">
        <f t="shared" si="3"/>
        <v>5.804662500000001E-3</v>
      </c>
      <c r="G50" s="2299"/>
      <c r="H50" s="2189" t="s">
        <v>2830</v>
      </c>
      <c r="I50" s="2190">
        <v>0.08</v>
      </c>
      <c r="J50" s="2003" t="s">
        <v>273</v>
      </c>
      <c r="L50" s="1171"/>
      <c r="M50" s="1171"/>
      <c r="N50" s="1171"/>
    </row>
    <row r="51" spans="1:19" s="720" customFormat="1">
      <c r="B51" s="2183" t="s">
        <v>518</v>
      </c>
      <c r="C51" s="2297">
        <f t="shared" si="1"/>
        <v>3</v>
      </c>
      <c r="D51" s="2493">
        <f t="shared" si="2"/>
        <v>11</v>
      </c>
      <c r="E51" s="2185">
        <f t="shared" si="2"/>
        <v>0.6</v>
      </c>
      <c r="F51" s="2186">
        <f>E51*F50</f>
        <v>3.4827975000000003E-3</v>
      </c>
      <c r="G51" s="2299"/>
      <c r="H51" s="2191" t="s">
        <v>2810</v>
      </c>
      <c r="I51" s="2192">
        <v>6</v>
      </c>
      <c r="J51" s="2003" t="s">
        <v>274</v>
      </c>
      <c r="L51" s="1171"/>
      <c r="M51" s="1171"/>
      <c r="N51" s="1171"/>
    </row>
    <row r="52" spans="1:19" s="720" customFormat="1">
      <c r="B52" s="2183" t="s">
        <v>3659</v>
      </c>
      <c r="C52" s="2297">
        <f t="shared" si="1"/>
        <v>1</v>
      </c>
      <c r="D52" s="2493">
        <f t="shared" si="2"/>
        <v>14</v>
      </c>
      <c r="E52" s="2185">
        <f t="shared" si="2"/>
        <v>0.75</v>
      </c>
      <c r="F52" s="2186">
        <f>E52*F51</f>
        <v>2.6120981250000001E-3</v>
      </c>
      <c r="G52" s="2299"/>
      <c r="H52" s="2191" t="s">
        <v>2831</v>
      </c>
      <c r="I52" s="2193" t="s">
        <v>2832</v>
      </c>
      <c r="L52" s="1171"/>
      <c r="M52" s="1171"/>
      <c r="N52" s="1171"/>
    </row>
    <row r="53" spans="1:19" s="720" customFormat="1">
      <c r="B53" s="2194" t="s">
        <v>2806</v>
      </c>
      <c r="C53" s="2297">
        <f t="shared" si="1"/>
        <v>10</v>
      </c>
      <c r="D53" s="2493">
        <f t="shared" si="2"/>
        <v>15</v>
      </c>
      <c r="E53" s="2185">
        <f t="shared" si="2"/>
        <v>1</v>
      </c>
      <c r="F53" s="2186">
        <f>E53*F52</f>
        <v>2.6120981250000001E-3</v>
      </c>
      <c r="G53" s="2299"/>
      <c r="H53" s="2195" t="s">
        <v>2833</v>
      </c>
      <c r="I53" s="2196">
        <v>10</v>
      </c>
      <c r="L53" s="1171"/>
      <c r="M53" s="1171"/>
      <c r="N53" s="1171"/>
    </row>
    <row r="54" spans="1:19" s="720" customFormat="1">
      <c r="B54" s="2197" t="s">
        <v>2808</v>
      </c>
      <c r="C54" s="2491"/>
      <c r="D54" s="2494">
        <f t="shared" si="2"/>
        <v>25</v>
      </c>
      <c r="E54" s="2199" t="s">
        <v>2807</v>
      </c>
      <c r="F54" s="2199" t="s">
        <v>2807</v>
      </c>
      <c r="G54" s="2283"/>
      <c r="L54" s="1171"/>
      <c r="M54" s="1171"/>
      <c r="N54" s="1171"/>
    </row>
    <row r="55" spans="1:19" s="720" customFormat="1">
      <c r="B55" s="2282"/>
      <c r="C55" s="2284"/>
      <c r="D55" s="2221"/>
      <c r="E55" s="2283"/>
      <c r="F55" s="2283"/>
      <c r="G55" s="2283"/>
      <c r="L55" s="1171"/>
      <c r="M55" s="1171"/>
      <c r="N55" s="1171"/>
    </row>
    <row r="56" spans="1:19" s="720" customFormat="1">
      <c r="B56" s="2478" t="s">
        <v>2854</v>
      </c>
      <c r="C56" s="2285" t="s">
        <v>4372</v>
      </c>
      <c r="D56" s="2479" t="s">
        <v>4019</v>
      </c>
      <c r="E56" s="2283"/>
      <c r="F56" s="2283"/>
      <c r="G56" s="2283"/>
      <c r="L56" s="1171"/>
      <c r="M56" s="1171"/>
      <c r="N56" s="1171"/>
    </row>
    <row r="57" spans="1:19" s="720" customFormat="1">
      <c r="B57" s="2445" t="s">
        <v>2849</v>
      </c>
      <c r="C57" s="2446">
        <f>D49</f>
        <v>7</v>
      </c>
      <c r="D57" s="2447">
        <v>0</v>
      </c>
      <c r="E57" s="2283"/>
      <c r="F57" s="2283"/>
      <c r="G57" s="2283"/>
      <c r="H57" s="1197"/>
      <c r="L57" s="1171"/>
      <c r="M57" s="1171"/>
      <c r="N57" s="1171"/>
    </row>
    <row r="58" spans="1:19" s="720" customFormat="1">
      <c r="B58" s="2444" t="s">
        <v>2850</v>
      </c>
      <c r="C58" s="2448">
        <f>D50</f>
        <v>9</v>
      </c>
      <c r="D58" s="2449">
        <v>3.5</v>
      </c>
      <c r="H58" s="1197"/>
      <c r="L58" s="1171"/>
      <c r="M58" s="1171"/>
      <c r="N58" s="1171"/>
    </row>
    <row r="59" spans="1:19" s="720" customFormat="1">
      <c r="B59" s="2444" t="s">
        <v>2851</v>
      </c>
      <c r="C59" s="2448">
        <f>D51</f>
        <v>11</v>
      </c>
      <c r="D59" s="2449">
        <v>4.5</v>
      </c>
      <c r="E59" s="2283"/>
      <c r="F59" s="2283"/>
      <c r="G59" s="2283"/>
      <c r="H59" s="1197"/>
      <c r="L59" s="1171"/>
      <c r="M59" s="1171"/>
      <c r="N59" s="1171"/>
    </row>
    <row r="60" spans="1:19" s="720" customFormat="1" ht="12.75" customHeight="1">
      <c r="B60" s="2444" t="s">
        <v>3659</v>
      </c>
      <c r="C60" s="2448">
        <f>D52</f>
        <v>14</v>
      </c>
      <c r="D60" s="2449">
        <f>7.5+5+3</f>
        <v>15.5</v>
      </c>
      <c r="E60" s="2200"/>
    </row>
    <row r="61" spans="1:19" s="720" customFormat="1">
      <c r="A61" s="1171"/>
      <c r="B61" s="2434" t="s">
        <v>160</v>
      </c>
      <c r="C61" s="2435"/>
      <c r="D61" s="2436">
        <f>SUM(D57:D60)</f>
        <v>23.5</v>
      </c>
      <c r="E61" s="2312"/>
      <c r="F61" s="2312"/>
      <c r="G61" s="2312"/>
      <c r="L61" s="1171"/>
      <c r="M61" s="1171"/>
      <c r="N61" s="1171"/>
      <c r="O61" s="1171"/>
      <c r="P61" s="1171"/>
      <c r="Q61" s="1171"/>
      <c r="R61" s="1171"/>
      <c r="S61" s="1171"/>
    </row>
    <row r="62" spans="1:19" s="720" customFormat="1" ht="12.75" customHeight="1">
      <c r="A62" s="1171"/>
      <c r="L62" s="1171"/>
      <c r="M62" s="2178"/>
      <c r="N62" s="1171"/>
      <c r="O62" s="1171"/>
      <c r="P62" s="1171"/>
      <c r="Q62" s="1171"/>
      <c r="R62" s="1171"/>
      <c r="S62" s="1171"/>
    </row>
    <row r="63" spans="1:19" s="2203" customFormat="1" ht="13.5" customHeight="1">
      <c r="E63"/>
      <c r="F63"/>
      <c r="G63" s="2201"/>
      <c r="H63" s="2201"/>
    </row>
    <row r="64" spans="1:19" s="2203" customFormat="1" ht="16.5" customHeight="1">
      <c r="B64" s="2438" t="s">
        <v>4020</v>
      </c>
      <c r="C64" s="2437"/>
      <c r="E64"/>
      <c r="F64"/>
      <c r="G64" s="2205"/>
      <c r="H64" s="2201"/>
    </row>
    <row r="65" spans="2:8" s="2203" customFormat="1" ht="12.75" customHeight="1">
      <c r="B65" s="2439"/>
      <c r="C65" s="2440"/>
      <c r="E65"/>
      <c r="F65"/>
      <c r="G65" s="2205"/>
      <c r="H65" s="2205"/>
    </row>
    <row r="66" spans="2:8" s="2203" customFormat="1" ht="12.75" customHeight="1">
      <c r="B66" s="2441" t="s">
        <v>2834</v>
      </c>
      <c r="C66" s="2442" t="s">
        <v>583</v>
      </c>
      <c r="E66"/>
      <c r="F66"/>
      <c r="G66" s="2205"/>
      <c r="H66" s="2205"/>
    </row>
    <row r="67" spans="2:8" s="2203" customFormat="1" ht="12.75" customHeight="1">
      <c r="B67" s="2204">
        <v>500</v>
      </c>
      <c r="C67" s="2204">
        <v>10</v>
      </c>
      <c r="E67"/>
      <c r="F67"/>
      <c r="G67" s="2205"/>
      <c r="H67" s="2205"/>
    </row>
    <row r="68" spans="2:8" s="2203" customFormat="1" ht="12.75" customHeight="1">
      <c r="B68" s="2204">
        <v>1000</v>
      </c>
      <c r="C68" s="2204">
        <v>25</v>
      </c>
      <c r="E68"/>
      <c r="F68"/>
      <c r="G68" s="2205"/>
      <c r="H68" s="2205"/>
    </row>
    <row r="69" spans="2:8" s="2203" customFormat="1" ht="12.75" customHeight="1">
      <c r="B69" s="2204">
        <v>2000</v>
      </c>
      <c r="C69" s="2204">
        <v>35</v>
      </c>
      <c r="E69"/>
      <c r="F69"/>
      <c r="G69" s="2205"/>
      <c r="H69" s="2205"/>
    </row>
    <row r="70" spans="2:8" s="2203" customFormat="1" ht="12.75" customHeight="1">
      <c r="B70" s="2434" t="s">
        <v>160</v>
      </c>
      <c r="C70" s="2436">
        <f>SUM(C67:C69)</f>
        <v>70</v>
      </c>
      <c r="E70"/>
      <c r="F70"/>
      <c r="G70" s="2205"/>
      <c r="H70" s="2205"/>
    </row>
    <row r="71" spans="2:8" s="2203" customFormat="1" ht="12.75" customHeight="1">
      <c r="B71" s="2428"/>
      <c r="C71" s="2213"/>
      <c r="D71" s="2206"/>
      <c r="E71"/>
      <c r="F71"/>
      <c r="G71" s="2205"/>
      <c r="H71" s="2205"/>
    </row>
    <row r="72" spans="2:8" s="2203" customFormat="1" ht="17.25" customHeight="1">
      <c r="B72" s="2438" t="s">
        <v>4021</v>
      </c>
      <c r="C72" s="2450"/>
      <c r="D72" s="2437"/>
      <c r="E72"/>
      <c r="F72"/>
      <c r="G72" s="2205"/>
      <c r="H72" s="2205"/>
    </row>
    <row r="73" spans="2:8" s="2203" customFormat="1" ht="12.75" customHeight="1">
      <c r="B73" s="2439"/>
      <c r="C73" s="1171"/>
      <c r="D73" s="2440"/>
      <c r="E73"/>
      <c r="F73"/>
      <c r="G73" s="2205"/>
      <c r="H73" s="2205"/>
    </row>
    <row r="74" spans="2:8" s="2203" customFormat="1" ht="12.75" customHeight="1">
      <c r="B74" s="2451" t="s">
        <v>2835</v>
      </c>
      <c r="C74" s="2452"/>
      <c r="D74" s="3143" t="s">
        <v>2836</v>
      </c>
      <c r="E74"/>
      <c r="F74"/>
      <c r="G74" s="2205"/>
      <c r="H74" s="2205"/>
    </row>
    <row r="75" spans="2:8" s="2203" customFormat="1" ht="12.75" customHeight="1">
      <c r="B75" s="2434" t="s">
        <v>2837</v>
      </c>
      <c r="C75" s="2454" t="s">
        <v>2838</v>
      </c>
      <c r="D75" s="2442" t="str">
        <f>C66</f>
        <v>Amount</v>
      </c>
      <c r="E75"/>
      <c r="F75"/>
      <c r="G75" s="2205"/>
      <c r="H75" s="2205"/>
    </row>
    <row r="76" spans="2:8" s="2203" customFormat="1" ht="12.75" customHeight="1">
      <c r="B76" s="2207">
        <v>0</v>
      </c>
      <c r="C76" s="2208">
        <v>500</v>
      </c>
      <c r="D76" s="2455">
        <v>0.04</v>
      </c>
      <c r="E76"/>
      <c r="F76"/>
      <c r="G76" s="2205"/>
      <c r="H76" s="2205"/>
    </row>
    <row r="77" spans="2:8" s="2203" customFormat="1" ht="12.75" customHeight="1">
      <c r="B77" s="2207">
        <f>C76</f>
        <v>500</v>
      </c>
      <c r="C77" s="2208">
        <v>1500</v>
      </c>
      <c r="D77" s="2209">
        <v>0.05</v>
      </c>
      <c r="E77"/>
      <c r="F77"/>
      <c r="G77" s="2205"/>
      <c r="H77" s="2205"/>
    </row>
    <row r="78" spans="2:8" s="2203" customFormat="1" ht="12.75" customHeight="1">
      <c r="B78" s="2210">
        <v>1500</v>
      </c>
      <c r="C78" s="2211" t="s">
        <v>13</v>
      </c>
      <c r="D78" s="2212">
        <v>0.06</v>
      </c>
      <c r="E78"/>
      <c r="F78"/>
      <c r="G78" s="2205"/>
      <c r="H78" s="2205"/>
    </row>
    <row r="79" spans="2:8" s="2203" customFormat="1" ht="12.75" customHeight="1">
      <c r="B79" s="2428"/>
      <c r="C79" s="2213"/>
      <c r="D79" s="2206"/>
      <c r="E79"/>
      <c r="F79"/>
      <c r="G79" s="2205"/>
      <c r="H79" s="2205"/>
    </row>
    <row r="80" spans="2:8" s="720" customFormat="1">
      <c r="B80" s="2166" t="s">
        <v>86</v>
      </c>
    </row>
    <row r="81" spans="1:9" s="720" customFormat="1" ht="12.75" customHeight="1">
      <c r="A81" s="2167" t="s">
        <v>210</v>
      </c>
      <c r="B81" s="2219" t="str">
        <f>"Refer to "&amp;'WACC CAPM_rNPV'!B3&amp;"."</f>
        <v>Refer to Workpaper #12.</v>
      </c>
      <c r="C81" s="2219"/>
      <c r="D81" s="2219"/>
      <c r="E81" s="2219"/>
      <c r="F81" s="2219"/>
      <c r="G81" s="2219"/>
      <c r="H81" s="2219"/>
      <c r="I81" s="2219"/>
    </row>
    <row r="82" spans="1:9" s="720" customFormat="1" ht="12.75" customHeight="1">
      <c r="A82" s="763" t="s">
        <v>209</v>
      </c>
      <c r="B82" s="2219" t="s">
        <v>2839</v>
      </c>
      <c r="C82" s="2219"/>
      <c r="D82" s="2219"/>
      <c r="E82" s="2219"/>
      <c r="F82" s="2219"/>
      <c r="G82" s="2219"/>
      <c r="H82" s="2219"/>
      <c r="I82" s="2219"/>
    </row>
    <row r="83" spans="1:9" s="720" customFormat="1" ht="12.75" customHeight="1">
      <c r="A83" s="2167" t="s">
        <v>246</v>
      </c>
      <c r="B83" s="3142" t="s">
        <v>2935</v>
      </c>
      <c r="C83" s="2219"/>
      <c r="D83" s="2219"/>
      <c r="E83" s="2219"/>
      <c r="F83" s="2219"/>
      <c r="G83" s="2219"/>
      <c r="H83" s="2219"/>
      <c r="I83" s="2219"/>
    </row>
    <row r="84" spans="1:9" s="720" customFormat="1" ht="12.75" customHeight="1">
      <c r="A84" s="763" t="s">
        <v>247</v>
      </c>
      <c r="B84" s="2219" t="str">
        <f>"Based on the published studies and discussions with Management. Refer to"&amp;'PoTS _rNPV'!B3&amp;"."</f>
        <v>Based on the published studies and discussions with Management. Refer toWorkpaper #19.</v>
      </c>
      <c r="C84" s="2219"/>
      <c r="D84" s="2219"/>
      <c r="E84" s="2219"/>
      <c r="F84" s="2219"/>
      <c r="G84" s="2219"/>
      <c r="H84" s="2219"/>
      <c r="I84" s="2219"/>
    </row>
    <row r="85" spans="1:9" s="720" customFormat="1" ht="39" customHeight="1">
      <c r="A85" s="763" t="s">
        <v>248</v>
      </c>
      <c r="B85" s="3253" t="str">
        <f>"Refer to "&amp;'Obesity_WW Summary'!B3&amp;" for peak sales of drugs in "&amp;C18&amp;". Based on the forecasted peak sales of comparable drugs, Saxenda is expected to reach $1.0 billion sales by 2024, however rest of the candidates are expected to have lower peak sales. "&amp;"Considering this and the very early stage of the Agreement, we considered lower peak sales for the product candidates. Assumed similar peak sales for "&amp;B40&amp;", considering the indication will be complementary to "&amp;C18&amp;"."</f>
        <v>Refer to Workpaper #14 for peak sales of drugs in Obesity. Based on the forecasted peak sales of comparable drugs, Saxenda is expected to reach $1.0 billion sales by 2024, however rest of the candidates are expected to have lower peak sales. Considering this and the very early stage of the Agreement, we considered lower peak sales for the product candidates. Assumed similar peak sales for Indication #2, considering the indication will be complementary to Obesity.</v>
      </c>
      <c r="C85" s="3253"/>
      <c r="D85" s="3253"/>
      <c r="E85" s="3253"/>
      <c r="F85" s="3253"/>
      <c r="G85" s="3253"/>
      <c r="H85" s="3253"/>
      <c r="I85" s="3253"/>
    </row>
    <row r="86" spans="1:9" s="720" customFormat="1" ht="12.75" customHeight="1">
      <c r="A86" s="763" t="s">
        <v>273</v>
      </c>
      <c r="B86" s="2219" t="s">
        <v>2804</v>
      </c>
      <c r="C86" s="2219"/>
      <c r="D86" s="2219"/>
      <c r="E86" s="2219"/>
      <c r="F86" s="2219"/>
      <c r="G86" s="2219"/>
      <c r="H86" s="2219"/>
      <c r="I86" s="2219"/>
    </row>
    <row r="87" spans="1:9" s="720" customFormat="1" ht="12.75" customHeight="1">
      <c r="A87" s="763" t="s">
        <v>274</v>
      </c>
      <c r="B87" s="2219" t="str">
        <f>"Refer to "&amp;'Penetration Curves'!B3&amp;" and "&amp;'Timeline and Cost Research'!B3&amp;"."</f>
        <v>Refer to Workpaper #10 and Workpaper #17.</v>
      </c>
      <c r="C87" s="2219"/>
      <c r="D87" s="2219"/>
      <c r="E87" s="2219"/>
      <c r="F87" s="2219"/>
      <c r="G87" s="2219"/>
      <c r="H87" s="2219"/>
      <c r="I87" s="2219"/>
    </row>
    <row r="88" spans="1:9" s="720" customFormat="1" ht="28.5" customHeight="1">
      <c r="A88" s="763" t="s">
        <v>275</v>
      </c>
      <c r="B88" s="3253" t="str">
        <f>"The individual success probabilities for "&amp;B40&amp;" are "&amp;TEXT(E45,"0.0%")&amp;" up to Phase II, depending on the cumulative success probabilities of "&amp;C18&amp;". The individual success probabilies for Phase III onwards would be dependent on the respective trials for "&amp;B40&amp;" and are assumed to be same as "&amp;C18&amp;" for the purpose of our analysis."</f>
        <v>The individual success probabilities for Indication #2 are 100.0% up to Phase II, depending on the cumulative success probabilities of Obesity. The individual success probabilies for Phase III onwards would be dependent on the respective trials for Indication #2 and are assumed to be same as Obesity for the purpose of our analysis.</v>
      </c>
      <c r="C88" s="3253"/>
      <c r="D88" s="3253"/>
      <c r="E88" s="3253"/>
      <c r="F88" s="3253"/>
      <c r="G88" s="3253"/>
      <c r="H88" s="3253"/>
      <c r="I88" s="3253"/>
    </row>
    <row r="89" spans="1:9" s="720" customFormat="1"/>
    <row r="90" spans="1:9" s="720" customFormat="1"/>
    <row r="91" spans="1:9" s="720" customFormat="1"/>
    <row r="92" spans="1:9" s="720" customFormat="1"/>
    <row r="93" spans="1:9" s="720" customFormat="1"/>
    <row r="94" spans="1:9" s="720" customFormat="1"/>
    <row r="95" spans="1:9" s="720" customFormat="1"/>
    <row r="96" spans="1:9" s="720" customFormat="1"/>
    <row r="97" s="720" customFormat="1"/>
    <row r="98" s="720" customFormat="1"/>
    <row r="99" s="720" customFormat="1"/>
    <row r="100" s="720" customFormat="1"/>
    <row r="101" s="720" customFormat="1"/>
    <row r="102" s="720" customFormat="1"/>
    <row r="103" s="720" customFormat="1"/>
    <row r="104" s="720" customFormat="1"/>
    <row r="105" s="720" customFormat="1"/>
    <row r="106" s="720" customFormat="1"/>
    <row r="107" s="720" customFormat="1"/>
    <row r="108" s="720" customFormat="1"/>
    <row r="109" s="720" customFormat="1"/>
    <row r="110" s="720" customFormat="1"/>
    <row r="111" s="720" customFormat="1"/>
    <row r="112" s="720" customFormat="1"/>
    <row r="113" s="720" customFormat="1"/>
    <row r="114" s="720" customFormat="1"/>
    <row r="115" s="720" customFormat="1"/>
    <row r="116" s="720" customFormat="1"/>
    <row r="117" s="720" customFormat="1"/>
    <row r="118" s="720" customFormat="1"/>
    <row r="119" s="720" customFormat="1"/>
    <row r="120" s="720" customFormat="1"/>
    <row r="121" s="720" customFormat="1"/>
    <row r="122" s="720" customFormat="1"/>
    <row r="123" s="720" customFormat="1"/>
    <row r="124" s="720" customFormat="1"/>
    <row r="125" s="720" customFormat="1"/>
    <row r="126" s="720" customFormat="1"/>
    <row r="127" s="720" customFormat="1"/>
    <row r="128" s="720" customFormat="1"/>
    <row r="129" s="720" customFormat="1"/>
    <row r="130" s="720" customFormat="1"/>
    <row r="131" s="720" customFormat="1"/>
    <row r="132" s="720" customFormat="1"/>
    <row r="133" s="720" customFormat="1"/>
    <row r="134" s="720" customFormat="1"/>
    <row r="135" s="720" customFormat="1"/>
    <row r="136" s="720" customFormat="1"/>
    <row r="137" s="720" customFormat="1"/>
    <row r="138" s="720" customFormat="1"/>
    <row r="139" s="720" customFormat="1"/>
    <row r="140" s="720" customFormat="1"/>
    <row r="141" s="720" customFormat="1"/>
    <row r="142" s="720" customFormat="1"/>
    <row r="143" s="720" customFormat="1"/>
    <row r="144" s="720" customFormat="1"/>
    <row r="145" s="720" customFormat="1"/>
    <row r="146" s="720" customFormat="1"/>
    <row r="147" s="720" customFormat="1"/>
    <row r="148" s="720" customFormat="1"/>
    <row r="149" s="720" customFormat="1"/>
    <row r="150" s="720" customFormat="1"/>
    <row r="151" s="720" customFormat="1"/>
    <row r="152" s="720" customFormat="1"/>
    <row r="153" s="720" customFormat="1"/>
    <row r="154" s="720" customFormat="1"/>
    <row r="155" s="720" customFormat="1"/>
    <row r="156" s="720" customFormat="1"/>
    <row r="157" s="720" customFormat="1"/>
    <row r="158" s="720" customFormat="1"/>
    <row r="159" s="720" customFormat="1"/>
    <row r="160" s="720" customFormat="1"/>
    <row r="161" s="720" customFormat="1"/>
    <row r="162" s="720" customFormat="1"/>
    <row r="163" s="720" customFormat="1"/>
    <row r="164" s="720" customFormat="1"/>
    <row r="165" s="720" customFormat="1"/>
    <row r="166" s="720" customFormat="1"/>
    <row r="167" s="720" customFormat="1"/>
    <row r="168" s="720" customFormat="1"/>
    <row r="169" s="720" customFormat="1"/>
    <row r="170" s="720" customFormat="1"/>
    <row r="171" s="720" customFormat="1"/>
    <row r="172" s="720" customFormat="1"/>
    <row r="173" s="720" customFormat="1"/>
    <row r="174" s="720" customFormat="1"/>
    <row r="175" s="720" customFormat="1"/>
    <row r="176" s="720" customFormat="1"/>
    <row r="177" s="720" customFormat="1"/>
    <row r="178" s="720" customFormat="1"/>
    <row r="179" s="720" customFormat="1"/>
    <row r="180" s="720" customFormat="1"/>
    <row r="181" s="720" customFormat="1"/>
    <row r="182" s="720" customFormat="1"/>
    <row r="183" s="720" customFormat="1"/>
    <row r="184" s="720" customFormat="1"/>
    <row r="185" s="720" customFormat="1"/>
    <row r="186" s="720" customFormat="1"/>
    <row r="187" s="720" customFormat="1"/>
    <row r="188" s="720" customFormat="1"/>
    <row r="189" s="720" customFormat="1"/>
    <row r="190" s="720" customFormat="1"/>
    <row r="191" s="720" customFormat="1"/>
    <row r="192" s="720" customFormat="1"/>
    <row r="193" s="720" customFormat="1"/>
    <row r="194" s="720" customFormat="1"/>
    <row r="195" s="720" customFormat="1"/>
    <row r="196" s="720" customFormat="1"/>
    <row r="197" s="720" customFormat="1"/>
    <row r="198" s="720" customFormat="1"/>
    <row r="199" s="720" customFormat="1"/>
    <row r="200" s="720" customFormat="1"/>
    <row r="201" s="720" customFormat="1"/>
    <row r="202" s="720" customFormat="1"/>
    <row r="203" s="720" customFormat="1"/>
    <row r="204" s="720" customFormat="1"/>
    <row r="205" s="720" customFormat="1"/>
    <row r="206" s="720" customFormat="1"/>
    <row r="207" s="720" customFormat="1"/>
    <row r="208" s="720" customFormat="1"/>
    <row r="209" s="720" customFormat="1"/>
    <row r="210" s="720" customFormat="1"/>
    <row r="211" s="720" customFormat="1"/>
    <row r="212" s="720" customFormat="1"/>
    <row r="213" s="720" customFormat="1"/>
    <row r="214" s="720" customFormat="1"/>
    <row r="215" s="720" customFormat="1"/>
    <row r="216" s="720" customFormat="1"/>
    <row r="217" s="720" customFormat="1"/>
    <row r="218" s="720" customFormat="1"/>
    <row r="219" s="720" customFormat="1"/>
    <row r="220" s="720" customFormat="1"/>
    <row r="221" s="720" customFormat="1"/>
    <row r="222" s="720" customFormat="1"/>
    <row r="223" s="720" customFormat="1"/>
    <row r="224" s="720" customFormat="1"/>
    <row r="225" s="720" customFormat="1"/>
    <row r="226" s="720" customFormat="1"/>
    <row r="227" s="720" customFormat="1"/>
    <row r="228" s="720" customFormat="1"/>
    <row r="229" s="720" customFormat="1"/>
    <row r="230" s="720" customFormat="1"/>
    <row r="231" s="720" customFormat="1"/>
    <row r="232" s="720" customFormat="1"/>
    <row r="233" s="720" customFormat="1"/>
    <row r="234" s="720" customFormat="1"/>
    <row r="235" s="720" customFormat="1"/>
    <row r="236" s="720" customFormat="1"/>
    <row r="237" s="720" customFormat="1"/>
    <row r="238" s="720" customFormat="1"/>
    <row r="239" s="720" customFormat="1"/>
    <row r="240" s="720" customFormat="1"/>
    <row r="241" s="720" customFormat="1"/>
    <row r="242" s="720" customFormat="1"/>
    <row r="243" s="720" customFormat="1"/>
    <row r="244" s="720" customFormat="1"/>
    <row r="245" s="720" customFormat="1"/>
    <row r="246" s="720" customFormat="1"/>
    <row r="247" s="720" customFormat="1"/>
    <row r="248" s="720" customFormat="1"/>
    <row r="249" s="720" customFormat="1"/>
    <row r="250" s="720" customFormat="1"/>
    <row r="251" s="720" customFormat="1"/>
    <row r="252" s="720" customFormat="1"/>
    <row r="253" s="720" customFormat="1"/>
  </sheetData>
  <mergeCells count="2">
    <mergeCell ref="B85:I85"/>
    <mergeCell ref="B88:I88"/>
  </mergeCells>
  <conditionalFormatting sqref="B4:H4">
    <cfRule type="cellIs" dxfId="452" priority="6" stopIfTrue="1" operator="equal">
      <formula>"input"</formula>
    </cfRule>
  </conditionalFormatting>
  <conditionalFormatting sqref="I4">
    <cfRule type="cellIs" dxfId="451" priority="1" stopIfTrue="1" operator="equal">
      <formula>"input"</formula>
    </cfRule>
  </conditionalFormatting>
  <dataValidations disablePrompts="1" count="1">
    <dataValidation type="list" allowBlank="1" showInputMessage="1" showErrorMessage="1" sqref="D42">
      <formula1>$L$39:$L$40</formula1>
    </dataValidation>
  </dataValidations>
  <pageMargins left="0.5" right="0.5" top="0.5" bottom="0.5" header="0.5" footer="0.5"/>
  <pageSetup scale="90" orientation="landscape" r:id="rId1"/>
  <rowBreaks count="2" manualBreakCount="2">
    <brk id="39" max="9" man="1"/>
    <brk id="62" max="9" man="1"/>
  </rowBreaks>
  <legacy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FC63"/>
  <sheetViews>
    <sheetView showGridLines="0" view="pageBreakPreview" topLeftCell="A20" zoomScale="70" zoomScaleNormal="100" zoomScaleSheetLayoutView="70" workbookViewId="0">
      <selection activeCell="D31" sqref="D31"/>
    </sheetView>
  </sheetViews>
  <sheetFormatPr defaultColWidth="9.33203125" defaultRowHeight="12.75" outlineLevelRow="1" outlineLevelCol="1"/>
  <cols>
    <col min="1" max="1" width="4.5" style="720" customWidth="1"/>
    <col min="2" max="2" width="41.5" style="720" customWidth="1"/>
    <col min="3" max="3" width="12.83203125" style="720" customWidth="1"/>
    <col min="4" max="5" width="4.1640625" style="720" customWidth="1"/>
    <col min="6" max="9" width="18.83203125" style="720" hidden="1" customWidth="1" outlineLevel="1"/>
    <col min="10" max="10" width="25.5" style="720" customWidth="1" collapsed="1"/>
    <col min="11" max="30" width="25.5" style="720" customWidth="1"/>
    <col min="31" max="33" width="12.83203125" style="720" hidden="1" customWidth="1" outlineLevel="1"/>
    <col min="34" max="34" width="4.5" style="1984" customWidth="1" collapsed="1"/>
    <col min="35" max="16384" width="9.33203125" style="720"/>
  </cols>
  <sheetData>
    <row r="1" spans="1:41" s="2168" customFormat="1" ht="13.5" thickBot="1">
      <c r="AH1" s="2222"/>
    </row>
    <row r="2" spans="1:41" s="2168" customFormat="1" ht="16.5"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2222"/>
      <c r="AJ2" s="720"/>
      <c r="AK2" s="720"/>
      <c r="AL2" s="720"/>
      <c r="AM2" s="720"/>
      <c r="AN2" s="720"/>
      <c r="AO2" s="720"/>
    </row>
    <row r="3" spans="1:41" s="2168" customFormat="1" ht="15.75">
      <c r="B3" s="11" t="str">
        <f>VLOOKUP(B4,Outline!$E$8:$G$69,COLUMNS(Outline!$E$8:$G$8),FALSE)</f>
        <v>Workpaper #5</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2222"/>
      <c r="AJ3" s="720"/>
      <c r="AK3" s="720"/>
      <c r="AL3" s="720"/>
      <c r="AM3" s="720"/>
      <c r="AN3" s="720"/>
      <c r="AO3" s="720"/>
    </row>
    <row r="4" spans="1:41" s="2168" customFormat="1" ht="15.75" customHeight="1" thickBot="1">
      <c r="B4" s="12" t="s">
        <v>2933</v>
      </c>
      <c r="C4" s="12"/>
      <c r="D4" s="12"/>
      <c r="E4" s="12"/>
      <c r="F4" s="12"/>
      <c r="G4" s="12"/>
      <c r="H4" s="12"/>
      <c r="I4" s="12"/>
      <c r="J4" s="12"/>
      <c r="K4" s="12"/>
      <c r="L4" s="12"/>
      <c r="M4" s="13"/>
      <c r="N4" s="13"/>
      <c r="O4" s="13"/>
      <c r="P4" s="13" t="str">
        <f>'MASTER PubCo Inputs'!$C$24</f>
        <v>(in millions of USD)</v>
      </c>
      <c r="Q4" s="12"/>
      <c r="R4" s="12"/>
      <c r="S4" s="13"/>
      <c r="T4" s="13"/>
      <c r="U4" s="13"/>
      <c r="V4" s="13"/>
      <c r="W4" s="13" t="str">
        <f>'MASTER PubCo Inputs'!$C$24</f>
        <v>(in millions of USD)</v>
      </c>
      <c r="X4" s="12"/>
      <c r="Y4" s="12"/>
      <c r="Z4" s="13"/>
      <c r="AA4" s="13"/>
      <c r="AB4" s="13"/>
      <c r="AC4" s="13"/>
      <c r="AD4" s="13" t="str">
        <f>'MASTER PubCo Inputs'!$C$24</f>
        <v>(in millions of USD)</v>
      </c>
      <c r="AE4" s="12"/>
      <c r="AF4" s="12"/>
      <c r="AG4" s="13" t="str">
        <f>'MASTER PubCo Inputs'!$C$24</f>
        <v>(in millions of USD)</v>
      </c>
      <c r="AH4" s="2222"/>
      <c r="AI4" s="720"/>
      <c r="AJ4" s="720"/>
      <c r="AK4" s="720"/>
      <c r="AL4" s="720"/>
      <c r="AM4" s="720"/>
      <c r="AN4" s="720"/>
      <c r="AO4" s="720"/>
    </row>
    <row r="5" spans="1:41" ht="13.5" thickTop="1"/>
    <row r="6" spans="1:41">
      <c r="B6" s="2223" t="str">
        <f>'rNPV Assumptions_Obesity'!C18</f>
        <v>Obesity</v>
      </c>
    </row>
    <row r="8" spans="1:41" s="3195" customFormat="1">
      <c r="A8" s="3186"/>
      <c r="B8" s="3187" t="s">
        <v>2840</v>
      </c>
      <c r="C8" s="3188"/>
      <c r="D8" s="3188"/>
      <c r="E8" s="3189"/>
      <c r="F8" s="3190">
        <v>1</v>
      </c>
      <c r="G8" s="3190">
        <f>+F8+1</f>
        <v>2</v>
      </c>
      <c r="H8" s="3190">
        <f t="shared" ref="H8:AG8" si="0">+G8+1</f>
        <v>3</v>
      </c>
      <c r="I8" s="3190">
        <f t="shared" si="0"/>
        <v>4</v>
      </c>
      <c r="J8" s="3190">
        <f t="shared" si="0"/>
        <v>5</v>
      </c>
      <c r="K8" s="3190">
        <f t="shared" si="0"/>
        <v>6</v>
      </c>
      <c r="L8" s="3190">
        <f t="shared" si="0"/>
        <v>7</v>
      </c>
      <c r="M8" s="3190">
        <f t="shared" si="0"/>
        <v>8</v>
      </c>
      <c r="N8" s="3190">
        <f t="shared" si="0"/>
        <v>9</v>
      </c>
      <c r="O8" s="3190">
        <f t="shared" si="0"/>
        <v>10</v>
      </c>
      <c r="P8" s="3191">
        <f t="shared" si="0"/>
        <v>11</v>
      </c>
      <c r="Q8" s="3190">
        <f t="shared" si="0"/>
        <v>12</v>
      </c>
      <c r="R8" s="3190">
        <f t="shared" si="0"/>
        <v>13</v>
      </c>
      <c r="S8" s="3190">
        <f t="shared" si="0"/>
        <v>14</v>
      </c>
      <c r="T8" s="3190">
        <f t="shared" si="0"/>
        <v>15</v>
      </c>
      <c r="U8" s="3190">
        <f t="shared" si="0"/>
        <v>16</v>
      </c>
      <c r="V8" s="3190">
        <f t="shared" si="0"/>
        <v>17</v>
      </c>
      <c r="W8" s="3191">
        <f t="shared" si="0"/>
        <v>18</v>
      </c>
      <c r="X8" s="3190">
        <f t="shared" si="0"/>
        <v>19</v>
      </c>
      <c r="Y8" s="3190">
        <f t="shared" si="0"/>
        <v>20</v>
      </c>
      <c r="Z8" s="3190">
        <f t="shared" si="0"/>
        <v>21</v>
      </c>
      <c r="AA8" s="3190">
        <f t="shared" si="0"/>
        <v>22</v>
      </c>
      <c r="AB8" s="3190">
        <f t="shared" si="0"/>
        <v>23</v>
      </c>
      <c r="AC8" s="3190">
        <f t="shared" si="0"/>
        <v>24</v>
      </c>
      <c r="AD8" s="3192">
        <f t="shared" si="0"/>
        <v>25</v>
      </c>
      <c r="AE8" s="3190">
        <f t="shared" si="0"/>
        <v>26</v>
      </c>
      <c r="AF8" s="3190">
        <f t="shared" si="0"/>
        <v>27</v>
      </c>
      <c r="AG8" s="3193">
        <f t="shared" si="0"/>
        <v>28</v>
      </c>
      <c r="AH8" s="3194"/>
    </row>
    <row r="9" spans="1:41" ht="47.25" customHeight="1">
      <c r="A9" s="1171"/>
      <c r="B9" s="2226" t="s">
        <v>514</v>
      </c>
      <c r="C9" s="2227"/>
      <c r="D9" s="2227"/>
      <c r="E9" s="2529"/>
      <c r="F9" s="2227">
        <f>IFERROR(INDEX('rNPV Assumptions_Obesity'!$B$21:$D$30,MATCH(F$8,'rNPV Assumptions_Obesity'!$D$21:$D$30,0),1),E9)</f>
        <v>0</v>
      </c>
      <c r="G9" s="2227">
        <f>IFERROR(INDEX('rNPV Assumptions_Obesity'!$B$21:$D$30,MATCH(G$8,'rNPV Assumptions_Obesity'!$D$21:$D$30,0),1),F9)</f>
        <v>0</v>
      </c>
      <c r="H9" s="2227">
        <f>IFERROR(INDEX('rNPV Assumptions_Obesity'!$B$21:$D$30,MATCH(H$8,'rNPV Assumptions_Obesity'!$D$21:$D$30,0),1),G9)</f>
        <v>0</v>
      </c>
      <c r="I9" s="2227">
        <f>IFERROR(INDEX('rNPV Assumptions_Obesity'!$B$21:$D$30,MATCH(I$8,'rNPV Assumptions_Obesity'!$D$21:$D$30,0),1),H9)</f>
        <v>0</v>
      </c>
      <c r="J9" s="2227" t="str">
        <f>IFERROR(INDEX('rNPV Assumptions_Obesity'!$B$21:$D$30,MATCH(J$8,'rNPV Assumptions_Obesity'!$D$21:$D$30,0),1),I9)</f>
        <v>Ligand Option Exercise</v>
      </c>
      <c r="K9" s="2227" t="str">
        <f>IFERROR(INDEX('rNPV Assumptions_Obesity'!$B$21:$D$30,MATCH(K$8,'rNPV Assumptions_Obesity'!$D$21:$D$30,0),1),J9)</f>
        <v>Development Lead Selection</v>
      </c>
      <c r="L9" s="2227" t="str">
        <f>IFERROR(INDEX('rNPV Assumptions_Obesity'!$B$21:$D$30,MATCH(L$8,'rNPV Assumptions_Obesity'!$D$21:$D$30,0),1),K9)</f>
        <v>Phase I</v>
      </c>
      <c r="M9" s="2227" t="str">
        <f>IFERROR(INDEX('rNPV Assumptions_Obesity'!$B$21:$D$30,MATCH(M$8,'rNPV Assumptions_Obesity'!$D$21:$D$30,0),1),L9)</f>
        <v>Phase I</v>
      </c>
      <c r="N9" s="2227" t="str">
        <f>IFERROR(INDEX('rNPV Assumptions_Obesity'!$B$21:$D$30,MATCH(N$8,'rNPV Assumptions_Obesity'!$D$21:$D$30,0),1),M9)</f>
        <v>Phase II</v>
      </c>
      <c r="O9" s="2227" t="str">
        <f>IFERROR(INDEX('rNPV Assumptions_Obesity'!$B$21:$D$30,MATCH(O$8,'rNPV Assumptions_Obesity'!$D$21:$D$30,0),1),N9)</f>
        <v>Phase II</v>
      </c>
      <c r="P9" s="2501" t="str">
        <f>IFERROR(INDEX('rNPV Assumptions_Obesity'!$B$21:$D$30,MATCH(P$8,'rNPV Assumptions_Obesity'!$D$21:$D$30,0),1),O9)</f>
        <v>Phase III</v>
      </c>
      <c r="Q9" s="2227" t="str">
        <f>IFERROR(INDEX('rNPV Assumptions_Obesity'!$B$21:$D$30,MATCH(Q$8,'rNPV Assumptions_Obesity'!$D$21:$D$30,0),1),P9)</f>
        <v>Phase III</v>
      </c>
      <c r="R9" s="2227" t="str">
        <f>IFERROR(INDEX('rNPV Assumptions_Obesity'!$B$21:$D$30,MATCH(R$8,'rNPV Assumptions_Obesity'!$D$21:$D$30,0),1),Q9)</f>
        <v>Phase III</v>
      </c>
      <c r="S9" s="2227" t="str">
        <f>IFERROR(INDEX('rNPV Assumptions_Obesity'!$B$21:$D$30,MATCH(S$8,'rNPV Assumptions_Obesity'!$D$21:$D$30,0),1),R9)</f>
        <v>Regulatory Approval FDA/EMA/JP</v>
      </c>
      <c r="T9" s="2227" t="str">
        <f>IFERROR(INDEX('rNPV Assumptions_Obesity'!$B$21:$D$30,MATCH(T$8,'rNPV Assumptions_Obesity'!$D$21:$D$30,0),1),S9)</f>
        <v>Commercial</v>
      </c>
      <c r="U9" s="2227" t="str">
        <f>IFERROR(INDEX('rNPV Assumptions_Obesity'!$B$21:$D$30,MATCH(U$8,'rNPV Assumptions_Obesity'!$D$21:$D$30,0),1),T9)</f>
        <v>Commercial</v>
      </c>
      <c r="V9" s="2227" t="str">
        <f>IFERROR(INDEX('rNPV Assumptions_Obesity'!$B$21:$D$30,MATCH(V$8,'rNPV Assumptions_Obesity'!$D$21:$D$30,0),1),U9)</f>
        <v>Commercial</v>
      </c>
      <c r="W9" s="2501" t="str">
        <f>IFERROR(INDEX('rNPV Assumptions_Obesity'!$B$21:$D$30,MATCH(W$8,'rNPV Assumptions_Obesity'!$D$21:$D$30,0),1),V9)</f>
        <v>Commercial</v>
      </c>
      <c r="X9" s="2227" t="str">
        <f>IFERROR(INDEX('rNPV Assumptions_Obesity'!$B$21:$D$30,MATCH(X$8,'rNPV Assumptions_Obesity'!$D$21:$D$30,0),1),W9)</f>
        <v>Commercial</v>
      </c>
      <c r="Y9" s="2227" t="str">
        <f>IFERROR(INDEX('rNPV Assumptions_Obesity'!$B$21:$D$30,MATCH(Y$8,'rNPV Assumptions_Obesity'!$D$21:$D$30,0),1),X9)</f>
        <v>Commercial</v>
      </c>
      <c r="Z9" s="2227" t="str">
        <f>IFERROR(INDEX('rNPV Assumptions_Obesity'!$B$21:$D$30,MATCH(Z$8,'rNPV Assumptions_Obesity'!$D$21:$D$30,0),1),Y9)</f>
        <v>Commercial</v>
      </c>
      <c r="AA9" s="2227" t="str">
        <f>IFERROR(INDEX('rNPV Assumptions_Obesity'!$B$21:$D$30,MATCH(AA$8,'rNPV Assumptions_Obesity'!$D$21:$D$30,0),1),Z9)</f>
        <v>Commercial</v>
      </c>
      <c r="AB9" s="2227" t="str">
        <f>IFERROR(INDEX('rNPV Assumptions_Obesity'!$B$21:$D$30,MATCH(AB$8,'rNPV Assumptions_Obesity'!$D$21:$D$30,0),1),AA9)</f>
        <v>Commercial</v>
      </c>
      <c r="AC9" s="2227" t="str">
        <f>IFERROR(INDEX('rNPV Assumptions_Obesity'!$B$21:$D$30,MATCH(AC$8,'rNPV Assumptions_Obesity'!$D$21:$D$30,0),1),AB9)</f>
        <v>Commercial</v>
      </c>
      <c r="AD9" s="2501" t="str">
        <f>IFERROR(INDEX('rNPV Assumptions_Obesity'!$B$21:$D$30,MATCH(AD$8,'rNPV Assumptions_Obesity'!$D$21:$D$30,0),1),AC9)</f>
        <v>Loss of Exclusivity</v>
      </c>
      <c r="AE9" s="2227" t="str">
        <f>IFERROR(INDEX('rNPV Assumptions_Obesity'!$B$21:$D$30,MATCH(AE$8,'rNPV Assumptions_Obesity'!$D$21:$D$30,0),1),AD9)</f>
        <v>Loss of Exclusivity</v>
      </c>
      <c r="AF9" s="2227" t="str">
        <f>IFERROR(INDEX('rNPV Assumptions_Obesity'!$B$21:$D$30,MATCH(AF$8,'rNPV Assumptions_Obesity'!$D$21:$D$30,0),1),AE9)</f>
        <v>Loss of Exclusivity</v>
      </c>
      <c r="AG9" s="2501" t="str">
        <f>IFERROR(INDEX('rNPV Assumptions_Obesity'!$B$21:$D$30,MATCH(AG$8,'rNPV Assumptions_Obesity'!$D$21:$D$30,0),1),AF9)</f>
        <v>Loss of Exclusivity</v>
      </c>
    </row>
    <row r="10" spans="1:41" s="1984" customFormat="1" ht="37.5" hidden="1" customHeight="1" outlineLevel="1">
      <c r="A10" s="2202"/>
      <c r="B10" s="2228" t="s">
        <v>2841</v>
      </c>
      <c r="C10" s="2229"/>
      <c r="D10" s="2229"/>
      <c r="E10" s="2229"/>
      <c r="F10" s="2230">
        <f>IF(F9='rNPV Assumptions_Obesity'!$B$29,COUNTIF(F$9:$O9,'rNPV Assumptions_Obesity'!$B$29),0)</f>
        <v>0</v>
      </c>
      <c r="G10" s="2230">
        <f>IF(G9='rNPV Assumptions_Obesity'!$B$29,COUNTIF(G$9:$O9,'rNPV Assumptions_Obesity'!$B$29),0)</f>
        <v>0</v>
      </c>
      <c r="H10" s="2230">
        <f>IF(H9='rNPV Assumptions_Obesity'!$B$29,COUNTIF(H$9:$O9,'rNPV Assumptions_Obesity'!$B$29),0)</f>
        <v>0</v>
      </c>
      <c r="I10" s="2230">
        <f>IF(I9='rNPV Assumptions_Obesity'!$B$29,COUNTIF(I$9:$O9,'rNPV Assumptions_Obesity'!$B$29),0)</f>
        <v>0</v>
      </c>
      <c r="J10" s="2230">
        <f>IF(J9='rNPV Assumptions_Obesity'!$B$29,COUNTIF(J$9:$O9,'rNPV Assumptions_Obesity'!$B$29),0)</f>
        <v>0</v>
      </c>
      <c r="K10" s="2230">
        <f>IF(K9='rNPV Assumptions_Obesity'!$B$29,COUNTIF(K$9:$O9,'rNPV Assumptions_Obesity'!$B$29),0)</f>
        <v>0</v>
      </c>
      <c r="L10" s="2230">
        <f>IF(L9='rNPV Assumptions_Obesity'!$B$29,COUNTIF(L$9:$O9,'rNPV Assumptions_Obesity'!$B$29),0)</f>
        <v>0</v>
      </c>
      <c r="M10" s="2230">
        <f>IF(M9='rNPV Assumptions_Obesity'!$B$29,COUNTIF(M$9:$O9,'rNPV Assumptions_Obesity'!$B$29),0)</f>
        <v>0</v>
      </c>
      <c r="N10" s="2230">
        <f>IF(N9='rNPV Assumptions_Obesity'!$B$29,COUNTIF(N$9:$O9,'rNPV Assumptions_Obesity'!$B$29),0)</f>
        <v>0</v>
      </c>
      <c r="O10" s="2230">
        <f>IF(O9='rNPV Assumptions_Obesity'!$B$29,COUNTIF($O$9:O9,'rNPV Assumptions_Obesity'!$B$29),0)</f>
        <v>0</v>
      </c>
      <c r="P10" s="2230">
        <f>IF(P9='rNPV Assumptions_Obesity'!$B$29,COUNTIF($O$9:P9,'rNPV Assumptions_Obesity'!$B$29),0)</f>
        <v>0</v>
      </c>
      <c r="Q10" s="2230">
        <f>IF(Q9='rNPV Assumptions_Obesity'!$B$29,COUNTIF($O$9:Q9,'rNPV Assumptions_Obesity'!$B$29),0)</f>
        <v>0</v>
      </c>
      <c r="R10" s="2230">
        <f>IF(R9='rNPV Assumptions_Obesity'!$B$29,COUNTIF($O$9:R9,'rNPV Assumptions_Obesity'!$B$29),0)</f>
        <v>0</v>
      </c>
      <c r="S10" s="2230">
        <f>IF(S9='rNPV Assumptions_Obesity'!$B$29,COUNTIF($O$9:S9,'rNPV Assumptions_Obesity'!$B$29),0)</f>
        <v>0</v>
      </c>
      <c r="T10" s="2230">
        <f>IF(T9='rNPV Assumptions_Obesity'!$B$29,COUNTIF($O$9:T9,'rNPV Assumptions_Obesity'!$B$29),0)</f>
        <v>1</v>
      </c>
      <c r="U10" s="2230">
        <f>IF(U9='rNPV Assumptions_Obesity'!$B$29,COUNTIF($O$9:U9,'rNPV Assumptions_Obesity'!$B$29),0)</f>
        <v>2</v>
      </c>
      <c r="V10" s="2230">
        <f>IF(V9='rNPV Assumptions_Obesity'!$B$29,COUNTIF($O$9:V9,'rNPV Assumptions_Obesity'!$B$29),0)</f>
        <v>3</v>
      </c>
      <c r="W10" s="2230">
        <f>IF(W9='rNPV Assumptions_Obesity'!$B$29,COUNTIF($O$9:W9,'rNPV Assumptions_Obesity'!$B$29),0)</f>
        <v>4</v>
      </c>
      <c r="X10" s="2230">
        <f>IF(X9='rNPV Assumptions_Obesity'!$B$29,COUNTIF($O$9:X9,'rNPV Assumptions_Obesity'!$B$29),0)</f>
        <v>5</v>
      </c>
      <c r="Y10" s="2230">
        <f>IF(Y9='rNPV Assumptions_Obesity'!$B$29,COUNTIF($O$9:Y9,'rNPV Assumptions_Obesity'!$B$29),0)</f>
        <v>6</v>
      </c>
      <c r="Z10" s="2230">
        <f>IF(Z9='rNPV Assumptions_Obesity'!$B$29,COUNTIF($O$9:Z9,'rNPV Assumptions_Obesity'!$B$29),0)</f>
        <v>7</v>
      </c>
      <c r="AA10" s="2230">
        <f>IF(AA9='rNPV Assumptions_Obesity'!$B$29,COUNTIF($O$9:AA9,'rNPV Assumptions_Obesity'!$B$29),0)</f>
        <v>8</v>
      </c>
      <c r="AB10" s="2230">
        <f>IF(AB9='rNPV Assumptions_Obesity'!$B$29,COUNTIF($O$9:AB9,'rNPV Assumptions_Obesity'!$B$29),0)</f>
        <v>9</v>
      </c>
      <c r="AC10" s="2230">
        <f>IF(AC9='rNPV Assumptions_Obesity'!$B$29,COUNTIF($O$9:AC9,'rNPV Assumptions_Obesity'!$B$29),0)</f>
        <v>10</v>
      </c>
      <c r="AD10" s="2230">
        <f>IF(AD9='rNPV Assumptions_Obesity'!$B$29,COUNTIF($O$9:AD9,'rNPV Assumptions_Obesity'!$B$29),0)</f>
        <v>0</v>
      </c>
      <c r="AE10" s="2230">
        <f>IF(AE9='rNPV Assumptions_Obesity'!$B$29,COUNTIF($O$9:AE9,'rNPV Assumptions_Obesity'!$B$29),0)</f>
        <v>0</v>
      </c>
      <c r="AF10" s="2230">
        <f>IF(AF9='rNPV Assumptions_Obesity'!$B$29,COUNTIF($O$9:AF9,'rNPV Assumptions_Obesity'!$B$29),0)</f>
        <v>0</v>
      </c>
      <c r="AG10" s="2230">
        <f>IF(AG9='rNPV Assumptions_Obesity'!$B$29,COUNTIF($O$9:AG9,'rNPV Assumptions_Obesity'!$B$29),0)</f>
        <v>0</v>
      </c>
    </row>
    <row r="11" spans="1:41" collapsed="1"/>
    <row r="12" spans="1:41">
      <c r="B12" s="2223" t="str">
        <f>'rNPV Assumptions_Obesity'!C18</f>
        <v>Obesity</v>
      </c>
    </row>
    <row r="13" spans="1:41">
      <c r="B13" s="720" t="s">
        <v>2803</v>
      </c>
      <c r="C13" s="2160">
        <f>'rNPV Assumptions_Obesity'!I25</f>
        <v>750</v>
      </c>
      <c r="D13" s="2160"/>
      <c r="E13" s="2160"/>
      <c r="F13" s="2231">
        <f>IF(F$10=0,0,IF(ROUND(E14,3)=100%,$C13*(1+$C14),$C13))</f>
        <v>0</v>
      </c>
      <c r="G13" s="2231">
        <f t="shared" ref="G13:AG13" si="1">IF(G$10=0,0,IF(ROUND(F14,3)=100%,$C13*(1+$C14),$C13))</f>
        <v>0</v>
      </c>
      <c r="H13" s="2231">
        <f t="shared" si="1"/>
        <v>0</v>
      </c>
      <c r="I13" s="2231">
        <f t="shared" si="1"/>
        <v>0</v>
      </c>
      <c r="J13" s="2231">
        <f t="shared" si="1"/>
        <v>0</v>
      </c>
      <c r="K13" s="2231">
        <f t="shared" si="1"/>
        <v>0</v>
      </c>
      <c r="L13" s="2231">
        <f t="shared" si="1"/>
        <v>0</v>
      </c>
      <c r="M13" s="2231">
        <f t="shared" si="1"/>
        <v>0</v>
      </c>
      <c r="N13" s="2231">
        <f t="shared" si="1"/>
        <v>0</v>
      </c>
      <c r="O13" s="2231">
        <f t="shared" si="1"/>
        <v>0</v>
      </c>
      <c r="P13" s="2231">
        <f t="shared" si="1"/>
        <v>0</v>
      </c>
      <c r="Q13" s="2231">
        <f t="shared" si="1"/>
        <v>0</v>
      </c>
      <c r="R13" s="2231">
        <f t="shared" si="1"/>
        <v>0</v>
      </c>
      <c r="S13" s="2231">
        <f t="shared" si="1"/>
        <v>0</v>
      </c>
      <c r="T13" s="2231">
        <f t="shared" si="1"/>
        <v>750</v>
      </c>
      <c r="U13" s="2231">
        <f t="shared" si="1"/>
        <v>750</v>
      </c>
      <c r="V13" s="2231">
        <f t="shared" si="1"/>
        <v>750</v>
      </c>
      <c r="W13" s="2231">
        <f t="shared" si="1"/>
        <v>750</v>
      </c>
      <c r="X13" s="2231">
        <f t="shared" si="1"/>
        <v>750</v>
      </c>
      <c r="Y13" s="2231">
        <f t="shared" si="1"/>
        <v>750</v>
      </c>
      <c r="Z13" s="2231">
        <f t="shared" si="1"/>
        <v>750</v>
      </c>
      <c r="AA13" s="2231">
        <f t="shared" si="1"/>
        <v>750</v>
      </c>
      <c r="AB13" s="2231">
        <f t="shared" si="1"/>
        <v>750</v>
      </c>
      <c r="AC13" s="2231">
        <f t="shared" si="1"/>
        <v>810</v>
      </c>
      <c r="AD13" s="2231">
        <f t="shared" si="1"/>
        <v>0</v>
      </c>
      <c r="AE13" s="2231">
        <f t="shared" si="1"/>
        <v>0</v>
      </c>
      <c r="AF13" s="2231">
        <f t="shared" si="1"/>
        <v>0</v>
      </c>
      <c r="AG13" s="2231">
        <f t="shared" si="1"/>
        <v>0</v>
      </c>
    </row>
    <row r="14" spans="1:41">
      <c r="B14" s="2232" t="s">
        <v>2842</v>
      </c>
      <c r="C14" s="2233">
        <f>'rNPV Assumptions_Obesity'!I26</f>
        <v>0.08</v>
      </c>
      <c r="D14" s="2234"/>
      <c r="E14" s="2234"/>
      <c r="F14" s="2235">
        <f>IF(F$10=0,0,IFERROR(HLOOKUP(F$10,'Penetration Curves'!$F$11:$O$19,ROWS('Penetration Curves'!$F$11:$F$19),FALSE),1))</f>
        <v>0</v>
      </c>
      <c r="G14" s="2235">
        <f>IF(G$10=0,0,IFERROR(HLOOKUP(G$10,'Penetration Curves'!$F$11:$O$19,ROWS('Penetration Curves'!$F$11:$F$19),FALSE),1))</f>
        <v>0</v>
      </c>
      <c r="H14" s="2235">
        <f>IF(H$10=0,0,IFERROR(HLOOKUP(H$10,'Penetration Curves'!$F$11:$O$19,ROWS('Penetration Curves'!$F$11:$F$19),FALSE),1))</f>
        <v>0</v>
      </c>
      <c r="I14" s="2235">
        <f>IF(I$10=0,0,IFERROR(HLOOKUP(I$10,'Penetration Curves'!$F$11:$O$19,ROWS('Penetration Curves'!$F$11:$F$19),FALSE),1))</f>
        <v>0</v>
      </c>
      <c r="J14" s="2235">
        <f>IF(J$10=0,0,IFERROR(HLOOKUP(J$10,'Penetration Curves'!$F$11:$O$19,ROWS('Penetration Curves'!$F$11:$F$19),FALSE),1))</f>
        <v>0</v>
      </c>
      <c r="K14" s="2235">
        <f>IF(K$10=0,0,IFERROR(HLOOKUP(K$10,'Penetration Curves'!$F$11:$O$19,ROWS('Penetration Curves'!$F$11:$F$19),FALSE),1))</f>
        <v>0</v>
      </c>
      <c r="L14" s="2235">
        <f>IF(L$10=0,0,IFERROR(HLOOKUP(L$10,'Penetration Curves'!$F$11:$O$19,ROWS('Penetration Curves'!$F$11:$F$19),FALSE),1))</f>
        <v>0</v>
      </c>
      <c r="M14" s="2235">
        <f>IF(M$10=0,0,IFERROR(HLOOKUP(M$10,'Penetration Curves'!$F$11:$O$19,ROWS('Penetration Curves'!$F$11:$F$19),FALSE),1))</f>
        <v>0</v>
      </c>
      <c r="N14" s="2235">
        <f>IF(N$10=0,0,IFERROR(HLOOKUP(N$10,'Penetration Curves'!$F$11:$O$19,ROWS('Penetration Curves'!$F$11:$F$19),FALSE),1))</f>
        <v>0</v>
      </c>
      <c r="O14" s="2235">
        <f>IF(O$10=0,0,IFERROR(HLOOKUP(O$10,'Penetration Curves'!$F$11:$O$19,ROWS('Penetration Curves'!$F$11:$F$19),FALSE),1))</f>
        <v>0</v>
      </c>
      <c r="P14" s="2235">
        <f>IF(P$10=0,0,IFERROR(HLOOKUP(P$10,'Penetration Curves'!$F$11:$O$19,ROWS('Penetration Curves'!$F$11:$F$19),FALSE),1))</f>
        <v>0</v>
      </c>
      <c r="Q14" s="2235">
        <f>IF(Q$10=0,0,IFERROR(HLOOKUP(Q$10,'Penetration Curves'!$F$11:$O$19,ROWS('Penetration Curves'!$F$11:$F$19),FALSE),1))</f>
        <v>0</v>
      </c>
      <c r="R14" s="2235">
        <f>IF(R$10=0,0,IFERROR(HLOOKUP(R$10,'Penetration Curves'!$F$11:$O$19,ROWS('Penetration Curves'!$F$11:$F$19),FALSE),1))</f>
        <v>0</v>
      </c>
      <c r="S14" s="2235">
        <f>IF(S$10=0,0,IFERROR(HLOOKUP(S$10,'Penetration Curves'!$F$11:$O$19,ROWS('Penetration Curves'!$F$11:$F$19),FALSE),1))</f>
        <v>0</v>
      </c>
      <c r="T14" s="2235">
        <f>IF(T$10=0,0,IFERROR(HLOOKUP(T$10,'Penetration Curves'!$F$11:$O$19,ROWS('Penetration Curves'!$F$11:$F$19),FALSE),1))</f>
        <v>4.7790352272814703E-2</v>
      </c>
      <c r="U14" s="2235">
        <f>IF(U$10=0,0,IFERROR(HLOOKUP(U$10,'Penetration Curves'!$F$11:$O$19,ROWS('Penetration Curves'!$F$11:$F$19),FALSE),1))</f>
        <v>0.15865525393145699</v>
      </c>
      <c r="V14" s="2235">
        <f>IF(V$10=0,0,IFERROR(HLOOKUP(V$10,'Penetration Curves'!$F$11:$O$19,ROWS('Penetration Curves'!$F$11:$F$19),FALSE),1))</f>
        <v>0.36944134018176361</v>
      </c>
      <c r="W14" s="2235">
        <f>IF(W$10=0,0,IFERROR(HLOOKUP(W$10,'Penetration Curves'!$F$11:$O$19,ROWS('Penetration Curves'!$F$11:$F$19),FALSE),1))</f>
        <v>0.63055865981823644</v>
      </c>
      <c r="X14" s="2235">
        <f>IF(X$10=0,0,IFERROR(HLOOKUP(X$10,'Penetration Curves'!$F$11:$O$19,ROWS('Penetration Curves'!$F$11:$F$19),FALSE),1))</f>
        <v>0.84134474606854304</v>
      </c>
      <c r="Y14" s="2235">
        <f>IF(Y$10=0,0,IFERROR(HLOOKUP(Y$10,'Penetration Curves'!$F$11:$O$19,ROWS('Penetration Curves'!$F$11:$F$19),FALSE),1))</f>
        <v>0.9522096477271853</v>
      </c>
      <c r="Z14" s="2235">
        <f>IF(Z$10=0,0,IFERROR(HLOOKUP(Z$10,'Penetration Curves'!$F$11:$O$19,ROWS('Penetration Curves'!$F$11:$F$19),FALSE),1))</f>
        <v>0.99018467137135469</v>
      </c>
      <c r="AA14" s="2235">
        <f>IF(AA$10=0,0,IFERROR(HLOOKUP(AA$10,'Penetration Curves'!$F$11:$O$19,ROWS('Penetration Curves'!$F$11:$F$19),FALSE),1))</f>
        <v>0.9986501019683699</v>
      </c>
      <c r="AB14" s="2235">
        <f>IF(AB$10=0,0,IFERROR(HLOOKUP(AB$10,'Penetration Curves'!$F$11:$O$19,ROWS('Penetration Curves'!$F$11:$F$19),FALSE),1))</f>
        <v>0.99987713361003483</v>
      </c>
      <c r="AC14" s="2235">
        <f>IF(AC$10=0,0,IFERROR(HLOOKUP(AC$10,'Penetration Curves'!$F$11:$O$19,ROWS('Penetration Curves'!$F$11:$F$19),FALSE),1))</f>
        <v>0.9999926565761631</v>
      </c>
      <c r="AD14" s="2235">
        <f>IF(AD$10=0,0,IFERROR(HLOOKUP(AD$10,'Penetration Curves'!$F$11:$O$19,ROWS('Penetration Curves'!$F$11:$F$19),FALSE),1))</f>
        <v>0</v>
      </c>
      <c r="AE14" s="2235">
        <f>IF(AE$10=0,0,IFERROR(HLOOKUP(AE$10,'Penetration Curves'!$F$11:$O$19,ROWS('Penetration Curves'!$F$11:$F$19),FALSE),1))</f>
        <v>0</v>
      </c>
      <c r="AF14" s="2235">
        <f>IF(AF$10=0,0,IFERROR(HLOOKUP(AF$10,'Penetration Curves'!$F$11:$O$19,ROWS('Penetration Curves'!$F$11:$F$19),FALSE),1))</f>
        <v>0</v>
      </c>
      <c r="AG14" s="2235">
        <f>IF(AG$10=0,0,IFERROR(HLOOKUP(AG$10,'Penetration Curves'!$F$11:$O$19,ROWS('Penetration Curves'!$F$11:$F$19),FALSE),1))</f>
        <v>0</v>
      </c>
    </row>
    <row r="15" spans="1:41" ht="12.75" customHeight="1">
      <c r="B15" s="2236" t="s">
        <v>2903</v>
      </c>
      <c r="C15" s="2239"/>
      <c r="F15" s="2289">
        <f t="shared" ref="F15" si="2">F13*F14</f>
        <v>0</v>
      </c>
      <c r="G15" s="2289">
        <f t="shared" ref="G15" si="3">G13*G14</f>
        <v>0</v>
      </c>
      <c r="H15" s="2289">
        <f t="shared" ref="H15" si="4">H13*H14</f>
        <v>0</v>
      </c>
      <c r="I15" s="2289">
        <f t="shared" ref="I15:Q15" si="5">I13*I14</f>
        <v>0</v>
      </c>
      <c r="J15" s="2289">
        <f t="shared" si="5"/>
        <v>0</v>
      </c>
      <c r="K15" s="2289">
        <f t="shared" si="5"/>
        <v>0</v>
      </c>
      <c r="L15" s="2289">
        <f t="shared" si="5"/>
        <v>0</v>
      </c>
      <c r="M15" s="2289">
        <f t="shared" si="5"/>
        <v>0</v>
      </c>
      <c r="N15" s="2289">
        <f t="shared" si="5"/>
        <v>0</v>
      </c>
      <c r="O15" s="2289">
        <f t="shared" si="5"/>
        <v>0</v>
      </c>
      <c r="P15" s="2289">
        <f t="shared" si="5"/>
        <v>0</v>
      </c>
      <c r="Q15" s="2289">
        <f t="shared" si="5"/>
        <v>0</v>
      </c>
      <c r="R15" s="2289">
        <f t="shared" ref="R15:T15" si="6">R13*R14</f>
        <v>0</v>
      </c>
      <c r="S15" s="2289">
        <f t="shared" si="6"/>
        <v>0</v>
      </c>
      <c r="T15" s="2289">
        <f t="shared" si="6"/>
        <v>35.842764204611029</v>
      </c>
      <c r="U15" s="2289">
        <f>U13*U14</f>
        <v>118.99144044859274</v>
      </c>
      <c r="V15" s="2289">
        <f t="shared" ref="V15:AG15" si="7">V13*V14</f>
        <v>277.08100513632269</v>
      </c>
      <c r="W15" s="2289">
        <f t="shared" si="7"/>
        <v>472.91899486367731</v>
      </c>
      <c r="X15" s="2289">
        <f t="shared" si="7"/>
        <v>631.0085595514073</v>
      </c>
      <c r="Y15" s="2289">
        <f t="shared" si="7"/>
        <v>714.15723579538894</v>
      </c>
      <c r="Z15" s="2289">
        <f t="shared" si="7"/>
        <v>742.63850352851603</v>
      </c>
      <c r="AA15" s="2289">
        <f t="shared" si="7"/>
        <v>748.98757647627747</v>
      </c>
      <c r="AB15" s="2289">
        <f t="shared" si="7"/>
        <v>749.90785020752617</v>
      </c>
      <c r="AC15" s="2289">
        <f t="shared" si="7"/>
        <v>809.99405182669216</v>
      </c>
      <c r="AD15" s="2289">
        <f t="shared" si="7"/>
        <v>0</v>
      </c>
      <c r="AE15" s="2289">
        <f t="shared" si="7"/>
        <v>0</v>
      </c>
      <c r="AF15" s="2289">
        <f t="shared" si="7"/>
        <v>0</v>
      </c>
      <c r="AG15" s="2289">
        <f t="shared" si="7"/>
        <v>0</v>
      </c>
    </row>
    <row r="16" spans="1:41" ht="12.75" customHeight="1">
      <c r="C16" s="2239"/>
      <c r="F16" s="2206"/>
      <c r="G16" s="2206"/>
      <c r="H16" s="2206"/>
      <c r="I16" s="2206"/>
      <c r="J16" s="2206"/>
      <c r="K16" s="2206"/>
      <c r="L16" s="2206"/>
      <c r="M16" s="2206"/>
      <c r="N16" s="2206"/>
      <c r="O16" s="2206"/>
      <c r="P16" s="2206"/>
      <c r="Q16" s="2206"/>
      <c r="R16" s="2206"/>
      <c r="S16" s="2206"/>
      <c r="T16" s="2206"/>
      <c r="U16" s="2206"/>
      <c r="V16" s="2206"/>
      <c r="W16" s="2206"/>
      <c r="X16" s="2206"/>
      <c r="Y16" s="2206"/>
      <c r="Z16" s="2206"/>
      <c r="AA16" s="2206"/>
      <c r="AB16" s="2206"/>
      <c r="AC16" s="2206"/>
      <c r="AD16" s="2206"/>
      <c r="AE16" s="2206"/>
      <c r="AF16" s="2206"/>
      <c r="AG16" s="2206"/>
    </row>
    <row r="17" spans="1:16383" ht="12.75" customHeight="1">
      <c r="B17" s="2236" t="str">
        <f>'rNPV Assumptions_Obesity'!B40</f>
        <v>Indication #2</v>
      </c>
      <c r="C17" s="2239"/>
      <c r="F17" s="2206"/>
      <c r="G17" s="2206"/>
      <c r="H17" s="2206"/>
      <c r="I17" s="2206"/>
      <c r="J17" s="2206"/>
      <c r="K17" s="2206"/>
      <c r="L17" s="2206"/>
      <c r="M17" s="2206"/>
      <c r="N17" s="2206"/>
      <c r="O17" s="2206"/>
      <c r="P17" s="2206"/>
      <c r="Q17" s="2206"/>
      <c r="R17" s="2206"/>
      <c r="S17" s="2206"/>
      <c r="T17" s="2206"/>
      <c r="U17" s="2206"/>
      <c r="V17" s="2206"/>
      <c r="W17" s="2206"/>
      <c r="X17" s="2206"/>
      <c r="Y17" s="2206"/>
      <c r="Z17" s="2206"/>
      <c r="AA17" s="2206"/>
      <c r="AB17" s="2206"/>
      <c r="AC17" s="2206"/>
      <c r="AD17" s="2206"/>
      <c r="AE17" s="2206"/>
      <c r="AF17" s="2206"/>
      <c r="AG17" s="2206"/>
    </row>
    <row r="18" spans="1:16383" ht="12.75" customHeight="1">
      <c r="B18" s="720" t="s">
        <v>2803</v>
      </c>
      <c r="C18" s="2160">
        <f>'rNPV Assumptions_Obesity'!I49</f>
        <v>750</v>
      </c>
      <c r="D18" s="2160"/>
      <c r="E18" s="2160"/>
      <c r="F18" s="2231">
        <f>IF(F$10=0,0,IF(ROUND(E19,3)=100%,$C18*(1+$C19),$C18))*'rNPV Assumptions_Obesity'!$D$42</f>
        <v>0</v>
      </c>
      <c r="G18" s="2231">
        <f>IF(G$10=0,0,IF(ROUND(F19,3)=100%,$C18*(1+$C19),$C18))*'rNPV Assumptions_Obesity'!$D$42</f>
        <v>0</v>
      </c>
      <c r="H18" s="2231">
        <f>IF(H$10=0,0,IF(ROUND(G19,3)=100%,$C18*(1+$C19),$C18))*'rNPV Assumptions_Obesity'!$D$42</f>
        <v>0</v>
      </c>
      <c r="I18" s="2231">
        <f>IF(I$10=0,0,IF(ROUND(H19,3)=100%,$C18*(1+$C19),$C18))*'rNPV Assumptions_Obesity'!$D$42</f>
        <v>0</v>
      </c>
      <c r="J18" s="2231">
        <f>IF(J$10=0,0,IF(ROUND(I19,3)=100%,$C18*(1+$C19),$C18))*'rNPV Assumptions_Obesity'!$D$42</f>
        <v>0</v>
      </c>
      <c r="K18" s="2231">
        <f>IF(K$10=0,0,IF(ROUND(J19,3)=100%,$C18*(1+$C19),$C18))*'rNPV Assumptions_Obesity'!$D$42</f>
        <v>0</v>
      </c>
      <c r="L18" s="2231">
        <f>IF(L$10=0,0,IF(ROUND(K19,3)=100%,$C18*(1+$C19),$C18))*'rNPV Assumptions_Obesity'!$D$42</f>
        <v>0</v>
      </c>
      <c r="M18" s="2231">
        <f>IF(M$10=0,0,IF(ROUND(L19,3)=100%,$C18*(1+$C19),$C18))*'rNPV Assumptions_Obesity'!$D$42</f>
        <v>0</v>
      </c>
      <c r="N18" s="2231">
        <f>IF(N$10=0,0,IF(ROUND(M19,3)=100%,$C18*(1+$C19),$C18))*'rNPV Assumptions_Obesity'!$D$42</f>
        <v>0</v>
      </c>
      <c r="O18" s="2231">
        <f>IF(O$10=0,0,IF(ROUND(N19,3)=100%,$C18*(1+$C19),$C18))*'rNPV Assumptions_Obesity'!$D$42</f>
        <v>0</v>
      </c>
      <c r="P18" s="2231">
        <f>IF(P$10=0,0,IF(ROUND(O19,3)=100%,$C18*(1+$C19),$C18))*'rNPV Assumptions_Obesity'!$D$42</f>
        <v>0</v>
      </c>
      <c r="Q18" s="2231">
        <f>IF(Q$10=0,0,IF(ROUND(P19,3)=100%,$C18*(1+$C19),$C18))*'rNPV Assumptions_Obesity'!$D$42</f>
        <v>0</v>
      </c>
      <c r="R18" s="2231">
        <f>IF(R$10=0,0,IF(ROUND(Q19,3)=100%,$C18*(1+$C19),$C18))*'rNPV Assumptions_Obesity'!$D$42</f>
        <v>0</v>
      </c>
      <c r="S18" s="2231">
        <f>IF(S$10=0,0,IF(ROUND(R19,3)=100%,$C18*(1+$C19),$C18))*'rNPV Assumptions_Obesity'!$D$42</f>
        <v>0</v>
      </c>
      <c r="T18" s="2231">
        <f>IF(T$10=0,0,IF(ROUND(S19,3)=100%,$C18*(1+$C19),$C18))*'rNPV Assumptions_Obesity'!$D$42</f>
        <v>0</v>
      </c>
      <c r="U18" s="2231">
        <f>IF(U$10=0,0,IF(ROUND(T19,3)=100%,$C18*(1+$C19),$C18))*'rNPV Assumptions_Obesity'!$D$42</f>
        <v>0</v>
      </c>
      <c r="V18" s="2231">
        <f>IF(V$10=0,0,IF(ROUND(U19,3)=100%,$C18*(1+$C19),$C18))*'rNPV Assumptions_Obesity'!$D$42</f>
        <v>0</v>
      </c>
      <c r="W18" s="2231">
        <f>IF(W$10=0,0,IF(ROUND(V19,3)=100%,$C18*(1+$C19),$C18))*'rNPV Assumptions_Obesity'!$D$42</f>
        <v>0</v>
      </c>
      <c r="X18" s="2231">
        <f>IF(X$10=0,0,IF(ROUND(W19,3)=100%,$C18*(1+$C19),$C18))*'rNPV Assumptions_Obesity'!$D$42</f>
        <v>0</v>
      </c>
      <c r="Y18" s="2231">
        <f>IF(Y$10=0,0,IF(ROUND(X19,3)=100%,$C18*(1+$C19),$C18))*'rNPV Assumptions_Obesity'!$D$42</f>
        <v>0</v>
      </c>
      <c r="Z18" s="2231">
        <f>IF(Z$10=0,0,IF(ROUND(Y19,3)=100%,$C18*(1+$C19),$C18))*'rNPV Assumptions_Obesity'!$D$42</f>
        <v>0</v>
      </c>
      <c r="AA18" s="2231">
        <f>IF(AA$10=0,0,IF(ROUND(Z19,3)=100%,$C18*(1+$C19),$C18))*'rNPV Assumptions_Obesity'!$D$42</f>
        <v>0</v>
      </c>
      <c r="AB18" s="2231">
        <f>IF(AB$10=0,0,IF(ROUND(AA19,3)=100%,$C18*(1+$C19),$C18))*'rNPV Assumptions_Obesity'!$D$42</f>
        <v>0</v>
      </c>
      <c r="AC18" s="2231">
        <f>IF(AC$10=0,0,IF(ROUND(AB19,3)=100%,$C18*(1+$C19),$C18))*'rNPV Assumptions_Obesity'!$D$42</f>
        <v>0</v>
      </c>
      <c r="AD18" s="2231">
        <f>IF(AD$10=0,0,IF(ROUND(AC19,3)=100%,$C18*(1+$C19),$C18))*'rNPV Assumptions_Obesity'!$D$42</f>
        <v>0</v>
      </c>
      <c r="AE18" s="2231">
        <f>IF(AE$10=0,0,IF(ROUND(AD19,3)=100%,$C18*(1+$C19),$C18))*'rNPV Assumptions_Obesity'!$D$42</f>
        <v>0</v>
      </c>
      <c r="AF18" s="2231">
        <f>IF(AF$10=0,0,IF(ROUND(AE19,3)=100%,$C18*(1+$C19),$C18))*'rNPV Assumptions_Obesity'!$D$42</f>
        <v>0</v>
      </c>
      <c r="AG18" s="2231">
        <f>IF(AG$10=0,0,IF(ROUND(AF19,3)=100%,$C18*(1+$C19),$C18))*'rNPV Assumptions_Obesity'!$D$42</f>
        <v>0</v>
      </c>
    </row>
    <row r="19" spans="1:16383" ht="12.75" customHeight="1">
      <c r="B19" s="2232" t="s">
        <v>2842</v>
      </c>
      <c r="C19" s="2233">
        <f>'rNPV Assumptions_Obesity'!I50</f>
        <v>0.08</v>
      </c>
      <c r="D19" s="2234"/>
      <c r="E19" s="2234"/>
      <c r="F19" s="2235">
        <f>IF(F$10=0,0,IFERROR(HLOOKUP(F$10,'Penetration Curves'!$F$26:$O$34,ROWS('Penetration Curves'!$F$26:$F$34),FALSE),1))</f>
        <v>0</v>
      </c>
      <c r="G19" s="2235">
        <f>IF(G$10=0,0,IFERROR(HLOOKUP(G$10,'Penetration Curves'!$F$26:$O$34,ROWS('Penetration Curves'!$F$26:$F$34),FALSE),1))</f>
        <v>0</v>
      </c>
      <c r="H19" s="2235">
        <f>IF(H$10=0,0,IFERROR(HLOOKUP(H$10,'Penetration Curves'!$F$26:$O$34,ROWS('Penetration Curves'!$F$26:$F$34),FALSE),1))</f>
        <v>0</v>
      </c>
      <c r="I19" s="2235">
        <f>IF(I$10=0,0,IFERROR(HLOOKUP(I$10,'Penetration Curves'!$F$26:$O$34,ROWS('Penetration Curves'!$F$26:$F$34),FALSE),1))</f>
        <v>0</v>
      </c>
      <c r="J19" s="2235">
        <f>IF(J$10=0,0,IFERROR(HLOOKUP(J$10,'Penetration Curves'!$F$26:$O$34,ROWS('Penetration Curves'!$F$26:$F$34),FALSE),1))</f>
        <v>0</v>
      </c>
      <c r="K19" s="2235">
        <f>IF(K$10=0,0,IFERROR(HLOOKUP(K$10,'Penetration Curves'!$F$26:$O$34,ROWS('Penetration Curves'!$F$26:$F$34),FALSE),1))</f>
        <v>0</v>
      </c>
      <c r="L19" s="2235">
        <f>IF(L$10=0,0,IFERROR(HLOOKUP(L$10,'Penetration Curves'!$F$26:$O$34,ROWS('Penetration Curves'!$F$26:$F$34),FALSE),1))</f>
        <v>0</v>
      </c>
      <c r="M19" s="2235">
        <f>IF(M$10=0,0,IFERROR(HLOOKUP(M$10,'Penetration Curves'!$F$26:$O$34,ROWS('Penetration Curves'!$F$26:$F$34),FALSE),1))</f>
        <v>0</v>
      </c>
      <c r="N19" s="2235">
        <f>IF(N$10=0,0,IFERROR(HLOOKUP(N$10,'Penetration Curves'!$F$26:$O$34,ROWS('Penetration Curves'!$F$26:$F$34),FALSE),1))</f>
        <v>0</v>
      </c>
      <c r="O19" s="2235">
        <f>IF(O$10=0,0,IFERROR(HLOOKUP(O$10,'Penetration Curves'!$F$26:$O$34,ROWS('Penetration Curves'!$F$26:$F$34),FALSE),1))</f>
        <v>0</v>
      </c>
      <c r="P19" s="2235">
        <f>IF(P$10=0,0,IFERROR(HLOOKUP(P$10,'Penetration Curves'!$F$26:$O$34,ROWS('Penetration Curves'!$F$26:$F$34),FALSE),1))</f>
        <v>0</v>
      </c>
      <c r="Q19" s="2235">
        <f>IF(Q$10=0,0,IFERROR(HLOOKUP(Q$10,'Penetration Curves'!$F$26:$O$34,ROWS('Penetration Curves'!$F$26:$F$34),FALSE),1))</f>
        <v>0</v>
      </c>
      <c r="R19" s="2235">
        <f>IF(R$10=0,0,IFERROR(HLOOKUP(R$10,'Penetration Curves'!$F$26:$O$34,ROWS('Penetration Curves'!$F$26:$F$34),FALSE),1))</f>
        <v>0</v>
      </c>
      <c r="S19" s="2235">
        <f>IF(S$10=0,0,IFERROR(HLOOKUP(S$10,'Penetration Curves'!$F$26:$O$34,ROWS('Penetration Curves'!$F$26:$F$34),FALSE),1))</f>
        <v>0</v>
      </c>
      <c r="T19" s="2235">
        <f>IF(T$10=0,0,IFERROR(HLOOKUP(T$10,'Penetration Curves'!$F$26:$O$34,ROWS('Penetration Curves'!$F$26:$F$34),FALSE),1))</f>
        <v>4.7790352272814703E-2</v>
      </c>
      <c r="U19" s="2235">
        <f>IF(U$10=0,0,IFERROR(HLOOKUP(U$10,'Penetration Curves'!$F$26:$O$34,ROWS('Penetration Curves'!$F$26:$F$34),FALSE),1))</f>
        <v>0.15865525393145699</v>
      </c>
      <c r="V19" s="2235">
        <f>IF(V$10=0,0,IFERROR(HLOOKUP(V$10,'Penetration Curves'!$F$26:$O$34,ROWS('Penetration Curves'!$F$26:$F$34),FALSE),1))</f>
        <v>0.36944134018176361</v>
      </c>
      <c r="W19" s="2235">
        <f>IF(W$10=0,0,IFERROR(HLOOKUP(W$10,'Penetration Curves'!$F$26:$O$34,ROWS('Penetration Curves'!$F$26:$F$34),FALSE),1))</f>
        <v>0.63055865981823644</v>
      </c>
      <c r="X19" s="2235">
        <f>IF(X$10=0,0,IFERROR(HLOOKUP(X$10,'Penetration Curves'!$F$26:$O$34,ROWS('Penetration Curves'!$F$26:$F$34),FALSE),1))</f>
        <v>0.84134474606854304</v>
      </c>
      <c r="Y19" s="2235">
        <f>IF(Y$10=0,0,IFERROR(HLOOKUP(Y$10,'Penetration Curves'!$F$26:$O$34,ROWS('Penetration Curves'!$F$26:$F$34),FALSE),1))</f>
        <v>0.9522096477271853</v>
      </c>
      <c r="Z19" s="2235">
        <f>IF(Z$10=0,0,IFERROR(HLOOKUP(Z$10,'Penetration Curves'!$F$26:$O$34,ROWS('Penetration Curves'!$F$26:$F$34),FALSE),1))</f>
        <v>0.99018467137135469</v>
      </c>
      <c r="AA19" s="2235">
        <f>IF(AA$10=0,0,IFERROR(HLOOKUP(AA$10,'Penetration Curves'!$F$26:$O$34,ROWS('Penetration Curves'!$F$26:$F$34),FALSE),1))</f>
        <v>0.9986501019683699</v>
      </c>
      <c r="AB19" s="2235">
        <f>IF(AB$10=0,0,IFERROR(HLOOKUP(AB$10,'Penetration Curves'!$F$26:$O$34,ROWS('Penetration Curves'!$F$26:$F$34),FALSE),1))</f>
        <v>0.99987713361003483</v>
      </c>
      <c r="AC19" s="2235">
        <f>IF(AC$10=0,0,IFERROR(HLOOKUP(AC$10,'Penetration Curves'!$F$26:$O$34,ROWS('Penetration Curves'!$F$26:$F$34),FALSE),1))</f>
        <v>0.9999926565761631</v>
      </c>
      <c r="AD19" s="2235">
        <f>IF(AD$10=0,0,IFERROR(HLOOKUP(AD$10,'Penetration Curves'!$F$26:$O$34,ROWS('Penetration Curves'!$F$26:$F$34),FALSE),1))</f>
        <v>0</v>
      </c>
      <c r="AE19" s="2235">
        <f>IF(AE$10=0,0,IFERROR(HLOOKUP(AE$10,'Penetration Curves'!$F$26:$O$34,ROWS('Penetration Curves'!$F$26:$F$34),FALSE),1))</f>
        <v>0</v>
      </c>
      <c r="AF19" s="2235">
        <f>IF(AF$10=0,0,IFERROR(HLOOKUP(AF$10,'Penetration Curves'!$F$26:$O$34,ROWS('Penetration Curves'!$F$26:$F$34),FALSE),1))</f>
        <v>0</v>
      </c>
      <c r="AG19" s="2235">
        <f>IF(AG$10=0,0,IFERROR(HLOOKUP(AG$10,'Penetration Curves'!$F$26:$O$34,ROWS('Penetration Curves'!$F$26:$F$34),FALSE),1))</f>
        <v>0</v>
      </c>
    </row>
    <row r="20" spans="1:16383" ht="12.75" customHeight="1">
      <c r="B20" s="2236" t="s">
        <v>2904</v>
      </c>
      <c r="C20" s="2239"/>
      <c r="F20" s="2237">
        <f t="shared" ref="F20" si="8">F18*F19</f>
        <v>0</v>
      </c>
      <c r="G20" s="2237">
        <f t="shared" ref="G20" si="9">G18*G19</f>
        <v>0</v>
      </c>
      <c r="H20" s="2237">
        <f t="shared" ref="H20" si="10">H18*H19</f>
        <v>0</v>
      </c>
      <c r="I20" s="2237">
        <f t="shared" ref="I20:Q20" si="11">I18*I19</f>
        <v>0</v>
      </c>
      <c r="J20" s="2237">
        <f t="shared" si="11"/>
        <v>0</v>
      </c>
      <c r="K20" s="2237">
        <f t="shared" si="11"/>
        <v>0</v>
      </c>
      <c r="L20" s="2237">
        <f t="shared" si="11"/>
        <v>0</v>
      </c>
      <c r="M20" s="2237">
        <f t="shared" si="11"/>
        <v>0</v>
      </c>
      <c r="N20" s="2237">
        <f t="shared" si="11"/>
        <v>0</v>
      </c>
      <c r="O20" s="2237">
        <f t="shared" si="11"/>
        <v>0</v>
      </c>
      <c r="P20" s="2237">
        <f t="shared" si="11"/>
        <v>0</v>
      </c>
      <c r="Q20" s="2237">
        <f t="shared" si="11"/>
        <v>0</v>
      </c>
      <c r="R20" s="2237">
        <f t="shared" ref="R20:AG20" si="12">R18*R19</f>
        <v>0</v>
      </c>
      <c r="S20" s="2237">
        <f t="shared" si="12"/>
        <v>0</v>
      </c>
      <c r="T20" s="2237">
        <f t="shared" si="12"/>
        <v>0</v>
      </c>
      <c r="U20" s="2237">
        <f t="shared" si="12"/>
        <v>0</v>
      </c>
      <c r="V20" s="2237">
        <f t="shared" si="12"/>
        <v>0</v>
      </c>
      <c r="W20" s="2237">
        <f t="shared" si="12"/>
        <v>0</v>
      </c>
      <c r="X20" s="2237">
        <f t="shared" si="12"/>
        <v>0</v>
      </c>
      <c r="Y20" s="2237">
        <f t="shared" si="12"/>
        <v>0</v>
      </c>
      <c r="Z20" s="2237">
        <f t="shared" si="12"/>
        <v>0</v>
      </c>
      <c r="AA20" s="2237">
        <f t="shared" si="12"/>
        <v>0</v>
      </c>
      <c r="AB20" s="2237">
        <f t="shared" si="12"/>
        <v>0</v>
      </c>
      <c r="AC20" s="2237">
        <f t="shared" si="12"/>
        <v>0</v>
      </c>
      <c r="AD20" s="2237">
        <f t="shared" si="12"/>
        <v>0</v>
      </c>
      <c r="AE20" s="2237">
        <f t="shared" si="12"/>
        <v>0</v>
      </c>
      <c r="AF20" s="2237">
        <f t="shared" si="12"/>
        <v>0</v>
      </c>
      <c r="AG20" s="2237">
        <f t="shared" si="12"/>
        <v>0</v>
      </c>
    </row>
    <row r="21" spans="1:16383" ht="12.75" customHeight="1">
      <c r="B21" s="2236"/>
      <c r="C21" s="2239"/>
      <c r="F21" s="2206"/>
      <c r="G21" s="2206"/>
      <c r="H21" s="2206"/>
      <c r="I21" s="2206"/>
      <c r="J21" s="2206"/>
      <c r="K21" s="2206"/>
      <c r="L21" s="2206"/>
      <c r="M21" s="2206"/>
      <c r="N21" s="2206"/>
      <c r="O21" s="2206"/>
      <c r="P21" s="2206"/>
      <c r="Q21" s="2206"/>
      <c r="R21" s="2206"/>
      <c r="S21" s="2206"/>
      <c r="T21" s="2206"/>
      <c r="U21" s="2206"/>
      <c r="V21" s="2206"/>
      <c r="W21" s="2206"/>
      <c r="X21" s="2206"/>
      <c r="Y21" s="2206"/>
      <c r="Z21" s="2206"/>
      <c r="AA21" s="2206"/>
      <c r="AB21" s="2206"/>
      <c r="AC21" s="2206"/>
      <c r="AD21" s="2206"/>
      <c r="AE21" s="2206"/>
      <c r="AF21" s="2206"/>
      <c r="AG21" s="2206"/>
    </row>
    <row r="22" spans="1:16383" ht="12.75" customHeight="1">
      <c r="B22" s="2236" t="s">
        <v>2905</v>
      </c>
      <c r="C22" s="2239"/>
      <c r="F22" s="2206">
        <f t="shared" ref="F22:AG22" si="13">F20+F15</f>
        <v>0</v>
      </c>
      <c r="G22" s="2206">
        <f t="shared" si="13"/>
        <v>0</v>
      </c>
      <c r="H22" s="2206">
        <f t="shared" si="13"/>
        <v>0</v>
      </c>
      <c r="I22" s="2206">
        <f t="shared" si="13"/>
        <v>0</v>
      </c>
      <c r="J22" s="2206">
        <f t="shared" si="13"/>
        <v>0</v>
      </c>
      <c r="K22" s="2206">
        <f t="shared" si="13"/>
        <v>0</v>
      </c>
      <c r="L22" s="2206">
        <f t="shared" si="13"/>
        <v>0</v>
      </c>
      <c r="M22" s="2206">
        <f t="shared" si="13"/>
        <v>0</v>
      </c>
      <c r="N22" s="2206">
        <f t="shared" si="13"/>
        <v>0</v>
      </c>
      <c r="O22" s="2206">
        <f t="shared" si="13"/>
        <v>0</v>
      </c>
      <c r="P22" s="2206">
        <f t="shared" si="13"/>
        <v>0</v>
      </c>
      <c r="Q22" s="2206">
        <f t="shared" si="13"/>
        <v>0</v>
      </c>
      <c r="R22" s="2206">
        <f t="shared" si="13"/>
        <v>0</v>
      </c>
      <c r="S22" s="2206">
        <f t="shared" si="13"/>
        <v>0</v>
      </c>
      <c r="T22" s="2206">
        <f t="shared" si="13"/>
        <v>35.842764204611029</v>
      </c>
      <c r="U22" s="2206">
        <f t="shared" si="13"/>
        <v>118.99144044859274</v>
      </c>
      <c r="V22" s="2206">
        <f t="shared" si="13"/>
        <v>277.08100513632269</v>
      </c>
      <c r="W22" s="2206">
        <f t="shared" si="13"/>
        <v>472.91899486367731</v>
      </c>
      <c r="X22" s="2206">
        <f t="shared" si="13"/>
        <v>631.0085595514073</v>
      </c>
      <c r="Y22" s="2206">
        <f t="shared" si="13"/>
        <v>714.15723579538894</v>
      </c>
      <c r="Z22" s="2206">
        <f t="shared" si="13"/>
        <v>742.63850352851603</v>
      </c>
      <c r="AA22" s="2206">
        <f t="shared" si="13"/>
        <v>748.98757647627747</v>
      </c>
      <c r="AB22" s="2206">
        <f t="shared" si="13"/>
        <v>749.90785020752617</v>
      </c>
      <c r="AC22" s="2206">
        <f t="shared" si="13"/>
        <v>809.99405182669216</v>
      </c>
      <c r="AD22" s="2206">
        <f t="shared" si="13"/>
        <v>0</v>
      </c>
      <c r="AE22" s="2206">
        <f t="shared" si="13"/>
        <v>0</v>
      </c>
      <c r="AF22" s="2206">
        <f t="shared" si="13"/>
        <v>0</v>
      </c>
      <c r="AG22" s="2206">
        <f t="shared" si="13"/>
        <v>0</v>
      </c>
    </row>
    <row r="23" spans="1:16383" ht="12.75" customHeight="1">
      <c r="B23" s="2236"/>
      <c r="C23" s="2239"/>
      <c r="F23" s="2206"/>
      <c r="G23" s="2206"/>
      <c r="H23" s="2206"/>
      <c r="I23" s="2206"/>
      <c r="J23" s="2206"/>
      <c r="K23" s="2206"/>
      <c r="L23" s="2206"/>
      <c r="M23" s="2206"/>
      <c r="N23" s="2206"/>
      <c r="O23" s="2206"/>
      <c r="P23" s="2206"/>
      <c r="Q23" s="2206"/>
      <c r="R23" s="2206"/>
      <c r="S23" s="2206"/>
      <c r="T23" s="2206"/>
      <c r="U23" s="2206"/>
      <c r="V23" s="2206"/>
      <c r="W23" s="2206"/>
      <c r="X23" s="2206"/>
      <c r="Y23" s="2206"/>
      <c r="Z23" s="2206"/>
      <c r="AA23" s="2206"/>
      <c r="AB23" s="2206"/>
      <c r="AC23" s="2206"/>
      <c r="AD23" s="2206"/>
      <c r="AE23" s="2206"/>
      <c r="AF23" s="2206"/>
      <c r="AG23" s="2206"/>
    </row>
    <row r="24" spans="1:16383" s="1984" customFormat="1" ht="12.75" customHeight="1">
      <c r="A24" s="720"/>
      <c r="B24" s="2236" t="s">
        <v>2930</v>
      </c>
      <c r="C24" s="2239"/>
      <c r="D24" s="720"/>
      <c r="E24" s="720"/>
      <c r="F24" s="2238">
        <f>SUMIF('rNPV Assumptions_Obesity'!$C$13:$C$15,'rNPV Analysis_Obesity'!F8,'rNPV Assumptions_Obesity'!$D$13:$D$15)</f>
        <v>0</v>
      </c>
      <c r="G24" s="2238">
        <f>SUMIF('rNPV Assumptions_Obesity'!$C$13:$C$15,'rNPV Analysis_Obesity'!G8,'rNPV Assumptions_Obesity'!$D$13:$D$15)</f>
        <v>0</v>
      </c>
      <c r="H24" s="2238">
        <f>SUMIF('rNPV Assumptions_Obesity'!$C$13:$C$15,'rNPV Analysis_Obesity'!H8,'rNPV Assumptions_Obesity'!$D$13:$D$15)</f>
        <v>0</v>
      </c>
      <c r="I24" s="2238">
        <f>SUMIF('rNPV Assumptions_Obesity'!$C$13:$C$15,'rNPV Analysis_Obesity'!I8,'rNPV Assumptions_Obesity'!$D$13:$D$15)</f>
        <v>0</v>
      </c>
      <c r="J24" s="2238">
        <f>SUMIF('rNPV Assumptions_Obesity'!$C$13:$C$15,'rNPV Analysis_Obesity'!J8,'rNPV Assumptions_Obesity'!$D$13:$D$15)</f>
        <v>6.5</v>
      </c>
      <c r="K24" s="2238">
        <f>SUMIF('rNPV Assumptions_Obesity'!$C$13:$C$15,'rNPV Analysis_Obesity'!K8,'rNPV Assumptions_Obesity'!$D$13:$D$15)</f>
        <v>3</v>
      </c>
      <c r="L24" s="2238">
        <f>SUMIF('rNPV Assumptions_Obesity'!$C$13:$C$15,'rNPV Analysis_Obesity'!L8,'rNPV Assumptions_Obesity'!$D$13:$D$15)</f>
        <v>0</v>
      </c>
      <c r="M24" s="2238">
        <f>SUMIF('rNPV Assumptions_Obesity'!$C$13:$C$15,'rNPV Analysis_Obesity'!M8,'rNPV Assumptions_Obesity'!$D$13:$D$15)</f>
        <v>0</v>
      </c>
      <c r="N24" s="2238">
        <f>SUMIF('rNPV Assumptions_Obesity'!$C$13:$C$15,'rNPV Analysis_Obesity'!N8,'rNPV Assumptions_Obesity'!$D$13:$D$15)</f>
        <v>0</v>
      </c>
      <c r="O24" s="2238">
        <f>SUMIF('rNPV Assumptions_Obesity'!$C$13:$C$15,'rNPV Analysis_Obesity'!O8,'rNPV Assumptions_Obesity'!$D$13:$D$15)</f>
        <v>0</v>
      </c>
      <c r="P24" s="2238">
        <f>SUMIF('rNPV Assumptions_Obesity'!$C$13:$C$15,'rNPV Analysis_Obesity'!P8,'rNPV Assumptions_Obesity'!$D$13:$D$15)</f>
        <v>0</v>
      </c>
      <c r="Q24" s="2238">
        <f>SUMIF('rNPV Assumptions_Obesity'!$C$13:$C$15,'rNPV Analysis_Obesity'!Q8,'rNPV Assumptions_Obesity'!$D$13:$D$15)</f>
        <v>0</v>
      </c>
      <c r="R24" s="2238">
        <f>SUMIF('rNPV Assumptions_Obesity'!$C$13:$C$15,'rNPV Analysis_Obesity'!R8,'rNPV Assumptions_Obesity'!$D$13:$D$15)</f>
        <v>0</v>
      </c>
      <c r="S24" s="2238">
        <f>SUMIF('rNPV Assumptions_Obesity'!$C$13:$C$15,'rNPV Analysis_Obesity'!S8,'rNPV Assumptions_Obesity'!$D$13:$D$15)</f>
        <v>0</v>
      </c>
      <c r="T24" s="2238">
        <f>SUMIF('rNPV Assumptions_Obesity'!$C$13:$C$15,'rNPV Analysis_Obesity'!T8,'rNPV Assumptions_Obesity'!$D$13:$D$15)</f>
        <v>0</v>
      </c>
      <c r="U24" s="2238">
        <f>SUMIF('rNPV Assumptions_Obesity'!$C$13:$C$15,'rNPV Analysis_Obesity'!U8,'rNPV Assumptions_Obesity'!$D$13:$D$15)</f>
        <v>0</v>
      </c>
      <c r="V24" s="2238">
        <f>SUMIF('rNPV Assumptions_Obesity'!$C$13:$C$15,'rNPV Analysis_Obesity'!V8,'rNPV Assumptions_Obesity'!$D$13:$D$15)</f>
        <v>0</v>
      </c>
      <c r="W24" s="2238">
        <f>SUMIF('rNPV Assumptions_Obesity'!$C$13:$C$15,'rNPV Analysis_Obesity'!W8,'rNPV Assumptions_Obesity'!$D$13:$D$15)</f>
        <v>0</v>
      </c>
      <c r="X24" s="2238">
        <f>SUMIF('rNPV Assumptions_Obesity'!$C$13:$C$15,'rNPV Analysis_Obesity'!X8,'rNPV Assumptions_Obesity'!$D$13:$D$15)</f>
        <v>0</v>
      </c>
      <c r="Y24" s="2238">
        <f>SUMIF('rNPV Assumptions_Obesity'!$C$13:$C$15,'rNPV Analysis_Obesity'!Y8,'rNPV Assumptions_Obesity'!$D$13:$D$15)</f>
        <v>0</v>
      </c>
      <c r="Z24" s="2238">
        <f>SUMIF('rNPV Assumptions_Obesity'!$C$13:$C$15,'rNPV Analysis_Obesity'!Z8,'rNPV Assumptions_Obesity'!$D$13:$D$15)</f>
        <v>0</v>
      </c>
      <c r="AA24" s="2238">
        <f>SUMIF('rNPV Assumptions_Obesity'!$C$13:$C$15,'rNPV Analysis_Obesity'!AA8,'rNPV Assumptions_Obesity'!$D$13:$D$15)</f>
        <v>0</v>
      </c>
      <c r="AB24" s="2238">
        <f>SUMIF('rNPV Assumptions_Obesity'!$C$13:$C$15,'rNPV Analysis_Obesity'!AB8,'rNPV Assumptions_Obesity'!$D$13:$D$15)</f>
        <v>0</v>
      </c>
      <c r="AC24" s="2238">
        <f>SUMIF('rNPV Assumptions_Obesity'!$C$13:$C$15,'rNPV Analysis_Obesity'!AC8,'rNPV Assumptions_Obesity'!$D$13:$D$15)</f>
        <v>0</v>
      </c>
      <c r="AD24" s="2238">
        <f>SUMIF('rNPV Assumptions_Obesity'!$C$13:$C$15,'rNPV Analysis_Obesity'!AD8,'rNPV Assumptions_Obesity'!$D$13:$D$15)</f>
        <v>0</v>
      </c>
      <c r="AE24" s="2238">
        <f>SUMIF('rNPV Assumptions_Obesity'!$C$13:$C$15,'rNPV Analysis_Obesity'!AE8,'rNPV Assumptions_Obesity'!$D$13:$D$15)</f>
        <v>0</v>
      </c>
      <c r="AF24" s="2238">
        <f>SUMIF('rNPV Assumptions_Obesity'!$C$13:$C$15,'rNPV Analysis_Obesity'!AF8,'rNPV Assumptions_Obesity'!$D$13:$D$15)</f>
        <v>0</v>
      </c>
      <c r="AG24" s="2238">
        <f>SUMIF('rNPV Assumptions_Obesity'!$C$13:$C$15,'rNPV Analysis_Obesity'!AG8,'rNPV Assumptions_Obesity'!$D$13:$D$15)</f>
        <v>0</v>
      </c>
      <c r="AH24" s="720"/>
      <c r="AI24" s="720"/>
      <c r="AJ24" s="720"/>
      <c r="AK24" s="720"/>
      <c r="AL24" s="720"/>
      <c r="AM24" s="720"/>
      <c r="AN24" s="720"/>
      <c r="AO24" s="720"/>
      <c r="AP24" s="720"/>
      <c r="AQ24" s="720"/>
      <c r="AR24" s="720"/>
      <c r="AS24" s="720"/>
      <c r="AT24" s="720"/>
      <c r="AU24" s="720"/>
      <c r="AV24" s="720"/>
      <c r="AW24" s="720"/>
      <c r="AX24" s="720"/>
      <c r="AY24" s="720"/>
      <c r="AZ24" s="720"/>
      <c r="BA24" s="720"/>
      <c r="BB24" s="720"/>
      <c r="BC24" s="720"/>
      <c r="BD24" s="720"/>
      <c r="BE24" s="720"/>
      <c r="BF24" s="720"/>
      <c r="BG24" s="720"/>
      <c r="BH24" s="720"/>
      <c r="BI24" s="720"/>
      <c r="BJ24" s="720"/>
      <c r="BK24" s="720"/>
      <c r="BL24" s="720"/>
      <c r="BM24" s="720"/>
      <c r="BN24" s="720"/>
      <c r="BO24" s="720"/>
      <c r="BP24" s="720"/>
      <c r="BQ24" s="720"/>
      <c r="BR24" s="720"/>
      <c r="BS24" s="720"/>
      <c r="BT24" s="720"/>
      <c r="BU24" s="720"/>
      <c r="BV24" s="720"/>
      <c r="BW24" s="720"/>
      <c r="BX24" s="720"/>
      <c r="BY24" s="720"/>
      <c r="BZ24" s="720"/>
      <c r="CA24" s="720"/>
      <c r="CB24" s="720"/>
      <c r="CC24" s="720"/>
      <c r="CD24" s="720"/>
      <c r="CE24" s="720"/>
      <c r="CF24" s="720"/>
      <c r="CG24" s="720"/>
      <c r="CH24" s="720"/>
      <c r="CI24" s="720"/>
      <c r="CJ24" s="720"/>
      <c r="CK24" s="720"/>
      <c r="CL24" s="720"/>
      <c r="CM24" s="720"/>
      <c r="CN24" s="720"/>
      <c r="CO24" s="720"/>
      <c r="CP24" s="720"/>
      <c r="CQ24" s="720"/>
      <c r="CR24" s="720"/>
      <c r="CS24" s="720"/>
      <c r="CT24" s="720"/>
      <c r="CU24" s="720"/>
      <c r="CV24" s="720"/>
      <c r="CW24" s="720"/>
      <c r="CX24" s="720"/>
      <c r="CY24" s="720"/>
      <c r="CZ24" s="720"/>
      <c r="DA24" s="720"/>
      <c r="DB24" s="720"/>
      <c r="DC24" s="720"/>
      <c r="DD24" s="720"/>
      <c r="DE24" s="720"/>
      <c r="DF24" s="720"/>
      <c r="DG24" s="720"/>
      <c r="DH24" s="720"/>
      <c r="DI24" s="720"/>
      <c r="DJ24" s="720"/>
      <c r="DK24" s="720"/>
      <c r="DL24" s="720"/>
      <c r="DM24" s="720"/>
      <c r="DN24" s="720"/>
      <c r="DO24" s="720"/>
      <c r="DP24" s="720"/>
      <c r="DQ24" s="720"/>
      <c r="DR24" s="720"/>
      <c r="DS24" s="720"/>
      <c r="DT24" s="720"/>
      <c r="DU24" s="720"/>
      <c r="DV24" s="720"/>
      <c r="DW24" s="720"/>
      <c r="DX24" s="720"/>
      <c r="DY24" s="720"/>
      <c r="DZ24" s="720"/>
      <c r="EA24" s="720"/>
      <c r="EB24" s="720"/>
      <c r="EC24" s="720"/>
      <c r="ED24" s="720"/>
      <c r="EE24" s="720"/>
      <c r="EF24" s="720"/>
      <c r="EG24" s="720"/>
      <c r="EH24" s="720"/>
      <c r="EI24" s="720"/>
      <c r="EJ24" s="720"/>
      <c r="EK24" s="720"/>
      <c r="EL24" s="720"/>
      <c r="EM24" s="720"/>
      <c r="EN24" s="720"/>
      <c r="EO24" s="720"/>
      <c r="EP24" s="720"/>
      <c r="EQ24" s="720"/>
      <c r="ER24" s="720"/>
      <c r="ES24" s="720"/>
      <c r="ET24" s="720"/>
      <c r="EU24" s="720"/>
      <c r="EV24" s="720"/>
      <c r="EW24" s="720"/>
      <c r="EX24" s="720"/>
      <c r="EY24" s="720"/>
      <c r="EZ24" s="720"/>
      <c r="FA24" s="720"/>
      <c r="FB24" s="720"/>
      <c r="FC24" s="720"/>
      <c r="FD24" s="720"/>
      <c r="FE24" s="720"/>
      <c r="FF24" s="720"/>
      <c r="FG24" s="720"/>
      <c r="FH24" s="720"/>
      <c r="FI24" s="720"/>
      <c r="FJ24" s="720"/>
      <c r="FK24" s="720"/>
      <c r="FL24" s="720"/>
      <c r="FM24" s="720"/>
      <c r="FN24" s="720"/>
      <c r="FO24" s="720"/>
      <c r="FP24" s="720"/>
      <c r="FQ24" s="720"/>
      <c r="FR24" s="720"/>
      <c r="FS24" s="720"/>
      <c r="FT24" s="720"/>
      <c r="FU24" s="720"/>
      <c r="FV24" s="720"/>
      <c r="FW24" s="720"/>
      <c r="FX24" s="720"/>
      <c r="FY24" s="720"/>
      <c r="FZ24" s="720"/>
      <c r="GA24" s="720"/>
      <c r="GB24" s="720"/>
      <c r="GC24" s="720"/>
      <c r="GD24" s="720"/>
      <c r="GE24" s="720"/>
      <c r="GF24" s="720"/>
      <c r="GG24" s="720"/>
      <c r="GH24" s="720"/>
      <c r="GI24" s="720"/>
      <c r="GJ24" s="720"/>
      <c r="GK24" s="720"/>
      <c r="GL24" s="720"/>
      <c r="GM24" s="720"/>
      <c r="GN24" s="720"/>
      <c r="GO24" s="720"/>
      <c r="GP24" s="720"/>
      <c r="GQ24" s="720"/>
      <c r="GR24" s="720"/>
      <c r="GS24" s="720"/>
      <c r="GT24" s="720"/>
      <c r="GU24" s="720"/>
      <c r="GV24" s="720"/>
      <c r="GW24" s="720"/>
      <c r="GX24" s="720"/>
      <c r="GY24" s="720"/>
      <c r="GZ24" s="720"/>
      <c r="HA24" s="720"/>
      <c r="HB24" s="720"/>
      <c r="HC24" s="720"/>
      <c r="HD24" s="720"/>
      <c r="HE24" s="720"/>
      <c r="HF24" s="720"/>
      <c r="HG24" s="720"/>
      <c r="HH24" s="720"/>
      <c r="HI24" s="720"/>
      <c r="HJ24" s="720"/>
      <c r="HK24" s="720"/>
      <c r="HL24" s="720"/>
      <c r="HM24" s="720"/>
      <c r="HN24" s="720"/>
      <c r="HO24" s="720"/>
      <c r="HP24" s="720"/>
      <c r="HQ24" s="720"/>
      <c r="HR24" s="720"/>
      <c r="HS24" s="720"/>
      <c r="HT24" s="720"/>
      <c r="HU24" s="720"/>
      <c r="HV24" s="720"/>
      <c r="HW24" s="720"/>
      <c r="HX24" s="720"/>
      <c r="HY24" s="720"/>
      <c r="HZ24" s="720"/>
      <c r="IA24" s="720"/>
      <c r="IB24" s="720"/>
      <c r="IC24" s="720"/>
      <c r="ID24" s="720"/>
      <c r="IE24" s="720"/>
      <c r="IF24" s="720"/>
      <c r="IG24" s="720"/>
      <c r="IH24" s="720"/>
      <c r="II24" s="720"/>
      <c r="IJ24" s="720"/>
      <c r="IK24" s="720"/>
      <c r="IL24" s="720"/>
      <c r="IM24" s="720"/>
      <c r="IN24" s="720"/>
      <c r="IO24" s="720"/>
      <c r="IP24" s="720"/>
      <c r="IQ24" s="720"/>
      <c r="IR24" s="720"/>
      <c r="IS24" s="720"/>
      <c r="IT24" s="720"/>
      <c r="IU24" s="720"/>
      <c r="IV24" s="720"/>
      <c r="IW24" s="720"/>
      <c r="IX24" s="720"/>
      <c r="IY24" s="720"/>
      <c r="IZ24" s="720"/>
      <c r="JA24" s="720"/>
      <c r="JB24" s="720"/>
      <c r="JC24" s="720"/>
      <c r="JD24" s="720"/>
      <c r="JE24" s="720"/>
      <c r="JF24" s="720"/>
      <c r="JG24" s="720"/>
      <c r="JH24" s="720"/>
      <c r="JI24" s="720"/>
      <c r="JJ24" s="720"/>
      <c r="JK24" s="720"/>
      <c r="JL24" s="720"/>
      <c r="JM24" s="720"/>
      <c r="JN24" s="720"/>
      <c r="JO24" s="720"/>
      <c r="JP24" s="720"/>
      <c r="JQ24" s="720"/>
      <c r="JR24" s="720"/>
      <c r="JS24" s="720"/>
      <c r="JT24" s="720"/>
      <c r="JU24" s="720"/>
      <c r="JV24" s="720"/>
      <c r="JW24" s="720"/>
      <c r="JX24" s="720"/>
      <c r="JY24" s="720"/>
      <c r="JZ24" s="720"/>
      <c r="KA24" s="720"/>
      <c r="KB24" s="720"/>
      <c r="KC24" s="720"/>
      <c r="KD24" s="720"/>
      <c r="KE24" s="720"/>
      <c r="KF24" s="720"/>
      <c r="KG24" s="720"/>
      <c r="KH24" s="720"/>
      <c r="KI24" s="720"/>
      <c r="KJ24" s="720"/>
      <c r="KK24" s="720"/>
      <c r="KL24" s="720"/>
      <c r="KM24" s="720"/>
      <c r="KN24" s="720"/>
      <c r="KO24" s="720"/>
      <c r="KP24" s="720"/>
      <c r="KQ24" s="720"/>
      <c r="KR24" s="720"/>
      <c r="KS24" s="720"/>
      <c r="KT24" s="720"/>
      <c r="KU24" s="720"/>
      <c r="KV24" s="720"/>
      <c r="KW24" s="720"/>
      <c r="KX24" s="720"/>
      <c r="KY24" s="720"/>
      <c r="KZ24" s="720"/>
      <c r="LA24" s="720"/>
      <c r="LB24" s="720"/>
      <c r="LC24" s="720"/>
      <c r="LD24" s="720"/>
      <c r="LE24" s="720"/>
      <c r="LF24" s="720"/>
      <c r="LG24" s="720"/>
      <c r="LH24" s="720"/>
      <c r="LI24" s="720"/>
      <c r="LJ24" s="720"/>
      <c r="LK24" s="720"/>
      <c r="LL24" s="720"/>
      <c r="LM24" s="720"/>
      <c r="LN24" s="720"/>
      <c r="LO24" s="720"/>
      <c r="LP24" s="720"/>
      <c r="LQ24" s="720"/>
      <c r="LR24" s="720"/>
      <c r="LS24" s="720"/>
      <c r="LT24" s="720"/>
      <c r="LU24" s="720"/>
      <c r="LV24" s="720"/>
      <c r="LW24" s="720"/>
      <c r="LX24" s="720"/>
      <c r="LY24" s="720"/>
      <c r="LZ24" s="720"/>
      <c r="MA24" s="720"/>
      <c r="MB24" s="720"/>
      <c r="MC24" s="720"/>
      <c r="MD24" s="720"/>
      <c r="ME24" s="720"/>
      <c r="MF24" s="720"/>
      <c r="MG24" s="720"/>
      <c r="MH24" s="720"/>
      <c r="MI24" s="720"/>
      <c r="MJ24" s="720"/>
      <c r="MK24" s="720"/>
      <c r="ML24" s="720"/>
      <c r="MM24" s="720"/>
      <c r="MN24" s="720"/>
      <c r="MO24" s="720"/>
      <c r="MP24" s="720"/>
      <c r="MQ24" s="720"/>
      <c r="MR24" s="720"/>
      <c r="MS24" s="720"/>
      <c r="MT24" s="720"/>
      <c r="MU24" s="720"/>
      <c r="MV24" s="720"/>
      <c r="MW24" s="720"/>
      <c r="MX24" s="720"/>
      <c r="MY24" s="720"/>
      <c r="MZ24" s="720"/>
      <c r="NA24" s="720"/>
      <c r="NB24" s="720"/>
      <c r="NC24" s="720"/>
      <c r="ND24" s="720"/>
      <c r="NE24" s="720"/>
      <c r="NF24" s="720"/>
      <c r="NG24" s="720"/>
      <c r="NH24" s="720"/>
      <c r="NI24" s="720"/>
      <c r="NJ24" s="720"/>
      <c r="NK24" s="720"/>
      <c r="NL24" s="720"/>
      <c r="NM24" s="720"/>
      <c r="NN24" s="720"/>
      <c r="NO24" s="720"/>
      <c r="NP24" s="720"/>
      <c r="NQ24" s="720"/>
      <c r="NR24" s="720"/>
      <c r="NS24" s="720"/>
      <c r="NT24" s="720"/>
      <c r="NU24" s="720"/>
      <c r="NV24" s="720"/>
      <c r="NW24" s="720"/>
      <c r="NX24" s="720"/>
      <c r="NY24" s="720"/>
      <c r="NZ24" s="720"/>
      <c r="OA24" s="720"/>
      <c r="OB24" s="720"/>
      <c r="OC24" s="720"/>
      <c r="OD24" s="720"/>
      <c r="OE24" s="720"/>
      <c r="OF24" s="720"/>
      <c r="OG24" s="720"/>
      <c r="OH24" s="720"/>
      <c r="OI24" s="720"/>
      <c r="OJ24" s="720"/>
      <c r="OK24" s="720"/>
      <c r="OL24" s="720"/>
      <c r="OM24" s="720"/>
      <c r="ON24" s="720"/>
      <c r="OO24" s="720"/>
      <c r="OP24" s="720"/>
      <c r="OQ24" s="720"/>
      <c r="OR24" s="720"/>
      <c r="OS24" s="720"/>
      <c r="OT24" s="720"/>
      <c r="OU24" s="720"/>
      <c r="OV24" s="720"/>
      <c r="OW24" s="720"/>
      <c r="OX24" s="720"/>
      <c r="OY24" s="720"/>
      <c r="OZ24" s="720"/>
      <c r="PA24" s="720"/>
      <c r="PB24" s="720"/>
      <c r="PC24" s="720"/>
      <c r="PD24" s="720"/>
      <c r="PE24" s="720"/>
      <c r="PF24" s="720"/>
      <c r="PG24" s="720"/>
      <c r="PH24" s="720"/>
      <c r="PI24" s="720"/>
      <c r="PJ24" s="720"/>
      <c r="PK24" s="720"/>
      <c r="PL24" s="720"/>
      <c r="PM24" s="720"/>
      <c r="PN24" s="720"/>
      <c r="PO24" s="720"/>
      <c r="PP24" s="720"/>
      <c r="PQ24" s="720"/>
      <c r="PR24" s="720"/>
      <c r="PS24" s="720"/>
      <c r="PT24" s="720"/>
      <c r="PU24" s="720"/>
      <c r="PV24" s="720"/>
      <c r="PW24" s="720"/>
      <c r="PX24" s="720"/>
      <c r="PY24" s="720"/>
      <c r="PZ24" s="720"/>
      <c r="QA24" s="720"/>
      <c r="QB24" s="720"/>
      <c r="QC24" s="720"/>
      <c r="QD24" s="720"/>
      <c r="QE24" s="720"/>
      <c r="QF24" s="720"/>
      <c r="QG24" s="720"/>
      <c r="QH24" s="720"/>
      <c r="QI24" s="720"/>
      <c r="QJ24" s="720"/>
      <c r="QK24" s="720"/>
      <c r="QL24" s="720"/>
      <c r="QM24" s="720"/>
      <c r="QN24" s="720"/>
      <c r="QO24" s="720"/>
      <c r="QP24" s="720"/>
      <c r="QQ24" s="720"/>
      <c r="QR24" s="720"/>
      <c r="QS24" s="720"/>
      <c r="QT24" s="720"/>
      <c r="QU24" s="720"/>
      <c r="QV24" s="720"/>
      <c r="QW24" s="720"/>
      <c r="QX24" s="720"/>
      <c r="QY24" s="720"/>
      <c r="QZ24" s="720"/>
      <c r="RA24" s="720"/>
      <c r="RB24" s="720"/>
      <c r="RC24" s="720"/>
      <c r="RD24" s="720"/>
      <c r="RE24" s="720"/>
      <c r="RF24" s="720"/>
      <c r="RG24" s="720"/>
      <c r="RH24" s="720"/>
      <c r="RI24" s="720"/>
      <c r="RJ24" s="720"/>
      <c r="RK24" s="720"/>
      <c r="RL24" s="720"/>
      <c r="RM24" s="720"/>
      <c r="RN24" s="720"/>
      <c r="RO24" s="720"/>
      <c r="RP24" s="720"/>
      <c r="RQ24" s="720"/>
      <c r="RR24" s="720"/>
      <c r="RS24" s="720"/>
      <c r="RT24" s="720"/>
      <c r="RU24" s="720"/>
      <c r="RV24" s="720"/>
      <c r="RW24" s="720"/>
      <c r="RX24" s="720"/>
      <c r="RY24" s="720"/>
      <c r="RZ24" s="720"/>
      <c r="SA24" s="720"/>
      <c r="SB24" s="720"/>
      <c r="SC24" s="720"/>
      <c r="SD24" s="720"/>
      <c r="SE24" s="720"/>
      <c r="SF24" s="720"/>
      <c r="SG24" s="720"/>
      <c r="SH24" s="720"/>
      <c r="SI24" s="720"/>
      <c r="SJ24" s="720"/>
      <c r="SK24" s="720"/>
      <c r="SL24" s="720"/>
      <c r="SM24" s="720"/>
      <c r="SN24" s="720"/>
      <c r="SO24" s="720"/>
      <c r="SP24" s="720"/>
      <c r="SQ24" s="720"/>
      <c r="SR24" s="720"/>
      <c r="SS24" s="720"/>
      <c r="ST24" s="720"/>
      <c r="SU24" s="720"/>
      <c r="SV24" s="720"/>
      <c r="SW24" s="720"/>
      <c r="SX24" s="720"/>
      <c r="SY24" s="720"/>
      <c r="SZ24" s="720"/>
      <c r="TA24" s="720"/>
      <c r="TB24" s="720"/>
      <c r="TC24" s="720"/>
      <c r="TD24" s="720"/>
      <c r="TE24" s="720"/>
      <c r="TF24" s="720"/>
      <c r="TG24" s="720"/>
      <c r="TH24" s="720"/>
      <c r="TI24" s="720"/>
      <c r="TJ24" s="720"/>
      <c r="TK24" s="720"/>
      <c r="TL24" s="720"/>
      <c r="TM24" s="720"/>
      <c r="TN24" s="720"/>
      <c r="TO24" s="720"/>
      <c r="TP24" s="720"/>
      <c r="TQ24" s="720"/>
      <c r="TR24" s="720"/>
      <c r="TS24" s="720"/>
      <c r="TT24" s="720"/>
      <c r="TU24" s="720"/>
      <c r="TV24" s="720"/>
      <c r="TW24" s="720"/>
      <c r="TX24" s="720"/>
      <c r="TY24" s="720"/>
      <c r="TZ24" s="720"/>
      <c r="UA24" s="720"/>
      <c r="UB24" s="720"/>
      <c r="UC24" s="720"/>
      <c r="UD24" s="720"/>
      <c r="UE24" s="720"/>
      <c r="UF24" s="720"/>
      <c r="UG24" s="720"/>
      <c r="UH24" s="720"/>
      <c r="UI24" s="720"/>
      <c r="UJ24" s="720"/>
      <c r="UK24" s="720"/>
      <c r="UL24" s="720"/>
      <c r="UM24" s="720"/>
      <c r="UN24" s="720"/>
      <c r="UO24" s="720"/>
      <c r="UP24" s="720"/>
      <c r="UQ24" s="720"/>
      <c r="UR24" s="720"/>
      <c r="US24" s="720"/>
      <c r="UT24" s="720"/>
      <c r="UU24" s="720"/>
      <c r="UV24" s="720"/>
      <c r="UW24" s="720"/>
      <c r="UX24" s="720"/>
      <c r="UY24" s="720"/>
      <c r="UZ24" s="720"/>
      <c r="VA24" s="720"/>
      <c r="VB24" s="720"/>
      <c r="VC24" s="720"/>
      <c r="VD24" s="720"/>
      <c r="VE24" s="720"/>
      <c r="VF24" s="720"/>
      <c r="VG24" s="720"/>
      <c r="VH24" s="720"/>
      <c r="VI24" s="720"/>
      <c r="VJ24" s="720"/>
      <c r="VK24" s="720"/>
      <c r="VL24" s="720"/>
      <c r="VM24" s="720"/>
      <c r="VN24" s="720"/>
      <c r="VO24" s="720"/>
      <c r="VP24" s="720"/>
      <c r="VQ24" s="720"/>
      <c r="VR24" s="720"/>
      <c r="VS24" s="720"/>
      <c r="VT24" s="720"/>
      <c r="VU24" s="720"/>
      <c r="VV24" s="720"/>
      <c r="VW24" s="720"/>
      <c r="VX24" s="720"/>
      <c r="VY24" s="720"/>
      <c r="VZ24" s="720"/>
      <c r="WA24" s="720"/>
      <c r="WB24" s="720"/>
      <c r="WC24" s="720"/>
      <c r="WD24" s="720"/>
      <c r="WE24" s="720"/>
      <c r="WF24" s="720"/>
      <c r="WG24" s="720"/>
      <c r="WH24" s="720"/>
      <c r="WI24" s="720"/>
      <c r="WJ24" s="720"/>
      <c r="WK24" s="720"/>
      <c r="WL24" s="720"/>
      <c r="WM24" s="720"/>
      <c r="WN24" s="720"/>
      <c r="WO24" s="720"/>
      <c r="WP24" s="720"/>
      <c r="WQ24" s="720"/>
      <c r="WR24" s="720"/>
      <c r="WS24" s="720"/>
      <c r="WT24" s="720"/>
      <c r="WU24" s="720"/>
      <c r="WV24" s="720"/>
      <c r="WW24" s="720"/>
      <c r="WX24" s="720"/>
      <c r="WY24" s="720"/>
      <c r="WZ24" s="720"/>
      <c r="XA24" s="720"/>
      <c r="XB24" s="720"/>
      <c r="XC24" s="720"/>
      <c r="XD24" s="720"/>
      <c r="XE24" s="720"/>
      <c r="XF24" s="720"/>
      <c r="XG24" s="720"/>
      <c r="XH24" s="720"/>
      <c r="XI24" s="720"/>
      <c r="XJ24" s="720"/>
      <c r="XK24" s="720"/>
      <c r="XL24" s="720"/>
      <c r="XM24" s="720"/>
      <c r="XN24" s="720"/>
      <c r="XO24" s="720"/>
      <c r="XP24" s="720"/>
      <c r="XQ24" s="720"/>
      <c r="XR24" s="720"/>
      <c r="XS24" s="720"/>
      <c r="XT24" s="720"/>
      <c r="XU24" s="720"/>
      <c r="XV24" s="720"/>
      <c r="XW24" s="720"/>
      <c r="XX24" s="720"/>
      <c r="XY24" s="720"/>
      <c r="XZ24" s="720"/>
      <c r="YA24" s="720"/>
      <c r="YB24" s="720"/>
      <c r="YC24" s="720"/>
      <c r="YD24" s="720"/>
      <c r="YE24" s="720"/>
      <c r="YF24" s="720"/>
      <c r="YG24" s="720"/>
      <c r="YH24" s="720"/>
      <c r="YI24" s="720"/>
      <c r="YJ24" s="720"/>
      <c r="YK24" s="720"/>
      <c r="YL24" s="720"/>
      <c r="YM24" s="720"/>
      <c r="YN24" s="720"/>
      <c r="YO24" s="720"/>
      <c r="YP24" s="720"/>
      <c r="YQ24" s="720"/>
      <c r="YR24" s="720"/>
      <c r="YS24" s="720"/>
      <c r="YT24" s="720"/>
      <c r="YU24" s="720"/>
      <c r="YV24" s="720"/>
      <c r="YW24" s="720"/>
      <c r="YX24" s="720"/>
      <c r="YY24" s="720"/>
      <c r="YZ24" s="720"/>
      <c r="ZA24" s="720"/>
      <c r="ZB24" s="720"/>
      <c r="ZC24" s="720"/>
      <c r="ZD24" s="720"/>
      <c r="ZE24" s="720"/>
      <c r="ZF24" s="720"/>
      <c r="ZG24" s="720"/>
      <c r="ZH24" s="720"/>
      <c r="ZI24" s="720"/>
      <c r="ZJ24" s="720"/>
      <c r="ZK24" s="720"/>
      <c r="ZL24" s="720"/>
      <c r="ZM24" s="720"/>
      <c r="ZN24" s="720"/>
      <c r="ZO24" s="720"/>
      <c r="ZP24" s="720"/>
      <c r="ZQ24" s="720"/>
      <c r="ZR24" s="720"/>
      <c r="ZS24" s="720"/>
      <c r="ZT24" s="720"/>
      <c r="ZU24" s="720"/>
      <c r="ZV24" s="720"/>
      <c r="ZW24" s="720"/>
      <c r="ZX24" s="720"/>
      <c r="ZY24" s="720"/>
      <c r="ZZ24" s="720"/>
      <c r="AAA24" s="720"/>
      <c r="AAB24" s="720"/>
      <c r="AAC24" s="720"/>
      <c r="AAD24" s="720"/>
      <c r="AAE24" s="720"/>
      <c r="AAF24" s="720"/>
      <c r="AAG24" s="720"/>
      <c r="AAH24" s="720"/>
      <c r="AAI24" s="720"/>
      <c r="AAJ24" s="720"/>
      <c r="AAK24" s="720"/>
      <c r="AAL24" s="720"/>
      <c r="AAM24" s="720"/>
      <c r="AAN24" s="720"/>
      <c r="AAO24" s="720"/>
      <c r="AAP24" s="720"/>
      <c r="AAQ24" s="720"/>
      <c r="AAR24" s="720"/>
      <c r="AAS24" s="720"/>
      <c r="AAT24" s="720"/>
      <c r="AAU24" s="720"/>
      <c r="AAV24" s="720"/>
      <c r="AAW24" s="720"/>
      <c r="AAX24" s="720"/>
      <c r="AAY24" s="720"/>
      <c r="AAZ24" s="720"/>
      <c r="ABA24" s="720"/>
      <c r="ABB24" s="720"/>
      <c r="ABC24" s="720"/>
      <c r="ABD24" s="720"/>
      <c r="ABE24" s="720"/>
      <c r="ABF24" s="720"/>
      <c r="ABG24" s="720"/>
      <c r="ABH24" s="720"/>
      <c r="ABI24" s="720"/>
      <c r="ABJ24" s="720"/>
      <c r="ABK24" s="720"/>
      <c r="ABL24" s="720"/>
      <c r="ABM24" s="720"/>
      <c r="ABN24" s="720"/>
      <c r="ABO24" s="720"/>
      <c r="ABP24" s="720"/>
      <c r="ABQ24" s="720"/>
      <c r="ABR24" s="720"/>
      <c r="ABS24" s="720"/>
      <c r="ABT24" s="720"/>
      <c r="ABU24" s="720"/>
      <c r="ABV24" s="720"/>
      <c r="ABW24" s="720"/>
      <c r="ABX24" s="720"/>
      <c r="ABY24" s="720"/>
      <c r="ABZ24" s="720"/>
      <c r="ACA24" s="720"/>
      <c r="ACB24" s="720"/>
      <c r="ACC24" s="720"/>
      <c r="ACD24" s="720"/>
      <c r="ACE24" s="720"/>
      <c r="ACF24" s="720"/>
      <c r="ACG24" s="720"/>
      <c r="ACH24" s="720"/>
      <c r="ACI24" s="720"/>
      <c r="ACJ24" s="720"/>
      <c r="ACK24" s="720"/>
      <c r="ACL24" s="720"/>
      <c r="ACM24" s="720"/>
      <c r="ACN24" s="720"/>
      <c r="ACO24" s="720"/>
      <c r="ACP24" s="720"/>
      <c r="ACQ24" s="720"/>
      <c r="ACR24" s="720"/>
      <c r="ACS24" s="720"/>
      <c r="ACT24" s="720"/>
      <c r="ACU24" s="720"/>
      <c r="ACV24" s="720"/>
      <c r="ACW24" s="720"/>
      <c r="ACX24" s="720"/>
      <c r="ACY24" s="720"/>
      <c r="ACZ24" s="720"/>
      <c r="ADA24" s="720"/>
      <c r="ADB24" s="720"/>
      <c r="ADC24" s="720"/>
      <c r="ADD24" s="720"/>
      <c r="ADE24" s="720"/>
      <c r="ADF24" s="720"/>
      <c r="ADG24" s="720"/>
      <c r="ADH24" s="720"/>
      <c r="ADI24" s="720"/>
      <c r="ADJ24" s="720"/>
      <c r="ADK24" s="720"/>
      <c r="ADL24" s="720"/>
      <c r="ADM24" s="720"/>
      <c r="ADN24" s="720"/>
      <c r="ADO24" s="720"/>
      <c r="ADP24" s="720"/>
      <c r="ADQ24" s="720"/>
      <c r="ADR24" s="720"/>
      <c r="ADS24" s="720"/>
      <c r="ADT24" s="720"/>
      <c r="ADU24" s="720"/>
      <c r="ADV24" s="720"/>
      <c r="ADW24" s="720"/>
      <c r="ADX24" s="720"/>
      <c r="ADY24" s="720"/>
      <c r="ADZ24" s="720"/>
      <c r="AEA24" s="720"/>
      <c r="AEB24" s="720"/>
      <c r="AEC24" s="720"/>
      <c r="AED24" s="720"/>
      <c r="AEE24" s="720"/>
      <c r="AEF24" s="720"/>
      <c r="AEG24" s="720"/>
      <c r="AEH24" s="720"/>
      <c r="AEI24" s="720"/>
      <c r="AEJ24" s="720"/>
      <c r="AEK24" s="720"/>
      <c r="AEL24" s="720"/>
      <c r="AEM24" s="720"/>
      <c r="AEN24" s="720"/>
      <c r="AEO24" s="720"/>
      <c r="AEP24" s="720"/>
      <c r="AEQ24" s="720"/>
      <c r="AER24" s="720"/>
      <c r="AES24" s="720"/>
      <c r="AET24" s="720"/>
      <c r="AEU24" s="720"/>
      <c r="AEV24" s="720"/>
      <c r="AEW24" s="720"/>
      <c r="AEX24" s="720"/>
      <c r="AEY24" s="720"/>
      <c r="AEZ24" s="720"/>
      <c r="AFA24" s="720"/>
      <c r="AFB24" s="720"/>
      <c r="AFC24" s="720"/>
      <c r="AFD24" s="720"/>
      <c r="AFE24" s="720"/>
      <c r="AFF24" s="720"/>
      <c r="AFG24" s="720"/>
      <c r="AFH24" s="720"/>
      <c r="AFI24" s="720"/>
      <c r="AFJ24" s="720"/>
      <c r="AFK24" s="720"/>
      <c r="AFL24" s="720"/>
      <c r="AFM24" s="720"/>
      <c r="AFN24" s="720"/>
      <c r="AFO24" s="720"/>
      <c r="AFP24" s="720"/>
      <c r="AFQ24" s="720"/>
      <c r="AFR24" s="720"/>
      <c r="AFS24" s="720"/>
      <c r="AFT24" s="720"/>
      <c r="AFU24" s="720"/>
      <c r="AFV24" s="720"/>
      <c r="AFW24" s="720"/>
      <c r="AFX24" s="720"/>
      <c r="AFY24" s="720"/>
      <c r="AFZ24" s="720"/>
      <c r="AGA24" s="720"/>
      <c r="AGB24" s="720"/>
      <c r="AGC24" s="720"/>
      <c r="AGD24" s="720"/>
      <c r="AGE24" s="720"/>
      <c r="AGF24" s="720"/>
      <c r="AGG24" s="720"/>
      <c r="AGH24" s="720"/>
      <c r="AGI24" s="720"/>
      <c r="AGJ24" s="720"/>
      <c r="AGK24" s="720"/>
      <c r="AGL24" s="720"/>
      <c r="AGM24" s="720"/>
      <c r="AGN24" s="720"/>
      <c r="AGO24" s="720"/>
      <c r="AGP24" s="720"/>
      <c r="AGQ24" s="720"/>
      <c r="AGR24" s="720"/>
      <c r="AGS24" s="720"/>
      <c r="AGT24" s="720"/>
      <c r="AGU24" s="720"/>
      <c r="AGV24" s="720"/>
      <c r="AGW24" s="720"/>
      <c r="AGX24" s="720"/>
      <c r="AGY24" s="720"/>
      <c r="AGZ24" s="720"/>
      <c r="AHA24" s="720"/>
      <c r="AHB24" s="720"/>
      <c r="AHC24" s="720"/>
      <c r="AHD24" s="720"/>
      <c r="AHE24" s="720"/>
      <c r="AHF24" s="720"/>
      <c r="AHG24" s="720"/>
      <c r="AHH24" s="720"/>
      <c r="AHI24" s="720"/>
      <c r="AHJ24" s="720"/>
      <c r="AHK24" s="720"/>
      <c r="AHL24" s="720"/>
      <c r="AHM24" s="720"/>
      <c r="AHN24" s="720"/>
      <c r="AHO24" s="720"/>
      <c r="AHP24" s="720"/>
      <c r="AHQ24" s="720"/>
      <c r="AHR24" s="720"/>
      <c r="AHS24" s="720"/>
      <c r="AHT24" s="720"/>
      <c r="AHU24" s="720"/>
      <c r="AHV24" s="720"/>
      <c r="AHW24" s="720"/>
      <c r="AHX24" s="720"/>
      <c r="AHY24" s="720"/>
      <c r="AHZ24" s="720"/>
      <c r="AIA24" s="720"/>
      <c r="AIB24" s="720"/>
      <c r="AIC24" s="720"/>
      <c r="AID24" s="720"/>
      <c r="AIE24" s="720"/>
      <c r="AIF24" s="720"/>
      <c r="AIG24" s="720"/>
      <c r="AIH24" s="720"/>
      <c r="AII24" s="720"/>
      <c r="AIJ24" s="720"/>
      <c r="AIK24" s="720"/>
      <c r="AIL24" s="720"/>
      <c r="AIM24" s="720"/>
      <c r="AIN24" s="720"/>
      <c r="AIO24" s="720"/>
      <c r="AIP24" s="720"/>
      <c r="AIQ24" s="720"/>
      <c r="AIR24" s="720"/>
      <c r="AIS24" s="720"/>
      <c r="AIT24" s="720"/>
      <c r="AIU24" s="720"/>
      <c r="AIV24" s="720"/>
      <c r="AIW24" s="720"/>
      <c r="AIX24" s="720"/>
      <c r="AIY24" s="720"/>
      <c r="AIZ24" s="720"/>
      <c r="AJA24" s="720"/>
      <c r="AJB24" s="720"/>
      <c r="AJC24" s="720"/>
      <c r="AJD24" s="720"/>
      <c r="AJE24" s="720"/>
      <c r="AJF24" s="720"/>
      <c r="AJG24" s="720"/>
      <c r="AJH24" s="720"/>
      <c r="AJI24" s="720"/>
      <c r="AJJ24" s="720"/>
      <c r="AJK24" s="720"/>
      <c r="AJL24" s="720"/>
      <c r="AJM24" s="720"/>
      <c r="AJN24" s="720"/>
      <c r="AJO24" s="720"/>
      <c r="AJP24" s="720"/>
      <c r="AJQ24" s="720"/>
      <c r="AJR24" s="720"/>
      <c r="AJS24" s="720"/>
      <c r="AJT24" s="720"/>
      <c r="AJU24" s="720"/>
      <c r="AJV24" s="720"/>
      <c r="AJW24" s="720"/>
      <c r="AJX24" s="720"/>
      <c r="AJY24" s="720"/>
      <c r="AJZ24" s="720"/>
      <c r="AKA24" s="720"/>
      <c r="AKB24" s="720"/>
      <c r="AKC24" s="720"/>
      <c r="AKD24" s="720"/>
      <c r="AKE24" s="720"/>
      <c r="AKF24" s="720"/>
      <c r="AKG24" s="720"/>
      <c r="AKH24" s="720"/>
      <c r="AKI24" s="720"/>
      <c r="AKJ24" s="720"/>
      <c r="AKK24" s="720"/>
      <c r="AKL24" s="720"/>
      <c r="AKM24" s="720"/>
      <c r="AKN24" s="720"/>
      <c r="AKO24" s="720"/>
      <c r="AKP24" s="720"/>
      <c r="AKQ24" s="720"/>
      <c r="AKR24" s="720"/>
      <c r="AKS24" s="720"/>
      <c r="AKT24" s="720"/>
      <c r="AKU24" s="720"/>
      <c r="AKV24" s="720"/>
      <c r="AKW24" s="720"/>
      <c r="AKX24" s="720"/>
      <c r="AKY24" s="720"/>
      <c r="AKZ24" s="720"/>
      <c r="ALA24" s="720"/>
      <c r="ALB24" s="720"/>
      <c r="ALC24" s="720"/>
      <c r="ALD24" s="720"/>
      <c r="ALE24" s="720"/>
      <c r="ALF24" s="720"/>
      <c r="ALG24" s="720"/>
      <c r="ALH24" s="720"/>
      <c r="ALI24" s="720"/>
      <c r="ALJ24" s="720"/>
      <c r="ALK24" s="720"/>
      <c r="ALL24" s="720"/>
      <c r="ALM24" s="720"/>
      <c r="ALN24" s="720"/>
      <c r="ALO24" s="720"/>
      <c r="ALP24" s="720"/>
      <c r="ALQ24" s="720"/>
      <c r="ALR24" s="720"/>
      <c r="ALS24" s="720"/>
      <c r="ALT24" s="720"/>
      <c r="ALU24" s="720"/>
      <c r="ALV24" s="720"/>
      <c r="ALW24" s="720"/>
      <c r="ALX24" s="720"/>
      <c r="ALY24" s="720"/>
      <c r="ALZ24" s="720"/>
      <c r="AMA24" s="720"/>
      <c r="AMB24" s="720"/>
      <c r="AMC24" s="720"/>
      <c r="AMD24" s="720"/>
      <c r="AME24" s="720"/>
      <c r="AMF24" s="720"/>
      <c r="AMG24" s="720"/>
      <c r="AMH24" s="720"/>
      <c r="AMI24" s="720"/>
      <c r="AMJ24" s="720"/>
      <c r="AMK24" s="720"/>
      <c r="AML24" s="720"/>
      <c r="AMM24" s="720"/>
      <c r="AMN24" s="720"/>
      <c r="AMO24" s="720"/>
      <c r="AMP24" s="720"/>
      <c r="AMQ24" s="720"/>
      <c r="AMR24" s="720"/>
      <c r="AMS24" s="720"/>
      <c r="AMT24" s="720"/>
      <c r="AMU24" s="720"/>
      <c r="AMV24" s="720"/>
      <c r="AMW24" s="720"/>
      <c r="AMX24" s="720"/>
      <c r="AMY24" s="720"/>
      <c r="AMZ24" s="720"/>
      <c r="ANA24" s="720"/>
      <c r="ANB24" s="720"/>
      <c r="ANC24" s="720"/>
      <c r="AND24" s="720"/>
      <c r="ANE24" s="720"/>
      <c r="ANF24" s="720"/>
      <c r="ANG24" s="720"/>
      <c r="ANH24" s="720"/>
      <c r="ANI24" s="720"/>
      <c r="ANJ24" s="720"/>
      <c r="ANK24" s="720"/>
      <c r="ANL24" s="720"/>
      <c r="ANM24" s="720"/>
      <c r="ANN24" s="720"/>
      <c r="ANO24" s="720"/>
      <c r="ANP24" s="720"/>
      <c r="ANQ24" s="720"/>
      <c r="ANR24" s="720"/>
      <c r="ANS24" s="720"/>
      <c r="ANT24" s="720"/>
      <c r="ANU24" s="720"/>
      <c r="ANV24" s="720"/>
      <c r="ANW24" s="720"/>
      <c r="ANX24" s="720"/>
      <c r="ANY24" s="720"/>
      <c r="ANZ24" s="720"/>
      <c r="AOA24" s="720"/>
      <c r="AOB24" s="720"/>
      <c r="AOC24" s="720"/>
      <c r="AOD24" s="720"/>
      <c r="AOE24" s="720"/>
      <c r="AOF24" s="720"/>
      <c r="AOG24" s="720"/>
      <c r="AOH24" s="720"/>
      <c r="AOI24" s="720"/>
      <c r="AOJ24" s="720"/>
      <c r="AOK24" s="720"/>
      <c r="AOL24" s="720"/>
      <c r="AOM24" s="720"/>
      <c r="AON24" s="720"/>
      <c r="AOO24" s="720"/>
      <c r="AOP24" s="720"/>
      <c r="AOQ24" s="720"/>
      <c r="AOR24" s="720"/>
      <c r="AOS24" s="720"/>
      <c r="AOT24" s="720"/>
      <c r="AOU24" s="720"/>
      <c r="AOV24" s="720"/>
      <c r="AOW24" s="720"/>
      <c r="AOX24" s="720"/>
      <c r="AOY24" s="720"/>
      <c r="AOZ24" s="720"/>
      <c r="APA24" s="720"/>
      <c r="APB24" s="720"/>
      <c r="APC24" s="720"/>
      <c r="APD24" s="720"/>
      <c r="APE24" s="720"/>
      <c r="APF24" s="720"/>
      <c r="APG24" s="720"/>
      <c r="APH24" s="720"/>
      <c r="API24" s="720"/>
      <c r="APJ24" s="720"/>
      <c r="APK24" s="720"/>
      <c r="APL24" s="720"/>
      <c r="APM24" s="720"/>
      <c r="APN24" s="720"/>
      <c r="APO24" s="720"/>
      <c r="APP24" s="720"/>
      <c r="APQ24" s="720"/>
      <c r="APR24" s="720"/>
      <c r="APS24" s="720"/>
      <c r="APT24" s="720"/>
      <c r="APU24" s="720"/>
      <c r="APV24" s="720"/>
      <c r="APW24" s="720"/>
      <c r="APX24" s="720"/>
      <c r="APY24" s="720"/>
      <c r="APZ24" s="720"/>
      <c r="AQA24" s="720"/>
      <c r="AQB24" s="720"/>
      <c r="AQC24" s="720"/>
      <c r="AQD24" s="720"/>
      <c r="AQE24" s="720"/>
      <c r="AQF24" s="720"/>
      <c r="AQG24" s="720"/>
      <c r="AQH24" s="720"/>
      <c r="AQI24" s="720"/>
      <c r="AQJ24" s="720"/>
      <c r="AQK24" s="720"/>
      <c r="AQL24" s="720"/>
      <c r="AQM24" s="720"/>
      <c r="AQN24" s="720"/>
      <c r="AQO24" s="720"/>
      <c r="AQP24" s="720"/>
      <c r="AQQ24" s="720"/>
      <c r="AQR24" s="720"/>
      <c r="AQS24" s="720"/>
      <c r="AQT24" s="720"/>
      <c r="AQU24" s="720"/>
      <c r="AQV24" s="720"/>
      <c r="AQW24" s="720"/>
      <c r="AQX24" s="720"/>
      <c r="AQY24" s="720"/>
      <c r="AQZ24" s="720"/>
      <c r="ARA24" s="720"/>
      <c r="ARB24" s="720"/>
      <c r="ARC24" s="720"/>
      <c r="ARD24" s="720"/>
      <c r="ARE24" s="720"/>
      <c r="ARF24" s="720"/>
      <c r="ARG24" s="720"/>
      <c r="ARH24" s="720"/>
      <c r="ARI24" s="720"/>
      <c r="ARJ24" s="720"/>
      <c r="ARK24" s="720"/>
      <c r="ARL24" s="720"/>
      <c r="ARM24" s="720"/>
      <c r="ARN24" s="720"/>
      <c r="ARO24" s="720"/>
      <c r="ARP24" s="720"/>
      <c r="ARQ24" s="720"/>
      <c r="ARR24" s="720"/>
      <c r="ARS24" s="720"/>
      <c r="ART24" s="720"/>
      <c r="ARU24" s="720"/>
      <c r="ARV24" s="720"/>
      <c r="ARW24" s="720"/>
      <c r="ARX24" s="720"/>
      <c r="ARY24" s="720"/>
      <c r="ARZ24" s="720"/>
      <c r="ASA24" s="720"/>
      <c r="ASB24" s="720"/>
      <c r="ASC24" s="720"/>
      <c r="ASD24" s="720"/>
      <c r="ASE24" s="720"/>
      <c r="ASF24" s="720"/>
      <c r="ASG24" s="720"/>
      <c r="ASH24" s="720"/>
      <c r="ASI24" s="720"/>
      <c r="ASJ24" s="720"/>
      <c r="ASK24" s="720"/>
      <c r="ASL24" s="720"/>
      <c r="ASM24" s="720"/>
      <c r="ASN24" s="720"/>
      <c r="ASO24" s="720"/>
      <c r="ASP24" s="720"/>
      <c r="ASQ24" s="720"/>
      <c r="ASR24" s="720"/>
      <c r="ASS24" s="720"/>
      <c r="AST24" s="720"/>
      <c r="ASU24" s="720"/>
      <c r="ASV24" s="720"/>
      <c r="ASW24" s="720"/>
      <c r="ASX24" s="720"/>
      <c r="ASY24" s="720"/>
      <c r="ASZ24" s="720"/>
      <c r="ATA24" s="720"/>
      <c r="ATB24" s="720"/>
      <c r="ATC24" s="720"/>
      <c r="ATD24" s="720"/>
      <c r="ATE24" s="720"/>
      <c r="ATF24" s="720"/>
      <c r="ATG24" s="720"/>
      <c r="ATH24" s="720"/>
      <c r="ATI24" s="720"/>
      <c r="ATJ24" s="720"/>
      <c r="ATK24" s="720"/>
      <c r="ATL24" s="720"/>
      <c r="ATM24" s="720"/>
      <c r="ATN24" s="720"/>
      <c r="ATO24" s="720"/>
      <c r="ATP24" s="720"/>
      <c r="ATQ24" s="720"/>
      <c r="ATR24" s="720"/>
      <c r="ATS24" s="720"/>
      <c r="ATT24" s="720"/>
      <c r="ATU24" s="720"/>
      <c r="ATV24" s="720"/>
      <c r="ATW24" s="720"/>
      <c r="ATX24" s="720"/>
      <c r="ATY24" s="720"/>
      <c r="ATZ24" s="720"/>
      <c r="AUA24" s="720"/>
      <c r="AUB24" s="720"/>
      <c r="AUC24" s="720"/>
      <c r="AUD24" s="720"/>
      <c r="AUE24" s="720"/>
      <c r="AUF24" s="720"/>
      <c r="AUG24" s="720"/>
      <c r="AUH24" s="720"/>
      <c r="AUI24" s="720"/>
      <c r="AUJ24" s="720"/>
      <c r="AUK24" s="720"/>
      <c r="AUL24" s="720"/>
      <c r="AUM24" s="720"/>
      <c r="AUN24" s="720"/>
      <c r="AUO24" s="720"/>
      <c r="AUP24" s="720"/>
      <c r="AUQ24" s="720"/>
      <c r="AUR24" s="720"/>
      <c r="AUS24" s="720"/>
      <c r="AUT24" s="720"/>
      <c r="AUU24" s="720"/>
      <c r="AUV24" s="720"/>
      <c r="AUW24" s="720"/>
      <c r="AUX24" s="720"/>
      <c r="AUY24" s="720"/>
      <c r="AUZ24" s="720"/>
      <c r="AVA24" s="720"/>
      <c r="AVB24" s="720"/>
      <c r="AVC24" s="720"/>
      <c r="AVD24" s="720"/>
      <c r="AVE24" s="720"/>
      <c r="AVF24" s="720"/>
      <c r="AVG24" s="720"/>
      <c r="AVH24" s="720"/>
      <c r="AVI24" s="720"/>
      <c r="AVJ24" s="720"/>
      <c r="AVK24" s="720"/>
      <c r="AVL24" s="720"/>
      <c r="AVM24" s="720"/>
      <c r="AVN24" s="720"/>
      <c r="AVO24" s="720"/>
      <c r="AVP24" s="720"/>
      <c r="AVQ24" s="720"/>
      <c r="AVR24" s="720"/>
      <c r="AVS24" s="720"/>
      <c r="AVT24" s="720"/>
      <c r="AVU24" s="720"/>
      <c r="AVV24" s="720"/>
      <c r="AVW24" s="720"/>
      <c r="AVX24" s="720"/>
      <c r="AVY24" s="720"/>
      <c r="AVZ24" s="720"/>
      <c r="AWA24" s="720"/>
      <c r="AWB24" s="720"/>
      <c r="AWC24" s="720"/>
      <c r="AWD24" s="720"/>
      <c r="AWE24" s="720"/>
      <c r="AWF24" s="720"/>
      <c r="AWG24" s="720"/>
      <c r="AWH24" s="720"/>
      <c r="AWI24" s="720"/>
      <c r="AWJ24" s="720"/>
      <c r="AWK24" s="720"/>
      <c r="AWL24" s="720"/>
      <c r="AWM24" s="720"/>
      <c r="AWN24" s="720"/>
      <c r="AWO24" s="720"/>
      <c r="AWP24" s="720"/>
      <c r="AWQ24" s="720"/>
      <c r="AWR24" s="720"/>
      <c r="AWS24" s="720"/>
      <c r="AWT24" s="720"/>
      <c r="AWU24" s="720"/>
      <c r="AWV24" s="720"/>
      <c r="AWW24" s="720"/>
      <c r="AWX24" s="720"/>
      <c r="AWY24" s="720"/>
      <c r="AWZ24" s="720"/>
      <c r="AXA24" s="720"/>
      <c r="AXB24" s="720"/>
      <c r="AXC24" s="720"/>
      <c r="AXD24" s="720"/>
      <c r="AXE24" s="720"/>
      <c r="AXF24" s="720"/>
      <c r="AXG24" s="720"/>
      <c r="AXH24" s="720"/>
      <c r="AXI24" s="720"/>
      <c r="AXJ24" s="720"/>
      <c r="AXK24" s="720"/>
      <c r="AXL24" s="720"/>
      <c r="AXM24" s="720"/>
      <c r="AXN24" s="720"/>
      <c r="AXO24" s="720"/>
      <c r="AXP24" s="720"/>
      <c r="AXQ24" s="720"/>
      <c r="AXR24" s="720"/>
      <c r="AXS24" s="720"/>
      <c r="AXT24" s="720"/>
      <c r="AXU24" s="720"/>
      <c r="AXV24" s="720"/>
      <c r="AXW24" s="720"/>
      <c r="AXX24" s="720"/>
      <c r="AXY24" s="720"/>
      <c r="AXZ24" s="720"/>
      <c r="AYA24" s="720"/>
      <c r="AYB24" s="720"/>
      <c r="AYC24" s="720"/>
      <c r="AYD24" s="720"/>
      <c r="AYE24" s="720"/>
      <c r="AYF24" s="720"/>
      <c r="AYG24" s="720"/>
      <c r="AYH24" s="720"/>
      <c r="AYI24" s="720"/>
      <c r="AYJ24" s="720"/>
      <c r="AYK24" s="720"/>
      <c r="AYL24" s="720"/>
      <c r="AYM24" s="720"/>
      <c r="AYN24" s="720"/>
      <c r="AYO24" s="720"/>
      <c r="AYP24" s="720"/>
      <c r="AYQ24" s="720"/>
      <c r="AYR24" s="720"/>
      <c r="AYS24" s="720"/>
      <c r="AYT24" s="720"/>
      <c r="AYU24" s="720"/>
      <c r="AYV24" s="720"/>
      <c r="AYW24" s="720"/>
      <c r="AYX24" s="720"/>
      <c r="AYY24" s="720"/>
      <c r="AYZ24" s="720"/>
      <c r="AZA24" s="720"/>
      <c r="AZB24" s="720"/>
      <c r="AZC24" s="720"/>
      <c r="AZD24" s="720"/>
      <c r="AZE24" s="720"/>
      <c r="AZF24" s="720"/>
      <c r="AZG24" s="720"/>
      <c r="AZH24" s="720"/>
      <c r="AZI24" s="720"/>
      <c r="AZJ24" s="720"/>
      <c r="AZK24" s="720"/>
      <c r="AZL24" s="720"/>
      <c r="AZM24" s="720"/>
      <c r="AZN24" s="720"/>
      <c r="AZO24" s="720"/>
      <c r="AZP24" s="720"/>
      <c r="AZQ24" s="720"/>
      <c r="AZR24" s="720"/>
      <c r="AZS24" s="720"/>
      <c r="AZT24" s="720"/>
      <c r="AZU24" s="720"/>
      <c r="AZV24" s="720"/>
      <c r="AZW24" s="720"/>
      <c r="AZX24" s="720"/>
      <c r="AZY24" s="720"/>
      <c r="AZZ24" s="720"/>
      <c r="BAA24" s="720"/>
      <c r="BAB24" s="720"/>
      <c r="BAC24" s="720"/>
      <c r="BAD24" s="720"/>
      <c r="BAE24" s="720"/>
      <c r="BAF24" s="720"/>
      <c r="BAG24" s="720"/>
      <c r="BAH24" s="720"/>
      <c r="BAI24" s="720"/>
      <c r="BAJ24" s="720"/>
      <c r="BAK24" s="720"/>
      <c r="BAL24" s="720"/>
      <c r="BAM24" s="720"/>
      <c r="BAN24" s="720"/>
      <c r="BAO24" s="720"/>
      <c r="BAP24" s="720"/>
      <c r="BAQ24" s="720"/>
      <c r="BAR24" s="720"/>
      <c r="BAS24" s="720"/>
      <c r="BAT24" s="720"/>
      <c r="BAU24" s="720"/>
      <c r="BAV24" s="720"/>
      <c r="BAW24" s="720"/>
      <c r="BAX24" s="720"/>
      <c r="BAY24" s="720"/>
      <c r="BAZ24" s="720"/>
      <c r="BBA24" s="720"/>
      <c r="BBB24" s="720"/>
      <c r="BBC24" s="720"/>
      <c r="BBD24" s="720"/>
      <c r="BBE24" s="720"/>
      <c r="BBF24" s="720"/>
      <c r="BBG24" s="720"/>
      <c r="BBH24" s="720"/>
      <c r="BBI24" s="720"/>
      <c r="BBJ24" s="720"/>
      <c r="BBK24" s="720"/>
      <c r="BBL24" s="720"/>
      <c r="BBM24" s="720"/>
      <c r="BBN24" s="720"/>
      <c r="BBO24" s="720"/>
      <c r="BBP24" s="720"/>
      <c r="BBQ24" s="720"/>
      <c r="BBR24" s="720"/>
      <c r="BBS24" s="720"/>
      <c r="BBT24" s="720"/>
      <c r="BBU24" s="720"/>
      <c r="BBV24" s="720"/>
      <c r="BBW24" s="720"/>
      <c r="BBX24" s="720"/>
      <c r="BBY24" s="720"/>
      <c r="BBZ24" s="720"/>
      <c r="BCA24" s="720"/>
      <c r="BCB24" s="720"/>
      <c r="BCC24" s="720"/>
      <c r="BCD24" s="720"/>
      <c r="BCE24" s="720"/>
      <c r="BCF24" s="720"/>
      <c r="BCG24" s="720"/>
      <c r="BCH24" s="720"/>
      <c r="BCI24" s="720"/>
      <c r="BCJ24" s="720"/>
      <c r="BCK24" s="720"/>
      <c r="BCL24" s="720"/>
      <c r="BCM24" s="720"/>
      <c r="BCN24" s="720"/>
      <c r="BCO24" s="720"/>
      <c r="BCP24" s="720"/>
      <c r="BCQ24" s="720"/>
      <c r="BCR24" s="720"/>
      <c r="BCS24" s="720"/>
      <c r="BCT24" s="720"/>
      <c r="BCU24" s="720"/>
      <c r="BCV24" s="720"/>
      <c r="BCW24" s="720"/>
      <c r="BCX24" s="720"/>
      <c r="BCY24" s="720"/>
      <c r="BCZ24" s="720"/>
      <c r="BDA24" s="720"/>
      <c r="BDB24" s="720"/>
      <c r="BDC24" s="720"/>
      <c r="BDD24" s="720"/>
      <c r="BDE24" s="720"/>
      <c r="BDF24" s="720"/>
      <c r="BDG24" s="720"/>
      <c r="BDH24" s="720"/>
      <c r="BDI24" s="720"/>
      <c r="BDJ24" s="720"/>
      <c r="BDK24" s="720"/>
      <c r="BDL24" s="720"/>
      <c r="BDM24" s="720"/>
      <c r="BDN24" s="720"/>
      <c r="BDO24" s="720"/>
      <c r="BDP24" s="720"/>
      <c r="BDQ24" s="720"/>
      <c r="BDR24" s="720"/>
      <c r="BDS24" s="720"/>
      <c r="BDT24" s="720"/>
      <c r="BDU24" s="720"/>
      <c r="BDV24" s="720"/>
      <c r="BDW24" s="720"/>
      <c r="BDX24" s="720"/>
      <c r="BDY24" s="720"/>
      <c r="BDZ24" s="720"/>
      <c r="BEA24" s="720"/>
      <c r="BEB24" s="720"/>
      <c r="BEC24" s="720"/>
      <c r="BED24" s="720"/>
      <c r="BEE24" s="720"/>
      <c r="BEF24" s="720"/>
      <c r="BEG24" s="720"/>
      <c r="BEH24" s="720"/>
      <c r="BEI24" s="720"/>
      <c r="BEJ24" s="720"/>
      <c r="BEK24" s="720"/>
      <c r="BEL24" s="720"/>
      <c r="BEM24" s="720"/>
      <c r="BEN24" s="720"/>
      <c r="BEO24" s="720"/>
      <c r="BEP24" s="720"/>
      <c r="BEQ24" s="720"/>
      <c r="BER24" s="720"/>
      <c r="BES24" s="720"/>
      <c r="BET24" s="720"/>
      <c r="BEU24" s="720"/>
      <c r="BEV24" s="720"/>
      <c r="BEW24" s="720"/>
      <c r="BEX24" s="720"/>
      <c r="BEY24" s="720"/>
      <c r="BEZ24" s="720"/>
      <c r="BFA24" s="720"/>
      <c r="BFB24" s="720"/>
      <c r="BFC24" s="720"/>
      <c r="BFD24" s="720"/>
      <c r="BFE24" s="720"/>
      <c r="BFF24" s="720"/>
      <c r="BFG24" s="720"/>
      <c r="BFH24" s="720"/>
      <c r="BFI24" s="720"/>
      <c r="BFJ24" s="720"/>
      <c r="BFK24" s="720"/>
      <c r="BFL24" s="720"/>
      <c r="BFM24" s="720"/>
      <c r="BFN24" s="720"/>
      <c r="BFO24" s="720"/>
      <c r="BFP24" s="720"/>
      <c r="BFQ24" s="720"/>
      <c r="BFR24" s="720"/>
      <c r="BFS24" s="720"/>
      <c r="BFT24" s="720"/>
      <c r="BFU24" s="720"/>
      <c r="BFV24" s="720"/>
      <c r="BFW24" s="720"/>
      <c r="BFX24" s="720"/>
      <c r="BFY24" s="720"/>
      <c r="BFZ24" s="720"/>
      <c r="BGA24" s="720"/>
      <c r="BGB24" s="720"/>
      <c r="BGC24" s="720"/>
      <c r="BGD24" s="720"/>
      <c r="BGE24" s="720"/>
      <c r="BGF24" s="720"/>
      <c r="BGG24" s="720"/>
      <c r="BGH24" s="720"/>
      <c r="BGI24" s="720"/>
      <c r="BGJ24" s="720"/>
      <c r="BGK24" s="720"/>
      <c r="BGL24" s="720"/>
      <c r="BGM24" s="720"/>
      <c r="BGN24" s="720"/>
      <c r="BGO24" s="720"/>
      <c r="BGP24" s="720"/>
      <c r="BGQ24" s="720"/>
      <c r="BGR24" s="720"/>
      <c r="BGS24" s="720"/>
      <c r="BGT24" s="720"/>
      <c r="BGU24" s="720"/>
      <c r="BGV24" s="720"/>
      <c r="BGW24" s="720"/>
      <c r="BGX24" s="720"/>
      <c r="BGY24" s="720"/>
      <c r="BGZ24" s="720"/>
      <c r="BHA24" s="720"/>
      <c r="BHB24" s="720"/>
      <c r="BHC24" s="720"/>
      <c r="BHD24" s="720"/>
      <c r="BHE24" s="720"/>
      <c r="BHF24" s="720"/>
      <c r="BHG24" s="720"/>
      <c r="BHH24" s="720"/>
      <c r="BHI24" s="720"/>
      <c r="BHJ24" s="720"/>
      <c r="BHK24" s="720"/>
      <c r="BHL24" s="720"/>
      <c r="BHM24" s="720"/>
      <c r="BHN24" s="720"/>
      <c r="BHO24" s="720"/>
      <c r="BHP24" s="720"/>
      <c r="BHQ24" s="720"/>
      <c r="BHR24" s="720"/>
      <c r="BHS24" s="720"/>
      <c r="BHT24" s="720"/>
      <c r="BHU24" s="720"/>
      <c r="BHV24" s="720"/>
      <c r="BHW24" s="720"/>
      <c r="BHX24" s="720"/>
      <c r="BHY24" s="720"/>
      <c r="BHZ24" s="720"/>
      <c r="BIA24" s="720"/>
      <c r="BIB24" s="720"/>
      <c r="BIC24" s="720"/>
      <c r="BID24" s="720"/>
      <c r="BIE24" s="720"/>
      <c r="BIF24" s="720"/>
      <c r="BIG24" s="720"/>
      <c r="BIH24" s="720"/>
      <c r="BII24" s="720"/>
      <c r="BIJ24" s="720"/>
      <c r="BIK24" s="720"/>
      <c r="BIL24" s="720"/>
      <c r="BIM24" s="720"/>
      <c r="BIN24" s="720"/>
      <c r="BIO24" s="720"/>
      <c r="BIP24" s="720"/>
      <c r="BIQ24" s="720"/>
      <c r="BIR24" s="720"/>
      <c r="BIS24" s="720"/>
      <c r="BIT24" s="720"/>
      <c r="BIU24" s="720"/>
      <c r="BIV24" s="720"/>
      <c r="BIW24" s="720"/>
      <c r="BIX24" s="720"/>
      <c r="BIY24" s="720"/>
      <c r="BIZ24" s="720"/>
      <c r="BJA24" s="720"/>
      <c r="BJB24" s="720"/>
      <c r="BJC24" s="720"/>
      <c r="BJD24" s="720"/>
      <c r="BJE24" s="720"/>
      <c r="BJF24" s="720"/>
      <c r="BJG24" s="720"/>
      <c r="BJH24" s="720"/>
      <c r="BJI24" s="720"/>
      <c r="BJJ24" s="720"/>
      <c r="BJK24" s="720"/>
      <c r="BJL24" s="720"/>
      <c r="BJM24" s="720"/>
      <c r="BJN24" s="720"/>
      <c r="BJO24" s="720"/>
      <c r="BJP24" s="720"/>
      <c r="BJQ24" s="720"/>
      <c r="BJR24" s="720"/>
      <c r="BJS24" s="720"/>
      <c r="BJT24" s="720"/>
      <c r="BJU24" s="720"/>
      <c r="BJV24" s="720"/>
      <c r="BJW24" s="720"/>
      <c r="BJX24" s="720"/>
      <c r="BJY24" s="720"/>
      <c r="BJZ24" s="720"/>
      <c r="BKA24" s="720"/>
      <c r="BKB24" s="720"/>
      <c r="BKC24" s="720"/>
      <c r="BKD24" s="720"/>
      <c r="BKE24" s="720"/>
      <c r="BKF24" s="720"/>
      <c r="BKG24" s="720"/>
      <c r="BKH24" s="720"/>
      <c r="BKI24" s="720"/>
      <c r="BKJ24" s="720"/>
      <c r="BKK24" s="720"/>
      <c r="BKL24" s="720"/>
      <c r="BKM24" s="720"/>
      <c r="BKN24" s="720"/>
      <c r="BKO24" s="720"/>
      <c r="BKP24" s="720"/>
      <c r="BKQ24" s="720"/>
      <c r="BKR24" s="720"/>
      <c r="BKS24" s="720"/>
      <c r="BKT24" s="720"/>
      <c r="BKU24" s="720"/>
      <c r="BKV24" s="720"/>
      <c r="BKW24" s="720"/>
      <c r="BKX24" s="720"/>
      <c r="BKY24" s="720"/>
      <c r="BKZ24" s="720"/>
      <c r="BLA24" s="720"/>
      <c r="BLB24" s="720"/>
      <c r="BLC24" s="720"/>
      <c r="BLD24" s="720"/>
      <c r="BLE24" s="720"/>
      <c r="BLF24" s="720"/>
      <c r="BLG24" s="720"/>
      <c r="BLH24" s="720"/>
      <c r="BLI24" s="720"/>
      <c r="BLJ24" s="720"/>
      <c r="BLK24" s="720"/>
      <c r="BLL24" s="720"/>
      <c r="BLM24" s="720"/>
      <c r="BLN24" s="720"/>
      <c r="BLO24" s="720"/>
      <c r="BLP24" s="720"/>
      <c r="BLQ24" s="720"/>
      <c r="BLR24" s="720"/>
      <c r="BLS24" s="720"/>
      <c r="BLT24" s="720"/>
      <c r="BLU24" s="720"/>
      <c r="BLV24" s="720"/>
      <c r="BLW24" s="720"/>
      <c r="BLX24" s="720"/>
      <c r="BLY24" s="720"/>
      <c r="BLZ24" s="720"/>
      <c r="BMA24" s="720"/>
      <c r="BMB24" s="720"/>
      <c r="BMC24" s="720"/>
      <c r="BMD24" s="720"/>
      <c r="BME24" s="720"/>
      <c r="BMF24" s="720"/>
      <c r="BMG24" s="720"/>
      <c r="BMH24" s="720"/>
      <c r="BMI24" s="720"/>
      <c r="BMJ24" s="720"/>
      <c r="BMK24" s="720"/>
      <c r="BML24" s="720"/>
      <c r="BMM24" s="720"/>
      <c r="BMN24" s="720"/>
      <c r="BMO24" s="720"/>
      <c r="BMP24" s="720"/>
      <c r="BMQ24" s="720"/>
      <c r="BMR24" s="720"/>
      <c r="BMS24" s="720"/>
      <c r="BMT24" s="720"/>
      <c r="BMU24" s="720"/>
      <c r="BMV24" s="720"/>
      <c r="BMW24" s="720"/>
      <c r="BMX24" s="720"/>
      <c r="BMY24" s="720"/>
      <c r="BMZ24" s="720"/>
      <c r="BNA24" s="720"/>
      <c r="BNB24" s="720"/>
      <c r="BNC24" s="720"/>
      <c r="BND24" s="720"/>
      <c r="BNE24" s="720"/>
      <c r="BNF24" s="720"/>
      <c r="BNG24" s="720"/>
      <c r="BNH24" s="720"/>
      <c r="BNI24" s="720"/>
      <c r="BNJ24" s="720"/>
      <c r="BNK24" s="720"/>
      <c r="BNL24" s="720"/>
      <c r="BNM24" s="720"/>
      <c r="BNN24" s="720"/>
      <c r="BNO24" s="720"/>
      <c r="BNP24" s="720"/>
      <c r="BNQ24" s="720"/>
      <c r="BNR24" s="720"/>
      <c r="BNS24" s="720"/>
      <c r="BNT24" s="720"/>
      <c r="BNU24" s="720"/>
      <c r="BNV24" s="720"/>
      <c r="BNW24" s="720"/>
      <c r="BNX24" s="720"/>
      <c r="BNY24" s="720"/>
      <c r="BNZ24" s="720"/>
      <c r="BOA24" s="720"/>
      <c r="BOB24" s="720"/>
      <c r="BOC24" s="720"/>
      <c r="BOD24" s="720"/>
      <c r="BOE24" s="720"/>
      <c r="BOF24" s="720"/>
      <c r="BOG24" s="720"/>
      <c r="BOH24" s="720"/>
      <c r="BOI24" s="720"/>
      <c r="BOJ24" s="720"/>
      <c r="BOK24" s="720"/>
      <c r="BOL24" s="720"/>
      <c r="BOM24" s="720"/>
      <c r="BON24" s="720"/>
      <c r="BOO24" s="720"/>
      <c r="BOP24" s="720"/>
      <c r="BOQ24" s="720"/>
      <c r="BOR24" s="720"/>
      <c r="BOS24" s="720"/>
      <c r="BOT24" s="720"/>
      <c r="BOU24" s="720"/>
      <c r="BOV24" s="720"/>
      <c r="BOW24" s="720"/>
      <c r="BOX24" s="720"/>
      <c r="BOY24" s="720"/>
      <c r="BOZ24" s="720"/>
      <c r="BPA24" s="720"/>
      <c r="BPB24" s="720"/>
      <c r="BPC24" s="720"/>
      <c r="BPD24" s="720"/>
      <c r="BPE24" s="720"/>
      <c r="BPF24" s="720"/>
      <c r="BPG24" s="720"/>
      <c r="BPH24" s="720"/>
      <c r="BPI24" s="720"/>
      <c r="BPJ24" s="720"/>
      <c r="BPK24" s="720"/>
      <c r="BPL24" s="720"/>
      <c r="BPM24" s="720"/>
      <c r="BPN24" s="720"/>
      <c r="BPO24" s="720"/>
      <c r="BPP24" s="720"/>
      <c r="BPQ24" s="720"/>
      <c r="BPR24" s="720"/>
      <c r="BPS24" s="720"/>
      <c r="BPT24" s="720"/>
      <c r="BPU24" s="720"/>
      <c r="BPV24" s="720"/>
      <c r="BPW24" s="720"/>
      <c r="BPX24" s="720"/>
      <c r="BPY24" s="720"/>
      <c r="BPZ24" s="720"/>
      <c r="BQA24" s="720"/>
      <c r="BQB24" s="720"/>
      <c r="BQC24" s="720"/>
      <c r="BQD24" s="720"/>
      <c r="BQE24" s="720"/>
      <c r="BQF24" s="720"/>
      <c r="BQG24" s="720"/>
      <c r="BQH24" s="720"/>
      <c r="BQI24" s="720"/>
      <c r="BQJ24" s="720"/>
      <c r="BQK24" s="720"/>
      <c r="BQL24" s="720"/>
      <c r="BQM24" s="720"/>
      <c r="BQN24" s="720"/>
      <c r="BQO24" s="720"/>
      <c r="BQP24" s="720"/>
      <c r="BQQ24" s="720"/>
      <c r="BQR24" s="720"/>
      <c r="BQS24" s="720"/>
      <c r="BQT24" s="720"/>
      <c r="BQU24" s="720"/>
      <c r="BQV24" s="720"/>
      <c r="BQW24" s="720"/>
      <c r="BQX24" s="720"/>
      <c r="BQY24" s="720"/>
      <c r="BQZ24" s="720"/>
      <c r="BRA24" s="720"/>
      <c r="BRB24" s="720"/>
      <c r="BRC24" s="720"/>
      <c r="BRD24" s="720"/>
      <c r="BRE24" s="720"/>
      <c r="BRF24" s="720"/>
      <c r="BRG24" s="720"/>
      <c r="BRH24" s="720"/>
      <c r="BRI24" s="720"/>
      <c r="BRJ24" s="720"/>
      <c r="BRK24" s="720"/>
      <c r="BRL24" s="720"/>
      <c r="BRM24" s="720"/>
      <c r="BRN24" s="720"/>
      <c r="BRO24" s="720"/>
      <c r="BRP24" s="720"/>
      <c r="BRQ24" s="720"/>
      <c r="BRR24" s="720"/>
      <c r="BRS24" s="720"/>
      <c r="BRT24" s="720"/>
      <c r="BRU24" s="720"/>
      <c r="BRV24" s="720"/>
      <c r="BRW24" s="720"/>
      <c r="BRX24" s="720"/>
      <c r="BRY24" s="720"/>
      <c r="BRZ24" s="720"/>
      <c r="BSA24" s="720"/>
      <c r="BSB24" s="720"/>
      <c r="BSC24" s="720"/>
      <c r="BSD24" s="720"/>
      <c r="BSE24" s="720"/>
      <c r="BSF24" s="720"/>
      <c r="BSG24" s="720"/>
      <c r="BSH24" s="720"/>
      <c r="BSI24" s="720"/>
      <c r="BSJ24" s="720"/>
      <c r="BSK24" s="720"/>
      <c r="BSL24" s="720"/>
      <c r="BSM24" s="720"/>
      <c r="BSN24" s="720"/>
      <c r="BSO24" s="720"/>
      <c r="BSP24" s="720"/>
      <c r="BSQ24" s="720"/>
      <c r="BSR24" s="720"/>
      <c r="BSS24" s="720"/>
      <c r="BST24" s="720"/>
      <c r="BSU24" s="720"/>
      <c r="BSV24" s="720"/>
      <c r="BSW24" s="720"/>
      <c r="BSX24" s="720"/>
      <c r="BSY24" s="720"/>
      <c r="BSZ24" s="720"/>
      <c r="BTA24" s="720"/>
      <c r="BTB24" s="720"/>
      <c r="BTC24" s="720"/>
      <c r="BTD24" s="720"/>
      <c r="BTE24" s="720"/>
      <c r="BTF24" s="720"/>
      <c r="BTG24" s="720"/>
      <c r="BTH24" s="720"/>
      <c r="BTI24" s="720"/>
      <c r="BTJ24" s="720"/>
      <c r="BTK24" s="720"/>
      <c r="BTL24" s="720"/>
      <c r="BTM24" s="720"/>
      <c r="BTN24" s="720"/>
      <c r="BTO24" s="720"/>
      <c r="BTP24" s="720"/>
      <c r="BTQ24" s="720"/>
      <c r="BTR24" s="720"/>
      <c r="BTS24" s="720"/>
      <c r="BTT24" s="720"/>
      <c r="BTU24" s="720"/>
      <c r="BTV24" s="720"/>
      <c r="BTW24" s="720"/>
      <c r="BTX24" s="720"/>
      <c r="BTY24" s="720"/>
      <c r="BTZ24" s="720"/>
      <c r="BUA24" s="720"/>
      <c r="BUB24" s="720"/>
      <c r="BUC24" s="720"/>
      <c r="BUD24" s="720"/>
      <c r="BUE24" s="720"/>
      <c r="BUF24" s="720"/>
      <c r="BUG24" s="720"/>
      <c r="BUH24" s="720"/>
      <c r="BUI24" s="720"/>
      <c r="BUJ24" s="720"/>
      <c r="BUK24" s="720"/>
      <c r="BUL24" s="720"/>
      <c r="BUM24" s="720"/>
      <c r="BUN24" s="720"/>
      <c r="BUO24" s="720"/>
      <c r="BUP24" s="720"/>
      <c r="BUQ24" s="720"/>
      <c r="BUR24" s="720"/>
      <c r="BUS24" s="720"/>
      <c r="BUT24" s="720"/>
      <c r="BUU24" s="720"/>
      <c r="BUV24" s="720"/>
      <c r="BUW24" s="720"/>
      <c r="BUX24" s="720"/>
      <c r="BUY24" s="720"/>
      <c r="BUZ24" s="720"/>
      <c r="BVA24" s="720"/>
      <c r="BVB24" s="720"/>
      <c r="BVC24" s="720"/>
      <c r="BVD24" s="720"/>
      <c r="BVE24" s="720"/>
      <c r="BVF24" s="720"/>
      <c r="BVG24" s="720"/>
      <c r="BVH24" s="720"/>
      <c r="BVI24" s="720"/>
      <c r="BVJ24" s="720"/>
      <c r="BVK24" s="720"/>
      <c r="BVL24" s="720"/>
      <c r="BVM24" s="720"/>
      <c r="BVN24" s="720"/>
      <c r="BVO24" s="720"/>
      <c r="BVP24" s="720"/>
      <c r="BVQ24" s="720"/>
      <c r="BVR24" s="720"/>
      <c r="BVS24" s="720"/>
      <c r="BVT24" s="720"/>
      <c r="BVU24" s="720"/>
      <c r="BVV24" s="720"/>
      <c r="BVW24" s="720"/>
      <c r="BVX24" s="720"/>
      <c r="BVY24" s="720"/>
      <c r="BVZ24" s="720"/>
      <c r="BWA24" s="720"/>
      <c r="BWB24" s="720"/>
      <c r="BWC24" s="720"/>
      <c r="BWD24" s="720"/>
      <c r="BWE24" s="720"/>
      <c r="BWF24" s="720"/>
      <c r="BWG24" s="720"/>
      <c r="BWH24" s="720"/>
      <c r="BWI24" s="720"/>
      <c r="BWJ24" s="720"/>
      <c r="BWK24" s="720"/>
      <c r="BWL24" s="720"/>
      <c r="BWM24" s="720"/>
      <c r="BWN24" s="720"/>
      <c r="BWO24" s="720"/>
      <c r="BWP24" s="720"/>
      <c r="BWQ24" s="720"/>
      <c r="BWR24" s="720"/>
      <c r="BWS24" s="720"/>
      <c r="BWT24" s="720"/>
      <c r="BWU24" s="720"/>
      <c r="BWV24" s="720"/>
      <c r="BWW24" s="720"/>
      <c r="BWX24" s="720"/>
      <c r="BWY24" s="720"/>
      <c r="BWZ24" s="720"/>
      <c r="BXA24" s="720"/>
      <c r="BXB24" s="720"/>
      <c r="BXC24" s="720"/>
      <c r="BXD24" s="720"/>
      <c r="BXE24" s="720"/>
      <c r="BXF24" s="720"/>
      <c r="BXG24" s="720"/>
      <c r="BXH24" s="720"/>
      <c r="BXI24" s="720"/>
      <c r="BXJ24" s="720"/>
      <c r="BXK24" s="720"/>
      <c r="BXL24" s="720"/>
      <c r="BXM24" s="720"/>
      <c r="BXN24" s="720"/>
      <c r="BXO24" s="720"/>
      <c r="BXP24" s="720"/>
      <c r="BXQ24" s="720"/>
      <c r="BXR24" s="720"/>
      <c r="BXS24" s="720"/>
      <c r="BXT24" s="720"/>
      <c r="BXU24" s="720"/>
      <c r="BXV24" s="720"/>
      <c r="BXW24" s="720"/>
      <c r="BXX24" s="720"/>
      <c r="BXY24" s="720"/>
      <c r="BXZ24" s="720"/>
      <c r="BYA24" s="720"/>
      <c r="BYB24" s="720"/>
      <c r="BYC24" s="720"/>
      <c r="BYD24" s="720"/>
      <c r="BYE24" s="720"/>
      <c r="BYF24" s="720"/>
      <c r="BYG24" s="720"/>
      <c r="BYH24" s="720"/>
      <c r="BYI24" s="720"/>
      <c r="BYJ24" s="720"/>
      <c r="BYK24" s="720"/>
      <c r="BYL24" s="720"/>
      <c r="BYM24" s="720"/>
      <c r="BYN24" s="720"/>
      <c r="BYO24" s="720"/>
      <c r="BYP24" s="720"/>
      <c r="BYQ24" s="720"/>
      <c r="BYR24" s="720"/>
      <c r="BYS24" s="720"/>
      <c r="BYT24" s="720"/>
      <c r="BYU24" s="720"/>
      <c r="BYV24" s="720"/>
      <c r="BYW24" s="720"/>
      <c r="BYX24" s="720"/>
      <c r="BYY24" s="720"/>
      <c r="BYZ24" s="720"/>
      <c r="BZA24" s="720"/>
      <c r="BZB24" s="720"/>
      <c r="BZC24" s="720"/>
      <c r="BZD24" s="720"/>
      <c r="BZE24" s="720"/>
      <c r="BZF24" s="720"/>
      <c r="BZG24" s="720"/>
      <c r="BZH24" s="720"/>
      <c r="BZI24" s="720"/>
      <c r="BZJ24" s="720"/>
      <c r="BZK24" s="720"/>
      <c r="BZL24" s="720"/>
      <c r="BZM24" s="720"/>
      <c r="BZN24" s="720"/>
      <c r="BZO24" s="720"/>
      <c r="BZP24" s="720"/>
      <c r="BZQ24" s="720"/>
      <c r="BZR24" s="720"/>
      <c r="BZS24" s="720"/>
      <c r="BZT24" s="720"/>
      <c r="BZU24" s="720"/>
      <c r="BZV24" s="720"/>
      <c r="BZW24" s="720"/>
      <c r="BZX24" s="720"/>
      <c r="BZY24" s="720"/>
      <c r="BZZ24" s="720"/>
      <c r="CAA24" s="720"/>
      <c r="CAB24" s="720"/>
      <c r="CAC24" s="720"/>
      <c r="CAD24" s="720"/>
      <c r="CAE24" s="720"/>
      <c r="CAF24" s="720"/>
      <c r="CAG24" s="720"/>
      <c r="CAH24" s="720"/>
      <c r="CAI24" s="720"/>
      <c r="CAJ24" s="720"/>
      <c r="CAK24" s="720"/>
      <c r="CAL24" s="720"/>
      <c r="CAM24" s="720"/>
      <c r="CAN24" s="720"/>
      <c r="CAO24" s="720"/>
      <c r="CAP24" s="720"/>
      <c r="CAQ24" s="720"/>
      <c r="CAR24" s="720"/>
      <c r="CAS24" s="720"/>
      <c r="CAT24" s="720"/>
      <c r="CAU24" s="720"/>
      <c r="CAV24" s="720"/>
      <c r="CAW24" s="720"/>
      <c r="CAX24" s="720"/>
      <c r="CAY24" s="720"/>
      <c r="CAZ24" s="720"/>
      <c r="CBA24" s="720"/>
      <c r="CBB24" s="720"/>
      <c r="CBC24" s="720"/>
      <c r="CBD24" s="720"/>
      <c r="CBE24" s="720"/>
      <c r="CBF24" s="720"/>
      <c r="CBG24" s="720"/>
      <c r="CBH24" s="720"/>
      <c r="CBI24" s="720"/>
      <c r="CBJ24" s="720"/>
      <c r="CBK24" s="720"/>
      <c r="CBL24" s="720"/>
      <c r="CBM24" s="720"/>
      <c r="CBN24" s="720"/>
      <c r="CBO24" s="720"/>
      <c r="CBP24" s="720"/>
      <c r="CBQ24" s="720"/>
      <c r="CBR24" s="720"/>
      <c r="CBS24" s="720"/>
      <c r="CBT24" s="720"/>
      <c r="CBU24" s="720"/>
      <c r="CBV24" s="720"/>
      <c r="CBW24" s="720"/>
      <c r="CBX24" s="720"/>
      <c r="CBY24" s="720"/>
      <c r="CBZ24" s="720"/>
      <c r="CCA24" s="720"/>
      <c r="CCB24" s="720"/>
      <c r="CCC24" s="720"/>
      <c r="CCD24" s="720"/>
      <c r="CCE24" s="720"/>
      <c r="CCF24" s="720"/>
      <c r="CCG24" s="720"/>
      <c r="CCH24" s="720"/>
      <c r="CCI24" s="720"/>
      <c r="CCJ24" s="720"/>
      <c r="CCK24" s="720"/>
      <c r="CCL24" s="720"/>
      <c r="CCM24" s="720"/>
      <c r="CCN24" s="720"/>
      <c r="CCO24" s="720"/>
      <c r="CCP24" s="720"/>
      <c r="CCQ24" s="720"/>
      <c r="CCR24" s="720"/>
      <c r="CCS24" s="720"/>
      <c r="CCT24" s="720"/>
      <c r="CCU24" s="720"/>
      <c r="CCV24" s="720"/>
      <c r="CCW24" s="720"/>
      <c r="CCX24" s="720"/>
      <c r="CCY24" s="720"/>
      <c r="CCZ24" s="720"/>
      <c r="CDA24" s="720"/>
      <c r="CDB24" s="720"/>
      <c r="CDC24" s="720"/>
      <c r="CDD24" s="720"/>
      <c r="CDE24" s="720"/>
      <c r="CDF24" s="720"/>
      <c r="CDG24" s="720"/>
      <c r="CDH24" s="720"/>
      <c r="CDI24" s="720"/>
      <c r="CDJ24" s="720"/>
      <c r="CDK24" s="720"/>
      <c r="CDL24" s="720"/>
      <c r="CDM24" s="720"/>
      <c r="CDN24" s="720"/>
      <c r="CDO24" s="720"/>
      <c r="CDP24" s="720"/>
      <c r="CDQ24" s="720"/>
      <c r="CDR24" s="720"/>
      <c r="CDS24" s="720"/>
      <c r="CDT24" s="720"/>
      <c r="CDU24" s="720"/>
      <c r="CDV24" s="720"/>
      <c r="CDW24" s="720"/>
      <c r="CDX24" s="720"/>
      <c r="CDY24" s="720"/>
      <c r="CDZ24" s="720"/>
      <c r="CEA24" s="720"/>
      <c r="CEB24" s="720"/>
      <c r="CEC24" s="720"/>
      <c r="CED24" s="720"/>
      <c r="CEE24" s="720"/>
      <c r="CEF24" s="720"/>
      <c r="CEG24" s="720"/>
      <c r="CEH24" s="720"/>
      <c r="CEI24" s="720"/>
      <c r="CEJ24" s="720"/>
      <c r="CEK24" s="720"/>
      <c r="CEL24" s="720"/>
      <c r="CEM24" s="720"/>
      <c r="CEN24" s="720"/>
      <c r="CEO24" s="720"/>
      <c r="CEP24" s="720"/>
      <c r="CEQ24" s="720"/>
      <c r="CER24" s="720"/>
      <c r="CES24" s="720"/>
      <c r="CET24" s="720"/>
      <c r="CEU24" s="720"/>
      <c r="CEV24" s="720"/>
      <c r="CEW24" s="720"/>
      <c r="CEX24" s="720"/>
      <c r="CEY24" s="720"/>
      <c r="CEZ24" s="720"/>
      <c r="CFA24" s="720"/>
      <c r="CFB24" s="720"/>
      <c r="CFC24" s="720"/>
      <c r="CFD24" s="720"/>
      <c r="CFE24" s="720"/>
      <c r="CFF24" s="720"/>
      <c r="CFG24" s="720"/>
      <c r="CFH24" s="720"/>
      <c r="CFI24" s="720"/>
      <c r="CFJ24" s="720"/>
      <c r="CFK24" s="720"/>
      <c r="CFL24" s="720"/>
      <c r="CFM24" s="720"/>
      <c r="CFN24" s="720"/>
      <c r="CFO24" s="720"/>
      <c r="CFP24" s="720"/>
      <c r="CFQ24" s="720"/>
      <c r="CFR24" s="720"/>
      <c r="CFS24" s="720"/>
      <c r="CFT24" s="720"/>
      <c r="CFU24" s="720"/>
      <c r="CFV24" s="720"/>
      <c r="CFW24" s="720"/>
      <c r="CFX24" s="720"/>
      <c r="CFY24" s="720"/>
      <c r="CFZ24" s="720"/>
      <c r="CGA24" s="720"/>
      <c r="CGB24" s="720"/>
      <c r="CGC24" s="720"/>
      <c r="CGD24" s="720"/>
      <c r="CGE24" s="720"/>
      <c r="CGF24" s="720"/>
      <c r="CGG24" s="720"/>
      <c r="CGH24" s="720"/>
      <c r="CGI24" s="720"/>
      <c r="CGJ24" s="720"/>
      <c r="CGK24" s="720"/>
      <c r="CGL24" s="720"/>
      <c r="CGM24" s="720"/>
      <c r="CGN24" s="720"/>
      <c r="CGO24" s="720"/>
      <c r="CGP24" s="720"/>
      <c r="CGQ24" s="720"/>
      <c r="CGR24" s="720"/>
      <c r="CGS24" s="720"/>
      <c r="CGT24" s="720"/>
      <c r="CGU24" s="720"/>
      <c r="CGV24" s="720"/>
      <c r="CGW24" s="720"/>
      <c r="CGX24" s="720"/>
      <c r="CGY24" s="720"/>
      <c r="CGZ24" s="720"/>
      <c r="CHA24" s="720"/>
      <c r="CHB24" s="720"/>
      <c r="CHC24" s="720"/>
      <c r="CHD24" s="720"/>
      <c r="CHE24" s="720"/>
      <c r="CHF24" s="720"/>
      <c r="CHG24" s="720"/>
      <c r="CHH24" s="720"/>
      <c r="CHI24" s="720"/>
      <c r="CHJ24" s="720"/>
      <c r="CHK24" s="720"/>
      <c r="CHL24" s="720"/>
      <c r="CHM24" s="720"/>
      <c r="CHN24" s="720"/>
      <c r="CHO24" s="720"/>
      <c r="CHP24" s="720"/>
      <c r="CHQ24" s="720"/>
      <c r="CHR24" s="720"/>
      <c r="CHS24" s="720"/>
      <c r="CHT24" s="720"/>
      <c r="CHU24" s="720"/>
      <c r="CHV24" s="720"/>
      <c r="CHW24" s="720"/>
      <c r="CHX24" s="720"/>
      <c r="CHY24" s="720"/>
      <c r="CHZ24" s="720"/>
      <c r="CIA24" s="720"/>
      <c r="CIB24" s="720"/>
      <c r="CIC24" s="720"/>
      <c r="CID24" s="720"/>
      <c r="CIE24" s="720"/>
      <c r="CIF24" s="720"/>
      <c r="CIG24" s="720"/>
      <c r="CIH24" s="720"/>
      <c r="CII24" s="720"/>
      <c r="CIJ24" s="720"/>
      <c r="CIK24" s="720"/>
      <c r="CIL24" s="720"/>
      <c r="CIM24" s="720"/>
      <c r="CIN24" s="720"/>
      <c r="CIO24" s="720"/>
      <c r="CIP24" s="720"/>
      <c r="CIQ24" s="720"/>
      <c r="CIR24" s="720"/>
      <c r="CIS24" s="720"/>
      <c r="CIT24" s="720"/>
      <c r="CIU24" s="720"/>
      <c r="CIV24" s="720"/>
      <c r="CIW24" s="720"/>
      <c r="CIX24" s="720"/>
      <c r="CIY24" s="720"/>
      <c r="CIZ24" s="720"/>
      <c r="CJA24" s="720"/>
      <c r="CJB24" s="720"/>
      <c r="CJC24" s="720"/>
      <c r="CJD24" s="720"/>
      <c r="CJE24" s="720"/>
      <c r="CJF24" s="720"/>
      <c r="CJG24" s="720"/>
      <c r="CJH24" s="720"/>
      <c r="CJI24" s="720"/>
      <c r="CJJ24" s="720"/>
      <c r="CJK24" s="720"/>
      <c r="CJL24" s="720"/>
      <c r="CJM24" s="720"/>
      <c r="CJN24" s="720"/>
      <c r="CJO24" s="720"/>
      <c r="CJP24" s="720"/>
      <c r="CJQ24" s="720"/>
      <c r="CJR24" s="720"/>
      <c r="CJS24" s="720"/>
      <c r="CJT24" s="720"/>
      <c r="CJU24" s="720"/>
      <c r="CJV24" s="720"/>
      <c r="CJW24" s="720"/>
      <c r="CJX24" s="720"/>
      <c r="CJY24" s="720"/>
      <c r="CJZ24" s="720"/>
      <c r="CKA24" s="720"/>
      <c r="CKB24" s="720"/>
      <c r="CKC24" s="720"/>
      <c r="CKD24" s="720"/>
      <c r="CKE24" s="720"/>
      <c r="CKF24" s="720"/>
      <c r="CKG24" s="720"/>
      <c r="CKH24" s="720"/>
      <c r="CKI24" s="720"/>
      <c r="CKJ24" s="720"/>
      <c r="CKK24" s="720"/>
      <c r="CKL24" s="720"/>
      <c r="CKM24" s="720"/>
      <c r="CKN24" s="720"/>
      <c r="CKO24" s="720"/>
      <c r="CKP24" s="720"/>
      <c r="CKQ24" s="720"/>
      <c r="CKR24" s="720"/>
      <c r="CKS24" s="720"/>
      <c r="CKT24" s="720"/>
      <c r="CKU24" s="720"/>
      <c r="CKV24" s="720"/>
      <c r="CKW24" s="720"/>
      <c r="CKX24" s="720"/>
      <c r="CKY24" s="720"/>
      <c r="CKZ24" s="720"/>
      <c r="CLA24" s="720"/>
      <c r="CLB24" s="720"/>
      <c r="CLC24" s="720"/>
      <c r="CLD24" s="720"/>
      <c r="CLE24" s="720"/>
      <c r="CLF24" s="720"/>
      <c r="CLG24" s="720"/>
      <c r="CLH24" s="720"/>
      <c r="CLI24" s="720"/>
      <c r="CLJ24" s="720"/>
      <c r="CLK24" s="720"/>
      <c r="CLL24" s="720"/>
      <c r="CLM24" s="720"/>
      <c r="CLN24" s="720"/>
      <c r="CLO24" s="720"/>
      <c r="CLP24" s="720"/>
      <c r="CLQ24" s="720"/>
      <c r="CLR24" s="720"/>
      <c r="CLS24" s="720"/>
      <c r="CLT24" s="720"/>
      <c r="CLU24" s="720"/>
      <c r="CLV24" s="720"/>
      <c r="CLW24" s="720"/>
      <c r="CLX24" s="720"/>
      <c r="CLY24" s="720"/>
      <c r="CLZ24" s="720"/>
      <c r="CMA24" s="720"/>
      <c r="CMB24" s="720"/>
      <c r="CMC24" s="720"/>
      <c r="CMD24" s="720"/>
      <c r="CME24" s="720"/>
      <c r="CMF24" s="720"/>
      <c r="CMG24" s="720"/>
      <c r="CMH24" s="720"/>
      <c r="CMI24" s="720"/>
      <c r="CMJ24" s="720"/>
      <c r="CMK24" s="720"/>
      <c r="CML24" s="720"/>
      <c r="CMM24" s="720"/>
      <c r="CMN24" s="720"/>
      <c r="CMO24" s="720"/>
      <c r="CMP24" s="720"/>
      <c r="CMQ24" s="720"/>
      <c r="CMR24" s="720"/>
      <c r="CMS24" s="720"/>
      <c r="CMT24" s="720"/>
      <c r="CMU24" s="720"/>
      <c r="CMV24" s="720"/>
      <c r="CMW24" s="720"/>
      <c r="CMX24" s="720"/>
      <c r="CMY24" s="720"/>
      <c r="CMZ24" s="720"/>
      <c r="CNA24" s="720"/>
      <c r="CNB24" s="720"/>
      <c r="CNC24" s="720"/>
      <c r="CND24" s="720"/>
      <c r="CNE24" s="720"/>
      <c r="CNF24" s="720"/>
      <c r="CNG24" s="720"/>
      <c r="CNH24" s="720"/>
      <c r="CNI24" s="720"/>
      <c r="CNJ24" s="720"/>
      <c r="CNK24" s="720"/>
      <c r="CNL24" s="720"/>
      <c r="CNM24" s="720"/>
      <c r="CNN24" s="720"/>
      <c r="CNO24" s="720"/>
      <c r="CNP24" s="720"/>
      <c r="CNQ24" s="720"/>
      <c r="CNR24" s="720"/>
      <c r="CNS24" s="720"/>
      <c r="CNT24" s="720"/>
      <c r="CNU24" s="720"/>
      <c r="CNV24" s="720"/>
      <c r="CNW24" s="720"/>
      <c r="CNX24" s="720"/>
      <c r="CNY24" s="720"/>
      <c r="CNZ24" s="720"/>
      <c r="COA24" s="720"/>
      <c r="COB24" s="720"/>
      <c r="COC24" s="720"/>
      <c r="COD24" s="720"/>
      <c r="COE24" s="720"/>
      <c r="COF24" s="720"/>
      <c r="COG24" s="720"/>
      <c r="COH24" s="720"/>
      <c r="COI24" s="720"/>
      <c r="COJ24" s="720"/>
      <c r="COK24" s="720"/>
      <c r="COL24" s="720"/>
      <c r="COM24" s="720"/>
      <c r="CON24" s="720"/>
      <c r="COO24" s="720"/>
      <c r="COP24" s="720"/>
      <c r="COQ24" s="720"/>
      <c r="COR24" s="720"/>
      <c r="COS24" s="720"/>
      <c r="COT24" s="720"/>
      <c r="COU24" s="720"/>
      <c r="COV24" s="720"/>
      <c r="COW24" s="720"/>
      <c r="COX24" s="720"/>
      <c r="COY24" s="720"/>
      <c r="COZ24" s="720"/>
      <c r="CPA24" s="720"/>
      <c r="CPB24" s="720"/>
      <c r="CPC24" s="720"/>
      <c r="CPD24" s="720"/>
      <c r="CPE24" s="720"/>
      <c r="CPF24" s="720"/>
      <c r="CPG24" s="720"/>
      <c r="CPH24" s="720"/>
      <c r="CPI24" s="720"/>
      <c r="CPJ24" s="720"/>
      <c r="CPK24" s="720"/>
      <c r="CPL24" s="720"/>
      <c r="CPM24" s="720"/>
      <c r="CPN24" s="720"/>
      <c r="CPO24" s="720"/>
      <c r="CPP24" s="720"/>
      <c r="CPQ24" s="720"/>
      <c r="CPR24" s="720"/>
      <c r="CPS24" s="720"/>
      <c r="CPT24" s="720"/>
      <c r="CPU24" s="720"/>
      <c r="CPV24" s="720"/>
      <c r="CPW24" s="720"/>
      <c r="CPX24" s="720"/>
      <c r="CPY24" s="720"/>
      <c r="CPZ24" s="720"/>
      <c r="CQA24" s="720"/>
      <c r="CQB24" s="720"/>
      <c r="CQC24" s="720"/>
      <c r="CQD24" s="720"/>
      <c r="CQE24" s="720"/>
      <c r="CQF24" s="720"/>
      <c r="CQG24" s="720"/>
      <c r="CQH24" s="720"/>
      <c r="CQI24" s="720"/>
      <c r="CQJ24" s="720"/>
      <c r="CQK24" s="720"/>
      <c r="CQL24" s="720"/>
      <c r="CQM24" s="720"/>
      <c r="CQN24" s="720"/>
      <c r="CQO24" s="720"/>
      <c r="CQP24" s="720"/>
      <c r="CQQ24" s="720"/>
      <c r="CQR24" s="720"/>
      <c r="CQS24" s="720"/>
      <c r="CQT24" s="720"/>
      <c r="CQU24" s="720"/>
      <c r="CQV24" s="720"/>
      <c r="CQW24" s="720"/>
      <c r="CQX24" s="720"/>
      <c r="CQY24" s="720"/>
      <c r="CQZ24" s="720"/>
      <c r="CRA24" s="720"/>
      <c r="CRB24" s="720"/>
      <c r="CRC24" s="720"/>
      <c r="CRD24" s="720"/>
      <c r="CRE24" s="720"/>
      <c r="CRF24" s="720"/>
      <c r="CRG24" s="720"/>
      <c r="CRH24" s="720"/>
      <c r="CRI24" s="720"/>
      <c r="CRJ24" s="720"/>
      <c r="CRK24" s="720"/>
      <c r="CRL24" s="720"/>
      <c r="CRM24" s="720"/>
      <c r="CRN24" s="720"/>
      <c r="CRO24" s="720"/>
      <c r="CRP24" s="720"/>
      <c r="CRQ24" s="720"/>
      <c r="CRR24" s="720"/>
      <c r="CRS24" s="720"/>
      <c r="CRT24" s="720"/>
      <c r="CRU24" s="720"/>
      <c r="CRV24" s="720"/>
      <c r="CRW24" s="720"/>
      <c r="CRX24" s="720"/>
      <c r="CRY24" s="720"/>
      <c r="CRZ24" s="720"/>
      <c r="CSA24" s="720"/>
      <c r="CSB24" s="720"/>
      <c r="CSC24" s="720"/>
      <c r="CSD24" s="720"/>
      <c r="CSE24" s="720"/>
      <c r="CSF24" s="720"/>
      <c r="CSG24" s="720"/>
      <c r="CSH24" s="720"/>
      <c r="CSI24" s="720"/>
      <c r="CSJ24" s="720"/>
      <c r="CSK24" s="720"/>
      <c r="CSL24" s="720"/>
      <c r="CSM24" s="720"/>
      <c r="CSN24" s="720"/>
      <c r="CSO24" s="720"/>
      <c r="CSP24" s="720"/>
      <c r="CSQ24" s="720"/>
      <c r="CSR24" s="720"/>
      <c r="CSS24" s="720"/>
      <c r="CST24" s="720"/>
      <c r="CSU24" s="720"/>
      <c r="CSV24" s="720"/>
      <c r="CSW24" s="720"/>
      <c r="CSX24" s="720"/>
      <c r="CSY24" s="720"/>
      <c r="CSZ24" s="720"/>
      <c r="CTA24" s="720"/>
      <c r="CTB24" s="720"/>
      <c r="CTC24" s="720"/>
      <c r="CTD24" s="720"/>
      <c r="CTE24" s="720"/>
      <c r="CTF24" s="720"/>
      <c r="CTG24" s="720"/>
      <c r="CTH24" s="720"/>
      <c r="CTI24" s="720"/>
      <c r="CTJ24" s="720"/>
      <c r="CTK24" s="720"/>
      <c r="CTL24" s="720"/>
      <c r="CTM24" s="720"/>
      <c r="CTN24" s="720"/>
      <c r="CTO24" s="720"/>
      <c r="CTP24" s="720"/>
      <c r="CTQ24" s="720"/>
      <c r="CTR24" s="720"/>
      <c r="CTS24" s="720"/>
      <c r="CTT24" s="720"/>
      <c r="CTU24" s="720"/>
      <c r="CTV24" s="720"/>
      <c r="CTW24" s="720"/>
      <c r="CTX24" s="720"/>
      <c r="CTY24" s="720"/>
      <c r="CTZ24" s="720"/>
      <c r="CUA24" s="720"/>
      <c r="CUB24" s="720"/>
      <c r="CUC24" s="720"/>
      <c r="CUD24" s="720"/>
      <c r="CUE24" s="720"/>
      <c r="CUF24" s="720"/>
      <c r="CUG24" s="720"/>
      <c r="CUH24" s="720"/>
      <c r="CUI24" s="720"/>
      <c r="CUJ24" s="720"/>
      <c r="CUK24" s="720"/>
      <c r="CUL24" s="720"/>
      <c r="CUM24" s="720"/>
      <c r="CUN24" s="720"/>
      <c r="CUO24" s="720"/>
      <c r="CUP24" s="720"/>
      <c r="CUQ24" s="720"/>
      <c r="CUR24" s="720"/>
      <c r="CUS24" s="720"/>
      <c r="CUT24" s="720"/>
      <c r="CUU24" s="720"/>
      <c r="CUV24" s="720"/>
      <c r="CUW24" s="720"/>
      <c r="CUX24" s="720"/>
      <c r="CUY24" s="720"/>
      <c r="CUZ24" s="720"/>
      <c r="CVA24" s="720"/>
      <c r="CVB24" s="720"/>
      <c r="CVC24" s="720"/>
      <c r="CVD24" s="720"/>
      <c r="CVE24" s="720"/>
      <c r="CVF24" s="720"/>
      <c r="CVG24" s="720"/>
      <c r="CVH24" s="720"/>
      <c r="CVI24" s="720"/>
      <c r="CVJ24" s="720"/>
      <c r="CVK24" s="720"/>
      <c r="CVL24" s="720"/>
      <c r="CVM24" s="720"/>
      <c r="CVN24" s="720"/>
      <c r="CVO24" s="720"/>
      <c r="CVP24" s="720"/>
      <c r="CVQ24" s="720"/>
      <c r="CVR24" s="720"/>
      <c r="CVS24" s="720"/>
      <c r="CVT24" s="720"/>
      <c r="CVU24" s="720"/>
      <c r="CVV24" s="720"/>
      <c r="CVW24" s="720"/>
      <c r="CVX24" s="720"/>
      <c r="CVY24" s="720"/>
      <c r="CVZ24" s="720"/>
      <c r="CWA24" s="720"/>
      <c r="CWB24" s="720"/>
      <c r="CWC24" s="720"/>
      <c r="CWD24" s="720"/>
      <c r="CWE24" s="720"/>
      <c r="CWF24" s="720"/>
      <c r="CWG24" s="720"/>
      <c r="CWH24" s="720"/>
      <c r="CWI24" s="720"/>
      <c r="CWJ24" s="720"/>
      <c r="CWK24" s="720"/>
      <c r="CWL24" s="720"/>
      <c r="CWM24" s="720"/>
      <c r="CWN24" s="720"/>
      <c r="CWO24" s="720"/>
      <c r="CWP24" s="720"/>
      <c r="CWQ24" s="720"/>
      <c r="CWR24" s="720"/>
      <c r="CWS24" s="720"/>
      <c r="CWT24" s="720"/>
      <c r="CWU24" s="720"/>
      <c r="CWV24" s="720"/>
      <c r="CWW24" s="720"/>
      <c r="CWX24" s="720"/>
      <c r="CWY24" s="720"/>
      <c r="CWZ24" s="720"/>
      <c r="CXA24" s="720"/>
      <c r="CXB24" s="720"/>
      <c r="CXC24" s="720"/>
      <c r="CXD24" s="720"/>
      <c r="CXE24" s="720"/>
      <c r="CXF24" s="720"/>
      <c r="CXG24" s="720"/>
      <c r="CXH24" s="720"/>
      <c r="CXI24" s="720"/>
      <c r="CXJ24" s="720"/>
      <c r="CXK24" s="720"/>
      <c r="CXL24" s="720"/>
      <c r="CXM24" s="720"/>
      <c r="CXN24" s="720"/>
      <c r="CXO24" s="720"/>
      <c r="CXP24" s="720"/>
      <c r="CXQ24" s="720"/>
      <c r="CXR24" s="720"/>
      <c r="CXS24" s="720"/>
      <c r="CXT24" s="720"/>
      <c r="CXU24" s="720"/>
      <c r="CXV24" s="720"/>
      <c r="CXW24" s="720"/>
      <c r="CXX24" s="720"/>
      <c r="CXY24" s="720"/>
      <c r="CXZ24" s="720"/>
      <c r="CYA24" s="720"/>
      <c r="CYB24" s="720"/>
      <c r="CYC24" s="720"/>
      <c r="CYD24" s="720"/>
      <c r="CYE24" s="720"/>
      <c r="CYF24" s="720"/>
      <c r="CYG24" s="720"/>
      <c r="CYH24" s="720"/>
      <c r="CYI24" s="720"/>
      <c r="CYJ24" s="720"/>
      <c r="CYK24" s="720"/>
      <c r="CYL24" s="720"/>
      <c r="CYM24" s="720"/>
      <c r="CYN24" s="720"/>
      <c r="CYO24" s="720"/>
      <c r="CYP24" s="720"/>
      <c r="CYQ24" s="720"/>
      <c r="CYR24" s="720"/>
      <c r="CYS24" s="720"/>
      <c r="CYT24" s="720"/>
      <c r="CYU24" s="720"/>
      <c r="CYV24" s="720"/>
      <c r="CYW24" s="720"/>
      <c r="CYX24" s="720"/>
      <c r="CYY24" s="720"/>
      <c r="CYZ24" s="720"/>
      <c r="CZA24" s="720"/>
      <c r="CZB24" s="720"/>
      <c r="CZC24" s="720"/>
      <c r="CZD24" s="720"/>
      <c r="CZE24" s="720"/>
      <c r="CZF24" s="720"/>
      <c r="CZG24" s="720"/>
      <c r="CZH24" s="720"/>
      <c r="CZI24" s="720"/>
      <c r="CZJ24" s="720"/>
      <c r="CZK24" s="720"/>
      <c r="CZL24" s="720"/>
      <c r="CZM24" s="720"/>
      <c r="CZN24" s="720"/>
      <c r="CZO24" s="720"/>
      <c r="CZP24" s="720"/>
      <c r="CZQ24" s="720"/>
      <c r="CZR24" s="720"/>
      <c r="CZS24" s="720"/>
      <c r="CZT24" s="720"/>
      <c r="CZU24" s="720"/>
      <c r="CZV24" s="720"/>
      <c r="CZW24" s="720"/>
      <c r="CZX24" s="720"/>
      <c r="CZY24" s="720"/>
      <c r="CZZ24" s="720"/>
      <c r="DAA24" s="720"/>
      <c r="DAB24" s="720"/>
      <c r="DAC24" s="720"/>
      <c r="DAD24" s="720"/>
      <c r="DAE24" s="720"/>
      <c r="DAF24" s="720"/>
      <c r="DAG24" s="720"/>
      <c r="DAH24" s="720"/>
      <c r="DAI24" s="720"/>
      <c r="DAJ24" s="720"/>
      <c r="DAK24" s="720"/>
      <c r="DAL24" s="720"/>
      <c r="DAM24" s="720"/>
      <c r="DAN24" s="720"/>
      <c r="DAO24" s="720"/>
      <c r="DAP24" s="720"/>
      <c r="DAQ24" s="720"/>
      <c r="DAR24" s="720"/>
      <c r="DAS24" s="720"/>
      <c r="DAT24" s="720"/>
      <c r="DAU24" s="720"/>
      <c r="DAV24" s="720"/>
      <c r="DAW24" s="720"/>
      <c r="DAX24" s="720"/>
      <c r="DAY24" s="720"/>
      <c r="DAZ24" s="720"/>
      <c r="DBA24" s="720"/>
      <c r="DBB24" s="720"/>
      <c r="DBC24" s="720"/>
      <c r="DBD24" s="720"/>
      <c r="DBE24" s="720"/>
      <c r="DBF24" s="720"/>
      <c r="DBG24" s="720"/>
      <c r="DBH24" s="720"/>
      <c r="DBI24" s="720"/>
      <c r="DBJ24" s="720"/>
      <c r="DBK24" s="720"/>
      <c r="DBL24" s="720"/>
      <c r="DBM24" s="720"/>
      <c r="DBN24" s="720"/>
      <c r="DBO24" s="720"/>
      <c r="DBP24" s="720"/>
      <c r="DBQ24" s="720"/>
      <c r="DBR24" s="720"/>
      <c r="DBS24" s="720"/>
      <c r="DBT24" s="720"/>
      <c r="DBU24" s="720"/>
      <c r="DBV24" s="720"/>
      <c r="DBW24" s="720"/>
      <c r="DBX24" s="720"/>
      <c r="DBY24" s="720"/>
      <c r="DBZ24" s="720"/>
      <c r="DCA24" s="720"/>
      <c r="DCB24" s="720"/>
      <c r="DCC24" s="720"/>
      <c r="DCD24" s="720"/>
      <c r="DCE24" s="720"/>
      <c r="DCF24" s="720"/>
      <c r="DCG24" s="720"/>
      <c r="DCH24" s="720"/>
      <c r="DCI24" s="720"/>
      <c r="DCJ24" s="720"/>
      <c r="DCK24" s="720"/>
      <c r="DCL24" s="720"/>
      <c r="DCM24" s="720"/>
      <c r="DCN24" s="720"/>
      <c r="DCO24" s="720"/>
      <c r="DCP24" s="720"/>
      <c r="DCQ24" s="720"/>
      <c r="DCR24" s="720"/>
      <c r="DCS24" s="720"/>
      <c r="DCT24" s="720"/>
      <c r="DCU24" s="720"/>
      <c r="DCV24" s="720"/>
      <c r="DCW24" s="720"/>
      <c r="DCX24" s="720"/>
      <c r="DCY24" s="720"/>
      <c r="DCZ24" s="720"/>
      <c r="DDA24" s="720"/>
      <c r="DDB24" s="720"/>
      <c r="DDC24" s="720"/>
      <c r="DDD24" s="720"/>
      <c r="DDE24" s="720"/>
      <c r="DDF24" s="720"/>
      <c r="DDG24" s="720"/>
      <c r="DDH24" s="720"/>
      <c r="DDI24" s="720"/>
      <c r="DDJ24" s="720"/>
      <c r="DDK24" s="720"/>
      <c r="DDL24" s="720"/>
      <c r="DDM24" s="720"/>
      <c r="DDN24" s="720"/>
      <c r="DDO24" s="720"/>
      <c r="DDP24" s="720"/>
      <c r="DDQ24" s="720"/>
      <c r="DDR24" s="720"/>
      <c r="DDS24" s="720"/>
      <c r="DDT24" s="720"/>
      <c r="DDU24" s="720"/>
      <c r="DDV24" s="720"/>
      <c r="DDW24" s="720"/>
      <c r="DDX24" s="720"/>
      <c r="DDY24" s="720"/>
      <c r="DDZ24" s="720"/>
      <c r="DEA24" s="720"/>
      <c r="DEB24" s="720"/>
      <c r="DEC24" s="720"/>
      <c r="DED24" s="720"/>
      <c r="DEE24" s="720"/>
      <c r="DEF24" s="720"/>
      <c r="DEG24" s="720"/>
      <c r="DEH24" s="720"/>
      <c r="DEI24" s="720"/>
      <c r="DEJ24" s="720"/>
      <c r="DEK24" s="720"/>
      <c r="DEL24" s="720"/>
      <c r="DEM24" s="720"/>
      <c r="DEN24" s="720"/>
      <c r="DEO24" s="720"/>
      <c r="DEP24" s="720"/>
      <c r="DEQ24" s="720"/>
      <c r="DER24" s="720"/>
      <c r="DES24" s="720"/>
      <c r="DET24" s="720"/>
      <c r="DEU24" s="720"/>
      <c r="DEV24" s="720"/>
      <c r="DEW24" s="720"/>
      <c r="DEX24" s="720"/>
      <c r="DEY24" s="720"/>
      <c r="DEZ24" s="720"/>
      <c r="DFA24" s="720"/>
      <c r="DFB24" s="720"/>
      <c r="DFC24" s="720"/>
      <c r="DFD24" s="720"/>
      <c r="DFE24" s="720"/>
      <c r="DFF24" s="720"/>
      <c r="DFG24" s="720"/>
      <c r="DFH24" s="720"/>
      <c r="DFI24" s="720"/>
      <c r="DFJ24" s="720"/>
      <c r="DFK24" s="720"/>
      <c r="DFL24" s="720"/>
      <c r="DFM24" s="720"/>
      <c r="DFN24" s="720"/>
      <c r="DFO24" s="720"/>
      <c r="DFP24" s="720"/>
      <c r="DFQ24" s="720"/>
      <c r="DFR24" s="720"/>
      <c r="DFS24" s="720"/>
      <c r="DFT24" s="720"/>
      <c r="DFU24" s="720"/>
      <c r="DFV24" s="720"/>
      <c r="DFW24" s="720"/>
      <c r="DFX24" s="720"/>
      <c r="DFY24" s="720"/>
      <c r="DFZ24" s="720"/>
      <c r="DGA24" s="720"/>
      <c r="DGB24" s="720"/>
      <c r="DGC24" s="720"/>
      <c r="DGD24" s="720"/>
      <c r="DGE24" s="720"/>
      <c r="DGF24" s="720"/>
      <c r="DGG24" s="720"/>
      <c r="DGH24" s="720"/>
      <c r="DGI24" s="720"/>
      <c r="DGJ24" s="720"/>
      <c r="DGK24" s="720"/>
      <c r="DGL24" s="720"/>
      <c r="DGM24" s="720"/>
      <c r="DGN24" s="720"/>
      <c r="DGO24" s="720"/>
      <c r="DGP24" s="720"/>
      <c r="DGQ24" s="720"/>
      <c r="DGR24" s="720"/>
      <c r="DGS24" s="720"/>
      <c r="DGT24" s="720"/>
      <c r="DGU24" s="720"/>
      <c r="DGV24" s="720"/>
      <c r="DGW24" s="720"/>
      <c r="DGX24" s="720"/>
      <c r="DGY24" s="720"/>
      <c r="DGZ24" s="720"/>
      <c r="DHA24" s="720"/>
      <c r="DHB24" s="720"/>
      <c r="DHC24" s="720"/>
      <c r="DHD24" s="720"/>
      <c r="DHE24" s="720"/>
      <c r="DHF24" s="720"/>
      <c r="DHG24" s="720"/>
      <c r="DHH24" s="720"/>
      <c r="DHI24" s="720"/>
      <c r="DHJ24" s="720"/>
      <c r="DHK24" s="720"/>
      <c r="DHL24" s="720"/>
      <c r="DHM24" s="720"/>
      <c r="DHN24" s="720"/>
      <c r="DHO24" s="720"/>
      <c r="DHP24" s="720"/>
      <c r="DHQ24" s="720"/>
      <c r="DHR24" s="720"/>
      <c r="DHS24" s="720"/>
      <c r="DHT24" s="720"/>
      <c r="DHU24" s="720"/>
      <c r="DHV24" s="720"/>
      <c r="DHW24" s="720"/>
      <c r="DHX24" s="720"/>
      <c r="DHY24" s="720"/>
      <c r="DHZ24" s="720"/>
      <c r="DIA24" s="720"/>
      <c r="DIB24" s="720"/>
      <c r="DIC24" s="720"/>
      <c r="DID24" s="720"/>
      <c r="DIE24" s="720"/>
      <c r="DIF24" s="720"/>
      <c r="DIG24" s="720"/>
      <c r="DIH24" s="720"/>
      <c r="DII24" s="720"/>
      <c r="DIJ24" s="720"/>
      <c r="DIK24" s="720"/>
      <c r="DIL24" s="720"/>
      <c r="DIM24" s="720"/>
      <c r="DIN24" s="720"/>
      <c r="DIO24" s="720"/>
      <c r="DIP24" s="720"/>
      <c r="DIQ24" s="720"/>
      <c r="DIR24" s="720"/>
      <c r="DIS24" s="720"/>
      <c r="DIT24" s="720"/>
      <c r="DIU24" s="720"/>
      <c r="DIV24" s="720"/>
      <c r="DIW24" s="720"/>
      <c r="DIX24" s="720"/>
      <c r="DIY24" s="720"/>
      <c r="DIZ24" s="720"/>
      <c r="DJA24" s="720"/>
      <c r="DJB24" s="720"/>
      <c r="DJC24" s="720"/>
      <c r="DJD24" s="720"/>
      <c r="DJE24" s="720"/>
      <c r="DJF24" s="720"/>
      <c r="DJG24" s="720"/>
      <c r="DJH24" s="720"/>
      <c r="DJI24" s="720"/>
      <c r="DJJ24" s="720"/>
      <c r="DJK24" s="720"/>
      <c r="DJL24" s="720"/>
      <c r="DJM24" s="720"/>
      <c r="DJN24" s="720"/>
      <c r="DJO24" s="720"/>
      <c r="DJP24" s="720"/>
      <c r="DJQ24" s="720"/>
      <c r="DJR24" s="720"/>
      <c r="DJS24" s="720"/>
      <c r="DJT24" s="720"/>
      <c r="DJU24" s="720"/>
      <c r="DJV24" s="720"/>
      <c r="DJW24" s="720"/>
      <c r="DJX24" s="720"/>
      <c r="DJY24" s="720"/>
      <c r="DJZ24" s="720"/>
      <c r="DKA24" s="720"/>
      <c r="DKB24" s="720"/>
      <c r="DKC24" s="720"/>
      <c r="DKD24" s="720"/>
      <c r="DKE24" s="720"/>
      <c r="DKF24" s="720"/>
      <c r="DKG24" s="720"/>
      <c r="DKH24" s="720"/>
      <c r="DKI24" s="720"/>
      <c r="DKJ24" s="720"/>
      <c r="DKK24" s="720"/>
      <c r="DKL24" s="720"/>
      <c r="DKM24" s="720"/>
      <c r="DKN24" s="720"/>
      <c r="DKO24" s="720"/>
      <c r="DKP24" s="720"/>
      <c r="DKQ24" s="720"/>
      <c r="DKR24" s="720"/>
      <c r="DKS24" s="720"/>
      <c r="DKT24" s="720"/>
      <c r="DKU24" s="720"/>
      <c r="DKV24" s="720"/>
      <c r="DKW24" s="720"/>
      <c r="DKX24" s="720"/>
      <c r="DKY24" s="720"/>
      <c r="DKZ24" s="720"/>
      <c r="DLA24" s="720"/>
      <c r="DLB24" s="720"/>
      <c r="DLC24" s="720"/>
      <c r="DLD24" s="720"/>
      <c r="DLE24" s="720"/>
      <c r="DLF24" s="720"/>
      <c r="DLG24" s="720"/>
      <c r="DLH24" s="720"/>
      <c r="DLI24" s="720"/>
      <c r="DLJ24" s="720"/>
      <c r="DLK24" s="720"/>
      <c r="DLL24" s="720"/>
      <c r="DLM24" s="720"/>
      <c r="DLN24" s="720"/>
      <c r="DLO24" s="720"/>
      <c r="DLP24" s="720"/>
      <c r="DLQ24" s="720"/>
      <c r="DLR24" s="720"/>
      <c r="DLS24" s="720"/>
      <c r="DLT24" s="720"/>
      <c r="DLU24" s="720"/>
      <c r="DLV24" s="720"/>
      <c r="DLW24" s="720"/>
      <c r="DLX24" s="720"/>
      <c r="DLY24" s="720"/>
      <c r="DLZ24" s="720"/>
      <c r="DMA24" s="720"/>
      <c r="DMB24" s="720"/>
      <c r="DMC24" s="720"/>
      <c r="DMD24" s="720"/>
      <c r="DME24" s="720"/>
      <c r="DMF24" s="720"/>
      <c r="DMG24" s="720"/>
      <c r="DMH24" s="720"/>
      <c r="DMI24" s="720"/>
      <c r="DMJ24" s="720"/>
      <c r="DMK24" s="720"/>
      <c r="DML24" s="720"/>
      <c r="DMM24" s="720"/>
      <c r="DMN24" s="720"/>
      <c r="DMO24" s="720"/>
      <c r="DMP24" s="720"/>
      <c r="DMQ24" s="720"/>
      <c r="DMR24" s="720"/>
      <c r="DMS24" s="720"/>
      <c r="DMT24" s="720"/>
      <c r="DMU24" s="720"/>
      <c r="DMV24" s="720"/>
      <c r="DMW24" s="720"/>
      <c r="DMX24" s="720"/>
      <c r="DMY24" s="720"/>
      <c r="DMZ24" s="720"/>
      <c r="DNA24" s="720"/>
      <c r="DNB24" s="720"/>
      <c r="DNC24" s="720"/>
      <c r="DND24" s="720"/>
      <c r="DNE24" s="720"/>
      <c r="DNF24" s="720"/>
      <c r="DNG24" s="720"/>
      <c r="DNH24" s="720"/>
      <c r="DNI24" s="720"/>
      <c r="DNJ24" s="720"/>
      <c r="DNK24" s="720"/>
      <c r="DNL24" s="720"/>
      <c r="DNM24" s="720"/>
      <c r="DNN24" s="720"/>
      <c r="DNO24" s="720"/>
      <c r="DNP24" s="720"/>
      <c r="DNQ24" s="720"/>
      <c r="DNR24" s="720"/>
      <c r="DNS24" s="720"/>
      <c r="DNT24" s="720"/>
      <c r="DNU24" s="720"/>
      <c r="DNV24" s="720"/>
      <c r="DNW24" s="720"/>
      <c r="DNX24" s="720"/>
      <c r="DNY24" s="720"/>
      <c r="DNZ24" s="720"/>
      <c r="DOA24" s="720"/>
      <c r="DOB24" s="720"/>
      <c r="DOC24" s="720"/>
      <c r="DOD24" s="720"/>
      <c r="DOE24" s="720"/>
      <c r="DOF24" s="720"/>
      <c r="DOG24" s="720"/>
      <c r="DOH24" s="720"/>
      <c r="DOI24" s="720"/>
      <c r="DOJ24" s="720"/>
      <c r="DOK24" s="720"/>
      <c r="DOL24" s="720"/>
      <c r="DOM24" s="720"/>
      <c r="DON24" s="720"/>
      <c r="DOO24" s="720"/>
      <c r="DOP24" s="720"/>
      <c r="DOQ24" s="720"/>
      <c r="DOR24" s="720"/>
      <c r="DOS24" s="720"/>
      <c r="DOT24" s="720"/>
      <c r="DOU24" s="720"/>
      <c r="DOV24" s="720"/>
      <c r="DOW24" s="720"/>
      <c r="DOX24" s="720"/>
      <c r="DOY24" s="720"/>
      <c r="DOZ24" s="720"/>
      <c r="DPA24" s="720"/>
      <c r="DPB24" s="720"/>
      <c r="DPC24" s="720"/>
      <c r="DPD24" s="720"/>
      <c r="DPE24" s="720"/>
      <c r="DPF24" s="720"/>
      <c r="DPG24" s="720"/>
      <c r="DPH24" s="720"/>
      <c r="DPI24" s="720"/>
      <c r="DPJ24" s="720"/>
      <c r="DPK24" s="720"/>
      <c r="DPL24" s="720"/>
      <c r="DPM24" s="720"/>
      <c r="DPN24" s="720"/>
      <c r="DPO24" s="720"/>
      <c r="DPP24" s="720"/>
      <c r="DPQ24" s="720"/>
      <c r="DPR24" s="720"/>
      <c r="DPS24" s="720"/>
      <c r="DPT24" s="720"/>
      <c r="DPU24" s="720"/>
      <c r="DPV24" s="720"/>
      <c r="DPW24" s="720"/>
      <c r="DPX24" s="720"/>
      <c r="DPY24" s="720"/>
      <c r="DPZ24" s="720"/>
      <c r="DQA24" s="720"/>
      <c r="DQB24" s="720"/>
      <c r="DQC24" s="720"/>
      <c r="DQD24" s="720"/>
      <c r="DQE24" s="720"/>
      <c r="DQF24" s="720"/>
      <c r="DQG24" s="720"/>
      <c r="DQH24" s="720"/>
      <c r="DQI24" s="720"/>
      <c r="DQJ24" s="720"/>
      <c r="DQK24" s="720"/>
      <c r="DQL24" s="720"/>
      <c r="DQM24" s="720"/>
      <c r="DQN24" s="720"/>
      <c r="DQO24" s="720"/>
      <c r="DQP24" s="720"/>
      <c r="DQQ24" s="720"/>
      <c r="DQR24" s="720"/>
      <c r="DQS24" s="720"/>
      <c r="DQT24" s="720"/>
      <c r="DQU24" s="720"/>
      <c r="DQV24" s="720"/>
      <c r="DQW24" s="720"/>
      <c r="DQX24" s="720"/>
      <c r="DQY24" s="720"/>
      <c r="DQZ24" s="720"/>
      <c r="DRA24" s="720"/>
      <c r="DRB24" s="720"/>
      <c r="DRC24" s="720"/>
      <c r="DRD24" s="720"/>
      <c r="DRE24" s="720"/>
      <c r="DRF24" s="720"/>
      <c r="DRG24" s="720"/>
      <c r="DRH24" s="720"/>
      <c r="DRI24" s="720"/>
      <c r="DRJ24" s="720"/>
      <c r="DRK24" s="720"/>
      <c r="DRL24" s="720"/>
      <c r="DRM24" s="720"/>
      <c r="DRN24" s="720"/>
      <c r="DRO24" s="720"/>
      <c r="DRP24" s="720"/>
      <c r="DRQ24" s="720"/>
      <c r="DRR24" s="720"/>
      <c r="DRS24" s="720"/>
      <c r="DRT24" s="720"/>
      <c r="DRU24" s="720"/>
      <c r="DRV24" s="720"/>
      <c r="DRW24" s="720"/>
      <c r="DRX24" s="720"/>
      <c r="DRY24" s="720"/>
      <c r="DRZ24" s="720"/>
      <c r="DSA24" s="720"/>
      <c r="DSB24" s="720"/>
      <c r="DSC24" s="720"/>
      <c r="DSD24" s="720"/>
      <c r="DSE24" s="720"/>
      <c r="DSF24" s="720"/>
      <c r="DSG24" s="720"/>
      <c r="DSH24" s="720"/>
      <c r="DSI24" s="720"/>
      <c r="DSJ24" s="720"/>
      <c r="DSK24" s="720"/>
      <c r="DSL24" s="720"/>
      <c r="DSM24" s="720"/>
      <c r="DSN24" s="720"/>
      <c r="DSO24" s="720"/>
      <c r="DSP24" s="720"/>
      <c r="DSQ24" s="720"/>
      <c r="DSR24" s="720"/>
      <c r="DSS24" s="720"/>
      <c r="DST24" s="720"/>
      <c r="DSU24" s="720"/>
      <c r="DSV24" s="720"/>
      <c r="DSW24" s="720"/>
      <c r="DSX24" s="720"/>
      <c r="DSY24" s="720"/>
      <c r="DSZ24" s="720"/>
      <c r="DTA24" s="720"/>
      <c r="DTB24" s="720"/>
      <c r="DTC24" s="720"/>
      <c r="DTD24" s="720"/>
      <c r="DTE24" s="720"/>
      <c r="DTF24" s="720"/>
      <c r="DTG24" s="720"/>
      <c r="DTH24" s="720"/>
      <c r="DTI24" s="720"/>
      <c r="DTJ24" s="720"/>
      <c r="DTK24" s="720"/>
      <c r="DTL24" s="720"/>
      <c r="DTM24" s="720"/>
      <c r="DTN24" s="720"/>
      <c r="DTO24" s="720"/>
      <c r="DTP24" s="720"/>
      <c r="DTQ24" s="720"/>
      <c r="DTR24" s="720"/>
      <c r="DTS24" s="720"/>
      <c r="DTT24" s="720"/>
      <c r="DTU24" s="720"/>
      <c r="DTV24" s="720"/>
      <c r="DTW24" s="720"/>
      <c r="DTX24" s="720"/>
      <c r="DTY24" s="720"/>
      <c r="DTZ24" s="720"/>
      <c r="DUA24" s="720"/>
      <c r="DUB24" s="720"/>
      <c r="DUC24" s="720"/>
      <c r="DUD24" s="720"/>
      <c r="DUE24" s="720"/>
      <c r="DUF24" s="720"/>
      <c r="DUG24" s="720"/>
      <c r="DUH24" s="720"/>
      <c r="DUI24" s="720"/>
      <c r="DUJ24" s="720"/>
      <c r="DUK24" s="720"/>
      <c r="DUL24" s="720"/>
      <c r="DUM24" s="720"/>
      <c r="DUN24" s="720"/>
      <c r="DUO24" s="720"/>
      <c r="DUP24" s="720"/>
      <c r="DUQ24" s="720"/>
      <c r="DUR24" s="720"/>
      <c r="DUS24" s="720"/>
      <c r="DUT24" s="720"/>
      <c r="DUU24" s="720"/>
      <c r="DUV24" s="720"/>
      <c r="DUW24" s="720"/>
      <c r="DUX24" s="720"/>
      <c r="DUY24" s="720"/>
      <c r="DUZ24" s="720"/>
      <c r="DVA24" s="720"/>
      <c r="DVB24" s="720"/>
      <c r="DVC24" s="720"/>
      <c r="DVD24" s="720"/>
      <c r="DVE24" s="720"/>
      <c r="DVF24" s="720"/>
      <c r="DVG24" s="720"/>
      <c r="DVH24" s="720"/>
      <c r="DVI24" s="720"/>
      <c r="DVJ24" s="720"/>
      <c r="DVK24" s="720"/>
      <c r="DVL24" s="720"/>
      <c r="DVM24" s="720"/>
      <c r="DVN24" s="720"/>
      <c r="DVO24" s="720"/>
      <c r="DVP24" s="720"/>
      <c r="DVQ24" s="720"/>
      <c r="DVR24" s="720"/>
      <c r="DVS24" s="720"/>
      <c r="DVT24" s="720"/>
      <c r="DVU24" s="720"/>
      <c r="DVV24" s="720"/>
      <c r="DVW24" s="720"/>
      <c r="DVX24" s="720"/>
      <c r="DVY24" s="720"/>
      <c r="DVZ24" s="720"/>
      <c r="DWA24" s="720"/>
      <c r="DWB24" s="720"/>
      <c r="DWC24" s="720"/>
      <c r="DWD24" s="720"/>
      <c r="DWE24" s="720"/>
      <c r="DWF24" s="720"/>
      <c r="DWG24" s="720"/>
      <c r="DWH24" s="720"/>
      <c r="DWI24" s="720"/>
      <c r="DWJ24" s="720"/>
      <c r="DWK24" s="720"/>
      <c r="DWL24" s="720"/>
      <c r="DWM24" s="720"/>
      <c r="DWN24" s="720"/>
      <c r="DWO24" s="720"/>
      <c r="DWP24" s="720"/>
      <c r="DWQ24" s="720"/>
      <c r="DWR24" s="720"/>
      <c r="DWS24" s="720"/>
      <c r="DWT24" s="720"/>
      <c r="DWU24" s="720"/>
      <c r="DWV24" s="720"/>
      <c r="DWW24" s="720"/>
      <c r="DWX24" s="720"/>
      <c r="DWY24" s="720"/>
      <c r="DWZ24" s="720"/>
      <c r="DXA24" s="720"/>
      <c r="DXB24" s="720"/>
      <c r="DXC24" s="720"/>
      <c r="DXD24" s="720"/>
      <c r="DXE24" s="720"/>
      <c r="DXF24" s="720"/>
      <c r="DXG24" s="720"/>
      <c r="DXH24" s="720"/>
      <c r="DXI24" s="720"/>
      <c r="DXJ24" s="720"/>
      <c r="DXK24" s="720"/>
      <c r="DXL24" s="720"/>
      <c r="DXM24" s="720"/>
      <c r="DXN24" s="720"/>
      <c r="DXO24" s="720"/>
      <c r="DXP24" s="720"/>
      <c r="DXQ24" s="720"/>
      <c r="DXR24" s="720"/>
      <c r="DXS24" s="720"/>
      <c r="DXT24" s="720"/>
      <c r="DXU24" s="720"/>
      <c r="DXV24" s="720"/>
      <c r="DXW24" s="720"/>
      <c r="DXX24" s="720"/>
      <c r="DXY24" s="720"/>
      <c r="DXZ24" s="720"/>
      <c r="DYA24" s="720"/>
      <c r="DYB24" s="720"/>
      <c r="DYC24" s="720"/>
      <c r="DYD24" s="720"/>
      <c r="DYE24" s="720"/>
      <c r="DYF24" s="720"/>
      <c r="DYG24" s="720"/>
      <c r="DYH24" s="720"/>
      <c r="DYI24" s="720"/>
      <c r="DYJ24" s="720"/>
      <c r="DYK24" s="720"/>
      <c r="DYL24" s="720"/>
      <c r="DYM24" s="720"/>
      <c r="DYN24" s="720"/>
      <c r="DYO24" s="720"/>
      <c r="DYP24" s="720"/>
      <c r="DYQ24" s="720"/>
      <c r="DYR24" s="720"/>
      <c r="DYS24" s="720"/>
      <c r="DYT24" s="720"/>
      <c r="DYU24" s="720"/>
      <c r="DYV24" s="720"/>
      <c r="DYW24" s="720"/>
      <c r="DYX24" s="720"/>
      <c r="DYY24" s="720"/>
      <c r="DYZ24" s="720"/>
      <c r="DZA24" s="720"/>
      <c r="DZB24" s="720"/>
      <c r="DZC24" s="720"/>
      <c r="DZD24" s="720"/>
      <c r="DZE24" s="720"/>
      <c r="DZF24" s="720"/>
      <c r="DZG24" s="720"/>
      <c r="DZH24" s="720"/>
      <c r="DZI24" s="720"/>
      <c r="DZJ24" s="720"/>
      <c r="DZK24" s="720"/>
      <c r="DZL24" s="720"/>
      <c r="DZM24" s="720"/>
      <c r="DZN24" s="720"/>
      <c r="DZO24" s="720"/>
      <c r="DZP24" s="720"/>
      <c r="DZQ24" s="720"/>
      <c r="DZR24" s="720"/>
      <c r="DZS24" s="720"/>
      <c r="DZT24" s="720"/>
      <c r="DZU24" s="720"/>
      <c r="DZV24" s="720"/>
      <c r="DZW24" s="720"/>
      <c r="DZX24" s="720"/>
      <c r="DZY24" s="720"/>
      <c r="DZZ24" s="720"/>
      <c r="EAA24" s="720"/>
      <c r="EAB24" s="720"/>
      <c r="EAC24" s="720"/>
      <c r="EAD24" s="720"/>
      <c r="EAE24" s="720"/>
      <c r="EAF24" s="720"/>
      <c r="EAG24" s="720"/>
      <c r="EAH24" s="720"/>
      <c r="EAI24" s="720"/>
      <c r="EAJ24" s="720"/>
      <c r="EAK24" s="720"/>
      <c r="EAL24" s="720"/>
      <c r="EAM24" s="720"/>
      <c r="EAN24" s="720"/>
      <c r="EAO24" s="720"/>
      <c r="EAP24" s="720"/>
      <c r="EAQ24" s="720"/>
      <c r="EAR24" s="720"/>
      <c r="EAS24" s="720"/>
      <c r="EAT24" s="720"/>
      <c r="EAU24" s="720"/>
      <c r="EAV24" s="720"/>
      <c r="EAW24" s="720"/>
      <c r="EAX24" s="720"/>
      <c r="EAY24" s="720"/>
      <c r="EAZ24" s="720"/>
      <c r="EBA24" s="720"/>
      <c r="EBB24" s="720"/>
      <c r="EBC24" s="720"/>
      <c r="EBD24" s="720"/>
      <c r="EBE24" s="720"/>
      <c r="EBF24" s="720"/>
      <c r="EBG24" s="720"/>
      <c r="EBH24" s="720"/>
      <c r="EBI24" s="720"/>
      <c r="EBJ24" s="720"/>
      <c r="EBK24" s="720"/>
      <c r="EBL24" s="720"/>
      <c r="EBM24" s="720"/>
      <c r="EBN24" s="720"/>
      <c r="EBO24" s="720"/>
      <c r="EBP24" s="720"/>
      <c r="EBQ24" s="720"/>
      <c r="EBR24" s="720"/>
      <c r="EBS24" s="720"/>
      <c r="EBT24" s="720"/>
      <c r="EBU24" s="720"/>
      <c r="EBV24" s="720"/>
      <c r="EBW24" s="720"/>
      <c r="EBX24" s="720"/>
      <c r="EBY24" s="720"/>
      <c r="EBZ24" s="720"/>
      <c r="ECA24" s="720"/>
      <c r="ECB24" s="720"/>
      <c r="ECC24" s="720"/>
      <c r="ECD24" s="720"/>
      <c r="ECE24" s="720"/>
      <c r="ECF24" s="720"/>
      <c r="ECG24" s="720"/>
      <c r="ECH24" s="720"/>
      <c r="ECI24" s="720"/>
      <c r="ECJ24" s="720"/>
      <c r="ECK24" s="720"/>
      <c r="ECL24" s="720"/>
      <c r="ECM24" s="720"/>
      <c r="ECN24" s="720"/>
      <c r="ECO24" s="720"/>
      <c r="ECP24" s="720"/>
      <c r="ECQ24" s="720"/>
      <c r="ECR24" s="720"/>
      <c r="ECS24" s="720"/>
      <c r="ECT24" s="720"/>
      <c r="ECU24" s="720"/>
      <c r="ECV24" s="720"/>
      <c r="ECW24" s="720"/>
      <c r="ECX24" s="720"/>
      <c r="ECY24" s="720"/>
      <c r="ECZ24" s="720"/>
      <c r="EDA24" s="720"/>
      <c r="EDB24" s="720"/>
      <c r="EDC24" s="720"/>
      <c r="EDD24" s="720"/>
      <c r="EDE24" s="720"/>
      <c r="EDF24" s="720"/>
      <c r="EDG24" s="720"/>
      <c r="EDH24" s="720"/>
      <c r="EDI24" s="720"/>
      <c r="EDJ24" s="720"/>
      <c r="EDK24" s="720"/>
      <c r="EDL24" s="720"/>
      <c r="EDM24" s="720"/>
      <c r="EDN24" s="720"/>
      <c r="EDO24" s="720"/>
      <c r="EDP24" s="720"/>
      <c r="EDQ24" s="720"/>
      <c r="EDR24" s="720"/>
      <c r="EDS24" s="720"/>
      <c r="EDT24" s="720"/>
      <c r="EDU24" s="720"/>
      <c r="EDV24" s="720"/>
      <c r="EDW24" s="720"/>
      <c r="EDX24" s="720"/>
      <c r="EDY24" s="720"/>
      <c r="EDZ24" s="720"/>
      <c r="EEA24" s="720"/>
      <c r="EEB24" s="720"/>
      <c r="EEC24" s="720"/>
      <c r="EED24" s="720"/>
      <c r="EEE24" s="720"/>
      <c r="EEF24" s="720"/>
      <c r="EEG24" s="720"/>
      <c r="EEH24" s="720"/>
      <c r="EEI24" s="720"/>
      <c r="EEJ24" s="720"/>
      <c r="EEK24" s="720"/>
      <c r="EEL24" s="720"/>
      <c r="EEM24" s="720"/>
      <c r="EEN24" s="720"/>
      <c r="EEO24" s="720"/>
      <c r="EEP24" s="720"/>
      <c r="EEQ24" s="720"/>
      <c r="EER24" s="720"/>
      <c r="EES24" s="720"/>
      <c r="EET24" s="720"/>
      <c r="EEU24" s="720"/>
      <c r="EEV24" s="720"/>
      <c r="EEW24" s="720"/>
      <c r="EEX24" s="720"/>
      <c r="EEY24" s="720"/>
      <c r="EEZ24" s="720"/>
      <c r="EFA24" s="720"/>
      <c r="EFB24" s="720"/>
      <c r="EFC24" s="720"/>
      <c r="EFD24" s="720"/>
      <c r="EFE24" s="720"/>
      <c r="EFF24" s="720"/>
      <c r="EFG24" s="720"/>
      <c r="EFH24" s="720"/>
      <c r="EFI24" s="720"/>
      <c r="EFJ24" s="720"/>
      <c r="EFK24" s="720"/>
      <c r="EFL24" s="720"/>
      <c r="EFM24" s="720"/>
      <c r="EFN24" s="720"/>
      <c r="EFO24" s="720"/>
      <c r="EFP24" s="720"/>
      <c r="EFQ24" s="720"/>
      <c r="EFR24" s="720"/>
      <c r="EFS24" s="720"/>
      <c r="EFT24" s="720"/>
      <c r="EFU24" s="720"/>
      <c r="EFV24" s="720"/>
      <c r="EFW24" s="720"/>
      <c r="EFX24" s="720"/>
      <c r="EFY24" s="720"/>
      <c r="EFZ24" s="720"/>
      <c r="EGA24" s="720"/>
      <c r="EGB24" s="720"/>
      <c r="EGC24" s="720"/>
      <c r="EGD24" s="720"/>
      <c r="EGE24" s="720"/>
      <c r="EGF24" s="720"/>
      <c r="EGG24" s="720"/>
      <c r="EGH24" s="720"/>
      <c r="EGI24" s="720"/>
      <c r="EGJ24" s="720"/>
      <c r="EGK24" s="720"/>
      <c r="EGL24" s="720"/>
      <c r="EGM24" s="720"/>
      <c r="EGN24" s="720"/>
      <c r="EGO24" s="720"/>
      <c r="EGP24" s="720"/>
      <c r="EGQ24" s="720"/>
      <c r="EGR24" s="720"/>
      <c r="EGS24" s="720"/>
      <c r="EGT24" s="720"/>
      <c r="EGU24" s="720"/>
      <c r="EGV24" s="720"/>
      <c r="EGW24" s="720"/>
      <c r="EGX24" s="720"/>
      <c r="EGY24" s="720"/>
      <c r="EGZ24" s="720"/>
      <c r="EHA24" s="720"/>
      <c r="EHB24" s="720"/>
      <c r="EHC24" s="720"/>
      <c r="EHD24" s="720"/>
      <c r="EHE24" s="720"/>
      <c r="EHF24" s="720"/>
      <c r="EHG24" s="720"/>
      <c r="EHH24" s="720"/>
      <c r="EHI24" s="720"/>
      <c r="EHJ24" s="720"/>
      <c r="EHK24" s="720"/>
      <c r="EHL24" s="720"/>
      <c r="EHM24" s="720"/>
      <c r="EHN24" s="720"/>
      <c r="EHO24" s="720"/>
      <c r="EHP24" s="720"/>
      <c r="EHQ24" s="720"/>
      <c r="EHR24" s="720"/>
      <c r="EHS24" s="720"/>
      <c r="EHT24" s="720"/>
      <c r="EHU24" s="720"/>
      <c r="EHV24" s="720"/>
      <c r="EHW24" s="720"/>
      <c r="EHX24" s="720"/>
      <c r="EHY24" s="720"/>
      <c r="EHZ24" s="720"/>
      <c r="EIA24" s="720"/>
      <c r="EIB24" s="720"/>
      <c r="EIC24" s="720"/>
      <c r="EID24" s="720"/>
      <c r="EIE24" s="720"/>
      <c r="EIF24" s="720"/>
      <c r="EIG24" s="720"/>
      <c r="EIH24" s="720"/>
      <c r="EII24" s="720"/>
      <c r="EIJ24" s="720"/>
      <c r="EIK24" s="720"/>
      <c r="EIL24" s="720"/>
      <c r="EIM24" s="720"/>
      <c r="EIN24" s="720"/>
      <c r="EIO24" s="720"/>
      <c r="EIP24" s="720"/>
      <c r="EIQ24" s="720"/>
      <c r="EIR24" s="720"/>
      <c r="EIS24" s="720"/>
      <c r="EIT24" s="720"/>
      <c r="EIU24" s="720"/>
      <c r="EIV24" s="720"/>
      <c r="EIW24" s="720"/>
      <c r="EIX24" s="720"/>
      <c r="EIY24" s="720"/>
      <c r="EIZ24" s="720"/>
      <c r="EJA24" s="720"/>
      <c r="EJB24" s="720"/>
      <c r="EJC24" s="720"/>
      <c r="EJD24" s="720"/>
      <c r="EJE24" s="720"/>
      <c r="EJF24" s="720"/>
      <c r="EJG24" s="720"/>
      <c r="EJH24" s="720"/>
      <c r="EJI24" s="720"/>
      <c r="EJJ24" s="720"/>
      <c r="EJK24" s="720"/>
      <c r="EJL24" s="720"/>
      <c r="EJM24" s="720"/>
      <c r="EJN24" s="720"/>
      <c r="EJO24" s="720"/>
      <c r="EJP24" s="720"/>
      <c r="EJQ24" s="720"/>
      <c r="EJR24" s="720"/>
      <c r="EJS24" s="720"/>
      <c r="EJT24" s="720"/>
      <c r="EJU24" s="720"/>
      <c r="EJV24" s="720"/>
      <c r="EJW24" s="720"/>
      <c r="EJX24" s="720"/>
      <c r="EJY24" s="720"/>
      <c r="EJZ24" s="720"/>
      <c r="EKA24" s="720"/>
      <c r="EKB24" s="720"/>
      <c r="EKC24" s="720"/>
      <c r="EKD24" s="720"/>
      <c r="EKE24" s="720"/>
      <c r="EKF24" s="720"/>
      <c r="EKG24" s="720"/>
      <c r="EKH24" s="720"/>
      <c r="EKI24" s="720"/>
      <c r="EKJ24" s="720"/>
      <c r="EKK24" s="720"/>
      <c r="EKL24" s="720"/>
      <c r="EKM24" s="720"/>
      <c r="EKN24" s="720"/>
      <c r="EKO24" s="720"/>
      <c r="EKP24" s="720"/>
      <c r="EKQ24" s="720"/>
      <c r="EKR24" s="720"/>
      <c r="EKS24" s="720"/>
      <c r="EKT24" s="720"/>
      <c r="EKU24" s="720"/>
      <c r="EKV24" s="720"/>
      <c r="EKW24" s="720"/>
      <c r="EKX24" s="720"/>
      <c r="EKY24" s="720"/>
      <c r="EKZ24" s="720"/>
      <c r="ELA24" s="720"/>
      <c r="ELB24" s="720"/>
      <c r="ELC24" s="720"/>
      <c r="ELD24" s="720"/>
      <c r="ELE24" s="720"/>
      <c r="ELF24" s="720"/>
      <c r="ELG24" s="720"/>
      <c r="ELH24" s="720"/>
      <c r="ELI24" s="720"/>
      <c r="ELJ24" s="720"/>
      <c r="ELK24" s="720"/>
      <c r="ELL24" s="720"/>
      <c r="ELM24" s="720"/>
      <c r="ELN24" s="720"/>
      <c r="ELO24" s="720"/>
      <c r="ELP24" s="720"/>
      <c r="ELQ24" s="720"/>
      <c r="ELR24" s="720"/>
      <c r="ELS24" s="720"/>
      <c r="ELT24" s="720"/>
      <c r="ELU24" s="720"/>
      <c r="ELV24" s="720"/>
      <c r="ELW24" s="720"/>
      <c r="ELX24" s="720"/>
      <c r="ELY24" s="720"/>
      <c r="ELZ24" s="720"/>
      <c r="EMA24" s="720"/>
      <c r="EMB24" s="720"/>
      <c r="EMC24" s="720"/>
      <c r="EMD24" s="720"/>
      <c r="EME24" s="720"/>
      <c r="EMF24" s="720"/>
      <c r="EMG24" s="720"/>
      <c r="EMH24" s="720"/>
      <c r="EMI24" s="720"/>
      <c r="EMJ24" s="720"/>
      <c r="EMK24" s="720"/>
      <c r="EML24" s="720"/>
      <c r="EMM24" s="720"/>
      <c r="EMN24" s="720"/>
      <c r="EMO24" s="720"/>
      <c r="EMP24" s="720"/>
      <c r="EMQ24" s="720"/>
      <c r="EMR24" s="720"/>
      <c r="EMS24" s="720"/>
      <c r="EMT24" s="720"/>
      <c r="EMU24" s="720"/>
      <c r="EMV24" s="720"/>
      <c r="EMW24" s="720"/>
      <c r="EMX24" s="720"/>
      <c r="EMY24" s="720"/>
      <c r="EMZ24" s="720"/>
      <c r="ENA24" s="720"/>
      <c r="ENB24" s="720"/>
      <c r="ENC24" s="720"/>
      <c r="END24" s="720"/>
      <c r="ENE24" s="720"/>
      <c r="ENF24" s="720"/>
      <c r="ENG24" s="720"/>
      <c r="ENH24" s="720"/>
      <c r="ENI24" s="720"/>
      <c r="ENJ24" s="720"/>
      <c r="ENK24" s="720"/>
      <c r="ENL24" s="720"/>
      <c r="ENM24" s="720"/>
      <c r="ENN24" s="720"/>
      <c r="ENO24" s="720"/>
      <c r="ENP24" s="720"/>
      <c r="ENQ24" s="720"/>
      <c r="ENR24" s="720"/>
      <c r="ENS24" s="720"/>
      <c r="ENT24" s="720"/>
      <c r="ENU24" s="720"/>
      <c r="ENV24" s="720"/>
      <c r="ENW24" s="720"/>
      <c r="ENX24" s="720"/>
      <c r="ENY24" s="720"/>
      <c r="ENZ24" s="720"/>
      <c r="EOA24" s="720"/>
      <c r="EOB24" s="720"/>
      <c r="EOC24" s="720"/>
      <c r="EOD24" s="720"/>
      <c r="EOE24" s="720"/>
      <c r="EOF24" s="720"/>
      <c r="EOG24" s="720"/>
      <c r="EOH24" s="720"/>
      <c r="EOI24" s="720"/>
      <c r="EOJ24" s="720"/>
      <c r="EOK24" s="720"/>
      <c r="EOL24" s="720"/>
      <c r="EOM24" s="720"/>
      <c r="EON24" s="720"/>
      <c r="EOO24" s="720"/>
      <c r="EOP24" s="720"/>
      <c r="EOQ24" s="720"/>
      <c r="EOR24" s="720"/>
      <c r="EOS24" s="720"/>
      <c r="EOT24" s="720"/>
      <c r="EOU24" s="720"/>
      <c r="EOV24" s="720"/>
      <c r="EOW24" s="720"/>
      <c r="EOX24" s="720"/>
      <c r="EOY24" s="720"/>
      <c r="EOZ24" s="720"/>
      <c r="EPA24" s="720"/>
      <c r="EPB24" s="720"/>
      <c r="EPC24" s="720"/>
      <c r="EPD24" s="720"/>
      <c r="EPE24" s="720"/>
      <c r="EPF24" s="720"/>
      <c r="EPG24" s="720"/>
      <c r="EPH24" s="720"/>
      <c r="EPI24" s="720"/>
      <c r="EPJ24" s="720"/>
      <c r="EPK24" s="720"/>
      <c r="EPL24" s="720"/>
      <c r="EPM24" s="720"/>
      <c r="EPN24" s="720"/>
      <c r="EPO24" s="720"/>
      <c r="EPP24" s="720"/>
      <c r="EPQ24" s="720"/>
      <c r="EPR24" s="720"/>
      <c r="EPS24" s="720"/>
      <c r="EPT24" s="720"/>
      <c r="EPU24" s="720"/>
      <c r="EPV24" s="720"/>
      <c r="EPW24" s="720"/>
      <c r="EPX24" s="720"/>
      <c r="EPY24" s="720"/>
      <c r="EPZ24" s="720"/>
      <c r="EQA24" s="720"/>
      <c r="EQB24" s="720"/>
      <c r="EQC24" s="720"/>
      <c r="EQD24" s="720"/>
      <c r="EQE24" s="720"/>
      <c r="EQF24" s="720"/>
      <c r="EQG24" s="720"/>
      <c r="EQH24" s="720"/>
      <c r="EQI24" s="720"/>
      <c r="EQJ24" s="720"/>
      <c r="EQK24" s="720"/>
      <c r="EQL24" s="720"/>
      <c r="EQM24" s="720"/>
      <c r="EQN24" s="720"/>
      <c r="EQO24" s="720"/>
      <c r="EQP24" s="720"/>
      <c r="EQQ24" s="720"/>
      <c r="EQR24" s="720"/>
      <c r="EQS24" s="720"/>
      <c r="EQT24" s="720"/>
      <c r="EQU24" s="720"/>
      <c r="EQV24" s="720"/>
      <c r="EQW24" s="720"/>
      <c r="EQX24" s="720"/>
      <c r="EQY24" s="720"/>
      <c r="EQZ24" s="720"/>
      <c r="ERA24" s="720"/>
      <c r="ERB24" s="720"/>
      <c r="ERC24" s="720"/>
      <c r="ERD24" s="720"/>
      <c r="ERE24" s="720"/>
      <c r="ERF24" s="720"/>
      <c r="ERG24" s="720"/>
      <c r="ERH24" s="720"/>
      <c r="ERI24" s="720"/>
      <c r="ERJ24" s="720"/>
      <c r="ERK24" s="720"/>
      <c r="ERL24" s="720"/>
      <c r="ERM24" s="720"/>
      <c r="ERN24" s="720"/>
      <c r="ERO24" s="720"/>
      <c r="ERP24" s="720"/>
      <c r="ERQ24" s="720"/>
      <c r="ERR24" s="720"/>
      <c r="ERS24" s="720"/>
      <c r="ERT24" s="720"/>
      <c r="ERU24" s="720"/>
      <c r="ERV24" s="720"/>
      <c r="ERW24" s="720"/>
      <c r="ERX24" s="720"/>
      <c r="ERY24" s="720"/>
      <c r="ERZ24" s="720"/>
      <c r="ESA24" s="720"/>
      <c r="ESB24" s="720"/>
      <c r="ESC24" s="720"/>
      <c r="ESD24" s="720"/>
      <c r="ESE24" s="720"/>
      <c r="ESF24" s="720"/>
      <c r="ESG24" s="720"/>
      <c r="ESH24" s="720"/>
      <c r="ESI24" s="720"/>
      <c r="ESJ24" s="720"/>
      <c r="ESK24" s="720"/>
      <c r="ESL24" s="720"/>
      <c r="ESM24" s="720"/>
      <c r="ESN24" s="720"/>
      <c r="ESO24" s="720"/>
      <c r="ESP24" s="720"/>
      <c r="ESQ24" s="720"/>
      <c r="ESR24" s="720"/>
      <c r="ESS24" s="720"/>
      <c r="EST24" s="720"/>
      <c r="ESU24" s="720"/>
      <c r="ESV24" s="720"/>
      <c r="ESW24" s="720"/>
      <c r="ESX24" s="720"/>
      <c r="ESY24" s="720"/>
      <c r="ESZ24" s="720"/>
      <c r="ETA24" s="720"/>
      <c r="ETB24" s="720"/>
      <c r="ETC24" s="720"/>
      <c r="ETD24" s="720"/>
      <c r="ETE24" s="720"/>
      <c r="ETF24" s="720"/>
      <c r="ETG24" s="720"/>
      <c r="ETH24" s="720"/>
      <c r="ETI24" s="720"/>
      <c r="ETJ24" s="720"/>
      <c r="ETK24" s="720"/>
      <c r="ETL24" s="720"/>
      <c r="ETM24" s="720"/>
      <c r="ETN24" s="720"/>
      <c r="ETO24" s="720"/>
      <c r="ETP24" s="720"/>
      <c r="ETQ24" s="720"/>
      <c r="ETR24" s="720"/>
      <c r="ETS24" s="720"/>
      <c r="ETT24" s="720"/>
      <c r="ETU24" s="720"/>
      <c r="ETV24" s="720"/>
      <c r="ETW24" s="720"/>
      <c r="ETX24" s="720"/>
      <c r="ETY24" s="720"/>
      <c r="ETZ24" s="720"/>
      <c r="EUA24" s="720"/>
      <c r="EUB24" s="720"/>
      <c r="EUC24" s="720"/>
      <c r="EUD24" s="720"/>
      <c r="EUE24" s="720"/>
      <c r="EUF24" s="720"/>
      <c r="EUG24" s="720"/>
      <c r="EUH24" s="720"/>
      <c r="EUI24" s="720"/>
      <c r="EUJ24" s="720"/>
      <c r="EUK24" s="720"/>
      <c r="EUL24" s="720"/>
      <c r="EUM24" s="720"/>
      <c r="EUN24" s="720"/>
      <c r="EUO24" s="720"/>
      <c r="EUP24" s="720"/>
      <c r="EUQ24" s="720"/>
      <c r="EUR24" s="720"/>
      <c r="EUS24" s="720"/>
      <c r="EUT24" s="720"/>
      <c r="EUU24" s="720"/>
      <c r="EUV24" s="720"/>
      <c r="EUW24" s="720"/>
      <c r="EUX24" s="720"/>
      <c r="EUY24" s="720"/>
      <c r="EUZ24" s="720"/>
      <c r="EVA24" s="720"/>
      <c r="EVB24" s="720"/>
      <c r="EVC24" s="720"/>
      <c r="EVD24" s="720"/>
      <c r="EVE24" s="720"/>
      <c r="EVF24" s="720"/>
      <c r="EVG24" s="720"/>
      <c r="EVH24" s="720"/>
      <c r="EVI24" s="720"/>
      <c r="EVJ24" s="720"/>
      <c r="EVK24" s="720"/>
      <c r="EVL24" s="720"/>
      <c r="EVM24" s="720"/>
      <c r="EVN24" s="720"/>
      <c r="EVO24" s="720"/>
      <c r="EVP24" s="720"/>
      <c r="EVQ24" s="720"/>
      <c r="EVR24" s="720"/>
      <c r="EVS24" s="720"/>
      <c r="EVT24" s="720"/>
      <c r="EVU24" s="720"/>
      <c r="EVV24" s="720"/>
      <c r="EVW24" s="720"/>
      <c r="EVX24" s="720"/>
      <c r="EVY24" s="720"/>
      <c r="EVZ24" s="720"/>
      <c r="EWA24" s="720"/>
      <c r="EWB24" s="720"/>
      <c r="EWC24" s="720"/>
      <c r="EWD24" s="720"/>
      <c r="EWE24" s="720"/>
      <c r="EWF24" s="720"/>
      <c r="EWG24" s="720"/>
      <c r="EWH24" s="720"/>
      <c r="EWI24" s="720"/>
      <c r="EWJ24" s="720"/>
      <c r="EWK24" s="720"/>
      <c r="EWL24" s="720"/>
      <c r="EWM24" s="720"/>
      <c r="EWN24" s="720"/>
      <c r="EWO24" s="720"/>
      <c r="EWP24" s="720"/>
      <c r="EWQ24" s="720"/>
      <c r="EWR24" s="720"/>
      <c r="EWS24" s="720"/>
      <c r="EWT24" s="720"/>
      <c r="EWU24" s="720"/>
      <c r="EWV24" s="720"/>
      <c r="EWW24" s="720"/>
      <c r="EWX24" s="720"/>
      <c r="EWY24" s="720"/>
      <c r="EWZ24" s="720"/>
      <c r="EXA24" s="720"/>
      <c r="EXB24" s="720"/>
      <c r="EXC24" s="720"/>
      <c r="EXD24" s="720"/>
      <c r="EXE24" s="720"/>
      <c r="EXF24" s="720"/>
      <c r="EXG24" s="720"/>
      <c r="EXH24" s="720"/>
      <c r="EXI24" s="720"/>
      <c r="EXJ24" s="720"/>
      <c r="EXK24" s="720"/>
      <c r="EXL24" s="720"/>
      <c r="EXM24" s="720"/>
      <c r="EXN24" s="720"/>
      <c r="EXO24" s="720"/>
      <c r="EXP24" s="720"/>
      <c r="EXQ24" s="720"/>
      <c r="EXR24" s="720"/>
      <c r="EXS24" s="720"/>
      <c r="EXT24" s="720"/>
      <c r="EXU24" s="720"/>
      <c r="EXV24" s="720"/>
      <c r="EXW24" s="720"/>
      <c r="EXX24" s="720"/>
      <c r="EXY24" s="720"/>
      <c r="EXZ24" s="720"/>
      <c r="EYA24" s="720"/>
      <c r="EYB24" s="720"/>
      <c r="EYC24" s="720"/>
      <c r="EYD24" s="720"/>
      <c r="EYE24" s="720"/>
      <c r="EYF24" s="720"/>
      <c r="EYG24" s="720"/>
      <c r="EYH24" s="720"/>
      <c r="EYI24" s="720"/>
      <c r="EYJ24" s="720"/>
      <c r="EYK24" s="720"/>
      <c r="EYL24" s="720"/>
      <c r="EYM24" s="720"/>
      <c r="EYN24" s="720"/>
      <c r="EYO24" s="720"/>
      <c r="EYP24" s="720"/>
      <c r="EYQ24" s="720"/>
      <c r="EYR24" s="720"/>
      <c r="EYS24" s="720"/>
      <c r="EYT24" s="720"/>
      <c r="EYU24" s="720"/>
      <c r="EYV24" s="720"/>
      <c r="EYW24" s="720"/>
      <c r="EYX24" s="720"/>
      <c r="EYY24" s="720"/>
      <c r="EYZ24" s="720"/>
      <c r="EZA24" s="720"/>
      <c r="EZB24" s="720"/>
      <c r="EZC24" s="720"/>
      <c r="EZD24" s="720"/>
      <c r="EZE24" s="720"/>
      <c r="EZF24" s="720"/>
      <c r="EZG24" s="720"/>
      <c r="EZH24" s="720"/>
      <c r="EZI24" s="720"/>
      <c r="EZJ24" s="720"/>
      <c r="EZK24" s="720"/>
      <c r="EZL24" s="720"/>
      <c r="EZM24" s="720"/>
      <c r="EZN24" s="720"/>
      <c r="EZO24" s="720"/>
      <c r="EZP24" s="720"/>
      <c r="EZQ24" s="720"/>
      <c r="EZR24" s="720"/>
      <c r="EZS24" s="720"/>
      <c r="EZT24" s="720"/>
      <c r="EZU24" s="720"/>
      <c r="EZV24" s="720"/>
      <c r="EZW24" s="720"/>
      <c r="EZX24" s="720"/>
      <c r="EZY24" s="720"/>
      <c r="EZZ24" s="720"/>
      <c r="FAA24" s="720"/>
      <c r="FAB24" s="720"/>
      <c r="FAC24" s="720"/>
      <c r="FAD24" s="720"/>
      <c r="FAE24" s="720"/>
      <c r="FAF24" s="720"/>
      <c r="FAG24" s="720"/>
      <c r="FAH24" s="720"/>
      <c r="FAI24" s="720"/>
      <c r="FAJ24" s="720"/>
      <c r="FAK24" s="720"/>
      <c r="FAL24" s="720"/>
      <c r="FAM24" s="720"/>
      <c r="FAN24" s="720"/>
      <c r="FAO24" s="720"/>
      <c r="FAP24" s="720"/>
      <c r="FAQ24" s="720"/>
      <c r="FAR24" s="720"/>
      <c r="FAS24" s="720"/>
      <c r="FAT24" s="720"/>
      <c r="FAU24" s="720"/>
      <c r="FAV24" s="720"/>
      <c r="FAW24" s="720"/>
      <c r="FAX24" s="720"/>
      <c r="FAY24" s="720"/>
      <c r="FAZ24" s="720"/>
      <c r="FBA24" s="720"/>
      <c r="FBB24" s="720"/>
      <c r="FBC24" s="720"/>
      <c r="FBD24" s="720"/>
      <c r="FBE24" s="720"/>
      <c r="FBF24" s="720"/>
      <c r="FBG24" s="720"/>
      <c r="FBH24" s="720"/>
      <c r="FBI24" s="720"/>
      <c r="FBJ24" s="720"/>
      <c r="FBK24" s="720"/>
      <c r="FBL24" s="720"/>
      <c r="FBM24" s="720"/>
      <c r="FBN24" s="720"/>
      <c r="FBO24" s="720"/>
      <c r="FBP24" s="720"/>
      <c r="FBQ24" s="720"/>
      <c r="FBR24" s="720"/>
      <c r="FBS24" s="720"/>
      <c r="FBT24" s="720"/>
      <c r="FBU24" s="720"/>
      <c r="FBV24" s="720"/>
      <c r="FBW24" s="720"/>
      <c r="FBX24" s="720"/>
      <c r="FBY24" s="720"/>
      <c r="FBZ24" s="720"/>
      <c r="FCA24" s="720"/>
      <c r="FCB24" s="720"/>
      <c r="FCC24" s="720"/>
      <c r="FCD24" s="720"/>
      <c r="FCE24" s="720"/>
      <c r="FCF24" s="720"/>
      <c r="FCG24" s="720"/>
      <c r="FCH24" s="720"/>
      <c r="FCI24" s="720"/>
      <c r="FCJ24" s="720"/>
      <c r="FCK24" s="720"/>
      <c r="FCL24" s="720"/>
      <c r="FCM24" s="720"/>
      <c r="FCN24" s="720"/>
      <c r="FCO24" s="720"/>
      <c r="FCP24" s="720"/>
      <c r="FCQ24" s="720"/>
      <c r="FCR24" s="720"/>
      <c r="FCS24" s="720"/>
      <c r="FCT24" s="720"/>
      <c r="FCU24" s="720"/>
      <c r="FCV24" s="720"/>
      <c r="FCW24" s="720"/>
      <c r="FCX24" s="720"/>
      <c r="FCY24" s="720"/>
      <c r="FCZ24" s="720"/>
      <c r="FDA24" s="720"/>
      <c r="FDB24" s="720"/>
      <c r="FDC24" s="720"/>
      <c r="FDD24" s="720"/>
      <c r="FDE24" s="720"/>
      <c r="FDF24" s="720"/>
      <c r="FDG24" s="720"/>
      <c r="FDH24" s="720"/>
      <c r="FDI24" s="720"/>
      <c r="FDJ24" s="720"/>
      <c r="FDK24" s="720"/>
      <c r="FDL24" s="720"/>
      <c r="FDM24" s="720"/>
      <c r="FDN24" s="720"/>
      <c r="FDO24" s="720"/>
      <c r="FDP24" s="720"/>
      <c r="FDQ24" s="720"/>
      <c r="FDR24" s="720"/>
      <c r="FDS24" s="720"/>
      <c r="FDT24" s="720"/>
      <c r="FDU24" s="720"/>
      <c r="FDV24" s="720"/>
      <c r="FDW24" s="720"/>
      <c r="FDX24" s="720"/>
      <c r="FDY24" s="720"/>
      <c r="FDZ24" s="720"/>
      <c r="FEA24" s="720"/>
      <c r="FEB24" s="720"/>
      <c r="FEC24" s="720"/>
      <c r="FED24" s="720"/>
      <c r="FEE24" s="720"/>
      <c r="FEF24" s="720"/>
      <c r="FEG24" s="720"/>
      <c r="FEH24" s="720"/>
      <c r="FEI24" s="720"/>
      <c r="FEJ24" s="720"/>
      <c r="FEK24" s="720"/>
      <c r="FEL24" s="720"/>
      <c r="FEM24" s="720"/>
      <c r="FEN24" s="720"/>
      <c r="FEO24" s="720"/>
      <c r="FEP24" s="720"/>
      <c r="FEQ24" s="720"/>
      <c r="FER24" s="720"/>
      <c r="FES24" s="720"/>
      <c r="FET24" s="720"/>
      <c r="FEU24" s="720"/>
      <c r="FEV24" s="720"/>
      <c r="FEW24" s="720"/>
      <c r="FEX24" s="720"/>
      <c r="FEY24" s="720"/>
      <c r="FEZ24" s="720"/>
      <c r="FFA24" s="720"/>
      <c r="FFB24" s="720"/>
      <c r="FFC24" s="720"/>
      <c r="FFD24" s="720"/>
      <c r="FFE24" s="720"/>
      <c r="FFF24" s="720"/>
      <c r="FFG24" s="720"/>
      <c r="FFH24" s="720"/>
      <c r="FFI24" s="720"/>
      <c r="FFJ24" s="720"/>
      <c r="FFK24" s="720"/>
      <c r="FFL24" s="720"/>
      <c r="FFM24" s="720"/>
      <c r="FFN24" s="720"/>
      <c r="FFO24" s="720"/>
      <c r="FFP24" s="720"/>
      <c r="FFQ24" s="720"/>
      <c r="FFR24" s="720"/>
      <c r="FFS24" s="720"/>
      <c r="FFT24" s="720"/>
      <c r="FFU24" s="720"/>
      <c r="FFV24" s="720"/>
      <c r="FFW24" s="720"/>
      <c r="FFX24" s="720"/>
      <c r="FFY24" s="720"/>
      <c r="FFZ24" s="720"/>
      <c r="FGA24" s="720"/>
      <c r="FGB24" s="720"/>
      <c r="FGC24" s="720"/>
      <c r="FGD24" s="720"/>
      <c r="FGE24" s="720"/>
      <c r="FGF24" s="720"/>
      <c r="FGG24" s="720"/>
      <c r="FGH24" s="720"/>
      <c r="FGI24" s="720"/>
      <c r="FGJ24" s="720"/>
      <c r="FGK24" s="720"/>
      <c r="FGL24" s="720"/>
      <c r="FGM24" s="720"/>
      <c r="FGN24" s="720"/>
      <c r="FGO24" s="720"/>
      <c r="FGP24" s="720"/>
      <c r="FGQ24" s="720"/>
      <c r="FGR24" s="720"/>
      <c r="FGS24" s="720"/>
      <c r="FGT24" s="720"/>
      <c r="FGU24" s="720"/>
      <c r="FGV24" s="720"/>
      <c r="FGW24" s="720"/>
      <c r="FGX24" s="720"/>
      <c r="FGY24" s="720"/>
      <c r="FGZ24" s="720"/>
      <c r="FHA24" s="720"/>
      <c r="FHB24" s="720"/>
      <c r="FHC24" s="720"/>
      <c r="FHD24" s="720"/>
      <c r="FHE24" s="720"/>
      <c r="FHF24" s="720"/>
      <c r="FHG24" s="720"/>
      <c r="FHH24" s="720"/>
      <c r="FHI24" s="720"/>
      <c r="FHJ24" s="720"/>
      <c r="FHK24" s="720"/>
      <c r="FHL24" s="720"/>
      <c r="FHM24" s="720"/>
      <c r="FHN24" s="720"/>
      <c r="FHO24" s="720"/>
      <c r="FHP24" s="720"/>
      <c r="FHQ24" s="720"/>
      <c r="FHR24" s="720"/>
      <c r="FHS24" s="720"/>
      <c r="FHT24" s="720"/>
      <c r="FHU24" s="720"/>
      <c r="FHV24" s="720"/>
      <c r="FHW24" s="720"/>
      <c r="FHX24" s="720"/>
      <c r="FHY24" s="720"/>
      <c r="FHZ24" s="720"/>
      <c r="FIA24" s="720"/>
      <c r="FIB24" s="720"/>
      <c r="FIC24" s="720"/>
      <c r="FID24" s="720"/>
      <c r="FIE24" s="720"/>
      <c r="FIF24" s="720"/>
      <c r="FIG24" s="720"/>
      <c r="FIH24" s="720"/>
      <c r="FII24" s="720"/>
      <c r="FIJ24" s="720"/>
      <c r="FIK24" s="720"/>
      <c r="FIL24" s="720"/>
      <c r="FIM24" s="720"/>
      <c r="FIN24" s="720"/>
      <c r="FIO24" s="720"/>
      <c r="FIP24" s="720"/>
      <c r="FIQ24" s="720"/>
      <c r="FIR24" s="720"/>
      <c r="FIS24" s="720"/>
      <c r="FIT24" s="720"/>
      <c r="FIU24" s="720"/>
      <c r="FIV24" s="720"/>
      <c r="FIW24" s="720"/>
      <c r="FIX24" s="720"/>
      <c r="FIY24" s="720"/>
      <c r="FIZ24" s="720"/>
      <c r="FJA24" s="720"/>
      <c r="FJB24" s="720"/>
      <c r="FJC24" s="720"/>
      <c r="FJD24" s="720"/>
      <c r="FJE24" s="720"/>
      <c r="FJF24" s="720"/>
      <c r="FJG24" s="720"/>
      <c r="FJH24" s="720"/>
      <c r="FJI24" s="720"/>
      <c r="FJJ24" s="720"/>
      <c r="FJK24" s="720"/>
      <c r="FJL24" s="720"/>
      <c r="FJM24" s="720"/>
      <c r="FJN24" s="720"/>
      <c r="FJO24" s="720"/>
      <c r="FJP24" s="720"/>
      <c r="FJQ24" s="720"/>
      <c r="FJR24" s="720"/>
      <c r="FJS24" s="720"/>
      <c r="FJT24" s="720"/>
      <c r="FJU24" s="720"/>
      <c r="FJV24" s="720"/>
      <c r="FJW24" s="720"/>
      <c r="FJX24" s="720"/>
      <c r="FJY24" s="720"/>
      <c r="FJZ24" s="720"/>
      <c r="FKA24" s="720"/>
      <c r="FKB24" s="720"/>
      <c r="FKC24" s="720"/>
      <c r="FKD24" s="720"/>
      <c r="FKE24" s="720"/>
      <c r="FKF24" s="720"/>
      <c r="FKG24" s="720"/>
      <c r="FKH24" s="720"/>
      <c r="FKI24" s="720"/>
      <c r="FKJ24" s="720"/>
      <c r="FKK24" s="720"/>
      <c r="FKL24" s="720"/>
      <c r="FKM24" s="720"/>
      <c r="FKN24" s="720"/>
      <c r="FKO24" s="720"/>
      <c r="FKP24" s="720"/>
      <c r="FKQ24" s="720"/>
      <c r="FKR24" s="720"/>
      <c r="FKS24" s="720"/>
      <c r="FKT24" s="720"/>
      <c r="FKU24" s="720"/>
      <c r="FKV24" s="720"/>
      <c r="FKW24" s="720"/>
      <c r="FKX24" s="720"/>
      <c r="FKY24" s="720"/>
      <c r="FKZ24" s="720"/>
      <c r="FLA24" s="720"/>
      <c r="FLB24" s="720"/>
      <c r="FLC24" s="720"/>
      <c r="FLD24" s="720"/>
      <c r="FLE24" s="720"/>
      <c r="FLF24" s="720"/>
      <c r="FLG24" s="720"/>
      <c r="FLH24" s="720"/>
      <c r="FLI24" s="720"/>
      <c r="FLJ24" s="720"/>
      <c r="FLK24" s="720"/>
      <c r="FLL24" s="720"/>
      <c r="FLM24" s="720"/>
      <c r="FLN24" s="720"/>
      <c r="FLO24" s="720"/>
      <c r="FLP24" s="720"/>
      <c r="FLQ24" s="720"/>
      <c r="FLR24" s="720"/>
      <c r="FLS24" s="720"/>
      <c r="FLT24" s="720"/>
      <c r="FLU24" s="720"/>
      <c r="FLV24" s="720"/>
      <c r="FLW24" s="720"/>
      <c r="FLX24" s="720"/>
      <c r="FLY24" s="720"/>
      <c r="FLZ24" s="720"/>
      <c r="FMA24" s="720"/>
      <c r="FMB24" s="720"/>
      <c r="FMC24" s="720"/>
      <c r="FMD24" s="720"/>
      <c r="FME24" s="720"/>
      <c r="FMF24" s="720"/>
      <c r="FMG24" s="720"/>
      <c r="FMH24" s="720"/>
      <c r="FMI24" s="720"/>
      <c r="FMJ24" s="720"/>
      <c r="FMK24" s="720"/>
      <c r="FML24" s="720"/>
      <c r="FMM24" s="720"/>
      <c r="FMN24" s="720"/>
      <c r="FMO24" s="720"/>
      <c r="FMP24" s="720"/>
      <c r="FMQ24" s="720"/>
      <c r="FMR24" s="720"/>
      <c r="FMS24" s="720"/>
      <c r="FMT24" s="720"/>
      <c r="FMU24" s="720"/>
      <c r="FMV24" s="720"/>
      <c r="FMW24" s="720"/>
      <c r="FMX24" s="720"/>
      <c r="FMY24" s="720"/>
      <c r="FMZ24" s="720"/>
      <c r="FNA24" s="720"/>
      <c r="FNB24" s="720"/>
      <c r="FNC24" s="720"/>
      <c r="FND24" s="720"/>
      <c r="FNE24" s="720"/>
      <c r="FNF24" s="720"/>
      <c r="FNG24" s="720"/>
      <c r="FNH24" s="720"/>
      <c r="FNI24" s="720"/>
      <c r="FNJ24" s="720"/>
      <c r="FNK24" s="720"/>
      <c r="FNL24" s="720"/>
      <c r="FNM24" s="720"/>
      <c r="FNN24" s="720"/>
      <c r="FNO24" s="720"/>
      <c r="FNP24" s="720"/>
      <c r="FNQ24" s="720"/>
      <c r="FNR24" s="720"/>
      <c r="FNS24" s="720"/>
      <c r="FNT24" s="720"/>
      <c r="FNU24" s="720"/>
      <c r="FNV24" s="720"/>
      <c r="FNW24" s="720"/>
      <c r="FNX24" s="720"/>
      <c r="FNY24" s="720"/>
      <c r="FNZ24" s="720"/>
      <c r="FOA24" s="720"/>
      <c r="FOB24" s="720"/>
      <c r="FOC24" s="720"/>
      <c r="FOD24" s="720"/>
      <c r="FOE24" s="720"/>
      <c r="FOF24" s="720"/>
      <c r="FOG24" s="720"/>
      <c r="FOH24" s="720"/>
      <c r="FOI24" s="720"/>
      <c r="FOJ24" s="720"/>
      <c r="FOK24" s="720"/>
      <c r="FOL24" s="720"/>
      <c r="FOM24" s="720"/>
      <c r="FON24" s="720"/>
      <c r="FOO24" s="720"/>
      <c r="FOP24" s="720"/>
      <c r="FOQ24" s="720"/>
      <c r="FOR24" s="720"/>
      <c r="FOS24" s="720"/>
      <c r="FOT24" s="720"/>
      <c r="FOU24" s="720"/>
      <c r="FOV24" s="720"/>
      <c r="FOW24" s="720"/>
      <c r="FOX24" s="720"/>
      <c r="FOY24" s="720"/>
      <c r="FOZ24" s="720"/>
      <c r="FPA24" s="720"/>
      <c r="FPB24" s="720"/>
      <c r="FPC24" s="720"/>
      <c r="FPD24" s="720"/>
      <c r="FPE24" s="720"/>
      <c r="FPF24" s="720"/>
      <c r="FPG24" s="720"/>
      <c r="FPH24" s="720"/>
      <c r="FPI24" s="720"/>
      <c r="FPJ24" s="720"/>
      <c r="FPK24" s="720"/>
      <c r="FPL24" s="720"/>
      <c r="FPM24" s="720"/>
      <c r="FPN24" s="720"/>
      <c r="FPO24" s="720"/>
      <c r="FPP24" s="720"/>
      <c r="FPQ24" s="720"/>
      <c r="FPR24" s="720"/>
      <c r="FPS24" s="720"/>
      <c r="FPT24" s="720"/>
      <c r="FPU24" s="720"/>
      <c r="FPV24" s="720"/>
      <c r="FPW24" s="720"/>
      <c r="FPX24" s="720"/>
      <c r="FPY24" s="720"/>
      <c r="FPZ24" s="720"/>
      <c r="FQA24" s="720"/>
      <c r="FQB24" s="720"/>
      <c r="FQC24" s="720"/>
      <c r="FQD24" s="720"/>
      <c r="FQE24" s="720"/>
      <c r="FQF24" s="720"/>
      <c r="FQG24" s="720"/>
      <c r="FQH24" s="720"/>
      <c r="FQI24" s="720"/>
      <c r="FQJ24" s="720"/>
      <c r="FQK24" s="720"/>
      <c r="FQL24" s="720"/>
      <c r="FQM24" s="720"/>
      <c r="FQN24" s="720"/>
      <c r="FQO24" s="720"/>
      <c r="FQP24" s="720"/>
      <c r="FQQ24" s="720"/>
      <c r="FQR24" s="720"/>
      <c r="FQS24" s="720"/>
      <c r="FQT24" s="720"/>
      <c r="FQU24" s="720"/>
      <c r="FQV24" s="720"/>
      <c r="FQW24" s="720"/>
      <c r="FQX24" s="720"/>
      <c r="FQY24" s="720"/>
      <c r="FQZ24" s="720"/>
      <c r="FRA24" s="720"/>
      <c r="FRB24" s="720"/>
      <c r="FRC24" s="720"/>
      <c r="FRD24" s="720"/>
      <c r="FRE24" s="720"/>
      <c r="FRF24" s="720"/>
      <c r="FRG24" s="720"/>
      <c r="FRH24" s="720"/>
      <c r="FRI24" s="720"/>
      <c r="FRJ24" s="720"/>
      <c r="FRK24" s="720"/>
      <c r="FRL24" s="720"/>
      <c r="FRM24" s="720"/>
      <c r="FRN24" s="720"/>
      <c r="FRO24" s="720"/>
      <c r="FRP24" s="720"/>
      <c r="FRQ24" s="720"/>
      <c r="FRR24" s="720"/>
      <c r="FRS24" s="720"/>
      <c r="FRT24" s="720"/>
      <c r="FRU24" s="720"/>
      <c r="FRV24" s="720"/>
      <c r="FRW24" s="720"/>
      <c r="FRX24" s="720"/>
      <c r="FRY24" s="720"/>
      <c r="FRZ24" s="720"/>
      <c r="FSA24" s="720"/>
      <c r="FSB24" s="720"/>
      <c r="FSC24" s="720"/>
      <c r="FSD24" s="720"/>
      <c r="FSE24" s="720"/>
      <c r="FSF24" s="720"/>
      <c r="FSG24" s="720"/>
      <c r="FSH24" s="720"/>
      <c r="FSI24" s="720"/>
      <c r="FSJ24" s="720"/>
      <c r="FSK24" s="720"/>
      <c r="FSL24" s="720"/>
      <c r="FSM24" s="720"/>
      <c r="FSN24" s="720"/>
      <c r="FSO24" s="720"/>
      <c r="FSP24" s="720"/>
      <c r="FSQ24" s="720"/>
      <c r="FSR24" s="720"/>
      <c r="FSS24" s="720"/>
      <c r="FST24" s="720"/>
      <c r="FSU24" s="720"/>
      <c r="FSV24" s="720"/>
      <c r="FSW24" s="720"/>
      <c r="FSX24" s="720"/>
      <c r="FSY24" s="720"/>
      <c r="FSZ24" s="720"/>
      <c r="FTA24" s="720"/>
      <c r="FTB24" s="720"/>
      <c r="FTC24" s="720"/>
      <c r="FTD24" s="720"/>
      <c r="FTE24" s="720"/>
      <c r="FTF24" s="720"/>
      <c r="FTG24" s="720"/>
      <c r="FTH24" s="720"/>
      <c r="FTI24" s="720"/>
      <c r="FTJ24" s="720"/>
      <c r="FTK24" s="720"/>
      <c r="FTL24" s="720"/>
      <c r="FTM24" s="720"/>
      <c r="FTN24" s="720"/>
      <c r="FTO24" s="720"/>
      <c r="FTP24" s="720"/>
      <c r="FTQ24" s="720"/>
      <c r="FTR24" s="720"/>
      <c r="FTS24" s="720"/>
      <c r="FTT24" s="720"/>
      <c r="FTU24" s="720"/>
      <c r="FTV24" s="720"/>
      <c r="FTW24" s="720"/>
      <c r="FTX24" s="720"/>
      <c r="FTY24" s="720"/>
      <c r="FTZ24" s="720"/>
      <c r="FUA24" s="720"/>
      <c r="FUB24" s="720"/>
      <c r="FUC24" s="720"/>
      <c r="FUD24" s="720"/>
      <c r="FUE24" s="720"/>
      <c r="FUF24" s="720"/>
      <c r="FUG24" s="720"/>
      <c r="FUH24" s="720"/>
      <c r="FUI24" s="720"/>
      <c r="FUJ24" s="720"/>
      <c r="FUK24" s="720"/>
      <c r="FUL24" s="720"/>
      <c r="FUM24" s="720"/>
      <c r="FUN24" s="720"/>
      <c r="FUO24" s="720"/>
      <c r="FUP24" s="720"/>
      <c r="FUQ24" s="720"/>
      <c r="FUR24" s="720"/>
      <c r="FUS24" s="720"/>
      <c r="FUT24" s="720"/>
      <c r="FUU24" s="720"/>
      <c r="FUV24" s="720"/>
      <c r="FUW24" s="720"/>
      <c r="FUX24" s="720"/>
      <c r="FUY24" s="720"/>
      <c r="FUZ24" s="720"/>
      <c r="FVA24" s="720"/>
      <c r="FVB24" s="720"/>
      <c r="FVC24" s="720"/>
      <c r="FVD24" s="720"/>
      <c r="FVE24" s="720"/>
      <c r="FVF24" s="720"/>
      <c r="FVG24" s="720"/>
      <c r="FVH24" s="720"/>
      <c r="FVI24" s="720"/>
      <c r="FVJ24" s="720"/>
      <c r="FVK24" s="720"/>
      <c r="FVL24" s="720"/>
      <c r="FVM24" s="720"/>
      <c r="FVN24" s="720"/>
      <c r="FVO24" s="720"/>
      <c r="FVP24" s="720"/>
      <c r="FVQ24" s="720"/>
      <c r="FVR24" s="720"/>
      <c r="FVS24" s="720"/>
      <c r="FVT24" s="720"/>
      <c r="FVU24" s="720"/>
      <c r="FVV24" s="720"/>
      <c r="FVW24" s="720"/>
      <c r="FVX24" s="720"/>
      <c r="FVY24" s="720"/>
      <c r="FVZ24" s="720"/>
      <c r="FWA24" s="720"/>
      <c r="FWB24" s="720"/>
      <c r="FWC24" s="720"/>
      <c r="FWD24" s="720"/>
      <c r="FWE24" s="720"/>
      <c r="FWF24" s="720"/>
      <c r="FWG24" s="720"/>
      <c r="FWH24" s="720"/>
      <c r="FWI24" s="720"/>
      <c r="FWJ24" s="720"/>
      <c r="FWK24" s="720"/>
      <c r="FWL24" s="720"/>
      <c r="FWM24" s="720"/>
      <c r="FWN24" s="720"/>
      <c r="FWO24" s="720"/>
      <c r="FWP24" s="720"/>
      <c r="FWQ24" s="720"/>
      <c r="FWR24" s="720"/>
      <c r="FWS24" s="720"/>
      <c r="FWT24" s="720"/>
      <c r="FWU24" s="720"/>
      <c r="FWV24" s="720"/>
      <c r="FWW24" s="720"/>
      <c r="FWX24" s="720"/>
      <c r="FWY24" s="720"/>
      <c r="FWZ24" s="720"/>
      <c r="FXA24" s="720"/>
      <c r="FXB24" s="720"/>
      <c r="FXC24" s="720"/>
      <c r="FXD24" s="720"/>
      <c r="FXE24" s="720"/>
      <c r="FXF24" s="720"/>
      <c r="FXG24" s="720"/>
      <c r="FXH24" s="720"/>
      <c r="FXI24" s="720"/>
      <c r="FXJ24" s="720"/>
      <c r="FXK24" s="720"/>
      <c r="FXL24" s="720"/>
      <c r="FXM24" s="720"/>
      <c r="FXN24" s="720"/>
      <c r="FXO24" s="720"/>
      <c r="FXP24" s="720"/>
      <c r="FXQ24" s="720"/>
      <c r="FXR24" s="720"/>
      <c r="FXS24" s="720"/>
      <c r="FXT24" s="720"/>
      <c r="FXU24" s="720"/>
      <c r="FXV24" s="720"/>
      <c r="FXW24" s="720"/>
      <c r="FXX24" s="720"/>
      <c r="FXY24" s="720"/>
      <c r="FXZ24" s="720"/>
      <c r="FYA24" s="720"/>
      <c r="FYB24" s="720"/>
      <c r="FYC24" s="720"/>
      <c r="FYD24" s="720"/>
      <c r="FYE24" s="720"/>
      <c r="FYF24" s="720"/>
      <c r="FYG24" s="720"/>
      <c r="FYH24" s="720"/>
      <c r="FYI24" s="720"/>
      <c r="FYJ24" s="720"/>
      <c r="FYK24" s="720"/>
      <c r="FYL24" s="720"/>
      <c r="FYM24" s="720"/>
      <c r="FYN24" s="720"/>
      <c r="FYO24" s="720"/>
      <c r="FYP24" s="720"/>
      <c r="FYQ24" s="720"/>
      <c r="FYR24" s="720"/>
      <c r="FYS24" s="720"/>
      <c r="FYT24" s="720"/>
      <c r="FYU24" s="720"/>
      <c r="FYV24" s="720"/>
      <c r="FYW24" s="720"/>
      <c r="FYX24" s="720"/>
      <c r="FYY24" s="720"/>
      <c r="FYZ24" s="720"/>
      <c r="FZA24" s="720"/>
      <c r="FZB24" s="720"/>
      <c r="FZC24" s="720"/>
      <c r="FZD24" s="720"/>
      <c r="FZE24" s="720"/>
      <c r="FZF24" s="720"/>
      <c r="FZG24" s="720"/>
      <c r="FZH24" s="720"/>
      <c r="FZI24" s="720"/>
      <c r="FZJ24" s="720"/>
      <c r="FZK24" s="720"/>
      <c r="FZL24" s="720"/>
      <c r="FZM24" s="720"/>
      <c r="FZN24" s="720"/>
      <c r="FZO24" s="720"/>
      <c r="FZP24" s="720"/>
      <c r="FZQ24" s="720"/>
      <c r="FZR24" s="720"/>
      <c r="FZS24" s="720"/>
      <c r="FZT24" s="720"/>
      <c r="FZU24" s="720"/>
      <c r="FZV24" s="720"/>
      <c r="FZW24" s="720"/>
      <c r="FZX24" s="720"/>
      <c r="FZY24" s="720"/>
      <c r="FZZ24" s="720"/>
      <c r="GAA24" s="720"/>
      <c r="GAB24" s="720"/>
      <c r="GAC24" s="720"/>
      <c r="GAD24" s="720"/>
      <c r="GAE24" s="720"/>
      <c r="GAF24" s="720"/>
      <c r="GAG24" s="720"/>
      <c r="GAH24" s="720"/>
      <c r="GAI24" s="720"/>
      <c r="GAJ24" s="720"/>
      <c r="GAK24" s="720"/>
      <c r="GAL24" s="720"/>
      <c r="GAM24" s="720"/>
      <c r="GAN24" s="720"/>
      <c r="GAO24" s="720"/>
      <c r="GAP24" s="720"/>
      <c r="GAQ24" s="720"/>
      <c r="GAR24" s="720"/>
      <c r="GAS24" s="720"/>
      <c r="GAT24" s="720"/>
      <c r="GAU24" s="720"/>
      <c r="GAV24" s="720"/>
      <c r="GAW24" s="720"/>
      <c r="GAX24" s="720"/>
      <c r="GAY24" s="720"/>
      <c r="GAZ24" s="720"/>
      <c r="GBA24" s="720"/>
      <c r="GBB24" s="720"/>
      <c r="GBC24" s="720"/>
      <c r="GBD24" s="720"/>
      <c r="GBE24" s="720"/>
      <c r="GBF24" s="720"/>
      <c r="GBG24" s="720"/>
      <c r="GBH24" s="720"/>
      <c r="GBI24" s="720"/>
      <c r="GBJ24" s="720"/>
      <c r="GBK24" s="720"/>
      <c r="GBL24" s="720"/>
      <c r="GBM24" s="720"/>
      <c r="GBN24" s="720"/>
      <c r="GBO24" s="720"/>
      <c r="GBP24" s="720"/>
      <c r="GBQ24" s="720"/>
      <c r="GBR24" s="720"/>
      <c r="GBS24" s="720"/>
      <c r="GBT24" s="720"/>
      <c r="GBU24" s="720"/>
      <c r="GBV24" s="720"/>
      <c r="GBW24" s="720"/>
      <c r="GBX24" s="720"/>
      <c r="GBY24" s="720"/>
      <c r="GBZ24" s="720"/>
      <c r="GCA24" s="720"/>
      <c r="GCB24" s="720"/>
      <c r="GCC24" s="720"/>
      <c r="GCD24" s="720"/>
      <c r="GCE24" s="720"/>
      <c r="GCF24" s="720"/>
      <c r="GCG24" s="720"/>
      <c r="GCH24" s="720"/>
      <c r="GCI24" s="720"/>
      <c r="GCJ24" s="720"/>
      <c r="GCK24" s="720"/>
      <c r="GCL24" s="720"/>
      <c r="GCM24" s="720"/>
      <c r="GCN24" s="720"/>
      <c r="GCO24" s="720"/>
      <c r="GCP24" s="720"/>
      <c r="GCQ24" s="720"/>
      <c r="GCR24" s="720"/>
      <c r="GCS24" s="720"/>
      <c r="GCT24" s="720"/>
      <c r="GCU24" s="720"/>
      <c r="GCV24" s="720"/>
      <c r="GCW24" s="720"/>
      <c r="GCX24" s="720"/>
      <c r="GCY24" s="720"/>
      <c r="GCZ24" s="720"/>
      <c r="GDA24" s="720"/>
      <c r="GDB24" s="720"/>
      <c r="GDC24" s="720"/>
      <c r="GDD24" s="720"/>
      <c r="GDE24" s="720"/>
      <c r="GDF24" s="720"/>
      <c r="GDG24" s="720"/>
      <c r="GDH24" s="720"/>
      <c r="GDI24" s="720"/>
      <c r="GDJ24" s="720"/>
      <c r="GDK24" s="720"/>
      <c r="GDL24" s="720"/>
      <c r="GDM24" s="720"/>
      <c r="GDN24" s="720"/>
      <c r="GDO24" s="720"/>
      <c r="GDP24" s="720"/>
      <c r="GDQ24" s="720"/>
      <c r="GDR24" s="720"/>
      <c r="GDS24" s="720"/>
      <c r="GDT24" s="720"/>
      <c r="GDU24" s="720"/>
      <c r="GDV24" s="720"/>
      <c r="GDW24" s="720"/>
      <c r="GDX24" s="720"/>
      <c r="GDY24" s="720"/>
      <c r="GDZ24" s="720"/>
      <c r="GEA24" s="720"/>
      <c r="GEB24" s="720"/>
      <c r="GEC24" s="720"/>
      <c r="GED24" s="720"/>
      <c r="GEE24" s="720"/>
      <c r="GEF24" s="720"/>
      <c r="GEG24" s="720"/>
      <c r="GEH24" s="720"/>
      <c r="GEI24" s="720"/>
      <c r="GEJ24" s="720"/>
      <c r="GEK24" s="720"/>
      <c r="GEL24" s="720"/>
      <c r="GEM24" s="720"/>
      <c r="GEN24" s="720"/>
      <c r="GEO24" s="720"/>
      <c r="GEP24" s="720"/>
      <c r="GEQ24" s="720"/>
      <c r="GER24" s="720"/>
      <c r="GES24" s="720"/>
      <c r="GET24" s="720"/>
      <c r="GEU24" s="720"/>
      <c r="GEV24" s="720"/>
      <c r="GEW24" s="720"/>
      <c r="GEX24" s="720"/>
      <c r="GEY24" s="720"/>
      <c r="GEZ24" s="720"/>
      <c r="GFA24" s="720"/>
      <c r="GFB24" s="720"/>
      <c r="GFC24" s="720"/>
      <c r="GFD24" s="720"/>
      <c r="GFE24" s="720"/>
      <c r="GFF24" s="720"/>
      <c r="GFG24" s="720"/>
      <c r="GFH24" s="720"/>
      <c r="GFI24" s="720"/>
      <c r="GFJ24" s="720"/>
      <c r="GFK24" s="720"/>
      <c r="GFL24" s="720"/>
      <c r="GFM24" s="720"/>
      <c r="GFN24" s="720"/>
      <c r="GFO24" s="720"/>
      <c r="GFP24" s="720"/>
      <c r="GFQ24" s="720"/>
      <c r="GFR24" s="720"/>
      <c r="GFS24" s="720"/>
      <c r="GFT24" s="720"/>
      <c r="GFU24" s="720"/>
      <c r="GFV24" s="720"/>
      <c r="GFW24" s="720"/>
      <c r="GFX24" s="720"/>
      <c r="GFY24" s="720"/>
      <c r="GFZ24" s="720"/>
      <c r="GGA24" s="720"/>
      <c r="GGB24" s="720"/>
      <c r="GGC24" s="720"/>
      <c r="GGD24" s="720"/>
      <c r="GGE24" s="720"/>
      <c r="GGF24" s="720"/>
      <c r="GGG24" s="720"/>
      <c r="GGH24" s="720"/>
      <c r="GGI24" s="720"/>
      <c r="GGJ24" s="720"/>
      <c r="GGK24" s="720"/>
      <c r="GGL24" s="720"/>
      <c r="GGM24" s="720"/>
      <c r="GGN24" s="720"/>
      <c r="GGO24" s="720"/>
      <c r="GGP24" s="720"/>
      <c r="GGQ24" s="720"/>
      <c r="GGR24" s="720"/>
      <c r="GGS24" s="720"/>
      <c r="GGT24" s="720"/>
      <c r="GGU24" s="720"/>
      <c r="GGV24" s="720"/>
      <c r="GGW24" s="720"/>
      <c r="GGX24" s="720"/>
      <c r="GGY24" s="720"/>
      <c r="GGZ24" s="720"/>
      <c r="GHA24" s="720"/>
      <c r="GHB24" s="720"/>
      <c r="GHC24" s="720"/>
      <c r="GHD24" s="720"/>
      <c r="GHE24" s="720"/>
      <c r="GHF24" s="720"/>
      <c r="GHG24" s="720"/>
      <c r="GHH24" s="720"/>
      <c r="GHI24" s="720"/>
      <c r="GHJ24" s="720"/>
      <c r="GHK24" s="720"/>
      <c r="GHL24" s="720"/>
      <c r="GHM24" s="720"/>
      <c r="GHN24" s="720"/>
      <c r="GHO24" s="720"/>
      <c r="GHP24" s="720"/>
      <c r="GHQ24" s="720"/>
      <c r="GHR24" s="720"/>
      <c r="GHS24" s="720"/>
      <c r="GHT24" s="720"/>
      <c r="GHU24" s="720"/>
      <c r="GHV24" s="720"/>
      <c r="GHW24" s="720"/>
      <c r="GHX24" s="720"/>
      <c r="GHY24" s="720"/>
      <c r="GHZ24" s="720"/>
      <c r="GIA24" s="720"/>
      <c r="GIB24" s="720"/>
      <c r="GIC24" s="720"/>
      <c r="GID24" s="720"/>
      <c r="GIE24" s="720"/>
      <c r="GIF24" s="720"/>
      <c r="GIG24" s="720"/>
      <c r="GIH24" s="720"/>
      <c r="GII24" s="720"/>
      <c r="GIJ24" s="720"/>
      <c r="GIK24" s="720"/>
      <c r="GIL24" s="720"/>
      <c r="GIM24" s="720"/>
      <c r="GIN24" s="720"/>
      <c r="GIO24" s="720"/>
      <c r="GIP24" s="720"/>
      <c r="GIQ24" s="720"/>
      <c r="GIR24" s="720"/>
      <c r="GIS24" s="720"/>
      <c r="GIT24" s="720"/>
      <c r="GIU24" s="720"/>
      <c r="GIV24" s="720"/>
      <c r="GIW24" s="720"/>
      <c r="GIX24" s="720"/>
      <c r="GIY24" s="720"/>
      <c r="GIZ24" s="720"/>
      <c r="GJA24" s="720"/>
      <c r="GJB24" s="720"/>
      <c r="GJC24" s="720"/>
      <c r="GJD24" s="720"/>
      <c r="GJE24" s="720"/>
      <c r="GJF24" s="720"/>
      <c r="GJG24" s="720"/>
      <c r="GJH24" s="720"/>
      <c r="GJI24" s="720"/>
      <c r="GJJ24" s="720"/>
      <c r="GJK24" s="720"/>
      <c r="GJL24" s="720"/>
      <c r="GJM24" s="720"/>
      <c r="GJN24" s="720"/>
      <c r="GJO24" s="720"/>
      <c r="GJP24" s="720"/>
      <c r="GJQ24" s="720"/>
      <c r="GJR24" s="720"/>
      <c r="GJS24" s="720"/>
      <c r="GJT24" s="720"/>
      <c r="GJU24" s="720"/>
      <c r="GJV24" s="720"/>
      <c r="GJW24" s="720"/>
      <c r="GJX24" s="720"/>
      <c r="GJY24" s="720"/>
      <c r="GJZ24" s="720"/>
      <c r="GKA24" s="720"/>
      <c r="GKB24" s="720"/>
      <c r="GKC24" s="720"/>
      <c r="GKD24" s="720"/>
      <c r="GKE24" s="720"/>
      <c r="GKF24" s="720"/>
      <c r="GKG24" s="720"/>
      <c r="GKH24" s="720"/>
      <c r="GKI24" s="720"/>
      <c r="GKJ24" s="720"/>
      <c r="GKK24" s="720"/>
      <c r="GKL24" s="720"/>
      <c r="GKM24" s="720"/>
      <c r="GKN24" s="720"/>
      <c r="GKO24" s="720"/>
      <c r="GKP24" s="720"/>
      <c r="GKQ24" s="720"/>
      <c r="GKR24" s="720"/>
      <c r="GKS24" s="720"/>
      <c r="GKT24" s="720"/>
      <c r="GKU24" s="720"/>
      <c r="GKV24" s="720"/>
      <c r="GKW24" s="720"/>
      <c r="GKX24" s="720"/>
      <c r="GKY24" s="720"/>
      <c r="GKZ24" s="720"/>
      <c r="GLA24" s="720"/>
      <c r="GLB24" s="720"/>
      <c r="GLC24" s="720"/>
      <c r="GLD24" s="720"/>
      <c r="GLE24" s="720"/>
      <c r="GLF24" s="720"/>
      <c r="GLG24" s="720"/>
      <c r="GLH24" s="720"/>
      <c r="GLI24" s="720"/>
      <c r="GLJ24" s="720"/>
      <c r="GLK24" s="720"/>
      <c r="GLL24" s="720"/>
      <c r="GLM24" s="720"/>
      <c r="GLN24" s="720"/>
      <c r="GLO24" s="720"/>
      <c r="GLP24" s="720"/>
      <c r="GLQ24" s="720"/>
      <c r="GLR24" s="720"/>
      <c r="GLS24" s="720"/>
      <c r="GLT24" s="720"/>
      <c r="GLU24" s="720"/>
      <c r="GLV24" s="720"/>
      <c r="GLW24" s="720"/>
      <c r="GLX24" s="720"/>
      <c r="GLY24" s="720"/>
      <c r="GLZ24" s="720"/>
      <c r="GMA24" s="720"/>
      <c r="GMB24" s="720"/>
      <c r="GMC24" s="720"/>
      <c r="GMD24" s="720"/>
      <c r="GME24" s="720"/>
      <c r="GMF24" s="720"/>
      <c r="GMG24" s="720"/>
      <c r="GMH24" s="720"/>
      <c r="GMI24" s="720"/>
      <c r="GMJ24" s="720"/>
      <c r="GMK24" s="720"/>
      <c r="GML24" s="720"/>
      <c r="GMM24" s="720"/>
      <c r="GMN24" s="720"/>
      <c r="GMO24" s="720"/>
      <c r="GMP24" s="720"/>
      <c r="GMQ24" s="720"/>
      <c r="GMR24" s="720"/>
      <c r="GMS24" s="720"/>
      <c r="GMT24" s="720"/>
      <c r="GMU24" s="720"/>
      <c r="GMV24" s="720"/>
      <c r="GMW24" s="720"/>
      <c r="GMX24" s="720"/>
      <c r="GMY24" s="720"/>
      <c r="GMZ24" s="720"/>
      <c r="GNA24" s="720"/>
      <c r="GNB24" s="720"/>
      <c r="GNC24" s="720"/>
      <c r="GND24" s="720"/>
      <c r="GNE24" s="720"/>
      <c r="GNF24" s="720"/>
      <c r="GNG24" s="720"/>
      <c r="GNH24" s="720"/>
      <c r="GNI24" s="720"/>
      <c r="GNJ24" s="720"/>
      <c r="GNK24" s="720"/>
      <c r="GNL24" s="720"/>
      <c r="GNM24" s="720"/>
      <c r="GNN24" s="720"/>
      <c r="GNO24" s="720"/>
      <c r="GNP24" s="720"/>
      <c r="GNQ24" s="720"/>
      <c r="GNR24" s="720"/>
      <c r="GNS24" s="720"/>
      <c r="GNT24" s="720"/>
      <c r="GNU24" s="720"/>
      <c r="GNV24" s="720"/>
      <c r="GNW24" s="720"/>
      <c r="GNX24" s="720"/>
      <c r="GNY24" s="720"/>
      <c r="GNZ24" s="720"/>
      <c r="GOA24" s="720"/>
      <c r="GOB24" s="720"/>
      <c r="GOC24" s="720"/>
      <c r="GOD24" s="720"/>
      <c r="GOE24" s="720"/>
      <c r="GOF24" s="720"/>
      <c r="GOG24" s="720"/>
      <c r="GOH24" s="720"/>
      <c r="GOI24" s="720"/>
      <c r="GOJ24" s="720"/>
      <c r="GOK24" s="720"/>
      <c r="GOL24" s="720"/>
      <c r="GOM24" s="720"/>
      <c r="GON24" s="720"/>
      <c r="GOO24" s="720"/>
      <c r="GOP24" s="720"/>
      <c r="GOQ24" s="720"/>
      <c r="GOR24" s="720"/>
      <c r="GOS24" s="720"/>
      <c r="GOT24" s="720"/>
      <c r="GOU24" s="720"/>
      <c r="GOV24" s="720"/>
      <c r="GOW24" s="720"/>
      <c r="GOX24" s="720"/>
      <c r="GOY24" s="720"/>
      <c r="GOZ24" s="720"/>
      <c r="GPA24" s="720"/>
      <c r="GPB24" s="720"/>
      <c r="GPC24" s="720"/>
      <c r="GPD24" s="720"/>
      <c r="GPE24" s="720"/>
      <c r="GPF24" s="720"/>
      <c r="GPG24" s="720"/>
      <c r="GPH24" s="720"/>
      <c r="GPI24" s="720"/>
      <c r="GPJ24" s="720"/>
      <c r="GPK24" s="720"/>
      <c r="GPL24" s="720"/>
      <c r="GPM24" s="720"/>
      <c r="GPN24" s="720"/>
      <c r="GPO24" s="720"/>
      <c r="GPP24" s="720"/>
      <c r="GPQ24" s="720"/>
      <c r="GPR24" s="720"/>
      <c r="GPS24" s="720"/>
      <c r="GPT24" s="720"/>
      <c r="GPU24" s="720"/>
      <c r="GPV24" s="720"/>
      <c r="GPW24" s="720"/>
      <c r="GPX24" s="720"/>
      <c r="GPY24" s="720"/>
      <c r="GPZ24" s="720"/>
      <c r="GQA24" s="720"/>
      <c r="GQB24" s="720"/>
      <c r="GQC24" s="720"/>
      <c r="GQD24" s="720"/>
      <c r="GQE24" s="720"/>
      <c r="GQF24" s="720"/>
      <c r="GQG24" s="720"/>
      <c r="GQH24" s="720"/>
      <c r="GQI24" s="720"/>
      <c r="GQJ24" s="720"/>
      <c r="GQK24" s="720"/>
      <c r="GQL24" s="720"/>
      <c r="GQM24" s="720"/>
      <c r="GQN24" s="720"/>
      <c r="GQO24" s="720"/>
      <c r="GQP24" s="720"/>
      <c r="GQQ24" s="720"/>
      <c r="GQR24" s="720"/>
      <c r="GQS24" s="720"/>
      <c r="GQT24" s="720"/>
      <c r="GQU24" s="720"/>
      <c r="GQV24" s="720"/>
      <c r="GQW24" s="720"/>
      <c r="GQX24" s="720"/>
      <c r="GQY24" s="720"/>
      <c r="GQZ24" s="720"/>
      <c r="GRA24" s="720"/>
      <c r="GRB24" s="720"/>
      <c r="GRC24" s="720"/>
      <c r="GRD24" s="720"/>
      <c r="GRE24" s="720"/>
      <c r="GRF24" s="720"/>
      <c r="GRG24" s="720"/>
      <c r="GRH24" s="720"/>
      <c r="GRI24" s="720"/>
      <c r="GRJ24" s="720"/>
      <c r="GRK24" s="720"/>
      <c r="GRL24" s="720"/>
      <c r="GRM24" s="720"/>
      <c r="GRN24" s="720"/>
      <c r="GRO24" s="720"/>
      <c r="GRP24" s="720"/>
      <c r="GRQ24" s="720"/>
      <c r="GRR24" s="720"/>
      <c r="GRS24" s="720"/>
      <c r="GRT24" s="720"/>
      <c r="GRU24" s="720"/>
      <c r="GRV24" s="720"/>
      <c r="GRW24" s="720"/>
      <c r="GRX24" s="720"/>
      <c r="GRY24" s="720"/>
      <c r="GRZ24" s="720"/>
      <c r="GSA24" s="720"/>
      <c r="GSB24" s="720"/>
      <c r="GSC24" s="720"/>
      <c r="GSD24" s="720"/>
      <c r="GSE24" s="720"/>
      <c r="GSF24" s="720"/>
      <c r="GSG24" s="720"/>
      <c r="GSH24" s="720"/>
      <c r="GSI24" s="720"/>
      <c r="GSJ24" s="720"/>
      <c r="GSK24" s="720"/>
      <c r="GSL24" s="720"/>
      <c r="GSM24" s="720"/>
      <c r="GSN24" s="720"/>
      <c r="GSO24" s="720"/>
      <c r="GSP24" s="720"/>
      <c r="GSQ24" s="720"/>
      <c r="GSR24" s="720"/>
      <c r="GSS24" s="720"/>
      <c r="GST24" s="720"/>
      <c r="GSU24" s="720"/>
      <c r="GSV24" s="720"/>
      <c r="GSW24" s="720"/>
      <c r="GSX24" s="720"/>
      <c r="GSY24" s="720"/>
      <c r="GSZ24" s="720"/>
      <c r="GTA24" s="720"/>
      <c r="GTB24" s="720"/>
      <c r="GTC24" s="720"/>
      <c r="GTD24" s="720"/>
      <c r="GTE24" s="720"/>
      <c r="GTF24" s="720"/>
      <c r="GTG24" s="720"/>
      <c r="GTH24" s="720"/>
      <c r="GTI24" s="720"/>
      <c r="GTJ24" s="720"/>
      <c r="GTK24" s="720"/>
      <c r="GTL24" s="720"/>
      <c r="GTM24" s="720"/>
      <c r="GTN24" s="720"/>
      <c r="GTO24" s="720"/>
      <c r="GTP24" s="720"/>
      <c r="GTQ24" s="720"/>
      <c r="GTR24" s="720"/>
      <c r="GTS24" s="720"/>
      <c r="GTT24" s="720"/>
      <c r="GTU24" s="720"/>
      <c r="GTV24" s="720"/>
      <c r="GTW24" s="720"/>
      <c r="GTX24" s="720"/>
      <c r="GTY24" s="720"/>
      <c r="GTZ24" s="720"/>
      <c r="GUA24" s="720"/>
      <c r="GUB24" s="720"/>
      <c r="GUC24" s="720"/>
      <c r="GUD24" s="720"/>
      <c r="GUE24" s="720"/>
      <c r="GUF24" s="720"/>
      <c r="GUG24" s="720"/>
      <c r="GUH24" s="720"/>
      <c r="GUI24" s="720"/>
      <c r="GUJ24" s="720"/>
      <c r="GUK24" s="720"/>
      <c r="GUL24" s="720"/>
      <c r="GUM24" s="720"/>
      <c r="GUN24" s="720"/>
      <c r="GUO24" s="720"/>
      <c r="GUP24" s="720"/>
      <c r="GUQ24" s="720"/>
      <c r="GUR24" s="720"/>
      <c r="GUS24" s="720"/>
      <c r="GUT24" s="720"/>
      <c r="GUU24" s="720"/>
      <c r="GUV24" s="720"/>
      <c r="GUW24" s="720"/>
      <c r="GUX24" s="720"/>
      <c r="GUY24" s="720"/>
      <c r="GUZ24" s="720"/>
      <c r="GVA24" s="720"/>
      <c r="GVB24" s="720"/>
      <c r="GVC24" s="720"/>
      <c r="GVD24" s="720"/>
      <c r="GVE24" s="720"/>
      <c r="GVF24" s="720"/>
      <c r="GVG24" s="720"/>
      <c r="GVH24" s="720"/>
      <c r="GVI24" s="720"/>
      <c r="GVJ24" s="720"/>
      <c r="GVK24" s="720"/>
      <c r="GVL24" s="720"/>
      <c r="GVM24" s="720"/>
      <c r="GVN24" s="720"/>
      <c r="GVO24" s="720"/>
      <c r="GVP24" s="720"/>
      <c r="GVQ24" s="720"/>
      <c r="GVR24" s="720"/>
      <c r="GVS24" s="720"/>
      <c r="GVT24" s="720"/>
      <c r="GVU24" s="720"/>
      <c r="GVV24" s="720"/>
      <c r="GVW24" s="720"/>
      <c r="GVX24" s="720"/>
      <c r="GVY24" s="720"/>
      <c r="GVZ24" s="720"/>
      <c r="GWA24" s="720"/>
      <c r="GWB24" s="720"/>
      <c r="GWC24" s="720"/>
      <c r="GWD24" s="720"/>
      <c r="GWE24" s="720"/>
      <c r="GWF24" s="720"/>
      <c r="GWG24" s="720"/>
      <c r="GWH24" s="720"/>
      <c r="GWI24" s="720"/>
      <c r="GWJ24" s="720"/>
      <c r="GWK24" s="720"/>
      <c r="GWL24" s="720"/>
      <c r="GWM24" s="720"/>
      <c r="GWN24" s="720"/>
      <c r="GWO24" s="720"/>
      <c r="GWP24" s="720"/>
      <c r="GWQ24" s="720"/>
      <c r="GWR24" s="720"/>
      <c r="GWS24" s="720"/>
      <c r="GWT24" s="720"/>
      <c r="GWU24" s="720"/>
      <c r="GWV24" s="720"/>
      <c r="GWW24" s="720"/>
      <c r="GWX24" s="720"/>
      <c r="GWY24" s="720"/>
      <c r="GWZ24" s="720"/>
      <c r="GXA24" s="720"/>
      <c r="GXB24" s="720"/>
      <c r="GXC24" s="720"/>
      <c r="GXD24" s="720"/>
      <c r="GXE24" s="720"/>
      <c r="GXF24" s="720"/>
      <c r="GXG24" s="720"/>
      <c r="GXH24" s="720"/>
      <c r="GXI24" s="720"/>
      <c r="GXJ24" s="720"/>
      <c r="GXK24" s="720"/>
      <c r="GXL24" s="720"/>
      <c r="GXM24" s="720"/>
      <c r="GXN24" s="720"/>
      <c r="GXO24" s="720"/>
      <c r="GXP24" s="720"/>
      <c r="GXQ24" s="720"/>
      <c r="GXR24" s="720"/>
      <c r="GXS24" s="720"/>
      <c r="GXT24" s="720"/>
      <c r="GXU24" s="720"/>
      <c r="GXV24" s="720"/>
      <c r="GXW24" s="720"/>
      <c r="GXX24" s="720"/>
      <c r="GXY24" s="720"/>
      <c r="GXZ24" s="720"/>
      <c r="GYA24" s="720"/>
      <c r="GYB24" s="720"/>
      <c r="GYC24" s="720"/>
      <c r="GYD24" s="720"/>
      <c r="GYE24" s="720"/>
      <c r="GYF24" s="720"/>
      <c r="GYG24" s="720"/>
      <c r="GYH24" s="720"/>
      <c r="GYI24" s="720"/>
      <c r="GYJ24" s="720"/>
      <c r="GYK24" s="720"/>
      <c r="GYL24" s="720"/>
      <c r="GYM24" s="720"/>
      <c r="GYN24" s="720"/>
      <c r="GYO24" s="720"/>
      <c r="GYP24" s="720"/>
      <c r="GYQ24" s="720"/>
      <c r="GYR24" s="720"/>
      <c r="GYS24" s="720"/>
      <c r="GYT24" s="720"/>
      <c r="GYU24" s="720"/>
      <c r="GYV24" s="720"/>
      <c r="GYW24" s="720"/>
      <c r="GYX24" s="720"/>
      <c r="GYY24" s="720"/>
      <c r="GYZ24" s="720"/>
      <c r="GZA24" s="720"/>
      <c r="GZB24" s="720"/>
      <c r="GZC24" s="720"/>
      <c r="GZD24" s="720"/>
      <c r="GZE24" s="720"/>
      <c r="GZF24" s="720"/>
      <c r="GZG24" s="720"/>
      <c r="GZH24" s="720"/>
      <c r="GZI24" s="720"/>
      <c r="GZJ24" s="720"/>
      <c r="GZK24" s="720"/>
      <c r="GZL24" s="720"/>
      <c r="GZM24" s="720"/>
      <c r="GZN24" s="720"/>
      <c r="GZO24" s="720"/>
      <c r="GZP24" s="720"/>
      <c r="GZQ24" s="720"/>
      <c r="GZR24" s="720"/>
      <c r="GZS24" s="720"/>
      <c r="GZT24" s="720"/>
      <c r="GZU24" s="720"/>
      <c r="GZV24" s="720"/>
      <c r="GZW24" s="720"/>
      <c r="GZX24" s="720"/>
      <c r="GZY24" s="720"/>
      <c r="GZZ24" s="720"/>
      <c r="HAA24" s="720"/>
      <c r="HAB24" s="720"/>
      <c r="HAC24" s="720"/>
      <c r="HAD24" s="720"/>
      <c r="HAE24" s="720"/>
      <c r="HAF24" s="720"/>
      <c r="HAG24" s="720"/>
      <c r="HAH24" s="720"/>
      <c r="HAI24" s="720"/>
      <c r="HAJ24" s="720"/>
      <c r="HAK24" s="720"/>
      <c r="HAL24" s="720"/>
      <c r="HAM24" s="720"/>
      <c r="HAN24" s="720"/>
      <c r="HAO24" s="720"/>
      <c r="HAP24" s="720"/>
      <c r="HAQ24" s="720"/>
      <c r="HAR24" s="720"/>
      <c r="HAS24" s="720"/>
      <c r="HAT24" s="720"/>
      <c r="HAU24" s="720"/>
      <c r="HAV24" s="720"/>
      <c r="HAW24" s="720"/>
      <c r="HAX24" s="720"/>
      <c r="HAY24" s="720"/>
      <c r="HAZ24" s="720"/>
      <c r="HBA24" s="720"/>
      <c r="HBB24" s="720"/>
      <c r="HBC24" s="720"/>
      <c r="HBD24" s="720"/>
      <c r="HBE24" s="720"/>
      <c r="HBF24" s="720"/>
      <c r="HBG24" s="720"/>
      <c r="HBH24" s="720"/>
      <c r="HBI24" s="720"/>
      <c r="HBJ24" s="720"/>
      <c r="HBK24" s="720"/>
      <c r="HBL24" s="720"/>
      <c r="HBM24" s="720"/>
      <c r="HBN24" s="720"/>
      <c r="HBO24" s="720"/>
      <c r="HBP24" s="720"/>
      <c r="HBQ24" s="720"/>
      <c r="HBR24" s="720"/>
      <c r="HBS24" s="720"/>
      <c r="HBT24" s="720"/>
      <c r="HBU24" s="720"/>
      <c r="HBV24" s="720"/>
      <c r="HBW24" s="720"/>
      <c r="HBX24" s="720"/>
      <c r="HBY24" s="720"/>
      <c r="HBZ24" s="720"/>
      <c r="HCA24" s="720"/>
      <c r="HCB24" s="720"/>
      <c r="HCC24" s="720"/>
      <c r="HCD24" s="720"/>
      <c r="HCE24" s="720"/>
      <c r="HCF24" s="720"/>
      <c r="HCG24" s="720"/>
      <c r="HCH24" s="720"/>
      <c r="HCI24" s="720"/>
      <c r="HCJ24" s="720"/>
      <c r="HCK24" s="720"/>
      <c r="HCL24" s="720"/>
      <c r="HCM24" s="720"/>
      <c r="HCN24" s="720"/>
      <c r="HCO24" s="720"/>
      <c r="HCP24" s="720"/>
      <c r="HCQ24" s="720"/>
      <c r="HCR24" s="720"/>
      <c r="HCS24" s="720"/>
      <c r="HCT24" s="720"/>
      <c r="HCU24" s="720"/>
      <c r="HCV24" s="720"/>
      <c r="HCW24" s="720"/>
      <c r="HCX24" s="720"/>
      <c r="HCY24" s="720"/>
      <c r="HCZ24" s="720"/>
      <c r="HDA24" s="720"/>
      <c r="HDB24" s="720"/>
      <c r="HDC24" s="720"/>
      <c r="HDD24" s="720"/>
      <c r="HDE24" s="720"/>
      <c r="HDF24" s="720"/>
      <c r="HDG24" s="720"/>
      <c r="HDH24" s="720"/>
      <c r="HDI24" s="720"/>
      <c r="HDJ24" s="720"/>
      <c r="HDK24" s="720"/>
      <c r="HDL24" s="720"/>
      <c r="HDM24" s="720"/>
      <c r="HDN24" s="720"/>
      <c r="HDO24" s="720"/>
      <c r="HDP24" s="720"/>
      <c r="HDQ24" s="720"/>
      <c r="HDR24" s="720"/>
      <c r="HDS24" s="720"/>
      <c r="HDT24" s="720"/>
      <c r="HDU24" s="720"/>
      <c r="HDV24" s="720"/>
      <c r="HDW24" s="720"/>
      <c r="HDX24" s="720"/>
      <c r="HDY24" s="720"/>
      <c r="HDZ24" s="720"/>
      <c r="HEA24" s="720"/>
      <c r="HEB24" s="720"/>
      <c r="HEC24" s="720"/>
      <c r="HED24" s="720"/>
      <c r="HEE24" s="720"/>
      <c r="HEF24" s="720"/>
      <c r="HEG24" s="720"/>
      <c r="HEH24" s="720"/>
      <c r="HEI24" s="720"/>
      <c r="HEJ24" s="720"/>
      <c r="HEK24" s="720"/>
      <c r="HEL24" s="720"/>
      <c r="HEM24" s="720"/>
      <c r="HEN24" s="720"/>
      <c r="HEO24" s="720"/>
      <c r="HEP24" s="720"/>
      <c r="HEQ24" s="720"/>
      <c r="HER24" s="720"/>
      <c r="HES24" s="720"/>
      <c r="HET24" s="720"/>
      <c r="HEU24" s="720"/>
      <c r="HEV24" s="720"/>
      <c r="HEW24" s="720"/>
      <c r="HEX24" s="720"/>
      <c r="HEY24" s="720"/>
      <c r="HEZ24" s="720"/>
      <c r="HFA24" s="720"/>
      <c r="HFB24" s="720"/>
      <c r="HFC24" s="720"/>
      <c r="HFD24" s="720"/>
      <c r="HFE24" s="720"/>
      <c r="HFF24" s="720"/>
      <c r="HFG24" s="720"/>
      <c r="HFH24" s="720"/>
      <c r="HFI24" s="720"/>
      <c r="HFJ24" s="720"/>
      <c r="HFK24" s="720"/>
      <c r="HFL24" s="720"/>
      <c r="HFM24" s="720"/>
      <c r="HFN24" s="720"/>
      <c r="HFO24" s="720"/>
      <c r="HFP24" s="720"/>
      <c r="HFQ24" s="720"/>
      <c r="HFR24" s="720"/>
      <c r="HFS24" s="720"/>
      <c r="HFT24" s="720"/>
      <c r="HFU24" s="720"/>
      <c r="HFV24" s="720"/>
      <c r="HFW24" s="720"/>
      <c r="HFX24" s="720"/>
      <c r="HFY24" s="720"/>
      <c r="HFZ24" s="720"/>
      <c r="HGA24" s="720"/>
      <c r="HGB24" s="720"/>
      <c r="HGC24" s="720"/>
      <c r="HGD24" s="720"/>
      <c r="HGE24" s="720"/>
      <c r="HGF24" s="720"/>
      <c r="HGG24" s="720"/>
      <c r="HGH24" s="720"/>
      <c r="HGI24" s="720"/>
      <c r="HGJ24" s="720"/>
      <c r="HGK24" s="720"/>
      <c r="HGL24" s="720"/>
      <c r="HGM24" s="720"/>
      <c r="HGN24" s="720"/>
      <c r="HGO24" s="720"/>
      <c r="HGP24" s="720"/>
      <c r="HGQ24" s="720"/>
      <c r="HGR24" s="720"/>
      <c r="HGS24" s="720"/>
      <c r="HGT24" s="720"/>
      <c r="HGU24" s="720"/>
      <c r="HGV24" s="720"/>
      <c r="HGW24" s="720"/>
      <c r="HGX24" s="720"/>
      <c r="HGY24" s="720"/>
      <c r="HGZ24" s="720"/>
      <c r="HHA24" s="720"/>
      <c r="HHB24" s="720"/>
      <c r="HHC24" s="720"/>
      <c r="HHD24" s="720"/>
      <c r="HHE24" s="720"/>
      <c r="HHF24" s="720"/>
      <c r="HHG24" s="720"/>
      <c r="HHH24" s="720"/>
      <c r="HHI24" s="720"/>
      <c r="HHJ24" s="720"/>
      <c r="HHK24" s="720"/>
      <c r="HHL24" s="720"/>
      <c r="HHM24" s="720"/>
      <c r="HHN24" s="720"/>
      <c r="HHO24" s="720"/>
      <c r="HHP24" s="720"/>
      <c r="HHQ24" s="720"/>
      <c r="HHR24" s="720"/>
      <c r="HHS24" s="720"/>
      <c r="HHT24" s="720"/>
      <c r="HHU24" s="720"/>
      <c r="HHV24" s="720"/>
      <c r="HHW24" s="720"/>
      <c r="HHX24" s="720"/>
      <c r="HHY24" s="720"/>
      <c r="HHZ24" s="720"/>
      <c r="HIA24" s="720"/>
      <c r="HIB24" s="720"/>
      <c r="HIC24" s="720"/>
      <c r="HID24" s="720"/>
      <c r="HIE24" s="720"/>
      <c r="HIF24" s="720"/>
      <c r="HIG24" s="720"/>
      <c r="HIH24" s="720"/>
      <c r="HII24" s="720"/>
      <c r="HIJ24" s="720"/>
      <c r="HIK24" s="720"/>
      <c r="HIL24" s="720"/>
      <c r="HIM24" s="720"/>
      <c r="HIN24" s="720"/>
      <c r="HIO24" s="720"/>
      <c r="HIP24" s="720"/>
      <c r="HIQ24" s="720"/>
      <c r="HIR24" s="720"/>
      <c r="HIS24" s="720"/>
      <c r="HIT24" s="720"/>
      <c r="HIU24" s="720"/>
      <c r="HIV24" s="720"/>
      <c r="HIW24" s="720"/>
      <c r="HIX24" s="720"/>
      <c r="HIY24" s="720"/>
      <c r="HIZ24" s="720"/>
      <c r="HJA24" s="720"/>
      <c r="HJB24" s="720"/>
      <c r="HJC24" s="720"/>
      <c r="HJD24" s="720"/>
      <c r="HJE24" s="720"/>
      <c r="HJF24" s="720"/>
      <c r="HJG24" s="720"/>
      <c r="HJH24" s="720"/>
      <c r="HJI24" s="720"/>
      <c r="HJJ24" s="720"/>
      <c r="HJK24" s="720"/>
      <c r="HJL24" s="720"/>
      <c r="HJM24" s="720"/>
      <c r="HJN24" s="720"/>
      <c r="HJO24" s="720"/>
      <c r="HJP24" s="720"/>
      <c r="HJQ24" s="720"/>
      <c r="HJR24" s="720"/>
      <c r="HJS24" s="720"/>
      <c r="HJT24" s="720"/>
      <c r="HJU24" s="720"/>
      <c r="HJV24" s="720"/>
      <c r="HJW24" s="720"/>
      <c r="HJX24" s="720"/>
      <c r="HJY24" s="720"/>
      <c r="HJZ24" s="720"/>
      <c r="HKA24" s="720"/>
      <c r="HKB24" s="720"/>
      <c r="HKC24" s="720"/>
      <c r="HKD24" s="720"/>
      <c r="HKE24" s="720"/>
      <c r="HKF24" s="720"/>
      <c r="HKG24" s="720"/>
      <c r="HKH24" s="720"/>
      <c r="HKI24" s="720"/>
      <c r="HKJ24" s="720"/>
      <c r="HKK24" s="720"/>
      <c r="HKL24" s="720"/>
      <c r="HKM24" s="720"/>
      <c r="HKN24" s="720"/>
      <c r="HKO24" s="720"/>
      <c r="HKP24" s="720"/>
      <c r="HKQ24" s="720"/>
      <c r="HKR24" s="720"/>
      <c r="HKS24" s="720"/>
      <c r="HKT24" s="720"/>
      <c r="HKU24" s="720"/>
      <c r="HKV24" s="720"/>
      <c r="HKW24" s="720"/>
      <c r="HKX24" s="720"/>
      <c r="HKY24" s="720"/>
      <c r="HKZ24" s="720"/>
      <c r="HLA24" s="720"/>
      <c r="HLB24" s="720"/>
      <c r="HLC24" s="720"/>
      <c r="HLD24" s="720"/>
      <c r="HLE24" s="720"/>
      <c r="HLF24" s="720"/>
      <c r="HLG24" s="720"/>
      <c r="HLH24" s="720"/>
      <c r="HLI24" s="720"/>
      <c r="HLJ24" s="720"/>
      <c r="HLK24" s="720"/>
      <c r="HLL24" s="720"/>
      <c r="HLM24" s="720"/>
      <c r="HLN24" s="720"/>
      <c r="HLO24" s="720"/>
      <c r="HLP24" s="720"/>
      <c r="HLQ24" s="720"/>
      <c r="HLR24" s="720"/>
      <c r="HLS24" s="720"/>
      <c r="HLT24" s="720"/>
      <c r="HLU24" s="720"/>
      <c r="HLV24" s="720"/>
      <c r="HLW24" s="720"/>
      <c r="HLX24" s="720"/>
      <c r="HLY24" s="720"/>
      <c r="HLZ24" s="720"/>
      <c r="HMA24" s="720"/>
      <c r="HMB24" s="720"/>
      <c r="HMC24" s="720"/>
      <c r="HMD24" s="720"/>
      <c r="HME24" s="720"/>
      <c r="HMF24" s="720"/>
      <c r="HMG24" s="720"/>
      <c r="HMH24" s="720"/>
      <c r="HMI24" s="720"/>
      <c r="HMJ24" s="720"/>
      <c r="HMK24" s="720"/>
      <c r="HML24" s="720"/>
      <c r="HMM24" s="720"/>
      <c r="HMN24" s="720"/>
      <c r="HMO24" s="720"/>
      <c r="HMP24" s="720"/>
      <c r="HMQ24" s="720"/>
      <c r="HMR24" s="720"/>
      <c r="HMS24" s="720"/>
      <c r="HMT24" s="720"/>
      <c r="HMU24" s="720"/>
      <c r="HMV24" s="720"/>
      <c r="HMW24" s="720"/>
      <c r="HMX24" s="720"/>
      <c r="HMY24" s="720"/>
      <c r="HMZ24" s="720"/>
      <c r="HNA24" s="720"/>
      <c r="HNB24" s="720"/>
      <c r="HNC24" s="720"/>
      <c r="HND24" s="720"/>
      <c r="HNE24" s="720"/>
      <c r="HNF24" s="720"/>
      <c r="HNG24" s="720"/>
      <c r="HNH24" s="720"/>
      <c r="HNI24" s="720"/>
      <c r="HNJ24" s="720"/>
      <c r="HNK24" s="720"/>
      <c r="HNL24" s="720"/>
      <c r="HNM24" s="720"/>
      <c r="HNN24" s="720"/>
      <c r="HNO24" s="720"/>
      <c r="HNP24" s="720"/>
      <c r="HNQ24" s="720"/>
      <c r="HNR24" s="720"/>
      <c r="HNS24" s="720"/>
      <c r="HNT24" s="720"/>
      <c r="HNU24" s="720"/>
      <c r="HNV24" s="720"/>
      <c r="HNW24" s="720"/>
      <c r="HNX24" s="720"/>
      <c r="HNY24" s="720"/>
      <c r="HNZ24" s="720"/>
      <c r="HOA24" s="720"/>
      <c r="HOB24" s="720"/>
      <c r="HOC24" s="720"/>
      <c r="HOD24" s="720"/>
      <c r="HOE24" s="720"/>
      <c r="HOF24" s="720"/>
      <c r="HOG24" s="720"/>
      <c r="HOH24" s="720"/>
      <c r="HOI24" s="720"/>
      <c r="HOJ24" s="720"/>
      <c r="HOK24" s="720"/>
      <c r="HOL24" s="720"/>
      <c r="HOM24" s="720"/>
      <c r="HON24" s="720"/>
      <c r="HOO24" s="720"/>
      <c r="HOP24" s="720"/>
      <c r="HOQ24" s="720"/>
      <c r="HOR24" s="720"/>
      <c r="HOS24" s="720"/>
      <c r="HOT24" s="720"/>
      <c r="HOU24" s="720"/>
      <c r="HOV24" s="720"/>
      <c r="HOW24" s="720"/>
      <c r="HOX24" s="720"/>
      <c r="HOY24" s="720"/>
      <c r="HOZ24" s="720"/>
      <c r="HPA24" s="720"/>
      <c r="HPB24" s="720"/>
      <c r="HPC24" s="720"/>
      <c r="HPD24" s="720"/>
      <c r="HPE24" s="720"/>
      <c r="HPF24" s="720"/>
      <c r="HPG24" s="720"/>
      <c r="HPH24" s="720"/>
      <c r="HPI24" s="720"/>
      <c r="HPJ24" s="720"/>
      <c r="HPK24" s="720"/>
      <c r="HPL24" s="720"/>
      <c r="HPM24" s="720"/>
      <c r="HPN24" s="720"/>
      <c r="HPO24" s="720"/>
      <c r="HPP24" s="720"/>
      <c r="HPQ24" s="720"/>
      <c r="HPR24" s="720"/>
      <c r="HPS24" s="720"/>
      <c r="HPT24" s="720"/>
      <c r="HPU24" s="720"/>
      <c r="HPV24" s="720"/>
      <c r="HPW24" s="720"/>
      <c r="HPX24" s="720"/>
      <c r="HPY24" s="720"/>
      <c r="HPZ24" s="720"/>
      <c r="HQA24" s="720"/>
      <c r="HQB24" s="720"/>
      <c r="HQC24" s="720"/>
      <c r="HQD24" s="720"/>
      <c r="HQE24" s="720"/>
      <c r="HQF24" s="720"/>
      <c r="HQG24" s="720"/>
      <c r="HQH24" s="720"/>
      <c r="HQI24" s="720"/>
      <c r="HQJ24" s="720"/>
      <c r="HQK24" s="720"/>
      <c r="HQL24" s="720"/>
      <c r="HQM24" s="720"/>
      <c r="HQN24" s="720"/>
      <c r="HQO24" s="720"/>
      <c r="HQP24" s="720"/>
      <c r="HQQ24" s="720"/>
      <c r="HQR24" s="720"/>
      <c r="HQS24" s="720"/>
      <c r="HQT24" s="720"/>
      <c r="HQU24" s="720"/>
      <c r="HQV24" s="720"/>
      <c r="HQW24" s="720"/>
      <c r="HQX24" s="720"/>
      <c r="HQY24" s="720"/>
      <c r="HQZ24" s="720"/>
      <c r="HRA24" s="720"/>
      <c r="HRB24" s="720"/>
      <c r="HRC24" s="720"/>
      <c r="HRD24" s="720"/>
      <c r="HRE24" s="720"/>
      <c r="HRF24" s="720"/>
      <c r="HRG24" s="720"/>
      <c r="HRH24" s="720"/>
      <c r="HRI24" s="720"/>
      <c r="HRJ24" s="720"/>
      <c r="HRK24" s="720"/>
      <c r="HRL24" s="720"/>
      <c r="HRM24" s="720"/>
      <c r="HRN24" s="720"/>
      <c r="HRO24" s="720"/>
      <c r="HRP24" s="720"/>
      <c r="HRQ24" s="720"/>
      <c r="HRR24" s="720"/>
      <c r="HRS24" s="720"/>
      <c r="HRT24" s="720"/>
      <c r="HRU24" s="720"/>
      <c r="HRV24" s="720"/>
      <c r="HRW24" s="720"/>
      <c r="HRX24" s="720"/>
      <c r="HRY24" s="720"/>
      <c r="HRZ24" s="720"/>
      <c r="HSA24" s="720"/>
      <c r="HSB24" s="720"/>
      <c r="HSC24" s="720"/>
      <c r="HSD24" s="720"/>
      <c r="HSE24" s="720"/>
      <c r="HSF24" s="720"/>
      <c r="HSG24" s="720"/>
      <c r="HSH24" s="720"/>
      <c r="HSI24" s="720"/>
      <c r="HSJ24" s="720"/>
      <c r="HSK24" s="720"/>
      <c r="HSL24" s="720"/>
      <c r="HSM24" s="720"/>
      <c r="HSN24" s="720"/>
      <c r="HSO24" s="720"/>
      <c r="HSP24" s="720"/>
      <c r="HSQ24" s="720"/>
      <c r="HSR24" s="720"/>
      <c r="HSS24" s="720"/>
      <c r="HST24" s="720"/>
      <c r="HSU24" s="720"/>
      <c r="HSV24" s="720"/>
      <c r="HSW24" s="720"/>
      <c r="HSX24" s="720"/>
      <c r="HSY24" s="720"/>
      <c r="HSZ24" s="720"/>
      <c r="HTA24" s="720"/>
      <c r="HTB24" s="720"/>
      <c r="HTC24" s="720"/>
      <c r="HTD24" s="720"/>
      <c r="HTE24" s="720"/>
      <c r="HTF24" s="720"/>
      <c r="HTG24" s="720"/>
      <c r="HTH24" s="720"/>
      <c r="HTI24" s="720"/>
      <c r="HTJ24" s="720"/>
      <c r="HTK24" s="720"/>
      <c r="HTL24" s="720"/>
      <c r="HTM24" s="720"/>
      <c r="HTN24" s="720"/>
      <c r="HTO24" s="720"/>
      <c r="HTP24" s="720"/>
      <c r="HTQ24" s="720"/>
      <c r="HTR24" s="720"/>
      <c r="HTS24" s="720"/>
      <c r="HTT24" s="720"/>
      <c r="HTU24" s="720"/>
      <c r="HTV24" s="720"/>
      <c r="HTW24" s="720"/>
      <c r="HTX24" s="720"/>
      <c r="HTY24" s="720"/>
      <c r="HTZ24" s="720"/>
      <c r="HUA24" s="720"/>
      <c r="HUB24" s="720"/>
      <c r="HUC24" s="720"/>
      <c r="HUD24" s="720"/>
      <c r="HUE24" s="720"/>
      <c r="HUF24" s="720"/>
      <c r="HUG24" s="720"/>
      <c r="HUH24" s="720"/>
      <c r="HUI24" s="720"/>
      <c r="HUJ24" s="720"/>
      <c r="HUK24" s="720"/>
      <c r="HUL24" s="720"/>
      <c r="HUM24" s="720"/>
      <c r="HUN24" s="720"/>
      <c r="HUO24" s="720"/>
      <c r="HUP24" s="720"/>
      <c r="HUQ24" s="720"/>
      <c r="HUR24" s="720"/>
      <c r="HUS24" s="720"/>
      <c r="HUT24" s="720"/>
      <c r="HUU24" s="720"/>
      <c r="HUV24" s="720"/>
      <c r="HUW24" s="720"/>
      <c r="HUX24" s="720"/>
      <c r="HUY24" s="720"/>
      <c r="HUZ24" s="720"/>
      <c r="HVA24" s="720"/>
      <c r="HVB24" s="720"/>
      <c r="HVC24" s="720"/>
      <c r="HVD24" s="720"/>
      <c r="HVE24" s="720"/>
      <c r="HVF24" s="720"/>
      <c r="HVG24" s="720"/>
      <c r="HVH24" s="720"/>
      <c r="HVI24" s="720"/>
      <c r="HVJ24" s="720"/>
      <c r="HVK24" s="720"/>
      <c r="HVL24" s="720"/>
      <c r="HVM24" s="720"/>
      <c r="HVN24" s="720"/>
      <c r="HVO24" s="720"/>
      <c r="HVP24" s="720"/>
      <c r="HVQ24" s="720"/>
      <c r="HVR24" s="720"/>
      <c r="HVS24" s="720"/>
      <c r="HVT24" s="720"/>
      <c r="HVU24" s="720"/>
      <c r="HVV24" s="720"/>
      <c r="HVW24" s="720"/>
      <c r="HVX24" s="720"/>
      <c r="HVY24" s="720"/>
      <c r="HVZ24" s="720"/>
      <c r="HWA24" s="720"/>
      <c r="HWB24" s="720"/>
      <c r="HWC24" s="720"/>
      <c r="HWD24" s="720"/>
      <c r="HWE24" s="720"/>
      <c r="HWF24" s="720"/>
      <c r="HWG24" s="720"/>
      <c r="HWH24" s="720"/>
      <c r="HWI24" s="720"/>
      <c r="HWJ24" s="720"/>
      <c r="HWK24" s="720"/>
      <c r="HWL24" s="720"/>
      <c r="HWM24" s="720"/>
      <c r="HWN24" s="720"/>
      <c r="HWO24" s="720"/>
      <c r="HWP24" s="720"/>
      <c r="HWQ24" s="720"/>
      <c r="HWR24" s="720"/>
      <c r="HWS24" s="720"/>
      <c r="HWT24" s="720"/>
      <c r="HWU24" s="720"/>
      <c r="HWV24" s="720"/>
      <c r="HWW24" s="720"/>
      <c r="HWX24" s="720"/>
      <c r="HWY24" s="720"/>
      <c r="HWZ24" s="720"/>
      <c r="HXA24" s="720"/>
      <c r="HXB24" s="720"/>
      <c r="HXC24" s="720"/>
      <c r="HXD24" s="720"/>
      <c r="HXE24" s="720"/>
      <c r="HXF24" s="720"/>
      <c r="HXG24" s="720"/>
      <c r="HXH24" s="720"/>
      <c r="HXI24" s="720"/>
      <c r="HXJ24" s="720"/>
      <c r="HXK24" s="720"/>
      <c r="HXL24" s="720"/>
      <c r="HXM24" s="720"/>
      <c r="HXN24" s="720"/>
      <c r="HXO24" s="720"/>
      <c r="HXP24" s="720"/>
      <c r="HXQ24" s="720"/>
      <c r="HXR24" s="720"/>
      <c r="HXS24" s="720"/>
      <c r="HXT24" s="720"/>
      <c r="HXU24" s="720"/>
      <c r="HXV24" s="720"/>
      <c r="HXW24" s="720"/>
      <c r="HXX24" s="720"/>
      <c r="HXY24" s="720"/>
      <c r="HXZ24" s="720"/>
      <c r="HYA24" s="720"/>
      <c r="HYB24" s="720"/>
      <c r="HYC24" s="720"/>
      <c r="HYD24" s="720"/>
      <c r="HYE24" s="720"/>
      <c r="HYF24" s="720"/>
      <c r="HYG24" s="720"/>
      <c r="HYH24" s="720"/>
      <c r="HYI24" s="720"/>
      <c r="HYJ24" s="720"/>
      <c r="HYK24" s="720"/>
      <c r="HYL24" s="720"/>
      <c r="HYM24" s="720"/>
      <c r="HYN24" s="720"/>
      <c r="HYO24" s="720"/>
      <c r="HYP24" s="720"/>
      <c r="HYQ24" s="720"/>
      <c r="HYR24" s="720"/>
      <c r="HYS24" s="720"/>
      <c r="HYT24" s="720"/>
      <c r="HYU24" s="720"/>
      <c r="HYV24" s="720"/>
      <c r="HYW24" s="720"/>
      <c r="HYX24" s="720"/>
      <c r="HYY24" s="720"/>
      <c r="HYZ24" s="720"/>
      <c r="HZA24" s="720"/>
      <c r="HZB24" s="720"/>
      <c r="HZC24" s="720"/>
      <c r="HZD24" s="720"/>
      <c r="HZE24" s="720"/>
      <c r="HZF24" s="720"/>
      <c r="HZG24" s="720"/>
      <c r="HZH24" s="720"/>
      <c r="HZI24" s="720"/>
      <c r="HZJ24" s="720"/>
      <c r="HZK24" s="720"/>
      <c r="HZL24" s="720"/>
      <c r="HZM24" s="720"/>
      <c r="HZN24" s="720"/>
      <c r="HZO24" s="720"/>
      <c r="HZP24" s="720"/>
      <c r="HZQ24" s="720"/>
      <c r="HZR24" s="720"/>
      <c r="HZS24" s="720"/>
      <c r="HZT24" s="720"/>
      <c r="HZU24" s="720"/>
      <c r="HZV24" s="720"/>
      <c r="HZW24" s="720"/>
      <c r="HZX24" s="720"/>
      <c r="HZY24" s="720"/>
      <c r="HZZ24" s="720"/>
      <c r="IAA24" s="720"/>
      <c r="IAB24" s="720"/>
      <c r="IAC24" s="720"/>
      <c r="IAD24" s="720"/>
      <c r="IAE24" s="720"/>
      <c r="IAF24" s="720"/>
      <c r="IAG24" s="720"/>
      <c r="IAH24" s="720"/>
      <c r="IAI24" s="720"/>
      <c r="IAJ24" s="720"/>
      <c r="IAK24" s="720"/>
      <c r="IAL24" s="720"/>
      <c r="IAM24" s="720"/>
      <c r="IAN24" s="720"/>
      <c r="IAO24" s="720"/>
      <c r="IAP24" s="720"/>
      <c r="IAQ24" s="720"/>
      <c r="IAR24" s="720"/>
      <c r="IAS24" s="720"/>
      <c r="IAT24" s="720"/>
      <c r="IAU24" s="720"/>
      <c r="IAV24" s="720"/>
      <c r="IAW24" s="720"/>
      <c r="IAX24" s="720"/>
      <c r="IAY24" s="720"/>
      <c r="IAZ24" s="720"/>
      <c r="IBA24" s="720"/>
      <c r="IBB24" s="720"/>
      <c r="IBC24" s="720"/>
      <c r="IBD24" s="720"/>
      <c r="IBE24" s="720"/>
      <c r="IBF24" s="720"/>
      <c r="IBG24" s="720"/>
      <c r="IBH24" s="720"/>
      <c r="IBI24" s="720"/>
      <c r="IBJ24" s="720"/>
      <c r="IBK24" s="720"/>
      <c r="IBL24" s="720"/>
      <c r="IBM24" s="720"/>
      <c r="IBN24" s="720"/>
      <c r="IBO24" s="720"/>
      <c r="IBP24" s="720"/>
      <c r="IBQ24" s="720"/>
      <c r="IBR24" s="720"/>
      <c r="IBS24" s="720"/>
      <c r="IBT24" s="720"/>
      <c r="IBU24" s="720"/>
      <c r="IBV24" s="720"/>
      <c r="IBW24" s="720"/>
      <c r="IBX24" s="720"/>
      <c r="IBY24" s="720"/>
      <c r="IBZ24" s="720"/>
      <c r="ICA24" s="720"/>
      <c r="ICB24" s="720"/>
      <c r="ICC24" s="720"/>
      <c r="ICD24" s="720"/>
      <c r="ICE24" s="720"/>
      <c r="ICF24" s="720"/>
      <c r="ICG24" s="720"/>
      <c r="ICH24" s="720"/>
      <c r="ICI24" s="720"/>
      <c r="ICJ24" s="720"/>
      <c r="ICK24" s="720"/>
      <c r="ICL24" s="720"/>
      <c r="ICM24" s="720"/>
      <c r="ICN24" s="720"/>
      <c r="ICO24" s="720"/>
      <c r="ICP24" s="720"/>
      <c r="ICQ24" s="720"/>
      <c r="ICR24" s="720"/>
      <c r="ICS24" s="720"/>
      <c r="ICT24" s="720"/>
      <c r="ICU24" s="720"/>
      <c r="ICV24" s="720"/>
      <c r="ICW24" s="720"/>
      <c r="ICX24" s="720"/>
      <c r="ICY24" s="720"/>
      <c r="ICZ24" s="720"/>
      <c r="IDA24" s="720"/>
      <c r="IDB24" s="720"/>
      <c r="IDC24" s="720"/>
      <c r="IDD24" s="720"/>
      <c r="IDE24" s="720"/>
      <c r="IDF24" s="720"/>
      <c r="IDG24" s="720"/>
      <c r="IDH24" s="720"/>
      <c r="IDI24" s="720"/>
      <c r="IDJ24" s="720"/>
      <c r="IDK24" s="720"/>
      <c r="IDL24" s="720"/>
      <c r="IDM24" s="720"/>
      <c r="IDN24" s="720"/>
      <c r="IDO24" s="720"/>
      <c r="IDP24" s="720"/>
      <c r="IDQ24" s="720"/>
      <c r="IDR24" s="720"/>
      <c r="IDS24" s="720"/>
      <c r="IDT24" s="720"/>
      <c r="IDU24" s="720"/>
      <c r="IDV24" s="720"/>
      <c r="IDW24" s="720"/>
      <c r="IDX24" s="720"/>
      <c r="IDY24" s="720"/>
      <c r="IDZ24" s="720"/>
      <c r="IEA24" s="720"/>
      <c r="IEB24" s="720"/>
      <c r="IEC24" s="720"/>
      <c r="IED24" s="720"/>
      <c r="IEE24" s="720"/>
      <c r="IEF24" s="720"/>
      <c r="IEG24" s="720"/>
      <c r="IEH24" s="720"/>
      <c r="IEI24" s="720"/>
      <c r="IEJ24" s="720"/>
      <c r="IEK24" s="720"/>
      <c r="IEL24" s="720"/>
      <c r="IEM24" s="720"/>
      <c r="IEN24" s="720"/>
      <c r="IEO24" s="720"/>
      <c r="IEP24" s="720"/>
      <c r="IEQ24" s="720"/>
      <c r="IER24" s="720"/>
      <c r="IES24" s="720"/>
      <c r="IET24" s="720"/>
      <c r="IEU24" s="720"/>
      <c r="IEV24" s="720"/>
      <c r="IEW24" s="720"/>
      <c r="IEX24" s="720"/>
      <c r="IEY24" s="720"/>
      <c r="IEZ24" s="720"/>
      <c r="IFA24" s="720"/>
      <c r="IFB24" s="720"/>
      <c r="IFC24" s="720"/>
      <c r="IFD24" s="720"/>
      <c r="IFE24" s="720"/>
      <c r="IFF24" s="720"/>
      <c r="IFG24" s="720"/>
      <c r="IFH24" s="720"/>
      <c r="IFI24" s="720"/>
      <c r="IFJ24" s="720"/>
      <c r="IFK24" s="720"/>
      <c r="IFL24" s="720"/>
      <c r="IFM24" s="720"/>
      <c r="IFN24" s="720"/>
      <c r="IFO24" s="720"/>
      <c r="IFP24" s="720"/>
      <c r="IFQ24" s="720"/>
      <c r="IFR24" s="720"/>
      <c r="IFS24" s="720"/>
      <c r="IFT24" s="720"/>
      <c r="IFU24" s="720"/>
      <c r="IFV24" s="720"/>
      <c r="IFW24" s="720"/>
      <c r="IFX24" s="720"/>
      <c r="IFY24" s="720"/>
      <c r="IFZ24" s="720"/>
      <c r="IGA24" s="720"/>
      <c r="IGB24" s="720"/>
      <c r="IGC24" s="720"/>
      <c r="IGD24" s="720"/>
      <c r="IGE24" s="720"/>
      <c r="IGF24" s="720"/>
      <c r="IGG24" s="720"/>
      <c r="IGH24" s="720"/>
      <c r="IGI24" s="720"/>
      <c r="IGJ24" s="720"/>
      <c r="IGK24" s="720"/>
      <c r="IGL24" s="720"/>
      <c r="IGM24" s="720"/>
      <c r="IGN24" s="720"/>
      <c r="IGO24" s="720"/>
      <c r="IGP24" s="720"/>
      <c r="IGQ24" s="720"/>
      <c r="IGR24" s="720"/>
      <c r="IGS24" s="720"/>
      <c r="IGT24" s="720"/>
      <c r="IGU24" s="720"/>
      <c r="IGV24" s="720"/>
      <c r="IGW24" s="720"/>
      <c r="IGX24" s="720"/>
      <c r="IGY24" s="720"/>
      <c r="IGZ24" s="720"/>
      <c r="IHA24" s="720"/>
      <c r="IHB24" s="720"/>
      <c r="IHC24" s="720"/>
      <c r="IHD24" s="720"/>
      <c r="IHE24" s="720"/>
      <c r="IHF24" s="720"/>
      <c r="IHG24" s="720"/>
      <c r="IHH24" s="720"/>
      <c r="IHI24" s="720"/>
      <c r="IHJ24" s="720"/>
      <c r="IHK24" s="720"/>
      <c r="IHL24" s="720"/>
      <c r="IHM24" s="720"/>
      <c r="IHN24" s="720"/>
      <c r="IHO24" s="720"/>
      <c r="IHP24" s="720"/>
      <c r="IHQ24" s="720"/>
      <c r="IHR24" s="720"/>
      <c r="IHS24" s="720"/>
      <c r="IHT24" s="720"/>
      <c r="IHU24" s="720"/>
      <c r="IHV24" s="720"/>
      <c r="IHW24" s="720"/>
      <c r="IHX24" s="720"/>
      <c r="IHY24" s="720"/>
      <c r="IHZ24" s="720"/>
      <c r="IIA24" s="720"/>
      <c r="IIB24" s="720"/>
      <c r="IIC24" s="720"/>
      <c r="IID24" s="720"/>
      <c r="IIE24" s="720"/>
      <c r="IIF24" s="720"/>
      <c r="IIG24" s="720"/>
      <c r="IIH24" s="720"/>
      <c r="III24" s="720"/>
      <c r="IIJ24" s="720"/>
      <c r="IIK24" s="720"/>
      <c r="IIL24" s="720"/>
      <c r="IIM24" s="720"/>
      <c r="IIN24" s="720"/>
      <c r="IIO24" s="720"/>
      <c r="IIP24" s="720"/>
      <c r="IIQ24" s="720"/>
      <c r="IIR24" s="720"/>
      <c r="IIS24" s="720"/>
      <c r="IIT24" s="720"/>
      <c r="IIU24" s="720"/>
      <c r="IIV24" s="720"/>
      <c r="IIW24" s="720"/>
      <c r="IIX24" s="720"/>
      <c r="IIY24" s="720"/>
      <c r="IIZ24" s="720"/>
      <c r="IJA24" s="720"/>
      <c r="IJB24" s="720"/>
      <c r="IJC24" s="720"/>
      <c r="IJD24" s="720"/>
      <c r="IJE24" s="720"/>
      <c r="IJF24" s="720"/>
      <c r="IJG24" s="720"/>
      <c r="IJH24" s="720"/>
      <c r="IJI24" s="720"/>
      <c r="IJJ24" s="720"/>
      <c r="IJK24" s="720"/>
      <c r="IJL24" s="720"/>
      <c r="IJM24" s="720"/>
      <c r="IJN24" s="720"/>
      <c r="IJO24" s="720"/>
      <c r="IJP24" s="720"/>
      <c r="IJQ24" s="720"/>
      <c r="IJR24" s="720"/>
      <c r="IJS24" s="720"/>
      <c r="IJT24" s="720"/>
      <c r="IJU24" s="720"/>
      <c r="IJV24" s="720"/>
      <c r="IJW24" s="720"/>
      <c r="IJX24" s="720"/>
      <c r="IJY24" s="720"/>
      <c r="IJZ24" s="720"/>
      <c r="IKA24" s="720"/>
      <c r="IKB24" s="720"/>
      <c r="IKC24" s="720"/>
      <c r="IKD24" s="720"/>
      <c r="IKE24" s="720"/>
      <c r="IKF24" s="720"/>
      <c r="IKG24" s="720"/>
      <c r="IKH24" s="720"/>
      <c r="IKI24" s="720"/>
      <c r="IKJ24" s="720"/>
      <c r="IKK24" s="720"/>
      <c r="IKL24" s="720"/>
      <c r="IKM24" s="720"/>
      <c r="IKN24" s="720"/>
      <c r="IKO24" s="720"/>
      <c r="IKP24" s="720"/>
      <c r="IKQ24" s="720"/>
      <c r="IKR24" s="720"/>
      <c r="IKS24" s="720"/>
      <c r="IKT24" s="720"/>
      <c r="IKU24" s="720"/>
      <c r="IKV24" s="720"/>
      <c r="IKW24" s="720"/>
      <c r="IKX24" s="720"/>
      <c r="IKY24" s="720"/>
      <c r="IKZ24" s="720"/>
      <c r="ILA24" s="720"/>
      <c r="ILB24" s="720"/>
      <c r="ILC24" s="720"/>
      <c r="ILD24" s="720"/>
      <c r="ILE24" s="720"/>
      <c r="ILF24" s="720"/>
      <c r="ILG24" s="720"/>
      <c r="ILH24" s="720"/>
      <c r="ILI24" s="720"/>
      <c r="ILJ24" s="720"/>
      <c r="ILK24" s="720"/>
      <c r="ILL24" s="720"/>
      <c r="ILM24" s="720"/>
      <c r="ILN24" s="720"/>
      <c r="ILO24" s="720"/>
      <c r="ILP24" s="720"/>
      <c r="ILQ24" s="720"/>
      <c r="ILR24" s="720"/>
      <c r="ILS24" s="720"/>
      <c r="ILT24" s="720"/>
      <c r="ILU24" s="720"/>
      <c r="ILV24" s="720"/>
      <c r="ILW24" s="720"/>
      <c r="ILX24" s="720"/>
      <c r="ILY24" s="720"/>
      <c r="ILZ24" s="720"/>
      <c r="IMA24" s="720"/>
      <c r="IMB24" s="720"/>
      <c r="IMC24" s="720"/>
      <c r="IMD24" s="720"/>
      <c r="IME24" s="720"/>
      <c r="IMF24" s="720"/>
      <c r="IMG24" s="720"/>
      <c r="IMH24" s="720"/>
      <c r="IMI24" s="720"/>
      <c r="IMJ24" s="720"/>
      <c r="IMK24" s="720"/>
      <c r="IML24" s="720"/>
      <c r="IMM24" s="720"/>
      <c r="IMN24" s="720"/>
      <c r="IMO24" s="720"/>
      <c r="IMP24" s="720"/>
      <c r="IMQ24" s="720"/>
      <c r="IMR24" s="720"/>
      <c r="IMS24" s="720"/>
      <c r="IMT24" s="720"/>
      <c r="IMU24" s="720"/>
      <c r="IMV24" s="720"/>
      <c r="IMW24" s="720"/>
      <c r="IMX24" s="720"/>
      <c r="IMY24" s="720"/>
      <c r="IMZ24" s="720"/>
      <c r="INA24" s="720"/>
      <c r="INB24" s="720"/>
      <c r="INC24" s="720"/>
      <c r="IND24" s="720"/>
      <c r="INE24" s="720"/>
      <c r="INF24" s="720"/>
      <c r="ING24" s="720"/>
      <c r="INH24" s="720"/>
      <c r="INI24" s="720"/>
      <c r="INJ24" s="720"/>
      <c r="INK24" s="720"/>
      <c r="INL24" s="720"/>
      <c r="INM24" s="720"/>
      <c r="INN24" s="720"/>
      <c r="INO24" s="720"/>
      <c r="INP24" s="720"/>
      <c r="INQ24" s="720"/>
      <c r="INR24" s="720"/>
      <c r="INS24" s="720"/>
      <c r="INT24" s="720"/>
      <c r="INU24" s="720"/>
      <c r="INV24" s="720"/>
      <c r="INW24" s="720"/>
      <c r="INX24" s="720"/>
      <c r="INY24" s="720"/>
      <c r="INZ24" s="720"/>
      <c r="IOA24" s="720"/>
      <c r="IOB24" s="720"/>
      <c r="IOC24" s="720"/>
      <c r="IOD24" s="720"/>
      <c r="IOE24" s="720"/>
      <c r="IOF24" s="720"/>
      <c r="IOG24" s="720"/>
      <c r="IOH24" s="720"/>
      <c r="IOI24" s="720"/>
      <c r="IOJ24" s="720"/>
      <c r="IOK24" s="720"/>
      <c r="IOL24" s="720"/>
      <c r="IOM24" s="720"/>
      <c r="ION24" s="720"/>
      <c r="IOO24" s="720"/>
      <c r="IOP24" s="720"/>
      <c r="IOQ24" s="720"/>
      <c r="IOR24" s="720"/>
      <c r="IOS24" s="720"/>
      <c r="IOT24" s="720"/>
      <c r="IOU24" s="720"/>
      <c r="IOV24" s="720"/>
      <c r="IOW24" s="720"/>
      <c r="IOX24" s="720"/>
      <c r="IOY24" s="720"/>
      <c r="IOZ24" s="720"/>
      <c r="IPA24" s="720"/>
      <c r="IPB24" s="720"/>
      <c r="IPC24" s="720"/>
      <c r="IPD24" s="720"/>
      <c r="IPE24" s="720"/>
      <c r="IPF24" s="720"/>
      <c r="IPG24" s="720"/>
      <c r="IPH24" s="720"/>
      <c r="IPI24" s="720"/>
      <c r="IPJ24" s="720"/>
      <c r="IPK24" s="720"/>
      <c r="IPL24" s="720"/>
      <c r="IPM24" s="720"/>
      <c r="IPN24" s="720"/>
      <c r="IPO24" s="720"/>
      <c r="IPP24" s="720"/>
      <c r="IPQ24" s="720"/>
      <c r="IPR24" s="720"/>
      <c r="IPS24" s="720"/>
      <c r="IPT24" s="720"/>
      <c r="IPU24" s="720"/>
      <c r="IPV24" s="720"/>
      <c r="IPW24" s="720"/>
      <c r="IPX24" s="720"/>
      <c r="IPY24" s="720"/>
      <c r="IPZ24" s="720"/>
      <c r="IQA24" s="720"/>
      <c r="IQB24" s="720"/>
      <c r="IQC24" s="720"/>
      <c r="IQD24" s="720"/>
      <c r="IQE24" s="720"/>
      <c r="IQF24" s="720"/>
      <c r="IQG24" s="720"/>
      <c r="IQH24" s="720"/>
      <c r="IQI24" s="720"/>
      <c r="IQJ24" s="720"/>
      <c r="IQK24" s="720"/>
      <c r="IQL24" s="720"/>
      <c r="IQM24" s="720"/>
      <c r="IQN24" s="720"/>
      <c r="IQO24" s="720"/>
      <c r="IQP24" s="720"/>
      <c r="IQQ24" s="720"/>
      <c r="IQR24" s="720"/>
      <c r="IQS24" s="720"/>
      <c r="IQT24" s="720"/>
      <c r="IQU24" s="720"/>
      <c r="IQV24" s="720"/>
      <c r="IQW24" s="720"/>
      <c r="IQX24" s="720"/>
      <c r="IQY24" s="720"/>
      <c r="IQZ24" s="720"/>
      <c r="IRA24" s="720"/>
      <c r="IRB24" s="720"/>
      <c r="IRC24" s="720"/>
      <c r="IRD24" s="720"/>
      <c r="IRE24" s="720"/>
      <c r="IRF24" s="720"/>
      <c r="IRG24" s="720"/>
      <c r="IRH24" s="720"/>
      <c r="IRI24" s="720"/>
      <c r="IRJ24" s="720"/>
      <c r="IRK24" s="720"/>
      <c r="IRL24" s="720"/>
      <c r="IRM24" s="720"/>
      <c r="IRN24" s="720"/>
      <c r="IRO24" s="720"/>
      <c r="IRP24" s="720"/>
      <c r="IRQ24" s="720"/>
      <c r="IRR24" s="720"/>
      <c r="IRS24" s="720"/>
      <c r="IRT24" s="720"/>
      <c r="IRU24" s="720"/>
      <c r="IRV24" s="720"/>
      <c r="IRW24" s="720"/>
      <c r="IRX24" s="720"/>
      <c r="IRY24" s="720"/>
      <c r="IRZ24" s="720"/>
      <c r="ISA24" s="720"/>
      <c r="ISB24" s="720"/>
      <c r="ISC24" s="720"/>
      <c r="ISD24" s="720"/>
      <c r="ISE24" s="720"/>
      <c r="ISF24" s="720"/>
      <c r="ISG24" s="720"/>
      <c r="ISH24" s="720"/>
      <c r="ISI24" s="720"/>
      <c r="ISJ24" s="720"/>
      <c r="ISK24" s="720"/>
      <c r="ISL24" s="720"/>
      <c r="ISM24" s="720"/>
      <c r="ISN24" s="720"/>
      <c r="ISO24" s="720"/>
      <c r="ISP24" s="720"/>
      <c r="ISQ24" s="720"/>
      <c r="ISR24" s="720"/>
      <c r="ISS24" s="720"/>
      <c r="IST24" s="720"/>
      <c r="ISU24" s="720"/>
      <c r="ISV24" s="720"/>
      <c r="ISW24" s="720"/>
      <c r="ISX24" s="720"/>
      <c r="ISY24" s="720"/>
      <c r="ISZ24" s="720"/>
      <c r="ITA24" s="720"/>
      <c r="ITB24" s="720"/>
      <c r="ITC24" s="720"/>
      <c r="ITD24" s="720"/>
      <c r="ITE24" s="720"/>
      <c r="ITF24" s="720"/>
      <c r="ITG24" s="720"/>
      <c r="ITH24" s="720"/>
      <c r="ITI24" s="720"/>
      <c r="ITJ24" s="720"/>
      <c r="ITK24" s="720"/>
      <c r="ITL24" s="720"/>
      <c r="ITM24" s="720"/>
      <c r="ITN24" s="720"/>
      <c r="ITO24" s="720"/>
      <c r="ITP24" s="720"/>
      <c r="ITQ24" s="720"/>
      <c r="ITR24" s="720"/>
      <c r="ITS24" s="720"/>
      <c r="ITT24" s="720"/>
      <c r="ITU24" s="720"/>
      <c r="ITV24" s="720"/>
      <c r="ITW24" s="720"/>
      <c r="ITX24" s="720"/>
      <c r="ITY24" s="720"/>
      <c r="ITZ24" s="720"/>
      <c r="IUA24" s="720"/>
      <c r="IUB24" s="720"/>
      <c r="IUC24" s="720"/>
      <c r="IUD24" s="720"/>
      <c r="IUE24" s="720"/>
      <c r="IUF24" s="720"/>
      <c r="IUG24" s="720"/>
      <c r="IUH24" s="720"/>
      <c r="IUI24" s="720"/>
      <c r="IUJ24" s="720"/>
      <c r="IUK24" s="720"/>
      <c r="IUL24" s="720"/>
      <c r="IUM24" s="720"/>
      <c r="IUN24" s="720"/>
      <c r="IUO24" s="720"/>
      <c r="IUP24" s="720"/>
      <c r="IUQ24" s="720"/>
      <c r="IUR24" s="720"/>
      <c r="IUS24" s="720"/>
      <c r="IUT24" s="720"/>
      <c r="IUU24" s="720"/>
      <c r="IUV24" s="720"/>
      <c r="IUW24" s="720"/>
      <c r="IUX24" s="720"/>
      <c r="IUY24" s="720"/>
      <c r="IUZ24" s="720"/>
      <c r="IVA24" s="720"/>
      <c r="IVB24" s="720"/>
      <c r="IVC24" s="720"/>
      <c r="IVD24" s="720"/>
      <c r="IVE24" s="720"/>
      <c r="IVF24" s="720"/>
      <c r="IVG24" s="720"/>
      <c r="IVH24" s="720"/>
      <c r="IVI24" s="720"/>
      <c r="IVJ24" s="720"/>
      <c r="IVK24" s="720"/>
      <c r="IVL24" s="720"/>
      <c r="IVM24" s="720"/>
      <c r="IVN24" s="720"/>
      <c r="IVO24" s="720"/>
      <c r="IVP24" s="720"/>
      <c r="IVQ24" s="720"/>
      <c r="IVR24" s="720"/>
      <c r="IVS24" s="720"/>
      <c r="IVT24" s="720"/>
      <c r="IVU24" s="720"/>
      <c r="IVV24" s="720"/>
      <c r="IVW24" s="720"/>
      <c r="IVX24" s="720"/>
      <c r="IVY24" s="720"/>
      <c r="IVZ24" s="720"/>
      <c r="IWA24" s="720"/>
      <c r="IWB24" s="720"/>
      <c r="IWC24" s="720"/>
      <c r="IWD24" s="720"/>
      <c r="IWE24" s="720"/>
      <c r="IWF24" s="720"/>
      <c r="IWG24" s="720"/>
      <c r="IWH24" s="720"/>
      <c r="IWI24" s="720"/>
      <c r="IWJ24" s="720"/>
      <c r="IWK24" s="720"/>
      <c r="IWL24" s="720"/>
      <c r="IWM24" s="720"/>
      <c r="IWN24" s="720"/>
      <c r="IWO24" s="720"/>
      <c r="IWP24" s="720"/>
      <c r="IWQ24" s="720"/>
      <c r="IWR24" s="720"/>
      <c r="IWS24" s="720"/>
      <c r="IWT24" s="720"/>
      <c r="IWU24" s="720"/>
      <c r="IWV24" s="720"/>
      <c r="IWW24" s="720"/>
      <c r="IWX24" s="720"/>
      <c r="IWY24" s="720"/>
      <c r="IWZ24" s="720"/>
      <c r="IXA24" s="720"/>
      <c r="IXB24" s="720"/>
      <c r="IXC24" s="720"/>
      <c r="IXD24" s="720"/>
      <c r="IXE24" s="720"/>
      <c r="IXF24" s="720"/>
      <c r="IXG24" s="720"/>
      <c r="IXH24" s="720"/>
      <c r="IXI24" s="720"/>
      <c r="IXJ24" s="720"/>
      <c r="IXK24" s="720"/>
      <c r="IXL24" s="720"/>
      <c r="IXM24" s="720"/>
      <c r="IXN24" s="720"/>
      <c r="IXO24" s="720"/>
      <c r="IXP24" s="720"/>
      <c r="IXQ24" s="720"/>
      <c r="IXR24" s="720"/>
      <c r="IXS24" s="720"/>
      <c r="IXT24" s="720"/>
      <c r="IXU24" s="720"/>
      <c r="IXV24" s="720"/>
      <c r="IXW24" s="720"/>
      <c r="IXX24" s="720"/>
      <c r="IXY24" s="720"/>
      <c r="IXZ24" s="720"/>
      <c r="IYA24" s="720"/>
      <c r="IYB24" s="720"/>
      <c r="IYC24" s="720"/>
      <c r="IYD24" s="720"/>
      <c r="IYE24" s="720"/>
      <c r="IYF24" s="720"/>
      <c r="IYG24" s="720"/>
      <c r="IYH24" s="720"/>
      <c r="IYI24" s="720"/>
      <c r="IYJ24" s="720"/>
      <c r="IYK24" s="720"/>
      <c r="IYL24" s="720"/>
      <c r="IYM24" s="720"/>
      <c r="IYN24" s="720"/>
      <c r="IYO24" s="720"/>
      <c r="IYP24" s="720"/>
      <c r="IYQ24" s="720"/>
      <c r="IYR24" s="720"/>
      <c r="IYS24" s="720"/>
      <c r="IYT24" s="720"/>
      <c r="IYU24" s="720"/>
      <c r="IYV24" s="720"/>
      <c r="IYW24" s="720"/>
      <c r="IYX24" s="720"/>
      <c r="IYY24" s="720"/>
      <c r="IYZ24" s="720"/>
      <c r="IZA24" s="720"/>
      <c r="IZB24" s="720"/>
      <c r="IZC24" s="720"/>
      <c r="IZD24" s="720"/>
      <c r="IZE24" s="720"/>
      <c r="IZF24" s="720"/>
      <c r="IZG24" s="720"/>
      <c r="IZH24" s="720"/>
      <c r="IZI24" s="720"/>
      <c r="IZJ24" s="720"/>
      <c r="IZK24" s="720"/>
      <c r="IZL24" s="720"/>
      <c r="IZM24" s="720"/>
      <c r="IZN24" s="720"/>
      <c r="IZO24" s="720"/>
      <c r="IZP24" s="720"/>
      <c r="IZQ24" s="720"/>
      <c r="IZR24" s="720"/>
      <c r="IZS24" s="720"/>
      <c r="IZT24" s="720"/>
      <c r="IZU24" s="720"/>
      <c r="IZV24" s="720"/>
      <c r="IZW24" s="720"/>
      <c r="IZX24" s="720"/>
      <c r="IZY24" s="720"/>
      <c r="IZZ24" s="720"/>
      <c r="JAA24" s="720"/>
      <c r="JAB24" s="720"/>
      <c r="JAC24" s="720"/>
      <c r="JAD24" s="720"/>
      <c r="JAE24" s="720"/>
      <c r="JAF24" s="720"/>
      <c r="JAG24" s="720"/>
      <c r="JAH24" s="720"/>
      <c r="JAI24" s="720"/>
      <c r="JAJ24" s="720"/>
      <c r="JAK24" s="720"/>
      <c r="JAL24" s="720"/>
      <c r="JAM24" s="720"/>
      <c r="JAN24" s="720"/>
      <c r="JAO24" s="720"/>
      <c r="JAP24" s="720"/>
      <c r="JAQ24" s="720"/>
      <c r="JAR24" s="720"/>
      <c r="JAS24" s="720"/>
      <c r="JAT24" s="720"/>
      <c r="JAU24" s="720"/>
      <c r="JAV24" s="720"/>
      <c r="JAW24" s="720"/>
      <c r="JAX24" s="720"/>
      <c r="JAY24" s="720"/>
      <c r="JAZ24" s="720"/>
      <c r="JBA24" s="720"/>
      <c r="JBB24" s="720"/>
      <c r="JBC24" s="720"/>
      <c r="JBD24" s="720"/>
      <c r="JBE24" s="720"/>
      <c r="JBF24" s="720"/>
      <c r="JBG24" s="720"/>
      <c r="JBH24" s="720"/>
      <c r="JBI24" s="720"/>
      <c r="JBJ24" s="720"/>
      <c r="JBK24" s="720"/>
      <c r="JBL24" s="720"/>
      <c r="JBM24" s="720"/>
      <c r="JBN24" s="720"/>
      <c r="JBO24" s="720"/>
      <c r="JBP24" s="720"/>
      <c r="JBQ24" s="720"/>
      <c r="JBR24" s="720"/>
      <c r="JBS24" s="720"/>
      <c r="JBT24" s="720"/>
      <c r="JBU24" s="720"/>
      <c r="JBV24" s="720"/>
      <c r="JBW24" s="720"/>
      <c r="JBX24" s="720"/>
      <c r="JBY24" s="720"/>
      <c r="JBZ24" s="720"/>
      <c r="JCA24" s="720"/>
      <c r="JCB24" s="720"/>
      <c r="JCC24" s="720"/>
      <c r="JCD24" s="720"/>
      <c r="JCE24" s="720"/>
      <c r="JCF24" s="720"/>
      <c r="JCG24" s="720"/>
      <c r="JCH24" s="720"/>
      <c r="JCI24" s="720"/>
      <c r="JCJ24" s="720"/>
      <c r="JCK24" s="720"/>
      <c r="JCL24" s="720"/>
      <c r="JCM24" s="720"/>
      <c r="JCN24" s="720"/>
      <c r="JCO24" s="720"/>
      <c r="JCP24" s="720"/>
      <c r="JCQ24" s="720"/>
      <c r="JCR24" s="720"/>
      <c r="JCS24" s="720"/>
      <c r="JCT24" s="720"/>
      <c r="JCU24" s="720"/>
      <c r="JCV24" s="720"/>
      <c r="JCW24" s="720"/>
      <c r="JCX24" s="720"/>
      <c r="JCY24" s="720"/>
      <c r="JCZ24" s="720"/>
      <c r="JDA24" s="720"/>
      <c r="JDB24" s="720"/>
      <c r="JDC24" s="720"/>
      <c r="JDD24" s="720"/>
      <c r="JDE24" s="720"/>
      <c r="JDF24" s="720"/>
      <c r="JDG24" s="720"/>
      <c r="JDH24" s="720"/>
      <c r="JDI24" s="720"/>
      <c r="JDJ24" s="720"/>
      <c r="JDK24" s="720"/>
      <c r="JDL24" s="720"/>
      <c r="JDM24" s="720"/>
      <c r="JDN24" s="720"/>
      <c r="JDO24" s="720"/>
      <c r="JDP24" s="720"/>
      <c r="JDQ24" s="720"/>
      <c r="JDR24" s="720"/>
      <c r="JDS24" s="720"/>
      <c r="JDT24" s="720"/>
      <c r="JDU24" s="720"/>
      <c r="JDV24" s="720"/>
      <c r="JDW24" s="720"/>
      <c r="JDX24" s="720"/>
      <c r="JDY24" s="720"/>
      <c r="JDZ24" s="720"/>
      <c r="JEA24" s="720"/>
      <c r="JEB24" s="720"/>
      <c r="JEC24" s="720"/>
      <c r="JED24" s="720"/>
      <c r="JEE24" s="720"/>
      <c r="JEF24" s="720"/>
      <c r="JEG24" s="720"/>
      <c r="JEH24" s="720"/>
      <c r="JEI24" s="720"/>
      <c r="JEJ24" s="720"/>
      <c r="JEK24" s="720"/>
      <c r="JEL24" s="720"/>
      <c r="JEM24" s="720"/>
      <c r="JEN24" s="720"/>
      <c r="JEO24" s="720"/>
      <c r="JEP24" s="720"/>
      <c r="JEQ24" s="720"/>
      <c r="JER24" s="720"/>
      <c r="JES24" s="720"/>
      <c r="JET24" s="720"/>
      <c r="JEU24" s="720"/>
      <c r="JEV24" s="720"/>
      <c r="JEW24" s="720"/>
      <c r="JEX24" s="720"/>
      <c r="JEY24" s="720"/>
      <c r="JEZ24" s="720"/>
      <c r="JFA24" s="720"/>
      <c r="JFB24" s="720"/>
      <c r="JFC24" s="720"/>
      <c r="JFD24" s="720"/>
      <c r="JFE24" s="720"/>
      <c r="JFF24" s="720"/>
      <c r="JFG24" s="720"/>
      <c r="JFH24" s="720"/>
      <c r="JFI24" s="720"/>
      <c r="JFJ24" s="720"/>
      <c r="JFK24" s="720"/>
      <c r="JFL24" s="720"/>
      <c r="JFM24" s="720"/>
      <c r="JFN24" s="720"/>
      <c r="JFO24" s="720"/>
      <c r="JFP24" s="720"/>
      <c r="JFQ24" s="720"/>
      <c r="JFR24" s="720"/>
      <c r="JFS24" s="720"/>
      <c r="JFT24" s="720"/>
      <c r="JFU24" s="720"/>
      <c r="JFV24" s="720"/>
      <c r="JFW24" s="720"/>
      <c r="JFX24" s="720"/>
      <c r="JFY24" s="720"/>
      <c r="JFZ24" s="720"/>
      <c r="JGA24" s="720"/>
      <c r="JGB24" s="720"/>
      <c r="JGC24" s="720"/>
      <c r="JGD24" s="720"/>
      <c r="JGE24" s="720"/>
      <c r="JGF24" s="720"/>
      <c r="JGG24" s="720"/>
      <c r="JGH24" s="720"/>
      <c r="JGI24" s="720"/>
      <c r="JGJ24" s="720"/>
      <c r="JGK24" s="720"/>
      <c r="JGL24" s="720"/>
      <c r="JGM24" s="720"/>
      <c r="JGN24" s="720"/>
      <c r="JGO24" s="720"/>
      <c r="JGP24" s="720"/>
      <c r="JGQ24" s="720"/>
      <c r="JGR24" s="720"/>
      <c r="JGS24" s="720"/>
      <c r="JGT24" s="720"/>
      <c r="JGU24" s="720"/>
      <c r="JGV24" s="720"/>
      <c r="JGW24" s="720"/>
      <c r="JGX24" s="720"/>
      <c r="JGY24" s="720"/>
      <c r="JGZ24" s="720"/>
      <c r="JHA24" s="720"/>
      <c r="JHB24" s="720"/>
      <c r="JHC24" s="720"/>
      <c r="JHD24" s="720"/>
      <c r="JHE24" s="720"/>
      <c r="JHF24" s="720"/>
      <c r="JHG24" s="720"/>
      <c r="JHH24" s="720"/>
      <c r="JHI24" s="720"/>
      <c r="JHJ24" s="720"/>
      <c r="JHK24" s="720"/>
      <c r="JHL24" s="720"/>
      <c r="JHM24" s="720"/>
      <c r="JHN24" s="720"/>
      <c r="JHO24" s="720"/>
      <c r="JHP24" s="720"/>
      <c r="JHQ24" s="720"/>
      <c r="JHR24" s="720"/>
      <c r="JHS24" s="720"/>
      <c r="JHT24" s="720"/>
      <c r="JHU24" s="720"/>
      <c r="JHV24" s="720"/>
      <c r="JHW24" s="720"/>
      <c r="JHX24" s="720"/>
      <c r="JHY24" s="720"/>
      <c r="JHZ24" s="720"/>
      <c r="JIA24" s="720"/>
      <c r="JIB24" s="720"/>
      <c r="JIC24" s="720"/>
      <c r="JID24" s="720"/>
      <c r="JIE24" s="720"/>
      <c r="JIF24" s="720"/>
      <c r="JIG24" s="720"/>
      <c r="JIH24" s="720"/>
      <c r="JII24" s="720"/>
      <c r="JIJ24" s="720"/>
      <c r="JIK24" s="720"/>
      <c r="JIL24" s="720"/>
      <c r="JIM24" s="720"/>
      <c r="JIN24" s="720"/>
      <c r="JIO24" s="720"/>
      <c r="JIP24" s="720"/>
      <c r="JIQ24" s="720"/>
      <c r="JIR24" s="720"/>
      <c r="JIS24" s="720"/>
      <c r="JIT24" s="720"/>
      <c r="JIU24" s="720"/>
      <c r="JIV24" s="720"/>
      <c r="JIW24" s="720"/>
      <c r="JIX24" s="720"/>
      <c r="JIY24" s="720"/>
      <c r="JIZ24" s="720"/>
      <c r="JJA24" s="720"/>
      <c r="JJB24" s="720"/>
      <c r="JJC24" s="720"/>
      <c r="JJD24" s="720"/>
      <c r="JJE24" s="720"/>
      <c r="JJF24" s="720"/>
      <c r="JJG24" s="720"/>
      <c r="JJH24" s="720"/>
      <c r="JJI24" s="720"/>
      <c r="JJJ24" s="720"/>
      <c r="JJK24" s="720"/>
      <c r="JJL24" s="720"/>
      <c r="JJM24" s="720"/>
      <c r="JJN24" s="720"/>
      <c r="JJO24" s="720"/>
      <c r="JJP24" s="720"/>
      <c r="JJQ24" s="720"/>
      <c r="JJR24" s="720"/>
      <c r="JJS24" s="720"/>
      <c r="JJT24" s="720"/>
      <c r="JJU24" s="720"/>
      <c r="JJV24" s="720"/>
      <c r="JJW24" s="720"/>
      <c r="JJX24" s="720"/>
      <c r="JJY24" s="720"/>
      <c r="JJZ24" s="720"/>
      <c r="JKA24" s="720"/>
      <c r="JKB24" s="720"/>
      <c r="JKC24" s="720"/>
      <c r="JKD24" s="720"/>
      <c r="JKE24" s="720"/>
      <c r="JKF24" s="720"/>
      <c r="JKG24" s="720"/>
      <c r="JKH24" s="720"/>
      <c r="JKI24" s="720"/>
      <c r="JKJ24" s="720"/>
      <c r="JKK24" s="720"/>
      <c r="JKL24" s="720"/>
      <c r="JKM24" s="720"/>
      <c r="JKN24" s="720"/>
      <c r="JKO24" s="720"/>
      <c r="JKP24" s="720"/>
      <c r="JKQ24" s="720"/>
      <c r="JKR24" s="720"/>
      <c r="JKS24" s="720"/>
      <c r="JKT24" s="720"/>
      <c r="JKU24" s="720"/>
      <c r="JKV24" s="720"/>
      <c r="JKW24" s="720"/>
      <c r="JKX24" s="720"/>
      <c r="JKY24" s="720"/>
      <c r="JKZ24" s="720"/>
      <c r="JLA24" s="720"/>
      <c r="JLB24" s="720"/>
      <c r="JLC24" s="720"/>
      <c r="JLD24" s="720"/>
      <c r="JLE24" s="720"/>
      <c r="JLF24" s="720"/>
      <c r="JLG24" s="720"/>
      <c r="JLH24" s="720"/>
      <c r="JLI24" s="720"/>
      <c r="JLJ24" s="720"/>
      <c r="JLK24" s="720"/>
      <c r="JLL24" s="720"/>
      <c r="JLM24" s="720"/>
      <c r="JLN24" s="720"/>
      <c r="JLO24" s="720"/>
      <c r="JLP24" s="720"/>
      <c r="JLQ24" s="720"/>
      <c r="JLR24" s="720"/>
      <c r="JLS24" s="720"/>
      <c r="JLT24" s="720"/>
      <c r="JLU24" s="720"/>
      <c r="JLV24" s="720"/>
      <c r="JLW24" s="720"/>
      <c r="JLX24" s="720"/>
      <c r="JLY24" s="720"/>
      <c r="JLZ24" s="720"/>
      <c r="JMA24" s="720"/>
      <c r="JMB24" s="720"/>
      <c r="JMC24" s="720"/>
      <c r="JMD24" s="720"/>
      <c r="JME24" s="720"/>
      <c r="JMF24" s="720"/>
      <c r="JMG24" s="720"/>
      <c r="JMH24" s="720"/>
      <c r="JMI24" s="720"/>
      <c r="JMJ24" s="720"/>
      <c r="JMK24" s="720"/>
      <c r="JML24" s="720"/>
      <c r="JMM24" s="720"/>
      <c r="JMN24" s="720"/>
      <c r="JMO24" s="720"/>
      <c r="JMP24" s="720"/>
      <c r="JMQ24" s="720"/>
      <c r="JMR24" s="720"/>
      <c r="JMS24" s="720"/>
      <c r="JMT24" s="720"/>
      <c r="JMU24" s="720"/>
      <c r="JMV24" s="720"/>
      <c r="JMW24" s="720"/>
      <c r="JMX24" s="720"/>
      <c r="JMY24" s="720"/>
      <c r="JMZ24" s="720"/>
      <c r="JNA24" s="720"/>
      <c r="JNB24" s="720"/>
      <c r="JNC24" s="720"/>
      <c r="JND24" s="720"/>
      <c r="JNE24" s="720"/>
      <c r="JNF24" s="720"/>
      <c r="JNG24" s="720"/>
      <c r="JNH24" s="720"/>
      <c r="JNI24" s="720"/>
      <c r="JNJ24" s="720"/>
      <c r="JNK24" s="720"/>
      <c r="JNL24" s="720"/>
      <c r="JNM24" s="720"/>
      <c r="JNN24" s="720"/>
      <c r="JNO24" s="720"/>
      <c r="JNP24" s="720"/>
      <c r="JNQ24" s="720"/>
      <c r="JNR24" s="720"/>
      <c r="JNS24" s="720"/>
      <c r="JNT24" s="720"/>
      <c r="JNU24" s="720"/>
      <c r="JNV24" s="720"/>
      <c r="JNW24" s="720"/>
      <c r="JNX24" s="720"/>
      <c r="JNY24" s="720"/>
      <c r="JNZ24" s="720"/>
      <c r="JOA24" s="720"/>
      <c r="JOB24" s="720"/>
      <c r="JOC24" s="720"/>
      <c r="JOD24" s="720"/>
      <c r="JOE24" s="720"/>
      <c r="JOF24" s="720"/>
      <c r="JOG24" s="720"/>
      <c r="JOH24" s="720"/>
      <c r="JOI24" s="720"/>
      <c r="JOJ24" s="720"/>
      <c r="JOK24" s="720"/>
      <c r="JOL24" s="720"/>
      <c r="JOM24" s="720"/>
      <c r="JON24" s="720"/>
      <c r="JOO24" s="720"/>
      <c r="JOP24" s="720"/>
      <c r="JOQ24" s="720"/>
      <c r="JOR24" s="720"/>
      <c r="JOS24" s="720"/>
      <c r="JOT24" s="720"/>
      <c r="JOU24" s="720"/>
      <c r="JOV24" s="720"/>
      <c r="JOW24" s="720"/>
      <c r="JOX24" s="720"/>
      <c r="JOY24" s="720"/>
      <c r="JOZ24" s="720"/>
      <c r="JPA24" s="720"/>
      <c r="JPB24" s="720"/>
      <c r="JPC24" s="720"/>
      <c r="JPD24" s="720"/>
      <c r="JPE24" s="720"/>
      <c r="JPF24" s="720"/>
      <c r="JPG24" s="720"/>
      <c r="JPH24" s="720"/>
      <c r="JPI24" s="720"/>
      <c r="JPJ24" s="720"/>
      <c r="JPK24" s="720"/>
      <c r="JPL24" s="720"/>
      <c r="JPM24" s="720"/>
      <c r="JPN24" s="720"/>
      <c r="JPO24" s="720"/>
      <c r="JPP24" s="720"/>
      <c r="JPQ24" s="720"/>
      <c r="JPR24" s="720"/>
      <c r="JPS24" s="720"/>
      <c r="JPT24" s="720"/>
      <c r="JPU24" s="720"/>
      <c r="JPV24" s="720"/>
      <c r="JPW24" s="720"/>
      <c r="JPX24" s="720"/>
      <c r="JPY24" s="720"/>
      <c r="JPZ24" s="720"/>
      <c r="JQA24" s="720"/>
      <c r="JQB24" s="720"/>
      <c r="JQC24" s="720"/>
      <c r="JQD24" s="720"/>
      <c r="JQE24" s="720"/>
      <c r="JQF24" s="720"/>
      <c r="JQG24" s="720"/>
      <c r="JQH24" s="720"/>
      <c r="JQI24" s="720"/>
      <c r="JQJ24" s="720"/>
      <c r="JQK24" s="720"/>
      <c r="JQL24" s="720"/>
      <c r="JQM24" s="720"/>
      <c r="JQN24" s="720"/>
      <c r="JQO24" s="720"/>
      <c r="JQP24" s="720"/>
      <c r="JQQ24" s="720"/>
      <c r="JQR24" s="720"/>
      <c r="JQS24" s="720"/>
      <c r="JQT24" s="720"/>
      <c r="JQU24" s="720"/>
      <c r="JQV24" s="720"/>
      <c r="JQW24" s="720"/>
      <c r="JQX24" s="720"/>
      <c r="JQY24" s="720"/>
      <c r="JQZ24" s="720"/>
      <c r="JRA24" s="720"/>
      <c r="JRB24" s="720"/>
      <c r="JRC24" s="720"/>
      <c r="JRD24" s="720"/>
      <c r="JRE24" s="720"/>
      <c r="JRF24" s="720"/>
      <c r="JRG24" s="720"/>
      <c r="JRH24" s="720"/>
      <c r="JRI24" s="720"/>
      <c r="JRJ24" s="720"/>
      <c r="JRK24" s="720"/>
      <c r="JRL24" s="720"/>
      <c r="JRM24" s="720"/>
      <c r="JRN24" s="720"/>
      <c r="JRO24" s="720"/>
      <c r="JRP24" s="720"/>
      <c r="JRQ24" s="720"/>
      <c r="JRR24" s="720"/>
      <c r="JRS24" s="720"/>
      <c r="JRT24" s="720"/>
      <c r="JRU24" s="720"/>
      <c r="JRV24" s="720"/>
      <c r="JRW24" s="720"/>
      <c r="JRX24" s="720"/>
      <c r="JRY24" s="720"/>
      <c r="JRZ24" s="720"/>
      <c r="JSA24" s="720"/>
      <c r="JSB24" s="720"/>
      <c r="JSC24" s="720"/>
      <c r="JSD24" s="720"/>
      <c r="JSE24" s="720"/>
      <c r="JSF24" s="720"/>
      <c r="JSG24" s="720"/>
      <c r="JSH24" s="720"/>
      <c r="JSI24" s="720"/>
      <c r="JSJ24" s="720"/>
      <c r="JSK24" s="720"/>
      <c r="JSL24" s="720"/>
      <c r="JSM24" s="720"/>
      <c r="JSN24" s="720"/>
      <c r="JSO24" s="720"/>
      <c r="JSP24" s="720"/>
      <c r="JSQ24" s="720"/>
      <c r="JSR24" s="720"/>
      <c r="JSS24" s="720"/>
      <c r="JST24" s="720"/>
      <c r="JSU24" s="720"/>
      <c r="JSV24" s="720"/>
      <c r="JSW24" s="720"/>
      <c r="JSX24" s="720"/>
      <c r="JSY24" s="720"/>
      <c r="JSZ24" s="720"/>
      <c r="JTA24" s="720"/>
      <c r="JTB24" s="720"/>
      <c r="JTC24" s="720"/>
      <c r="JTD24" s="720"/>
      <c r="JTE24" s="720"/>
      <c r="JTF24" s="720"/>
      <c r="JTG24" s="720"/>
      <c r="JTH24" s="720"/>
      <c r="JTI24" s="720"/>
      <c r="JTJ24" s="720"/>
      <c r="JTK24" s="720"/>
      <c r="JTL24" s="720"/>
      <c r="JTM24" s="720"/>
      <c r="JTN24" s="720"/>
      <c r="JTO24" s="720"/>
      <c r="JTP24" s="720"/>
      <c r="JTQ24" s="720"/>
      <c r="JTR24" s="720"/>
      <c r="JTS24" s="720"/>
      <c r="JTT24" s="720"/>
      <c r="JTU24" s="720"/>
      <c r="JTV24" s="720"/>
      <c r="JTW24" s="720"/>
      <c r="JTX24" s="720"/>
      <c r="JTY24" s="720"/>
      <c r="JTZ24" s="720"/>
      <c r="JUA24" s="720"/>
      <c r="JUB24" s="720"/>
      <c r="JUC24" s="720"/>
      <c r="JUD24" s="720"/>
      <c r="JUE24" s="720"/>
      <c r="JUF24" s="720"/>
      <c r="JUG24" s="720"/>
      <c r="JUH24" s="720"/>
      <c r="JUI24" s="720"/>
      <c r="JUJ24" s="720"/>
      <c r="JUK24" s="720"/>
      <c r="JUL24" s="720"/>
      <c r="JUM24" s="720"/>
      <c r="JUN24" s="720"/>
      <c r="JUO24" s="720"/>
      <c r="JUP24" s="720"/>
      <c r="JUQ24" s="720"/>
      <c r="JUR24" s="720"/>
      <c r="JUS24" s="720"/>
      <c r="JUT24" s="720"/>
      <c r="JUU24" s="720"/>
      <c r="JUV24" s="720"/>
      <c r="JUW24" s="720"/>
      <c r="JUX24" s="720"/>
      <c r="JUY24" s="720"/>
      <c r="JUZ24" s="720"/>
      <c r="JVA24" s="720"/>
      <c r="JVB24" s="720"/>
      <c r="JVC24" s="720"/>
      <c r="JVD24" s="720"/>
      <c r="JVE24" s="720"/>
      <c r="JVF24" s="720"/>
      <c r="JVG24" s="720"/>
      <c r="JVH24" s="720"/>
      <c r="JVI24" s="720"/>
      <c r="JVJ24" s="720"/>
      <c r="JVK24" s="720"/>
      <c r="JVL24" s="720"/>
      <c r="JVM24" s="720"/>
      <c r="JVN24" s="720"/>
      <c r="JVO24" s="720"/>
      <c r="JVP24" s="720"/>
      <c r="JVQ24" s="720"/>
      <c r="JVR24" s="720"/>
      <c r="JVS24" s="720"/>
      <c r="JVT24" s="720"/>
      <c r="JVU24" s="720"/>
      <c r="JVV24" s="720"/>
      <c r="JVW24" s="720"/>
      <c r="JVX24" s="720"/>
      <c r="JVY24" s="720"/>
      <c r="JVZ24" s="720"/>
      <c r="JWA24" s="720"/>
      <c r="JWB24" s="720"/>
      <c r="JWC24" s="720"/>
      <c r="JWD24" s="720"/>
      <c r="JWE24" s="720"/>
      <c r="JWF24" s="720"/>
      <c r="JWG24" s="720"/>
      <c r="JWH24" s="720"/>
      <c r="JWI24" s="720"/>
      <c r="JWJ24" s="720"/>
      <c r="JWK24" s="720"/>
      <c r="JWL24" s="720"/>
      <c r="JWM24" s="720"/>
      <c r="JWN24" s="720"/>
      <c r="JWO24" s="720"/>
      <c r="JWP24" s="720"/>
      <c r="JWQ24" s="720"/>
      <c r="JWR24" s="720"/>
      <c r="JWS24" s="720"/>
      <c r="JWT24" s="720"/>
      <c r="JWU24" s="720"/>
      <c r="JWV24" s="720"/>
      <c r="JWW24" s="720"/>
      <c r="JWX24" s="720"/>
      <c r="JWY24" s="720"/>
      <c r="JWZ24" s="720"/>
      <c r="JXA24" s="720"/>
      <c r="JXB24" s="720"/>
      <c r="JXC24" s="720"/>
      <c r="JXD24" s="720"/>
      <c r="JXE24" s="720"/>
      <c r="JXF24" s="720"/>
      <c r="JXG24" s="720"/>
      <c r="JXH24" s="720"/>
      <c r="JXI24" s="720"/>
      <c r="JXJ24" s="720"/>
      <c r="JXK24" s="720"/>
      <c r="JXL24" s="720"/>
      <c r="JXM24" s="720"/>
      <c r="JXN24" s="720"/>
      <c r="JXO24" s="720"/>
      <c r="JXP24" s="720"/>
      <c r="JXQ24" s="720"/>
      <c r="JXR24" s="720"/>
      <c r="JXS24" s="720"/>
      <c r="JXT24" s="720"/>
      <c r="JXU24" s="720"/>
      <c r="JXV24" s="720"/>
      <c r="JXW24" s="720"/>
      <c r="JXX24" s="720"/>
      <c r="JXY24" s="720"/>
      <c r="JXZ24" s="720"/>
      <c r="JYA24" s="720"/>
      <c r="JYB24" s="720"/>
      <c r="JYC24" s="720"/>
      <c r="JYD24" s="720"/>
      <c r="JYE24" s="720"/>
      <c r="JYF24" s="720"/>
      <c r="JYG24" s="720"/>
      <c r="JYH24" s="720"/>
      <c r="JYI24" s="720"/>
      <c r="JYJ24" s="720"/>
      <c r="JYK24" s="720"/>
      <c r="JYL24" s="720"/>
      <c r="JYM24" s="720"/>
      <c r="JYN24" s="720"/>
      <c r="JYO24" s="720"/>
      <c r="JYP24" s="720"/>
      <c r="JYQ24" s="720"/>
      <c r="JYR24" s="720"/>
      <c r="JYS24" s="720"/>
      <c r="JYT24" s="720"/>
      <c r="JYU24" s="720"/>
      <c r="JYV24" s="720"/>
      <c r="JYW24" s="720"/>
      <c r="JYX24" s="720"/>
      <c r="JYY24" s="720"/>
      <c r="JYZ24" s="720"/>
      <c r="JZA24" s="720"/>
      <c r="JZB24" s="720"/>
      <c r="JZC24" s="720"/>
      <c r="JZD24" s="720"/>
      <c r="JZE24" s="720"/>
      <c r="JZF24" s="720"/>
      <c r="JZG24" s="720"/>
      <c r="JZH24" s="720"/>
      <c r="JZI24" s="720"/>
      <c r="JZJ24" s="720"/>
      <c r="JZK24" s="720"/>
      <c r="JZL24" s="720"/>
      <c r="JZM24" s="720"/>
      <c r="JZN24" s="720"/>
      <c r="JZO24" s="720"/>
      <c r="JZP24" s="720"/>
      <c r="JZQ24" s="720"/>
      <c r="JZR24" s="720"/>
      <c r="JZS24" s="720"/>
      <c r="JZT24" s="720"/>
      <c r="JZU24" s="720"/>
      <c r="JZV24" s="720"/>
      <c r="JZW24" s="720"/>
      <c r="JZX24" s="720"/>
      <c r="JZY24" s="720"/>
      <c r="JZZ24" s="720"/>
      <c r="KAA24" s="720"/>
      <c r="KAB24" s="720"/>
      <c r="KAC24" s="720"/>
      <c r="KAD24" s="720"/>
      <c r="KAE24" s="720"/>
      <c r="KAF24" s="720"/>
      <c r="KAG24" s="720"/>
      <c r="KAH24" s="720"/>
      <c r="KAI24" s="720"/>
      <c r="KAJ24" s="720"/>
      <c r="KAK24" s="720"/>
      <c r="KAL24" s="720"/>
      <c r="KAM24" s="720"/>
      <c r="KAN24" s="720"/>
      <c r="KAO24" s="720"/>
      <c r="KAP24" s="720"/>
      <c r="KAQ24" s="720"/>
      <c r="KAR24" s="720"/>
      <c r="KAS24" s="720"/>
      <c r="KAT24" s="720"/>
      <c r="KAU24" s="720"/>
      <c r="KAV24" s="720"/>
      <c r="KAW24" s="720"/>
      <c r="KAX24" s="720"/>
      <c r="KAY24" s="720"/>
      <c r="KAZ24" s="720"/>
      <c r="KBA24" s="720"/>
      <c r="KBB24" s="720"/>
      <c r="KBC24" s="720"/>
      <c r="KBD24" s="720"/>
      <c r="KBE24" s="720"/>
      <c r="KBF24" s="720"/>
      <c r="KBG24" s="720"/>
      <c r="KBH24" s="720"/>
      <c r="KBI24" s="720"/>
      <c r="KBJ24" s="720"/>
      <c r="KBK24" s="720"/>
      <c r="KBL24" s="720"/>
      <c r="KBM24" s="720"/>
      <c r="KBN24" s="720"/>
      <c r="KBO24" s="720"/>
      <c r="KBP24" s="720"/>
      <c r="KBQ24" s="720"/>
      <c r="KBR24" s="720"/>
      <c r="KBS24" s="720"/>
      <c r="KBT24" s="720"/>
      <c r="KBU24" s="720"/>
      <c r="KBV24" s="720"/>
      <c r="KBW24" s="720"/>
      <c r="KBX24" s="720"/>
      <c r="KBY24" s="720"/>
      <c r="KBZ24" s="720"/>
      <c r="KCA24" s="720"/>
      <c r="KCB24" s="720"/>
      <c r="KCC24" s="720"/>
      <c r="KCD24" s="720"/>
      <c r="KCE24" s="720"/>
      <c r="KCF24" s="720"/>
      <c r="KCG24" s="720"/>
      <c r="KCH24" s="720"/>
      <c r="KCI24" s="720"/>
      <c r="KCJ24" s="720"/>
      <c r="KCK24" s="720"/>
      <c r="KCL24" s="720"/>
      <c r="KCM24" s="720"/>
      <c r="KCN24" s="720"/>
      <c r="KCO24" s="720"/>
      <c r="KCP24" s="720"/>
      <c r="KCQ24" s="720"/>
      <c r="KCR24" s="720"/>
      <c r="KCS24" s="720"/>
      <c r="KCT24" s="720"/>
      <c r="KCU24" s="720"/>
      <c r="KCV24" s="720"/>
      <c r="KCW24" s="720"/>
      <c r="KCX24" s="720"/>
      <c r="KCY24" s="720"/>
      <c r="KCZ24" s="720"/>
      <c r="KDA24" s="720"/>
      <c r="KDB24" s="720"/>
      <c r="KDC24" s="720"/>
      <c r="KDD24" s="720"/>
      <c r="KDE24" s="720"/>
      <c r="KDF24" s="720"/>
      <c r="KDG24" s="720"/>
      <c r="KDH24" s="720"/>
      <c r="KDI24" s="720"/>
      <c r="KDJ24" s="720"/>
      <c r="KDK24" s="720"/>
      <c r="KDL24" s="720"/>
      <c r="KDM24" s="720"/>
      <c r="KDN24" s="720"/>
      <c r="KDO24" s="720"/>
      <c r="KDP24" s="720"/>
      <c r="KDQ24" s="720"/>
      <c r="KDR24" s="720"/>
      <c r="KDS24" s="720"/>
      <c r="KDT24" s="720"/>
      <c r="KDU24" s="720"/>
      <c r="KDV24" s="720"/>
      <c r="KDW24" s="720"/>
      <c r="KDX24" s="720"/>
      <c r="KDY24" s="720"/>
      <c r="KDZ24" s="720"/>
      <c r="KEA24" s="720"/>
      <c r="KEB24" s="720"/>
      <c r="KEC24" s="720"/>
      <c r="KED24" s="720"/>
      <c r="KEE24" s="720"/>
      <c r="KEF24" s="720"/>
      <c r="KEG24" s="720"/>
      <c r="KEH24" s="720"/>
      <c r="KEI24" s="720"/>
      <c r="KEJ24" s="720"/>
      <c r="KEK24" s="720"/>
      <c r="KEL24" s="720"/>
      <c r="KEM24" s="720"/>
      <c r="KEN24" s="720"/>
      <c r="KEO24" s="720"/>
      <c r="KEP24" s="720"/>
      <c r="KEQ24" s="720"/>
      <c r="KER24" s="720"/>
      <c r="KES24" s="720"/>
      <c r="KET24" s="720"/>
      <c r="KEU24" s="720"/>
      <c r="KEV24" s="720"/>
      <c r="KEW24" s="720"/>
      <c r="KEX24" s="720"/>
      <c r="KEY24" s="720"/>
      <c r="KEZ24" s="720"/>
      <c r="KFA24" s="720"/>
      <c r="KFB24" s="720"/>
      <c r="KFC24" s="720"/>
      <c r="KFD24" s="720"/>
      <c r="KFE24" s="720"/>
      <c r="KFF24" s="720"/>
      <c r="KFG24" s="720"/>
      <c r="KFH24" s="720"/>
      <c r="KFI24" s="720"/>
      <c r="KFJ24" s="720"/>
      <c r="KFK24" s="720"/>
      <c r="KFL24" s="720"/>
      <c r="KFM24" s="720"/>
      <c r="KFN24" s="720"/>
      <c r="KFO24" s="720"/>
      <c r="KFP24" s="720"/>
      <c r="KFQ24" s="720"/>
      <c r="KFR24" s="720"/>
      <c r="KFS24" s="720"/>
      <c r="KFT24" s="720"/>
      <c r="KFU24" s="720"/>
      <c r="KFV24" s="720"/>
      <c r="KFW24" s="720"/>
      <c r="KFX24" s="720"/>
      <c r="KFY24" s="720"/>
      <c r="KFZ24" s="720"/>
      <c r="KGA24" s="720"/>
      <c r="KGB24" s="720"/>
      <c r="KGC24" s="720"/>
      <c r="KGD24" s="720"/>
      <c r="KGE24" s="720"/>
      <c r="KGF24" s="720"/>
      <c r="KGG24" s="720"/>
      <c r="KGH24" s="720"/>
      <c r="KGI24" s="720"/>
      <c r="KGJ24" s="720"/>
      <c r="KGK24" s="720"/>
      <c r="KGL24" s="720"/>
      <c r="KGM24" s="720"/>
      <c r="KGN24" s="720"/>
      <c r="KGO24" s="720"/>
      <c r="KGP24" s="720"/>
      <c r="KGQ24" s="720"/>
      <c r="KGR24" s="720"/>
      <c r="KGS24" s="720"/>
      <c r="KGT24" s="720"/>
      <c r="KGU24" s="720"/>
      <c r="KGV24" s="720"/>
      <c r="KGW24" s="720"/>
      <c r="KGX24" s="720"/>
      <c r="KGY24" s="720"/>
      <c r="KGZ24" s="720"/>
      <c r="KHA24" s="720"/>
      <c r="KHB24" s="720"/>
      <c r="KHC24" s="720"/>
      <c r="KHD24" s="720"/>
      <c r="KHE24" s="720"/>
      <c r="KHF24" s="720"/>
      <c r="KHG24" s="720"/>
      <c r="KHH24" s="720"/>
      <c r="KHI24" s="720"/>
      <c r="KHJ24" s="720"/>
      <c r="KHK24" s="720"/>
      <c r="KHL24" s="720"/>
      <c r="KHM24" s="720"/>
      <c r="KHN24" s="720"/>
      <c r="KHO24" s="720"/>
      <c r="KHP24" s="720"/>
      <c r="KHQ24" s="720"/>
      <c r="KHR24" s="720"/>
      <c r="KHS24" s="720"/>
      <c r="KHT24" s="720"/>
      <c r="KHU24" s="720"/>
      <c r="KHV24" s="720"/>
      <c r="KHW24" s="720"/>
      <c r="KHX24" s="720"/>
      <c r="KHY24" s="720"/>
      <c r="KHZ24" s="720"/>
      <c r="KIA24" s="720"/>
      <c r="KIB24" s="720"/>
      <c r="KIC24" s="720"/>
      <c r="KID24" s="720"/>
      <c r="KIE24" s="720"/>
      <c r="KIF24" s="720"/>
      <c r="KIG24" s="720"/>
      <c r="KIH24" s="720"/>
      <c r="KII24" s="720"/>
      <c r="KIJ24" s="720"/>
      <c r="KIK24" s="720"/>
      <c r="KIL24" s="720"/>
      <c r="KIM24" s="720"/>
      <c r="KIN24" s="720"/>
      <c r="KIO24" s="720"/>
      <c r="KIP24" s="720"/>
      <c r="KIQ24" s="720"/>
      <c r="KIR24" s="720"/>
      <c r="KIS24" s="720"/>
      <c r="KIT24" s="720"/>
      <c r="KIU24" s="720"/>
      <c r="KIV24" s="720"/>
      <c r="KIW24" s="720"/>
      <c r="KIX24" s="720"/>
      <c r="KIY24" s="720"/>
      <c r="KIZ24" s="720"/>
      <c r="KJA24" s="720"/>
      <c r="KJB24" s="720"/>
      <c r="KJC24" s="720"/>
      <c r="KJD24" s="720"/>
      <c r="KJE24" s="720"/>
      <c r="KJF24" s="720"/>
      <c r="KJG24" s="720"/>
      <c r="KJH24" s="720"/>
      <c r="KJI24" s="720"/>
      <c r="KJJ24" s="720"/>
      <c r="KJK24" s="720"/>
      <c r="KJL24" s="720"/>
      <c r="KJM24" s="720"/>
      <c r="KJN24" s="720"/>
      <c r="KJO24" s="720"/>
      <c r="KJP24" s="720"/>
      <c r="KJQ24" s="720"/>
      <c r="KJR24" s="720"/>
      <c r="KJS24" s="720"/>
      <c r="KJT24" s="720"/>
      <c r="KJU24" s="720"/>
      <c r="KJV24" s="720"/>
      <c r="KJW24" s="720"/>
      <c r="KJX24" s="720"/>
      <c r="KJY24" s="720"/>
      <c r="KJZ24" s="720"/>
      <c r="KKA24" s="720"/>
      <c r="KKB24" s="720"/>
      <c r="KKC24" s="720"/>
      <c r="KKD24" s="720"/>
      <c r="KKE24" s="720"/>
      <c r="KKF24" s="720"/>
      <c r="KKG24" s="720"/>
      <c r="KKH24" s="720"/>
      <c r="KKI24" s="720"/>
      <c r="KKJ24" s="720"/>
      <c r="KKK24" s="720"/>
      <c r="KKL24" s="720"/>
      <c r="KKM24" s="720"/>
      <c r="KKN24" s="720"/>
      <c r="KKO24" s="720"/>
      <c r="KKP24" s="720"/>
      <c r="KKQ24" s="720"/>
      <c r="KKR24" s="720"/>
      <c r="KKS24" s="720"/>
      <c r="KKT24" s="720"/>
      <c r="KKU24" s="720"/>
      <c r="KKV24" s="720"/>
      <c r="KKW24" s="720"/>
      <c r="KKX24" s="720"/>
      <c r="KKY24" s="720"/>
      <c r="KKZ24" s="720"/>
      <c r="KLA24" s="720"/>
      <c r="KLB24" s="720"/>
      <c r="KLC24" s="720"/>
      <c r="KLD24" s="720"/>
      <c r="KLE24" s="720"/>
      <c r="KLF24" s="720"/>
      <c r="KLG24" s="720"/>
      <c r="KLH24" s="720"/>
      <c r="KLI24" s="720"/>
      <c r="KLJ24" s="720"/>
      <c r="KLK24" s="720"/>
      <c r="KLL24" s="720"/>
      <c r="KLM24" s="720"/>
      <c r="KLN24" s="720"/>
      <c r="KLO24" s="720"/>
      <c r="KLP24" s="720"/>
      <c r="KLQ24" s="720"/>
      <c r="KLR24" s="720"/>
      <c r="KLS24" s="720"/>
      <c r="KLT24" s="720"/>
      <c r="KLU24" s="720"/>
      <c r="KLV24" s="720"/>
      <c r="KLW24" s="720"/>
      <c r="KLX24" s="720"/>
      <c r="KLY24" s="720"/>
      <c r="KLZ24" s="720"/>
      <c r="KMA24" s="720"/>
      <c r="KMB24" s="720"/>
      <c r="KMC24" s="720"/>
      <c r="KMD24" s="720"/>
      <c r="KME24" s="720"/>
      <c r="KMF24" s="720"/>
      <c r="KMG24" s="720"/>
      <c r="KMH24" s="720"/>
      <c r="KMI24" s="720"/>
      <c r="KMJ24" s="720"/>
      <c r="KMK24" s="720"/>
      <c r="KML24" s="720"/>
      <c r="KMM24" s="720"/>
      <c r="KMN24" s="720"/>
      <c r="KMO24" s="720"/>
      <c r="KMP24" s="720"/>
      <c r="KMQ24" s="720"/>
      <c r="KMR24" s="720"/>
      <c r="KMS24" s="720"/>
      <c r="KMT24" s="720"/>
      <c r="KMU24" s="720"/>
      <c r="KMV24" s="720"/>
      <c r="KMW24" s="720"/>
      <c r="KMX24" s="720"/>
      <c r="KMY24" s="720"/>
      <c r="KMZ24" s="720"/>
      <c r="KNA24" s="720"/>
      <c r="KNB24" s="720"/>
      <c r="KNC24" s="720"/>
      <c r="KND24" s="720"/>
      <c r="KNE24" s="720"/>
      <c r="KNF24" s="720"/>
      <c r="KNG24" s="720"/>
      <c r="KNH24" s="720"/>
      <c r="KNI24" s="720"/>
      <c r="KNJ24" s="720"/>
      <c r="KNK24" s="720"/>
      <c r="KNL24" s="720"/>
      <c r="KNM24" s="720"/>
      <c r="KNN24" s="720"/>
      <c r="KNO24" s="720"/>
      <c r="KNP24" s="720"/>
      <c r="KNQ24" s="720"/>
      <c r="KNR24" s="720"/>
      <c r="KNS24" s="720"/>
      <c r="KNT24" s="720"/>
      <c r="KNU24" s="720"/>
      <c r="KNV24" s="720"/>
      <c r="KNW24" s="720"/>
      <c r="KNX24" s="720"/>
      <c r="KNY24" s="720"/>
      <c r="KNZ24" s="720"/>
      <c r="KOA24" s="720"/>
      <c r="KOB24" s="720"/>
      <c r="KOC24" s="720"/>
      <c r="KOD24" s="720"/>
      <c r="KOE24" s="720"/>
      <c r="KOF24" s="720"/>
      <c r="KOG24" s="720"/>
      <c r="KOH24" s="720"/>
      <c r="KOI24" s="720"/>
      <c r="KOJ24" s="720"/>
      <c r="KOK24" s="720"/>
      <c r="KOL24" s="720"/>
      <c r="KOM24" s="720"/>
      <c r="KON24" s="720"/>
      <c r="KOO24" s="720"/>
      <c r="KOP24" s="720"/>
      <c r="KOQ24" s="720"/>
      <c r="KOR24" s="720"/>
      <c r="KOS24" s="720"/>
      <c r="KOT24" s="720"/>
      <c r="KOU24" s="720"/>
      <c r="KOV24" s="720"/>
      <c r="KOW24" s="720"/>
      <c r="KOX24" s="720"/>
      <c r="KOY24" s="720"/>
      <c r="KOZ24" s="720"/>
      <c r="KPA24" s="720"/>
      <c r="KPB24" s="720"/>
      <c r="KPC24" s="720"/>
      <c r="KPD24" s="720"/>
      <c r="KPE24" s="720"/>
      <c r="KPF24" s="720"/>
      <c r="KPG24" s="720"/>
      <c r="KPH24" s="720"/>
      <c r="KPI24" s="720"/>
      <c r="KPJ24" s="720"/>
      <c r="KPK24" s="720"/>
      <c r="KPL24" s="720"/>
      <c r="KPM24" s="720"/>
      <c r="KPN24" s="720"/>
      <c r="KPO24" s="720"/>
      <c r="KPP24" s="720"/>
      <c r="KPQ24" s="720"/>
      <c r="KPR24" s="720"/>
      <c r="KPS24" s="720"/>
      <c r="KPT24" s="720"/>
      <c r="KPU24" s="720"/>
      <c r="KPV24" s="720"/>
      <c r="KPW24" s="720"/>
      <c r="KPX24" s="720"/>
      <c r="KPY24" s="720"/>
      <c r="KPZ24" s="720"/>
      <c r="KQA24" s="720"/>
      <c r="KQB24" s="720"/>
      <c r="KQC24" s="720"/>
      <c r="KQD24" s="720"/>
      <c r="KQE24" s="720"/>
      <c r="KQF24" s="720"/>
      <c r="KQG24" s="720"/>
      <c r="KQH24" s="720"/>
      <c r="KQI24" s="720"/>
      <c r="KQJ24" s="720"/>
      <c r="KQK24" s="720"/>
      <c r="KQL24" s="720"/>
      <c r="KQM24" s="720"/>
      <c r="KQN24" s="720"/>
      <c r="KQO24" s="720"/>
      <c r="KQP24" s="720"/>
      <c r="KQQ24" s="720"/>
      <c r="KQR24" s="720"/>
      <c r="KQS24" s="720"/>
      <c r="KQT24" s="720"/>
      <c r="KQU24" s="720"/>
      <c r="KQV24" s="720"/>
      <c r="KQW24" s="720"/>
      <c r="KQX24" s="720"/>
      <c r="KQY24" s="720"/>
      <c r="KQZ24" s="720"/>
      <c r="KRA24" s="720"/>
      <c r="KRB24" s="720"/>
      <c r="KRC24" s="720"/>
      <c r="KRD24" s="720"/>
      <c r="KRE24" s="720"/>
      <c r="KRF24" s="720"/>
      <c r="KRG24" s="720"/>
      <c r="KRH24" s="720"/>
      <c r="KRI24" s="720"/>
      <c r="KRJ24" s="720"/>
      <c r="KRK24" s="720"/>
      <c r="KRL24" s="720"/>
      <c r="KRM24" s="720"/>
      <c r="KRN24" s="720"/>
      <c r="KRO24" s="720"/>
      <c r="KRP24" s="720"/>
      <c r="KRQ24" s="720"/>
      <c r="KRR24" s="720"/>
      <c r="KRS24" s="720"/>
      <c r="KRT24" s="720"/>
      <c r="KRU24" s="720"/>
      <c r="KRV24" s="720"/>
      <c r="KRW24" s="720"/>
      <c r="KRX24" s="720"/>
      <c r="KRY24" s="720"/>
      <c r="KRZ24" s="720"/>
      <c r="KSA24" s="720"/>
      <c r="KSB24" s="720"/>
      <c r="KSC24" s="720"/>
      <c r="KSD24" s="720"/>
      <c r="KSE24" s="720"/>
      <c r="KSF24" s="720"/>
      <c r="KSG24" s="720"/>
      <c r="KSH24" s="720"/>
      <c r="KSI24" s="720"/>
      <c r="KSJ24" s="720"/>
      <c r="KSK24" s="720"/>
      <c r="KSL24" s="720"/>
      <c r="KSM24" s="720"/>
      <c r="KSN24" s="720"/>
      <c r="KSO24" s="720"/>
      <c r="KSP24" s="720"/>
      <c r="KSQ24" s="720"/>
      <c r="KSR24" s="720"/>
      <c r="KSS24" s="720"/>
      <c r="KST24" s="720"/>
      <c r="KSU24" s="720"/>
      <c r="KSV24" s="720"/>
      <c r="KSW24" s="720"/>
      <c r="KSX24" s="720"/>
      <c r="KSY24" s="720"/>
      <c r="KSZ24" s="720"/>
      <c r="KTA24" s="720"/>
      <c r="KTB24" s="720"/>
      <c r="KTC24" s="720"/>
      <c r="KTD24" s="720"/>
      <c r="KTE24" s="720"/>
      <c r="KTF24" s="720"/>
      <c r="KTG24" s="720"/>
      <c r="KTH24" s="720"/>
      <c r="KTI24" s="720"/>
      <c r="KTJ24" s="720"/>
      <c r="KTK24" s="720"/>
      <c r="KTL24" s="720"/>
      <c r="KTM24" s="720"/>
      <c r="KTN24" s="720"/>
      <c r="KTO24" s="720"/>
      <c r="KTP24" s="720"/>
      <c r="KTQ24" s="720"/>
      <c r="KTR24" s="720"/>
      <c r="KTS24" s="720"/>
      <c r="KTT24" s="720"/>
      <c r="KTU24" s="720"/>
      <c r="KTV24" s="720"/>
      <c r="KTW24" s="720"/>
      <c r="KTX24" s="720"/>
      <c r="KTY24" s="720"/>
      <c r="KTZ24" s="720"/>
      <c r="KUA24" s="720"/>
      <c r="KUB24" s="720"/>
      <c r="KUC24" s="720"/>
      <c r="KUD24" s="720"/>
      <c r="KUE24" s="720"/>
      <c r="KUF24" s="720"/>
      <c r="KUG24" s="720"/>
      <c r="KUH24" s="720"/>
      <c r="KUI24" s="720"/>
      <c r="KUJ24" s="720"/>
      <c r="KUK24" s="720"/>
      <c r="KUL24" s="720"/>
      <c r="KUM24" s="720"/>
      <c r="KUN24" s="720"/>
      <c r="KUO24" s="720"/>
      <c r="KUP24" s="720"/>
      <c r="KUQ24" s="720"/>
      <c r="KUR24" s="720"/>
      <c r="KUS24" s="720"/>
      <c r="KUT24" s="720"/>
      <c r="KUU24" s="720"/>
      <c r="KUV24" s="720"/>
      <c r="KUW24" s="720"/>
      <c r="KUX24" s="720"/>
      <c r="KUY24" s="720"/>
      <c r="KUZ24" s="720"/>
      <c r="KVA24" s="720"/>
      <c r="KVB24" s="720"/>
      <c r="KVC24" s="720"/>
      <c r="KVD24" s="720"/>
      <c r="KVE24" s="720"/>
      <c r="KVF24" s="720"/>
      <c r="KVG24" s="720"/>
      <c r="KVH24" s="720"/>
      <c r="KVI24" s="720"/>
      <c r="KVJ24" s="720"/>
      <c r="KVK24" s="720"/>
      <c r="KVL24" s="720"/>
      <c r="KVM24" s="720"/>
      <c r="KVN24" s="720"/>
      <c r="KVO24" s="720"/>
      <c r="KVP24" s="720"/>
      <c r="KVQ24" s="720"/>
      <c r="KVR24" s="720"/>
      <c r="KVS24" s="720"/>
      <c r="KVT24" s="720"/>
      <c r="KVU24" s="720"/>
      <c r="KVV24" s="720"/>
      <c r="KVW24" s="720"/>
      <c r="KVX24" s="720"/>
      <c r="KVY24" s="720"/>
      <c r="KVZ24" s="720"/>
      <c r="KWA24" s="720"/>
      <c r="KWB24" s="720"/>
      <c r="KWC24" s="720"/>
      <c r="KWD24" s="720"/>
      <c r="KWE24" s="720"/>
      <c r="KWF24" s="720"/>
      <c r="KWG24" s="720"/>
      <c r="KWH24" s="720"/>
      <c r="KWI24" s="720"/>
      <c r="KWJ24" s="720"/>
      <c r="KWK24" s="720"/>
      <c r="KWL24" s="720"/>
      <c r="KWM24" s="720"/>
      <c r="KWN24" s="720"/>
      <c r="KWO24" s="720"/>
      <c r="KWP24" s="720"/>
      <c r="KWQ24" s="720"/>
      <c r="KWR24" s="720"/>
      <c r="KWS24" s="720"/>
      <c r="KWT24" s="720"/>
      <c r="KWU24" s="720"/>
      <c r="KWV24" s="720"/>
      <c r="KWW24" s="720"/>
      <c r="KWX24" s="720"/>
      <c r="KWY24" s="720"/>
      <c r="KWZ24" s="720"/>
      <c r="KXA24" s="720"/>
      <c r="KXB24" s="720"/>
      <c r="KXC24" s="720"/>
      <c r="KXD24" s="720"/>
      <c r="KXE24" s="720"/>
      <c r="KXF24" s="720"/>
      <c r="KXG24" s="720"/>
      <c r="KXH24" s="720"/>
      <c r="KXI24" s="720"/>
      <c r="KXJ24" s="720"/>
      <c r="KXK24" s="720"/>
      <c r="KXL24" s="720"/>
      <c r="KXM24" s="720"/>
      <c r="KXN24" s="720"/>
      <c r="KXO24" s="720"/>
      <c r="KXP24" s="720"/>
      <c r="KXQ24" s="720"/>
      <c r="KXR24" s="720"/>
      <c r="KXS24" s="720"/>
      <c r="KXT24" s="720"/>
      <c r="KXU24" s="720"/>
      <c r="KXV24" s="720"/>
      <c r="KXW24" s="720"/>
      <c r="KXX24" s="720"/>
      <c r="KXY24" s="720"/>
      <c r="KXZ24" s="720"/>
      <c r="KYA24" s="720"/>
      <c r="KYB24" s="720"/>
      <c r="KYC24" s="720"/>
      <c r="KYD24" s="720"/>
      <c r="KYE24" s="720"/>
      <c r="KYF24" s="720"/>
      <c r="KYG24" s="720"/>
      <c r="KYH24" s="720"/>
      <c r="KYI24" s="720"/>
      <c r="KYJ24" s="720"/>
      <c r="KYK24" s="720"/>
      <c r="KYL24" s="720"/>
      <c r="KYM24" s="720"/>
      <c r="KYN24" s="720"/>
      <c r="KYO24" s="720"/>
      <c r="KYP24" s="720"/>
      <c r="KYQ24" s="720"/>
      <c r="KYR24" s="720"/>
      <c r="KYS24" s="720"/>
      <c r="KYT24" s="720"/>
      <c r="KYU24" s="720"/>
      <c r="KYV24" s="720"/>
      <c r="KYW24" s="720"/>
      <c r="KYX24" s="720"/>
      <c r="KYY24" s="720"/>
      <c r="KYZ24" s="720"/>
      <c r="KZA24" s="720"/>
      <c r="KZB24" s="720"/>
      <c r="KZC24" s="720"/>
      <c r="KZD24" s="720"/>
      <c r="KZE24" s="720"/>
      <c r="KZF24" s="720"/>
      <c r="KZG24" s="720"/>
      <c r="KZH24" s="720"/>
      <c r="KZI24" s="720"/>
      <c r="KZJ24" s="720"/>
      <c r="KZK24" s="720"/>
      <c r="KZL24" s="720"/>
      <c r="KZM24" s="720"/>
      <c r="KZN24" s="720"/>
      <c r="KZO24" s="720"/>
      <c r="KZP24" s="720"/>
      <c r="KZQ24" s="720"/>
      <c r="KZR24" s="720"/>
      <c r="KZS24" s="720"/>
      <c r="KZT24" s="720"/>
      <c r="KZU24" s="720"/>
      <c r="KZV24" s="720"/>
      <c r="KZW24" s="720"/>
      <c r="KZX24" s="720"/>
      <c r="KZY24" s="720"/>
      <c r="KZZ24" s="720"/>
      <c r="LAA24" s="720"/>
      <c r="LAB24" s="720"/>
      <c r="LAC24" s="720"/>
      <c r="LAD24" s="720"/>
      <c r="LAE24" s="720"/>
      <c r="LAF24" s="720"/>
      <c r="LAG24" s="720"/>
      <c r="LAH24" s="720"/>
      <c r="LAI24" s="720"/>
      <c r="LAJ24" s="720"/>
      <c r="LAK24" s="720"/>
      <c r="LAL24" s="720"/>
      <c r="LAM24" s="720"/>
      <c r="LAN24" s="720"/>
      <c r="LAO24" s="720"/>
      <c r="LAP24" s="720"/>
      <c r="LAQ24" s="720"/>
      <c r="LAR24" s="720"/>
      <c r="LAS24" s="720"/>
      <c r="LAT24" s="720"/>
      <c r="LAU24" s="720"/>
      <c r="LAV24" s="720"/>
      <c r="LAW24" s="720"/>
      <c r="LAX24" s="720"/>
      <c r="LAY24" s="720"/>
      <c r="LAZ24" s="720"/>
      <c r="LBA24" s="720"/>
      <c r="LBB24" s="720"/>
      <c r="LBC24" s="720"/>
      <c r="LBD24" s="720"/>
      <c r="LBE24" s="720"/>
      <c r="LBF24" s="720"/>
      <c r="LBG24" s="720"/>
      <c r="LBH24" s="720"/>
      <c r="LBI24" s="720"/>
      <c r="LBJ24" s="720"/>
      <c r="LBK24" s="720"/>
      <c r="LBL24" s="720"/>
      <c r="LBM24" s="720"/>
      <c r="LBN24" s="720"/>
      <c r="LBO24" s="720"/>
      <c r="LBP24" s="720"/>
      <c r="LBQ24" s="720"/>
      <c r="LBR24" s="720"/>
      <c r="LBS24" s="720"/>
      <c r="LBT24" s="720"/>
      <c r="LBU24" s="720"/>
      <c r="LBV24" s="720"/>
      <c r="LBW24" s="720"/>
      <c r="LBX24" s="720"/>
      <c r="LBY24" s="720"/>
      <c r="LBZ24" s="720"/>
      <c r="LCA24" s="720"/>
      <c r="LCB24" s="720"/>
      <c r="LCC24" s="720"/>
      <c r="LCD24" s="720"/>
      <c r="LCE24" s="720"/>
      <c r="LCF24" s="720"/>
      <c r="LCG24" s="720"/>
      <c r="LCH24" s="720"/>
      <c r="LCI24" s="720"/>
      <c r="LCJ24" s="720"/>
      <c r="LCK24" s="720"/>
      <c r="LCL24" s="720"/>
      <c r="LCM24" s="720"/>
      <c r="LCN24" s="720"/>
      <c r="LCO24" s="720"/>
      <c r="LCP24" s="720"/>
      <c r="LCQ24" s="720"/>
      <c r="LCR24" s="720"/>
      <c r="LCS24" s="720"/>
      <c r="LCT24" s="720"/>
      <c r="LCU24" s="720"/>
      <c r="LCV24" s="720"/>
      <c r="LCW24" s="720"/>
      <c r="LCX24" s="720"/>
      <c r="LCY24" s="720"/>
      <c r="LCZ24" s="720"/>
      <c r="LDA24" s="720"/>
      <c r="LDB24" s="720"/>
      <c r="LDC24" s="720"/>
      <c r="LDD24" s="720"/>
      <c r="LDE24" s="720"/>
      <c r="LDF24" s="720"/>
      <c r="LDG24" s="720"/>
      <c r="LDH24" s="720"/>
      <c r="LDI24" s="720"/>
      <c r="LDJ24" s="720"/>
      <c r="LDK24" s="720"/>
      <c r="LDL24" s="720"/>
      <c r="LDM24" s="720"/>
      <c r="LDN24" s="720"/>
      <c r="LDO24" s="720"/>
      <c r="LDP24" s="720"/>
      <c r="LDQ24" s="720"/>
      <c r="LDR24" s="720"/>
      <c r="LDS24" s="720"/>
      <c r="LDT24" s="720"/>
      <c r="LDU24" s="720"/>
      <c r="LDV24" s="720"/>
      <c r="LDW24" s="720"/>
      <c r="LDX24" s="720"/>
      <c r="LDY24" s="720"/>
      <c r="LDZ24" s="720"/>
      <c r="LEA24" s="720"/>
      <c r="LEB24" s="720"/>
      <c r="LEC24" s="720"/>
      <c r="LED24" s="720"/>
      <c r="LEE24" s="720"/>
      <c r="LEF24" s="720"/>
      <c r="LEG24" s="720"/>
      <c r="LEH24" s="720"/>
      <c r="LEI24" s="720"/>
      <c r="LEJ24" s="720"/>
      <c r="LEK24" s="720"/>
      <c r="LEL24" s="720"/>
      <c r="LEM24" s="720"/>
      <c r="LEN24" s="720"/>
      <c r="LEO24" s="720"/>
      <c r="LEP24" s="720"/>
      <c r="LEQ24" s="720"/>
      <c r="LER24" s="720"/>
      <c r="LES24" s="720"/>
      <c r="LET24" s="720"/>
      <c r="LEU24" s="720"/>
      <c r="LEV24" s="720"/>
      <c r="LEW24" s="720"/>
      <c r="LEX24" s="720"/>
      <c r="LEY24" s="720"/>
      <c r="LEZ24" s="720"/>
      <c r="LFA24" s="720"/>
      <c r="LFB24" s="720"/>
      <c r="LFC24" s="720"/>
      <c r="LFD24" s="720"/>
      <c r="LFE24" s="720"/>
      <c r="LFF24" s="720"/>
      <c r="LFG24" s="720"/>
      <c r="LFH24" s="720"/>
      <c r="LFI24" s="720"/>
      <c r="LFJ24" s="720"/>
      <c r="LFK24" s="720"/>
      <c r="LFL24" s="720"/>
      <c r="LFM24" s="720"/>
      <c r="LFN24" s="720"/>
      <c r="LFO24" s="720"/>
      <c r="LFP24" s="720"/>
      <c r="LFQ24" s="720"/>
      <c r="LFR24" s="720"/>
      <c r="LFS24" s="720"/>
      <c r="LFT24" s="720"/>
      <c r="LFU24" s="720"/>
      <c r="LFV24" s="720"/>
      <c r="LFW24" s="720"/>
      <c r="LFX24" s="720"/>
      <c r="LFY24" s="720"/>
      <c r="LFZ24" s="720"/>
      <c r="LGA24" s="720"/>
      <c r="LGB24" s="720"/>
      <c r="LGC24" s="720"/>
      <c r="LGD24" s="720"/>
      <c r="LGE24" s="720"/>
      <c r="LGF24" s="720"/>
      <c r="LGG24" s="720"/>
      <c r="LGH24" s="720"/>
      <c r="LGI24" s="720"/>
      <c r="LGJ24" s="720"/>
      <c r="LGK24" s="720"/>
      <c r="LGL24" s="720"/>
      <c r="LGM24" s="720"/>
      <c r="LGN24" s="720"/>
      <c r="LGO24" s="720"/>
      <c r="LGP24" s="720"/>
      <c r="LGQ24" s="720"/>
      <c r="LGR24" s="720"/>
      <c r="LGS24" s="720"/>
      <c r="LGT24" s="720"/>
      <c r="LGU24" s="720"/>
      <c r="LGV24" s="720"/>
      <c r="LGW24" s="720"/>
      <c r="LGX24" s="720"/>
      <c r="LGY24" s="720"/>
      <c r="LGZ24" s="720"/>
      <c r="LHA24" s="720"/>
      <c r="LHB24" s="720"/>
      <c r="LHC24" s="720"/>
      <c r="LHD24" s="720"/>
      <c r="LHE24" s="720"/>
      <c r="LHF24" s="720"/>
      <c r="LHG24" s="720"/>
      <c r="LHH24" s="720"/>
      <c r="LHI24" s="720"/>
      <c r="LHJ24" s="720"/>
      <c r="LHK24" s="720"/>
      <c r="LHL24" s="720"/>
      <c r="LHM24" s="720"/>
      <c r="LHN24" s="720"/>
      <c r="LHO24" s="720"/>
      <c r="LHP24" s="720"/>
      <c r="LHQ24" s="720"/>
      <c r="LHR24" s="720"/>
      <c r="LHS24" s="720"/>
      <c r="LHT24" s="720"/>
      <c r="LHU24" s="720"/>
      <c r="LHV24" s="720"/>
      <c r="LHW24" s="720"/>
      <c r="LHX24" s="720"/>
      <c r="LHY24" s="720"/>
      <c r="LHZ24" s="720"/>
      <c r="LIA24" s="720"/>
      <c r="LIB24" s="720"/>
      <c r="LIC24" s="720"/>
      <c r="LID24" s="720"/>
      <c r="LIE24" s="720"/>
      <c r="LIF24" s="720"/>
      <c r="LIG24" s="720"/>
      <c r="LIH24" s="720"/>
      <c r="LII24" s="720"/>
      <c r="LIJ24" s="720"/>
      <c r="LIK24" s="720"/>
      <c r="LIL24" s="720"/>
      <c r="LIM24" s="720"/>
      <c r="LIN24" s="720"/>
      <c r="LIO24" s="720"/>
      <c r="LIP24" s="720"/>
      <c r="LIQ24" s="720"/>
      <c r="LIR24" s="720"/>
      <c r="LIS24" s="720"/>
      <c r="LIT24" s="720"/>
      <c r="LIU24" s="720"/>
      <c r="LIV24" s="720"/>
      <c r="LIW24" s="720"/>
      <c r="LIX24" s="720"/>
      <c r="LIY24" s="720"/>
      <c r="LIZ24" s="720"/>
      <c r="LJA24" s="720"/>
      <c r="LJB24" s="720"/>
      <c r="LJC24" s="720"/>
      <c r="LJD24" s="720"/>
      <c r="LJE24" s="720"/>
      <c r="LJF24" s="720"/>
      <c r="LJG24" s="720"/>
      <c r="LJH24" s="720"/>
      <c r="LJI24" s="720"/>
      <c r="LJJ24" s="720"/>
      <c r="LJK24" s="720"/>
      <c r="LJL24" s="720"/>
      <c r="LJM24" s="720"/>
      <c r="LJN24" s="720"/>
      <c r="LJO24" s="720"/>
      <c r="LJP24" s="720"/>
      <c r="LJQ24" s="720"/>
      <c r="LJR24" s="720"/>
      <c r="LJS24" s="720"/>
      <c r="LJT24" s="720"/>
      <c r="LJU24" s="720"/>
      <c r="LJV24" s="720"/>
      <c r="LJW24" s="720"/>
      <c r="LJX24" s="720"/>
      <c r="LJY24" s="720"/>
      <c r="LJZ24" s="720"/>
      <c r="LKA24" s="720"/>
      <c r="LKB24" s="720"/>
      <c r="LKC24" s="720"/>
      <c r="LKD24" s="720"/>
      <c r="LKE24" s="720"/>
      <c r="LKF24" s="720"/>
      <c r="LKG24" s="720"/>
      <c r="LKH24" s="720"/>
      <c r="LKI24" s="720"/>
      <c r="LKJ24" s="720"/>
      <c r="LKK24" s="720"/>
      <c r="LKL24" s="720"/>
      <c r="LKM24" s="720"/>
      <c r="LKN24" s="720"/>
      <c r="LKO24" s="720"/>
      <c r="LKP24" s="720"/>
      <c r="LKQ24" s="720"/>
      <c r="LKR24" s="720"/>
      <c r="LKS24" s="720"/>
      <c r="LKT24" s="720"/>
      <c r="LKU24" s="720"/>
      <c r="LKV24" s="720"/>
      <c r="LKW24" s="720"/>
      <c r="LKX24" s="720"/>
      <c r="LKY24" s="720"/>
      <c r="LKZ24" s="720"/>
      <c r="LLA24" s="720"/>
      <c r="LLB24" s="720"/>
      <c r="LLC24" s="720"/>
      <c r="LLD24" s="720"/>
      <c r="LLE24" s="720"/>
      <c r="LLF24" s="720"/>
      <c r="LLG24" s="720"/>
      <c r="LLH24" s="720"/>
      <c r="LLI24" s="720"/>
      <c r="LLJ24" s="720"/>
      <c r="LLK24" s="720"/>
      <c r="LLL24" s="720"/>
      <c r="LLM24" s="720"/>
      <c r="LLN24" s="720"/>
      <c r="LLO24" s="720"/>
      <c r="LLP24" s="720"/>
      <c r="LLQ24" s="720"/>
      <c r="LLR24" s="720"/>
      <c r="LLS24" s="720"/>
      <c r="LLT24" s="720"/>
      <c r="LLU24" s="720"/>
      <c r="LLV24" s="720"/>
      <c r="LLW24" s="720"/>
      <c r="LLX24" s="720"/>
      <c r="LLY24" s="720"/>
      <c r="LLZ24" s="720"/>
      <c r="LMA24" s="720"/>
      <c r="LMB24" s="720"/>
      <c r="LMC24" s="720"/>
      <c r="LMD24" s="720"/>
      <c r="LME24" s="720"/>
      <c r="LMF24" s="720"/>
      <c r="LMG24" s="720"/>
      <c r="LMH24" s="720"/>
      <c r="LMI24" s="720"/>
      <c r="LMJ24" s="720"/>
      <c r="LMK24" s="720"/>
      <c r="LML24" s="720"/>
      <c r="LMM24" s="720"/>
      <c r="LMN24" s="720"/>
      <c r="LMO24" s="720"/>
      <c r="LMP24" s="720"/>
      <c r="LMQ24" s="720"/>
      <c r="LMR24" s="720"/>
      <c r="LMS24" s="720"/>
      <c r="LMT24" s="720"/>
      <c r="LMU24" s="720"/>
      <c r="LMV24" s="720"/>
      <c r="LMW24" s="720"/>
      <c r="LMX24" s="720"/>
      <c r="LMY24" s="720"/>
      <c r="LMZ24" s="720"/>
      <c r="LNA24" s="720"/>
      <c r="LNB24" s="720"/>
      <c r="LNC24" s="720"/>
      <c r="LND24" s="720"/>
      <c r="LNE24" s="720"/>
      <c r="LNF24" s="720"/>
      <c r="LNG24" s="720"/>
      <c r="LNH24" s="720"/>
      <c r="LNI24" s="720"/>
      <c r="LNJ24" s="720"/>
      <c r="LNK24" s="720"/>
      <c r="LNL24" s="720"/>
      <c r="LNM24" s="720"/>
      <c r="LNN24" s="720"/>
      <c r="LNO24" s="720"/>
      <c r="LNP24" s="720"/>
      <c r="LNQ24" s="720"/>
      <c r="LNR24" s="720"/>
      <c r="LNS24" s="720"/>
      <c r="LNT24" s="720"/>
      <c r="LNU24" s="720"/>
      <c r="LNV24" s="720"/>
      <c r="LNW24" s="720"/>
      <c r="LNX24" s="720"/>
      <c r="LNY24" s="720"/>
      <c r="LNZ24" s="720"/>
      <c r="LOA24" s="720"/>
      <c r="LOB24" s="720"/>
      <c r="LOC24" s="720"/>
      <c r="LOD24" s="720"/>
      <c r="LOE24" s="720"/>
      <c r="LOF24" s="720"/>
      <c r="LOG24" s="720"/>
      <c r="LOH24" s="720"/>
      <c r="LOI24" s="720"/>
      <c r="LOJ24" s="720"/>
      <c r="LOK24" s="720"/>
      <c r="LOL24" s="720"/>
      <c r="LOM24" s="720"/>
      <c r="LON24" s="720"/>
      <c r="LOO24" s="720"/>
      <c r="LOP24" s="720"/>
      <c r="LOQ24" s="720"/>
      <c r="LOR24" s="720"/>
      <c r="LOS24" s="720"/>
      <c r="LOT24" s="720"/>
      <c r="LOU24" s="720"/>
      <c r="LOV24" s="720"/>
      <c r="LOW24" s="720"/>
      <c r="LOX24" s="720"/>
      <c r="LOY24" s="720"/>
      <c r="LOZ24" s="720"/>
      <c r="LPA24" s="720"/>
      <c r="LPB24" s="720"/>
      <c r="LPC24" s="720"/>
      <c r="LPD24" s="720"/>
      <c r="LPE24" s="720"/>
      <c r="LPF24" s="720"/>
      <c r="LPG24" s="720"/>
      <c r="LPH24" s="720"/>
      <c r="LPI24" s="720"/>
      <c r="LPJ24" s="720"/>
      <c r="LPK24" s="720"/>
      <c r="LPL24" s="720"/>
      <c r="LPM24" s="720"/>
      <c r="LPN24" s="720"/>
      <c r="LPO24" s="720"/>
      <c r="LPP24" s="720"/>
      <c r="LPQ24" s="720"/>
      <c r="LPR24" s="720"/>
      <c r="LPS24" s="720"/>
      <c r="LPT24" s="720"/>
      <c r="LPU24" s="720"/>
      <c r="LPV24" s="720"/>
      <c r="LPW24" s="720"/>
      <c r="LPX24" s="720"/>
      <c r="LPY24" s="720"/>
      <c r="LPZ24" s="720"/>
      <c r="LQA24" s="720"/>
      <c r="LQB24" s="720"/>
      <c r="LQC24" s="720"/>
      <c r="LQD24" s="720"/>
      <c r="LQE24" s="720"/>
      <c r="LQF24" s="720"/>
      <c r="LQG24" s="720"/>
      <c r="LQH24" s="720"/>
      <c r="LQI24" s="720"/>
      <c r="LQJ24" s="720"/>
      <c r="LQK24" s="720"/>
      <c r="LQL24" s="720"/>
      <c r="LQM24" s="720"/>
      <c r="LQN24" s="720"/>
      <c r="LQO24" s="720"/>
      <c r="LQP24" s="720"/>
      <c r="LQQ24" s="720"/>
      <c r="LQR24" s="720"/>
      <c r="LQS24" s="720"/>
      <c r="LQT24" s="720"/>
      <c r="LQU24" s="720"/>
      <c r="LQV24" s="720"/>
      <c r="LQW24" s="720"/>
      <c r="LQX24" s="720"/>
      <c r="LQY24" s="720"/>
      <c r="LQZ24" s="720"/>
      <c r="LRA24" s="720"/>
      <c r="LRB24" s="720"/>
      <c r="LRC24" s="720"/>
      <c r="LRD24" s="720"/>
      <c r="LRE24" s="720"/>
      <c r="LRF24" s="720"/>
      <c r="LRG24" s="720"/>
      <c r="LRH24" s="720"/>
      <c r="LRI24" s="720"/>
      <c r="LRJ24" s="720"/>
      <c r="LRK24" s="720"/>
      <c r="LRL24" s="720"/>
      <c r="LRM24" s="720"/>
      <c r="LRN24" s="720"/>
      <c r="LRO24" s="720"/>
      <c r="LRP24" s="720"/>
      <c r="LRQ24" s="720"/>
      <c r="LRR24" s="720"/>
      <c r="LRS24" s="720"/>
      <c r="LRT24" s="720"/>
      <c r="LRU24" s="720"/>
      <c r="LRV24" s="720"/>
      <c r="LRW24" s="720"/>
      <c r="LRX24" s="720"/>
      <c r="LRY24" s="720"/>
      <c r="LRZ24" s="720"/>
      <c r="LSA24" s="720"/>
      <c r="LSB24" s="720"/>
      <c r="LSC24" s="720"/>
      <c r="LSD24" s="720"/>
      <c r="LSE24" s="720"/>
      <c r="LSF24" s="720"/>
      <c r="LSG24" s="720"/>
      <c r="LSH24" s="720"/>
      <c r="LSI24" s="720"/>
      <c r="LSJ24" s="720"/>
      <c r="LSK24" s="720"/>
      <c r="LSL24" s="720"/>
      <c r="LSM24" s="720"/>
      <c r="LSN24" s="720"/>
      <c r="LSO24" s="720"/>
      <c r="LSP24" s="720"/>
      <c r="LSQ24" s="720"/>
      <c r="LSR24" s="720"/>
      <c r="LSS24" s="720"/>
      <c r="LST24" s="720"/>
      <c r="LSU24" s="720"/>
      <c r="LSV24" s="720"/>
      <c r="LSW24" s="720"/>
      <c r="LSX24" s="720"/>
      <c r="LSY24" s="720"/>
      <c r="LSZ24" s="720"/>
      <c r="LTA24" s="720"/>
      <c r="LTB24" s="720"/>
      <c r="LTC24" s="720"/>
      <c r="LTD24" s="720"/>
      <c r="LTE24" s="720"/>
      <c r="LTF24" s="720"/>
      <c r="LTG24" s="720"/>
      <c r="LTH24" s="720"/>
      <c r="LTI24" s="720"/>
      <c r="LTJ24" s="720"/>
      <c r="LTK24" s="720"/>
      <c r="LTL24" s="720"/>
      <c r="LTM24" s="720"/>
      <c r="LTN24" s="720"/>
      <c r="LTO24" s="720"/>
      <c r="LTP24" s="720"/>
      <c r="LTQ24" s="720"/>
      <c r="LTR24" s="720"/>
      <c r="LTS24" s="720"/>
      <c r="LTT24" s="720"/>
      <c r="LTU24" s="720"/>
      <c r="LTV24" s="720"/>
      <c r="LTW24" s="720"/>
      <c r="LTX24" s="720"/>
      <c r="LTY24" s="720"/>
      <c r="LTZ24" s="720"/>
      <c r="LUA24" s="720"/>
      <c r="LUB24" s="720"/>
      <c r="LUC24" s="720"/>
      <c r="LUD24" s="720"/>
      <c r="LUE24" s="720"/>
      <c r="LUF24" s="720"/>
      <c r="LUG24" s="720"/>
      <c r="LUH24" s="720"/>
      <c r="LUI24" s="720"/>
      <c r="LUJ24" s="720"/>
      <c r="LUK24" s="720"/>
      <c r="LUL24" s="720"/>
      <c r="LUM24" s="720"/>
      <c r="LUN24" s="720"/>
      <c r="LUO24" s="720"/>
      <c r="LUP24" s="720"/>
      <c r="LUQ24" s="720"/>
      <c r="LUR24" s="720"/>
      <c r="LUS24" s="720"/>
      <c r="LUT24" s="720"/>
      <c r="LUU24" s="720"/>
      <c r="LUV24" s="720"/>
      <c r="LUW24" s="720"/>
      <c r="LUX24" s="720"/>
      <c r="LUY24" s="720"/>
      <c r="LUZ24" s="720"/>
      <c r="LVA24" s="720"/>
      <c r="LVB24" s="720"/>
      <c r="LVC24" s="720"/>
      <c r="LVD24" s="720"/>
      <c r="LVE24" s="720"/>
      <c r="LVF24" s="720"/>
      <c r="LVG24" s="720"/>
      <c r="LVH24" s="720"/>
      <c r="LVI24" s="720"/>
      <c r="LVJ24" s="720"/>
      <c r="LVK24" s="720"/>
      <c r="LVL24" s="720"/>
      <c r="LVM24" s="720"/>
      <c r="LVN24" s="720"/>
      <c r="LVO24" s="720"/>
      <c r="LVP24" s="720"/>
      <c r="LVQ24" s="720"/>
      <c r="LVR24" s="720"/>
      <c r="LVS24" s="720"/>
      <c r="LVT24" s="720"/>
      <c r="LVU24" s="720"/>
      <c r="LVV24" s="720"/>
      <c r="LVW24" s="720"/>
      <c r="LVX24" s="720"/>
      <c r="LVY24" s="720"/>
      <c r="LVZ24" s="720"/>
      <c r="LWA24" s="720"/>
      <c r="LWB24" s="720"/>
      <c r="LWC24" s="720"/>
      <c r="LWD24" s="720"/>
      <c r="LWE24" s="720"/>
      <c r="LWF24" s="720"/>
      <c r="LWG24" s="720"/>
      <c r="LWH24" s="720"/>
      <c r="LWI24" s="720"/>
      <c r="LWJ24" s="720"/>
      <c r="LWK24" s="720"/>
      <c r="LWL24" s="720"/>
      <c r="LWM24" s="720"/>
      <c r="LWN24" s="720"/>
      <c r="LWO24" s="720"/>
      <c r="LWP24" s="720"/>
      <c r="LWQ24" s="720"/>
      <c r="LWR24" s="720"/>
      <c r="LWS24" s="720"/>
      <c r="LWT24" s="720"/>
      <c r="LWU24" s="720"/>
      <c r="LWV24" s="720"/>
      <c r="LWW24" s="720"/>
      <c r="LWX24" s="720"/>
      <c r="LWY24" s="720"/>
      <c r="LWZ24" s="720"/>
      <c r="LXA24" s="720"/>
      <c r="LXB24" s="720"/>
      <c r="LXC24" s="720"/>
      <c r="LXD24" s="720"/>
      <c r="LXE24" s="720"/>
      <c r="LXF24" s="720"/>
      <c r="LXG24" s="720"/>
      <c r="LXH24" s="720"/>
      <c r="LXI24" s="720"/>
      <c r="LXJ24" s="720"/>
      <c r="LXK24" s="720"/>
      <c r="LXL24" s="720"/>
      <c r="LXM24" s="720"/>
      <c r="LXN24" s="720"/>
      <c r="LXO24" s="720"/>
      <c r="LXP24" s="720"/>
      <c r="LXQ24" s="720"/>
      <c r="LXR24" s="720"/>
      <c r="LXS24" s="720"/>
      <c r="LXT24" s="720"/>
      <c r="LXU24" s="720"/>
      <c r="LXV24" s="720"/>
      <c r="LXW24" s="720"/>
      <c r="LXX24" s="720"/>
      <c r="LXY24" s="720"/>
      <c r="LXZ24" s="720"/>
      <c r="LYA24" s="720"/>
      <c r="LYB24" s="720"/>
      <c r="LYC24" s="720"/>
      <c r="LYD24" s="720"/>
      <c r="LYE24" s="720"/>
      <c r="LYF24" s="720"/>
      <c r="LYG24" s="720"/>
      <c r="LYH24" s="720"/>
      <c r="LYI24" s="720"/>
      <c r="LYJ24" s="720"/>
      <c r="LYK24" s="720"/>
      <c r="LYL24" s="720"/>
      <c r="LYM24" s="720"/>
      <c r="LYN24" s="720"/>
      <c r="LYO24" s="720"/>
      <c r="LYP24" s="720"/>
      <c r="LYQ24" s="720"/>
      <c r="LYR24" s="720"/>
      <c r="LYS24" s="720"/>
      <c r="LYT24" s="720"/>
      <c r="LYU24" s="720"/>
      <c r="LYV24" s="720"/>
      <c r="LYW24" s="720"/>
      <c r="LYX24" s="720"/>
      <c r="LYY24" s="720"/>
      <c r="LYZ24" s="720"/>
      <c r="LZA24" s="720"/>
      <c r="LZB24" s="720"/>
      <c r="LZC24" s="720"/>
      <c r="LZD24" s="720"/>
      <c r="LZE24" s="720"/>
      <c r="LZF24" s="720"/>
      <c r="LZG24" s="720"/>
      <c r="LZH24" s="720"/>
      <c r="LZI24" s="720"/>
      <c r="LZJ24" s="720"/>
      <c r="LZK24" s="720"/>
      <c r="LZL24" s="720"/>
      <c r="LZM24" s="720"/>
      <c r="LZN24" s="720"/>
      <c r="LZO24" s="720"/>
      <c r="LZP24" s="720"/>
      <c r="LZQ24" s="720"/>
      <c r="LZR24" s="720"/>
      <c r="LZS24" s="720"/>
      <c r="LZT24" s="720"/>
      <c r="LZU24" s="720"/>
      <c r="LZV24" s="720"/>
      <c r="LZW24" s="720"/>
      <c r="LZX24" s="720"/>
      <c r="LZY24" s="720"/>
      <c r="LZZ24" s="720"/>
      <c r="MAA24" s="720"/>
      <c r="MAB24" s="720"/>
      <c r="MAC24" s="720"/>
      <c r="MAD24" s="720"/>
      <c r="MAE24" s="720"/>
      <c r="MAF24" s="720"/>
      <c r="MAG24" s="720"/>
      <c r="MAH24" s="720"/>
      <c r="MAI24" s="720"/>
      <c r="MAJ24" s="720"/>
      <c r="MAK24" s="720"/>
      <c r="MAL24" s="720"/>
      <c r="MAM24" s="720"/>
      <c r="MAN24" s="720"/>
      <c r="MAO24" s="720"/>
      <c r="MAP24" s="720"/>
      <c r="MAQ24" s="720"/>
      <c r="MAR24" s="720"/>
      <c r="MAS24" s="720"/>
      <c r="MAT24" s="720"/>
      <c r="MAU24" s="720"/>
      <c r="MAV24" s="720"/>
      <c r="MAW24" s="720"/>
      <c r="MAX24" s="720"/>
      <c r="MAY24" s="720"/>
      <c r="MAZ24" s="720"/>
      <c r="MBA24" s="720"/>
      <c r="MBB24" s="720"/>
      <c r="MBC24" s="720"/>
      <c r="MBD24" s="720"/>
      <c r="MBE24" s="720"/>
      <c r="MBF24" s="720"/>
      <c r="MBG24" s="720"/>
      <c r="MBH24" s="720"/>
      <c r="MBI24" s="720"/>
      <c r="MBJ24" s="720"/>
      <c r="MBK24" s="720"/>
      <c r="MBL24" s="720"/>
      <c r="MBM24" s="720"/>
      <c r="MBN24" s="720"/>
      <c r="MBO24" s="720"/>
      <c r="MBP24" s="720"/>
      <c r="MBQ24" s="720"/>
      <c r="MBR24" s="720"/>
      <c r="MBS24" s="720"/>
      <c r="MBT24" s="720"/>
      <c r="MBU24" s="720"/>
      <c r="MBV24" s="720"/>
      <c r="MBW24" s="720"/>
      <c r="MBX24" s="720"/>
      <c r="MBY24" s="720"/>
      <c r="MBZ24" s="720"/>
      <c r="MCA24" s="720"/>
      <c r="MCB24" s="720"/>
      <c r="MCC24" s="720"/>
      <c r="MCD24" s="720"/>
      <c r="MCE24" s="720"/>
      <c r="MCF24" s="720"/>
      <c r="MCG24" s="720"/>
      <c r="MCH24" s="720"/>
      <c r="MCI24" s="720"/>
      <c r="MCJ24" s="720"/>
      <c r="MCK24" s="720"/>
      <c r="MCL24" s="720"/>
      <c r="MCM24" s="720"/>
      <c r="MCN24" s="720"/>
      <c r="MCO24" s="720"/>
      <c r="MCP24" s="720"/>
      <c r="MCQ24" s="720"/>
      <c r="MCR24" s="720"/>
      <c r="MCS24" s="720"/>
      <c r="MCT24" s="720"/>
      <c r="MCU24" s="720"/>
      <c r="MCV24" s="720"/>
      <c r="MCW24" s="720"/>
      <c r="MCX24" s="720"/>
      <c r="MCY24" s="720"/>
      <c r="MCZ24" s="720"/>
      <c r="MDA24" s="720"/>
      <c r="MDB24" s="720"/>
      <c r="MDC24" s="720"/>
      <c r="MDD24" s="720"/>
      <c r="MDE24" s="720"/>
      <c r="MDF24" s="720"/>
      <c r="MDG24" s="720"/>
      <c r="MDH24" s="720"/>
      <c r="MDI24" s="720"/>
      <c r="MDJ24" s="720"/>
      <c r="MDK24" s="720"/>
      <c r="MDL24" s="720"/>
      <c r="MDM24" s="720"/>
      <c r="MDN24" s="720"/>
      <c r="MDO24" s="720"/>
      <c r="MDP24" s="720"/>
      <c r="MDQ24" s="720"/>
      <c r="MDR24" s="720"/>
      <c r="MDS24" s="720"/>
      <c r="MDT24" s="720"/>
      <c r="MDU24" s="720"/>
      <c r="MDV24" s="720"/>
      <c r="MDW24" s="720"/>
      <c r="MDX24" s="720"/>
      <c r="MDY24" s="720"/>
      <c r="MDZ24" s="720"/>
      <c r="MEA24" s="720"/>
      <c r="MEB24" s="720"/>
      <c r="MEC24" s="720"/>
      <c r="MED24" s="720"/>
      <c r="MEE24" s="720"/>
      <c r="MEF24" s="720"/>
      <c r="MEG24" s="720"/>
      <c r="MEH24" s="720"/>
      <c r="MEI24" s="720"/>
      <c r="MEJ24" s="720"/>
      <c r="MEK24" s="720"/>
      <c r="MEL24" s="720"/>
      <c r="MEM24" s="720"/>
      <c r="MEN24" s="720"/>
      <c r="MEO24" s="720"/>
      <c r="MEP24" s="720"/>
      <c r="MEQ24" s="720"/>
      <c r="MER24" s="720"/>
      <c r="MES24" s="720"/>
      <c r="MET24" s="720"/>
      <c r="MEU24" s="720"/>
      <c r="MEV24" s="720"/>
      <c r="MEW24" s="720"/>
      <c r="MEX24" s="720"/>
      <c r="MEY24" s="720"/>
      <c r="MEZ24" s="720"/>
      <c r="MFA24" s="720"/>
      <c r="MFB24" s="720"/>
      <c r="MFC24" s="720"/>
      <c r="MFD24" s="720"/>
      <c r="MFE24" s="720"/>
      <c r="MFF24" s="720"/>
      <c r="MFG24" s="720"/>
      <c r="MFH24" s="720"/>
      <c r="MFI24" s="720"/>
      <c r="MFJ24" s="720"/>
      <c r="MFK24" s="720"/>
      <c r="MFL24" s="720"/>
      <c r="MFM24" s="720"/>
      <c r="MFN24" s="720"/>
      <c r="MFO24" s="720"/>
      <c r="MFP24" s="720"/>
      <c r="MFQ24" s="720"/>
      <c r="MFR24" s="720"/>
      <c r="MFS24" s="720"/>
      <c r="MFT24" s="720"/>
      <c r="MFU24" s="720"/>
      <c r="MFV24" s="720"/>
      <c r="MFW24" s="720"/>
      <c r="MFX24" s="720"/>
      <c r="MFY24" s="720"/>
      <c r="MFZ24" s="720"/>
      <c r="MGA24" s="720"/>
      <c r="MGB24" s="720"/>
      <c r="MGC24" s="720"/>
      <c r="MGD24" s="720"/>
      <c r="MGE24" s="720"/>
      <c r="MGF24" s="720"/>
      <c r="MGG24" s="720"/>
      <c r="MGH24" s="720"/>
      <c r="MGI24" s="720"/>
      <c r="MGJ24" s="720"/>
      <c r="MGK24" s="720"/>
      <c r="MGL24" s="720"/>
      <c r="MGM24" s="720"/>
      <c r="MGN24" s="720"/>
      <c r="MGO24" s="720"/>
      <c r="MGP24" s="720"/>
      <c r="MGQ24" s="720"/>
      <c r="MGR24" s="720"/>
      <c r="MGS24" s="720"/>
      <c r="MGT24" s="720"/>
      <c r="MGU24" s="720"/>
      <c r="MGV24" s="720"/>
      <c r="MGW24" s="720"/>
      <c r="MGX24" s="720"/>
      <c r="MGY24" s="720"/>
      <c r="MGZ24" s="720"/>
      <c r="MHA24" s="720"/>
      <c r="MHB24" s="720"/>
      <c r="MHC24" s="720"/>
      <c r="MHD24" s="720"/>
      <c r="MHE24" s="720"/>
      <c r="MHF24" s="720"/>
      <c r="MHG24" s="720"/>
      <c r="MHH24" s="720"/>
      <c r="MHI24" s="720"/>
      <c r="MHJ24" s="720"/>
      <c r="MHK24" s="720"/>
      <c r="MHL24" s="720"/>
      <c r="MHM24" s="720"/>
      <c r="MHN24" s="720"/>
      <c r="MHO24" s="720"/>
      <c r="MHP24" s="720"/>
      <c r="MHQ24" s="720"/>
      <c r="MHR24" s="720"/>
      <c r="MHS24" s="720"/>
      <c r="MHT24" s="720"/>
      <c r="MHU24" s="720"/>
      <c r="MHV24" s="720"/>
      <c r="MHW24" s="720"/>
      <c r="MHX24" s="720"/>
      <c r="MHY24" s="720"/>
      <c r="MHZ24" s="720"/>
      <c r="MIA24" s="720"/>
      <c r="MIB24" s="720"/>
      <c r="MIC24" s="720"/>
      <c r="MID24" s="720"/>
      <c r="MIE24" s="720"/>
      <c r="MIF24" s="720"/>
      <c r="MIG24" s="720"/>
      <c r="MIH24" s="720"/>
      <c r="MII24" s="720"/>
      <c r="MIJ24" s="720"/>
      <c r="MIK24" s="720"/>
      <c r="MIL24" s="720"/>
      <c r="MIM24" s="720"/>
      <c r="MIN24" s="720"/>
      <c r="MIO24" s="720"/>
      <c r="MIP24" s="720"/>
      <c r="MIQ24" s="720"/>
      <c r="MIR24" s="720"/>
      <c r="MIS24" s="720"/>
      <c r="MIT24" s="720"/>
      <c r="MIU24" s="720"/>
      <c r="MIV24" s="720"/>
      <c r="MIW24" s="720"/>
      <c r="MIX24" s="720"/>
      <c r="MIY24" s="720"/>
      <c r="MIZ24" s="720"/>
      <c r="MJA24" s="720"/>
      <c r="MJB24" s="720"/>
      <c r="MJC24" s="720"/>
      <c r="MJD24" s="720"/>
      <c r="MJE24" s="720"/>
      <c r="MJF24" s="720"/>
      <c r="MJG24" s="720"/>
      <c r="MJH24" s="720"/>
      <c r="MJI24" s="720"/>
      <c r="MJJ24" s="720"/>
      <c r="MJK24" s="720"/>
      <c r="MJL24" s="720"/>
      <c r="MJM24" s="720"/>
      <c r="MJN24" s="720"/>
      <c r="MJO24" s="720"/>
      <c r="MJP24" s="720"/>
      <c r="MJQ24" s="720"/>
      <c r="MJR24" s="720"/>
      <c r="MJS24" s="720"/>
      <c r="MJT24" s="720"/>
      <c r="MJU24" s="720"/>
      <c r="MJV24" s="720"/>
      <c r="MJW24" s="720"/>
      <c r="MJX24" s="720"/>
      <c r="MJY24" s="720"/>
      <c r="MJZ24" s="720"/>
      <c r="MKA24" s="720"/>
      <c r="MKB24" s="720"/>
      <c r="MKC24" s="720"/>
      <c r="MKD24" s="720"/>
      <c r="MKE24" s="720"/>
      <c r="MKF24" s="720"/>
      <c r="MKG24" s="720"/>
      <c r="MKH24" s="720"/>
      <c r="MKI24" s="720"/>
      <c r="MKJ24" s="720"/>
      <c r="MKK24" s="720"/>
      <c r="MKL24" s="720"/>
      <c r="MKM24" s="720"/>
      <c r="MKN24" s="720"/>
      <c r="MKO24" s="720"/>
      <c r="MKP24" s="720"/>
      <c r="MKQ24" s="720"/>
      <c r="MKR24" s="720"/>
      <c r="MKS24" s="720"/>
      <c r="MKT24" s="720"/>
      <c r="MKU24" s="720"/>
      <c r="MKV24" s="720"/>
      <c r="MKW24" s="720"/>
      <c r="MKX24" s="720"/>
      <c r="MKY24" s="720"/>
      <c r="MKZ24" s="720"/>
      <c r="MLA24" s="720"/>
      <c r="MLB24" s="720"/>
      <c r="MLC24" s="720"/>
      <c r="MLD24" s="720"/>
      <c r="MLE24" s="720"/>
      <c r="MLF24" s="720"/>
      <c r="MLG24" s="720"/>
      <c r="MLH24" s="720"/>
      <c r="MLI24" s="720"/>
      <c r="MLJ24" s="720"/>
      <c r="MLK24" s="720"/>
      <c r="MLL24" s="720"/>
      <c r="MLM24" s="720"/>
      <c r="MLN24" s="720"/>
      <c r="MLO24" s="720"/>
      <c r="MLP24" s="720"/>
      <c r="MLQ24" s="720"/>
      <c r="MLR24" s="720"/>
      <c r="MLS24" s="720"/>
      <c r="MLT24" s="720"/>
      <c r="MLU24" s="720"/>
      <c r="MLV24" s="720"/>
      <c r="MLW24" s="720"/>
      <c r="MLX24" s="720"/>
      <c r="MLY24" s="720"/>
      <c r="MLZ24" s="720"/>
      <c r="MMA24" s="720"/>
      <c r="MMB24" s="720"/>
      <c r="MMC24" s="720"/>
      <c r="MMD24" s="720"/>
      <c r="MME24" s="720"/>
      <c r="MMF24" s="720"/>
      <c r="MMG24" s="720"/>
      <c r="MMH24" s="720"/>
      <c r="MMI24" s="720"/>
      <c r="MMJ24" s="720"/>
      <c r="MMK24" s="720"/>
      <c r="MML24" s="720"/>
      <c r="MMM24" s="720"/>
      <c r="MMN24" s="720"/>
      <c r="MMO24" s="720"/>
      <c r="MMP24" s="720"/>
      <c r="MMQ24" s="720"/>
      <c r="MMR24" s="720"/>
      <c r="MMS24" s="720"/>
      <c r="MMT24" s="720"/>
      <c r="MMU24" s="720"/>
      <c r="MMV24" s="720"/>
      <c r="MMW24" s="720"/>
      <c r="MMX24" s="720"/>
      <c r="MMY24" s="720"/>
      <c r="MMZ24" s="720"/>
      <c r="MNA24" s="720"/>
      <c r="MNB24" s="720"/>
      <c r="MNC24" s="720"/>
      <c r="MND24" s="720"/>
      <c r="MNE24" s="720"/>
      <c r="MNF24" s="720"/>
      <c r="MNG24" s="720"/>
      <c r="MNH24" s="720"/>
      <c r="MNI24" s="720"/>
      <c r="MNJ24" s="720"/>
      <c r="MNK24" s="720"/>
      <c r="MNL24" s="720"/>
      <c r="MNM24" s="720"/>
      <c r="MNN24" s="720"/>
      <c r="MNO24" s="720"/>
      <c r="MNP24" s="720"/>
      <c r="MNQ24" s="720"/>
      <c r="MNR24" s="720"/>
      <c r="MNS24" s="720"/>
      <c r="MNT24" s="720"/>
      <c r="MNU24" s="720"/>
      <c r="MNV24" s="720"/>
      <c r="MNW24" s="720"/>
      <c r="MNX24" s="720"/>
      <c r="MNY24" s="720"/>
      <c r="MNZ24" s="720"/>
      <c r="MOA24" s="720"/>
      <c r="MOB24" s="720"/>
      <c r="MOC24" s="720"/>
      <c r="MOD24" s="720"/>
      <c r="MOE24" s="720"/>
      <c r="MOF24" s="720"/>
      <c r="MOG24" s="720"/>
      <c r="MOH24" s="720"/>
      <c r="MOI24" s="720"/>
      <c r="MOJ24" s="720"/>
      <c r="MOK24" s="720"/>
      <c r="MOL24" s="720"/>
      <c r="MOM24" s="720"/>
      <c r="MON24" s="720"/>
      <c r="MOO24" s="720"/>
      <c r="MOP24" s="720"/>
      <c r="MOQ24" s="720"/>
      <c r="MOR24" s="720"/>
      <c r="MOS24" s="720"/>
      <c r="MOT24" s="720"/>
      <c r="MOU24" s="720"/>
      <c r="MOV24" s="720"/>
      <c r="MOW24" s="720"/>
      <c r="MOX24" s="720"/>
      <c r="MOY24" s="720"/>
      <c r="MOZ24" s="720"/>
      <c r="MPA24" s="720"/>
      <c r="MPB24" s="720"/>
      <c r="MPC24" s="720"/>
      <c r="MPD24" s="720"/>
      <c r="MPE24" s="720"/>
      <c r="MPF24" s="720"/>
      <c r="MPG24" s="720"/>
      <c r="MPH24" s="720"/>
      <c r="MPI24" s="720"/>
      <c r="MPJ24" s="720"/>
      <c r="MPK24" s="720"/>
      <c r="MPL24" s="720"/>
      <c r="MPM24" s="720"/>
      <c r="MPN24" s="720"/>
      <c r="MPO24" s="720"/>
      <c r="MPP24" s="720"/>
      <c r="MPQ24" s="720"/>
      <c r="MPR24" s="720"/>
      <c r="MPS24" s="720"/>
      <c r="MPT24" s="720"/>
      <c r="MPU24" s="720"/>
      <c r="MPV24" s="720"/>
      <c r="MPW24" s="720"/>
      <c r="MPX24" s="720"/>
      <c r="MPY24" s="720"/>
      <c r="MPZ24" s="720"/>
      <c r="MQA24" s="720"/>
      <c r="MQB24" s="720"/>
      <c r="MQC24" s="720"/>
      <c r="MQD24" s="720"/>
      <c r="MQE24" s="720"/>
      <c r="MQF24" s="720"/>
      <c r="MQG24" s="720"/>
      <c r="MQH24" s="720"/>
      <c r="MQI24" s="720"/>
      <c r="MQJ24" s="720"/>
      <c r="MQK24" s="720"/>
      <c r="MQL24" s="720"/>
      <c r="MQM24" s="720"/>
      <c r="MQN24" s="720"/>
      <c r="MQO24" s="720"/>
      <c r="MQP24" s="720"/>
      <c r="MQQ24" s="720"/>
      <c r="MQR24" s="720"/>
      <c r="MQS24" s="720"/>
      <c r="MQT24" s="720"/>
      <c r="MQU24" s="720"/>
      <c r="MQV24" s="720"/>
      <c r="MQW24" s="720"/>
      <c r="MQX24" s="720"/>
      <c r="MQY24" s="720"/>
      <c r="MQZ24" s="720"/>
      <c r="MRA24" s="720"/>
      <c r="MRB24" s="720"/>
      <c r="MRC24" s="720"/>
      <c r="MRD24" s="720"/>
      <c r="MRE24" s="720"/>
      <c r="MRF24" s="720"/>
      <c r="MRG24" s="720"/>
      <c r="MRH24" s="720"/>
      <c r="MRI24" s="720"/>
      <c r="MRJ24" s="720"/>
      <c r="MRK24" s="720"/>
      <c r="MRL24" s="720"/>
      <c r="MRM24" s="720"/>
      <c r="MRN24" s="720"/>
      <c r="MRO24" s="720"/>
      <c r="MRP24" s="720"/>
      <c r="MRQ24" s="720"/>
      <c r="MRR24" s="720"/>
      <c r="MRS24" s="720"/>
      <c r="MRT24" s="720"/>
      <c r="MRU24" s="720"/>
      <c r="MRV24" s="720"/>
      <c r="MRW24" s="720"/>
      <c r="MRX24" s="720"/>
      <c r="MRY24" s="720"/>
      <c r="MRZ24" s="720"/>
      <c r="MSA24" s="720"/>
      <c r="MSB24" s="720"/>
      <c r="MSC24" s="720"/>
      <c r="MSD24" s="720"/>
      <c r="MSE24" s="720"/>
      <c r="MSF24" s="720"/>
      <c r="MSG24" s="720"/>
      <c r="MSH24" s="720"/>
      <c r="MSI24" s="720"/>
      <c r="MSJ24" s="720"/>
      <c r="MSK24" s="720"/>
      <c r="MSL24" s="720"/>
      <c r="MSM24" s="720"/>
      <c r="MSN24" s="720"/>
      <c r="MSO24" s="720"/>
      <c r="MSP24" s="720"/>
      <c r="MSQ24" s="720"/>
      <c r="MSR24" s="720"/>
      <c r="MSS24" s="720"/>
      <c r="MST24" s="720"/>
      <c r="MSU24" s="720"/>
      <c r="MSV24" s="720"/>
      <c r="MSW24" s="720"/>
      <c r="MSX24" s="720"/>
      <c r="MSY24" s="720"/>
      <c r="MSZ24" s="720"/>
      <c r="MTA24" s="720"/>
      <c r="MTB24" s="720"/>
      <c r="MTC24" s="720"/>
      <c r="MTD24" s="720"/>
      <c r="MTE24" s="720"/>
      <c r="MTF24" s="720"/>
      <c r="MTG24" s="720"/>
      <c r="MTH24" s="720"/>
      <c r="MTI24" s="720"/>
      <c r="MTJ24" s="720"/>
      <c r="MTK24" s="720"/>
      <c r="MTL24" s="720"/>
      <c r="MTM24" s="720"/>
      <c r="MTN24" s="720"/>
      <c r="MTO24" s="720"/>
      <c r="MTP24" s="720"/>
      <c r="MTQ24" s="720"/>
      <c r="MTR24" s="720"/>
      <c r="MTS24" s="720"/>
      <c r="MTT24" s="720"/>
      <c r="MTU24" s="720"/>
      <c r="MTV24" s="720"/>
      <c r="MTW24" s="720"/>
      <c r="MTX24" s="720"/>
      <c r="MTY24" s="720"/>
      <c r="MTZ24" s="720"/>
      <c r="MUA24" s="720"/>
      <c r="MUB24" s="720"/>
      <c r="MUC24" s="720"/>
      <c r="MUD24" s="720"/>
      <c r="MUE24" s="720"/>
      <c r="MUF24" s="720"/>
      <c r="MUG24" s="720"/>
      <c r="MUH24" s="720"/>
      <c r="MUI24" s="720"/>
      <c r="MUJ24" s="720"/>
      <c r="MUK24" s="720"/>
      <c r="MUL24" s="720"/>
      <c r="MUM24" s="720"/>
      <c r="MUN24" s="720"/>
      <c r="MUO24" s="720"/>
      <c r="MUP24" s="720"/>
      <c r="MUQ24" s="720"/>
      <c r="MUR24" s="720"/>
      <c r="MUS24" s="720"/>
      <c r="MUT24" s="720"/>
      <c r="MUU24" s="720"/>
      <c r="MUV24" s="720"/>
      <c r="MUW24" s="720"/>
      <c r="MUX24" s="720"/>
      <c r="MUY24" s="720"/>
      <c r="MUZ24" s="720"/>
      <c r="MVA24" s="720"/>
      <c r="MVB24" s="720"/>
      <c r="MVC24" s="720"/>
      <c r="MVD24" s="720"/>
      <c r="MVE24" s="720"/>
      <c r="MVF24" s="720"/>
      <c r="MVG24" s="720"/>
      <c r="MVH24" s="720"/>
      <c r="MVI24" s="720"/>
      <c r="MVJ24" s="720"/>
      <c r="MVK24" s="720"/>
      <c r="MVL24" s="720"/>
      <c r="MVM24" s="720"/>
      <c r="MVN24" s="720"/>
      <c r="MVO24" s="720"/>
      <c r="MVP24" s="720"/>
      <c r="MVQ24" s="720"/>
      <c r="MVR24" s="720"/>
      <c r="MVS24" s="720"/>
      <c r="MVT24" s="720"/>
      <c r="MVU24" s="720"/>
      <c r="MVV24" s="720"/>
      <c r="MVW24" s="720"/>
      <c r="MVX24" s="720"/>
      <c r="MVY24" s="720"/>
      <c r="MVZ24" s="720"/>
      <c r="MWA24" s="720"/>
      <c r="MWB24" s="720"/>
      <c r="MWC24" s="720"/>
      <c r="MWD24" s="720"/>
      <c r="MWE24" s="720"/>
      <c r="MWF24" s="720"/>
      <c r="MWG24" s="720"/>
      <c r="MWH24" s="720"/>
      <c r="MWI24" s="720"/>
      <c r="MWJ24" s="720"/>
      <c r="MWK24" s="720"/>
      <c r="MWL24" s="720"/>
      <c r="MWM24" s="720"/>
      <c r="MWN24" s="720"/>
      <c r="MWO24" s="720"/>
      <c r="MWP24" s="720"/>
      <c r="MWQ24" s="720"/>
      <c r="MWR24" s="720"/>
      <c r="MWS24" s="720"/>
      <c r="MWT24" s="720"/>
      <c r="MWU24" s="720"/>
      <c r="MWV24" s="720"/>
      <c r="MWW24" s="720"/>
      <c r="MWX24" s="720"/>
      <c r="MWY24" s="720"/>
      <c r="MWZ24" s="720"/>
      <c r="MXA24" s="720"/>
      <c r="MXB24" s="720"/>
      <c r="MXC24" s="720"/>
      <c r="MXD24" s="720"/>
      <c r="MXE24" s="720"/>
      <c r="MXF24" s="720"/>
      <c r="MXG24" s="720"/>
      <c r="MXH24" s="720"/>
      <c r="MXI24" s="720"/>
      <c r="MXJ24" s="720"/>
      <c r="MXK24" s="720"/>
      <c r="MXL24" s="720"/>
      <c r="MXM24" s="720"/>
      <c r="MXN24" s="720"/>
      <c r="MXO24" s="720"/>
      <c r="MXP24" s="720"/>
      <c r="MXQ24" s="720"/>
      <c r="MXR24" s="720"/>
      <c r="MXS24" s="720"/>
      <c r="MXT24" s="720"/>
      <c r="MXU24" s="720"/>
      <c r="MXV24" s="720"/>
      <c r="MXW24" s="720"/>
      <c r="MXX24" s="720"/>
      <c r="MXY24" s="720"/>
      <c r="MXZ24" s="720"/>
      <c r="MYA24" s="720"/>
      <c r="MYB24" s="720"/>
      <c r="MYC24" s="720"/>
      <c r="MYD24" s="720"/>
      <c r="MYE24" s="720"/>
      <c r="MYF24" s="720"/>
      <c r="MYG24" s="720"/>
      <c r="MYH24" s="720"/>
      <c r="MYI24" s="720"/>
      <c r="MYJ24" s="720"/>
      <c r="MYK24" s="720"/>
      <c r="MYL24" s="720"/>
      <c r="MYM24" s="720"/>
      <c r="MYN24" s="720"/>
      <c r="MYO24" s="720"/>
      <c r="MYP24" s="720"/>
      <c r="MYQ24" s="720"/>
      <c r="MYR24" s="720"/>
      <c r="MYS24" s="720"/>
      <c r="MYT24" s="720"/>
      <c r="MYU24" s="720"/>
      <c r="MYV24" s="720"/>
      <c r="MYW24" s="720"/>
      <c r="MYX24" s="720"/>
      <c r="MYY24" s="720"/>
      <c r="MYZ24" s="720"/>
      <c r="MZA24" s="720"/>
      <c r="MZB24" s="720"/>
      <c r="MZC24" s="720"/>
      <c r="MZD24" s="720"/>
      <c r="MZE24" s="720"/>
      <c r="MZF24" s="720"/>
      <c r="MZG24" s="720"/>
      <c r="MZH24" s="720"/>
      <c r="MZI24" s="720"/>
      <c r="MZJ24" s="720"/>
      <c r="MZK24" s="720"/>
      <c r="MZL24" s="720"/>
      <c r="MZM24" s="720"/>
      <c r="MZN24" s="720"/>
      <c r="MZO24" s="720"/>
      <c r="MZP24" s="720"/>
      <c r="MZQ24" s="720"/>
      <c r="MZR24" s="720"/>
      <c r="MZS24" s="720"/>
      <c r="MZT24" s="720"/>
      <c r="MZU24" s="720"/>
      <c r="MZV24" s="720"/>
      <c r="MZW24" s="720"/>
      <c r="MZX24" s="720"/>
      <c r="MZY24" s="720"/>
      <c r="MZZ24" s="720"/>
      <c r="NAA24" s="720"/>
      <c r="NAB24" s="720"/>
      <c r="NAC24" s="720"/>
      <c r="NAD24" s="720"/>
      <c r="NAE24" s="720"/>
      <c r="NAF24" s="720"/>
      <c r="NAG24" s="720"/>
      <c r="NAH24" s="720"/>
      <c r="NAI24" s="720"/>
      <c r="NAJ24" s="720"/>
      <c r="NAK24" s="720"/>
      <c r="NAL24" s="720"/>
      <c r="NAM24" s="720"/>
      <c r="NAN24" s="720"/>
      <c r="NAO24" s="720"/>
      <c r="NAP24" s="720"/>
      <c r="NAQ24" s="720"/>
      <c r="NAR24" s="720"/>
      <c r="NAS24" s="720"/>
      <c r="NAT24" s="720"/>
      <c r="NAU24" s="720"/>
      <c r="NAV24" s="720"/>
      <c r="NAW24" s="720"/>
      <c r="NAX24" s="720"/>
      <c r="NAY24" s="720"/>
      <c r="NAZ24" s="720"/>
      <c r="NBA24" s="720"/>
      <c r="NBB24" s="720"/>
      <c r="NBC24" s="720"/>
      <c r="NBD24" s="720"/>
      <c r="NBE24" s="720"/>
      <c r="NBF24" s="720"/>
      <c r="NBG24" s="720"/>
      <c r="NBH24" s="720"/>
      <c r="NBI24" s="720"/>
      <c r="NBJ24" s="720"/>
      <c r="NBK24" s="720"/>
      <c r="NBL24" s="720"/>
      <c r="NBM24" s="720"/>
      <c r="NBN24" s="720"/>
      <c r="NBO24" s="720"/>
      <c r="NBP24" s="720"/>
      <c r="NBQ24" s="720"/>
      <c r="NBR24" s="720"/>
      <c r="NBS24" s="720"/>
      <c r="NBT24" s="720"/>
      <c r="NBU24" s="720"/>
      <c r="NBV24" s="720"/>
      <c r="NBW24" s="720"/>
      <c r="NBX24" s="720"/>
      <c r="NBY24" s="720"/>
      <c r="NBZ24" s="720"/>
      <c r="NCA24" s="720"/>
      <c r="NCB24" s="720"/>
      <c r="NCC24" s="720"/>
      <c r="NCD24" s="720"/>
      <c r="NCE24" s="720"/>
      <c r="NCF24" s="720"/>
      <c r="NCG24" s="720"/>
      <c r="NCH24" s="720"/>
      <c r="NCI24" s="720"/>
      <c r="NCJ24" s="720"/>
      <c r="NCK24" s="720"/>
      <c r="NCL24" s="720"/>
      <c r="NCM24" s="720"/>
      <c r="NCN24" s="720"/>
      <c r="NCO24" s="720"/>
      <c r="NCP24" s="720"/>
      <c r="NCQ24" s="720"/>
      <c r="NCR24" s="720"/>
      <c r="NCS24" s="720"/>
      <c r="NCT24" s="720"/>
      <c r="NCU24" s="720"/>
      <c r="NCV24" s="720"/>
      <c r="NCW24" s="720"/>
      <c r="NCX24" s="720"/>
      <c r="NCY24" s="720"/>
      <c r="NCZ24" s="720"/>
      <c r="NDA24" s="720"/>
      <c r="NDB24" s="720"/>
      <c r="NDC24" s="720"/>
      <c r="NDD24" s="720"/>
      <c r="NDE24" s="720"/>
      <c r="NDF24" s="720"/>
      <c r="NDG24" s="720"/>
      <c r="NDH24" s="720"/>
      <c r="NDI24" s="720"/>
      <c r="NDJ24" s="720"/>
      <c r="NDK24" s="720"/>
      <c r="NDL24" s="720"/>
      <c r="NDM24" s="720"/>
      <c r="NDN24" s="720"/>
      <c r="NDO24" s="720"/>
      <c r="NDP24" s="720"/>
      <c r="NDQ24" s="720"/>
      <c r="NDR24" s="720"/>
      <c r="NDS24" s="720"/>
      <c r="NDT24" s="720"/>
      <c r="NDU24" s="720"/>
      <c r="NDV24" s="720"/>
      <c r="NDW24" s="720"/>
      <c r="NDX24" s="720"/>
      <c r="NDY24" s="720"/>
      <c r="NDZ24" s="720"/>
      <c r="NEA24" s="720"/>
      <c r="NEB24" s="720"/>
      <c r="NEC24" s="720"/>
      <c r="NED24" s="720"/>
      <c r="NEE24" s="720"/>
      <c r="NEF24" s="720"/>
      <c r="NEG24" s="720"/>
      <c r="NEH24" s="720"/>
      <c r="NEI24" s="720"/>
      <c r="NEJ24" s="720"/>
      <c r="NEK24" s="720"/>
      <c r="NEL24" s="720"/>
      <c r="NEM24" s="720"/>
      <c r="NEN24" s="720"/>
      <c r="NEO24" s="720"/>
      <c r="NEP24" s="720"/>
      <c r="NEQ24" s="720"/>
      <c r="NER24" s="720"/>
      <c r="NES24" s="720"/>
      <c r="NET24" s="720"/>
      <c r="NEU24" s="720"/>
      <c r="NEV24" s="720"/>
      <c r="NEW24" s="720"/>
      <c r="NEX24" s="720"/>
      <c r="NEY24" s="720"/>
      <c r="NEZ24" s="720"/>
      <c r="NFA24" s="720"/>
      <c r="NFB24" s="720"/>
      <c r="NFC24" s="720"/>
      <c r="NFD24" s="720"/>
      <c r="NFE24" s="720"/>
      <c r="NFF24" s="720"/>
      <c r="NFG24" s="720"/>
      <c r="NFH24" s="720"/>
      <c r="NFI24" s="720"/>
      <c r="NFJ24" s="720"/>
      <c r="NFK24" s="720"/>
      <c r="NFL24" s="720"/>
      <c r="NFM24" s="720"/>
      <c r="NFN24" s="720"/>
      <c r="NFO24" s="720"/>
      <c r="NFP24" s="720"/>
      <c r="NFQ24" s="720"/>
      <c r="NFR24" s="720"/>
      <c r="NFS24" s="720"/>
      <c r="NFT24" s="720"/>
      <c r="NFU24" s="720"/>
      <c r="NFV24" s="720"/>
      <c r="NFW24" s="720"/>
      <c r="NFX24" s="720"/>
      <c r="NFY24" s="720"/>
      <c r="NFZ24" s="720"/>
      <c r="NGA24" s="720"/>
      <c r="NGB24" s="720"/>
      <c r="NGC24" s="720"/>
      <c r="NGD24" s="720"/>
      <c r="NGE24" s="720"/>
      <c r="NGF24" s="720"/>
      <c r="NGG24" s="720"/>
      <c r="NGH24" s="720"/>
      <c r="NGI24" s="720"/>
      <c r="NGJ24" s="720"/>
      <c r="NGK24" s="720"/>
      <c r="NGL24" s="720"/>
      <c r="NGM24" s="720"/>
      <c r="NGN24" s="720"/>
      <c r="NGO24" s="720"/>
      <c r="NGP24" s="720"/>
      <c r="NGQ24" s="720"/>
      <c r="NGR24" s="720"/>
      <c r="NGS24" s="720"/>
      <c r="NGT24" s="720"/>
      <c r="NGU24" s="720"/>
      <c r="NGV24" s="720"/>
      <c r="NGW24" s="720"/>
      <c r="NGX24" s="720"/>
      <c r="NGY24" s="720"/>
      <c r="NGZ24" s="720"/>
      <c r="NHA24" s="720"/>
      <c r="NHB24" s="720"/>
      <c r="NHC24" s="720"/>
      <c r="NHD24" s="720"/>
      <c r="NHE24" s="720"/>
      <c r="NHF24" s="720"/>
      <c r="NHG24" s="720"/>
      <c r="NHH24" s="720"/>
      <c r="NHI24" s="720"/>
      <c r="NHJ24" s="720"/>
      <c r="NHK24" s="720"/>
      <c r="NHL24" s="720"/>
      <c r="NHM24" s="720"/>
      <c r="NHN24" s="720"/>
      <c r="NHO24" s="720"/>
      <c r="NHP24" s="720"/>
      <c r="NHQ24" s="720"/>
      <c r="NHR24" s="720"/>
      <c r="NHS24" s="720"/>
      <c r="NHT24" s="720"/>
      <c r="NHU24" s="720"/>
      <c r="NHV24" s="720"/>
      <c r="NHW24" s="720"/>
      <c r="NHX24" s="720"/>
      <c r="NHY24" s="720"/>
      <c r="NHZ24" s="720"/>
      <c r="NIA24" s="720"/>
      <c r="NIB24" s="720"/>
      <c r="NIC24" s="720"/>
      <c r="NID24" s="720"/>
      <c r="NIE24" s="720"/>
      <c r="NIF24" s="720"/>
      <c r="NIG24" s="720"/>
      <c r="NIH24" s="720"/>
      <c r="NII24" s="720"/>
      <c r="NIJ24" s="720"/>
      <c r="NIK24" s="720"/>
      <c r="NIL24" s="720"/>
      <c r="NIM24" s="720"/>
      <c r="NIN24" s="720"/>
      <c r="NIO24" s="720"/>
      <c r="NIP24" s="720"/>
      <c r="NIQ24" s="720"/>
      <c r="NIR24" s="720"/>
      <c r="NIS24" s="720"/>
      <c r="NIT24" s="720"/>
      <c r="NIU24" s="720"/>
      <c r="NIV24" s="720"/>
      <c r="NIW24" s="720"/>
      <c r="NIX24" s="720"/>
      <c r="NIY24" s="720"/>
      <c r="NIZ24" s="720"/>
      <c r="NJA24" s="720"/>
      <c r="NJB24" s="720"/>
      <c r="NJC24" s="720"/>
      <c r="NJD24" s="720"/>
      <c r="NJE24" s="720"/>
      <c r="NJF24" s="720"/>
      <c r="NJG24" s="720"/>
      <c r="NJH24" s="720"/>
      <c r="NJI24" s="720"/>
      <c r="NJJ24" s="720"/>
      <c r="NJK24" s="720"/>
      <c r="NJL24" s="720"/>
      <c r="NJM24" s="720"/>
      <c r="NJN24" s="720"/>
      <c r="NJO24" s="720"/>
      <c r="NJP24" s="720"/>
      <c r="NJQ24" s="720"/>
      <c r="NJR24" s="720"/>
      <c r="NJS24" s="720"/>
      <c r="NJT24" s="720"/>
      <c r="NJU24" s="720"/>
      <c r="NJV24" s="720"/>
      <c r="NJW24" s="720"/>
      <c r="NJX24" s="720"/>
      <c r="NJY24" s="720"/>
      <c r="NJZ24" s="720"/>
      <c r="NKA24" s="720"/>
      <c r="NKB24" s="720"/>
      <c r="NKC24" s="720"/>
      <c r="NKD24" s="720"/>
      <c r="NKE24" s="720"/>
      <c r="NKF24" s="720"/>
      <c r="NKG24" s="720"/>
      <c r="NKH24" s="720"/>
      <c r="NKI24" s="720"/>
      <c r="NKJ24" s="720"/>
      <c r="NKK24" s="720"/>
      <c r="NKL24" s="720"/>
      <c r="NKM24" s="720"/>
      <c r="NKN24" s="720"/>
      <c r="NKO24" s="720"/>
      <c r="NKP24" s="720"/>
      <c r="NKQ24" s="720"/>
      <c r="NKR24" s="720"/>
      <c r="NKS24" s="720"/>
      <c r="NKT24" s="720"/>
      <c r="NKU24" s="720"/>
      <c r="NKV24" s="720"/>
      <c r="NKW24" s="720"/>
      <c r="NKX24" s="720"/>
      <c r="NKY24" s="720"/>
      <c r="NKZ24" s="720"/>
      <c r="NLA24" s="720"/>
      <c r="NLB24" s="720"/>
      <c r="NLC24" s="720"/>
      <c r="NLD24" s="720"/>
      <c r="NLE24" s="720"/>
      <c r="NLF24" s="720"/>
      <c r="NLG24" s="720"/>
      <c r="NLH24" s="720"/>
      <c r="NLI24" s="720"/>
      <c r="NLJ24" s="720"/>
      <c r="NLK24" s="720"/>
      <c r="NLL24" s="720"/>
      <c r="NLM24" s="720"/>
      <c r="NLN24" s="720"/>
      <c r="NLO24" s="720"/>
      <c r="NLP24" s="720"/>
      <c r="NLQ24" s="720"/>
      <c r="NLR24" s="720"/>
      <c r="NLS24" s="720"/>
      <c r="NLT24" s="720"/>
      <c r="NLU24" s="720"/>
      <c r="NLV24" s="720"/>
      <c r="NLW24" s="720"/>
      <c r="NLX24" s="720"/>
      <c r="NLY24" s="720"/>
      <c r="NLZ24" s="720"/>
      <c r="NMA24" s="720"/>
      <c r="NMB24" s="720"/>
      <c r="NMC24" s="720"/>
      <c r="NMD24" s="720"/>
      <c r="NME24" s="720"/>
      <c r="NMF24" s="720"/>
      <c r="NMG24" s="720"/>
      <c r="NMH24" s="720"/>
      <c r="NMI24" s="720"/>
      <c r="NMJ24" s="720"/>
      <c r="NMK24" s="720"/>
      <c r="NML24" s="720"/>
      <c r="NMM24" s="720"/>
      <c r="NMN24" s="720"/>
      <c r="NMO24" s="720"/>
      <c r="NMP24" s="720"/>
      <c r="NMQ24" s="720"/>
      <c r="NMR24" s="720"/>
      <c r="NMS24" s="720"/>
      <c r="NMT24" s="720"/>
      <c r="NMU24" s="720"/>
      <c r="NMV24" s="720"/>
      <c r="NMW24" s="720"/>
      <c r="NMX24" s="720"/>
      <c r="NMY24" s="720"/>
      <c r="NMZ24" s="720"/>
      <c r="NNA24" s="720"/>
      <c r="NNB24" s="720"/>
      <c r="NNC24" s="720"/>
      <c r="NND24" s="720"/>
      <c r="NNE24" s="720"/>
      <c r="NNF24" s="720"/>
      <c r="NNG24" s="720"/>
      <c r="NNH24" s="720"/>
      <c r="NNI24" s="720"/>
      <c r="NNJ24" s="720"/>
      <c r="NNK24" s="720"/>
      <c r="NNL24" s="720"/>
      <c r="NNM24" s="720"/>
      <c r="NNN24" s="720"/>
      <c r="NNO24" s="720"/>
      <c r="NNP24" s="720"/>
      <c r="NNQ24" s="720"/>
      <c r="NNR24" s="720"/>
      <c r="NNS24" s="720"/>
      <c r="NNT24" s="720"/>
      <c r="NNU24" s="720"/>
      <c r="NNV24" s="720"/>
      <c r="NNW24" s="720"/>
      <c r="NNX24" s="720"/>
      <c r="NNY24" s="720"/>
      <c r="NNZ24" s="720"/>
      <c r="NOA24" s="720"/>
      <c r="NOB24" s="720"/>
      <c r="NOC24" s="720"/>
      <c r="NOD24" s="720"/>
      <c r="NOE24" s="720"/>
      <c r="NOF24" s="720"/>
      <c r="NOG24" s="720"/>
      <c r="NOH24" s="720"/>
      <c r="NOI24" s="720"/>
      <c r="NOJ24" s="720"/>
      <c r="NOK24" s="720"/>
      <c r="NOL24" s="720"/>
      <c r="NOM24" s="720"/>
      <c r="NON24" s="720"/>
      <c r="NOO24" s="720"/>
      <c r="NOP24" s="720"/>
      <c r="NOQ24" s="720"/>
      <c r="NOR24" s="720"/>
      <c r="NOS24" s="720"/>
      <c r="NOT24" s="720"/>
      <c r="NOU24" s="720"/>
      <c r="NOV24" s="720"/>
      <c r="NOW24" s="720"/>
      <c r="NOX24" s="720"/>
      <c r="NOY24" s="720"/>
      <c r="NOZ24" s="720"/>
      <c r="NPA24" s="720"/>
      <c r="NPB24" s="720"/>
      <c r="NPC24" s="720"/>
      <c r="NPD24" s="720"/>
      <c r="NPE24" s="720"/>
      <c r="NPF24" s="720"/>
      <c r="NPG24" s="720"/>
      <c r="NPH24" s="720"/>
      <c r="NPI24" s="720"/>
      <c r="NPJ24" s="720"/>
      <c r="NPK24" s="720"/>
      <c r="NPL24" s="720"/>
      <c r="NPM24" s="720"/>
      <c r="NPN24" s="720"/>
      <c r="NPO24" s="720"/>
      <c r="NPP24" s="720"/>
      <c r="NPQ24" s="720"/>
      <c r="NPR24" s="720"/>
      <c r="NPS24" s="720"/>
      <c r="NPT24" s="720"/>
      <c r="NPU24" s="720"/>
      <c r="NPV24" s="720"/>
      <c r="NPW24" s="720"/>
      <c r="NPX24" s="720"/>
      <c r="NPY24" s="720"/>
      <c r="NPZ24" s="720"/>
      <c r="NQA24" s="720"/>
      <c r="NQB24" s="720"/>
      <c r="NQC24" s="720"/>
      <c r="NQD24" s="720"/>
      <c r="NQE24" s="720"/>
      <c r="NQF24" s="720"/>
      <c r="NQG24" s="720"/>
      <c r="NQH24" s="720"/>
      <c r="NQI24" s="720"/>
      <c r="NQJ24" s="720"/>
      <c r="NQK24" s="720"/>
      <c r="NQL24" s="720"/>
      <c r="NQM24" s="720"/>
      <c r="NQN24" s="720"/>
      <c r="NQO24" s="720"/>
      <c r="NQP24" s="720"/>
      <c r="NQQ24" s="720"/>
      <c r="NQR24" s="720"/>
      <c r="NQS24" s="720"/>
      <c r="NQT24" s="720"/>
      <c r="NQU24" s="720"/>
      <c r="NQV24" s="720"/>
      <c r="NQW24" s="720"/>
      <c r="NQX24" s="720"/>
      <c r="NQY24" s="720"/>
      <c r="NQZ24" s="720"/>
      <c r="NRA24" s="720"/>
      <c r="NRB24" s="720"/>
      <c r="NRC24" s="720"/>
      <c r="NRD24" s="720"/>
      <c r="NRE24" s="720"/>
      <c r="NRF24" s="720"/>
      <c r="NRG24" s="720"/>
      <c r="NRH24" s="720"/>
      <c r="NRI24" s="720"/>
      <c r="NRJ24" s="720"/>
      <c r="NRK24" s="720"/>
      <c r="NRL24" s="720"/>
      <c r="NRM24" s="720"/>
      <c r="NRN24" s="720"/>
      <c r="NRO24" s="720"/>
      <c r="NRP24" s="720"/>
      <c r="NRQ24" s="720"/>
      <c r="NRR24" s="720"/>
      <c r="NRS24" s="720"/>
      <c r="NRT24" s="720"/>
      <c r="NRU24" s="720"/>
      <c r="NRV24" s="720"/>
      <c r="NRW24" s="720"/>
      <c r="NRX24" s="720"/>
      <c r="NRY24" s="720"/>
      <c r="NRZ24" s="720"/>
      <c r="NSA24" s="720"/>
      <c r="NSB24" s="720"/>
      <c r="NSC24" s="720"/>
      <c r="NSD24" s="720"/>
      <c r="NSE24" s="720"/>
      <c r="NSF24" s="720"/>
      <c r="NSG24" s="720"/>
      <c r="NSH24" s="720"/>
      <c r="NSI24" s="720"/>
      <c r="NSJ24" s="720"/>
      <c r="NSK24" s="720"/>
      <c r="NSL24" s="720"/>
      <c r="NSM24" s="720"/>
      <c r="NSN24" s="720"/>
      <c r="NSO24" s="720"/>
      <c r="NSP24" s="720"/>
      <c r="NSQ24" s="720"/>
      <c r="NSR24" s="720"/>
      <c r="NSS24" s="720"/>
      <c r="NST24" s="720"/>
      <c r="NSU24" s="720"/>
      <c r="NSV24" s="720"/>
      <c r="NSW24" s="720"/>
      <c r="NSX24" s="720"/>
      <c r="NSY24" s="720"/>
      <c r="NSZ24" s="720"/>
      <c r="NTA24" s="720"/>
      <c r="NTB24" s="720"/>
      <c r="NTC24" s="720"/>
      <c r="NTD24" s="720"/>
      <c r="NTE24" s="720"/>
      <c r="NTF24" s="720"/>
      <c r="NTG24" s="720"/>
      <c r="NTH24" s="720"/>
      <c r="NTI24" s="720"/>
      <c r="NTJ24" s="720"/>
      <c r="NTK24" s="720"/>
      <c r="NTL24" s="720"/>
      <c r="NTM24" s="720"/>
      <c r="NTN24" s="720"/>
      <c r="NTO24" s="720"/>
      <c r="NTP24" s="720"/>
      <c r="NTQ24" s="720"/>
      <c r="NTR24" s="720"/>
      <c r="NTS24" s="720"/>
      <c r="NTT24" s="720"/>
      <c r="NTU24" s="720"/>
      <c r="NTV24" s="720"/>
      <c r="NTW24" s="720"/>
      <c r="NTX24" s="720"/>
      <c r="NTY24" s="720"/>
      <c r="NTZ24" s="720"/>
      <c r="NUA24" s="720"/>
      <c r="NUB24" s="720"/>
      <c r="NUC24" s="720"/>
      <c r="NUD24" s="720"/>
      <c r="NUE24" s="720"/>
      <c r="NUF24" s="720"/>
      <c r="NUG24" s="720"/>
      <c r="NUH24" s="720"/>
      <c r="NUI24" s="720"/>
      <c r="NUJ24" s="720"/>
      <c r="NUK24" s="720"/>
      <c r="NUL24" s="720"/>
      <c r="NUM24" s="720"/>
      <c r="NUN24" s="720"/>
      <c r="NUO24" s="720"/>
      <c r="NUP24" s="720"/>
      <c r="NUQ24" s="720"/>
      <c r="NUR24" s="720"/>
      <c r="NUS24" s="720"/>
      <c r="NUT24" s="720"/>
      <c r="NUU24" s="720"/>
      <c r="NUV24" s="720"/>
      <c r="NUW24" s="720"/>
      <c r="NUX24" s="720"/>
      <c r="NUY24" s="720"/>
      <c r="NUZ24" s="720"/>
      <c r="NVA24" s="720"/>
      <c r="NVB24" s="720"/>
      <c r="NVC24" s="720"/>
      <c r="NVD24" s="720"/>
      <c r="NVE24" s="720"/>
      <c r="NVF24" s="720"/>
      <c r="NVG24" s="720"/>
      <c r="NVH24" s="720"/>
      <c r="NVI24" s="720"/>
      <c r="NVJ24" s="720"/>
      <c r="NVK24" s="720"/>
      <c r="NVL24" s="720"/>
      <c r="NVM24" s="720"/>
      <c r="NVN24" s="720"/>
      <c r="NVO24" s="720"/>
      <c r="NVP24" s="720"/>
      <c r="NVQ24" s="720"/>
      <c r="NVR24" s="720"/>
      <c r="NVS24" s="720"/>
      <c r="NVT24" s="720"/>
      <c r="NVU24" s="720"/>
      <c r="NVV24" s="720"/>
      <c r="NVW24" s="720"/>
      <c r="NVX24" s="720"/>
      <c r="NVY24" s="720"/>
      <c r="NVZ24" s="720"/>
      <c r="NWA24" s="720"/>
      <c r="NWB24" s="720"/>
      <c r="NWC24" s="720"/>
      <c r="NWD24" s="720"/>
      <c r="NWE24" s="720"/>
      <c r="NWF24" s="720"/>
      <c r="NWG24" s="720"/>
      <c r="NWH24" s="720"/>
      <c r="NWI24" s="720"/>
      <c r="NWJ24" s="720"/>
      <c r="NWK24" s="720"/>
      <c r="NWL24" s="720"/>
      <c r="NWM24" s="720"/>
      <c r="NWN24" s="720"/>
      <c r="NWO24" s="720"/>
      <c r="NWP24" s="720"/>
      <c r="NWQ24" s="720"/>
      <c r="NWR24" s="720"/>
      <c r="NWS24" s="720"/>
      <c r="NWT24" s="720"/>
      <c r="NWU24" s="720"/>
      <c r="NWV24" s="720"/>
      <c r="NWW24" s="720"/>
      <c r="NWX24" s="720"/>
      <c r="NWY24" s="720"/>
      <c r="NWZ24" s="720"/>
      <c r="NXA24" s="720"/>
      <c r="NXB24" s="720"/>
      <c r="NXC24" s="720"/>
      <c r="NXD24" s="720"/>
      <c r="NXE24" s="720"/>
      <c r="NXF24" s="720"/>
      <c r="NXG24" s="720"/>
      <c r="NXH24" s="720"/>
      <c r="NXI24" s="720"/>
      <c r="NXJ24" s="720"/>
      <c r="NXK24" s="720"/>
      <c r="NXL24" s="720"/>
      <c r="NXM24" s="720"/>
      <c r="NXN24" s="720"/>
      <c r="NXO24" s="720"/>
      <c r="NXP24" s="720"/>
      <c r="NXQ24" s="720"/>
      <c r="NXR24" s="720"/>
      <c r="NXS24" s="720"/>
      <c r="NXT24" s="720"/>
      <c r="NXU24" s="720"/>
      <c r="NXV24" s="720"/>
      <c r="NXW24" s="720"/>
      <c r="NXX24" s="720"/>
      <c r="NXY24" s="720"/>
      <c r="NXZ24" s="720"/>
      <c r="NYA24" s="720"/>
      <c r="NYB24" s="720"/>
      <c r="NYC24" s="720"/>
      <c r="NYD24" s="720"/>
      <c r="NYE24" s="720"/>
      <c r="NYF24" s="720"/>
      <c r="NYG24" s="720"/>
      <c r="NYH24" s="720"/>
      <c r="NYI24" s="720"/>
      <c r="NYJ24" s="720"/>
      <c r="NYK24" s="720"/>
      <c r="NYL24" s="720"/>
      <c r="NYM24" s="720"/>
      <c r="NYN24" s="720"/>
      <c r="NYO24" s="720"/>
      <c r="NYP24" s="720"/>
      <c r="NYQ24" s="720"/>
      <c r="NYR24" s="720"/>
      <c r="NYS24" s="720"/>
      <c r="NYT24" s="720"/>
      <c r="NYU24" s="720"/>
      <c r="NYV24" s="720"/>
      <c r="NYW24" s="720"/>
      <c r="NYX24" s="720"/>
      <c r="NYY24" s="720"/>
      <c r="NYZ24" s="720"/>
      <c r="NZA24" s="720"/>
      <c r="NZB24" s="720"/>
      <c r="NZC24" s="720"/>
      <c r="NZD24" s="720"/>
      <c r="NZE24" s="720"/>
      <c r="NZF24" s="720"/>
      <c r="NZG24" s="720"/>
      <c r="NZH24" s="720"/>
      <c r="NZI24" s="720"/>
      <c r="NZJ24" s="720"/>
      <c r="NZK24" s="720"/>
      <c r="NZL24" s="720"/>
      <c r="NZM24" s="720"/>
      <c r="NZN24" s="720"/>
      <c r="NZO24" s="720"/>
      <c r="NZP24" s="720"/>
      <c r="NZQ24" s="720"/>
      <c r="NZR24" s="720"/>
      <c r="NZS24" s="720"/>
      <c r="NZT24" s="720"/>
      <c r="NZU24" s="720"/>
      <c r="NZV24" s="720"/>
      <c r="NZW24" s="720"/>
      <c r="NZX24" s="720"/>
      <c r="NZY24" s="720"/>
      <c r="NZZ24" s="720"/>
      <c r="OAA24" s="720"/>
      <c r="OAB24" s="720"/>
      <c r="OAC24" s="720"/>
      <c r="OAD24" s="720"/>
      <c r="OAE24" s="720"/>
      <c r="OAF24" s="720"/>
      <c r="OAG24" s="720"/>
      <c r="OAH24" s="720"/>
      <c r="OAI24" s="720"/>
      <c r="OAJ24" s="720"/>
      <c r="OAK24" s="720"/>
      <c r="OAL24" s="720"/>
      <c r="OAM24" s="720"/>
      <c r="OAN24" s="720"/>
      <c r="OAO24" s="720"/>
      <c r="OAP24" s="720"/>
      <c r="OAQ24" s="720"/>
      <c r="OAR24" s="720"/>
      <c r="OAS24" s="720"/>
      <c r="OAT24" s="720"/>
      <c r="OAU24" s="720"/>
      <c r="OAV24" s="720"/>
      <c r="OAW24" s="720"/>
      <c r="OAX24" s="720"/>
      <c r="OAY24" s="720"/>
      <c r="OAZ24" s="720"/>
      <c r="OBA24" s="720"/>
      <c r="OBB24" s="720"/>
      <c r="OBC24" s="720"/>
      <c r="OBD24" s="720"/>
      <c r="OBE24" s="720"/>
      <c r="OBF24" s="720"/>
      <c r="OBG24" s="720"/>
      <c r="OBH24" s="720"/>
      <c r="OBI24" s="720"/>
      <c r="OBJ24" s="720"/>
      <c r="OBK24" s="720"/>
      <c r="OBL24" s="720"/>
      <c r="OBM24" s="720"/>
      <c r="OBN24" s="720"/>
      <c r="OBO24" s="720"/>
      <c r="OBP24" s="720"/>
      <c r="OBQ24" s="720"/>
      <c r="OBR24" s="720"/>
      <c r="OBS24" s="720"/>
      <c r="OBT24" s="720"/>
      <c r="OBU24" s="720"/>
      <c r="OBV24" s="720"/>
      <c r="OBW24" s="720"/>
      <c r="OBX24" s="720"/>
      <c r="OBY24" s="720"/>
      <c r="OBZ24" s="720"/>
      <c r="OCA24" s="720"/>
      <c r="OCB24" s="720"/>
      <c r="OCC24" s="720"/>
      <c r="OCD24" s="720"/>
      <c r="OCE24" s="720"/>
      <c r="OCF24" s="720"/>
      <c r="OCG24" s="720"/>
      <c r="OCH24" s="720"/>
      <c r="OCI24" s="720"/>
      <c r="OCJ24" s="720"/>
      <c r="OCK24" s="720"/>
      <c r="OCL24" s="720"/>
      <c r="OCM24" s="720"/>
      <c r="OCN24" s="720"/>
      <c r="OCO24" s="720"/>
      <c r="OCP24" s="720"/>
      <c r="OCQ24" s="720"/>
      <c r="OCR24" s="720"/>
      <c r="OCS24" s="720"/>
      <c r="OCT24" s="720"/>
      <c r="OCU24" s="720"/>
      <c r="OCV24" s="720"/>
      <c r="OCW24" s="720"/>
      <c r="OCX24" s="720"/>
      <c r="OCY24" s="720"/>
      <c r="OCZ24" s="720"/>
      <c r="ODA24" s="720"/>
      <c r="ODB24" s="720"/>
      <c r="ODC24" s="720"/>
      <c r="ODD24" s="720"/>
      <c r="ODE24" s="720"/>
      <c r="ODF24" s="720"/>
      <c r="ODG24" s="720"/>
      <c r="ODH24" s="720"/>
      <c r="ODI24" s="720"/>
      <c r="ODJ24" s="720"/>
      <c r="ODK24" s="720"/>
      <c r="ODL24" s="720"/>
      <c r="ODM24" s="720"/>
      <c r="ODN24" s="720"/>
      <c r="ODO24" s="720"/>
      <c r="ODP24" s="720"/>
      <c r="ODQ24" s="720"/>
      <c r="ODR24" s="720"/>
      <c r="ODS24" s="720"/>
      <c r="ODT24" s="720"/>
      <c r="ODU24" s="720"/>
      <c r="ODV24" s="720"/>
      <c r="ODW24" s="720"/>
      <c r="ODX24" s="720"/>
      <c r="ODY24" s="720"/>
      <c r="ODZ24" s="720"/>
      <c r="OEA24" s="720"/>
      <c r="OEB24" s="720"/>
      <c r="OEC24" s="720"/>
      <c r="OED24" s="720"/>
      <c r="OEE24" s="720"/>
      <c r="OEF24" s="720"/>
      <c r="OEG24" s="720"/>
      <c r="OEH24" s="720"/>
      <c r="OEI24" s="720"/>
      <c r="OEJ24" s="720"/>
      <c r="OEK24" s="720"/>
      <c r="OEL24" s="720"/>
      <c r="OEM24" s="720"/>
      <c r="OEN24" s="720"/>
      <c r="OEO24" s="720"/>
      <c r="OEP24" s="720"/>
      <c r="OEQ24" s="720"/>
      <c r="OER24" s="720"/>
      <c r="OES24" s="720"/>
      <c r="OET24" s="720"/>
      <c r="OEU24" s="720"/>
      <c r="OEV24" s="720"/>
      <c r="OEW24" s="720"/>
      <c r="OEX24" s="720"/>
      <c r="OEY24" s="720"/>
      <c r="OEZ24" s="720"/>
      <c r="OFA24" s="720"/>
      <c r="OFB24" s="720"/>
      <c r="OFC24" s="720"/>
      <c r="OFD24" s="720"/>
      <c r="OFE24" s="720"/>
      <c r="OFF24" s="720"/>
      <c r="OFG24" s="720"/>
      <c r="OFH24" s="720"/>
      <c r="OFI24" s="720"/>
      <c r="OFJ24" s="720"/>
      <c r="OFK24" s="720"/>
      <c r="OFL24" s="720"/>
      <c r="OFM24" s="720"/>
      <c r="OFN24" s="720"/>
      <c r="OFO24" s="720"/>
      <c r="OFP24" s="720"/>
      <c r="OFQ24" s="720"/>
      <c r="OFR24" s="720"/>
      <c r="OFS24" s="720"/>
      <c r="OFT24" s="720"/>
      <c r="OFU24" s="720"/>
      <c r="OFV24" s="720"/>
      <c r="OFW24" s="720"/>
      <c r="OFX24" s="720"/>
      <c r="OFY24" s="720"/>
      <c r="OFZ24" s="720"/>
      <c r="OGA24" s="720"/>
      <c r="OGB24" s="720"/>
      <c r="OGC24" s="720"/>
      <c r="OGD24" s="720"/>
      <c r="OGE24" s="720"/>
      <c r="OGF24" s="720"/>
      <c r="OGG24" s="720"/>
      <c r="OGH24" s="720"/>
      <c r="OGI24" s="720"/>
      <c r="OGJ24" s="720"/>
      <c r="OGK24" s="720"/>
      <c r="OGL24" s="720"/>
      <c r="OGM24" s="720"/>
      <c r="OGN24" s="720"/>
      <c r="OGO24" s="720"/>
      <c r="OGP24" s="720"/>
      <c r="OGQ24" s="720"/>
      <c r="OGR24" s="720"/>
      <c r="OGS24" s="720"/>
      <c r="OGT24" s="720"/>
      <c r="OGU24" s="720"/>
      <c r="OGV24" s="720"/>
      <c r="OGW24" s="720"/>
      <c r="OGX24" s="720"/>
      <c r="OGY24" s="720"/>
      <c r="OGZ24" s="720"/>
      <c r="OHA24" s="720"/>
      <c r="OHB24" s="720"/>
      <c r="OHC24" s="720"/>
      <c r="OHD24" s="720"/>
      <c r="OHE24" s="720"/>
      <c r="OHF24" s="720"/>
      <c r="OHG24" s="720"/>
      <c r="OHH24" s="720"/>
      <c r="OHI24" s="720"/>
      <c r="OHJ24" s="720"/>
      <c r="OHK24" s="720"/>
      <c r="OHL24" s="720"/>
      <c r="OHM24" s="720"/>
      <c r="OHN24" s="720"/>
      <c r="OHO24" s="720"/>
      <c r="OHP24" s="720"/>
      <c r="OHQ24" s="720"/>
      <c r="OHR24" s="720"/>
      <c r="OHS24" s="720"/>
      <c r="OHT24" s="720"/>
      <c r="OHU24" s="720"/>
      <c r="OHV24" s="720"/>
      <c r="OHW24" s="720"/>
      <c r="OHX24" s="720"/>
      <c r="OHY24" s="720"/>
      <c r="OHZ24" s="720"/>
      <c r="OIA24" s="720"/>
      <c r="OIB24" s="720"/>
      <c r="OIC24" s="720"/>
      <c r="OID24" s="720"/>
      <c r="OIE24" s="720"/>
      <c r="OIF24" s="720"/>
      <c r="OIG24" s="720"/>
      <c r="OIH24" s="720"/>
      <c r="OII24" s="720"/>
      <c r="OIJ24" s="720"/>
      <c r="OIK24" s="720"/>
      <c r="OIL24" s="720"/>
      <c r="OIM24" s="720"/>
      <c r="OIN24" s="720"/>
      <c r="OIO24" s="720"/>
      <c r="OIP24" s="720"/>
      <c r="OIQ24" s="720"/>
      <c r="OIR24" s="720"/>
      <c r="OIS24" s="720"/>
      <c r="OIT24" s="720"/>
      <c r="OIU24" s="720"/>
      <c r="OIV24" s="720"/>
      <c r="OIW24" s="720"/>
      <c r="OIX24" s="720"/>
      <c r="OIY24" s="720"/>
      <c r="OIZ24" s="720"/>
      <c r="OJA24" s="720"/>
      <c r="OJB24" s="720"/>
      <c r="OJC24" s="720"/>
      <c r="OJD24" s="720"/>
      <c r="OJE24" s="720"/>
      <c r="OJF24" s="720"/>
      <c r="OJG24" s="720"/>
      <c r="OJH24" s="720"/>
      <c r="OJI24" s="720"/>
      <c r="OJJ24" s="720"/>
      <c r="OJK24" s="720"/>
      <c r="OJL24" s="720"/>
      <c r="OJM24" s="720"/>
      <c r="OJN24" s="720"/>
      <c r="OJO24" s="720"/>
      <c r="OJP24" s="720"/>
      <c r="OJQ24" s="720"/>
      <c r="OJR24" s="720"/>
      <c r="OJS24" s="720"/>
      <c r="OJT24" s="720"/>
      <c r="OJU24" s="720"/>
      <c r="OJV24" s="720"/>
      <c r="OJW24" s="720"/>
      <c r="OJX24" s="720"/>
      <c r="OJY24" s="720"/>
      <c r="OJZ24" s="720"/>
      <c r="OKA24" s="720"/>
      <c r="OKB24" s="720"/>
      <c r="OKC24" s="720"/>
      <c r="OKD24" s="720"/>
      <c r="OKE24" s="720"/>
      <c r="OKF24" s="720"/>
      <c r="OKG24" s="720"/>
      <c r="OKH24" s="720"/>
      <c r="OKI24" s="720"/>
      <c r="OKJ24" s="720"/>
      <c r="OKK24" s="720"/>
      <c r="OKL24" s="720"/>
      <c r="OKM24" s="720"/>
      <c r="OKN24" s="720"/>
      <c r="OKO24" s="720"/>
      <c r="OKP24" s="720"/>
      <c r="OKQ24" s="720"/>
      <c r="OKR24" s="720"/>
      <c r="OKS24" s="720"/>
      <c r="OKT24" s="720"/>
      <c r="OKU24" s="720"/>
      <c r="OKV24" s="720"/>
      <c r="OKW24" s="720"/>
      <c r="OKX24" s="720"/>
      <c r="OKY24" s="720"/>
      <c r="OKZ24" s="720"/>
      <c r="OLA24" s="720"/>
      <c r="OLB24" s="720"/>
      <c r="OLC24" s="720"/>
      <c r="OLD24" s="720"/>
      <c r="OLE24" s="720"/>
      <c r="OLF24" s="720"/>
      <c r="OLG24" s="720"/>
      <c r="OLH24" s="720"/>
      <c r="OLI24" s="720"/>
      <c r="OLJ24" s="720"/>
      <c r="OLK24" s="720"/>
      <c r="OLL24" s="720"/>
      <c r="OLM24" s="720"/>
      <c r="OLN24" s="720"/>
      <c r="OLO24" s="720"/>
      <c r="OLP24" s="720"/>
      <c r="OLQ24" s="720"/>
      <c r="OLR24" s="720"/>
      <c r="OLS24" s="720"/>
      <c r="OLT24" s="720"/>
      <c r="OLU24" s="720"/>
      <c r="OLV24" s="720"/>
      <c r="OLW24" s="720"/>
      <c r="OLX24" s="720"/>
      <c r="OLY24" s="720"/>
      <c r="OLZ24" s="720"/>
      <c r="OMA24" s="720"/>
      <c r="OMB24" s="720"/>
      <c r="OMC24" s="720"/>
      <c r="OMD24" s="720"/>
      <c r="OME24" s="720"/>
      <c r="OMF24" s="720"/>
      <c r="OMG24" s="720"/>
      <c r="OMH24" s="720"/>
      <c r="OMI24" s="720"/>
      <c r="OMJ24" s="720"/>
      <c r="OMK24" s="720"/>
      <c r="OML24" s="720"/>
      <c r="OMM24" s="720"/>
      <c r="OMN24" s="720"/>
      <c r="OMO24" s="720"/>
      <c r="OMP24" s="720"/>
      <c r="OMQ24" s="720"/>
      <c r="OMR24" s="720"/>
      <c r="OMS24" s="720"/>
      <c r="OMT24" s="720"/>
      <c r="OMU24" s="720"/>
      <c r="OMV24" s="720"/>
      <c r="OMW24" s="720"/>
      <c r="OMX24" s="720"/>
      <c r="OMY24" s="720"/>
      <c r="OMZ24" s="720"/>
      <c r="ONA24" s="720"/>
      <c r="ONB24" s="720"/>
      <c r="ONC24" s="720"/>
      <c r="OND24" s="720"/>
      <c r="ONE24" s="720"/>
      <c r="ONF24" s="720"/>
      <c r="ONG24" s="720"/>
      <c r="ONH24" s="720"/>
      <c r="ONI24" s="720"/>
      <c r="ONJ24" s="720"/>
      <c r="ONK24" s="720"/>
      <c r="ONL24" s="720"/>
      <c r="ONM24" s="720"/>
      <c r="ONN24" s="720"/>
      <c r="ONO24" s="720"/>
      <c r="ONP24" s="720"/>
      <c r="ONQ24" s="720"/>
      <c r="ONR24" s="720"/>
      <c r="ONS24" s="720"/>
      <c r="ONT24" s="720"/>
      <c r="ONU24" s="720"/>
      <c r="ONV24" s="720"/>
      <c r="ONW24" s="720"/>
      <c r="ONX24" s="720"/>
      <c r="ONY24" s="720"/>
      <c r="ONZ24" s="720"/>
      <c r="OOA24" s="720"/>
      <c r="OOB24" s="720"/>
      <c r="OOC24" s="720"/>
      <c r="OOD24" s="720"/>
      <c r="OOE24" s="720"/>
      <c r="OOF24" s="720"/>
      <c r="OOG24" s="720"/>
      <c r="OOH24" s="720"/>
      <c r="OOI24" s="720"/>
      <c r="OOJ24" s="720"/>
      <c r="OOK24" s="720"/>
      <c r="OOL24" s="720"/>
      <c r="OOM24" s="720"/>
      <c r="OON24" s="720"/>
      <c r="OOO24" s="720"/>
      <c r="OOP24" s="720"/>
      <c r="OOQ24" s="720"/>
      <c r="OOR24" s="720"/>
      <c r="OOS24" s="720"/>
      <c r="OOT24" s="720"/>
      <c r="OOU24" s="720"/>
      <c r="OOV24" s="720"/>
      <c r="OOW24" s="720"/>
      <c r="OOX24" s="720"/>
      <c r="OOY24" s="720"/>
      <c r="OOZ24" s="720"/>
      <c r="OPA24" s="720"/>
      <c r="OPB24" s="720"/>
      <c r="OPC24" s="720"/>
      <c r="OPD24" s="720"/>
      <c r="OPE24" s="720"/>
      <c r="OPF24" s="720"/>
      <c r="OPG24" s="720"/>
      <c r="OPH24" s="720"/>
      <c r="OPI24" s="720"/>
      <c r="OPJ24" s="720"/>
      <c r="OPK24" s="720"/>
      <c r="OPL24" s="720"/>
      <c r="OPM24" s="720"/>
      <c r="OPN24" s="720"/>
      <c r="OPO24" s="720"/>
      <c r="OPP24" s="720"/>
      <c r="OPQ24" s="720"/>
      <c r="OPR24" s="720"/>
      <c r="OPS24" s="720"/>
      <c r="OPT24" s="720"/>
      <c r="OPU24" s="720"/>
      <c r="OPV24" s="720"/>
      <c r="OPW24" s="720"/>
      <c r="OPX24" s="720"/>
      <c r="OPY24" s="720"/>
      <c r="OPZ24" s="720"/>
      <c r="OQA24" s="720"/>
      <c r="OQB24" s="720"/>
      <c r="OQC24" s="720"/>
      <c r="OQD24" s="720"/>
      <c r="OQE24" s="720"/>
      <c r="OQF24" s="720"/>
      <c r="OQG24" s="720"/>
      <c r="OQH24" s="720"/>
      <c r="OQI24" s="720"/>
      <c r="OQJ24" s="720"/>
      <c r="OQK24" s="720"/>
      <c r="OQL24" s="720"/>
      <c r="OQM24" s="720"/>
      <c r="OQN24" s="720"/>
      <c r="OQO24" s="720"/>
      <c r="OQP24" s="720"/>
      <c r="OQQ24" s="720"/>
      <c r="OQR24" s="720"/>
      <c r="OQS24" s="720"/>
      <c r="OQT24" s="720"/>
      <c r="OQU24" s="720"/>
      <c r="OQV24" s="720"/>
      <c r="OQW24" s="720"/>
      <c r="OQX24" s="720"/>
      <c r="OQY24" s="720"/>
      <c r="OQZ24" s="720"/>
      <c r="ORA24" s="720"/>
      <c r="ORB24" s="720"/>
      <c r="ORC24" s="720"/>
      <c r="ORD24" s="720"/>
      <c r="ORE24" s="720"/>
      <c r="ORF24" s="720"/>
      <c r="ORG24" s="720"/>
      <c r="ORH24" s="720"/>
      <c r="ORI24" s="720"/>
      <c r="ORJ24" s="720"/>
      <c r="ORK24" s="720"/>
      <c r="ORL24" s="720"/>
      <c r="ORM24" s="720"/>
      <c r="ORN24" s="720"/>
      <c r="ORO24" s="720"/>
      <c r="ORP24" s="720"/>
      <c r="ORQ24" s="720"/>
      <c r="ORR24" s="720"/>
      <c r="ORS24" s="720"/>
      <c r="ORT24" s="720"/>
      <c r="ORU24" s="720"/>
      <c r="ORV24" s="720"/>
      <c r="ORW24" s="720"/>
      <c r="ORX24" s="720"/>
      <c r="ORY24" s="720"/>
      <c r="ORZ24" s="720"/>
      <c r="OSA24" s="720"/>
      <c r="OSB24" s="720"/>
      <c r="OSC24" s="720"/>
      <c r="OSD24" s="720"/>
      <c r="OSE24" s="720"/>
      <c r="OSF24" s="720"/>
      <c r="OSG24" s="720"/>
      <c r="OSH24" s="720"/>
      <c r="OSI24" s="720"/>
      <c r="OSJ24" s="720"/>
      <c r="OSK24" s="720"/>
      <c r="OSL24" s="720"/>
      <c r="OSM24" s="720"/>
      <c r="OSN24" s="720"/>
      <c r="OSO24" s="720"/>
      <c r="OSP24" s="720"/>
      <c r="OSQ24" s="720"/>
      <c r="OSR24" s="720"/>
      <c r="OSS24" s="720"/>
      <c r="OST24" s="720"/>
      <c r="OSU24" s="720"/>
      <c r="OSV24" s="720"/>
      <c r="OSW24" s="720"/>
      <c r="OSX24" s="720"/>
      <c r="OSY24" s="720"/>
      <c r="OSZ24" s="720"/>
      <c r="OTA24" s="720"/>
      <c r="OTB24" s="720"/>
      <c r="OTC24" s="720"/>
      <c r="OTD24" s="720"/>
      <c r="OTE24" s="720"/>
      <c r="OTF24" s="720"/>
      <c r="OTG24" s="720"/>
      <c r="OTH24" s="720"/>
      <c r="OTI24" s="720"/>
      <c r="OTJ24" s="720"/>
      <c r="OTK24" s="720"/>
      <c r="OTL24" s="720"/>
      <c r="OTM24" s="720"/>
      <c r="OTN24" s="720"/>
      <c r="OTO24" s="720"/>
      <c r="OTP24" s="720"/>
      <c r="OTQ24" s="720"/>
      <c r="OTR24" s="720"/>
      <c r="OTS24" s="720"/>
      <c r="OTT24" s="720"/>
      <c r="OTU24" s="720"/>
      <c r="OTV24" s="720"/>
      <c r="OTW24" s="720"/>
      <c r="OTX24" s="720"/>
      <c r="OTY24" s="720"/>
      <c r="OTZ24" s="720"/>
      <c r="OUA24" s="720"/>
      <c r="OUB24" s="720"/>
      <c r="OUC24" s="720"/>
      <c r="OUD24" s="720"/>
      <c r="OUE24" s="720"/>
      <c r="OUF24" s="720"/>
      <c r="OUG24" s="720"/>
      <c r="OUH24" s="720"/>
      <c r="OUI24" s="720"/>
      <c r="OUJ24" s="720"/>
      <c r="OUK24" s="720"/>
      <c r="OUL24" s="720"/>
      <c r="OUM24" s="720"/>
      <c r="OUN24" s="720"/>
      <c r="OUO24" s="720"/>
      <c r="OUP24" s="720"/>
      <c r="OUQ24" s="720"/>
      <c r="OUR24" s="720"/>
      <c r="OUS24" s="720"/>
      <c r="OUT24" s="720"/>
      <c r="OUU24" s="720"/>
      <c r="OUV24" s="720"/>
      <c r="OUW24" s="720"/>
      <c r="OUX24" s="720"/>
      <c r="OUY24" s="720"/>
      <c r="OUZ24" s="720"/>
      <c r="OVA24" s="720"/>
      <c r="OVB24" s="720"/>
      <c r="OVC24" s="720"/>
      <c r="OVD24" s="720"/>
      <c r="OVE24" s="720"/>
      <c r="OVF24" s="720"/>
      <c r="OVG24" s="720"/>
      <c r="OVH24" s="720"/>
      <c r="OVI24" s="720"/>
      <c r="OVJ24" s="720"/>
      <c r="OVK24" s="720"/>
      <c r="OVL24" s="720"/>
      <c r="OVM24" s="720"/>
      <c r="OVN24" s="720"/>
      <c r="OVO24" s="720"/>
      <c r="OVP24" s="720"/>
      <c r="OVQ24" s="720"/>
      <c r="OVR24" s="720"/>
      <c r="OVS24" s="720"/>
      <c r="OVT24" s="720"/>
      <c r="OVU24" s="720"/>
      <c r="OVV24" s="720"/>
      <c r="OVW24" s="720"/>
      <c r="OVX24" s="720"/>
      <c r="OVY24" s="720"/>
      <c r="OVZ24" s="720"/>
      <c r="OWA24" s="720"/>
      <c r="OWB24" s="720"/>
      <c r="OWC24" s="720"/>
      <c r="OWD24" s="720"/>
      <c r="OWE24" s="720"/>
      <c r="OWF24" s="720"/>
      <c r="OWG24" s="720"/>
      <c r="OWH24" s="720"/>
      <c r="OWI24" s="720"/>
      <c r="OWJ24" s="720"/>
      <c r="OWK24" s="720"/>
      <c r="OWL24" s="720"/>
      <c r="OWM24" s="720"/>
      <c r="OWN24" s="720"/>
      <c r="OWO24" s="720"/>
      <c r="OWP24" s="720"/>
      <c r="OWQ24" s="720"/>
      <c r="OWR24" s="720"/>
      <c r="OWS24" s="720"/>
      <c r="OWT24" s="720"/>
      <c r="OWU24" s="720"/>
      <c r="OWV24" s="720"/>
      <c r="OWW24" s="720"/>
      <c r="OWX24" s="720"/>
      <c r="OWY24" s="720"/>
      <c r="OWZ24" s="720"/>
      <c r="OXA24" s="720"/>
      <c r="OXB24" s="720"/>
      <c r="OXC24" s="720"/>
      <c r="OXD24" s="720"/>
      <c r="OXE24" s="720"/>
      <c r="OXF24" s="720"/>
      <c r="OXG24" s="720"/>
      <c r="OXH24" s="720"/>
      <c r="OXI24" s="720"/>
      <c r="OXJ24" s="720"/>
      <c r="OXK24" s="720"/>
      <c r="OXL24" s="720"/>
      <c r="OXM24" s="720"/>
      <c r="OXN24" s="720"/>
      <c r="OXO24" s="720"/>
      <c r="OXP24" s="720"/>
      <c r="OXQ24" s="720"/>
      <c r="OXR24" s="720"/>
      <c r="OXS24" s="720"/>
      <c r="OXT24" s="720"/>
      <c r="OXU24" s="720"/>
      <c r="OXV24" s="720"/>
      <c r="OXW24" s="720"/>
      <c r="OXX24" s="720"/>
      <c r="OXY24" s="720"/>
      <c r="OXZ24" s="720"/>
      <c r="OYA24" s="720"/>
      <c r="OYB24" s="720"/>
      <c r="OYC24" s="720"/>
      <c r="OYD24" s="720"/>
      <c r="OYE24" s="720"/>
      <c r="OYF24" s="720"/>
      <c r="OYG24" s="720"/>
      <c r="OYH24" s="720"/>
      <c r="OYI24" s="720"/>
      <c r="OYJ24" s="720"/>
      <c r="OYK24" s="720"/>
      <c r="OYL24" s="720"/>
      <c r="OYM24" s="720"/>
      <c r="OYN24" s="720"/>
      <c r="OYO24" s="720"/>
      <c r="OYP24" s="720"/>
      <c r="OYQ24" s="720"/>
      <c r="OYR24" s="720"/>
      <c r="OYS24" s="720"/>
      <c r="OYT24" s="720"/>
      <c r="OYU24" s="720"/>
      <c r="OYV24" s="720"/>
      <c r="OYW24" s="720"/>
      <c r="OYX24" s="720"/>
      <c r="OYY24" s="720"/>
      <c r="OYZ24" s="720"/>
      <c r="OZA24" s="720"/>
      <c r="OZB24" s="720"/>
      <c r="OZC24" s="720"/>
      <c r="OZD24" s="720"/>
      <c r="OZE24" s="720"/>
      <c r="OZF24" s="720"/>
      <c r="OZG24" s="720"/>
      <c r="OZH24" s="720"/>
      <c r="OZI24" s="720"/>
      <c r="OZJ24" s="720"/>
      <c r="OZK24" s="720"/>
      <c r="OZL24" s="720"/>
      <c r="OZM24" s="720"/>
      <c r="OZN24" s="720"/>
      <c r="OZO24" s="720"/>
      <c r="OZP24" s="720"/>
      <c r="OZQ24" s="720"/>
      <c r="OZR24" s="720"/>
      <c r="OZS24" s="720"/>
      <c r="OZT24" s="720"/>
      <c r="OZU24" s="720"/>
      <c r="OZV24" s="720"/>
      <c r="OZW24" s="720"/>
      <c r="OZX24" s="720"/>
      <c r="OZY24" s="720"/>
      <c r="OZZ24" s="720"/>
      <c r="PAA24" s="720"/>
      <c r="PAB24" s="720"/>
      <c r="PAC24" s="720"/>
      <c r="PAD24" s="720"/>
      <c r="PAE24" s="720"/>
      <c r="PAF24" s="720"/>
      <c r="PAG24" s="720"/>
      <c r="PAH24" s="720"/>
      <c r="PAI24" s="720"/>
      <c r="PAJ24" s="720"/>
      <c r="PAK24" s="720"/>
      <c r="PAL24" s="720"/>
      <c r="PAM24" s="720"/>
      <c r="PAN24" s="720"/>
      <c r="PAO24" s="720"/>
      <c r="PAP24" s="720"/>
      <c r="PAQ24" s="720"/>
      <c r="PAR24" s="720"/>
      <c r="PAS24" s="720"/>
      <c r="PAT24" s="720"/>
      <c r="PAU24" s="720"/>
      <c r="PAV24" s="720"/>
      <c r="PAW24" s="720"/>
      <c r="PAX24" s="720"/>
      <c r="PAY24" s="720"/>
      <c r="PAZ24" s="720"/>
      <c r="PBA24" s="720"/>
      <c r="PBB24" s="720"/>
      <c r="PBC24" s="720"/>
      <c r="PBD24" s="720"/>
      <c r="PBE24" s="720"/>
      <c r="PBF24" s="720"/>
      <c r="PBG24" s="720"/>
      <c r="PBH24" s="720"/>
      <c r="PBI24" s="720"/>
      <c r="PBJ24" s="720"/>
      <c r="PBK24" s="720"/>
      <c r="PBL24" s="720"/>
      <c r="PBM24" s="720"/>
      <c r="PBN24" s="720"/>
      <c r="PBO24" s="720"/>
      <c r="PBP24" s="720"/>
      <c r="PBQ24" s="720"/>
      <c r="PBR24" s="720"/>
      <c r="PBS24" s="720"/>
      <c r="PBT24" s="720"/>
      <c r="PBU24" s="720"/>
      <c r="PBV24" s="720"/>
      <c r="PBW24" s="720"/>
      <c r="PBX24" s="720"/>
      <c r="PBY24" s="720"/>
      <c r="PBZ24" s="720"/>
      <c r="PCA24" s="720"/>
      <c r="PCB24" s="720"/>
      <c r="PCC24" s="720"/>
      <c r="PCD24" s="720"/>
      <c r="PCE24" s="720"/>
      <c r="PCF24" s="720"/>
      <c r="PCG24" s="720"/>
      <c r="PCH24" s="720"/>
      <c r="PCI24" s="720"/>
      <c r="PCJ24" s="720"/>
      <c r="PCK24" s="720"/>
      <c r="PCL24" s="720"/>
      <c r="PCM24" s="720"/>
      <c r="PCN24" s="720"/>
      <c r="PCO24" s="720"/>
      <c r="PCP24" s="720"/>
      <c r="PCQ24" s="720"/>
      <c r="PCR24" s="720"/>
      <c r="PCS24" s="720"/>
      <c r="PCT24" s="720"/>
      <c r="PCU24" s="720"/>
      <c r="PCV24" s="720"/>
      <c r="PCW24" s="720"/>
      <c r="PCX24" s="720"/>
      <c r="PCY24" s="720"/>
      <c r="PCZ24" s="720"/>
      <c r="PDA24" s="720"/>
      <c r="PDB24" s="720"/>
      <c r="PDC24" s="720"/>
      <c r="PDD24" s="720"/>
      <c r="PDE24" s="720"/>
      <c r="PDF24" s="720"/>
      <c r="PDG24" s="720"/>
      <c r="PDH24" s="720"/>
      <c r="PDI24" s="720"/>
      <c r="PDJ24" s="720"/>
      <c r="PDK24" s="720"/>
      <c r="PDL24" s="720"/>
      <c r="PDM24" s="720"/>
      <c r="PDN24" s="720"/>
      <c r="PDO24" s="720"/>
      <c r="PDP24" s="720"/>
      <c r="PDQ24" s="720"/>
      <c r="PDR24" s="720"/>
      <c r="PDS24" s="720"/>
      <c r="PDT24" s="720"/>
      <c r="PDU24" s="720"/>
      <c r="PDV24" s="720"/>
      <c r="PDW24" s="720"/>
      <c r="PDX24" s="720"/>
      <c r="PDY24" s="720"/>
      <c r="PDZ24" s="720"/>
      <c r="PEA24" s="720"/>
      <c r="PEB24" s="720"/>
      <c r="PEC24" s="720"/>
      <c r="PED24" s="720"/>
      <c r="PEE24" s="720"/>
      <c r="PEF24" s="720"/>
      <c r="PEG24" s="720"/>
      <c r="PEH24" s="720"/>
      <c r="PEI24" s="720"/>
      <c r="PEJ24" s="720"/>
      <c r="PEK24" s="720"/>
      <c r="PEL24" s="720"/>
      <c r="PEM24" s="720"/>
      <c r="PEN24" s="720"/>
      <c r="PEO24" s="720"/>
      <c r="PEP24" s="720"/>
      <c r="PEQ24" s="720"/>
      <c r="PER24" s="720"/>
      <c r="PES24" s="720"/>
      <c r="PET24" s="720"/>
      <c r="PEU24" s="720"/>
      <c r="PEV24" s="720"/>
      <c r="PEW24" s="720"/>
      <c r="PEX24" s="720"/>
      <c r="PEY24" s="720"/>
      <c r="PEZ24" s="720"/>
      <c r="PFA24" s="720"/>
      <c r="PFB24" s="720"/>
      <c r="PFC24" s="720"/>
      <c r="PFD24" s="720"/>
      <c r="PFE24" s="720"/>
      <c r="PFF24" s="720"/>
      <c r="PFG24" s="720"/>
      <c r="PFH24" s="720"/>
      <c r="PFI24" s="720"/>
      <c r="PFJ24" s="720"/>
      <c r="PFK24" s="720"/>
      <c r="PFL24" s="720"/>
      <c r="PFM24" s="720"/>
      <c r="PFN24" s="720"/>
      <c r="PFO24" s="720"/>
      <c r="PFP24" s="720"/>
      <c r="PFQ24" s="720"/>
      <c r="PFR24" s="720"/>
      <c r="PFS24" s="720"/>
      <c r="PFT24" s="720"/>
      <c r="PFU24" s="720"/>
      <c r="PFV24" s="720"/>
      <c r="PFW24" s="720"/>
      <c r="PFX24" s="720"/>
      <c r="PFY24" s="720"/>
      <c r="PFZ24" s="720"/>
      <c r="PGA24" s="720"/>
      <c r="PGB24" s="720"/>
      <c r="PGC24" s="720"/>
      <c r="PGD24" s="720"/>
      <c r="PGE24" s="720"/>
      <c r="PGF24" s="720"/>
      <c r="PGG24" s="720"/>
      <c r="PGH24" s="720"/>
      <c r="PGI24" s="720"/>
      <c r="PGJ24" s="720"/>
      <c r="PGK24" s="720"/>
      <c r="PGL24" s="720"/>
      <c r="PGM24" s="720"/>
      <c r="PGN24" s="720"/>
      <c r="PGO24" s="720"/>
      <c r="PGP24" s="720"/>
      <c r="PGQ24" s="720"/>
      <c r="PGR24" s="720"/>
      <c r="PGS24" s="720"/>
      <c r="PGT24" s="720"/>
      <c r="PGU24" s="720"/>
      <c r="PGV24" s="720"/>
      <c r="PGW24" s="720"/>
      <c r="PGX24" s="720"/>
      <c r="PGY24" s="720"/>
      <c r="PGZ24" s="720"/>
      <c r="PHA24" s="720"/>
      <c r="PHB24" s="720"/>
      <c r="PHC24" s="720"/>
      <c r="PHD24" s="720"/>
      <c r="PHE24" s="720"/>
      <c r="PHF24" s="720"/>
      <c r="PHG24" s="720"/>
      <c r="PHH24" s="720"/>
      <c r="PHI24" s="720"/>
      <c r="PHJ24" s="720"/>
      <c r="PHK24" s="720"/>
      <c r="PHL24" s="720"/>
      <c r="PHM24" s="720"/>
      <c r="PHN24" s="720"/>
      <c r="PHO24" s="720"/>
      <c r="PHP24" s="720"/>
      <c r="PHQ24" s="720"/>
      <c r="PHR24" s="720"/>
      <c r="PHS24" s="720"/>
      <c r="PHT24" s="720"/>
      <c r="PHU24" s="720"/>
      <c r="PHV24" s="720"/>
      <c r="PHW24" s="720"/>
      <c r="PHX24" s="720"/>
      <c r="PHY24" s="720"/>
      <c r="PHZ24" s="720"/>
      <c r="PIA24" s="720"/>
      <c r="PIB24" s="720"/>
      <c r="PIC24" s="720"/>
      <c r="PID24" s="720"/>
      <c r="PIE24" s="720"/>
      <c r="PIF24" s="720"/>
      <c r="PIG24" s="720"/>
      <c r="PIH24" s="720"/>
      <c r="PII24" s="720"/>
      <c r="PIJ24" s="720"/>
      <c r="PIK24" s="720"/>
      <c r="PIL24" s="720"/>
      <c r="PIM24" s="720"/>
      <c r="PIN24" s="720"/>
      <c r="PIO24" s="720"/>
      <c r="PIP24" s="720"/>
      <c r="PIQ24" s="720"/>
      <c r="PIR24" s="720"/>
      <c r="PIS24" s="720"/>
      <c r="PIT24" s="720"/>
      <c r="PIU24" s="720"/>
      <c r="PIV24" s="720"/>
      <c r="PIW24" s="720"/>
      <c r="PIX24" s="720"/>
      <c r="PIY24" s="720"/>
      <c r="PIZ24" s="720"/>
      <c r="PJA24" s="720"/>
      <c r="PJB24" s="720"/>
      <c r="PJC24" s="720"/>
      <c r="PJD24" s="720"/>
      <c r="PJE24" s="720"/>
      <c r="PJF24" s="720"/>
      <c r="PJG24" s="720"/>
      <c r="PJH24" s="720"/>
      <c r="PJI24" s="720"/>
      <c r="PJJ24" s="720"/>
      <c r="PJK24" s="720"/>
      <c r="PJL24" s="720"/>
      <c r="PJM24" s="720"/>
      <c r="PJN24" s="720"/>
      <c r="PJO24" s="720"/>
      <c r="PJP24" s="720"/>
      <c r="PJQ24" s="720"/>
      <c r="PJR24" s="720"/>
      <c r="PJS24" s="720"/>
      <c r="PJT24" s="720"/>
      <c r="PJU24" s="720"/>
      <c r="PJV24" s="720"/>
      <c r="PJW24" s="720"/>
      <c r="PJX24" s="720"/>
      <c r="PJY24" s="720"/>
      <c r="PJZ24" s="720"/>
      <c r="PKA24" s="720"/>
      <c r="PKB24" s="720"/>
      <c r="PKC24" s="720"/>
      <c r="PKD24" s="720"/>
      <c r="PKE24" s="720"/>
      <c r="PKF24" s="720"/>
      <c r="PKG24" s="720"/>
      <c r="PKH24" s="720"/>
      <c r="PKI24" s="720"/>
      <c r="PKJ24" s="720"/>
      <c r="PKK24" s="720"/>
      <c r="PKL24" s="720"/>
      <c r="PKM24" s="720"/>
      <c r="PKN24" s="720"/>
      <c r="PKO24" s="720"/>
      <c r="PKP24" s="720"/>
      <c r="PKQ24" s="720"/>
      <c r="PKR24" s="720"/>
      <c r="PKS24" s="720"/>
      <c r="PKT24" s="720"/>
      <c r="PKU24" s="720"/>
      <c r="PKV24" s="720"/>
      <c r="PKW24" s="720"/>
      <c r="PKX24" s="720"/>
      <c r="PKY24" s="720"/>
      <c r="PKZ24" s="720"/>
      <c r="PLA24" s="720"/>
      <c r="PLB24" s="720"/>
      <c r="PLC24" s="720"/>
      <c r="PLD24" s="720"/>
      <c r="PLE24" s="720"/>
      <c r="PLF24" s="720"/>
      <c r="PLG24" s="720"/>
      <c r="PLH24" s="720"/>
      <c r="PLI24" s="720"/>
      <c r="PLJ24" s="720"/>
      <c r="PLK24" s="720"/>
      <c r="PLL24" s="720"/>
      <c r="PLM24" s="720"/>
      <c r="PLN24" s="720"/>
      <c r="PLO24" s="720"/>
      <c r="PLP24" s="720"/>
      <c r="PLQ24" s="720"/>
      <c r="PLR24" s="720"/>
      <c r="PLS24" s="720"/>
      <c r="PLT24" s="720"/>
      <c r="PLU24" s="720"/>
      <c r="PLV24" s="720"/>
      <c r="PLW24" s="720"/>
      <c r="PLX24" s="720"/>
      <c r="PLY24" s="720"/>
      <c r="PLZ24" s="720"/>
      <c r="PMA24" s="720"/>
      <c r="PMB24" s="720"/>
      <c r="PMC24" s="720"/>
      <c r="PMD24" s="720"/>
      <c r="PME24" s="720"/>
      <c r="PMF24" s="720"/>
      <c r="PMG24" s="720"/>
      <c r="PMH24" s="720"/>
      <c r="PMI24" s="720"/>
      <c r="PMJ24" s="720"/>
      <c r="PMK24" s="720"/>
      <c r="PML24" s="720"/>
      <c r="PMM24" s="720"/>
      <c r="PMN24" s="720"/>
      <c r="PMO24" s="720"/>
      <c r="PMP24" s="720"/>
      <c r="PMQ24" s="720"/>
      <c r="PMR24" s="720"/>
      <c r="PMS24" s="720"/>
      <c r="PMT24" s="720"/>
      <c r="PMU24" s="720"/>
      <c r="PMV24" s="720"/>
      <c r="PMW24" s="720"/>
      <c r="PMX24" s="720"/>
      <c r="PMY24" s="720"/>
      <c r="PMZ24" s="720"/>
      <c r="PNA24" s="720"/>
      <c r="PNB24" s="720"/>
      <c r="PNC24" s="720"/>
      <c r="PND24" s="720"/>
      <c r="PNE24" s="720"/>
      <c r="PNF24" s="720"/>
      <c r="PNG24" s="720"/>
      <c r="PNH24" s="720"/>
      <c r="PNI24" s="720"/>
      <c r="PNJ24" s="720"/>
      <c r="PNK24" s="720"/>
      <c r="PNL24" s="720"/>
      <c r="PNM24" s="720"/>
      <c r="PNN24" s="720"/>
      <c r="PNO24" s="720"/>
      <c r="PNP24" s="720"/>
      <c r="PNQ24" s="720"/>
      <c r="PNR24" s="720"/>
      <c r="PNS24" s="720"/>
      <c r="PNT24" s="720"/>
      <c r="PNU24" s="720"/>
      <c r="PNV24" s="720"/>
      <c r="PNW24" s="720"/>
      <c r="PNX24" s="720"/>
      <c r="PNY24" s="720"/>
      <c r="PNZ24" s="720"/>
      <c r="POA24" s="720"/>
      <c r="POB24" s="720"/>
      <c r="POC24" s="720"/>
      <c r="POD24" s="720"/>
      <c r="POE24" s="720"/>
      <c r="POF24" s="720"/>
      <c r="POG24" s="720"/>
      <c r="POH24" s="720"/>
      <c r="POI24" s="720"/>
      <c r="POJ24" s="720"/>
      <c r="POK24" s="720"/>
      <c r="POL24" s="720"/>
      <c r="POM24" s="720"/>
      <c r="PON24" s="720"/>
      <c r="POO24" s="720"/>
      <c r="POP24" s="720"/>
      <c r="POQ24" s="720"/>
      <c r="POR24" s="720"/>
      <c r="POS24" s="720"/>
      <c r="POT24" s="720"/>
      <c r="POU24" s="720"/>
      <c r="POV24" s="720"/>
      <c r="POW24" s="720"/>
      <c r="POX24" s="720"/>
      <c r="POY24" s="720"/>
      <c r="POZ24" s="720"/>
      <c r="PPA24" s="720"/>
      <c r="PPB24" s="720"/>
      <c r="PPC24" s="720"/>
      <c r="PPD24" s="720"/>
      <c r="PPE24" s="720"/>
      <c r="PPF24" s="720"/>
      <c r="PPG24" s="720"/>
      <c r="PPH24" s="720"/>
      <c r="PPI24" s="720"/>
      <c r="PPJ24" s="720"/>
      <c r="PPK24" s="720"/>
      <c r="PPL24" s="720"/>
      <c r="PPM24" s="720"/>
      <c r="PPN24" s="720"/>
      <c r="PPO24" s="720"/>
      <c r="PPP24" s="720"/>
      <c r="PPQ24" s="720"/>
      <c r="PPR24" s="720"/>
      <c r="PPS24" s="720"/>
      <c r="PPT24" s="720"/>
      <c r="PPU24" s="720"/>
      <c r="PPV24" s="720"/>
      <c r="PPW24" s="720"/>
      <c r="PPX24" s="720"/>
      <c r="PPY24" s="720"/>
      <c r="PPZ24" s="720"/>
      <c r="PQA24" s="720"/>
      <c r="PQB24" s="720"/>
      <c r="PQC24" s="720"/>
      <c r="PQD24" s="720"/>
      <c r="PQE24" s="720"/>
      <c r="PQF24" s="720"/>
      <c r="PQG24" s="720"/>
      <c r="PQH24" s="720"/>
      <c r="PQI24" s="720"/>
      <c r="PQJ24" s="720"/>
      <c r="PQK24" s="720"/>
      <c r="PQL24" s="720"/>
      <c r="PQM24" s="720"/>
      <c r="PQN24" s="720"/>
      <c r="PQO24" s="720"/>
      <c r="PQP24" s="720"/>
      <c r="PQQ24" s="720"/>
      <c r="PQR24" s="720"/>
      <c r="PQS24" s="720"/>
      <c r="PQT24" s="720"/>
      <c r="PQU24" s="720"/>
      <c r="PQV24" s="720"/>
      <c r="PQW24" s="720"/>
      <c r="PQX24" s="720"/>
      <c r="PQY24" s="720"/>
      <c r="PQZ24" s="720"/>
      <c r="PRA24" s="720"/>
      <c r="PRB24" s="720"/>
      <c r="PRC24" s="720"/>
      <c r="PRD24" s="720"/>
      <c r="PRE24" s="720"/>
      <c r="PRF24" s="720"/>
      <c r="PRG24" s="720"/>
      <c r="PRH24" s="720"/>
      <c r="PRI24" s="720"/>
      <c r="PRJ24" s="720"/>
      <c r="PRK24" s="720"/>
      <c r="PRL24" s="720"/>
      <c r="PRM24" s="720"/>
      <c r="PRN24" s="720"/>
      <c r="PRO24" s="720"/>
      <c r="PRP24" s="720"/>
      <c r="PRQ24" s="720"/>
      <c r="PRR24" s="720"/>
      <c r="PRS24" s="720"/>
      <c r="PRT24" s="720"/>
      <c r="PRU24" s="720"/>
      <c r="PRV24" s="720"/>
      <c r="PRW24" s="720"/>
      <c r="PRX24" s="720"/>
      <c r="PRY24" s="720"/>
      <c r="PRZ24" s="720"/>
      <c r="PSA24" s="720"/>
      <c r="PSB24" s="720"/>
      <c r="PSC24" s="720"/>
      <c r="PSD24" s="720"/>
      <c r="PSE24" s="720"/>
      <c r="PSF24" s="720"/>
      <c r="PSG24" s="720"/>
      <c r="PSH24" s="720"/>
      <c r="PSI24" s="720"/>
      <c r="PSJ24" s="720"/>
      <c r="PSK24" s="720"/>
      <c r="PSL24" s="720"/>
      <c r="PSM24" s="720"/>
      <c r="PSN24" s="720"/>
      <c r="PSO24" s="720"/>
      <c r="PSP24" s="720"/>
      <c r="PSQ24" s="720"/>
      <c r="PSR24" s="720"/>
      <c r="PSS24" s="720"/>
      <c r="PST24" s="720"/>
      <c r="PSU24" s="720"/>
      <c r="PSV24" s="720"/>
      <c r="PSW24" s="720"/>
      <c r="PSX24" s="720"/>
      <c r="PSY24" s="720"/>
      <c r="PSZ24" s="720"/>
      <c r="PTA24" s="720"/>
      <c r="PTB24" s="720"/>
      <c r="PTC24" s="720"/>
      <c r="PTD24" s="720"/>
      <c r="PTE24" s="720"/>
      <c r="PTF24" s="720"/>
      <c r="PTG24" s="720"/>
      <c r="PTH24" s="720"/>
      <c r="PTI24" s="720"/>
      <c r="PTJ24" s="720"/>
      <c r="PTK24" s="720"/>
      <c r="PTL24" s="720"/>
      <c r="PTM24" s="720"/>
      <c r="PTN24" s="720"/>
      <c r="PTO24" s="720"/>
      <c r="PTP24" s="720"/>
      <c r="PTQ24" s="720"/>
      <c r="PTR24" s="720"/>
      <c r="PTS24" s="720"/>
      <c r="PTT24" s="720"/>
      <c r="PTU24" s="720"/>
      <c r="PTV24" s="720"/>
      <c r="PTW24" s="720"/>
      <c r="PTX24" s="720"/>
      <c r="PTY24" s="720"/>
      <c r="PTZ24" s="720"/>
      <c r="PUA24" s="720"/>
      <c r="PUB24" s="720"/>
      <c r="PUC24" s="720"/>
      <c r="PUD24" s="720"/>
      <c r="PUE24" s="720"/>
      <c r="PUF24" s="720"/>
      <c r="PUG24" s="720"/>
      <c r="PUH24" s="720"/>
      <c r="PUI24" s="720"/>
      <c r="PUJ24" s="720"/>
      <c r="PUK24" s="720"/>
      <c r="PUL24" s="720"/>
      <c r="PUM24" s="720"/>
      <c r="PUN24" s="720"/>
      <c r="PUO24" s="720"/>
      <c r="PUP24" s="720"/>
      <c r="PUQ24" s="720"/>
      <c r="PUR24" s="720"/>
      <c r="PUS24" s="720"/>
      <c r="PUT24" s="720"/>
      <c r="PUU24" s="720"/>
      <c r="PUV24" s="720"/>
      <c r="PUW24" s="720"/>
      <c r="PUX24" s="720"/>
      <c r="PUY24" s="720"/>
      <c r="PUZ24" s="720"/>
      <c r="PVA24" s="720"/>
      <c r="PVB24" s="720"/>
      <c r="PVC24" s="720"/>
      <c r="PVD24" s="720"/>
      <c r="PVE24" s="720"/>
      <c r="PVF24" s="720"/>
      <c r="PVG24" s="720"/>
      <c r="PVH24" s="720"/>
      <c r="PVI24" s="720"/>
      <c r="PVJ24" s="720"/>
      <c r="PVK24" s="720"/>
      <c r="PVL24" s="720"/>
      <c r="PVM24" s="720"/>
      <c r="PVN24" s="720"/>
      <c r="PVO24" s="720"/>
      <c r="PVP24" s="720"/>
      <c r="PVQ24" s="720"/>
      <c r="PVR24" s="720"/>
      <c r="PVS24" s="720"/>
      <c r="PVT24" s="720"/>
      <c r="PVU24" s="720"/>
      <c r="PVV24" s="720"/>
      <c r="PVW24" s="720"/>
      <c r="PVX24" s="720"/>
      <c r="PVY24" s="720"/>
      <c r="PVZ24" s="720"/>
      <c r="PWA24" s="720"/>
      <c r="PWB24" s="720"/>
      <c r="PWC24" s="720"/>
      <c r="PWD24" s="720"/>
      <c r="PWE24" s="720"/>
      <c r="PWF24" s="720"/>
      <c r="PWG24" s="720"/>
      <c r="PWH24" s="720"/>
      <c r="PWI24" s="720"/>
      <c r="PWJ24" s="720"/>
      <c r="PWK24" s="720"/>
      <c r="PWL24" s="720"/>
      <c r="PWM24" s="720"/>
      <c r="PWN24" s="720"/>
      <c r="PWO24" s="720"/>
      <c r="PWP24" s="720"/>
      <c r="PWQ24" s="720"/>
      <c r="PWR24" s="720"/>
      <c r="PWS24" s="720"/>
      <c r="PWT24" s="720"/>
      <c r="PWU24" s="720"/>
      <c r="PWV24" s="720"/>
      <c r="PWW24" s="720"/>
      <c r="PWX24" s="720"/>
      <c r="PWY24" s="720"/>
      <c r="PWZ24" s="720"/>
      <c r="PXA24" s="720"/>
      <c r="PXB24" s="720"/>
      <c r="PXC24" s="720"/>
      <c r="PXD24" s="720"/>
      <c r="PXE24" s="720"/>
      <c r="PXF24" s="720"/>
      <c r="PXG24" s="720"/>
      <c r="PXH24" s="720"/>
      <c r="PXI24" s="720"/>
      <c r="PXJ24" s="720"/>
      <c r="PXK24" s="720"/>
      <c r="PXL24" s="720"/>
      <c r="PXM24" s="720"/>
      <c r="PXN24" s="720"/>
      <c r="PXO24" s="720"/>
      <c r="PXP24" s="720"/>
      <c r="PXQ24" s="720"/>
      <c r="PXR24" s="720"/>
      <c r="PXS24" s="720"/>
      <c r="PXT24" s="720"/>
      <c r="PXU24" s="720"/>
      <c r="PXV24" s="720"/>
      <c r="PXW24" s="720"/>
      <c r="PXX24" s="720"/>
      <c r="PXY24" s="720"/>
      <c r="PXZ24" s="720"/>
      <c r="PYA24" s="720"/>
      <c r="PYB24" s="720"/>
      <c r="PYC24" s="720"/>
      <c r="PYD24" s="720"/>
      <c r="PYE24" s="720"/>
      <c r="PYF24" s="720"/>
      <c r="PYG24" s="720"/>
      <c r="PYH24" s="720"/>
      <c r="PYI24" s="720"/>
      <c r="PYJ24" s="720"/>
      <c r="PYK24" s="720"/>
      <c r="PYL24" s="720"/>
      <c r="PYM24" s="720"/>
      <c r="PYN24" s="720"/>
      <c r="PYO24" s="720"/>
      <c r="PYP24" s="720"/>
      <c r="PYQ24" s="720"/>
      <c r="PYR24" s="720"/>
      <c r="PYS24" s="720"/>
      <c r="PYT24" s="720"/>
      <c r="PYU24" s="720"/>
      <c r="PYV24" s="720"/>
      <c r="PYW24" s="720"/>
      <c r="PYX24" s="720"/>
      <c r="PYY24" s="720"/>
      <c r="PYZ24" s="720"/>
      <c r="PZA24" s="720"/>
      <c r="PZB24" s="720"/>
      <c r="PZC24" s="720"/>
      <c r="PZD24" s="720"/>
      <c r="PZE24" s="720"/>
      <c r="PZF24" s="720"/>
      <c r="PZG24" s="720"/>
      <c r="PZH24" s="720"/>
      <c r="PZI24" s="720"/>
      <c r="PZJ24" s="720"/>
      <c r="PZK24" s="720"/>
      <c r="PZL24" s="720"/>
      <c r="PZM24" s="720"/>
      <c r="PZN24" s="720"/>
      <c r="PZO24" s="720"/>
      <c r="PZP24" s="720"/>
      <c r="PZQ24" s="720"/>
      <c r="PZR24" s="720"/>
      <c r="PZS24" s="720"/>
      <c r="PZT24" s="720"/>
      <c r="PZU24" s="720"/>
      <c r="PZV24" s="720"/>
      <c r="PZW24" s="720"/>
      <c r="PZX24" s="720"/>
      <c r="PZY24" s="720"/>
      <c r="PZZ24" s="720"/>
      <c r="QAA24" s="720"/>
      <c r="QAB24" s="720"/>
      <c r="QAC24" s="720"/>
      <c r="QAD24" s="720"/>
      <c r="QAE24" s="720"/>
      <c r="QAF24" s="720"/>
      <c r="QAG24" s="720"/>
      <c r="QAH24" s="720"/>
      <c r="QAI24" s="720"/>
      <c r="QAJ24" s="720"/>
      <c r="QAK24" s="720"/>
      <c r="QAL24" s="720"/>
      <c r="QAM24" s="720"/>
      <c r="QAN24" s="720"/>
      <c r="QAO24" s="720"/>
      <c r="QAP24" s="720"/>
      <c r="QAQ24" s="720"/>
      <c r="QAR24" s="720"/>
      <c r="QAS24" s="720"/>
      <c r="QAT24" s="720"/>
      <c r="QAU24" s="720"/>
      <c r="QAV24" s="720"/>
      <c r="QAW24" s="720"/>
      <c r="QAX24" s="720"/>
      <c r="QAY24" s="720"/>
      <c r="QAZ24" s="720"/>
      <c r="QBA24" s="720"/>
      <c r="QBB24" s="720"/>
      <c r="QBC24" s="720"/>
      <c r="QBD24" s="720"/>
      <c r="QBE24" s="720"/>
      <c r="QBF24" s="720"/>
      <c r="QBG24" s="720"/>
      <c r="QBH24" s="720"/>
      <c r="QBI24" s="720"/>
      <c r="QBJ24" s="720"/>
      <c r="QBK24" s="720"/>
      <c r="QBL24" s="720"/>
      <c r="QBM24" s="720"/>
      <c r="QBN24" s="720"/>
      <c r="QBO24" s="720"/>
      <c r="QBP24" s="720"/>
      <c r="QBQ24" s="720"/>
      <c r="QBR24" s="720"/>
      <c r="QBS24" s="720"/>
      <c r="QBT24" s="720"/>
      <c r="QBU24" s="720"/>
      <c r="QBV24" s="720"/>
      <c r="QBW24" s="720"/>
      <c r="QBX24" s="720"/>
      <c r="QBY24" s="720"/>
      <c r="QBZ24" s="720"/>
      <c r="QCA24" s="720"/>
      <c r="QCB24" s="720"/>
      <c r="QCC24" s="720"/>
      <c r="QCD24" s="720"/>
      <c r="QCE24" s="720"/>
      <c r="QCF24" s="720"/>
      <c r="QCG24" s="720"/>
      <c r="QCH24" s="720"/>
      <c r="QCI24" s="720"/>
      <c r="QCJ24" s="720"/>
      <c r="QCK24" s="720"/>
      <c r="QCL24" s="720"/>
      <c r="QCM24" s="720"/>
      <c r="QCN24" s="720"/>
      <c r="QCO24" s="720"/>
      <c r="QCP24" s="720"/>
      <c r="QCQ24" s="720"/>
      <c r="QCR24" s="720"/>
      <c r="QCS24" s="720"/>
      <c r="QCT24" s="720"/>
      <c r="QCU24" s="720"/>
      <c r="QCV24" s="720"/>
      <c r="QCW24" s="720"/>
      <c r="QCX24" s="720"/>
      <c r="QCY24" s="720"/>
      <c r="QCZ24" s="720"/>
      <c r="QDA24" s="720"/>
      <c r="QDB24" s="720"/>
      <c r="QDC24" s="720"/>
      <c r="QDD24" s="720"/>
      <c r="QDE24" s="720"/>
      <c r="QDF24" s="720"/>
      <c r="QDG24" s="720"/>
      <c r="QDH24" s="720"/>
      <c r="QDI24" s="720"/>
      <c r="QDJ24" s="720"/>
      <c r="QDK24" s="720"/>
      <c r="QDL24" s="720"/>
      <c r="QDM24" s="720"/>
      <c r="QDN24" s="720"/>
      <c r="QDO24" s="720"/>
      <c r="QDP24" s="720"/>
      <c r="QDQ24" s="720"/>
      <c r="QDR24" s="720"/>
      <c r="QDS24" s="720"/>
      <c r="QDT24" s="720"/>
      <c r="QDU24" s="720"/>
      <c r="QDV24" s="720"/>
      <c r="QDW24" s="720"/>
      <c r="QDX24" s="720"/>
      <c r="QDY24" s="720"/>
      <c r="QDZ24" s="720"/>
      <c r="QEA24" s="720"/>
      <c r="QEB24" s="720"/>
      <c r="QEC24" s="720"/>
      <c r="QED24" s="720"/>
      <c r="QEE24" s="720"/>
      <c r="QEF24" s="720"/>
      <c r="QEG24" s="720"/>
      <c r="QEH24" s="720"/>
      <c r="QEI24" s="720"/>
      <c r="QEJ24" s="720"/>
      <c r="QEK24" s="720"/>
      <c r="QEL24" s="720"/>
      <c r="QEM24" s="720"/>
      <c r="QEN24" s="720"/>
      <c r="QEO24" s="720"/>
      <c r="QEP24" s="720"/>
      <c r="QEQ24" s="720"/>
      <c r="QER24" s="720"/>
      <c r="QES24" s="720"/>
      <c r="QET24" s="720"/>
      <c r="QEU24" s="720"/>
      <c r="QEV24" s="720"/>
      <c r="QEW24" s="720"/>
      <c r="QEX24" s="720"/>
      <c r="QEY24" s="720"/>
      <c r="QEZ24" s="720"/>
      <c r="QFA24" s="720"/>
      <c r="QFB24" s="720"/>
      <c r="QFC24" s="720"/>
      <c r="QFD24" s="720"/>
      <c r="QFE24" s="720"/>
      <c r="QFF24" s="720"/>
      <c r="QFG24" s="720"/>
      <c r="QFH24" s="720"/>
      <c r="QFI24" s="720"/>
      <c r="QFJ24" s="720"/>
      <c r="QFK24" s="720"/>
      <c r="QFL24" s="720"/>
      <c r="QFM24" s="720"/>
      <c r="QFN24" s="720"/>
      <c r="QFO24" s="720"/>
      <c r="QFP24" s="720"/>
      <c r="QFQ24" s="720"/>
      <c r="QFR24" s="720"/>
      <c r="QFS24" s="720"/>
      <c r="QFT24" s="720"/>
      <c r="QFU24" s="720"/>
      <c r="QFV24" s="720"/>
      <c r="QFW24" s="720"/>
      <c r="QFX24" s="720"/>
      <c r="QFY24" s="720"/>
      <c r="QFZ24" s="720"/>
      <c r="QGA24" s="720"/>
      <c r="QGB24" s="720"/>
      <c r="QGC24" s="720"/>
      <c r="QGD24" s="720"/>
      <c r="QGE24" s="720"/>
      <c r="QGF24" s="720"/>
      <c r="QGG24" s="720"/>
      <c r="QGH24" s="720"/>
      <c r="QGI24" s="720"/>
      <c r="QGJ24" s="720"/>
      <c r="QGK24" s="720"/>
      <c r="QGL24" s="720"/>
      <c r="QGM24" s="720"/>
      <c r="QGN24" s="720"/>
      <c r="QGO24" s="720"/>
      <c r="QGP24" s="720"/>
      <c r="QGQ24" s="720"/>
      <c r="QGR24" s="720"/>
      <c r="QGS24" s="720"/>
      <c r="QGT24" s="720"/>
      <c r="QGU24" s="720"/>
      <c r="QGV24" s="720"/>
      <c r="QGW24" s="720"/>
      <c r="QGX24" s="720"/>
      <c r="QGY24" s="720"/>
      <c r="QGZ24" s="720"/>
      <c r="QHA24" s="720"/>
      <c r="QHB24" s="720"/>
      <c r="QHC24" s="720"/>
      <c r="QHD24" s="720"/>
      <c r="QHE24" s="720"/>
      <c r="QHF24" s="720"/>
      <c r="QHG24" s="720"/>
      <c r="QHH24" s="720"/>
      <c r="QHI24" s="720"/>
      <c r="QHJ24" s="720"/>
      <c r="QHK24" s="720"/>
      <c r="QHL24" s="720"/>
      <c r="QHM24" s="720"/>
      <c r="QHN24" s="720"/>
      <c r="QHO24" s="720"/>
      <c r="QHP24" s="720"/>
      <c r="QHQ24" s="720"/>
      <c r="QHR24" s="720"/>
      <c r="QHS24" s="720"/>
      <c r="QHT24" s="720"/>
      <c r="QHU24" s="720"/>
      <c r="QHV24" s="720"/>
      <c r="QHW24" s="720"/>
      <c r="QHX24" s="720"/>
      <c r="QHY24" s="720"/>
      <c r="QHZ24" s="720"/>
      <c r="QIA24" s="720"/>
      <c r="QIB24" s="720"/>
      <c r="QIC24" s="720"/>
      <c r="QID24" s="720"/>
      <c r="QIE24" s="720"/>
      <c r="QIF24" s="720"/>
      <c r="QIG24" s="720"/>
      <c r="QIH24" s="720"/>
      <c r="QII24" s="720"/>
      <c r="QIJ24" s="720"/>
      <c r="QIK24" s="720"/>
      <c r="QIL24" s="720"/>
      <c r="QIM24" s="720"/>
      <c r="QIN24" s="720"/>
      <c r="QIO24" s="720"/>
      <c r="QIP24" s="720"/>
      <c r="QIQ24" s="720"/>
      <c r="QIR24" s="720"/>
      <c r="QIS24" s="720"/>
      <c r="QIT24" s="720"/>
      <c r="QIU24" s="720"/>
      <c r="QIV24" s="720"/>
      <c r="QIW24" s="720"/>
      <c r="QIX24" s="720"/>
      <c r="QIY24" s="720"/>
      <c r="QIZ24" s="720"/>
      <c r="QJA24" s="720"/>
      <c r="QJB24" s="720"/>
      <c r="QJC24" s="720"/>
      <c r="QJD24" s="720"/>
      <c r="QJE24" s="720"/>
      <c r="QJF24" s="720"/>
      <c r="QJG24" s="720"/>
      <c r="QJH24" s="720"/>
      <c r="QJI24" s="720"/>
      <c r="QJJ24" s="720"/>
      <c r="QJK24" s="720"/>
      <c r="QJL24" s="720"/>
      <c r="QJM24" s="720"/>
      <c r="QJN24" s="720"/>
      <c r="QJO24" s="720"/>
      <c r="QJP24" s="720"/>
      <c r="QJQ24" s="720"/>
      <c r="QJR24" s="720"/>
      <c r="QJS24" s="720"/>
      <c r="QJT24" s="720"/>
      <c r="QJU24" s="720"/>
      <c r="QJV24" s="720"/>
      <c r="QJW24" s="720"/>
      <c r="QJX24" s="720"/>
      <c r="QJY24" s="720"/>
      <c r="QJZ24" s="720"/>
      <c r="QKA24" s="720"/>
      <c r="QKB24" s="720"/>
      <c r="QKC24" s="720"/>
      <c r="QKD24" s="720"/>
      <c r="QKE24" s="720"/>
      <c r="QKF24" s="720"/>
      <c r="QKG24" s="720"/>
      <c r="QKH24" s="720"/>
      <c r="QKI24" s="720"/>
      <c r="QKJ24" s="720"/>
      <c r="QKK24" s="720"/>
      <c r="QKL24" s="720"/>
      <c r="QKM24" s="720"/>
      <c r="QKN24" s="720"/>
      <c r="QKO24" s="720"/>
      <c r="QKP24" s="720"/>
      <c r="QKQ24" s="720"/>
      <c r="QKR24" s="720"/>
      <c r="QKS24" s="720"/>
      <c r="QKT24" s="720"/>
      <c r="QKU24" s="720"/>
      <c r="QKV24" s="720"/>
      <c r="QKW24" s="720"/>
      <c r="QKX24" s="720"/>
      <c r="QKY24" s="720"/>
      <c r="QKZ24" s="720"/>
      <c r="QLA24" s="720"/>
      <c r="QLB24" s="720"/>
      <c r="QLC24" s="720"/>
      <c r="QLD24" s="720"/>
      <c r="QLE24" s="720"/>
      <c r="QLF24" s="720"/>
      <c r="QLG24" s="720"/>
      <c r="QLH24" s="720"/>
      <c r="QLI24" s="720"/>
      <c r="QLJ24" s="720"/>
      <c r="QLK24" s="720"/>
      <c r="QLL24" s="720"/>
      <c r="QLM24" s="720"/>
      <c r="QLN24" s="720"/>
      <c r="QLO24" s="720"/>
      <c r="QLP24" s="720"/>
      <c r="QLQ24" s="720"/>
      <c r="QLR24" s="720"/>
      <c r="QLS24" s="720"/>
      <c r="QLT24" s="720"/>
      <c r="QLU24" s="720"/>
      <c r="QLV24" s="720"/>
      <c r="QLW24" s="720"/>
      <c r="QLX24" s="720"/>
      <c r="QLY24" s="720"/>
      <c r="QLZ24" s="720"/>
      <c r="QMA24" s="720"/>
      <c r="QMB24" s="720"/>
      <c r="QMC24" s="720"/>
      <c r="QMD24" s="720"/>
      <c r="QME24" s="720"/>
      <c r="QMF24" s="720"/>
      <c r="QMG24" s="720"/>
      <c r="QMH24" s="720"/>
      <c r="QMI24" s="720"/>
      <c r="QMJ24" s="720"/>
      <c r="QMK24" s="720"/>
      <c r="QML24" s="720"/>
      <c r="QMM24" s="720"/>
      <c r="QMN24" s="720"/>
      <c r="QMO24" s="720"/>
      <c r="QMP24" s="720"/>
      <c r="QMQ24" s="720"/>
      <c r="QMR24" s="720"/>
      <c r="QMS24" s="720"/>
      <c r="QMT24" s="720"/>
      <c r="QMU24" s="720"/>
      <c r="QMV24" s="720"/>
      <c r="QMW24" s="720"/>
      <c r="QMX24" s="720"/>
      <c r="QMY24" s="720"/>
      <c r="QMZ24" s="720"/>
      <c r="QNA24" s="720"/>
      <c r="QNB24" s="720"/>
      <c r="QNC24" s="720"/>
      <c r="QND24" s="720"/>
      <c r="QNE24" s="720"/>
      <c r="QNF24" s="720"/>
      <c r="QNG24" s="720"/>
      <c r="QNH24" s="720"/>
      <c r="QNI24" s="720"/>
      <c r="QNJ24" s="720"/>
      <c r="QNK24" s="720"/>
      <c r="QNL24" s="720"/>
      <c r="QNM24" s="720"/>
      <c r="QNN24" s="720"/>
      <c r="QNO24" s="720"/>
      <c r="QNP24" s="720"/>
      <c r="QNQ24" s="720"/>
      <c r="QNR24" s="720"/>
      <c r="QNS24" s="720"/>
      <c r="QNT24" s="720"/>
      <c r="QNU24" s="720"/>
      <c r="QNV24" s="720"/>
      <c r="QNW24" s="720"/>
      <c r="QNX24" s="720"/>
      <c r="QNY24" s="720"/>
      <c r="QNZ24" s="720"/>
      <c r="QOA24" s="720"/>
      <c r="QOB24" s="720"/>
      <c r="QOC24" s="720"/>
      <c r="QOD24" s="720"/>
      <c r="QOE24" s="720"/>
      <c r="QOF24" s="720"/>
      <c r="QOG24" s="720"/>
      <c r="QOH24" s="720"/>
      <c r="QOI24" s="720"/>
      <c r="QOJ24" s="720"/>
      <c r="QOK24" s="720"/>
      <c r="QOL24" s="720"/>
      <c r="QOM24" s="720"/>
      <c r="QON24" s="720"/>
      <c r="QOO24" s="720"/>
      <c r="QOP24" s="720"/>
      <c r="QOQ24" s="720"/>
      <c r="QOR24" s="720"/>
      <c r="QOS24" s="720"/>
      <c r="QOT24" s="720"/>
      <c r="QOU24" s="720"/>
      <c r="QOV24" s="720"/>
      <c r="QOW24" s="720"/>
      <c r="QOX24" s="720"/>
      <c r="QOY24" s="720"/>
      <c r="QOZ24" s="720"/>
      <c r="QPA24" s="720"/>
      <c r="QPB24" s="720"/>
      <c r="QPC24" s="720"/>
      <c r="QPD24" s="720"/>
      <c r="QPE24" s="720"/>
      <c r="QPF24" s="720"/>
      <c r="QPG24" s="720"/>
      <c r="QPH24" s="720"/>
      <c r="QPI24" s="720"/>
      <c r="QPJ24" s="720"/>
      <c r="QPK24" s="720"/>
      <c r="QPL24" s="720"/>
      <c r="QPM24" s="720"/>
      <c r="QPN24" s="720"/>
      <c r="QPO24" s="720"/>
      <c r="QPP24" s="720"/>
      <c r="QPQ24" s="720"/>
      <c r="QPR24" s="720"/>
      <c r="QPS24" s="720"/>
      <c r="QPT24" s="720"/>
      <c r="QPU24" s="720"/>
      <c r="QPV24" s="720"/>
      <c r="QPW24" s="720"/>
      <c r="QPX24" s="720"/>
      <c r="QPY24" s="720"/>
      <c r="QPZ24" s="720"/>
      <c r="QQA24" s="720"/>
      <c r="QQB24" s="720"/>
      <c r="QQC24" s="720"/>
      <c r="QQD24" s="720"/>
      <c r="QQE24" s="720"/>
      <c r="QQF24" s="720"/>
      <c r="QQG24" s="720"/>
      <c r="QQH24" s="720"/>
      <c r="QQI24" s="720"/>
      <c r="QQJ24" s="720"/>
      <c r="QQK24" s="720"/>
      <c r="QQL24" s="720"/>
      <c r="QQM24" s="720"/>
      <c r="QQN24" s="720"/>
      <c r="QQO24" s="720"/>
      <c r="QQP24" s="720"/>
      <c r="QQQ24" s="720"/>
      <c r="QQR24" s="720"/>
      <c r="QQS24" s="720"/>
      <c r="QQT24" s="720"/>
      <c r="QQU24" s="720"/>
      <c r="QQV24" s="720"/>
      <c r="QQW24" s="720"/>
      <c r="QQX24" s="720"/>
      <c r="QQY24" s="720"/>
      <c r="QQZ24" s="720"/>
      <c r="QRA24" s="720"/>
      <c r="QRB24" s="720"/>
      <c r="QRC24" s="720"/>
      <c r="QRD24" s="720"/>
      <c r="QRE24" s="720"/>
      <c r="QRF24" s="720"/>
      <c r="QRG24" s="720"/>
      <c r="QRH24" s="720"/>
      <c r="QRI24" s="720"/>
      <c r="QRJ24" s="720"/>
      <c r="QRK24" s="720"/>
      <c r="QRL24" s="720"/>
      <c r="QRM24" s="720"/>
      <c r="QRN24" s="720"/>
      <c r="QRO24" s="720"/>
      <c r="QRP24" s="720"/>
      <c r="QRQ24" s="720"/>
      <c r="QRR24" s="720"/>
      <c r="QRS24" s="720"/>
      <c r="QRT24" s="720"/>
      <c r="QRU24" s="720"/>
      <c r="QRV24" s="720"/>
      <c r="QRW24" s="720"/>
      <c r="QRX24" s="720"/>
      <c r="QRY24" s="720"/>
      <c r="QRZ24" s="720"/>
      <c r="QSA24" s="720"/>
      <c r="QSB24" s="720"/>
      <c r="QSC24" s="720"/>
      <c r="QSD24" s="720"/>
      <c r="QSE24" s="720"/>
      <c r="QSF24" s="720"/>
      <c r="QSG24" s="720"/>
      <c r="QSH24" s="720"/>
      <c r="QSI24" s="720"/>
      <c r="QSJ24" s="720"/>
      <c r="QSK24" s="720"/>
      <c r="QSL24" s="720"/>
      <c r="QSM24" s="720"/>
      <c r="QSN24" s="720"/>
      <c r="QSO24" s="720"/>
      <c r="QSP24" s="720"/>
      <c r="QSQ24" s="720"/>
      <c r="QSR24" s="720"/>
      <c r="QSS24" s="720"/>
      <c r="QST24" s="720"/>
      <c r="QSU24" s="720"/>
      <c r="QSV24" s="720"/>
      <c r="QSW24" s="720"/>
      <c r="QSX24" s="720"/>
      <c r="QSY24" s="720"/>
      <c r="QSZ24" s="720"/>
      <c r="QTA24" s="720"/>
      <c r="QTB24" s="720"/>
      <c r="QTC24" s="720"/>
      <c r="QTD24" s="720"/>
      <c r="QTE24" s="720"/>
      <c r="QTF24" s="720"/>
      <c r="QTG24" s="720"/>
      <c r="QTH24" s="720"/>
      <c r="QTI24" s="720"/>
      <c r="QTJ24" s="720"/>
      <c r="QTK24" s="720"/>
      <c r="QTL24" s="720"/>
      <c r="QTM24" s="720"/>
      <c r="QTN24" s="720"/>
      <c r="QTO24" s="720"/>
      <c r="QTP24" s="720"/>
      <c r="QTQ24" s="720"/>
      <c r="QTR24" s="720"/>
      <c r="QTS24" s="720"/>
      <c r="QTT24" s="720"/>
      <c r="QTU24" s="720"/>
      <c r="QTV24" s="720"/>
      <c r="QTW24" s="720"/>
      <c r="QTX24" s="720"/>
      <c r="QTY24" s="720"/>
      <c r="QTZ24" s="720"/>
      <c r="QUA24" s="720"/>
      <c r="QUB24" s="720"/>
      <c r="QUC24" s="720"/>
      <c r="QUD24" s="720"/>
      <c r="QUE24" s="720"/>
      <c r="QUF24" s="720"/>
      <c r="QUG24" s="720"/>
      <c r="QUH24" s="720"/>
      <c r="QUI24" s="720"/>
      <c r="QUJ24" s="720"/>
      <c r="QUK24" s="720"/>
      <c r="QUL24" s="720"/>
      <c r="QUM24" s="720"/>
      <c r="QUN24" s="720"/>
      <c r="QUO24" s="720"/>
      <c r="QUP24" s="720"/>
      <c r="QUQ24" s="720"/>
      <c r="QUR24" s="720"/>
      <c r="QUS24" s="720"/>
      <c r="QUT24" s="720"/>
      <c r="QUU24" s="720"/>
      <c r="QUV24" s="720"/>
      <c r="QUW24" s="720"/>
      <c r="QUX24" s="720"/>
      <c r="QUY24" s="720"/>
      <c r="QUZ24" s="720"/>
      <c r="QVA24" s="720"/>
      <c r="QVB24" s="720"/>
      <c r="QVC24" s="720"/>
      <c r="QVD24" s="720"/>
      <c r="QVE24" s="720"/>
      <c r="QVF24" s="720"/>
      <c r="QVG24" s="720"/>
      <c r="QVH24" s="720"/>
      <c r="QVI24" s="720"/>
      <c r="QVJ24" s="720"/>
      <c r="QVK24" s="720"/>
      <c r="QVL24" s="720"/>
      <c r="QVM24" s="720"/>
      <c r="QVN24" s="720"/>
      <c r="QVO24" s="720"/>
      <c r="QVP24" s="720"/>
      <c r="QVQ24" s="720"/>
      <c r="QVR24" s="720"/>
      <c r="QVS24" s="720"/>
      <c r="QVT24" s="720"/>
      <c r="QVU24" s="720"/>
      <c r="QVV24" s="720"/>
      <c r="QVW24" s="720"/>
      <c r="QVX24" s="720"/>
      <c r="QVY24" s="720"/>
      <c r="QVZ24" s="720"/>
      <c r="QWA24" s="720"/>
      <c r="QWB24" s="720"/>
      <c r="QWC24" s="720"/>
      <c r="QWD24" s="720"/>
      <c r="QWE24" s="720"/>
      <c r="QWF24" s="720"/>
      <c r="QWG24" s="720"/>
      <c r="QWH24" s="720"/>
      <c r="QWI24" s="720"/>
      <c r="QWJ24" s="720"/>
      <c r="QWK24" s="720"/>
      <c r="QWL24" s="720"/>
      <c r="QWM24" s="720"/>
      <c r="QWN24" s="720"/>
      <c r="QWO24" s="720"/>
      <c r="QWP24" s="720"/>
      <c r="QWQ24" s="720"/>
      <c r="QWR24" s="720"/>
      <c r="QWS24" s="720"/>
      <c r="QWT24" s="720"/>
      <c r="QWU24" s="720"/>
      <c r="QWV24" s="720"/>
      <c r="QWW24" s="720"/>
      <c r="QWX24" s="720"/>
      <c r="QWY24" s="720"/>
      <c r="QWZ24" s="720"/>
      <c r="QXA24" s="720"/>
      <c r="QXB24" s="720"/>
      <c r="QXC24" s="720"/>
      <c r="QXD24" s="720"/>
      <c r="QXE24" s="720"/>
      <c r="QXF24" s="720"/>
      <c r="QXG24" s="720"/>
      <c r="QXH24" s="720"/>
      <c r="QXI24" s="720"/>
      <c r="QXJ24" s="720"/>
      <c r="QXK24" s="720"/>
      <c r="QXL24" s="720"/>
      <c r="QXM24" s="720"/>
      <c r="QXN24" s="720"/>
      <c r="QXO24" s="720"/>
      <c r="QXP24" s="720"/>
      <c r="QXQ24" s="720"/>
      <c r="QXR24" s="720"/>
      <c r="QXS24" s="720"/>
      <c r="QXT24" s="720"/>
      <c r="QXU24" s="720"/>
      <c r="QXV24" s="720"/>
      <c r="QXW24" s="720"/>
      <c r="QXX24" s="720"/>
      <c r="QXY24" s="720"/>
      <c r="QXZ24" s="720"/>
      <c r="QYA24" s="720"/>
      <c r="QYB24" s="720"/>
      <c r="QYC24" s="720"/>
      <c r="QYD24" s="720"/>
      <c r="QYE24" s="720"/>
      <c r="QYF24" s="720"/>
      <c r="QYG24" s="720"/>
      <c r="QYH24" s="720"/>
      <c r="QYI24" s="720"/>
      <c r="QYJ24" s="720"/>
      <c r="QYK24" s="720"/>
      <c r="QYL24" s="720"/>
      <c r="QYM24" s="720"/>
      <c r="QYN24" s="720"/>
      <c r="QYO24" s="720"/>
      <c r="QYP24" s="720"/>
      <c r="QYQ24" s="720"/>
      <c r="QYR24" s="720"/>
      <c r="QYS24" s="720"/>
      <c r="QYT24" s="720"/>
      <c r="QYU24" s="720"/>
      <c r="QYV24" s="720"/>
      <c r="QYW24" s="720"/>
      <c r="QYX24" s="720"/>
      <c r="QYY24" s="720"/>
      <c r="QYZ24" s="720"/>
      <c r="QZA24" s="720"/>
      <c r="QZB24" s="720"/>
      <c r="QZC24" s="720"/>
      <c r="QZD24" s="720"/>
      <c r="QZE24" s="720"/>
      <c r="QZF24" s="720"/>
      <c r="QZG24" s="720"/>
      <c r="QZH24" s="720"/>
      <c r="QZI24" s="720"/>
      <c r="QZJ24" s="720"/>
      <c r="QZK24" s="720"/>
      <c r="QZL24" s="720"/>
      <c r="QZM24" s="720"/>
      <c r="QZN24" s="720"/>
      <c r="QZO24" s="720"/>
      <c r="QZP24" s="720"/>
      <c r="QZQ24" s="720"/>
      <c r="QZR24" s="720"/>
      <c r="QZS24" s="720"/>
      <c r="QZT24" s="720"/>
      <c r="QZU24" s="720"/>
      <c r="QZV24" s="720"/>
      <c r="QZW24" s="720"/>
      <c r="QZX24" s="720"/>
      <c r="QZY24" s="720"/>
      <c r="QZZ24" s="720"/>
      <c r="RAA24" s="720"/>
      <c r="RAB24" s="720"/>
      <c r="RAC24" s="720"/>
      <c r="RAD24" s="720"/>
      <c r="RAE24" s="720"/>
      <c r="RAF24" s="720"/>
      <c r="RAG24" s="720"/>
      <c r="RAH24" s="720"/>
      <c r="RAI24" s="720"/>
      <c r="RAJ24" s="720"/>
      <c r="RAK24" s="720"/>
      <c r="RAL24" s="720"/>
      <c r="RAM24" s="720"/>
      <c r="RAN24" s="720"/>
      <c r="RAO24" s="720"/>
      <c r="RAP24" s="720"/>
      <c r="RAQ24" s="720"/>
      <c r="RAR24" s="720"/>
      <c r="RAS24" s="720"/>
      <c r="RAT24" s="720"/>
      <c r="RAU24" s="720"/>
      <c r="RAV24" s="720"/>
      <c r="RAW24" s="720"/>
      <c r="RAX24" s="720"/>
      <c r="RAY24" s="720"/>
      <c r="RAZ24" s="720"/>
      <c r="RBA24" s="720"/>
      <c r="RBB24" s="720"/>
      <c r="RBC24" s="720"/>
      <c r="RBD24" s="720"/>
      <c r="RBE24" s="720"/>
      <c r="RBF24" s="720"/>
      <c r="RBG24" s="720"/>
      <c r="RBH24" s="720"/>
      <c r="RBI24" s="720"/>
      <c r="RBJ24" s="720"/>
      <c r="RBK24" s="720"/>
      <c r="RBL24" s="720"/>
      <c r="RBM24" s="720"/>
      <c r="RBN24" s="720"/>
      <c r="RBO24" s="720"/>
      <c r="RBP24" s="720"/>
      <c r="RBQ24" s="720"/>
      <c r="RBR24" s="720"/>
      <c r="RBS24" s="720"/>
      <c r="RBT24" s="720"/>
      <c r="RBU24" s="720"/>
      <c r="RBV24" s="720"/>
      <c r="RBW24" s="720"/>
      <c r="RBX24" s="720"/>
      <c r="RBY24" s="720"/>
      <c r="RBZ24" s="720"/>
      <c r="RCA24" s="720"/>
      <c r="RCB24" s="720"/>
      <c r="RCC24" s="720"/>
      <c r="RCD24" s="720"/>
      <c r="RCE24" s="720"/>
      <c r="RCF24" s="720"/>
      <c r="RCG24" s="720"/>
      <c r="RCH24" s="720"/>
      <c r="RCI24" s="720"/>
      <c r="RCJ24" s="720"/>
      <c r="RCK24" s="720"/>
      <c r="RCL24" s="720"/>
      <c r="RCM24" s="720"/>
      <c r="RCN24" s="720"/>
      <c r="RCO24" s="720"/>
      <c r="RCP24" s="720"/>
      <c r="RCQ24" s="720"/>
      <c r="RCR24" s="720"/>
      <c r="RCS24" s="720"/>
      <c r="RCT24" s="720"/>
      <c r="RCU24" s="720"/>
      <c r="RCV24" s="720"/>
      <c r="RCW24" s="720"/>
      <c r="RCX24" s="720"/>
      <c r="RCY24" s="720"/>
      <c r="RCZ24" s="720"/>
      <c r="RDA24" s="720"/>
      <c r="RDB24" s="720"/>
      <c r="RDC24" s="720"/>
      <c r="RDD24" s="720"/>
      <c r="RDE24" s="720"/>
      <c r="RDF24" s="720"/>
      <c r="RDG24" s="720"/>
      <c r="RDH24" s="720"/>
      <c r="RDI24" s="720"/>
      <c r="RDJ24" s="720"/>
      <c r="RDK24" s="720"/>
      <c r="RDL24" s="720"/>
      <c r="RDM24" s="720"/>
      <c r="RDN24" s="720"/>
      <c r="RDO24" s="720"/>
      <c r="RDP24" s="720"/>
      <c r="RDQ24" s="720"/>
      <c r="RDR24" s="720"/>
      <c r="RDS24" s="720"/>
      <c r="RDT24" s="720"/>
      <c r="RDU24" s="720"/>
      <c r="RDV24" s="720"/>
      <c r="RDW24" s="720"/>
      <c r="RDX24" s="720"/>
      <c r="RDY24" s="720"/>
      <c r="RDZ24" s="720"/>
      <c r="REA24" s="720"/>
      <c r="REB24" s="720"/>
      <c r="REC24" s="720"/>
      <c r="RED24" s="720"/>
      <c r="REE24" s="720"/>
      <c r="REF24" s="720"/>
      <c r="REG24" s="720"/>
      <c r="REH24" s="720"/>
      <c r="REI24" s="720"/>
      <c r="REJ24" s="720"/>
      <c r="REK24" s="720"/>
      <c r="REL24" s="720"/>
      <c r="REM24" s="720"/>
      <c r="REN24" s="720"/>
      <c r="REO24" s="720"/>
      <c r="REP24" s="720"/>
      <c r="REQ24" s="720"/>
      <c r="RER24" s="720"/>
      <c r="RES24" s="720"/>
      <c r="RET24" s="720"/>
      <c r="REU24" s="720"/>
      <c r="REV24" s="720"/>
      <c r="REW24" s="720"/>
      <c r="REX24" s="720"/>
      <c r="REY24" s="720"/>
      <c r="REZ24" s="720"/>
      <c r="RFA24" s="720"/>
      <c r="RFB24" s="720"/>
      <c r="RFC24" s="720"/>
      <c r="RFD24" s="720"/>
      <c r="RFE24" s="720"/>
      <c r="RFF24" s="720"/>
      <c r="RFG24" s="720"/>
      <c r="RFH24" s="720"/>
      <c r="RFI24" s="720"/>
      <c r="RFJ24" s="720"/>
      <c r="RFK24" s="720"/>
      <c r="RFL24" s="720"/>
      <c r="RFM24" s="720"/>
      <c r="RFN24" s="720"/>
      <c r="RFO24" s="720"/>
      <c r="RFP24" s="720"/>
      <c r="RFQ24" s="720"/>
      <c r="RFR24" s="720"/>
      <c r="RFS24" s="720"/>
      <c r="RFT24" s="720"/>
      <c r="RFU24" s="720"/>
      <c r="RFV24" s="720"/>
      <c r="RFW24" s="720"/>
      <c r="RFX24" s="720"/>
      <c r="RFY24" s="720"/>
      <c r="RFZ24" s="720"/>
      <c r="RGA24" s="720"/>
      <c r="RGB24" s="720"/>
      <c r="RGC24" s="720"/>
      <c r="RGD24" s="720"/>
      <c r="RGE24" s="720"/>
      <c r="RGF24" s="720"/>
      <c r="RGG24" s="720"/>
      <c r="RGH24" s="720"/>
      <c r="RGI24" s="720"/>
      <c r="RGJ24" s="720"/>
      <c r="RGK24" s="720"/>
      <c r="RGL24" s="720"/>
      <c r="RGM24" s="720"/>
      <c r="RGN24" s="720"/>
      <c r="RGO24" s="720"/>
      <c r="RGP24" s="720"/>
      <c r="RGQ24" s="720"/>
      <c r="RGR24" s="720"/>
      <c r="RGS24" s="720"/>
      <c r="RGT24" s="720"/>
      <c r="RGU24" s="720"/>
      <c r="RGV24" s="720"/>
      <c r="RGW24" s="720"/>
      <c r="RGX24" s="720"/>
      <c r="RGY24" s="720"/>
      <c r="RGZ24" s="720"/>
      <c r="RHA24" s="720"/>
      <c r="RHB24" s="720"/>
      <c r="RHC24" s="720"/>
      <c r="RHD24" s="720"/>
      <c r="RHE24" s="720"/>
      <c r="RHF24" s="720"/>
      <c r="RHG24" s="720"/>
      <c r="RHH24" s="720"/>
      <c r="RHI24" s="720"/>
      <c r="RHJ24" s="720"/>
      <c r="RHK24" s="720"/>
      <c r="RHL24" s="720"/>
      <c r="RHM24" s="720"/>
      <c r="RHN24" s="720"/>
      <c r="RHO24" s="720"/>
      <c r="RHP24" s="720"/>
      <c r="RHQ24" s="720"/>
      <c r="RHR24" s="720"/>
      <c r="RHS24" s="720"/>
      <c r="RHT24" s="720"/>
      <c r="RHU24" s="720"/>
      <c r="RHV24" s="720"/>
      <c r="RHW24" s="720"/>
      <c r="RHX24" s="720"/>
      <c r="RHY24" s="720"/>
      <c r="RHZ24" s="720"/>
      <c r="RIA24" s="720"/>
      <c r="RIB24" s="720"/>
      <c r="RIC24" s="720"/>
      <c r="RID24" s="720"/>
      <c r="RIE24" s="720"/>
      <c r="RIF24" s="720"/>
      <c r="RIG24" s="720"/>
      <c r="RIH24" s="720"/>
      <c r="RII24" s="720"/>
      <c r="RIJ24" s="720"/>
      <c r="RIK24" s="720"/>
      <c r="RIL24" s="720"/>
      <c r="RIM24" s="720"/>
      <c r="RIN24" s="720"/>
      <c r="RIO24" s="720"/>
      <c r="RIP24" s="720"/>
      <c r="RIQ24" s="720"/>
      <c r="RIR24" s="720"/>
      <c r="RIS24" s="720"/>
      <c r="RIT24" s="720"/>
      <c r="RIU24" s="720"/>
      <c r="RIV24" s="720"/>
      <c r="RIW24" s="720"/>
      <c r="RIX24" s="720"/>
      <c r="RIY24" s="720"/>
      <c r="RIZ24" s="720"/>
      <c r="RJA24" s="720"/>
      <c r="RJB24" s="720"/>
      <c r="RJC24" s="720"/>
      <c r="RJD24" s="720"/>
      <c r="RJE24" s="720"/>
      <c r="RJF24" s="720"/>
      <c r="RJG24" s="720"/>
      <c r="RJH24" s="720"/>
      <c r="RJI24" s="720"/>
      <c r="RJJ24" s="720"/>
      <c r="RJK24" s="720"/>
      <c r="RJL24" s="720"/>
      <c r="RJM24" s="720"/>
      <c r="RJN24" s="720"/>
      <c r="RJO24" s="720"/>
      <c r="RJP24" s="720"/>
      <c r="RJQ24" s="720"/>
      <c r="RJR24" s="720"/>
      <c r="RJS24" s="720"/>
      <c r="RJT24" s="720"/>
      <c r="RJU24" s="720"/>
      <c r="RJV24" s="720"/>
      <c r="RJW24" s="720"/>
      <c r="RJX24" s="720"/>
      <c r="RJY24" s="720"/>
      <c r="RJZ24" s="720"/>
      <c r="RKA24" s="720"/>
      <c r="RKB24" s="720"/>
      <c r="RKC24" s="720"/>
      <c r="RKD24" s="720"/>
      <c r="RKE24" s="720"/>
      <c r="RKF24" s="720"/>
      <c r="RKG24" s="720"/>
      <c r="RKH24" s="720"/>
      <c r="RKI24" s="720"/>
      <c r="RKJ24" s="720"/>
      <c r="RKK24" s="720"/>
      <c r="RKL24" s="720"/>
      <c r="RKM24" s="720"/>
      <c r="RKN24" s="720"/>
      <c r="RKO24" s="720"/>
      <c r="RKP24" s="720"/>
      <c r="RKQ24" s="720"/>
      <c r="RKR24" s="720"/>
      <c r="RKS24" s="720"/>
      <c r="RKT24" s="720"/>
      <c r="RKU24" s="720"/>
      <c r="RKV24" s="720"/>
      <c r="RKW24" s="720"/>
      <c r="RKX24" s="720"/>
      <c r="RKY24" s="720"/>
      <c r="RKZ24" s="720"/>
      <c r="RLA24" s="720"/>
      <c r="RLB24" s="720"/>
      <c r="RLC24" s="720"/>
      <c r="RLD24" s="720"/>
      <c r="RLE24" s="720"/>
      <c r="RLF24" s="720"/>
      <c r="RLG24" s="720"/>
      <c r="RLH24" s="720"/>
      <c r="RLI24" s="720"/>
      <c r="RLJ24" s="720"/>
      <c r="RLK24" s="720"/>
      <c r="RLL24" s="720"/>
      <c r="RLM24" s="720"/>
      <c r="RLN24" s="720"/>
      <c r="RLO24" s="720"/>
      <c r="RLP24" s="720"/>
      <c r="RLQ24" s="720"/>
      <c r="RLR24" s="720"/>
      <c r="RLS24" s="720"/>
      <c r="RLT24" s="720"/>
      <c r="RLU24" s="720"/>
      <c r="RLV24" s="720"/>
      <c r="RLW24" s="720"/>
      <c r="RLX24" s="720"/>
      <c r="RLY24" s="720"/>
      <c r="RLZ24" s="720"/>
      <c r="RMA24" s="720"/>
      <c r="RMB24" s="720"/>
      <c r="RMC24" s="720"/>
      <c r="RMD24" s="720"/>
      <c r="RME24" s="720"/>
      <c r="RMF24" s="720"/>
      <c r="RMG24" s="720"/>
      <c r="RMH24" s="720"/>
      <c r="RMI24" s="720"/>
      <c r="RMJ24" s="720"/>
      <c r="RMK24" s="720"/>
      <c r="RML24" s="720"/>
      <c r="RMM24" s="720"/>
      <c r="RMN24" s="720"/>
      <c r="RMO24" s="720"/>
      <c r="RMP24" s="720"/>
      <c r="RMQ24" s="720"/>
      <c r="RMR24" s="720"/>
      <c r="RMS24" s="720"/>
      <c r="RMT24" s="720"/>
      <c r="RMU24" s="720"/>
      <c r="RMV24" s="720"/>
      <c r="RMW24" s="720"/>
      <c r="RMX24" s="720"/>
      <c r="RMY24" s="720"/>
      <c r="RMZ24" s="720"/>
      <c r="RNA24" s="720"/>
      <c r="RNB24" s="720"/>
      <c r="RNC24" s="720"/>
      <c r="RND24" s="720"/>
      <c r="RNE24" s="720"/>
      <c r="RNF24" s="720"/>
      <c r="RNG24" s="720"/>
      <c r="RNH24" s="720"/>
      <c r="RNI24" s="720"/>
      <c r="RNJ24" s="720"/>
      <c r="RNK24" s="720"/>
      <c r="RNL24" s="720"/>
      <c r="RNM24" s="720"/>
      <c r="RNN24" s="720"/>
      <c r="RNO24" s="720"/>
      <c r="RNP24" s="720"/>
      <c r="RNQ24" s="720"/>
      <c r="RNR24" s="720"/>
      <c r="RNS24" s="720"/>
      <c r="RNT24" s="720"/>
      <c r="RNU24" s="720"/>
      <c r="RNV24" s="720"/>
      <c r="RNW24" s="720"/>
      <c r="RNX24" s="720"/>
      <c r="RNY24" s="720"/>
      <c r="RNZ24" s="720"/>
      <c r="ROA24" s="720"/>
      <c r="ROB24" s="720"/>
      <c r="ROC24" s="720"/>
      <c r="ROD24" s="720"/>
      <c r="ROE24" s="720"/>
      <c r="ROF24" s="720"/>
      <c r="ROG24" s="720"/>
      <c r="ROH24" s="720"/>
      <c r="ROI24" s="720"/>
      <c r="ROJ24" s="720"/>
      <c r="ROK24" s="720"/>
      <c r="ROL24" s="720"/>
      <c r="ROM24" s="720"/>
      <c r="RON24" s="720"/>
      <c r="ROO24" s="720"/>
      <c r="ROP24" s="720"/>
      <c r="ROQ24" s="720"/>
      <c r="ROR24" s="720"/>
      <c r="ROS24" s="720"/>
      <c r="ROT24" s="720"/>
      <c r="ROU24" s="720"/>
      <c r="ROV24" s="720"/>
      <c r="ROW24" s="720"/>
      <c r="ROX24" s="720"/>
      <c r="ROY24" s="720"/>
      <c r="ROZ24" s="720"/>
      <c r="RPA24" s="720"/>
      <c r="RPB24" s="720"/>
      <c r="RPC24" s="720"/>
      <c r="RPD24" s="720"/>
      <c r="RPE24" s="720"/>
      <c r="RPF24" s="720"/>
      <c r="RPG24" s="720"/>
      <c r="RPH24" s="720"/>
      <c r="RPI24" s="720"/>
      <c r="RPJ24" s="720"/>
      <c r="RPK24" s="720"/>
      <c r="RPL24" s="720"/>
      <c r="RPM24" s="720"/>
      <c r="RPN24" s="720"/>
      <c r="RPO24" s="720"/>
      <c r="RPP24" s="720"/>
      <c r="RPQ24" s="720"/>
      <c r="RPR24" s="720"/>
      <c r="RPS24" s="720"/>
      <c r="RPT24" s="720"/>
      <c r="RPU24" s="720"/>
      <c r="RPV24" s="720"/>
      <c r="RPW24" s="720"/>
      <c r="RPX24" s="720"/>
      <c r="RPY24" s="720"/>
      <c r="RPZ24" s="720"/>
      <c r="RQA24" s="720"/>
      <c r="RQB24" s="720"/>
      <c r="RQC24" s="720"/>
      <c r="RQD24" s="720"/>
      <c r="RQE24" s="720"/>
      <c r="RQF24" s="720"/>
      <c r="RQG24" s="720"/>
      <c r="RQH24" s="720"/>
      <c r="RQI24" s="720"/>
      <c r="RQJ24" s="720"/>
      <c r="RQK24" s="720"/>
      <c r="RQL24" s="720"/>
      <c r="RQM24" s="720"/>
      <c r="RQN24" s="720"/>
      <c r="RQO24" s="720"/>
      <c r="RQP24" s="720"/>
      <c r="RQQ24" s="720"/>
      <c r="RQR24" s="720"/>
      <c r="RQS24" s="720"/>
      <c r="RQT24" s="720"/>
      <c r="RQU24" s="720"/>
      <c r="RQV24" s="720"/>
      <c r="RQW24" s="720"/>
      <c r="RQX24" s="720"/>
      <c r="RQY24" s="720"/>
      <c r="RQZ24" s="720"/>
      <c r="RRA24" s="720"/>
      <c r="RRB24" s="720"/>
      <c r="RRC24" s="720"/>
      <c r="RRD24" s="720"/>
      <c r="RRE24" s="720"/>
      <c r="RRF24" s="720"/>
      <c r="RRG24" s="720"/>
      <c r="RRH24" s="720"/>
      <c r="RRI24" s="720"/>
      <c r="RRJ24" s="720"/>
      <c r="RRK24" s="720"/>
      <c r="RRL24" s="720"/>
      <c r="RRM24" s="720"/>
      <c r="RRN24" s="720"/>
      <c r="RRO24" s="720"/>
      <c r="RRP24" s="720"/>
      <c r="RRQ24" s="720"/>
      <c r="RRR24" s="720"/>
      <c r="RRS24" s="720"/>
      <c r="RRT24" s="720"/>
      <c r="RRU24" s="720"/>
      <c r="RRV24" s="720"/>
      <c r="RRW24" s="720"/>
      <c r="RRX24" s="720"/>
      <c r="RRY24" s="720"/>
      <c r="RRZ24" s="720"/>
      <c r="RSA24" s="720"/>
      <c r="RSB24" s="720"/>
      <c r="RSC24" s="720"/>
      <c r="RSD24" s="720"/>
      <c r="RSE24" s="720"/>
      <c r="RSF24" s="720"/>
      <c r="RSG24" s="720"/>
      <c r="RSH24" s="720"/>
      <c r="RSI24" s="720"/>
      <c r="RSJ24" s="720"/>
      <c r="RSK24" s="720"/>
      <c r="RSL24" s="720"/>
      <c r="RSM24" s="720"/>
      <c r="RSN24" s="720"/>
      <c r="RSO24" s="720"/>
      <c r="RSP24" s="720"/>
      <c r="RSQ24" s="720"/>
      <c r="RSR24" s="720"/>
      <c r="RSS24" s="720"/>
      <c r="RST24" s="720"/>
      <c r="RSU24" s="720"/>
      <c r="RSV24" s="720"/>
      <c r="RSW24" s="720"/>
      <c r="RSX24" s="720"/>
      <c r="RSY24" s="720"/>
      <c r="RSZ24" s="720"/>
      <c r="RTA24" s="720"/>
      <c r="RTB24" s="720"/>
      <c r="RTC24" s="720"/>
      <c r="RTD24" s="720"/>
      <c r="RTE24" s="720"/>
      <c r="RTF24" s="720"/>
      <c r="RTG24" s="720"/>
      <c r="RTH24" s="720"/>
      <c r="RTI24" s="720"/>
      <c r="RTJ24" s="720"/>
      <c r="RTK24" s="720"/>
      <c r="RTL24" s="720"/>
      <c r="RTM24" s="720"/>
      <c r="RTN24" s="720"/>
      <c r="RTO24" s="720"/>
      <c r="RTP24" s="720"/>
      <c r="RTQ24" s="720"/>
      <c r="RTR24" s="720"/>
      <c r="RTS24" s="720"/>
      <c r="RTT24" s="720"/>
      <c r="RTU24" s="720"/>
      <c r="RTV24" s="720"/>
      <c r="RTW24" s="720"/>
      <c r="RTX24" s="720"/>
      <c r="RTY24" s="720"/>
      <c r="RTZ24" s="720"/>
      <c r="RUA24" s="720"/>
      <c r="RUB24" s="720"/>
      <c r="RUC24" s="720"/>
      <c r="RUD24" s="720"/>
      <c r="RUE24" s="720"/>
      <c r="RUF24" s="720"/>
      <c r="RUG24" s="720"/>
      <c r="RUH24" s="720"/>
      <c r="RUI24" s="720"/>
      <c r="RUJ24" s="720"/>
      <c r="RUK24" s="720"/>
      <c r="RUL24" s="720"/>
      <c r="RUM24" s="720"/>
      <c r="RUN24" s="720"/>
      <c r="RUO24" s="720"/>
      <c r="RUP24" s="720"/>
      <c r="RUQ24" s="720"/>
      <c r="RUR24" s="720"/>
      <c r="RUS24" s="720"/>
      <c r="RUT24" s="720"/>
      <c r="RUU24" s="720"/>
      <c r="RUV24" s="720"/>
      <c r="RUW24" s="720"/>
      <c r="RUX24" s="720"/>
      <c r="RUY24" s="720"/>
      <c r="RUZ24" s="720"/>
      <c r="RVA24" s="720"/>
      <c r="RVB24" s="720"/>
      <c r="RVC24" s="720"/>
      <c r="RVD24" s="720"/>
      <c r="RVE24" s="720"/>
      <c r="RVF24" s="720"/>
      <c r="RVG24" s="720"/>
      <c r="RVH24" s="720"/>
      <c r="RVI24" s="720"/>
      <c r="RVJ24" s="720"/>
      <c r="RVK24" s="720"/>
      <c r="RVL24" s="720"/>
      <c r="RVM24" s="720"/>
      <c r="RVN24" s="720"/>
      <c r="RVO24" s="720"/>
      <c r="RVP24" s="720"/>
      <c r="RVQ24" s="720"/>
      <c r="RVR24" s="720"/>
      <c r="RVS24" s="720"/>
      <c r="RVT24" s="720"/>
      <c r="RVU24" s="720"/>
      <c r="RVV24" s="720"/>
      <c r="RVW24" s="720"/>
      <c r="RVX24" s="720"/>
      <c r="RVY24" s="720"/>
      <c r="RVZ24" s="720"/>
      <c r="RWA24" s="720"/>
      <c r="RWB24" s="720"/>
      <c r="RWC24" s="720"/>
      <c r="RWD24" s="720"/>
      <c r="RWE24" s="720"/>
      <c r="RWF24" s="720"/>
      <c r="RWG24" s="720"/>
      <c r="RWH24" s="720"/>
      <c r="RWI24" s="720"/>
      <c r="RWJ24" s="720"/>
      <c r="RWK24" s="720"/>
      <c r="RWL24" s="720"/>
      <c r="RWM24" s="720"/>
      <c r="RWN24" s="720"/>
      <c r="RWO24" s="720"/>
      <c r="RWP24" s="720"/>
      <c r="RWQ24" s="720"/>
      <c r="RWR24" s="720"/>
      <c r="RWS24" s="720"/>
      <c r="RWT24" s="720"/>
      <c r="RWU24" s="720"/>
      <c r="RWV24" s="720"/>
      <c r="RWW24" s="720"/>
      <c r="RWX24" s="720"/>
      <c r="RWY24" s="720"/>
      <c r="RWZ24" s="720"/>
      <c r="RXA24" s="720"/>
      <c r="RXB24" s="720"/>
      <c r="RXC24" s="720"/>
      <c r="RXD24" s="720"/>
      <c r="RXE24" s="720"/>
      <c r="RXF24" s="720"/>
      <c r="RXG24" s="720"/>
      <c r="RXH24" s="720"/>
      <c r="RXI24" s="720"/>
      <c r="RXJ24" s="720"/>
      <c r="RXK24" s="720"/>
      <c r="RXL24" s="720"/>
      <c r="RXM24" s="720"/>
      <c r="RXN24" s="720"/>
      <c r="RXO24" s="720"/>
      <c r="RXP24" s="720"/>
      <c r="RXQ24" s="720"/>
      <c r="RXR24" s="720"/>
      <c r="RXS24" s="720"/>
      <c r="RXT24" s="720"/>
      <c r="RXU24" s="720"/>
      <c r="RXV24" s="720"/>
      <c r="RXW24" s="720"/>
      <c r="RXX24" s="720"/>
      <c r="RXY24" s="720"/>
      <c r="RXZ24" s="720"/>
      <c r="RYA24" s="720"/>
      <c r="RYB24" s="720"/>
      <c r="RYC24" s="720"/>
      <c r="RYD24" s="720"/>
      <c r="RYE24" s="720"/>
      <c r="RYF24" s="720"/>
      <c r="RYG24" s="720"/>
      <c r="RYH24" s="720"/>
      <c r="RYI24" s="720"/>
      <c r="RYJ24" s="720"/>
      <c r="RYK24" s="720"/>
      <c r="RYL24" s="720"/>
      <c r="RYM24" s="720"/>
      <c r="RYN24" s="720"/>
      <c r="RYO24" s="720"/>
      <c r="RYP24" s="720"/>
      <c r="RYQ24" s="720"/>
      <c r="RYR24" s="720"/>
      <c r="RYS24" s="720"/>
      <c r="RYT24" s="720"/>
      <c r="RYU24" s="720"/>
      <c r="RYV24" s="720"/>
      <c r="RYW24" s="720"/>
      <c r="RYX24" s="720"/>
      <c r="RYY24" s="720"/>
      <c r="RYZ24" s="720"/>
      <c r="RZA24" s="720"/>
      <c r="RZB24" s="720"/>
      <c r="RZC24" s="720"/>
      <c r="RZD24" s="720"/>
      <c r="RZE24" s="720"/>
      <c r="RZF24" s="720"/>
      <c r="RZG24" s="720"/>
      <c r="RZH24" s="720"/>
      <c r="RZI24" s="720"/>
      <c r="RZJ24" s="720"/>
      <c r="RZK24" s="720"/>
      <c r="RZL24" s="720"/>
      <c r="RZM24" s="720"/>
      <c r="RZN24" s="720"/>
      <c r="RZO24" s="720"/>
      <c r="RZP24" s="720"/>
      <c r="RZQ24" s="720"/>
      <c r="RZR24" s="720"/>
      <c r="RZS24" s="720"/>
      <c r="RZT24" s="720"/>
      <c r="RZU24" s="720"/>
      <c r="RZV24" s="720"/>
      <c r="RZW24" s="720"/>
      <c r="RZX24" s="720"/>
      <c r="RZY24" s="720"/>
      <c r="RZZ24" s="720"/>
      <c r="SAA24" s="720"/>
      <c r="SAB24" s="720"/>
      <c r="SAC24" s="720"/>
      <c r="SAD24" s="720"/>
      <c r="SAE24" s="720"/>
      <c r="SAF24" s="720"/>
      <c r="SAG24" s="720"/>
      <c r="SAH24" s="720"/>
      <c r="SAI24" s="720"/>
      <c r="SAJ24" s="720"/>
      <c r="SAK24" s="720"/>
      <c r="SAL24" s="720"/>
      <c r="SAM24" s="720"/>
      <c r="SAN24" s="720"/>
      <c r="SAO24" s="720"/>
      <c r="SAP24" s="720"/>
      <c r="SAQ24" s="720"/>
      <c r="SAR24" s="720"/>
      <c r="SAS24" s="720"/>
      <c r="SAT24" s="720"/>
      <c r="SAU24" s="720"/>
      <c r="SAV24" s="720"/>
      <c r="SAW24" s="720"/>
      <c r="SAX24" s="720"/>
      <c r="SAY24" s="720"/>
      <c r="SAZ24" s="720"/>
      <c r="SBA24" s="720"/>
      <c r="SBB24" s="720"/>
      <c r="SBC24" s="720"/>
      <c r="SBD24" s="720"/>
      <c r="SBE24" s="720"/>
      <c r="SBF24" s="720"/>
      <c r="SBG24" s="720"/>
      <c r="SBH24" s="720"/>
      <c r="SBI24" s="720"/>
      <c r="SBJ24" s="720"/>
      <c r="SBK24" s="720"/>
      <c r="SBL24" s="720"/>
      <c r="SBM24" s="720"/>
      <c r="SBN24" s="720"/>
      <c r="SBO24" s="720"/>
      <c r="SBP24" s="720"/>
      <c r="SBQ24" s="720"/>
      <c r="SBR24" s="720"/>
      <c r="SBS24" s="720"/>
      <c r="SBT24" s="720"/>
      <c r="SBU24" s="720"/>
      <c r="SBV24" s="720"/>
      <c r="SBW24" s="720"/>
      <c r="SBX24" s="720"/>
      <c r="SBY24" s="720"/>
      <c r="SBZ24" s="720"/>
      <c r="SCA24" s="720"/>
      <c r="SCB24" s="720"/>
      <c r="SCC24" s="720"/>
      <c r="SCD24" s="720"/>
      <c r="SCE24" s="720"/>
      <c r="SCF24" s="720"/>
      <c r="SCG24" s="720"/>
      <c r="SCH24" s="720"/>
      <c r="SCI24" s="720"/>
      <c r="SCJ24" s="720"/>
      <c r="SCK24" s="720"/>
      <c r="SCL24" s="720"/>
      <c r="SCM24" s="720"/>
      <c r="SCN24" s="720"/>
      <c r="SCO24" s="720"/>
      <c r="SCP24" s="720"/>
      <c r="SCQ24" s="720"/>
      <c r="SCR24" s="720"/>
      <c r="SCS24" s="720"/>
      <c r="SCT24" s="720"/>
      <c r="SCU24" s="720"/>
      <c r="SCV24" s="720"/>
      <c r="SCW24" s="720"/>
      <c r="SCX24" s="720"/>
      <c r="SCY24" s="720"/>
      <c r="SCZ24" s="720"/>
      <c r="SDA24" s="720"/>
      <c r="SDB24" s="720"/>
      <c r="SDC24" s="720"/>
      <c r="SDD24" s="720"/>
      <c r="SDE24" s="720"/>
      <c r="SDF24" s="720"/>
      <c r="SDG24" s="720"/>
      <c r="SDH24" s="720"/>
      <c r="SDI24" s="720"/>
      <c r="SDJ24" s="720"/>
      <c r="SDK24" s="720"/>
      <c r="SDL24" s="720"/>
      <c r="SDM24" s="720"/>
      <c r="SDN24" s="720"/>
      <c r="SDO24" s="720"/>
      <c r="SDP24" s="720"/>
      <c r="SDQ24" s="720"/>
      <c r="SDR24" s="720"/>
      <c r="SDS24" s="720"/>
      <c r="SDT24" s="720"/>
      <c r="SDU24" s="720"/>
      <c r="SDV24" s="720"/>
      <c r="SDW24" s="720"/>
      <c r="SDX24" s="720"/>
      <c r="SDY24" s="720"/>
      <c r="SDZ24" s="720"/>
      <c r="SEA24" s="720"/>
      <c r="SEB24" s="720"/>
      <c r="SEC24" s="720"/>
      <c r="SED24" s="720"/>
      <c r="SEE24" s="720"/>
      <c r="SEF24" s="720"/>
      <c r="SEG24" s="720"/>
      <c r="SEH24" s="720"/>
      <c r="SEI24" s="720"/>
      <c r="SEJ24" s="720"/>
      <c r="SEK24" s="720"/>
      <c r="SEL24" s="720"/>
      <c r="SEM24" s="720"/>
      <c r="SEN24" s="720"/>
      <c r="SEO24" s="720"/>
      <c r="SEP24" s="720"/>
      <c r="SEQ24" s="720"/>
      <c r="SER24" s="720"/>
      <c r="SES24" s="720"/>
      <c r="SET24" s="720"/>
      <c r="SEU24" s="720"/>
      <c r="SEV24" s="720"/>
      <c r="SEW24" s="720"/>
      <c r="SEX24" s="720"/>
      <c r="SEY24" s="720"/>
      <c r="SEZ24" s="720"/>
      <c r="SFA24" s="720"/>
      <c r="SFB24" s="720"/>
      <c r="SFC24" s="720"/>
      <c r="SFD24" s="720"/>
      <c r="SFE24" s="720"/>
      <c r="SFF24" s="720"/>
      <c r="SFG24" s="720"/>
      <c r="SFH24" s="720"/>
      <c r="SFI24" s="720"/>
      <c r="SFJ24" s="720"/>
      <c r="SFK24" s="720"/>
      <c r="SFL24" s="720"/>
      <c r="SFM24" s="720"/>
      <c r="SFN24" s="720"/>
      <c r="SFO24" s="720"/>
      <c r="SFP24" s="720"/>
      <c r="SFQ24" s="720"/>
      <c r="SFR24" s="720"/>
      <c r="SFS24" s="720"/>
      <c r="SFT24" s="720"/>
      <c r="SFU24" s="720"/>
      <c r="SFV24" s="720"/>
      <c r="SFW24" s="720"/>
      <c r="SFX24" s="720"/>
      <c r="SFY24" s="720"/>
      <c r="SFZ24" s="720"/>
      <c r="SGA24" s="720"/>
      <c r="SGB24" s="720"/>
      <c r="SGC24" s="720"/>
      <c r="SGD24" s="720"/>
      <c r="SGE24" s="720"/>
      <c r="SGF24" s="720"/>
      <c r="SGG24" s="720"/>
      <c r="SGH24" s="720"/>
      <c r="SGI24" s="720"/>
      <c r="SGJ24" s="720"/>
      <c r="SGK24" s="720"/>
      <c r="SGL24" s="720"/>
      <c r="SGM24" s="720"/>
      <c r="SGN24" s="720"/>
      <c r="SGO24" s="720"/>
      <c r="SGP24" s="720"/>
      <c r="SGQ24" s="720"/>
      <c r="SGR24" s="720"/>
      <c r="SGS24" s="720"/>
      <c r="SGT24" s="720"/>
      <c r="SGU24" s="720"/>
      <c r="SGV24" s="720"/>
      <c r="SGW24" s="720"/>
      <c r="SGX24" s="720"/>
      <c r="SGY24" s="720"/>
      <c r="SGZ24" s="720"/>
      <c r="SHA24" s="720"/>
      <c r="SHB24" s="720"/>
      <c r="SHC24" s="720"/>
      <c r="SHD24" s="720"/>
      <c r="SHE24" s="720"/>
      <c r="SHF24" s="720"/>
      <c r="SHG24" s="720"/>
      <c r="SHH24" s="720"/>
      <c r="SHI24" s="720"/>
      <c r="SHJ24" s="720"/>
      <c r="SHK24" s="720"/>
      <c r="SHL24" s="720"/>
      <c r="SHM24" s="720"/>
      <c r="SHN24" s="720"/>
      <c r="SHO24" s="720"/>
      <c r="SHP24" s="720"/>
      <c r="SHQ24" s="720"/>
      <c r="SHR24" s="720"/>
      <c r="SHS24" s="720"/>
      <c r="SHT24" s="720"/>
      <c r="SHU24" s="720"/>
      <c r="SHV24" s="720"/>
      <c r="SHW24" s="720"/>
      <c r="SHX24" s="720"/>
      <c r="SHY24" s="720"/>
      <c r="SHZ24" s="720"/>
      <c r="SIA24" s="720"/>
      <c r="SIB24" s="720"/>
      <c r="SIC24" s="720"/>
      <c r="SID24" s="720"/>
      <c r="SIE24" s="720"/>
      <c r="SIF24" s="720"/>
      <c r="SIG24" s="720"/>
      <c r="SIH24" s="720"/>
      <c r="SII24" s="720"/>
      <c r="SIJ24" s="720"/>
      <c r="SIK24" s="720"/>
      <c r="SIL24" s="720"/>
      <c r="SIM24" s="720"/>
      <c r="SIN24" s="720"/>
      <c r="SIO24" s="720"/>
      <c r="SIP24" s="720"/>
      <c r="SIQ24" s="720"/>
      <c r="SIR24" s="720"/>
      <c r="SIS24" s="720"/>
      <c r="SIT24" s="720"/>
      <c r="SIU24" s="720"/>
      <c r="SIV24" s="720"/>
      <c r="SIW24" s="720"/>
      <c r="SIX24" s="720"/>
      <c r="SIY24" s="720"/>
      <c r="SIZ24" s="720"/>
      <c r="SJA24" s="720"/>
      <c r="SJB24" s="720"/>
      <c r="SJC24" s="720"/>
      <c r="SJD24" s="720"/>
      <c r="SJE24" s="720"/>
      <c r="SJF24" s="720"/>
      <c r="SJG24" s="720"/>
      <c r="SJH24" s="720"/>
      <c r="SJI24" s="720"/>
      <c r="SJJ24" s="720"/>
      <c r="SJK24" s="720"/>
      <c r="SJL24" s="720"/>
      <c r="SJM24" s="720"/>
      <c r="SJN24" s="720"/>
      <c r="SJO24" s="720"/>
      <c r="SJP24" s="720"/>
      <c r="SJQ24" s="720"/>
      <c r="SJR24" s="720"/>
      <c r="SJS24" s="720"/>
      <c r="SJT24" s="720"/>
      <c r="SJU24" s="720"/>
      <c r="SJV24" s="720"/>
      <c r="SJW24" s="720"/>
      <c r="SJX24" s="720"/>
      <c r="SJY24" s="720"/>
      <c r="SJZ24" s="720"/>
      <c r="SKA24" s="720"/>
      <c r="SKB24" s="720"/>
      <c r="SKC24" s="720"/>
      <c r="SKD24" s="720"/>
      <c r="SKE24" s="720"/>
      <c r="SKF24" s="720"/>
      <c r="SKG24" s="720"/>
      <c r="SKH24" s="720"/>
      <c r="SKI24" s="720"/>
      <c r="SKJ24" s="720"/>
      <c r="SKK24" s="720"/>
      <c r="SKL24" s="720"/>
      <c r="SKM24" s="720"/>
      <c r="SKN24" s="720"/>
      <c r="SKO24" s="720"/>
      <c r="SKP24" s="720"/>
      <c r="SKQ24" s="720"/>
      <c r="SKR24" s="720"/>
      <c r="SKS24" s="720"/>
      <c r="SKT24" s="720"/>
      <c r="SKU24" s="720"/>
      <c r="SKV24" s="720"/>
      <c r="SKW24" s="720"/>
      <c r="SKX24" s="720"/>
      <c r="SKY24" s="720"/>
      <c r="SKZ24" s="720"/>
      <c r="SLA24" s="720"/>
      <c r="SLB24" s="720"/>
      <c r="SLC24" s="720"/>
      <c r="SLD24" s="720"/>
      <c r="SLE24" s="720"/>
      <c r="SLF24" s="720"/>
      <c r="SLG24" s="720"/>
      <c r="SLH24" s="720"/>
      <c r="SLI24" s="720"/>
      <c r="SLJ24" s="720"/>
      <c r="SLK24" s="720"/>
      <c r="SLL24" s="720"/>
      <c r="SLM24" s="720"/>
      <c r="SLN24" s="720"/>
      <c r="SLO24" s="720"/>
      <c r="SLP24" s="720"/>
      <c r="SLQ24" s="720"/>
      <c r="SLR24" s="720"/>
      <c r="SLS24" s="720"/>
      <c r="SLT24" s="720"/>
      <c r="SLU24" s="720"/>
      <c r="SLV24" s="720"/>
      <c r="SLW24" s="720"/>
      <c r="SLX24" s="720"/>
      <c r="SLY24" s="720"/>
      <c r="SLZ24" s="720"/>
      <c r="SMA24" s="720"/>
      <c r="SMB24" s="720"/>
      <c r="SMC24" s="720"/>
      <c r="SMD24" s="720"/>
      <c r="SME24" s="720"/>
      <c r="SMF24" s="720"/>
      <c r="SMG24" s="720"/>
      <c r="SMH24" s="720"/>
      <c r="SMI24" s="720"/>
      <c r="SMJ24" s="720"/>
      <c r="SMK24" s="720"/>
      <c r="SML24" s="720"/>
      <c r="SMM24" s="720"/>
      <c r="SMN24" s="720"/>
      <c r="SMO24" s="720"/>
      <c r="SMP24" s="720"/>
      <c r="SMQ24" s="720"/>
      <c r="SMR24" s="720"/>
      <c r="SMS24" s="720"/>
      <c r="SMT24" s="720"/>
      <c r="SMU24" s="720"/>
      <c r="SMV24" s="720"/>
      <c r="SMW24" s="720"/>
      <c r="SMX24" s="720"/>
      <c r="SMY24" s="720"/>
      <c r="SMZ24" s="720"/>
      <c r="SNA24" s="720"/>
      <c r="SNB24" s="720"/>
      <c r="SNC24" s="720"/>
      <c r="SND24" s="720"/>
      <c r="SNE24" s="720"/>
      <c r="SNF24" s="720"/>
      <c r="SNG24" s="720"/>
      <c r="SNH24" s="720"/>
      <c r="SNI24" s="720"/>
      <c r="SNJ24" s="720"/>
      <c r="SNK24" s="720"/>
      <c r="SNL24" s="720"/>
      <c r="SNM24" s="720"/>
      <c r="SNN24" s="720"/>
      <c r="SNO24" s="720"/>
      <c r="SNP24" s="720"/>
      <c r="SNQ24" s="720"/>
      <c r="SNR24" s="720"/>
      <c r="SNS24" s="720"/>
      <c r="SNT24" s="720"/>
      <c r="SNU24" s="720"/>
      <c r="SNV24" s="720"/>
      <c r="SNW24" s="720"/>
      <c r="SNX24" s="720"/>
      <c r="SNY24" s="720"/>
      <c r="SNZ24" s="720"/>
      <c r="SOA24" s="720"/>
      <c r="SOB24" s="720"/>
      <c r="SOC24" s="720"/>
      <c r="SOD24" s="720"/>
      <c r="SOE24" s="720"/>
      <c r="SOF24" s="720"/>
      <c r="SOG24" s="720"/>
      <c r="SOH24" s="720"/>
      <c r="SOI24" s="720"/>
      <c r="SOJ24" s="720"/>
      <c r="SOK24" s="720"/>
      <c r="SOL24" s="720"/>
      <c r="SOM24" s="720"/>
      <c r="SON24" s="720"/>
      <c r="SOO24" s="720"/>
      <c r="SOP24" s="720"/>
      <c r="SOQ24" s="720"/>
      <c r="SOR24" s="720"/>
      <c r="SOS24" s="720"/>
      <c r="SOT24" s="720"/>
      <c r="SOU24" s="720"/>
      <c r="SOV24" s="720"/>
      <c r="SOW24" s="720"/>
      <c r="SOX24" s="720"/>
      <c r="SOY24" s="720"/>
      <c r="SOZ24" s="720"/>
      <c r="SPA24" s="720"/>
      <c r="SPB24" s="720"/>
      <c r="SPC24" s="720"/>
      <c r="SPD24" s="720"/>
      <c r="SPE24" s="720"/>
      <c r="SPF24" s="720"/>
      <c r="SPG24" s="720"/>
      <c r="SPH24" s="720"/>
      <c r="SPI24" s="720"/>
      <c r="SPJ24" s="720"/>
      <c r="SPK24" s="720"/>
      <c r="SPL24" s="720"/>
      <c r="SPM24" s="720"/>
      <c r="SPN24" s="720"/>
      <c r="SPO24" s="720"/>
      <c r="SPP24" s="720"/>
      <c r="SPQ24" s="720"/>
      <c r="SPR24" s="720"/>
      <c r="SPS24" s="720"/>
      <c r="SPT24" s="720"/>
      <c r="SPU24" s="720"/>
      <c r="SPV24" s="720"/>
      <c r="SPW24" s="720"/>
      <c r="SPX24" s="720"/>
      <c r="SPY24" s="720"/>
      <c r="SPZ24" s="720"/>
      <c r="SQA24" s="720"/>
      <c r="SQB24" s="720"/>
      <c r="SQC24" s="720"/>
      <c r="SQD24" s="720"/>
      <c r="SQE24" s="720"/>
      <c r="SQF24" s="720"/>
      <c r="SQG24" s="720"/>
      <c r="SQH24" s="720"/>
      <c r="SQI24" s="720"/>
      <c r="SQJ24" s="720"/>
      <c r="SQK24" s="720"/>
      <c r="SQL24" s="720"/>
      <c r="SQM24" s="720"/>
      <c r="SQN24" s="720"/>
      <c r="SQO24" s="720"/>
      <c r="SQP24" s="720"/>
      <c r="SQQ24" s="720"/>
      <c r="SQR24" s="720"/>
      <c r="SQS24" s="720"/>
      <c r="SQT24" s="720"/>
      <c r="SQU24" s="720"/>
      <c r="SQV24" s="720"/>
      <c r="SQW24" s="720"/>
      <c r="SQX24" s="720"/>
      <c r="SQY24" s="720"/>
      <c r="SQZ24" s="720"/>
      <c r="SRA24" s="720"/>
      <c r="SRB24" s="720"/>
      <c r="SRC24" s="720"/>
      <c r="SRD24" s="720"/>
      <c r="SRE24" s="720"/>
      <c r="SRF24" s="720"/>
      <c r="SRG24" s="720"/>
      <c r="SRH24" s="720"/>
      <c r="SRI24" s="720"/>
      <c r="SRJ24" s="720"/>
      <c r="SRK24" s="720"/>
      <c r="SRL24" s="720"/>
      <c r="SRM24" s="720"/>
      <c r="SRN24" s="720"/>
      <c r="SRO24" s="720"/>
      <c r="SRP24" s="720"/>
      <c r="SRQ24" s="720"/>
      <c r="SRR24" s="720"/>
      <c r="SRS24" s="720"/>
      <c r="SRT24" s="720"/>
      <c r="SRU24" s="720"/>
      <c r="SRV24" s="720"/>
      <c r="SRW24" s="720"/>
      <c r="SRX24" s="720"/>
      <c r="SRY24" s="720"/>
      <c r="SRZ24" s="720"/>
      <c r="SSA24" s="720"/>
      <c r="SSB24" s="720"/>
      <c r="SSC24" s="720"/>
      <c r="SSD24" s="720"/>
      <c r="SSE24" s="720"/>
      <c r="SSF24" s="720"/>
      <c r="SSG24" s="720"/>
      <c r="SSH24" s="720"/>
      <c r="SSI24" s="720"/>
      <c r="SSJ24" s="720"/>
      <c r="SSK24" s="720"/>
      <c r="SSL24" s="720"/>
      <c r="SSM24" s="720"/>
      <c r="SSN24" s="720"/>
      <c r="SSO24" s="720"/>
      <c r="SSP24" s="720"/>
      <c r="SSQ24" s="720"/>
      <c r="SSR24" s="720"/>
      <c r="SSS24" s="720"/>
      <c r="SST24" s="720"/>
      <c r="SSU24" s="720"/>
      <c r="SSV24" s="720"/>
      <c r="SSW24" s="720"/>
      <c r="SSX24" s="720"/>
      <c r="SSY24" s="720"/>
      <c r="SSZ24" s="720"/>
      <c r="STA24" s="720"/>
      <c r="STB24" s="720"/>
      <c r="STC24" s="720"/>
      <c r="STD24" s="720"/>
      <c r="STE24" s="720"/>
      <c r="STF24" s="720"/>
      <c r="STG24" s="720"/>
      <c r="STH24" s="720"/>
      <c r="STI24" s="720"/>
      <c r="STJ24" s="720"/>
      <c r="STK24" s="720"/>
      <c r="STL24" s="720"/>
      <c r="STM24" s="720"/>
      <c r="STN24" s="720"/>
      <c r="STO24" s="720"/>
      <c r="STP24" s="720"/>
      <c r="STQ24" s="720"/>
      <c r="STR24" s="720"/>
      <c r="STS24" s="720"/>
      <c r="STT24" s="720"/>
      <c r="STU24" s="720"/>
      <c r="STV24" s="720"/>
      <c r="STW24" s="720"/>
      <c r="STX24" s="720"/>
      <c r="STY24" s="720"/>
      <c r="STZ24" s="720"/>
      <c r="SUA24" s="720"/>
      <c r="SUB24" s="720"/>
      <c r="SUC24" s="720"/>
      <c r="SUD24" s="720"/>
      <c r="SUE24" s="720"/>
      <c r="SUF24" s="720"/>
      <c r="SUG24" s="720"/>
      <c r="SUH24" s="720"/>
      <c r="SUI24" s="720"/>
      <c r="SUJ24" s="720"/>
      <c r="SUK24" s="720"/>
      <c r="SUL24" s="720"/>
      <c r="SUM24" s="720"/>
      <c r="SUN24" s="720"/>
      <c r="SUO24" s="720"/>
      <c r="SUP24" s="720"/>
      <c r="SUQ24" s="720"/>
      <c r="SUR24" s="720"/>
      <c r="SUS24" s="720"/>
      <c r="SUT24" s="720"/>
      <c r="SUU24" s="720"/>
      <c r="SUV24" s="720"/>
      <c r="SUW24" s="720"/>
      <c r="SUX24" s="720"/>
      <c r="SUY24" s="720"/>
      <c r="SUZ24" s="720"/>
      <c r="SVA24" s="720"/>
      <c r="SVB24" s="720"/>
      <c r="SVC24" s="720"/>
      <c r="SVD24" s="720"/>
      <c r="SVE24" s="720"/>
      <c r="SVF24" s="720"/>
      <c r="SVG24" s="720"/>
      <c r="SVH24" s="720"/>
      <c r="SVI24" s="720"/>
      <c r="SVJ24" s="720"/>
      <c r="SVK24" s="720"/>
      <c r="SVL24" s="720"/>
      <c r="SVM24" s="720"/>
      <c r="SVN24" s="720"/>
      <c r="SVO24" s="720"/>
      <c r="SVP24" s="720"/>
      <c r="SVQ24" s="720"/>
      <c r="SVR24" s="720"/>
      <c r="SVS24" s="720"/>
      <c r="SVT24" s="720"/>
      <c r="SVU24" s="720"/>
      <c r="SVV24" s="720"/>
      <c r="SVW24" s="720"/>
      <c r="SVX24" s="720"/>
      <c r="SVY24" s="720"/>
      <c r="SVZ24" s="720"/>
      <c r="SWA24" s="720"/>
      <c r="SWB24" s="720"/>
      <c r="SWC24" s="720"/>
      <c r="SWD24" s="720"/>
      <c r="SWE24" s="720"/>
      <c r="SWF24" s="720"/>
      <c r="SWG24" s="720"/>
      <c r="SWH24" s="720"/>
      <c r="SWI24" s="720"/>
      <c r="SWJ24" s="720"/>
      <c r="SWK24" s="720"/>
      <c r="SWL24" s="720"/>
      <c r="SWM24" s="720"/>
      <c r="SWN24" s="720"/>
      <c r="SWO24" s="720"/>
      <c r="SWP24" s="720"/>
      <c r="SWQ24" s="720"/>
      <c r="SWR24" s="720"/>
      <c r="SWS24" s="720"/>
      <c r="SWT24" s="720"/>
      <c r="SWU24" s="720"/>
      <c r="SWV24" s="720"/>
      <c r="SWW24" s="720"/>
      <c r="SWX24" s="720"/>
      <c r="SWY24" s="720"/>
      <c r="SWZ24" s="720"/>
      <c r="SXA24" s="720"/>
      <c r="SXB24" s="720"/>
      <c r="SXC24" s="720"/>
      <c r="SXD24" s="720"/>
      <c r="SXE24" s="720"/>
      <c r="SXF24" s="720"/>
      <c r="SXG24" s="720"/>
      <c r="SXH24" s="720"/>
      <c r="SXI24" s="720"/>
      <c r="SXJ24" s="720"/>
      <c r="SXK24" s="720"/>
      <c r="SXL24" s="720"/>
      <c r="SXM24" s="720"/>
      <c r="SXN24" s="720"/>
      <c r="SXO24" s="720"/>
      <c r="SXP24" s="720"/>
      <c r="SXQ24" s="720"/>
      <c r="SXR24" s="720"/>
      <c r="SXS24" s="720"/>
      <c r="SXT24" s="720"/>
      <c r="SXU24" s="720"/>
      <c r="SXV24" s="720"/>
      <c r="SXW24" s="720"/>
      <c r="SXX24" s="720"/>
      <c r="SXY24" s="720"/>
      <c r="SXZ24" s="720"/>
      <c r="SYA24" s="720"/>
      <c r="SYB24" s="720"/>
      <c r="SYC24" s="720"/>
      <c r="SYD24" s="720"/>
      <c r="SYE24" s="720"/>
      <c r="SYF24" s="720"/>
      <c r="SYG24" s="720"/>
      <c r="SYH24" s="720"/>
      <c r="SYI24" s="720"/>
      <c r="SYJ24" s="720"/>
      <c r="SYK24" s="720"/>
      <c r="SYL24" s="720"/>
      <c r="SYM24" s="720"/>
      <c r="SYN24" s="720"/>
      <c r="SYO24" s="720"/>
      <c r="SYP24" s="720"/>
      <c r="SYQ24" s="720"/>
      <c r="SYR24" s="720"/>
      <c r="SYS24" s="720"/>
      <c r="SYT24" s="720"/>
      <c r="SYU24" s="720"/>
      <c r="SYV24" s="720"/>
      <c r="SYW24" s="720"/>
      <c r="SYX24" s="720"/>
      <c r="SYY24" s="720"/>
      <c r="SYZ24" s="720"/>
      <c r="SZA24" s="720"/>
      <c r="SZB24" s="720"/>
      <c r="SZC24" s="720"/>
      <c r="SZD24" s="720"/>
      <c r="SZE24" s="720"/>
      <c r="SZF24" s="720"/>
      <c r="SZG24" s="720"/>
      <c r="SZH24" s="720"/>
      <c r="SZI24" s="720"/>
      <c r="SZJ24" s="720"/>
      <c r="SZK24" s="720"/>
      <c r="SZL24" s="720"/>
      <c r="SZM24" s="720"/>
      <c r="SZN24" s="720"/>
      <c r="SZO24" s="720"/>
      <c r="SZP24" s="720"/>
      <c r="SZQ24" s="720"/>
      <c r="SZR24" s="720"/>
      <c r="SZS24" s="720"/>
      <c r="SZT24" s="720"/>
      <c r="SZU24" s="720"/>
      <c r="SZV24" s="720"/>
      <c r="SZW24" s="720"/>
      <c r="SZX24" s="720"/>
      <c r="SZY24" s="720"/>
      <c r="SZZ24" s="720"/>
      <c r="TAA24" s="720"/>
      <c r="TAB24" s="720"/>
      <c r="TAC24" s="720"/>
      <c r="TAD24" s="720"/>
      <c r="TAE24" s="720"/>
      <c r="TAF24" s="720"/>
      <c r="TAG24" s="720"/>
      <c r="TAH24" s="720"/>
      <c r="TAI24" s="720"/>
      <c r="TAJ24" s="720"/>
      <c r="TAK24" s="720"/>
      <c r="TAL24" s="720"/>
      <c r="TAM24" s="720"/>
      <c r="TAN24" s="720"/>
      <c r="TAO24" s="720"/>
      <c r="TAP24" s="720"/>
      <c r="TAQ24" s="720"/>
      <c r="TAR24" s="720"/>
      <c r="TAS24" s="720"/>
      <c r="TAT24" s="720"/>
      <c r="TAU24" s="720"/>
      <c r="TAV24" s="720"/>
      <c r="TAW24" s="720"/>
      <c r="TAX24" s="720"/>
      <c r="TAY24" s="720"/>
      <c r="TAZ24" s="720"/>
      <c r="TBA24" s="720"/>
      <c r="TBB24" s="720"/>
      <c r="TBC24" s="720"/>
      <c r="TBD24" s="720"/>
      <c r="TBE24" s="720"/>
      <c r="TBF24" s="720"/>
      <c r="TBG24" s="720"/>
      <c r="TBH24" s="720"/>
      <c r="TBI24" s="720"/>
      <c r="TBJ24" s="720"/>
      <c r="TBK24" s="720"/>
      <c r="TBL24" s="720"/>
      <c r="TBM24" s="720"/>
      <c r="TBN24" s="720"/>
      <c r="TBO24" s="720"/>
      <c r="TBP24" s="720"/>
      <c r="TBQ24" s="720"/>
      <c r="TBR24" s="720"/>
      <c r="TBS24" s="720"/>
      <c r="TBT24" s="720"/>
      <c r="TBU24" s="720"/>
      <c r="TBV24" s="720"/>
      <c r="TBW24" s="720"/>
      <c r="TBX24" s="720"/>
      <c r="TBY24" s="720"/>
      <c r="TBZ24" s="720"/>
      <c r="TCA24" s="720"/>
      <c r="TCB24" s="720"/>
      <c r="TCC24" s="720"/>
      <c r="TCD24" s="720"/>
      <c r="TCE24" s="720"/>
      <c r="TCF24" s="720"/>
      <c r="TCG24" s="720"/>
      <c r="TCH24" s="720"/>
      <c r="TCI24" s="720"/>
      <c r="TCJ24" s="720"/>
      <c r="TCK24" s="720"/>
      <c r="TCL24" s="720"/>
      <c r="TCM24" s="720"/>
      <c r="TCN24" s="720"/>
      <c r="TCO24" s="720"/>
      <c r="TCP24" s="720"/>
      <c r="TCQ24" s="720"/>
      <c r="TCR24" s="720"/>
      <c r="TCS24" s="720"/>
      <c r="TCT24" s="720"/>
      <c r="TCU24" s="720"/>
      <c r="TCV24" s="720"/>
      <c r="TCW24" s="720"/>
      <c r="TCX24" s="720"/>
      <c r="TCY24" s="720"/>
      <c r="TCZ24" s="720"/>
      <c r="TDA24" s="720"/>
      <c r="TDB24" s="720"/>
      <c r="TDC24" s="720"/>
      <c r="TDD24" s="720"/>
      <c r="TDE24" s="720"/>
      <c r="TDF24" s="720"/>
      <c r="TDG24" s="720"/>
      <c r="TDH24" s="720"/>
      <c r="TDI24" s="720"/>
      <c r="TDJ24" s="720"/>
      <c r="TDK24" s="720"/>
      <c r="TDL24" s="720"/>
      <c r="TDM24" s="720"/>
      <c r="TDN24" s="720"/>
      <c r="TDO24" s="720"/>
      <c r="TDP24" s="720"/>
      <c r="TDQ24" s="720"/>
      <c r="TDR24" s="720"/>
      <c r="TDS24" s="720"/>
      <c r="TDT24" s="720"/>
      <c r="TDU24" s="720"/>
      <c r="TDV24" s="720"/>
      <c r="TDW24" s="720"/>
      <c r="TDX24" s="720"/>
      <c r="TDY24" s="720"/>
      <c r="TDZ24" s="720"/>
      <c r="TEA24" s="720"/>
      <c r="TEB24" s="720"/>
      <c r="TEC24" s="720"/>
      <c r="TED24" s="720"/>
      <c r="TEE24" s="720"/>
      <c r="TEF24" s="720"/>
      <c r="TEG24" s="720"/>
      <c r="TEH24" s="720"/>
      <c r="TEI24" s="720"/>
      <c r="TEJ24" s="720"/>
      <c r="TEK24" s="720"/>
      <c r="TEL24" s="720"/>
      <c r="TEM24" s="720"/>
      <c r="TEN24" s="720"/>
      <c r="TEO24" s="720"/>
      <c r="TEP24" s="720"/>
      <c r="TEQ24" s="720"/>
      <c r="TER24" s="720"/>
      <c r="TES24" s="720"/>
      <c r="TET24" s="720"/>
      <c r="TEU24" s="720"/>
      <c r="TEV24" s="720"/>
      <c r="TEW24" s="720"/>
      <c r="TEX24" s="720"/>
      <c r="TEY24" s="720"/>
      <c r="TEZ24" s="720"/>
      <c r="TFA24" s="720"/>
      <c r="TFB24" s="720"/>
      <c r="TFC24" s="720"/>
      <c r="TFD24" s="720"/>
      <c r="TFE24" s="720"/>
      <c r="TFF24" s="720"/>
      <c r="TFG24" s="720"/>
      <c r="TFH24" s="720"/>
      <c r="TFI24" s="720"/>
      <c r="TFJ24" s="720"/>
      <c r="TFK24" s="720"/>
      <c r="TFL24" s="720"/>
      <c r="TFM24" s="720"/>
      <c r="TFN24" s="720"/>
      <c r="TFO24" s="720"/>
      <c r="TFP24" s="720"/>
      <c r="TFQ24" s="720"/>
      <c r="TFR24" s="720"/>
      <c r="TFS24" s="720"/>
      <c r="TFT24" s="720"/>
      <c r="TFU24" s="720"/>
      <c r="TFV24" s="720"/>
      <c r="TFW24" s="720"/>
      <c r="TFX24" s="720"/>
      <c r="TFY24" s="720"/>
      <c r="TFZ24" s="720"/>
      <c r="TGA24" s="720"/>
      <c r="TGB24" s="720"/>
      <c r="TGC24" s="720"/>
      <c r="TGD24" s="720"/>
      <c r="TGE24" s="720"/>
      <c r="TGF24" s="720"/>
      <c r="TGG24" s="720"/>
      <c r="TGH24" s="720"/>
      <c r="TGI24" s="720"/>
      <c r="TGJ24" s="720"/>
      <c r="TGK24" s="720"/>
      <c r="TGL24" s="720"/>
      <c r="TGM24" s="720"/>
      <c r="TGN24" s="720"/>
      <c r="TGO24" s="720"/>
      <c r="TGP24" s="720"/>
      <c r="TGQ24" s="720"/>
      <c r="TGR24" s="720"/>
      <c r="TGS24" s="720"/>
      <c r="TGT24" s="720"/>
      <c r="TGU24" s="720"/>
      <c r="TGV24" s="720"/>
      <c r="TGW24" s="720"/>
      <c r="TGX24" s="720"/>
      <c r="TGY24" s="720"/>
      <c r="TGZ24" s="720"/>
      <c r="THA24" s="720"/>
      <c r="THB24" s="720"/>
      <c r="THC24" s="720"/>
      <c r="THD24" s="720"/>
      <c r="THE24" s="720"/>
      <c r="THF24" s="720"/>
      <c r="THG24" s="720"/>
      <c r="THH24" s="720"/>
      <c r="THI24" s="720"/>
      <c r="THJ24" s="720"/>
      <c r="THK24" s="720"/>
      <c r="THL24" s="720"/>
      <c r="THM24" s="720"/>
      <c r="THN24" s="720"/>
      <c r="THO24" s="720"/>
      <c r="THP24" s="720"/>
      <c r="THQ24" s="720"/>
      <c r="THR24" s="720"/>
      <c r="THS24" s="720"/>
      <c r="THT24" s="720"/>
      <c r="THU24" s="720"/>
      <c r="THV24" s="720"/>
      <c r="THW24" s="720"/>
      <c r="THX24" s="720"/>
      <c r="THY24" s="720"/>
      <c r="THZ24" s="720"/>
      <c r="TIA24" s="720"/>
      <c r="TIB24" s="720"/>
      <c r="TIC24" s="720"/>
      <c r="TID24" s="720"/>
      <c r="TIE24" s="720"/>
      <c r="TIF24" s="720"/>
      <c r="TIG24" s="720"/>
      <c r="TIH24" s="720"/>
      <c r="TII24" s="720"/>
      <c r="TIJ24" s="720"/>
      <c r="TIK24" s="720"/>
      <c r="TIL24" s="720"/>
      <c r="TIM24" s="720"/>
      <c r="TIN24" s="720"/>
      <c r="TIO24" s="720"/>
      <c r="TIP24" s="720"/>
      <c r="TIQ24" s="720"/>
      <c r="TIR24" s="720"/>
      <c r="TIS24" s="720"/>
      <c r="TIT24" s="720"/>
      <c r="TIU24" s="720"/>
      <c r="TIV24" s="720"/>
      <c r="TIW24" s="720"/>
      <c r="TIX24" s="720"/>
      <c r="TIY24" s="720"/>
      <c r="TIZ24" s="720"/>
      <c r="TJA24" s="720"/>
      <c r="TJB24" s="720"/>
      <c r="TJC24" s="720"/>
      <c r="TJD24" s="720"/>
      <c r="TJE24" s="720"/>
      <c r="TJF24" s="720"/>
      <c r="TJG24" s="720"/>
      <c r="TJH24" s="720"/>
      <c r="TJI24" s="720"/>
      <c r="TJJ24" s="720"/>
      <c r="TJK24" s="720"/>
      <c r="TJL24" s="720"/>
      <c r="TJM24" s="720"/>
      <c r="TJN24" s="720"/>
      <c r="TJO24" s="720"/>
      <c r="TJP24" s="720"/>
      <c r="TJQ24" s="720"/>
      <c r="TJR24" s="720"/>
      <c r="TJS24" s="720"/>
      <c r="TJT24" s="720"/>
      <c r="TJU24" s="720"/>
      <c r="TJV24" s="720"/>
      <c r="TJW24" s="720"/>
      <c r="TJX24" s="720"/>
      <c r="TJY24" s="720"/>
      <c r="TJZ24" s="720"/>
      <c r="TKA24" s="720"/>
      <c r="TKB24" s="720"/>
      <c r="TKC24" s="720"/>
      <c r="TKD24" s="720"/>
      <c r="TKE24" s="720"/>
      <c r="TKF24" s="720"/>
      <c r="TKG24" s="720"/>
      <c r="TKH24" s="720"/>
      <c r="TKI24" s="720"/>
      <c r="TKJ24" s="720"/>
      <c r="TKK24" s="720"/>
      <c r="TKL24" s="720"/>
      <c r="TKM24" s="720"/>
      <c r="TKN24" s="720"/>
      <c r="TKO24" s="720"/>
      <c r="TKP24" s="720"/>
      <c r="TKQ24" s="720"/>
      <c r="TKR24" s="720"/>
      <c r="TKS24" s="720"/>
      <c r="TKT24" s="720"/>
      <c r="TKU24" s="720"/>
      <c r="TKV24" s="720"/>
      <c r="TKW24" s="720"/>
      <c r="TKX24" s="720"/>
      <c r="TKY24" s="720"/>
      <c r="TKZ24" s="720"/>
      <c r="TLA24" s="720"/>
      <c r="TLB24" s="720"/>
      <c r="TLC24" s="720"/>
      <c r="TLD24" s="720"/>
      <c r="TLE24" s="720"/>
      <c r="TLF24" s="720"/>
      <c r="TLG24" s="720"/>
      <c r="TLH24" s="720"/>
      <c r="TLI24" s="720"/>
      <c r="TLJ24" s="720"/>
      <c r="TLK24" s="720"/>
      <c r="TLL24" s="720"/>
      <c r="TLM24" s="720"/>
      <c r="TLN24" s="720"/>
      <c r="TLO24" s="720"/>
      <c r="TLP24" s="720"/>
      <c r="TLQ24" s="720"/>
      <c r="TLR24" s="720"/>
      <c r="TLS24" s="720"/>
      <c r="TLT24" s="720"/>
      <c r="TLU24" s="720"/>
      <c r="TLV24" s="720"/>
      <c r="TLW24" s="720"/>
      <c r="TLX24" s="720"/>
      <c r="TLY24" s="720"/>
      <c r="TLZ24" s="720"/>
      <c r="TMA24" s="720"/>
      <c r="TMB24" s="720"/>
      <c r="TMC24" s="720"/>
      <c r="TMD24" s="720"/>
      <c r="TME24" s="720"/>
      <c r="TMF24" s="720"/>
      <c r="TMG24" s="720"/>
      <c r="TMH24" s="720"/>
      <c r="TMI24" s="720"/>
      <c r="TMJ24" s="720"/>
      <c r="TMK24" s="720"/>
      <c r="TML24" s="720"/>
      <c r="TMM24" s="720"/>
      <c r="TMN24" s="720"/>
      <c r="TMO24" s="720"/>
      <c r="TMP24" s="720"/>
      <c r="TMQ24" s="720"/>
      <c r="TMR24" s="720"/>
      <c r="TMS24" s="720"/>
      <c r="TMT24" s="720"/>
      <c r="TMU24" s="720"/>
      <c r="TMV24" s="720"/>
      <c r="TMW24" s="720"/>
      <c r="TMX24" s="720"/>
      <c r="TMY24" s="720"/>
      <c r="TMZ24" s="720"/>
      <c r="TNA24" s="720"/>
      <c r="TNB24" s="720"/>
      <c r="TNC24" s="720"/>
      <c r="TND24" s="720"/>
      <c r="TNE24" s="720"/>
      <c r="TNF24" s="720"/>
      <c r="TNG24" s="720"/>
      <c r="TNH24" s="720"/>
      <c r="TNI24" s="720"/>
      <c r="TNJ24" s="720"/>
      <c r="TNK24" s="720"/>
      <c r="TNL24" s="720"/>
      <c r="TNM24" s="720"/>
      <c r="TNN24" s="720"/>
      <c r="TNO24" s="720"/>
      <c r="TNP24" s="720"/>
      <c r="TNQ24" s="720"/>
      <c r="TNR24" s="720"/>
      <c r="TNS24" s="720"/>
      <c r="TNT24" s="720"/>
      <c r="TNU24" s="720"/>
      <c r="TNV24" s="720"/>
      <c r="TNW24" s="720"/>
      <c r="TNX24" s="720"/>
      <c r="TNY24" s="720"/>
      <c r="TNZ24" s="720"/>
      <c r="TOA24" s="720"/>
      <c r="TOB24" s="720"/>
      <c r="TOC24" s="720"/>
      <c r="TOD24" s="720"/>
      <c r="TOE24" s="720"/>
      <c r="TOF24" s="720"/>
      <c r="TOG24" s="720"/>
      <c r="TOH24" s="720"/>
      <c r="TOI24" s="720"/>
      <c r="TOJ24" s="720"/>
      <c r="TOK24" s="720"/>
      <c r="TOL24" s="720"/>
      <c r="TOM24" s="720"/>
      <c r="TON24" s="720"/>
      <c r="TOO24" s="720"/>
      <c r="TOP24" s="720"/>
      <c r="TOQ24" s="720"/>
      <c r="TOR24" s="720"/>
      <c r="TOS24" s="720"/>
      <c r="TOT24" s="720"/>
      <c r="TOU24" s="720"/>
      <c r="TOV24" s="720"/>
      <c r="TOW24" s="720"/>
      <c r="TOX24" s="720"/>
      <c r="TOY24" s="720"/>
      <c r="TOZ24" s="720"/>
      <c r="TPA24" s="720"/>
      <c r="TPB24" s="720"/>
      <c r="TPC24" s="720"/>
      <c r="TPD24" s="720"/>
      <c r="TPE24" s="720"/>
      <c r="TPF24" s="720"/>
      <c r="TPG24" s="720"/>
      <c r="TPH24" s="720"/>
      <c r="TPI24" s="720"/>
      <c r="TPJ24" s="720"/>
      <c r="TPK24" s="720"/>
      <c r="TPL24" s="720"/>
      <c r="TPM24" s="720"/>
      <c r="TPN24" s="720"/>
      <c r="TPO24" s="720"/>
      <c r="TPP24" s="720"/>
      <c r="TPQ24" s="720"/>
      <c r="TPR24" s="720"/>
      <c r="TPS24" s="720"/>
      <c r="TPT24" s="720"/>
      <c r="TPU24" s="720"/>
      <c r="TPV24" s="720"/>
      <c r="TPW24" s="720"/>
      <c r="TPX24" s="720"/>
      <c r="TPY24" s="720"/>
      <c r="TPZ24" s="720"/>
      <c r="TQA24" s="720"/>
      <c r="TQB24" s="720"/>
      <c r="TQC24" s="720"/>
      <c r="TQD24" s="720"/>
      <c r="TQE24" s="720"/>
      <c r="TQF24" s="720"/>
      <c r="TQG24" s="720"/>
      <c r="TQH24" s="720"/>
      <c r="TQI24" s="720"/>
      <c r="TQJ24" s="720"/>
      <c r="TQK24" s="720"/>
      <c r="TQL24" s="720"/>
      <c r="TQM24" s="720"/>
      <c r="TQN24" s="720"/>
      <c r="TQO24" s="720"/>
      <c r="TQP24" s="720"/>
      <c r="TQQ24" s="720"/>
      <c r="TQR24" s="720"/>
      <c r="TQS24" s="720"/>
      <c r="TQT24" s="720"/>
      <c r="TQU24" s="720"/>
      <c r="TQV24" s="720"/>
      <c r="TQW24" s="720"/>
      <c r="TQX24" s="720"/>
      <c r="TQY24" s="720"/>
      <c r="TQZ24" s="720"/>
      <c r="TRA24" s="720"/>
      <c r="TRB24" s="720"/>
      <c r="TRC24" s="720"/>
      <c r="TRD24" s="720"/>
      <c r="TRE24" s="720"/>
      <c r="TRF24" s="720"/>
      <c r="TRG24" s="720"/>
      <c r="TRH24" s="720"/>
      <c r="TRI24" s="720"/>
      <c r="TRJ24" s="720"/>
      <c r="TRK24" s="720"/>
      <c r="TRL24" s="720"/>
      <c r="TRM24" s="720"/>
      <c r="TRN24" s="720"/>
      <c r="TRO24" s="720"/>
      <c r="TRP24" s="720"/>
      <c r="TRQ24" s="720"/>
      <c r="TRR24" s="720"/>
      <c r="TRS24" s="720"/>
      <c r="TRT24" s="720"/>
      <c r="TRU24" s="720"/>
      <c r="TRV24" s="720"/>
      <c r="TRW24" s="720"/>
      <c r="TRX24" s="720"/>
      <c r="TRY24" s="720"/>
      <c r="TRZ24" s="720"/>
      <c r="TSA24" s="720"/>
      <c r="TSB24" s="720"/>
      <c r="TSC24" s="720"/>
      <c r="TSD24" s="720"/>
      <c r="TSE24" s="720"/>
      <c r="TSF24" s="720"/>
      <c r="TSG24" s="720"/>
      <c r="TSH24" s="720"/>
      <c r="TSI24" s="720"/>
      <c r="TSJ24" s="720"/>
      <c r="TSK24" s="720"/>
      <c r="TSL24" s="720"/>
      <c r="TSM24" s="720"/>
      <c r="TSN24" s="720"/>
      <c r="TSO24" s="720"/>
      <c r="TSP24" s="720"/>
      <c r="TSQ24" s="720"/>
      <c r="TSR24" s="720"/>
      <c r="TSS24" s="720"/>
      <c r="TST24" s="720"/>
      <c r="TSU24" s="720"/>
      <c r="TSV24" s="720"/>
      <c r="TSW24" s="720"/>
      <c r="TSX24" s="720"/>
      <c r="TSY24" s="720"/>
      <c r="TSZ24" s="720"/>
      <c r="TTA24" s="720"/>
      <c r="TTB24" s="720"/>
      <c r="TTC24" s="720"/>
      <c r="TTD24" s="720"/>
      <c r="TTE24" s="720"/>
      <c r="TTF24" s="720"/>
      <c r="TTG24" s="720"/>
      <c r="TTH24" s="720"/>
      <c r="TTI24" s="720"/>
      <c r="TTJ24" s="720"/>
      <c r="TTK24" s="720"/>
      <c r="TTL24" s="720"/>
      <c r="TTM24" s="720"/>
      <c r="TTN24" s="720"/>
      <c r="TTO24" s="720"/>
      <c r="TTP24" s="720"/>
      <c r="TTQ24" s="720"/>
      <c r="TTR24" s="720"/>
      <c r="TTS24" s="720"/>
      <c r="TTT24" s="720"/>
      <c r="TTU24" s="720"/>
      <c r="TTV24" s="720"/>
      <c r="TTW24" s="720"/>
      <c r="TTX24" s="720"/>
      <c r="TTY24" s="720"/>
      <c r="TTZ24" s="720"/>
      <c r="TUA24" s="720"/>
      <c r="TUB24" s="720"/>
      <c r="TUC24" s="720"/>
      <c r="TUD24" s="720"/>
      <c r="TUE24" s="720"/>
      <c r="TUF24" s="720"/>
      <c r="TUG24" s="720"/>
      <c r="TUH24" s="720"/>
      <c r="TUI24" s="720"/>
      <c r="TUJ24" s="720"/>
      <c r="TUK24" s="720"/>
      <c r="TUL24" s="720"/>
      <c r="TUM24" s="720"/>
      <c r="TUN24" s="720"/>
      <c r="TUO24" s="720"/>
      <c r="TUP24" s="720"/>
      <c r="TUQ24" s="720"/>
      <c r="TUR24" s="720"/>
      <c r="TUS24" s="720"/>
      <c r="TUT24" s="720"/>
      <c r="TUU24" s="720"/>
      <c r="TUV24" s="720"/>
      <c r="TUW24" s="720"/>
      <c r="TUX24" s="720"/>
      <c r="TUY24" s="720"/>
      <c r="TUZ24" s="720"/>
      <c r="TVA24" s="720"/>
      <c r="TVB24" s="720"/>
      <c r="TVC24" s="720"/>
      <c r="TVD24" s="720"/>
      <c r="TVE24" s="720"/>
      <c r="TVF24" s="720"/>
      <c r="TVG24" s="720"/>
      <c r="TVH24" s="720"/>
      <c r="TVI24" s="720"/>
      <c r="TVJ24" s="720"/>
      <c r="TVK24" s="720"/>
      <c r="TVL24" s="720"/>
      <c r="TVM24" s="720"/>
      <c r="TVN24" s="720"/>
      <c r="TVO24" s="720"/>
      <c r="TVP24" s="720"/>
      <c r="TVQ24" s="720"/>
      <c r="TVR24" s="720"/>
      <c r="TVS24" s="720"/>
      <c r="TVT24" s="720"/>
      <c r="TVU24" s="720"/>
      <c r="TVV24" s="720"/>
      <c r="TVW24" s="720"/>
      <c r="TVX24" s="720"/>
      <c r="TVY24" s="720"/>
      <c r="TVZ24" s="720"/>
      <c r="TWA24" s="720"/>
      <c r="TWB24" s="720"/>
      <c r="TWC24" s="720"/>
      <c r="TWD24" s="720"/>
      <c r="TWE24" s="720"/>
      <c r="TWF24" s="720"/>
      <c r="TWG24" s="720"/>
      <c r="TWH24" s="720"/>
      <c r="TWI24" s="720"/>
      <c r="TWJ24" s="720"/>
      <c r="TWK24" s="720"/>
      <c r="TWL24" s="720"/>
      <c r="TWM24" s="720"/>
      <c r="TWN24" s="720"/>
      <c r="TWO24" s="720"/>
      <c r="TWP24" s="720"/>
      <c r="TWQ24" s="720"/>
      <c r="TWR24" s="720"/>
      <c r="TWS24" s="720"/>
      <c r="TWT24" s="720"/>
      <c r="TWU24" s="720"/>
      <c r="TWV24" s="720"/>
      <c r="TWW24" s="720"/>
      <c r="TWX24" s="720"/>
      <c r="TWY24" s="720"/>
      <c r="TWZ24" s="720"/>
      <c r="TXA24" s="720"/>
      <c r="TXB24" s="720"/>
      <c r="TXC24" s="720"/>
      <c r="TXD24" s="720"/>
      <c r="TXE24" s="720"/>
      <c r="TXF24" s="720"/>
      <c r="TXG24" s="720"/>
      <c r="TXH24" s="720"/>
      <c r="TXI24" s="720"/>
      <c r="TXJ24" s="720"/>
      <c r="TXK24" s="720"/>
      <c r="TXL24" s="720"/>
      <c r="TXM24" s="720"/>
      <c r="TXN24" s="720"/>
      <c r="TXO24" s="720"/>
      <c r="TXP24" s="720"/>
      <c r="TXQ24" s="720"/>
      <c r="TXR24" s="720"/>
      <c r="TXS24" s="720"/>
      <c r="TXT24" s="720"/>
      <c r="TXU24" s="720"/>
      <c r="TXV24" s="720"/>
      <c r="TXW24" s="720"/>
      <c r="TXX24" s="720"/>
      <c r="TXY24" s="720"/>
      <c r="TXZ24" s="720"/>
      <c r="TYA24" s="720"/>
      <c r="TYB24" s="720"/>
      <c r="TYC24" s="720"/>
      <c r="TYD24" s="720"/>
      <c r="TYE24" s="720"/>
      <c r="TYF24" s="720"/>
      <c r="TYG24" s="720"/>
      <c r="TYH24" s="720"/>
      <c r="TYI24" s="720"/>
      <c r="TYJ24" s="720"/>
      <c r="TYK24" s="720"/>
      <c r="TYL24" s="720"/>
      <c r="TYM24" s="720"/>
      <c r="TYN24" s="720"/>
      <c r="TYO24" s="720"/>
      <c r="TYP24" s="720"/>
      <c r="TYQ24" s="720"/>
      <c r="TYR24" s="720"/>
      <c r="TYS24" s="720"/>
      <c r="TYT24" s="720"/>
      <c r="TYU24" s="720"/>
      <c r="TYV24" s="720"/>
      <c r="TYW24" s="720"/>
      <c r="TYX24" s="720"/>
      <c r="TYY24" s="720"/>
      <c r="TYZ24" s="720"/>
      <c r="TZA24" s="720"/>
      <c r="TZB24" s="720"/>
      <c r="TZC24" s="720"/>
      <c r="TZD24" s="720"/>
      <c r="TZE24" s="720"/>
      <c r="TZF24" s="720"/>
      <c r="TZG24" s="720"/>
      <c r="TZH24" s="720"/>
      <c r="TZI24" s="720"/>
      <c r="TZJ24" s="720"/>
      <c r="TZK24" s="720"/>
      <c r="TZL24" s="720"/>
      <c r="TZM24" s="720"/>
      <c r="TZN24" s="720"/>
      <c r="TZO24" s="720"/>
      <c r="TZP24" s="720"/>
      <c r="TZQ24" s="720"/>
      <c r="TZR24" s="720"/>
      <c r="TZS24" s="720"/>
      <c r="TZT24" s="720"/>
      <c r="TZU24" s="720"/>
      <c r="TZV24" s="720"/>
      <c r="TZW24" s="720"/>
      <c r="TZX24" s="720"/>
      <c r="TZY24" s="720"/>
      <c r="TZZ24" s="720"/>
      <c r="UAA24" s="720"/>
      <c r="UAB24" s="720"/>
      <c r="UAC24" s="720"/>
      <c r="UAD24" s="720"/>
      <c r="UAE24" s="720"/>
      <c r="UAF24" s="720"/>
      <c r="UAG24" s="720"/>
      <c r="UAH24" s="720"/>
      <c r="UAI24" s="720"/>
      <c r="UAJ24" s="720"/>
      <c r="UAK24" s="720"/>
      <c r="UAL24" s="720"/>
      <c r="UAM24" s="720"/>
      <c r="UAN24" s="720"/>
      <c r="UAO24" s="720"/>
      <c r="UAP24" s="720"/>
      <c r="UAQ24" s="720"/>
      <c r="UAR24" s="720"/>
      <c r="UAS24" s="720"/>
      <c r="UAT24" s="720"/>
      <c r="UAU24" s="720"/>
      <c r="UAV24" s="720"/>
      <c r="UAW24" s="720"/>
      <c r="UAX24" s="720"/>
      <c r="UAY24" s="720"/>
      <c r="UAZ24" s="720"/>
      <c r="UBA24" s="720"/>
      <c r="UBB24" s="720"/>
      <c r="UBC24" s="720"/>
      <c r="UBD24" s="720"/>
      <c r="UBE24" s="720"/>
      <c r="UBF24" s="720"/>
      <c r="UBG24" s="720"/>
      <c r="UBH24" s="720"/>
      <c r="UBI24" s="720"/>
      <c r="UBJ24" s="720"/>
      <c r="UBK24" s="720"/>
      <c r="UBL24" s="720"/>
      <c r="UBM24" s="720"/>
      <c r="UBN24" s="720"/>
      <c r="UBO24" s="720"/>
      <c r="UBP24" s="720"/>
      <c r="UBQ24" s="720"/>
      <c r="UBR24" s="720"/>
      <c r="UBS24" s="720"/>
      <c r="UBT24" s="720"/>
      <c r="UBU24" s="720"/>
      <c r="UBV24" s="720"/>
      <c r="UBW24" s="720"/>
      <c r="UBX24" s="720"/>
      <c r="UBY24" s="720"/>
      <c r="UBZ24" s="720"/>
      <c r="UCA24" s="720"/>
      <c r="UCB24" s="720"/>
      <c r="UCC24" s="720"/>
      <c r="UCD24" s="720"/>
      <c r="UCE24" s="720"/>
      <c r="UCF24" s="720"/>
      <c r="UCG24" s="720"/>
      <c r="UCH24" s="720"/>
      <c r="UCI24" s="720"/>
      <c r="UCJ24" s="720"/>
      <c r="UCK24" s="720"/>
      <c r="UCL24" s="720"/>
      <c r="UCM24" s="720"/>
      <c r="UCN24" s="720"/>
      <c r="UCO24" s="720"/>
      <c r="UCP24" s="720"/>
      <c r="UCQ24" s="720"/>
      <c r="UCR24" s="720"/>
      <c r="UCS24" s="720"/>
      <c r="UCT24" s="720"/>
      <c r="UCU24" s="720"/>
      <c r="UCV24" s="720"/>
      <c r="UCW24" s="720"/>
      <c r="UCX24" s="720"/>
      <c r="UCY24" s="720"/>
      <c r="UCZ24" s="720"/>
      <c r="UDA24" s="720"/>
      <c r="UDB24" s="720"/>
      <c r="UDC24" s="720"/>
      <c r="UDD24" s="720"/>
      <c r="UDE24" s="720"/>
      <c r="UDF24" s="720"/>
      <c r="UDG24" s="720"/>
      <c r="UDH24" s="720"/>
      <c r="UDI24" s="720"/>
      <c r="UDJ24" s="720"/>
      <c r="UDK24" s="720"/>
      <c r="UDL24" s="720"/>
      <c r="UDM24" s="720"/>
      <c r="UDN24" s="720"/>
      <c r="UDO24" s="720"/>
      <c r="UDP24" s="720"/>
      <c r="UDQ24" s="720"/>
      <c r="UDR24" s="720"/>
      <c r="UDS24" s="720"/>
      <c r="UDT24" s="720"/>
      <c r="UDU24" s="720"/>
      <c r="UDV24" s="720"/>
      <c r="UDW24" s="720"/>
      <c r="UDX24" s="720"/>
      <c r="UDY24" s="720"/>
      <c r="UDZ24" s="720"/>
      <c r="UEA24" s="720"/>
      <c r="UEB24" s="720"/>
      <c r="UEC24" s="720"/>
      <c r="UED24" s="720"/>
      <c r="UEE24" s="720"/>
      <c r="UEF24" s="720"/>
      <c r="UEG24" s="720"/>
      <c r="UEH24" s="720"/>
      <c r="UEI24" s="720"/>
      <c r="UEJ24" s="720"/>
      <c r="UEK24" s="720"/>
      <c r="UEL24" s="720"/>
      <c r="UEM24" s="720"/>
      <c r="UEN24" s="720"/>
      <c r="UEO24" s="720"/>
      <c r="UEP24" s="720"/>
      <c r="UEQ24" s="720"/>
      <c r="UER24" s="720"/>
      <c r="UES24" s="720"/>
      <c r="UET24" s="720"/>
      <c r="UEU24" s="720"/>
      <c r="UEV24" s="720"/>
      <c r="UEW24" s="720"/>
      <c r="UEX24" s="720"/>
      <c r="UEY24" s="720"/>
      <c r="UEZ24" s="720"/>
      <c r="UFA24" s="720"/>
      <c r="UFB24" s="720"/>
      <c r="UFC24" s="720"/>
      <c r="UFD24" s="720"/>
      <c r="UFE24" s="720"/>
      <c r="UFF24" s="720"/>
      <c r="UFG24" s="720"/>
      <c r="UFH24" s="720"/>
      <c r="UFI24" s="720"/>
      <c r="UFJ24" s="720"/>
      <c r="UFK24" s="720"/>
      <c r="UFL24" s="720"/>
      <c r="UFM24" s="720"/>
      <c r="UFN24" s="720"/>
      <c r="UFO24" s="720"/>
      <c r="UFP24" s="720"/>
      <c r="UFQ24" s="720"/>
      <c r="UFR24" s="720"/>
      <c r="UFS24" s="720"/>
      <c r="UFT24" s="720"/>
      <c r="UFU24" s="720"/>
      <c r="UFV24" s="720"/>
      <c r="UFW24" s="720"/>
      <c r="UFX24" s="720"/>
      <c r="UFY24" s="720"/>
      <c r="UFZ24" s="720"/>
      <c r="UGA24" s="720"/>
      <c r="UGB24" s="720"/>
      <c r="UGC24" s="720"/>
      <c r="UGD24" s="720"/>
      <c r="UGE24" s="720"/>
      <c r="UGF24" s="720"/>
      <c r="UGG24" s="720"/>
      <c r="UGH24" s="720"/>
      <c r="UGI24" s="720"/>
      <c r="UGJ24" s="720"/>
      <c r="UGK24" s="720"/>
      <c r="UGL24" s="720"/>
      <c r="UGM24" s="720"/>
      <c r="UGN24" s="720"/>
      <c r="UGO24" s="720"/>
      <c r="UGP24" s="720"/>
      <c r="UGQ24" s="720"/>
      <c r="UGR24" s="720"/>
      <c r="UGS24" s="720"/>
      <c r="UGT24" s="720"/>
      <c r="UGU24" s="720"/>
      <c r="UGV24" s="720"/>
      <c r="UGW24" s="720"/>
      <c r="UGX24" s="720"/>
      <c r="UGY24" s="720"/>
      <c r="UGZ24" s="720"/>
      <c r="UHA24" s="720"/>
      <c r="UHB24" s="720"/>
      <c r="UHC24" s="720"/>
      <c r="UHD24" s="720"/>
      <c r="UHE24" s="720"/>
      <c r="UHF24" s="720"/>
      <c r="UHG24" s="720"/>
      <c r="UHH24" s="720"/>
      <c r="UHI24" s="720"/>
      <c r="UHJ24" s="720"/>
      <c r="UHK24" s="720"/>
      <c r="UHL24" s="720"/>
      <c r="UHM24" s="720"/>
      <c r="UHN24" s="720"/>
      <c r="UHO24" s="720"/>
      <c r="UHP24" s="720"/>
      <c r="UHQ24" s="720"/>
      <c r="UHR24" s="720"/>
      <c r="UHS24" s="720"/>
      <c r="UHT24" s="720"/>
      <c r="UHU24" s="720"/>
      <c r="UHV24" s="720"/>
      <c r="UHW24" s="720"/>
      <c r="UHX24" s="720"/>
      <c r="UHY24" s="720"/>
      <c r="UHZ24" s="720"/>
      <c r="UIA24" s="720"/>
      <c r="UIB24" s="720"/>
      <c r="UIC24" s="720"/>
      <c r="UID24" s="720"/>
      <c r="UIE24" s="720"/>
      <c r="UIF24" s="720"/>
      <c r="UIG24" s="720"/>
      <c r="UIH24" s="720"/>
      <c r="UII24" s="720"/>
      <c r="UIJ24" s="720"/>
      <c r="UIK24" s="720"/>
      <c r="UIL24" s="720"/>
      <c r="UIM24" s="720"/>
      <c r="UIN24" s="720"/>
      <c r="UIO24" s="720"/>
      <c r="UIP24" s="720"/>
      <c r="UIQ24" s="720"/>
      <c r="UIR24" s="720"/>
      <c r="UIS24" s="720"/>
      <c r="UIT24" s="720"/>
      <c r="UIU24" s="720"/>
      <c r="UIV24" s="720"/>
      <c r="UIW24" s="720"/>
      <c r="UIX24" s="720"/>
      <c r="UIY24" s="720"/>
      <c r="UIZ24" s="720"/>
      <c r="UJA24" s="720"/>
      <c r="UJB24" s="720"/>
      <c r="UJC24" s="720"/>
      <c r="UJD24" s="720"/>
      <c r="UJE24" s="720"/>
      <c r="UJF24" s="720"/>
      <c r="UJG24" s="720"/>
      <c r="UJH24" s="720"/>
      <c r="UJI24" s="720"/>
      <c r="UJJ24" s="720"/>
      <c r="UJK24" s="720"/>
      <c r="UJL24" s="720"/>
      <c r="UJM24" s="720"/>
      <c r="UJN24" s="720"/>
      <c r="UJO24" s="720"/>
      <c r="UJP24" s="720"/>
      <c r="UJQ24" s="720"/>
      <c r="UJR24" s="720"/>
      <c r="UJS24" s="720"/>
      <c r="UJT24" s="720"/>
      <c r="UJU24" s="720"/>
      <c r="UJV24" s="720"/>
      <c r="UJW24" s="720"/>
      <c r="UJX24" s="720"/>
      <c r="UJY24" s="720"/>
      <c r="UJZ24" s="720"/>
      <c r="UKA24" s="720"/>
      <c r="UKB24" s="720"/>
      <c r="UKC24" s="720"/>
      <c r="UKD24" s="720"/>
      <c r="UKE24" s="720"/>
      <c r="UKF24" s="720"/>
      <c r="UKG24" s="720"/>
      <c r="UKH24" s="720"/>
      <c r="UKI24" s="720"/>
      <c r="UKJ24" s="720"/>
      <c r="UKK24" s="720"/>
      <c r="UKL24" s="720"/>
      <c r="UKM24" s="720"/>
      <c r="UKN24" s="720"/>
      <c r="UKO24" s="720"/>
      <c r="UKP24" s="720"/>
      <c r="UKQ24" s="720"/>
      <c r="UKR24" s="720"/>
      <c r="UKS24" s="720"/>
      <c r="UKT24" s="720"/>
      <c r="UKU24" s="720"/>
      <c r="UKV24" s="720"/>
      <c r="UKW24" s="720"/>
      <c r="UKX24" s="720"/>
      <c r="UKY24" s="720"/>
      <c r="UKZ24" s="720"/>
      <c r="ULA24" s="720"/>
      <c r="ULB24" s="720"/>
      <c r="ULC24" s="720"/>
      <c r="ULD24" s="720"/>
      <c r="ULE24" s="720"/>
      <c r="ULF24" s="720"/>
      <c r="ULG24" s="720"/>
      <c r="ULH24" s="720"/>
      <c r="ULI24" s="720"/>
      <c r="ULJ24" s="720"/>
      <c r="ULK24" s="720"/>
      <c r="ULL24" s="720"/>
      <c r="ULM24" s="720"/>
      <c r="ULN24" s="720"/>
      <c r="ULO24" s="720"/>
      <c r="ULP24" s="720"/>
      <c r="ULQ24" s="720"/>
      <c r="ULR24" s="720"/>
      <c r="ULS24" s="720"/>
      <c r="ULT24" s="720"/>
      <c r="ULU24" s="720"/>
      <c r="ULV24" s="720"/>
      <c r="ULW24" s="720"/>
      <c r="ULX24" s="720"/>
      <c r="ULY24" s="720"/>
      <c r="ULZ24" s="720"/>
      <c r="UMA24" s="720"/>
      <c r="UMB24" s="720"/>
      <c r="UMC24" s="720"/>
      <c r="UMD24" s="720"/>
      <c r="UME24" s="720"/>
      <c r="UMF24" s="720"/>
      <c r="UMG24" s="720"/>
      <c r="UMH24" s="720"/>
      <c r="UMI24" s="720"/>
      <c r="UMJ24" s="720"/>
      <c r="UMK24" s="720"/>
      <c r="UML24" s="720"/>
      <c r="UMM24" s="720"/>
      <c r="UMN24" s="720"/>
      <c r="UMO24" s="720"/>
      <c r="UMP24" s="720"/>
      <c r="UMQ24" s="720"/>
      <c r="UMR24" s="720"/>
      <c r="UMS24" s="720"/>
      <c r="UMT24" s="720"/>
      <c r="UMU24" s="720"/>
      <c r="UMV24" s="720"/>
      <c r="UMW24" s="720"/>
      <c r="UMX24" s="720"/>
      <c r="UMY24" s="720"/>
      <c r="UMZ24" s="720"/>
      <c r="UNA24" s="720"/>
      <c r="UNB24" s="720"/>
      <c r="UNC24" s="720"/>
      <c r="UND24" s="720"/>
      <c r="UNE24" s="720"/>
      <c r="UNF24" s="720"/>
      <c r="UNG24" s="720"/>
      <c r="UNH24" s="720"/>
      <c r="UNI24" s="720"/>
      <c r="UNJ24" s="720"/>
      <c r="UNK24" s="720"/>
      <c r="UNL24" s="720"/>
      <c r="UNM24" s="720"/>
      <c r="UNN24" s="720"/>
      <c r="UNO24" s="720"/>
      <c r="UNP24" s="720"/>
      <c r="UNQ24" s="720"/>
      <c r="UNR24" s="720"/>
      <c r="UNS24" s="720"/>
      <c r="UNT24" s="720"/>
      <c r="UNU24" s="720"/>
      <c r="UNV24" s="720"/>
      <c r="UNW24" s="720"/>
      <c r="UNX24" s="720"/>
      <c r="UNY24" s="720"/>
      <c r="UNZ24" s="720"/>
      <c r="UOA24" s="720"/>
      <c r="UOB24" s="720"/>
      <c r="UOC24" s="720"/>
      <c r="UOD24" s="720"/>
      <c r="UOE24" s="720"/>
      <c r="UOF24" s="720"/>
      <c r="UOG24" s="720"/>
      <c r="UOH24" s="720"/>
      <c r="UOI24" s="720"/>
      <c r="UOJ24" s="720"/>
      <c r="UOK24" s="720"/>
      <c r="UOL24" s="720"/>
      <c r="UOM24" s="720"/>
      <c r="UON24" s="720"/>
      <c r="UOO24" s="720"/>
      <c r="UOP24" s="720"/>
      <c r="UOQ24" s="720"/>
      <c r="UOR24" s="720"/>
      <c r="UOS24" s="720"/>
      <c r="UOT24" s="720"/>
      <c r="UOU24" s="720"/>
      <c r="UOV24" s="720"/>
      <c r="UOW24" s="720"/>
      <c r="UOX24" s="720"/>
      <c r="UOY24" s="720"/>
      <c r="UOZ24" s="720"/>
      <c r="UPA24" s="720"/>
      <c r="UPB24" s="720"/>
      <c r="UPC24" s="720"/>
      <c r="UPD24" s="720"/>
      <c r="UPE24" s="720"/>
      <c r="UPF24" s="720"/>
      <c r="UPG24" s="720"/>
      <c r="UPH24" s="720"/>
      <c r="UPI24" s="720"/>
      <c r="UPJ24" s="720"/>
      <c r="UPK24" s="720"/>
      <c r="UPL24" s="720"/>
      <c r="UPM24" s="720"/>
      <c r="UPN24" s="720"/>
      <c r="UPO24" s="720"/>
      <c r="UPP24" s="720"/>
      <c r="UPQ24" s="720"/>
      <c r="UPR24" s="720"/>
      <c r="UPS24" s="720"/>
      <c r="UPT24" s="720"/>
      <c r="UPU24" s="720"/>
      <c r="UPV24" s="720"/>
      <c r="UPW24" s="720"/>
      <c r="UPX24" s="720"/>
      <c r="UPY24" s="720"/>
      <c r="UPZ24" s="720"/>
      <c r="UQA24" s="720"/>
      <c r="UQB24" s="720"/>
      <c r="UQC24" s="720"/>
      <c r="UQD24" s="720"/>
      <c r="UQE24" s="720"/>
      <c r="UQF24" s="720"/>
      <c r="UQG24" s="720"/>
      <c r="UQH24" s="720"/>
      <c r="UQI24" s="720"/>
      <c r="UQJ24" s="720"/>
      <c r="UQK24" s="720"/>
      <c r="UQL24" s="720"/>
      <c r="UQM24" s="720"/>
      <c r="UQN24" s="720"/>
      <c r="UQO24" s="720"/>
      <c r="UQP24" s="720"/>
      <c r="UQQ24" s="720"/>
      <c r="UQR24" s="720"/>
      <c r="UQS24" s="720"/>
      <c r="UQT24" s="720"/>
      <c r="UQU24" s="720"/>
      <c r="UQV24" s="720"/>
      <c r="UQW24" s="720"/>
      <c r="UQX24" s="720"/>
      <c r="UQY24" s="720"/>
      <c r="UQZ24" s="720"/>
      <c r="URA24" s="720"/>
      <c r="URB24" s="720"/>
      <c r="URC24" s="720"/>
      <c r="URD24" s="720"/>
      <c r="URE24" s="720"/>
      <c r="URF24" s="720"/>
      <c r="URG24" s="720"/>
      <c r="URH24" s="720"/>
      <c r="URI24" s="720"/>
      <c r="URJ24" s="720"/>
      <c r="URK24" s="720"/>
      <c r="URL24" s="720"/>
      <c r="URM24" s="720"/>
      <c r="URN24" s="720"/>
      <c r="URO24" s="720"/>
      <c r="URP24" s="720"/>
      <c r="URQ24" s="720"/>
      <c r="URR24" s="720"/>
      <c r="URS24" s="720"/>
      <c r="URT24" s="720"/>
      <c r="URU24" s="720"/>
      <c r="URV24" s="720"/>
      <c r="URW24" s="720"/>
      <c r="URX24" s="720"/>
      <c r="URY24" s="720"/>
      <c r="URZ24" s="720"/>
      <c r="USA24" s="720"/>
      <c r="USB24" s="720"/>
      <c r="USC24" s="720"/>
      <c r="USD24" s="720"/>
      <c r="USE24" s="720"/>
      <c r="USF24" s="720"/>
      <c r="USG24" s="720"/>
      <c r="USH24" s="720"/>
      <c r="USI24" s="720"/>
      <c r="USJ24" s="720"/>
      <c r="USK24" s="720"/>
      <c r="USL24" s="720"/>
      <c r="USM24" s="720"/>
      <c r="USN24" s="720"/>
      <c r="USO24" s="720"/>
      <c r="USP24" s="720"/>
      <c r="USQ24" s="720"/>
      <c r="USR24" s="720"/>
      <c r="USS24" s="720"/>
      <c r="UST24" s="720"/>
      <c r="USU24" s="720"/>
      <c r="USV24" s="720"/>
      <c r="USW24" s="720"/>
      <c r="USX24" s="720"/>
      <c r="USY24" s="720"/>
      <c r="USZ24" s="720"/>
      <c r="UTA24" s="720"/>
      <c r="UTB24" s="720"/>
      <c r="UTC24" s="720"/>
      <c r="UTD24" s="720"/>
      <c r="UTE24" s="720"/>
      <c r="UTF24" s="720"/>
      <c r="UTG24" s="720"/>
      <c r="UTH24" s="720"/>
      <c r="UTI24" s="720"/>
      <c r="UTJ24" s="720"/>
      <c r="UTK24" s="720"/>
      <c r="UTL24" s="720"/>
      <c r="UTM24" s="720"/>
      <c r="UTN24" s="720"/>
      <c r="UTO24" s="720"/>
      <c r="UTP24" s="720"/>
      <c r="UTQ24" s="720"/>
      <c r="UTR24" s="720"/>
      <c r="UTS24" s="720"/>
      <c r="UTT24" s="720"/>
      <c r="UTU24" s="720"/>
      <c r="UTV24" s="720"/>
      <c r="UTW24" s="720"/>
      <c r="UTX24" s="720"/>
      <c r="UTY24" s="720"/>
      <c r="UTZ24" s="720"/>
      <c r="UUA24" s="720"/>
      <c r="UUB24" s="720"/>
      <c r="UUC24" s="720"/>
      <c r="UUD24" s="720"/>
      <c r="UUE24" s="720"/>
      <c r="UUF24" s="720"/>
      <c r="UUG24" s="720"/>
      <c r="UUH24" s="720"/>
      <c r="UUI24" s="720"/>
      <c r="UUJ24" s="720"/>
      <c r="UUK24" s="720"/>
      <c r="UUL24" s="720"/>
      <c r="UUM24" s="720"/>
      <c r="UUN24" s="720"/>
      <c r="UUO24" s="720"/>
      <c r="UUP24" s="720"/>
      <c r="UUQ24" s="720"/>
      <c r="UUR24" s="720"/>
      <c r="UUS24" s="720"/>
      <c r="UUT24" s="720"/>
      <c r="UUU24" s="720"/>
      <c r="UUV24" s="720"/>
      <c r="UUW24" s="720"/>
      <c r="UUX24" s="720"/>
      <c r="UUY24" s="720"/>
      <c r="UUZ24" s="720"/>
      <c r="UVA24" s="720"/>
      <c r="UVB24" s="720"/>
      <c r="UVC24" s="720"/>
      <c r="UVD24" s="720"/>
      <c r="UVE24" s="720"/>
      <c r="UVF24" s="720"/>
      <c r="UVG24" s="720"/>
      <c r="UVH24" s="720"/>
      <c r="UVI24" s="720"/>
      <c r="UVJ24" s="720"/>
      <c r="UVK24" s="720"/>
      <c r="UVL24" s="720"/>
      <c r="UVM24" s="720"/>
      <c r="UVN24" s="720"/>
      <c r="UVO24" s="720"/>
      <c r="UVP24" s="720"/>
      <c r="UVQ24" s="720"/>
      <c r="UVR24" s="720"/>
      <c r="UVS24" s="720"/>
      <c r="UVT24" s="720"/>
      <c r="UVU24" s="720"/>
      <c r="UVV24" s="720"/>
      <c r="UVW24" s="720"/>
      <c r="UVX24" s="720"/>
      <c r="UVY24" s="720"/>
      <c r="UVZ24" s="720"/>
      <c r="UWA24" s="720"/>
      <c r="UWB24" s="720"/>
      <c r="UWC24" s="720"/>
      <c r="UWD24" s="720"/>
      <c r="UWE24" s="720"/>
      <c r="UWF24" s="720"/>
      <c r="UWG24" s="720"/>
      <c r="UWH24" s="720"/>
      <c r="UWI24" s="720"/>
      <c r="UWJ24" s="720"/>
      <c r="UWK24" s="720"/>
      <c r="UWL24" s="720"/>
      <c r="UWM24" s="720"/>
      <c r="UWN24" s="720"/>
      <c r="UWO24" s="720"/>
      <c r="UWP24" s="720"/>
      <c r="UWQ24" s="720"/>
      <c r="UWR24" s="720"/>
      <c r="UWS24" s="720"/>
      <c r="UWT24" s="720"/>
      <c r="UWU24" s="720"/>
      <c r="UWV24" s="720"/>
      <c r="UWW24" s="720"/>
      <c r="UWX24" s="720"/>
      <c r="UWY24" s="720"/>
      <c r="UWZ24" s="720"/>
      <c r="UXA24" s="720"/>
      <c r="UXB24" s="720"/>
      <c r="UXC24" s="720"/>
      <c r="UXD24" s="720"/>
      <c r="UXE24" s="720"/>
      <c r="UXF24" s="720"/>
      <c r="UXG24" s="720"/>
      <c r="UXH24" s="720"/>
      <c r="UXI24" s="720"/>
      <c r="UXJ24" s="720"/>
      <c r="UXK24" s="720"/>
      <c r="UXL24" s="720"/>
      <c r="UXM24" s="720"/>
      <c r="UXN24" s="720"/>
      <c r="UXO24" s="720"/>
      <c r="UXP24" s="720"/>
      <c r="UXQ24" s="720"/>
      <c r="UXR24" s="720"/>
      <c r="UXS24" s="720"/>
      <c r="UXT24" s="720"/>
      <c r="UXU24" s="720"/>
      <c r="UXV24" s="720"/>
      <c r="UXW24" s="720"/>
      <c r="UXX24" s="720"/>
      <c r="UXY24" s="720"/>
      <c r="UXZ24" s="720"/>
      <c r="UYA24" s="720"/>
      <c r="UYB24" s="720"/>
      <c r="UYC24" s="720"/>
      <c r="UYD24" s="720"/>
      <c r="UYE24" s="720"/>
      <c r="UYF24" s="720"/>
      <c r="UYG24" s="720"/>
      <c r="UYH24" s="720"/>
      <c r="UYI24" s="720"/>
      <c r="UYJ24" s="720"/>
      <c r="UYK24" s="720"/>
      <c r="UYL24" s="720"/>
      <c r="UYM24" s="720"/>
      <c r="UYN24" s="720"/>
      <c r="UYO24" s="720"/>
      <c r="UYP24" s="720"/>
      <c r="UYQ24" s="720"/>
      <c r="UYR24" s="720"/>
      <c r="UYS24" s="720"/>
      <c r="UYT24" s="720"/>
      <c r="UYU24" s="720"/>
      <c r="UYV24" s="720"/>
      <c r="UYW24" s="720"/>
      <c r="UYX24" s="720"/>
      <c r="UYY24" s="720"/>
      <c r="UYZ24" s="720"/>
      <c r="UZA24" s="720"/>
      <c r="UZB24" s="720"/>
      <c r="UZC24" s="720"/>
      <c r="UZD24" s="720"/>
      <c r="UZE24" s="720"/>
      <c r="UZF24" s="720"/>
      <c r="UZG24" s="720"/>
      <c r="UZH24" s="720"/>
      <c r="UZI24" s="720"/>
      <c r="UZJ24" s="720"/>
      <c r="UZK24" s="720"/>
      <c r="UZL24" s="720"/>
      <c r="UZM24" s="720"/>
      <c r="UZN24" s="720"/>
      <c r="UZO24" s="720"/>
      <c r="UZP24" s="720"/>
      <c r="UZQ24" s="720"/>
      <c r="UZR24" s="720"/>
      <c r="UZS24" s="720"/>
      <c r="UZT24" s="720"/>
      <c r="UZU24" s="720"/>
      <c r="UZV24" s="720"/>
      <c r="UZW24" s="720"/>
      <c r="UZX24" s="720"/>
      <c r="UZY24" s="720"/>
      <c r="UZZ24" s="720"/>
      <c r="VAA24" s="720"/>
      <c r="VAB24" s="720"/>
      <c r="VAC24" s="720"/>
      <c r="VAD24" s="720"/>
      <c r="VAE24" s="720"/>
      <c r="VAF24" s="720"/>
      <c r="VAG24" s="720"/>
      <c r="VAH24" s="720"/>
      <c r="VAI24" s="720"/>
      <c r="VAJ24" s="720"/>
      <c r="VAK24" s="720"/>
      <c r="VAL24" s="720"/>
      <c r="VAM24" s="720"/>
      <c r="VAN24" s="720"/>
      <c r="VAO24" s="720"/>
      <c r="VAP24" s="720"/>
      <c r="VAQ24" s="720"/>
      <c r="VAR24" s="720"/>
      <c r="VAS24" s="720"/>
      <c r="VAT24" s="720"/>
      <c r="VAU24" s="720"/>
      <c r="VAV24" s="720"/>
      <c r="VAW24" s="720"/>
      <c r="VAX24" s="720"/>
      <c r="VAY24" s="720"/>
      <c r="VAZ24" s="720"/>
      <c r="VBA24" s="720"/>
      <c r="VBB24" s="720"/>
      <c r="VBC24" s="720"/>
      <c r="VBD24" s="720"/>
      <c r="VBE24" s="720"/>
      <c r="VBF24" s="720"/>
      <c r="VBG24" s="720"/>
      <c r="VBH24" s="720"/>
      <c r="VBI24" s="720"/>
      <c r="VBJ24" s="720"/>
      <c r="VBK24" s="720"/>
      <c r="VBL24" s="720"/>
      <c r="VBM24" s="720"/>
      <c r="VBN24" s="720"/>
      <c r="VBO24" s="720"/>
      <c r="VBP24" s="720"/>
      <c r="VBQ24" s="720"/>
      <c r="VBR24" s="720"/>
      <c r="VBS24" s="720"/>
      <c r="VBT24" s="720"/>
      <c r="VBU24" s="720"/>
      <c r="VBV24" s="720"/>
      <c r="VBW24" s="720"/>
      <c r="VBX24" s="720"/>
      <c r="VBY24" s="720"/>
      <c r="VBZ24" s="720"/>
      <c r="VCA24" s="720"/>
      <c r="VCB24" s="720"/>
      <c r="VCC24" s="720"/>
      <c r="VCD24" s="720"/>
      <c r="VCE24" s="720"/>
      <c r="VCF24" s="720"/>
      <c r="VCG24" s="720"/>
      <c r="VCH24" s="720"/>
      <c r="VCI24" s="720"/>
      <c r="VCJ24" s="720"/>
      <c r="VCK24" s="720"/>
      <c r="VCL24" s="720"/>
      <c r="VCM24" s="720"/>
      <c r="VCN24" s="720"/>
      <c r="VCO24" s="720"/>
      <c r="VCP24" s="720"/>
      <c r="VCQ24" s="720"/>
      <c r="VCR24" s="720"/>
      <c r="VCS24" s="720"/>
      <c r="VCT24" s="720"/>
      <c r="VCU24" s="720"/>
      <c r="VCV24" s="720"/>
      <c r="VCW24" s="720"/>
      <c r="VCX24" s="720"/>
      <c r="VCY24" s="720"/>
      <c r="VCZ24" s="720"/>
      <c r="VDA24" s="720"/>
      <c r="VDB24" s="720"/>
      <c r="VDC24" s="720"/>
      <c r="VDD24" s="720"/>
      <c r="VDE24" s="720"/>
      <c r="VDF24" s="720"/>
      <c r="VDG24" s="720"/>
      <c r="VDH24" s="720"/>
      <c r="VDI24" s="720"/>
      <c r="VDJ24" s="720"/>
      <c r="VDK24" s="720"/>
      <c r="VDL24" s="720"/>
      <c r="VDM24" s="720"/>
      <c r="VDN24" s="720"/>
      <c r="VDO24" s="720"/>
      <c r="VDP24" s="720"/>
      <c r="VDQ24" s="720"/>
      <c r="VDR24" s="720"/>
      <c r="VDS24" s="720"/>
      <c r="VDT24" s="720"/>
      <c r="VDU24" s="720"/>
      <c r="VDV24" s="720"/>
      <c r="VDW24" s="720"/>
      <c r="VDX24" s="720"/>
      <c r="VDY24" s="720"/>
      <c r="VDZ24" s="720"/>
      <c r="VEA24" s="720"/>
      <c r="VEB24" s="720"/>
      <c r="VEC24" s="720"/>
      <c r="VED24" s="720"/>
      <c r="VEE24" s="720"/>
      <c r="VEF24" s="720"/>
      <c r="VEG24" s="720"/>
      <c r="VEH24" s="720"/>
      <c r="VEI24" s="720"/>
      <c r="VEJ24" s="720"/>
      <c r="VEK24" s="720"/>
      <c r="VEL24" s="720"/>
      <c r="VEM24" s="720"/>
      <c r="VEN24" s="720"/>
      <c r="VEO24" s="720"/>
      <c r="VEP24" s="720"/>
      <c r="VEQ24" s="720"/>
      <c r="VER24" s="720"/>
      <c r="VES24" s="720"/>
      <c r="VET24" s="720"/>
      <c r="VEU24" s="720"/>
      <c r="VEV24" s="720"/>
      <c r="VEW24" s="720"/>
      <c r="VEX24" s="720"/>
      <c r="VEY24" s="720"/>
      <c r="VEZ24" s="720"/>
      <c r="VFA24" s="720"/>
      <c r="VFB24" s="720"/>
      <c r="VFC24" s="720"/>
      <c r="VFD24" s="720"/>
      <c r="VFE24" s="720"/>
      <c r="VFF24" s="720"/>
      <c r="VFG24" s="720"/>
      <c r="VFH24" s="720"/>
      <c r="VFI24" s="720"/>
      <c r="VFJ24" s="720"/>
      <c r="VFK24" s="720"/>
      <c r="VFL24" s="720"/>
      <c r="VFM24" s="720"/>
      <c r="VFN24" s="720"/>
      <c r="VFO24" s="720"/>
      <c r="VFP24" s="720"/>
      <c r="VFQ24" s="720"/>
      <c r="VFR24" s="720"/>
      <c r="VFS24" s="720"/>
      <c r="VFT24" s="720"/>
      <c r="VFU24" s="720"/>
      <c r="VFV24" s="720"/>
      <c r="VFW24" s="720"/>
      <c r="VFX24" s="720"/>
      <c r="VFY24" s="720"/>
      <c r="VFZ24" s="720"/>
      <c r="VGA24" s="720"/>
      <c r="VGB24" s="720"/>
      <c r="VGC24" s="720"/>
      <c r="VGD24" s="720"/>
      <c r="VGE24" s="720"/>
      <c r="VGF24" s="720"/>
      <c r="VGG24" s="720"/>
      <c r="VGH24" s="720"/>
      <c r="VGI24" s="720"/>
      <c r="VGJ24" s="720"/>
      <c r="VGK24" s="720"/>
      <c r="VGL24" s="720"/>
      <c r="VGM24" s="720"/>
      <c r="VGN24" s="720"/>
      <c r="VGO24" s="720"/>
      <c r="VGP24" s="720"/>
      <c r="VGQ24" s="720"/>
      <c r="VGR24" s="720"/>
      <c r="VGS24" s="720"/>
      <c r="VGT24" s="720"/>
      <c r="VGU24" s="720"/>
      <c r="VGV24" s="720"/>
      <c r="VGW24" s="720"/>
      <c r="VGX24" s="720"/>
      <c r="VGY24" s="720"/>
      <c r="VGZ24" s="720"/>
      <c r="VHA24" s="720"/>
      <c r="VHB24" s="720"/>
      <c r="VHC24" s="720"/>
      <c r="VHD24" s="720"/>
      <c r="VHE24" s="720"/>
      <c r="VHF24" s="720"/>
      <c r="VHG24" s="720"/>
      <c r="VHH24" s="720"/>
      <c r="VHI24" s="720"/>
      <c r="VHJ24" s="720"/>
      <c r="VHK24" s="720"/>
      <c r="VHL24" s="720"/>
      <c r="VHM24" s="720"/>
      <c r="VHN24" s="720"/>
      <c r="VHO24" s="720"/>
      <c r="VHP24" s="720"/>
      <c r="VHQ24" s="720"/>
      <c r="VHR24" s="720"/>
      <c r="VHS24" s="720"/>
      <c r="VHT24" s="720"/>
      <c r="VHU24" s="720"/>
      <c r="VHV24" s="720"/>
      <c r="VHW24" s="720"/>
      <c r="VHX24" s="720"/>
      <c r="VHY24" s="720"/>
      <c r="VHZ24" s="720"/>
      <c r="VIA24" s="720"/>
      <c r="VIB24" s="720"/>
      <c r="VIC24" s="720"/>
      <c r="VID24" s="720"/>
      <c r="VIE24" s="720"/>
      <c r="VIF24" s="720"/>
      <c r="VIG24" s="720"/>
      <c r="VIH24" s="720"/>
      <c r="VII24" s="720"/>
      <c r="VIJ24" s="720"/>
      <c r="VIK24" s="720"/>
      <c r="VIL24" s="720"/>
      <c r="VIM24" s="720"/>
      <c r="VIN24" s="720"/>
      <c r="VIO24" s="720"/>
      <c r="VIP24" s="720"/>
      <c r="VIQ24" s="720"/>
      <c r="VIR24" s="720"/>
      <c r="VIS24" s="720"/>
      <c r="VIT24" s="720"/>
      <c r="VIU24" s="720"/>
      <c r="VIV24" s="720"/>
      <c r="VIW24" s="720"/>
      <c r="VIX24" s="720"/>
      <c r="VIY24" s="720"/>
      <c r="VIZ24" s="720"/>
      <c r="VJA24" s="720"/>
      <c r="VJB24" s="720"/>
      <c r="VJC24" s="720"/>
      <c r="VJD24" s="720"/>
      <c r="VJE24" s="720"/>
      <c r="VJF24" s="720"/>
      <c r="VJG24" s="720"/>
      <c r="VJH24" s="720"/>
      <c r="VJI24" s="720"/>
      <c r="VJJ24" s="720"/>
      <c r="VJK24" s="720"/>
      <c r="VJL24" s="720"/>
      <c r="VJM24" s="720"/>
      <c r="VJN24" s="720"/>
      <c r="VJO24" s="720"/>
      <c r="VJP24" s="720"/>
      <c r="VJQ24" s="720"/>
      <c r="VJR24" s="720"/>
      <c r="VJS24" s="720"/>
      <c r="VJT24" s="720"/>
      <c r="VJU24" s="720"/>
      <c r="VJV24" s="720"/>
      <c r="VJW24" s="720"/>
      <c r="VJX24" s="720"/>
      <c r="VJY24" s="720"/>
      <c r="VJZ24" s="720"/>
      <c r="VKA24" s="720"/>
      <c r="VKB24" s="720"/>
      <c r="VKC24" s="720"/>
      <c r="VKD24" s="720"/>
      <c r="VKE24" s="720"/>
      <c r="VKF24" s="720"/>
      <c r="VKG24" s="720"/>
      <c r="VKH24" s="720"/>
      <c r="VKI24" s="720"/>
      <c r="VKJ24" s="720"/>
      <c r="VKK24" s="720"/>
      <c r="VKL24" s="720"/>
      <c r="VKM24" s="720"/>
      <c r="VKN24" s="720"/>
      <c r="VKO24" s="720"/>
      <c r="VKP24" s="720"/>
      <c r="VKQ24" s="720"/>
      <c r="VKR24" s="720"/>
      <c r="VKS24" s="720"/>
      <c r="VKT24" s="720"/>
      <c r="VKU24" s="720"/>
      <c r="VKV24" s="720"/>
      <c r="VKW24" s="720"/>
      <c r="VKX24" s="720"/>
      <c r="VKY24" s="720"/>
      <c r="VKZ24" s="720"/>
      <c r="VLA24" s="720"/>
      <c r="VLB24" s="720"/>
      <c r="VLC24" s="720"/>
      <c r="VLD24" s="720"/>
      <c r="VLE24" s="720"/>
      <c r="VLF24" s="720"/>
      <c r="VLG24" s="720"/>
      <c r="VLH24" s="720"/>
      <c r="VLI24" s="720"/>
      <c r="VLJ24" s="720"/>
      <c r="VLK24" s="720"/>
      <c r="VLL24" s="720"/>
      <c r="VLM24" s="720"/>
      <c r="VLN24" s="720"/>
      <c r="VLO24" s="720"/>
      <c r="VLP24" s="720"/>
      <c r="VLQ24" s="720"/>
      <c r="VLR24" s="720"/>
      <c r="VLS24" s="720"/>
      <c r="VLT24" s="720"/>
      <c r="VLU24" s="720"/>
      <c r="VLV24" s="720"/>
      <c r="VLW24" s="720"/>
      <c r="VLX24" s="720"/>
      <c r="VLY24" s="720"/>
      <c r="VLZ24" s="720"/>
      <c r="VMA24" s="720"/>
      <c r="VMB24" s="720"/>
      <c r="VMC24" s="720"/>
      <c r="VMD24" s="720"/>
      <c r="VME24" s="720"/>
      <c r="VMF24" s="720"/>
      <c r="VMG24" s="720"/>
      <c r="VMH24" s="720"/>
      <c r="VMI24" s="720"/>
      <c r="VMJ24" s="720"/>
      <c r="VMK24" s="720"/>
      <c r="VML24" s="720"/>
      <c r="VMM24" s="720"/>
      <c r="VMN24" s="720"/>
      <c r="VMO24" s="720"/>
      <c r="VMP24" s="720"/>
      <c r="VMQ24" s="720"/>
      <c r="VMR24" s="720"/>
      <c r="VMS24" s="720"/>
      <c r="VMT24" s="720"/>
      <c r="VMU24" s="720"/>
      <c r="VMV24" s="720"/>
      <c r="VMW24" s="720"/>
      <c r="VMX24" s="720"/>
      <c r="VMY24" s="720"/>
      <c r="VMZ24" s="720"/>
      <c r="VNA24" s="720"/>
      <c r="VNB24" s="720"/>
      <c r="VNC24" s="720"/>
      <c r="VND24" s="720"/>
      <c r="VNE24" s="720"/>
      <c r="VNF24" s="720"/>
      <c r="VNG24" s="720"/>
      <c r="VNH24" s="720"/>
      <c r="VNI24" s="720"/>
      <c r="VNJ24" s="720"/>
      <c r="VNK24" s="720"/>
      <c r="VNL24" s="720"/>
      <c r="VNM24" s="720"/>
      <c r="VNN24" s="720"/>
      <c r="VNO24" s="720"/>
      <c r="VNP24" s="720"/>
      <c r="VNQ24" s="720"/>
      <c r="VNR24" s="720"/>
      <c r="VNS24" s="720"/>
      <c r="VNT24" s="720"/>
      <c r="VNU24" s="720"/>
      <c r="VNV24" s="720"/>
      <c r="VNW24" s="720"/>
      <c r="VNX24" s="720"/>
      <c r="VNY24" s="720"/>
      <c r="VNZ24" s="720"/>
      <c r="VOA24" s="720"/>
      <c r="VOB24" s="720"/>
      <c r="VOC24" s="720"/>
      <c r="VOD24" s="720"/>
      <c r="VOE24" s="720"/>
      <c r="VOF24" s="720"/>
      <c r="VOG24" s="720"/>
      <c r="VOH24" s="720"/>
      <c r="VOI24" s="720"/>
      <c r="VOJ24" s="720"/>
      <c r="VOK24" s="720"/>
      <c r="VOL24" s="720"/>
      <c r="VOM24" s="720"/>
      <c r="VON24" s="720"/>
      <c r="VOO24" s="720"/>
      <c r="VOP24" s="720"/>
      <c r="VOQ24" s="720"/>
      <c r="VOR24" s="720"/>
      <c r="VOS24" s="720"/>
      <c r="VOT24" s="720"/>
      <c r="VOU24" s="720"/>
      <c r="VOV24" s="720"/>
      <c r="VOW24" s="720"/>
      <c r="VOX24" s="720"/>
      <c r="VOY24" s="720"/>
      <c r="VOZ24" s="720"/>
      <c r="VPA24" s="720"/>
      <c r="VPB24" s="720"/>
      <c r="VPC24" s="720"/>
      <c r="VPD24" s="720"/>
      <c r="VPE24" s="720"/>
      <c r="VPF24" s="720"/>
      <c r="VPG24" s="720"/>
      <c r="VPH24" s="720"/>
      <c r="VPI24" s="720"/>
      <c r="VPJ24" s="720"/>
      <c r="VPK24" s="720"/>
      <c r="VPL24" s="720"/>
      <c r="VPM24" s="720"/>
      <c r="VPN24" s="720"/>
      <c r="VPO24" s="720"/>
      <c r="VPP24" s="720"/>
      <c r="VPQ24" s="720"/>
      <c r="VPR24" s="720"/>
      <c r="VPS24" s="720"/>
      <c r="VPT24" s="720"/>
      <c r="VPU24" s="720"/>
      <c r="VPV24" s="720"/>
      <c r="VPW24" s="720"/>
      <c r="VPX24" s="720"/>
      <c r="VPY24" s="720"/>
      <c r="VPZ24" s="720"/>
      <c r="VQA24" s="720"/>
      <c r="VQB24" s="720"/>
      <c r="VQC24" s="720"/>
      <c r="VQD24" s="720"/>
      <c r="VQE24" s="720"/>
      <c r="VQF24" s="720"/>
      <c r="VQG24" s="720"/>
      <c r="VQH24" s="720"/>
      <c r="VQI24" s="720"/>
      <c r="VQJ24" s="720"/>
      <c r="VQK24" s="720"/>
      <c r="VQL24" s="720"/>
      <c r="VQM24" s="720"/>
      <c r="VQN24" s="720"/>
      <c r="VQO24" s="720"/>
      <c r="VQP24" s="720"/>
      <c r="VQQ24" s="720"/>
      <c r="VQR24" s="720"/>
      <c r="VQS24" s="720"/>
      <c r="VQT24" s="720"/>
      <c r="VQU24" s="720"/>
      <c r="VQV24" s="720"/>
      <c r="VQW24" s="720"/>
      <c r="VQX24" s="720"/>
      <c r="VQY24" s="720"/>
      <c r="VQZ24" s="720"/>
      <c r="VRA24" s="720"/>
      <c r="VRB24" s="720"/>
      <c r="VRC24" s="720"/>
      <c r="VRD24" s="720"/>
      <c r="VRE24" s="720"/>
      <c r="VRF24" s="720"/>
      <c r="VRG24" s="720"/>
      <c r="VRH24" s="720"/>
      <c r="VRI24" s="720"/>
      <c r="VRJ24" s="720"/>
      <c r="VRK24" s="720"/>
      <c r="VRL24" s="720"/>
      <c r="VRM24" s="720"/>
      <c r="VRN24" s="720"/>
      <c r="VRO24" s="720"/>
      <c r="VRP24" s="720"/>
      <c r="VRQ24" s="720"/>
      <c r="VRR24" s="720"/>
      <c r="VRS24" s="720"/>
      <c r="VRT24" s="720"/>
      <c r="VRU24" s="720"/>
      <c r="VRV24" s="720"/>
      <c r="VRW24" s="720"/>
      <c r="VRX24" s="720"/>
      <c r="VRY24" s="720"/>
      <c r="VRZ24" s="720"/>
      <c r="VSA24" s="720"/>
      <c r="VSB24" s="720"/>
      <c r="VSC24" s="720"/>
      <c r="VSD24" s="720"/>
      <c r="VSE24" s="720"/>
      <c r="VSF24" s="720"/>
      <c r="VSG24" s="720"/>
      <c r="VSH24" s="720"/>
      <c r="VSI24" s="720"/>
      <c r="VSJ24" s="720"/>
      <c r="VSK24" s="720"/>
      <c r="VSL24" s="720"/>
      <c r="VSM24" s="720"/>
      <c r="VSN24" s="720"/>
      <c r="VSO24" s="720"/>
      <c r="VSP24" s="720"/>
      <c r="VSQ24" s="720"/>
      <c r="VSR24" s="720"/>
      <c r="VSS24" s="720"/>
      <c r="VST24" s="720"/>
      <c r="VSU24" s="720"/>
      <c r="VSV24" s="720"/>
      <c r="VSW24" s="720"/>
      <c r="VSX24" s="720"/>
      <c r="VSY24" s="720"/>
      <c r="VSZ24" s="720"/>
      <c r="VTA24" s="720"/>
      <c r="VTB24" s="720"/>
      <c r="VTC24" s="720"/>
      <c r="VTD24" s="720"/>
      <c r="VTE24" s="720"/>
      <c r="VTF24" s="720"/>
      <c r="VTG24" s="720"/>
      <c r="VTH24" s="720"/>
      <c r="VTI24" s="720"/>
      <c r="VTJ24" s="720"/>
      <c r="VTK24" s="720"/>
      <c r="VTL24" s="720"/>
      <c r="VTM24" s="720"/>
      <c r="VTN24" s="720"/>
      <c r="VTO24" s="720"/>
      <c r="VTP24" s="720"/>
      <c r="VTQ24" s="720"/>
      <c r="VTR24" s="720"/>
      <c r="VTS24" s="720"/>
      <c r="VTT24" s="720"/>
      <c r="VTU24" s="720"/>
      <c r="VTV24" s="720"/>
      <c r="VTW24" s="720"/>
      <c r="VTX24" s="720"/>
      <c r="VTY24" s="720"/>
      <c r="VTZ24" s="720"/>
      <c r="VUA24" s="720"/>
      <c r="VUB24" s="720"/>
      <c r="VUC24" s="720"/>
      <c r="VUD24" s="720"/>
      <c r="VUE24" s="720"/>
      <c r="VUF24" s="720"/>
      <c r="VUG24" s="720"/>
      <c r="VUH24" s="720"/>
      <c r="VUI24" s="720"/>
      <c r="VUJ24" s="720"/>
      <c r="VUK24" s="720"/>
      <c r="VUL24" s="720"/>
      <c r="VUM24" s="720"/>
      <c r="VUN24" s="720"/>
      <c r="VUO24" s="720"/>
      <c r="VUP24" s="720"/>
      <c r="VUQ24" s="720"/>
      <c r="VUR24" s="720"/>
      <c r="VUS24" s="720"/>
      <c r="VUT24" s="720"/>
      <c r="VUU24" s="720"/>
      <c r="VUV24" s="720"/>
      <c r="VUW24" s="720"/>
      <c r="VUX24" s="720"/>
      <c r="VUY24" s="720"/>
      <c r="VUZ24" s="720"/>
      <c r="VVA24" s="720"/>
      <c r="VVB24" s="720"/>
      <c r="VVC24" s="720"/>
      <c r="VVD24" s="720"/>
      <c r="VVE24" s="720"/>
      <c r="VVF24" s="720"/>
      <c r="VVG24" s="720"/>
      <c r="VVH24" s="720"/>
      <c r="VVI24" s="720"/>
      <c r="VVJ24" s="720"/>
      <c r="VVK24" s="720"/>
      <c r="VVL24" s="720"/>
      <c r="VVM24" s="720"/>
      <c r="VVN24" s="720"/>
      <c r="VVO24" s="720"/>
      <c r="VVP24" s="720"/>
      <c r="VVQ24" s="720"/>
      <c r="VVR24" s="720"/>
      <c r="VVS24" s="720"/>
      <c r="VVT24" s="720"/>
      <c r="VVU24" s="720"/>
      <c r="VVV24" s="720"/>
      <c r="VVW24" s="720"/>
      <c r="VVX24" s="720"/>
      <c r="VVY24" s="720"/>
      <c r="VVZ24" s="720"/>
      <c r="VWA24" s="720"/>
      <c r="VWB24" s="720"/>
      <c r="VWC24" s="720"/>
      <c r="VWD24" s="720"/>
      <c r="VWE24" s="720"/>
      <c r="VWF24" s="720"/>
      <c r="VWG24" s="720"/>
      <c r="VWH24" s="720"/>
      <c r="VWI24" s="720"/>
      <c r="VWJ24" s="720"/>
      <c r="VWK24" s="720"/>
      <c r="VWL24" s="720"/>
      <c r="VWM24" s="720"/>
      <c r="VWN24" s="720"/>
      <c r="VWO24" s="720"/>
      <c r="VWP24" s="720"/>
      <c r="VWQ24" s="720"/>
      <c r="VWR24" s="720"/>
      <c r="VWS24" s="720"/>
      <c r="VWT24" s="720"/>
      <c r="VWU24" s="720"/>
      <c r="VWV24" s="720"/>
      <c r="VWW24" s="720"/>
      <c r="VWX24" s="720"/>
      <c r="VWY24" s="720"/>
      <c r="VWZ24" s="720"/>
      <c r="VXA24" s="720"/>
      <c r="VXB24" s="720"/>
      <c r="VXC24" s="720"/>
      <c r="VXD24" s="720"/>
      <c r="VXE24" s="720"/>
      <c r="VXF24" s="720"/>
      <c r="VXG24" s="720"/>
      <c r="VXH24" s="720"/>
      <c r="VXI24" s="720"/>
      <c r="VXJ24" s="720"/>
      <c r="VXK24" s="720"/>
      <c r="VXL24" s="720"/>
      <c r="VXM24" s="720"/>
      <c r="VXN24" s="720"/>
      <c r="VXO24" s="720"/>
      <c r="VXP24" s="720"/>
      <c r="VXQ24" s="720"/>
      <c r="VXR24" s="720"/>
      <c r="VXS24" s="720"/>
      <c r="VXT24" s="720"/>
      <c r="VXU24" s="720"/>
      <c r="VXV24" s="720"/>
      <c r="VXW24" s="720"/>
      <c r="VXX24" s="720"/>
      <c r="VXY24" s="720"/>
      <c r="VXZ24" s="720"/>
      <c r="VYA24" s="720"/>
      <c r="VYB24" s="720"/>
      <c r="VYC24" s="720"/>
      <c r="VYD24" s="720"/>
      <c r="VYE24" s="720"/>
      <c r="VYF24" s="720"/>
      <c r="VYG24" s="720"/>
      <c r="VYH24" s="720"/>
      <c r="VYI24" s="720"/>
      <c r="VYJ24" s="720"/>
      <c r="VYK24" s="720"/>
      <c r="VYL24" s="720"/>
      <c r="VYM24" s="720"/>
      <c r="VYN24" s="720"/>
      <c r="VYO24" s="720"/>
      <c r="VYP24" s="720"/>
      <c r="VYQ24" s="720"/>
      <c r="VYR24" s="720"/>
      <c r="VYS24" s="720"/>
      <c r="VYT24" s="720"/>
      <c r="VYU24" s="720"/>
      <c r="VYV24" s="720"/>
      <c r="VYW24" s="720"/>
      <c r="VYX24" s="720"/>
      <c r="VYY24" s="720"/>
      <c r="VYZ24" s="720"/>
      <c r="VZA24" s="720"/>
      <c r="VZB24" s="720"/>
      <c r="VZC24" s="720"/>
      <c r="VZD24" s="720"/>
      <c r="VZE24" s="720"/>
      <c r="VZF24" s="720"/>
      <c r="VZG24" s="720"/>
      <c r="VZH24" s="720"/>
      <c r="VZI24" s="720"/>
      <c r="VZJ24" s="720"/>
      <c r="VZK24" s="720"/>
      <c r="VZL24" s="720"/>
      <c r="VZM24" s="720"/>
      <c r="VZN24" s="720"/>
      <c r="VZO24" s="720"/>
      <c r="VZP24" s="720"/>
      <c r="VZQ24" s="720"/>
      <c r="VZR24" s="720"/>
      <c r="VZS24" s="720"/>
      <c r="VZT24" s="720"/>
      <c r="VZU24" s="720"/>
      <c r="VZV24" s="720"/>
      <c r="VZW24" s="720"/>
      <c r="VZX24" s="720"/>
      <c r="VZY24" s="720"/>
      <c r="VZZ24" s="720"/>
      <c r="WAA24" s="720"/>
      <c r="WAB24" s="720"/>
      <c r="WAC24" s="720"/>
      <c r="WAD24" s="720"/>
      <c r="WAE24" s="720"/>
      <c r="WAF24" s="720"/>
      <c r="WAG24" s="720"/>
      <c r="WAH24" s="720"/>
      <c r="WAI24" s="720"/>
      <c r="WAJ24" s="720"/>
      <c r="WAK24" s="720"/>
      <c r="WAL24" s="720"/>
      <c r="WAM24" s="720"/>
      <c r="WAN24" s="720"/>
      <c r="WAO24" s="720"/>
      <c r="WAP24" s="720"/>
      <c r="WAQ24" s="720"/>
      <c r="WAR24" s="720"/>
      <c r="WAS24" s="720"/>
      <c r="WAT24" s="720"/>
      <c r="WAU24" s="720"/>
      <c r="WAV24" s="720"/>
      <c r="WAW24" s="720"/>
      <c r="WAX24" s="720"/>
      <c r="WAY24" s="720"/>
      <c r="WAZ24" s="720"/>
      <c r="WBA24" s="720"/>
      <c r="WBB24" s="720"/>
      <c r="WBC24" s="720"/>
      <c r="WBD24" s="720"/>
      <c r="WBE24" s="720"/>
      <c r="WBF24" s="720"/>
      <c r="WBG24" s="720"/>
      <c r="WBH24" s="720"/>
      <c r="WBI24" s="720"/>
      <c r="WBJ24" s="720"/>
      <c r="WBK24" s="720"/>
      <c r="WBL24" s="720"/>
      <c r="WBM24" s="720"/>
      <c r="WBN24" s="720"/>
      <c r="WBO24" s="720"/>
      <c r="WBP24" s="720"/>
      <c r="WBQ24" s="720"/>
      <c r="WBR24" s="720"/>
      <c r="WBS24" s="720"/>
      <c r="WBT24" s="720"/>
      <c r="WBU24" s="720"/>
      <c r="WBV24" s="720"/>
      <c r="WBW24" s="720"/>
      <c r="WBX24" s="720"/>
      <c r="WBY24" s="720"/>
      <c r="WBZ24" s="720"/>
      <c r="WCA24" s="720"/>
      <c r="WCB24" s="720"/>
      <c r="WCC24" s="720"/>
      <c r="WCD24" s="720"/>
      <c r="WCE24" s="720"/>
      <c r="WCF24" s="720"/>
      <c r="WCG24" s="720"/>
      <c r="WCH24" s="720"/>
      <c r="WCI24" s="720"/>
      <c r="WCJ24" s="720"/>
      <c r="WCK24" s="720"/>
      <c r="WCL24" s="720"/>
      <c r="WCM24" s="720"/>
      <c r="WCN24" s="720"/>
      <c r="WCO24" s="720"/>
      <c r="WCP24" s="720"/>
      <c r="WCQ24" s="720"/>
      <c r="WCR24" s="720"/>
      <c r="WCS24" s="720"/>
      <c r="WCT24" s="720"/>
      <c r="WCU24" s="720"/>
      <c r="WCV24" s="720"/>
      <c r="WCW24" s="720"/>
      <c r="WCX24" s="720"/>
      <c r="WCY24" s="720"/>
      <c r="WCZ24" s="720"/>
      <c r="WDA24" s="720"/>
      <c r="WDB24" s="720"/>
      <c r="WDC24" s="720"/>
      <c r="WDD24" s="720"/>
      <c r="WDE24" s="720"/>
      <c r="WDF24" s="720"/>
      <c r="WDG24" s="720"/>
      <c r="WDH24" s="720"/>
      <c r="WDI24" s="720"/>
      <c r="WDJ24" s="720"/>
      <c r="WDK24" s="720"/>
      <c r="WDL24" s="720"/>
      <c r="WDM24" s="720"/>
      <c r="WDN24" s="720"/>
      <c r="WDO24" s="720"/>
      <c r="WDP24" s="720"/>
      <c r="WDQ24" s="720"/>
      <c r="WDR24" s="720"/>
      <c r="WDS24" s="720"/>
      <c r="WDT24" s="720"/>
      <c r="WDU24" s="720"/>
      <c r="WDV24" s="720"/>
      <c r="WDW24" s="720"/>
      <c r="WDX24" s="720"/>
      <c r="WDY24" s="720"/>
      <c r="WDZ24" s="720"/>
      <c r="WEA24" s="720"/>
      <c r="WEB24" s="720"/>
      <c r="WEC24" s="720"/>
      <c r="WED24" s="720"/>
      <c r="WEE24" s="720"/>
      <c r="WEF24" s="720"/>
      <c r="WEG24" s="720"/>
      <c r="WEH24" s="720"/>
      <c r="WEI24" s="720"/>
      <c r="WEJ24" s="720"/>
      <c r="WEK24" s="720"/>
      <c r="WEL24" s="720"/>
      <c r="WEM24" s="720"/>
      <c r="WEN24" s="720"/>
      <c r="WEO24" s="720"/>
      <c r="WEP24" s="720"/>
      <c r="WEQ24" s="720"/>
      <c r="WER24" s="720"/>
      <c r="WES24" s="720"/>
      <c r="WET24" s="720"/>
      <c r="WEU24" s="720"/>
      <c r="WEV24" s="720"/>
      <c r="WEW24" s="720"/>
      <c r="WEX24" s="720"/>
      <c r="WEY24" s="720"/>
      <c r="WEZ24" s="720"/>
      <c r="WFA24" s="720"/>
      <c r="WFB24" s="720"/>
      <c r="WFC24" s="720"/>
      <c r="WFD24" s="720"/>
      <c r="WFE24" s="720"/>
      <c r="WFF24" s="720"/>
      <c r="WFG24" s="720"/>
      <c r="WFH24" s="720"/>
      <c r="WFI24" s="720"/>
      <c r="WFJ24" s="720"/>
      <c r="WFK24" s="720"/>
      <c r="WFL24" s="720"/>
      <c r="WFM24" s="720"/>
      <c r="WFN24" s="720"/>
      <c r="WFO24" s="720"/>
      <c r="WFP24" s="720"/>
      <c r="WFQ24" s="720"/>
      <c r="WFR24" s="720"/>
      <c r="WFS24" s="720"/>
      <c r="WFT24" s="720"/>
      <c r="WFU24" s="720"/>
      <c r="WFV24" s="720"/>
      <c r="WFW24" s="720"/>
      <c r="WFX24" s="720"/>
      <c r="WFY24" s="720"/>
      <c r="WFZ24" s="720"/>
      <c r="WGA24" s="720"/>
      <c r="WGB24" s="720"/>
      <c r="WGC24" s="720"/>
      <c r="WGD24" s="720"/>
      <c r="WGE24" s="720"/>
      <c r="WGF24" s="720"/>
      <c r="WGG24" s="720"/>
      <c r="WGH24" s="720"/>
      <c r="WGI24" s="720"/>
      <c r="WGJ24" s="720"/>
      <c r="WGK24" s="720"/>
      <c r="WGL24" s="720"/>
      <c r="WGM24" s="720"/>
      <c r="WGN24" s="720"/>
      <c r="WGO24" s="720"/>
      <c r="WGP24" s="720"/>
      <c r="WGQ24" s="720"/>
      <c r="WGR24" s="720"/>
      <c r="WGS24" s="720"/>
      <c r="WGT24" s="720"/>
      <c r="WGU24" s="720"/>
      <c r="WGV24" s="720"/>
      <c r="WGW24" s="720"/>
      <c r="WGX24" s="720"/>
      <c r="WGY24" s="720"/>
      <c r="WGZ24" s="720"/>
      <c r="WHA24" s="720"/>
      <c r="WHB24" s="720"/>
      <c r="WHC24" s="720"/>
      <c r="WHD24" s="720"/>
      <c r="WHE24" s="720"/>
      <c r="WHF24" s="720"/>
      <c r="WHG24" s="720"/>
      <c r="WHH24" s="720"/>
      <c r="WHI24" s="720"/>
      <c r="WHJ24" s="720"/>
      <c r="WHK24" s="720"/>
      <c r="WHL24" s="720"/>
      <c r="WHM24" s="720"/>
      <c r="WHN24" s="720"/>
      <c r="WHO24" s="720"/>
      <c r="WHP24" s="720"/>
      <c r="WHQ24" s="720"/>
      <c r="WHR24" s="720"/>
      <c r="WHS24" s="720"/>
      <c r="WHT24" s="720"/>
      <c r="WHU24" s="720"/>
      <c r="WHV24" s="720"/>
      <c r="WHW24" s="720"/>
      <c r="WHX24" s="720"/>
      <c r="WHY24" s="720"/>
      <c r="WHZ24" s="720"/>
      <c r="WIA24" s="720"/>
      <c r="WIB24" s="720"/>
      <c r="WIC24" s="720"/>
      <c r="WID24" s="720"/>
      <c r="WIE24" s="720"/>
      <c r="WIF24" s="720"/>
      <c r="WIG24" s="720"/>
      <c r="WIH24" s="720"/>
      <c r="WII24" s="720"/>
      <c r="WIJ24" s="720"/>
      <c r="WIK24" s="720"/>
      <c r="WIL24" s="720"/>
      <c r="WIM24" s="720"/>
      <c r="WIN24" s="720"/>
      <c r="WIO24" s="720"/>
      <c r="WIP24" s="720"/>
      <c r="WIQ24" s="720"/>
      <c r="WIR24" s="720"/>
      <c r="WIS24" s="720"/>
      <c r="WIT24" s="720"/>
      <c r="WIU24" s="720"/>
      <c r="WIV24" s="720"/>
      <c r="WIW24" s="720"/>
      <c r="WIX24" s="720"/>
      <c r="WIY24" s="720"/>
      <c r="WIZ24" s="720"/>
      <c r="WJA24" s="720"/>
      <c r="WJB24" s="720"/>
      <c r="WJC24" s="720"/>
      <c r="WJD24" s="720"/>
      <c r="WJE24" s="720"/>
      <c r="WJF24" s="720"/>
      <c r="WJG24" s="720"/>
      <c r="WJH24" s="720"/>
      <c r="WJI24" s="720"/>
      <c r="WJJ24" s="720"/>
      <c r="WJK24" s="720"/>
      <c r="WJL24" s="720"/>
      <c r="WJM24" s="720"/>
      <c r="WJN24" s="720"/>
      <c r="WJO24" s="720"/>
      <c r="WJP24" s="720"/>
      <c r="WJQ24" s="720"/>
      <c r="WJR24" s="720"/>
      <c r="WJS24" s="720"/>
      <c r="WJT24" s="720"/>
      <c r="WJU24" s="720"/>
      <c r="WJV24" s="720"/>
      <c r="WJW24" s="720"/>
      <c r="WJX24" s="720"/>
      <c r="WJY24" s="720"/>
      <c r="WJZ24" s="720"/>
      <c r="WKA24" s="720"/>
      <c r="WKB24" s="720"/>
      <c r="WKC24" s="720"/>
      <c r="WKD24" s="720"/>
      <c r="WKE24" s="720"/>
      <c r="WKF24" s="720"/>
      <c r="WKG24" s="720"/>
      <c r="WKH24" s="720"/>
      <c r="WKI24" s="720"/>
      <c r="WKJ24" s="720"/>
      <c r="WKK24" s="720"/>
      <c r="WKL24" s="720"/>
      <c r="WKM24" s="720"/>
      <c r="WKN24" s="720"/>
      <c r="WKO24" s="720"/>
      <c r="WKP24" s="720"/>
      <c r="WKQ24" s="720"/>
      <c r="WKR24" s="720"/>
      <c r="WKS24" s="720"/>
      <c r="WKT24" s="720"/>
      <c r="WKU24" s="720"/>
      <c r="WKV24" s="720"/>
      <c r="WKW24" s="720"/>
      <c r="WKX24" s="720"/>
      <c r="WKY24" s="720"/>
      <c r="WKZ24" s="720"/>
      <c r="WLA24" s="720"/>
      <c r="WLB24" s="720"/>
      <c r="WLC24" s="720"/>
      <c r="WLD24" s="720"/>
      <c r="WLE24" s="720"/>
      <c r="WLF24" s="720"/>
      <c r="WLG24" s="720"/>
      <c r="WLH24" s="720"/>
      <c r="WLI24" s="720"/>
      <c r="WLJ24" s="720"/>
      <c r="WLK24" s="720"/>
      <c r="WLL24" s="720"/>
      <c r="WLM24" s="720"/>
      <c r="WLN24" s="720"/>
      <c r="WLO24" s="720"/>
      <c r="WLP24" s="720"/>
      <c r="WLQ24" s="720"/>
      <c r="WLR24" s="720"/>
      <c r="WLS24" s="720"/>
      <c r="WLT24" s="720"/>
      <c r="WLU24" s="720"/>
      <c r="WLV24" s="720"/>
      <c r="WLW24" s="720"/>
      <c r="WLX24" s="720"/>
      <c r="WLY24" s="720"/>
      <c r="WLZ24" s="720"/>
      <c r="WMA24" s="720"/>
      <c r="WMB24" s="720"/>
      <c r="WMC24" s="720"/>
      <c r="WMD24" s="720"/>
      <c r="WME24" s="720"/>
      <c r="WMF24" s="720"/>
      <c r="WMG24" s="720"/>
      <c r="WMH24" s="720"/>
      <c r="WMI24" s="720"/>
      <c r="WMJ24" s="720"/>
      <c r="WMK24" s="720"/>
      <c r="WML24" s="720"/>
      <c r="WMM24" s="720"/>
      <c r="WMN24" s="720"/>
      <c r="WMO24" s="720"/>
      <c r="WMP24" s="720"/>
      <c r="WMQ24" s="720"/>
      <c r="WMR24" s="720"/>
      <c r="WMS24" s="720"/>
      <c r="WMT24" s="720"/>
      <c r="WMU24" s="720"/>
      <c r="WMV24" s="720"/>
      <c r="WMW24" s="720"/>
      <c r="WMX24" s="720"/>
      <c r="WMY24" s="720"/>
      <c r="WMZ24" s="720"/>
      <c r="WNA24" s="720"/>
      <c r="WNB24" s="720"/>
      <c r="WNC24" s="720"/>
      <c r="WND24" s="720"/>
      <c r="WNE24" s="720"/>
      <c r="WNF24" s="720"/>
      <c r="WNG24" s="720"/>
      <c r="WNH24" s="720"/>
      <c r="WNI24" s="720"/>
      <c r="WNJ24" s="720"/>
      <c r="WNK24" s="720"/>
      <c r="WNL24" s="720"/>
      <c r="WNM24" s="720"/>
      <c r="WNN24" s="720"/>
      <c r="WNO24" s="720"/>
      <c r="WNP24" s="720"/>
      <c r="WNQ24" s="720"/>
      <c r="WNR24" s="720"/>
      <c r="WNS24" s="720"/>
      <c r="WNT24" s="720"/>
      <c r="WNU24" s="720"/>
      <c r="WNV24" s="720"/>
      <c r="WNW24" s="720"/>
      <c r="WNX24" s="720"/>
      <c r="WNY24" s="720"/>
      <c r="WNZ24" s="720"/>
      <c r="WOA24" s="720"/>
      <c r="WOB24" s="720"/>
      <c r="WOC24" s="720"/>
      <c r="WOD24" s="720"/>
      <c r="WOE24" s="720"/>
      <c r="WOF24" s="720"/>
      <c r="WOG24" s="720"/>
      <c r="WOH24" s="720"/>
      <c r="WOI24" s="720"/>
      <c r="WOJ24" s="720"/>
      <c r="WOK24" s="720"/>
      <c r="WOL24" s="720"/>
      <c r="WOM24" s="720"/>
      <c r="WON24" s="720"/>
      <c r="WOO24" s="720"/>
      <c r="WOP24" s="720"/>
      <c r="WOQ24" s="720"/>
      <c r="WOR24" s="720"/>
      <c r="WOS24" s="720"/>
      <c r="WOT24" s="720"/>
      <c r="WOU24" s="720"/>
      <c r="WOV24" s="720"/>
      <c r="WOW24" s="720"/>
      <c r="WOX24" s="720"/>
      <c r="WOY24" s="720"/>
      <c r="WOZ24" s="720"/>
      <c r="WPA24" s="720"/>
      <c r="WPB24" s="720"/>
      <c r="WPC24" s="720"/>
      <c r="WPD24" s="720"/>
      <c r="WPE24" s="720"/>
      <c r="WPF24" s="720"/>
      <c r="WPG24" s="720"/>
      <c r="WPH24" s="720"/>
      <c r="WPI24" s="720"/>
      <c r="WPJ24" s="720"/>
      <c r="WPK24" s="720"/>
      <c r="WPL24" s="720"/>
      <c r="WPM24" s="720"/>
      <c r="WPN24" s="720"/>
      <c r="WPO24" s="720"/>
      <c r="WPP24" s="720"/>
      <c r="WPQ24" s="720"/>
      <c r="WPR24" s="720"/>
      <c r="WPS24" s="720"/>
      <c r="WPT24" s="720"/>
      <c r="WPU24" s="720"/>
      <c r="WPV24" s="720"/>
      <c r="WPW24" s="720"/>
      <c r="WPX24" s="720"/>
      <c r="WPY24" s="720"/>
      <c r="WPZ24" s="720"/>
      <c r="WQA24" s="720"/>
      <c r="WQB24" s="720"/>
      <c r="WQC24" s="720"/>
      <c r="WQD24" s="720"/>
      <c r="WQE24" s="720"/>
      <c r="WQF24" s="720"/>
      <c r="WQG24" s="720"/>
      <c r="WQH24" s="720"/>
      <c r="WQI24" s="720"/>
      <c r="WQJ24" s="720"/>
      <c r="WQK24" s="720"/>
      <c r="WQL24" s="720"/>
      <c r="WQM24" s="720"/>
      <c r="WQN24" s="720"/>
      <c r="WQO24" s="720"/>
      <c r="WQP24" s="720"/>
      <c r="WQQ24" s="720"/>
      <c r="WQR24" s="720"/>
      <c r="WQS24" s="720"/>
      <c r="WQT24" s="720"/>
      <c r="WQU24" s="720"/>
      <c r="WQV24" s="720"/>
      <c r="WQW24" s="720"/>
      <c r="WQX24" s="720"/>
      <c r="WQY24" s="720"/>
      <c r="WQZ24" s="720"/>
      <c r="WRA24" s="720"/>
      <c r="WRB24" s="720"/>
      <c r="WRC24" s="720"/>
      <c r="WRD24" s="720"/>
      <c r="WRE24" s="720"/>
      <c r="WRF24" s="720"/>
      <c r="WRG24" s="720"/>
      <c r="WRH24" s="720"/>
      <c r="WRI24" s="720"/>
      <c r="WRJ24" s="720"/>
      <c r="WRK24" s="720"/>
      <c r="WRL24" s="720"/>
      <c r="WRM24" s="720"/>
      <c r="WRN24" s="720"/>
      <c r="WRO24" s="720"/>
      <c r="WRP24" s="720"/>
      <c r="WRQ24" s="720"/>
      <c r="WRR24" s="720"/>
      <c r="WRS24" s="720"/>
      <c r="WRT24" s="720"/>
      <c r="WRU24" s="720"/>
      <c r="WRV24" s="720"/>
      <c r="WRW24" s="720"/>
      <c r="WRX24" s="720"/>
      <c r="WRY24" s="720"/>
      <c r="WRZ24" s="720"/>
      <c r="WSA24" s="720"/>
      <c r="WSB24" s="720"/>
      <c r="WSC24" s="720"/>
      <c r="WSD24" s="720"/>
      <c r="WSE24" s="720"/>
      <c r="WSF24" s="720"/>
      <c r="WSG24" s="720"/>
      <c r="WSH24" s="720"/>
      <c r="WSI24" s="720"/>
      <c r="WSJ24" s="720"/>
      <c r="WSK24" s="720"/>
      <c r="WSL24" s="720"/>
      <c r="WSM24" s="720"/>
      <c r="WSN24" s="720"/>
      <c r="WSO24" s="720"/>
      <c r="WSP24" s="720"/>
      <c r="WSQ24" s="720"/>
      <c r="WSR24" s="720"/>
      <c r="WSS24" s="720"/>
      <c r="WST24" s="720"/>
      <c r="WSU24" s="720"/>
      <c r="WSV24" s="720"/>
      <c r="WSW24" s="720"/>
      <c r="WSX24" s="720"/>
      <c r="WSY24" s="720"/>
      <c r="WSZ24" s="720"/>
      <c r="WTA24" s="720"/>
      <c r="WTB24" s="720"/>
      <c r="WTC24" s="720"/>
      <c r="WTD24" s="720"/>
      <c r="WTE24" s="720"/>
      <c r="WTF24" s="720"/>
      <c r="WTG24" s="720"/>
      <c r="WTH24" s="720"/>
      <c r="WTI24" s="720"/>
      <c r="WTJ24" s="720"/>
      <c r="WTK24" s="720"/>
      <c r="WTL24" s="720"/>
      <c r="WTM24" s="720"/>
      <c r="WTN24" s="720"/>
      <c r="WTO24" s="720"/>
      <c r="WTP24" s="720"/>
      <c r="WTQ24" s="720"/>
      <c r="WTR24" s="720"/>
      <c r="WTS24" s="720"/>
      <c r="WTT24" s="720"/>
      <c r="WTU24" s="720"/>
      <c r="WTV24" s="720"/>
      <c r="WTW24" s="720"/>
      <c r="WTX24" s="720"/>
      <c r="WTY24" s="720"/>
      <c r="WTZ24" s="720"/>
      <c r="WUA24" s="720"/>
      <c r="WUB24" s="720"/>
      <c r="WUC24" s="720"/>
      <c r="WUD24" s="720"/>
      <c r="WUE24" s="720"/>
      <c r="WUF24" s="720"/>
      <c r="WUG24" s="720"/>
      <c r="WUH24" s="720"/>
      <c r="WUI24" s="720"/>
      <c r="WUJ24" s="720"/>
      <c r="WUK24" s="720"/>
      <c r="WUL24" s="720"/>
      <c r="WUM24" s="720"/>
      <c r="WUN24" s="720"/>
      <c r="WUO24" s="720"/>
      <c r="WUP24" s="720"/>
      <c r="WUQ24" s="720"/>
      <c r="WUR24" s="720"/>
      <c r="WUS24" s="720"/>
      <c r="WUT24" s="720"/>
      <c r="WUU24" s="720"/>
      <c r="WUV24" s="720"/>
      <c r="WUW24" s="720"/>
      <c r="WUX24" s="720"/>
      <c r="WUY24" s="720"/>
      <c r="WUZ24" s="720"/>
      <c r="WVA24" s="720"/>
      <c r="WVB24" s="720"/>
      <c r="WVC24" s="720"/>
      <c r="WVD24" s="720"/>
      <c r="WVE24" s="720"/>
      <c r="WVF24" s="720"/>
      <c r="WVG24" s="720"/>
      <c r="WVH24" s="720"/>
      <c r="WVI24" s="720"/>
      <c r="WVJ24" s="720"/>
      <c r="WVK24" s="720"/>
      <c r="WVL24" s="720"/>
      <c r="WVM24" s="720"/>
      <c r="WVN24" s="720"/>
      <c r="WVO24" s="720"/>
      <c r="WVP24" s="720"/>
      <c r="WVQ24" s="720"/>
      <c r="WVR24" s="720"/>
      <c r="WVS24" s="720"/>
      <c r="WVT24" s="720"/>
      <c r="WVU24" s="720"/>
      <c r="WVV24" s="720"/>
      <c r="WVW24" s="720"/>
      <c r="WVX24" s="720"/>
      <c r="WVY24" s="720"/>
      <c r="WVZ24" s="720"/>
      <c r="WWA24" s="720"/>
      <c r="WWB24" s="720"/>
      <c r="WWC24" s="720"/>
      <c r="WWD24" s="720"/>
      <c r="WWE24" s="720"/>
      <c r="WWF24" s="720"/>
      <c r="WWG24" s="720"/>
      <c r="WWH24" s="720"/>
      <c r="WWI24" s="720"/>
      <c r="WWJ24" s="720"/>
      <c r="WWK24" s="720"/>
      <c r="WWL24" s="720"/>
      <c r="WWM24" s="720"/>
      <c r="WWN24" s="720"/>
      <c r="WWO24" s="720"/>
      <c r="WWP24" s="720"/>
      <c r="WWQ24" s="720"/>
      <c r="WWR24" s="720"/>
      <c r="WWS24" s="720"/>
      <c r="WWT24" s="720"/>
      <c r="WWU24" s="720"/>
      <c r="WWV24" s="720"/>
      <c r="WWW24" s="720"/>
      <c r="WWX24" s="720"/>
      <c r="WWY24" s="720"/>
      <c r="WWZ24" s="720"/>
      <c r="WXA24" s="720"/>
      <c r="WXB24" s="720"/>
      <c r="WXC24" s="720"/>
      <c r="WXD24" s="720"/>
      <c r="WXE24" s="720"/>
      <c r="WXF24" s="720"/>
      <c r="WXG24" s="720"/>
      <c r="WXH24" s="720"/>
      <c r="WXI24" s="720"/>
      <c r="WXJ24" s="720"/>
      <c r="WXK24" s="720"/>
      <c r="WXL24" s="720"/>
      <c r="WXM24" s="720"/>
      <c r="WXN24" s="720"/>
      <c r="WXO24" s="720"/>
      <c r="WXP24" s="720"/>
      <c r="WXQ24" s="720"/>
      <c r="WXR24" s="720"/>
      <c r="WXS24" s="720"/>
      <c r="WXT24" s="720"/>
      <c r="WXU24" s="720"/>
      <c r="WXV24" s="720"/>
      <c r="WXW24" s="720"/>
      <c r="WXX24" s="720"/>
      <c r="WXY24" s="720"/>
      <c r="WXZ24" s="720"/>
      <c r="WYA24" s="720"/>
      <c r="WYB24" s="720"/>
      <c r="WYC24" s="720"/>
      <c r="WYD24" s="720"/>
      <c r="WYE24" s="720"/>
      <c r="WYF24" s="720"/>
      <c r="WYG24" s="720"/>
      <c r="WYH24" s="720"/>
      <c r="WYI24" s="720"/>
      <c r="WYJ24" s="720"/>
      <c r="WYK24" s="720"/>
      <c r="WYL24" s="720"/>
      <c r="WYM24" s="720"/>
      <c r="WYN24" s="720"/>
      <c r="WYO24" s="720"/>
      <c r="WYP24" s="720"/>
      <c r="WYQ24" s="720"/>
      <c r="WYR24" s="720"/>
      <c r="WYS24" s="720"/>
      <c r="WYT24" s="720"/>
      <c r="WYU24" s="720"/>
      <c r="WYV24" s="720"/>
      <c r="WYW24" s="720"/>
      <c r="WYX24" s="720"/>
      <c r="WYY24" s="720"/>
      <c r="WYZ24" s="720"/>
      <c r="WZA24" s="720"/>
      <c r="WZB24" s="720"/>
      <c r="WZC24" s="720"/>
      <c r="WZD24" s="720"/>
      <c r="WZE24" s="720"/>
      <c r="WZF24" s="720"/>
      <c r="WZG24" s="720"/>
      <c r="WZH24" s="720"/>
      <c r="WZI24" s="720"/>
      <c r="WZJ24" s="720"/>
      <c r="WZK24" s="720"/>
      <c r="WZL24" s="720"/>
      <c r="WZM24" s="720"/>
      <c r="WZN24" s="720"/>
      <c r="WZO24" s="720"/>
      <c r="WZP24" s="720"/>
      <c r="WZQ24" s="720"/>
      <c r="WZR24" s="720"/>
      <c r="WZS24" s="720"/>
      <c r="WZT24" s="720"/>
      <c r="WZU24" s="720"/>
      <c r="WZV24" s="720"/>
      <c r="WZW24" s="720"/>
      <c r="WZX24" s="720"/>
      <c r="WZY24" s="720"/>
      <c r="WZZ24" s="720"/>
      <c r="XAA24" s="720"/>
      <c r="XAB24" s="720"/>
      <c r="XAC24" s="720"/>
      <c r="XAD24" s="720"/>
      <c r="XAE24" s="720"/>
      <c r="XAF24" s="720"/>
      <c r="XAG24" s="720"/>
      <c r="XAH24" s="720"/>
      <c r="XAI24" s="720"/>
      <c r="XAJ24" s="720"/>
      <c r="XAK24" s="720"/>
      <c r="XAL24" s="720"/>
      <c r="XAM24" s="720"/>
      <c r="XAN24" s="720"/>
      <c r="XAO24" s="720"/>
      <c r="XAP24" s="720"/>
      <c r="XAQ24" s="720"/>
      <c r="XAR24" s="720"/>
      <c r="XAS24" s="720"/>
      <c r="XAT24" s="720"/>
      <c r="XAU24" s="720"/>
      <c r="XAV24" s="720"/>
      <c r="XAW24" s="720"/>
      <c r="XAX24" s="720"/>
      <c r="XAY24" s="720"/>
      <c r="XAZ24" s="720"/>
      <c r="XBA24" s="720"/>
      <c r="XBB24" s="720"/>
      <c r="XBC24" s="720"/>
      <c r="XBD24" s="720"/>
      <c r="XBE24" s="720"/>
      <c r="XBF24" s="720"/>
      <c r="XBG24" s="720"/>
      <c r="XBH24" s="720"/>
      <c r="XBI24" s="720"/>
      <c r="XBJ24" s="720"/>
      <c r="XBK24" s="720"/>
      <c r="XBL24" s="720"/>
      <c r="XBM24" s="720"/>
      <c r="XBN24" s="720"/>
      <c r="XBO24" s="720"/>
      <c r="XBP24" s="720"/>
      <c r="XBQ24" s="720"/>
      <c r="XBR24" s="720"/>
      <c r="XBS24" s="720"/>
      <c r="XBT24" s="720"/>
      <c r="XBU24" s="720"/>
      <c r="XBV24" s="720"/>
      <c r="XBW24" s="720"/>
      <c r="XBX24" s="720"/>
      <c r="XBY24" s="720"/>
      <c r="XBZ24" s="720"/>
      <c r="XCA24" s="720"/>
      <c r="XCB24" s="720"/>
      <c r="XCC24" s="720"/>
      <c r="XCD24" s="720"/>
      <c r="XCE24" s="720"/>
      <c r="XCF24" s="720"/>
      <c r="XCG24" s="720"/>
      <c r="XCH24" s="720"/>
      <c r="XCI24" s="720"/>
      <c r="XCJ24" s="720"/>
      <c r="XCK24" s="720"/>
      <c r="XCL24" s="720"/>
      <c r="XCM24" s="720"/>
      <c r="XCN24" s="720"/>
      <c r="XCO24" s="720"/>
      <c r="XCP24" s="720"/>
      <c r="XCQ24" s="720"/>
      <c r="XCR24" s="720"/>
      <c r="XCS24" s="720"/>
      <c r="XCT24" s="720"/>
      <c r="XCU24" s="720"/>
      <c r="XCV24" s="720"/>
      <c r="XCW24" s="720"/>
      <c r="XCX24" s="720"/>
      <c r="XCY24" s="720"/>
      <c r="XCZ24" s="720"/>
      <c r="XDA24" s="720"/>
      <c r="XDB24" s="720"/>
      <c r="XDC24" s="720"/>
      <c r="XDD24" s="720"/>
      <c r="XDE24" s="720"/>
      <c r="XDF24" s="720"/>
      <c r="XDG24" s="720"/>
      <c r="XDH24" s="720"/>
      <c r="XDI24" s="720"/>
      <c r="XDJ24" s="720"/>
      <c r="XDK24" s="720"/>
      <c r="XDL24" s="720"/>
      <c r="XDM24" s="720"/>
      <c r="XDN24" s="720"/>
      <c r="XDO24" s="720"/>
      <c r="XDP24" s="720"/>
      <c r="XDQ24" s="720"/>
      <c r="XDR24" s="720"/>
      <c r="XDS24" s="720"/>
      <c r="XDT24" s="720"/>
      <c r="XDU24" s="720"/>
      <c r="XDV24" s="720"/>
      <c r="XDW24" s="720"/>
      <c r="XDX24" s="720"/>
      <c r="XDY24" s="720"/>
      <c r="XDZ24" s="720"/>
      <c r="XEA24" s="720"/>
      <c r="XEB24" s="720"/>
      <c r="XEC24" s="720"/>
      <c r="XED24" s="720"/>
      <c r="XEE24" s="720"/>
      <c r="XEF24" s="720"/>
      <c r="XEG24" s="720"/>
      <c r="XEH24" s="720"/>
      <c r="XEI24" s="720"/>
      <c r="XEJ24" s="720"/>
      <c r="XEK24" s="720"/>
      <c r="XEL24" s="720"/>
      <c r="XEM24" s="720"/>
      <c r="XEN24" s="720"/>
      <c r="XEO24" s="720"/>
      <c r="XEP24" s="720"/>
      <c r="XEQ24" s="720"/>
      <c r="XER24" s="720"/>
      <c r="XES24" s="720"/>
      <c r="XET24" s="720"/>
      <c r="XEU24" s="720"/>
      <c r="XEV24" s="720"/>
      <c r="XEW24" s="720"/>
      <c r="XEX24" s="720"/>
      <c r="XEY24" s="720"/>
      <c r="XEZ24" s="720"/>
      <c r="XFA24" s="720"/>
      <c r="XFB24" s="720"/>
      <c r="XFC24" s="720"/>
    </row>
    <row r="25" spans="1:16383" ht="12.75" customHeight="1">
      <c r="C25" s="2239"/>
    </row>
    <row r="26" spans="1:16383">
      <c r="B26" s="2223" t="str">
        <f>"Development Milestone Payment "&amp;B12</f>
        <v>Development Milestone Payment Obesity</v>
      </c>
      <c r="F26" s="2238">
        <f>SUMIF('rNPV Assumptions_Obesity'!$C$33:$C$36,'rNPV Analysis_Obesity'!F8,'rNPV Assumptions_Obesity'!$D$33:$D$36)</f>
        <v>0</v>
      </c>
      <c r="G26" s="2238">
        <f>SUMIF('rNPV Assumptions_Obesity'!$C$33:$C$36,'rNPV Analysis_Obesity'!G8,'rNPV Assumptions_Obesity'!$D$33:$D$36)</f>
        <v>0</v>
      </c>
      <c r="H26" s="2238">
        <f>SUMIF('rNPV Assumptions_Obesity'!$C$33:$C$36,'rNPV Analysis_Obesity'!H8,'rNPV Assumptions_Obesity'!$D$33:$D$36)</f>
        <v>0</v>
      </c>
      <c r="I26" s="2238">
        <f>SUMIF('rNPV Assumptions_Obesity'!$C$33:$C$36,'rNPV Analysis_Obesity'!I8,'rNPV Assumptions_Obesity'!$D$33:$D$36)</f>
        <v>0</v>
      </c>
      <c r="J26" s="2238">
        <f>SUMIF('rNPV Assumptions_Obesity'!$C$33:$C$36,'rNPV Analysis_Obesity'!J8,'rNPV Assumptions_Obesity'!$D$33:$D$36)</f>
        <v>0</v>
      </c>
      <c r="K26" s="2238">
        <f>SUMIF('rNPV Assumptions_Obesity'!$C$33:$C$36,'rNPV Analysis_Obesity'!K8,'rNPV Assumptions_Obesity'!$D$33:$D$36)</f>
        <v>0</v>
      </c>
      <c r="L26" s="2238">
        <f>SUMIF('rNPV Assumptions_Obesity'!$C$33:$C$36,'rNPV Analysis_Obesity'!L8,'rNPV Assumptions_Obesity'!$D$33:$D$36)</f>
        <v>5</v>
      </c>
      <c r="M26" s="2238">
        <f>SUMIF('rNPV Assumptions_Obesity'!$C$33:$C$36,'rNPV Analysis_Obesity'!M8,'rNPV Assumptions_Obesity'!$D$33:$D$36)</f>
        <v>0</v>
      </c>
      <c r="N26" s="2238">
        <f>SUMIF('rNPV Assumptions_Obesity'!$C$33:$C$36,'rNPV Analysis_Obesity'!N8,'rNPV Assumptions_Obesity'!$D$33:$D$36)</f>
        <v>7</v>
      </c>
      <c r="O26" s="2238">
        <f>SUMIF('rNPV Assumptions_Obesity'!$C$33:$C$36,'rNPV Analysis_Obesity'!O8,'rNPV Assumptions_Obesity'!$D$33:$D$36)</f>
        <v>0</v>
      </c>
      <c r="P26" s="2238">
        <f>SUMIF('rNPV Assumptions_Obesity'!$C$33:$C$36,'rNPV Analysis_Obesity'!P8,'rNPV Assumptions_Obesity'!$D$33:$D$36)</f>
        <v>9</v>
      </c>
      <c r="Q26" s="2238">
        <f>SUMIF('rNPV Assumptions_Obesity'!$C$33:$C$36,'rNPV Analysis_Obesity'!Q8,'rNPV Assumptions_Obesity'!$D$33:$D$36)</f>
        <v>0</v>
      </c>
      <c r="R26" s="2238">
        <f>SUMIF('rNPV Assumptions_Obesity'!$C$33:$C$36,'rNPV Analysis_Obesity'!R8,'rNPV Assumptions_Obesity'!$D$33:$D$36)</f>
        <v>0</v>
      </c>
      <c r="S26" s="2238">
        <f>SUMIF('rNPV Assumptions_Obesity'!$C$33:$C$36,'rNPV Analysis_Obesity'!S8,'rNPV Assumptions_Obesity'!$D$33:$D$36)</f>
        <v>31</v>
      </c>
      <c r="T26" s="2238">
        <f>SUMIF('rNPV Assumptions_Obesity'!$C$33:$C$36,'rNPV Analysis_Obesity'!T8,'rNPV Assumptions_Obesity'!$D$33:$D$36)</f>
        <v>0</v>
      </c>
      <c r="U26" s="2238">
        <f>SUMIF('rNPV Assumptions_Obesity'!$C$33:$C$36,'rNPV Analysis_Obesity'!U8,'rNPV Assumptions_Obesity'!$D$33:$D$36)</f>
        <v>0</v>
      </c>
      <c r="V26" s="2238">
        <f>SUMIF('rNPV Assumptions_Obesity'!$C$33:$C$36,'rNPV Analysis_Obesity'!V8,'rNPV Assumptions_Obesity'!$D$33:$D$36)</f>
        <v>0</v>
      </c>
      <c r="W26" s="2238">
        <f>SUMIF('rNPV Assumptions_Obesity'!$C$33:$C$36,'rNPV Analysis_Obesity'!W8,'rNPV Assumptions_Obesity'!$D$33:$D$36)</f>
        <v>0</v>
      </c>
      <c r="X26" s="2238">
        <f>SUMIF('rNPV Assumptions_Obesity'!$C$33:$C$36,'rNPV Analysis_Obesity'!X8,'rNPV Assumptions_Obesity'!$D$33:$D$36)</f>
        <v>0</v>
      </c>
      <c r="Y26" s="2238">
        <f>SUMIF('rNPV Assumptions_Obesity'!$C$33:$C$36,'rNPV Analysis_Obesity'!Y8,'rNPV Assumptions_Obesity'!$D$33:$D$36)</f>
        <v>0</v>
      </c>
      <c r="Z26" s="2238">
        <f>SUMIF('rNPV Assumptions_Obesity'!$C$33:$C$36,'rNPV Analysis_Obesity'!Z8,'rNPV Assumptions_Obesity'!$D$33:$D$36)</f>
        <v>0</v>
      </c>
      <c r="AA26" s="2238">
        <f>SUMIF('rNPV Assumptions_Obesity'!$C$33:$C$36,'rNPV Analysis_Obesity'!AA8,'rNPV Assumptions_Obesity'!$D$33:$D$36)</f>
        <v>0</v>
      </c>
      <c r="AB26" s="2238">
        <f>SUMIF('rNPV Assumptions_Obesity'!$C$33:$C$36,'rNPV Analysis_Obesity'!AB8,'rNPV Assumptions_Obesity'!$D$33:$D$36)</f>
        <v>0</v>
      </c>
      <c r="AC26" s="2238">
        <f>SUMIF('rNPV Assumptions_Obesity'!$C$33:$C$36,'rNPV Analysis_Obesity'!AC8,'rNPV Assumptions_Obesity'!$D$33:$D$36)</f>
        <v>0</v>
      </c>
      <c r="AD26" s="2238">
        <f>SUMIF('rNPV Assumptions_Obesity'!$C$33:$C$36,'rNPV Analysis_Obesity'!AD8,'rNPV Assumptions_Obesity'!$D$33:$D$36)</f>
        <v>0</v>
      </c>
      <c r="AE26" s="2238">
        <f>SUMIF('rNPV Assumptions_Obesity'!$C$33:$C$36,'rNPV Analysis_Obesity'!AE8,'rNPV Assumptions_Obesity'!$D$33:$D$36)</f>
        <v>0</v>
      </c>
      <c r="AF26" s="2238">
        <f>SUMIF('rNPV Assumptions_Obesity'!$C$33:$C$36,'rNPV Analysis_Obesity'!AF8,'rNPV Assumptions_Obesity'!$D$33:$D$36)</f>
        <v>0</v>
      </c>
      <c r="AG26" s="2238">
        <f>SUMIF('rNPV Assumptions_Obesity'!$C$33:$C$36,'rNPV Analysis_Obesity'!AG8,'rNPV Assumptions_Obesity'!$D$33:$D$36)</f>
        <v>0</v>
      </c>
    </row>
    <row r="27" spans="1:16383" s="1984" customFormat="1" ht="8.1" customHeight="1">
      <c r="A27" s="720"/>
      <c r="B27" s="2157"/>
      <c r="C27" s="1171"/>
      <c r="D27" s="720"/>
      <c r="E27" s="720"/>
      <c r="F27" s="720"/>
      <c r="G27" s="720"/>
      <c r="H27" s="720"/>
      <c r="I27" s="720"/>
      <c r="J27" s="720"/>
      <c r="K27" s="720"/>
      <c r="L27" s="720"/>
      <c r="M27" s="720"/>
      <c r="N27" s="720"/>
      <c r="O27" s="720"/>
      <c r="P27" s="720"/>
      <c r="Q27" s="720"/>
      <c r="R27" s="720"/>
      <c r="S27" s="720"/>
      <c r="T27" s="720"/>
      <c r="U27" s="720"/>
      <c r="V27" s="720"/>
      <c r="W27" s="720"/>
      <c r="X27" s="720"/>
      <c r="Y27" s="720"/>
      <c r="Z27" s="720"/>
      <c r="AA27" s="720"/>
      <c r="AB27" s="720"/>
      <c r="AC27" s="720"/>
      <c r="AD27" s="720"/>
      <c r="AE27" s="720"/>
      <c r="AF27" s="720"/>
      <c r="AG27" s="720"/>
      <c r="AI27" s="720"/>
      <c r="AJ27" s="720"/>
      <c r="AK27" s="720"/>
      <c r="AL27" s="720"/>
      <c r="AM27" s="720"/>
      <c r="AN27" s="720"/>
      <c r="AO27" s="720"/>
    </row>
    <row r="28" spans="1:16383" s="1984" customFormat="1">
      <c r="A28" s="720"/>
      <c r="B28" s="2232" t="s">
        <v>2843</v>
      </c>
      <c r="C28" s="720"/>
      <c r="D28" s="720"/>
      <c r="E28" s="720"/>
      <c r="F28" s="2235">
        <f>IFERROR(IF(VLOOKUP(F9,'rNPV Assumptions_Obesity'!$B$21:$F$30,COLUMNS('rNPV Assumptions_Obesity'!$B$21:$F$21),FALSE)="NA",0,VLOOKUP(F9,'rNPV Assumptions_Obesity'!$B$21:$F$30,COLUMNS('rNPV Assumptions_Obesity'!$B$21:$F$21),FALSE)),0%)</f>
        <v>0</v>
      </c>
      <c r="G28" s="2235">
        <f>IFERROR(IF(VLOOKUP(G9,'rNPV Assumptions_Obesity'!$B$21:$F$30,COLUMNS('rNPV Assumptions_Obesity'!$B$21:$F$21),FALSE)="NA",0,VLOOKUP(G9,'rNPV Assumptions_Obesity'!$B$21:$F$30,COLUMNS('rNPV Assumptions_Obesity'!$B$21:$F$21),FALSE)),0%)</f>
        <v>0</v>
      </c>
      <c r="H28" s="2235">
        <f>IFERROR(IF(VLOOKUP(H9,'rNPV Assumptions_Obesity'!$B$21:$F$30,COLUMNS('rNPV Assumptions_Obesity'!$B$21:$F$21),FALSE)="NA",0,VLOOKUP(H9,'rNPV Assumptions_Obesity'!$B$21:$F$30,COLUMNS('rNPV Assumptions_Obesity'!$B$21:$F$21),FALSE)),0%)</f>
        <v>0</v>
      </c>
      <c r="I28" s="2235">
        <f>IFERROR(IF(VLOOKUP(I9,'rNPV Assumptions_Obesity'!$B$21:$F$30,COLUMNS('rNPV Assumptions_Obesity'!$B$21:$F$21),FALSE)="NA",0,VLOOKUP(I9,'rNPV Assumptions_Obesity'!$B$21:$F$30,COLUMNS('rNPV Assumptions_Obesity'!$B$21:$F$21),FALSE)),0%)</f>
        <v>0</v>
      </c>
      <c r="J28" s="2235">
        <f>IFERROR(IF(VLOOKUP(J9,'rNPV Assumptions_Obesity'!$B$21:$F$30,COLUMNS('rNPV Assumptions_Obesity'!$B$21:$F$21),FALSE)="NA",0,VLOOKUP(J9,'rNPV Assumptions_Obesity'!$B$21:$F$30,COLUMNS('rNPV Assumptions_Obesity'!$B$21:$F$21),FALSE)),0%)</f>
        <v>4.725E-2</v>
      </c>
      <c r="K28" s="2235">
        <f>IFERROR(IF(VLOOKUP(K9,'rNPV Assumptions_Obesity'!$B$21:$F$30,COLUMNS('rNPV Assumptions_Obesity'!$B$21:$F$21),FALSE)="NA",0,VLOOKUP(K9,'rNPV Assumptions_Obesity'!$B$21:$F$30,COLUMNS('rNPV Assumptions_Obesity'!$B$21:$F$21),FALSE)),0%)</f>
        <v>3.3075E-2</v>
      </c>
      <c r="L28" s="2235">
        <f>IFERROR(IF(VLOOKUP(L9,'rNPV Assumptions_Obesity'!$B$21:$F$30,COLUMNS('rNPV Assumptions_Obesity'!$B$21:$F$21),FALSE)="NA",0,VLOOKUP(L9,'rNPV Assumptions_Obesity'!$B$21:$F$30,COLUMNS('rNPV Assumptions_Obesity'!$B$21:$F$21),FALSE)),0%)</f>
        <v>1.2899250000000003E-2</v>
      </c>
      <c r="M28" s="2235">
        <f>IFERROR(IF(VLOOKUP(M9,'rNPV Assumptions_Obesity'!$B$21:$F$30,COLUMNS('rNPV Assumptions_Obesity'!$B$21:$F$21),FALSE)="NA",0,VLOOKUP(M9,'rNPV Assumptions_Obesity'!$B$21:$F$30,COLUMNS('rNPV Assumptions_Obesity'!$B$21:$F$21),FALSE)),0%)</f>
        <v>1.2899250000000003E-2</v>
      </c>
      <c r="N28" s="2235">
        <f>IFERROR(IF(VLOOKUP(N9,'rNPV Assumptions_Obesity'!$B$21:$F$30,COLUMNS('rNPV Assumptions_Obesity'!$B$21:$F$21),FALSE)="NA",0,VLOOKUP(N9,'rNPV Assumptions_Obesity'!$B$21:$F$30,COLUMNS('rNPV Assumptions_Obesity'!$B$21:$F$21),FALSE)),0%)</f>
        <v>5.804662500000001E-3</v>
      </c>
      <c r="O28" s="2235">
        <f>IFERROR(IF(VLOOKUP(O9,'rNPV Assumptions_Obesity'!$B$21:$F$30,COLUMNS('rNPV Assumptions_Obesity'!$B$21:$F$21),FALSE)="NA",0,VLOOKUP(O9,'rNPV Assumptions_Obesity'!$B$21:$F$30,COLUMNS('rNPV Assumptions_Obesity'!$B$21:$F$21),FALSE)),0%)</f>
        <v>5.804662500000001E-3</v>
      </c>
      <c r="P28" s="2235">
        <f>IFERROR(IF(VLOOKUP(P9,'rNPV Assumptions_Obesity'!$B$21:$F$30,COLUMNS('rNPV Assumptions_Obesity'!$B$21:$F$21),FALSE)="NA",0,VLOOKUP(P9,'rNPV Assumptions_Obesity'!$B$21:$F$30,COLUMNS('rNPV Assumptions_Obesity'!$B$21:$F$21),FALSE)),0%)</f>
        <v>3.4827975000000003E-3</v>
      </c>
      <c r="Q28" s="2235">
        <f>IFERROR(IF(VLOOKUP(Q9,'rNPV Assumptions_Obesity'!$B$21:$F$30,COLUMNS('rNPV Assumptions_Obesity'!$B$21:$F$21),FALSE)="NA",0,VLOOKUP(Q9,'rNPV Assumptions_Obesity'!$B$21:$F$30,COLUMNS('rNPV Assumptions_Obesity'!$B$21:$F$21),FALSE)),0%)</f>
        <v>3.4827975000000003E-3</v>
      </c>
      <c r="R28" s="2235">
        <f>IFERROR(IF(VLOOKUP(R9,'rNPV Assumptions_Obesity'!$B$21:$F$30,COLUMNS('rNPV Assumptions_Obesity'!$B$21:$F$21),FALSE)="NA",0,VLOOKUP(R9,'rNPV Assumptions_Obesity'!$B$21:$F$30,COLUMNS('rNPV Assumptions_Obesity'!$B$21:$F$21),FALSE)),0%)</f>
        <v>3.4827975000000003E-3</v>
      </c>
      <c r="S28" s="2235">
        <f>IFERROR(IF(VLOOKUP(S9,'rNPV Assumptions_Obesity'!$B$21:$F$30,COLUMNS('rNPV Assumptions_Obesity'!$B$21:$F$21),FALSE)="NA",0,VLOOKUP(S9,'rNPV Assumptions_Obesity'!$B$21:$F$30,COLUMNS('rNPV Assumptions_Obesity'!$B$21:$F$21),FALSE)),0%)</f>
        <v>2.6120981250000001E-3</v>
      </c>
      <c r="T28" s="2235">
        <f>IFERROR(IF(VLOOKUP(T9,'rNPV Assumptions_Obesity'!$B$21:$F$30,COLUMNS('rNPV Assumptions_Obesity'!$B$21:$F$21),FALSE)="NA",0,VLOOKUP(T9,'rNPV Assumptions_Obesity'!$B$21:$F$30,COLUMNS('rNPV Assumptions_Obesity'!$B$21:$F$21),FALSE)),0%)</f>
        <v>2.6120981250000001E-3</v>
      </c>
      <c r="U28" s="2235">
        <f>IFERROR(IF(VLOOKUP(U9,'rNPV Assumptions_Obesity'!$B$21:$F$30,COLUMNS('rNPV Assumptions_Obesity'!$B$21:$F$21),FALSE)="NA",0,VLOOKUP(U9,'rNPV Assumptions_Obesity'!$B$21:$F$30,COLUMNS('rNPV Assumptions_Obesity'!$B$21:$F$21),FALSE)),0%)</f>
        <v>2.6120981250000001E-3</v>
      </c>
      <c r="V28" s="2235">
        <f>IFERROR(IF(VLOOKUP(V9,'rNPV Assumptions_Obesity'!$B$21:$F$30,COLUMNS('rNPV Assumptions_Obesity'!$B$21:$F$21),FALSE)="NA",0,VLOOKUP(V9,'rNPV Assumptions_Obesity'!$B$21:$F$30,COLUMNS('rNPV Assumptions_Obesity'!$B$21:$F$21),FALSE)),0%)</f>
        <v>2.6120981250000001E-3</v>
      </c>
      <c r="W28" s="2235">
        <f>IFERROR(IF(VLOOKUP(W9,'rNPV Assumptions_Obesity'!$B$21:$F$30,COLUMNS('rNPV Assumptions_Obesity'!$B$21:$F$21),FALSE)="NA",0,VLOOKUP(W9,'rNPV Assumptions_Obesity'!$B$21:$F$30,COLUMNS('rNPV Assumptions_Obesity'!$B$21:$F$21),FALSE)),0%)</f>
        <v>2.6120981250000001E-3</v>
      </c>
      <c r="X28" s="2235">
        <f>IFERROR(IF(VLOOKUP(X9,'rNPV Assumptions_Obesity'!$B$21:$F$30,COLUMNS('rNPV Assumptions_Obesity'!$B$21:$F$21),FALSE)="NA",0,VLOOKUP(X9,'rNPV Assumptions_Obesity'!$B$21:$F$30,COLUMNS('rNPV Assumptions_Obesity'!$B$21:$F$21),FALSE)),0%)</f>
        <v>2.6120981250000001E-3</v>
      </c>
      <c r="Y28" s="2235">
        <f>IFERROR(IF(VLOOKUP(Y9,'rNPV Assumptions_Obesity'!$B$21:$F$30,COLUMNS('rNPV Assumptions_Obesity'!$B$21:$F$21),FALSE)="NA",0,VLOOKUP(Y9,'rNPV Assumptions_Obesity'!$B$21:$F$30,COLUMNS('rNPV Assumptions_Obesity'!$B$21:$F$21),FALSE)),0%)</f>
        <v>2.6120981250000001E-3</v>
      </c>
      <c r="Z28" s="2235">
        <f>IFERROR(IF(VLOOKUP(Z9,'rNPV Assumptions_Obesity'!$B$21:$F$30,COLUMNS('rNPV Assumptions_Obesity'!$B$21:$F$21),FALSE)="NA",0,VLOOKUP(Z9,'rNPV Assumptions_Obesity'!$B$21:$F$30,COLUMNS('rNPV Assumptions_Obesity'!$B$21:$F$21),FALSE)),0%)</f>
        <v>2.6120981250000001E-3</v>
      </c>
      <c r="AA28" s="2235">
        <f>IFERROR(IF(VLOOKUP(AA9,'rNPV Assumptions_Obesity'!$B$21:$F$30,COLUMNS('rNPV Assumptions_Obesity'!$B$21:$F$21),FALSE)="NA",0,VLOOKUP(AA9,'rNPV Assumptions_Obesity'!$B$21:$F$30,COLUMNS('rNPV Assumptions_Obesity'!$B$21:$F$21),FALSE)),0%)</f>
        <v>2.6120981250000001E-3</v>
      </c>
      <c r="AB28" s="2235">
        <f>IFERROR(IF(VLOOKUP(AB9,'rNPV Assumptions_Obesity'!$B$21:$F$30,COLUMNS('rNPV Assumptions_Obesity'!$B$21:$F$21),FALSE)="NA",0,VLOOKUP(AB9,'rNPV Assumptions_Obesity'!$B$21:$F$30,COLUMNS('rNPV Assumptions_Obesity'!$B$21:$F$21),FALSE)),0%)</f>
        <v>2.6120981250000001E-3</v>
      </c>
      <c r="AC28" s="2235">
        <f>IFERROR(IF(VLOOKUP(AC9,'rNPV Assumptions_Obesity'!$B$21:$F$30,COLUMNS('rNPV Assumptions_Obesity'!$B$21:$F$21),FALSE)="NA",0,VLOOKUP(AC9,'rNPV Assumptions_Obesity'!$B$21:$F$30,COLUMNS('rNPV Assumptions_Obesity'!$B$21:$F$21),FALSE)),0%)</f>
        <v>2.6120981250000001E-3</v>
      </c>
      <c r="AD28" s="2235">
        <f>IFERROR(IF(VLOOKUP(AD9,'rNPV Assumptions_Obesity'!$B$21:$F$30,COLUMNS('rNPV Assumptions_Obesity'!$B$21:$F$21),FALSE)="NA",0,VLOOKUP(AD9,'rNPV Assumptions_Obesity'!$B$21:$F$30,COLUMNS('rNPV Assumptions_Obesity'!$B$21:$F$21),FALSE)),0%)</f>
        <v>0</v>
      </c>
      <c r="AE28" s="2235">
        <f>IFERROR(IF(VLOOKUP(AE9,'rNPV Assumptions_Obesity'!$B$21:$F$30,COLUMNS('rNPV Assumptions_Obesity'!$B$21:$F$21),FALSE)="NA",0,VLOOKUP(AE9,'rNPV Assumptions_Obesity'!$B$21:$F$30,COLUMNS('rNPV Assumptions_Obesity'!$B$21:$F$21),FALSE)),0%)</f>
        <v>0</v>
      </c>
      <c r="AF28" s="2235">
        <f>IFERROR(IF(VLOOKUP(AF9,'rNPV Assumptions_Obesity'!$B$21:$F$30,COLUMNS('rNPV Assumptions_Obesity'!$B$21:$F$21),FALSE)="NA",0,VLOOKUP(AF9,'rNPV Assumptions_Obesity'!$B$21:$F$30,COLUMNS('rNPV Assumptions_Obesity'!$B$21:$F$21),FALSE)),0%)</f>
        <v>0</v>
      </c>
      <c r="AG28" s="2235">
        <f>IFERROR(IF(VLOOKUP(AG9,'rNPV Assumptions_Obesity'!$B$21:$F$30,COLUMNS('rNPV Assumptions_Obesity'!$B$21:$F$21),FALSE)="NA",0,VLOOKUP(AG9,'rNPV Assumptions_Obesity'!$B$21:$F$30,COLUMNS('rNPV Assumptions_Obesity'!$B$21:$F$21),FALSE)),0%)</f>
        <v>0</v>
      </c>
      <c r="AI28" s="720"/>
      <c r="AJ28" s="720"/>
      <c r="AK28" s="720"/>
      <c r="AL28" s="720"/>
      <c r="AM28" s="720"/>
      <c r="AN28" s="720"/>
      <c r="AO28" s="720"/>
    </row>
    <row r="29" spans="1:16383" s="1984" customFormat="1">
      <c r="A29" s="720"/>
      <c r="B29" s="2223" t="str">
        <f>"Probability Adjusted Milestones "&amp;$B$12</f>
        <v>Probability Adjusted Milestones Obesity</v>
      </c>
      <c r="C29" s="720"/>
      <c r="D29" s="720"/>
      <c r="E29" s="720"/>
      <c r="F29" s="2241">
        <f>SUM(F24:F26)*F28</f>
        <v>0</v>
      </c>
      <c r="G29" s="2241">
        <f t="shared" ref="G29:AG29" si="14">SUM(G24:G26)*G28</f>
        <v>0</v>
      </c>
      <c r="H29" s="2241">
        <f t="shared" si="14"/>
        <v>0</v>
      </c>
      <c r="I29" s="2241">
        <f t="shared" si="14"/>
        <v>0</v>
      </c>
      <c r="J29" s="2241">
        <f t="shared" si="14"/>
        <v>0.30712499999999998</v>
      </c>
      <c r="K29" s="2241">
        <f t="shared" si="14"/>
        <v>9.9225000000000008E-2</v>
      </c>
      <c r="L29" s="2241">
        <f t="shared" si="14"/>
        <v>6.4496250000000019E-2</v>
      </c>
      <c r="M29" s="2241">
        <f t="shared" si="14"/>
        <v>0</v>
      </c>
      <c r="N29" s="2241">
        <f t="shared" si="14"/>
        <v>4.0632637500000006E-2</v>
      </c>
      <c r="O29" s="2241">
        <f t="shared" si="14"/>
        <v>0</v>
      </c>
      <c r="P29" s="2241">
        <f t="shared" si="14"/>
        <v>3.1345177500000002E-2</v>
      </c>
      <c r="Q29" s="2241">
        <f t="shared" si="14"/>
        <v>0</v>
      </c>
      <c r="R29" s="2241">
        <f t="shared" si="14"/>
        <v>0</v>
      </c>
      <c r="S29" s="2241">
        <f t="shared" si="14"/>
        <v>8.0975041875000001E-2</v>
      </c>
      <c r="T29" s="2241">
        <f t="shared" si="14"/>
        <v>0</v>
      </c>
      <c r="U29" s="2241">
        <f t="shared" si="14"/>
        <v>0</v>
      </c>
      <c r="V29" s="2241">
        <f t="shared" si="14"/>
        <v>0</v>
      </c>
      <c r="W29" s="2241">
        <f t="shared" si="14"/>
        <v>0</v>
      </c>
      <c r="X29" s="2241">
        <f t="shared" si="14"/>
        <v>0</v>
      </c>
      <c r="Y29" s="2241">
        <f t="shared" si="14"/>
        <v>0</v>
      </c>
      <c r="Z29" s="2241">
        <f t="shared" si="14"/>
        <v>0</v>
      </c>
      <c r="AA29" s="2241">
        <f t="shared" si="14"/>
        <v>0</v>
      </c>
      <c r="AB29" s="2241">
        <f t="shared" si="14"/>
        <v>0</v>
      </c>
      <c r="AC29" s="2241">
        <f t="shared" si="14"/>
        <v>0</v>
      </c>
      <c r="AD29" s="2241">
        <f t="shared" si="14"/>
        <v>0</v>
      </c>
      <c r="AE29" s="2241">
        <f t="shared" si="14"/>
        <v>0</v>
      </c>
      <c r="AF29" s="2241">
        <f t="shared" si="14"/>
        <v>0</v>
      </c>
      <c r="AG29" s="2241">
        <f t="shared" si="14"/>
        <v>0</v>
      </c>
      <c r="AI29" s="720"/>
      <c r="AJ29" s="720"/>
      <c r="AK29" s="720"/>
      <c r="AL29" s="720"/>
      <c r="AM29" s="720"/>
      <c r="AN29" s="720"/>
      <c r="AO29" s="720"/>
    </row>
    <row r="30" spans="1:16383">
      <c r="B30" s="2223"/>
      <c r="AH30" s="720"/>
    </row>
    <row r="31" spans="1:16383">
      <c r="B31" s="2223" t="str">
        <f>"Development Milestone Payment "&amp;B17</f>
        <v>Development Milestone Payment Indication #2</v>
      </c>
      <c r="F31" s="2238">
        <f>SUMIF('rNPV Assumptions_Obesity'!$C$57:$C$60,'rNPV Analysis_Obesity'!F8,'rNPV Assumptions_Obesity'!$D$57:$D$60)*'rNPV Assumptions_Obesity'!$D$42</f>
        <v>0</v>
      </c>
      <c r="G31" s="2238">
        <f>SUMIF('rNPV Assumptions_Obesity'!$C$57:$C$60,'rNPV Analysis_Obesity'!G8,'rNPV Assumptions_Obesity'!$D$57:$D$60)*'rNPV Assumptions_Obesity'!$D$42</f>
        <v>0</v>
      </c>
      <c r="H31" s="2238">
        <f>SUMIF('rNPV Assumptions_Obesity'!$C$57:$C$60,'rNPV Analysis_Obesity'!H8,'rNPV Assumptions_Obesity'!$D$57:$D$60)*'rNPV Assumptions_Obesity'!$D$42</f>
        <v>0</v>
      </c>
      <c r="I31" s="2238">
        <f>SUMIF('rNPV Assumptions_Obesity'!$C$57:$C$60,'rNPV Analysis_Obesity'!I8,'rNPV Assumptions_Obesity'!$D$57:$D$60)*'rNPV Assumptions_Obesity'!$D$42</f>
        <v>0</v>
      </c>
      <c r="J31" s="2238">
        <f>SUMIF('rNPV Assumptions_Obesity'!$C$57:$C$60,'rNPV Analysis_Obesity'!J8,'rNPV Assumptions_Obesity'!$D$57:$D$60)*'rNPV Assumptions_Obesity'!$D$42</f>
        <v>0</v>
      </c>
      <c r="K31" s="2238">
        <f>SUMIF('rNPV Assumptions_Obesity'!$C$57:$C$60,'rNPV Analysis_Obesity'!K8,'rNPV Assumptions_Obesity'!$D$57:$D$60)*'rNPV Assumptions_Obesity'!$D$42</f>
        <v>0</v>
      </c>
      <c r="L31" s="2238">
        <f>SUMIF('rNPV Assumptions_Obesity'!$C$57:$C$60,'rNPV Analysis_Obesity'!L8,'rNPV Assumptions_Obesity'!$D$57:$D$60)*'rNPV Assumptions_Obesity'!$D$42</f>
        <v>0</v>
      </c>
      <c r="M31" s="2238">
        <f>SUMIF('rNPV Assumptions_Obesity'!$C$57:$C$60,'rNPV Analysis_Obesity'!M8,'rNPV Assumptions_Obesity'!$D$57:$D$60)*'rNPV Assumptions_Obesity'!$D$42</f>
        <v>0</v>
      </c>
      <c r="N31" s="2238">
        <f>SUMIF('rNPV Assumptions_Obesity'!$C$57:$C$60,'rNPV Analysis_Obesity'!N8,'rNPV Assumptions_Obesity'!$D$57:$D$60)*'rNPV Assumptions_Obesity'!$D$42</f>
        <v>0</v>
      </c>
      <c r="O31" s="2238">
        <f>SUMIF('rNPV Assumptions_Obesity'!$C$57:$C$60,'rNPV Analysis_Obesity'!O8,'rNPV Assumptions_Obesity'!$D$57:$D$60)*'rNPV Assumptions_Obesity'!$D$42</f>
        <v>0</v>
      </c>
      <c r="P31" s="2238">
        <f>SUMIF('rNPV Assumptions_Obesity'!$C$57:$C$60,'rNPV Analysis_Obesity'!P8,'rNPV Assumptions_Obesity'!$D$57:$D$60)*'rNPV Assumptions_Obesity'!$D$42</f>
        <v>0</v>
      </c>
      <c r="Q31" s="2238">
        <f>SUMIF('rNPV Assumptions_Obesity'!$C$57:$C$60,'rNPV Analysis_Obesity'!Q8,'rNPV Assumptions_Obesity'!$D$57:$D$60)*'rNPV Assumptions_Obesity'!$D$42</f>
        <v>0</v>
      </c>
      <c r="R31" s="2238">
        <f>SUMIF('rNPV Assumptions_Obesity'!$C$57:$C$60,'rNPV Analysis_Obesity'!R8,'rNPV Assumptions_Obesity'!$D$57:$D$60)*'rNPV Assumptions_Obesity'!$D$42</f>
        <v>0</v>
      </c>
      <c r="S31" s="2238">
        <f>SUMIF('rNPV Assumptions_Obesity'!$C$57:$C$60,'rNPV Analysis_Obesity'!S8,'rNPV Assumptions_Obesity'!$D$57:$D$60)*'rNPV Assumptions_Obesity'!$D$42</f>
        <v>0</v>
      </c>
      <c r="T31" s="2238">
        <f>SUMIF('rNPV Assumptions_Obesity'!$C$57:$C$60,'rNPV Analysis_Obesity'!T8,'rNPV Assumptions_Obesity'!$D$57:$D$60)*'rNPV Assumptions_Obesity'!$D$42</f>
        <v>0</v>
      </c>
      <c r="U31" s="2238">
        <f>SUMIF('rNPV Assumptions_Obesity'!$C$57:$C$60,'rNPV Analysis_Obesity'!U8,'rNPV Assumptions_Obesity'!$D$57:$D$60)*'rNPV Assumptions_Obesity'!$D$42</f>
        <v>0</v>
      </c>
      <c r="V31" s="2238">
        <f>SUMIF('rNPV Assumptions_Obesity'!$C$57:$C$60,'rNPV Analysis_Obesity'!V8,'rNPV Assumptions_Obesity'!$D$57:$D$60)*'rNPV Assumptions_Obesity'!$D$42</f>
        <v>0</v>
      </c>
      <c r="W31" s="2238">
        <f>SUMIF('rNPV Assumptions_Obesity'!$C$57:$C$60,'rNPV Analysis_Obesity'!W8,'rNPV Assumptions_Obesity'!$D$57:$D$60)*'rNPV Assumptions_Obesity'!$D$42</f>
        <v>0</v>
      </c>
      <c r="X31" s="2238">
        <f>SUMIF('rNPV Assumptions_Obesity'!$C$57:$C$60,'rNPV Analysis_Obesity'!X8,'rNPV Assumptions_Obesity'!$D$57:$D$60)*'rNPV Assumptions_Obesity'!$D$42</f>
        <v>0</v>
      </c>
      <c r="Y31" s="2238">
        <f>SUMIF('rNPV Assumptions_Obesity'!$C$57:$C$60,'rNPV Analysis_Obesity'!Y8,'rNPV Assumptions_Obesity'!$D$57:$D$60)*'rNPV Assumptions_Obesity'!$D$42</f>
        <v>0</v>
      </c>
      <c r="Z31" s="2238">
        <f>SUMIF('rNPV Assumptions_Obesity'!$C$57:$C$60,'rNPV Analysis_Obesity'!Z8,'rNPV Assumptions_Obesity'!$D$57:$D$60)*'rNPV Assumptions_Obesity'!$D$42</f>
        <v>0</v>
      </c>
      <c r="AA31" s="2238">
        <f>SUMIF('rNPV Assumptions_Obesity'!$C$57:$C$60,'rNPV Analysis_Obesity'!AA8,'rNPV Assumptions_Obesity'!$D$57:$D$60)*'rNPV Assumptions_Obesity'!$D$42</f>
        <v>0</v>
      </c>
      <c r="AB31" s="2238">
        <f>SUMIF('rNPV Assumptions_Obesity'!$C$57:$C$60,'rNPV Analysis_Obesity'!AB8,'rNPV Assumptions_Obesity'!$D$57:$D$60)*'rNPV Assumptions_Obesity'!$D$42</f>
        <v>0</v>
      </c>
      <c r="AC31" s="2238">
        <f>SUMIF('rNPV Assumptions_Obesity'!$C$57:$C$60,'rNPV Analysis_Obesity'!AC8,'rNPV Assumptions_Obesity'!$D$57:$D$60)*'rNPV Assumptions_Obesity'!$D$42</f>
        <v>0</v>
      </c>
      <c r="AD31" s="2238">
        <f>SUMIF('rNPV Assumptions_Obesity'!$C$57:$C$60,'rNPV Analysis_Obesity'!AD8,'rNPV Assumptions_Obesity'!$D$57:$D$60)*'rNPV Assumptions_Obesity'!$D$42</f>
        <v>0</v>
      </c>
      <c r="AE31" s="2238">
        <f>SUMIF('rNPV Assumptions_Obesity'!$C$57:$C$60,'rNPV Analysis_Obesity'!AE8,'rNPV Assumptions_Obesity'!$D$57:$D$60)*'rNPV Assumptions_Obesity'!$D$42</f>
        <v>0</v>
      </c>
      <c r="AF31" s="2238">
        <f>SUMIF('rNPV Assumptions_Obesity'!$C$57:$C$60,'rNPV Analysis_Obesity'!AF8,'rNPV Assumptions_Obesity'!$D$57:$D$60)*'rNPV Assumptions_Obesity'!$D$42</f>
        <v>0</v>
      </c>
      <c r="AG31" s="2238">
        <f>SUMIF('rNPV Assumptions_Obesity'!$C$57:$C$60,'rNPV Analysis_Obesity'!AG8,'rNPV Assumptions_Obesity'!$D$57:$D$60)*'rNPV Assumptions_Obesity'!$D$42</f>
        <v>0</v>
      </c>
    </row>
    <row r="32" spans="1:16383" s="1984" customFormat="1" ht="8.1" customHeight="1">
      <c r="A32" s="720"/>
      <c r="B32" s="2157"/>
      <c r="C32" s="1171"/>
      <c r="D32" s="720"/>
      <c r="E32" s="720"/>
      <c r="F32" s="720"/>
      <c r="G32" s="720"/>
      <c r="H32" s="720"/>
      <c r="I32" s="720"/>
      <c r="J32" s="720"/>
      <c r="K32" s="720"/>
      <c r="L32" s="720"/>
      <c r="M32" s="720"/>
      <c r="N32" s="720"/>
      <c r="O32" s="720"/>
      <c r="P32" s="720"/>
      <c r="Q32" s="720"/>
      <c r="R32" s="720"/>
      <c r="S32" s="720"/>
      <c r="T32" s="720"/>
      <c r="U32" s="720"/>
      <c r="V32" s="720"/>
      <c r="W32" s="720"/>
      <c r="X32" s="720"/>
      <c r="Y32" s="720"/>
      <c r="Z32" s="720"/>
      <c r="AA32" s="720"/>
      <c r="AB32" s="720"/>
      <c r="AC32" s="720"/>
      <c r="AD32" s="720"/>
      <c r="AE32" s="720"/>
      <c r="AF32" s="720"/>
      <c r="AG32" s="720"/>
      <c r="AI32" s="720"/>
      <c r="AJ32" s="720"/>
      <c r="AK32" s="720"/>
      <c r="AL32" s="720"/>
      <c r="AM32" s="720"/>
      <c r="AN32" s="720"/>
      <c r="AO32" s="720"/>
    </row>
    <row r="33" spans="1:41" s="1984" customFormat="1">
      <c r="A33" s="720"/>
      <c r="B33" s="2232" t="s">
        <v>2843</v>
      </c>
      <c r="C33" s="720"/>
      <c r="D33" s="720"/>
      <c r="E33" s="720"/>
      <c r="F33" s="2235">
        <f>IFERROR(IF(VLOOKUP(F9,'rNPV Assumptions_Obesity'!$B$45:$F$54,COLUMNS('rNPV Assumptions_Obesity'!$B$45:$F$45),FALSE)="NA",0,VLOOKUP(F9,'rNPV Assumptions_Obesity'!$B$45:$F$54,COLUMNS('rNPV Assumptions_Obesity'!$B$45:$F$45),FALSE)),0%)</f>
        <v>0</v>
      </c>
      <c r="G33" s="2235">
        <f>IFERROR(IF(VLOOKUP(G9,'rNPV Assumptions_Obesity'!$B$45:$F$54,COLUMNS('rNPV Assumptions_Obesity'!$B$45:$F$45),FALSE)="NA",0,VLOOKUP(G9,'rNPV Assumptions_Obesity'!$B$45:$F$54,COLUMNS('rNPV Assumptions_Obesity'!$B$45:$F$45),FALSE)),0%)</f>
        <v>0</v>
      </c>
      <c r="H33" s="2235">
        <f>IFERROR(IF(VLOOKUP(H9,'rNPV Assumptions_Obesity'!$B$45:$F$54,COLUMNS('rNPV Assumptions_Obesity'!$B$45:$F$45),FALSE)="NA",0,VLOOKUP(H9,'rNPV Assumptions_Obesity'!$B$45:$F$54,COLUMNS('rNPV Assumptions_Obesity'!$B$45:$F$45),FALSE)),0%)</f>
        <v>0</v>
      </c>
      <c r="I33" s="2235">
        <f>IFERROR(IF(VLOOKUP(I9,'rNPV Assumptions_Obesity'!$B$45:$F$54,COLUMNS('rNPV Assumptions_Obesity'!$B$45:$F$45),FALSE)="NA",0,VLOOKUP(I9,'rNPV Assumptions_Obesity'!$B$45:$F$54,COLUMNS('rNPV Assumptions_Obesity'!$B$45:$F$45),FALSE)),0%)</f>
        <v>0</v>
      </c>
      <c r="J33" s="2235">
        <f>IFERROR(IF(VLOOKUP(J9,'rNPV Assumptions_Obesity'!$B$45:$F$54,COLUMNS('rNPV Assumptions_Obesity'!$B$45:$F$45),FALSE)="NA",0,VLOOKUP(J9,'rNPV Assumptions_Obesity'!$B$45:$F$54,COLUMNS('rNPV Assumptions_Obesity'!$B$45:$F$45),FALSE)),0%)</f>
        <v>4.725E-2</v>
      </c>
      <c r="K33" s="2235">
        <f>IFERROR(IF(VLOOKUP(K9,'rNPV Assumptions_Obesity'!$B$45:$F$54,COLUMNS('rNPV Assumptions_Obesity'!$B$45:$F$45),FALSE)="NA",0,VLOOKUP(K9,'rNPV Assumptions_Obesity'!$B$45:$F$54,COLUMNS('rNPV Assumptions_Obesity'!$B$45:$F$45),FALSE)),0%)</f>
        <v>3.3075E-2</v>
      </c>
      <c r="L33" s="2235">
        <f>IFERROR(IF(VLOOKUP(L9,'rNPV Assumptions_Obesity'!$B$45:$F$54,COLUMNS('rNPV Assumptions_Obesity'!$B$45:$F$45),FALSE)="NA",0,VLOOKUP(L9,'rNPV Assumptions_Obesity'!$B$45:$F$54,COLUMNS('rNPV Assumptions_Obesity'!$B$45:$F$45),FALSE)),0%)</f>
        <v>1.2899250000000003E-2</v>
      </c>
      <c r="M33" s="2235">
        <f>IFERROR(IF(VLOOKUP(M9,'rNPV Assumptions_Obesity'!$B$45:$F$54,COLUMNS('rNPV Assumptions_Obesity'!$B$45:$F$45),FALSE)="NA",0,VLOOKUP(M9,'rNPV Assumptions_Obesity'!$B$45:$F$54,COLUMNS('rNPV Assumptions_Obesity'!$B$45:$F$45),FALSE)),0%)</f>
        <v>1.2899250000000003E-2</v>
      </c>
      <c r="N33" s="2235">
        <f>IFERROR(IF(VLOOKUP(N9,'rNPV Assumptions_Obesity'!$B$45:$F$54,COLUMNS('rNPV Assumptions_Obesity'!$B$45:$F$45),FALSE)="NA",0,VLOOKUP(N9,'rNPV Assumptions_Obesity'!$B$45:$F$54,COLUMNS('rNPV Assumptions_Obesity'!$B$45:$F$45),FALSE)),0%)</f>
        <v>5.804662500000001E-3</v>
      </c>
      <c r="O33" s="2235">
        <f>IFERROR(IF(VLOOKUP(O9,'rNPV Assumptions_Obesity'!$B$45:$F$54,COLUMNS('rNPV Assumptions_Obesity'!$B$45:$F$45),FALSE)="NA",0,VLOOKUP(O9,'rNPV Assumptions_Obesity'!$B$45:$F$54,COLUMNS('rNPV Assumptions_Obesity'!$B$45:$F$45),FALSE)),0%)</f>
        <v>5.804662500000001E-3</v>
      </c>
      <c r="P33" s="2235">
        <f>IFERROR(IF(VLOOKUP(P9,'rNPV Assumptions_Obesity'!$B$45:$F$54,COLUMNS('rNPV Assumptions_Obesity'!$B$45:$F$45),FALSE)="NA",0,VLOOKUP(P9,'rNPV Assumptions_Obesity'!$B$45:$F$54,COLUMNS('rNPV Assumptions_Obesity'!$B$45:$F$45),FALSE)),0%)</f>
        <v>3.4827975000000003E-3</v>
      </c>
      <c r="Q33" s="2235">
        <f>IFERROR(IF(VLOOKUP(Q9,'rNPV Assumptions_Obesity'!$B$45:$F$54,COLUMNS('rNPV Assumptions_Obesity'!$B$45:$F$45),FALSE)="NA",0,VLOOKUP(Q9,'rNPV Assumptions_Obesity'!$B$45:$F$54,COLUMNS('rNPV Assumptions_Obesity'!$B$45:$F$45),FALSE)),0%)</f>
        <v>3.4827975000000003E-3</v>
      </c>
      <c r="R33" s="2235">
        <f>IFERROR(IF(VLOOKUP(R9,'rNPV Assumptions_Obesity'!$B$45:$F$54,COLUMNS('rNPV Assumptions_Obesity'!$B$45:$F$45),FALSE)="NA",0,VLOOKUP(R9,'rNPV Assumptions_Obesity'!$B$45:$F$54,COLUMNS('rNPV Assumptions_Obesity'!$B$45:$F$45),FALSE)),0%)</f>
        <v>3.4827975000000003E-3</v>
      </c>
      <c r="S33" s="2235">
        <f>IFERROR(IF(VLOOKUP(S9,'rNPV Assumptions_Obesity'!$B$45:$F$54,COLUMNS('rNPV Assumptions_Obesity'!$B$45:$F$45),FALSE)="NA",0,VLOOKUP(S9,'rNPV Assumptions_Obesity'!$B$45:$F$54,COLUMNS('rNPV Assumptions_Obesity'!$B$45:$F$45),FALSE)),0%)</f>
        <v>2.6120981250000001E-3</v>
      </c>
      <c r="T33" s="2235">
        <f>IFERROR(IF(VLOOKUP(T9,'rNPV Assumptions_Obesity'!$B$45:$F$54,COLUMNS('rNPV Assumptions_Obesity'!$B$45:$F$45),FALSE)="NA",0,VLOOKUP(T9,'rNPV Assumptions_Obesity'!$B$45:$F$54,COLUMNS('rNPV Assumptions_Obesity'!$B$45:$F$45),FALSE)),0%)</f>
        <v>2.6120981250000001E-3</v>
      </c>
      <c r="U33" s="2235">
        <f>IFERROR(IF(VLOOKUP(U9,'rNPV Assumptions_Obesity'!$B$45:$F$54,COLUMNS('rNPV Assumptions_Obesity'!$B$45:$F$45),FALSE)="NA",0,VLOOKUP(U9,'rNPV Assumptions_Obesity'!$B$45:$F$54,COLUMNS('rNPV Assumptions_Obesity'!$B$45:$F$45),FALSE)),0%)</f>
        <v>2.6120981250000001E-3</v>
      </c>
      <c r="V33" s="2235">
        <f>IFERROR(IF(VLOOKUP(V9,'rNPV Assumptions_Obesity'!$B$45:$F$54,COLUMNS('rNPV Assumptions_Obesity'!$B$45:$F$45),FALSE)="NA",0,VLOOKUP(V9,'rNPV Assumptions_Obesity'!$B$45:$F$54,COLUMNS('rNPV Assumptions_Obesity'!$B$45:$F$45),FALSE)),0%)</f>
        <v>2.6120981250000001E-3</v>
      </c>
      <c r="W33" s="2235">
        <f>IFERROR(IF(VLOOKUP(W9,'rNPV Assumptions_Obesity'!$B$45:$F$54,COLUMNS('rNPV Assumptions_Obesity'!$B$45:$F$45),FALSE)="NA",0,VLOOKUP(W9,'rNPV Assumptions_Obesity'!$B$45:$F$54,COLUMNS('rNPV Assumptions_Obesity'!$B$45:$F$45),FALSE)),0%)</f>
        <v>2.6120981250000001E-3</v>
      </c>
      <c r="X33" s="2235">
        <f>IFERROR(IF(VLOOKUP(X9,'rNPV Assumptions_Obesity'!$B$45:$F$54,COLUMNS('rNPV Assumptions_Obesity'!$B$45:$F$45),FALSE)="NA",0,VLOOKUP(X9,'rNPV Assumptions_Obesity'!$B$45:$F$54,COLUMNS('rNPV Assumptions_Obesity'!$B$45:$F$45),FALSE)),0%)</f>
        <v>2.6120981250000001E-3</v>
      </c>
      <c r="Y33" s="2235">
        <f>IFERROR(IF(VLOOKUP(Y9,'rNPV Assumptions_Obesity'!$B$45:$F$54,COLUMNS('rNPV Assumptions_Obesity'!$B$45:$F$45),FALSE)="NA",0,VLOOKUP(Y9,'rNPV Assumptions_Obesity'!$B$45:$F$54,COLUMNS('rNPV Assumptions_Obesity'!$B$45:$F$45),FALSE)),0%)</f>
        <v>2.6120981250000001E-3</v>
      </c>
      <c r="Z33" s="2235">
        <f>IFERROR(IF(VLOOKUP(Z9,'rNPV Assumptions_Obesity'!$B$45:$F$54,COLUMNS('rNPV Assumptions_Obesity'!$B$45:$F$45),FALSE)="NA",0,VLOOKUP(Z9,'rNPV Assumptions_Obesity'!$B$45:$F$54,COLUMNS('rNPV Assumptions_Obesity'!$B$45:$F$45),FALSE)),0%)</f>
        <v>2.6120981250000001E-3</v>
      </c>
      <c r="AA33" s="2235">
        <f>IFERROR(IF(VLOOKUP(AA9,'rNPV Assumptions_Obesity'!$B$45:$F$54,COLUMNS('rNPV Assumptions_Obesity'!$B$45:$F$45),FALSE)="NA",0,VLOOKUP(AA9,'rNPV Assumptions_Obesity'!$B$45:$F$54,COLUMNS('rNPV Assumptions_Obesity'!$B$45:$F$45),FALSE)),0%)</f>
        <v>2.6120981250000001E-3</v>
      </c>
      <c r="AB33" s="2235">
        <f>IFERROR(IF(VLOOKUP(AB9,'rNPV Assumptions_Obesity'!$B$45:$F$54,COLUMNS('rNPV Assumptions_Obesity'!$B$45:$F$45),FALSE)="NA",0,VLOOKUP(AB9,'rNPV Assumptions_Obesity'!$B$45:$F$54,COLUMNS('rNPV Assumptions_Obesity'!$B$45:$F$45),FALSE)),0%)</f>
        <v>2.6120981250000001E-3</v>
      </c>
      <c r="AC33" s="2235">
        <f>IFERROR(IF(VLOOKUP(AC9,'rNPV Assumptions_Obesity'!$B$45:$F$54,COLUMNS('rNPV Assumptions_Obesity'!$B$45:$F$45),FALSE)="NA",0,VLOOKUP(AC9,'rNPV Assumptions_Obesity'!$B$45:$F$54,COLUMNS('rNPV Assumptions_Obesity'!$B$45:$F$45),FALSE)),0%)</f>
        <v>2.6120981250000001E-3</v>
      </c>
      <c r="AD33" s="2235">
        <f>IFERROR(IF(VLOOKUP(AD9,'rNPV Assumptions_Obesity'!$B$45:$F$54,COLUMNS('rNPV Assumptions_Obesity'!$B$45:$F$45),FALSE)="NA",0,VLOOKUP(AD9,'rNPV Assumptions_Obesity'!$B$45:$F$54,COLUMNS('rNPV Assumptions_Obesity'!$B$45:$F$45),FALSE)),0%)</f>
        <v>0</v>
      </c>
      <c r="AE33" s="2235">
        <f>IFERROR(IF(VLOOKUP(AE9,'rNPV Assumptions_Obesity'!$B$45:$F$54,COLUMNS('rNPV Assumptions_Obesity'!$B$45:$F$45),FALSE)="NA",0,VLOOKUP(AE9,'rNPV Assumptions_Obesity'!$B$45:$F$54,COLUMNS('rNPV Assumptions_Obesity'!$B$45:$F$45),FALSE)),0%)</f>
        <v>0</v>
      </c>
      <c r="AF33" s="2235">
        <f>IFERROR(IF(VLOOKUP(AF9,'rNPV Assumptions_Obesity'!$B$45:$F$54,COLUMNS('rNPV Assumptions_Obesity'!$B$45:$F$45),FALSE)="NA",0,VLOOKUP(AF9,'rNPV Assumptions_Obesity'!$B$45:$F$54,COLUMNS('rNPV Assumptions_Obesity'!$B$45:$F$45),FALSE)),0%)</f>
        <v>0</v>
      </c>
      <c r="AG33" s="2235">
        <f>IFERROR(IF(VLOOKUP(AG9,'rNPV Assumptions_Obesity'!$B$45:$F$54,COLUMNS('rNPV Assumptions_Obesity'!$B$45:$F$45),FALSE)="NA",0,VLOOKUP(AG9,'rNPV Assumptions_Obesity'!$B$45:$F$54,COLUMNS('rNPV Assumptions_Obesity'!$B$45:$F$45),FALSE)),0%)</f>
        <v>0</v>
      </c>
      <c r="AI33" s="720"/>
      <c r="AJ33" s="720"/>
      <c r="AK33" s="720"/>
      <c r="AL33" s="720"/>
      <c r="AM33" s="720"/>
      <c r="AN33" s="720"/>
      <c r="AO33" s="720"/>
    </row>
    <row r="34" spans="1:41" s="1984" customFormat="1">
      <c r="A34" s="720"/>
      <c r="B34" s="2223" t="str">
        <f>"Probability Adjusted Milestones "&amp;$B$17</f>
        <v>Probability Adjusted Milestones Indication #2</v>
      </c>
      <c r="C34" s="720"/>
      <c r="D34" s="720"/>
      <c r="E34" s="720"/>
      <c r="F34" s="2241">
        <f>F31*F33</f>
        <v>0</v>
      </c>
      <c r="G34" s="2241">
        <f t="shared" ref="G34:AG34" si="15">G31*G33</f>
        <v>0</v>
      </c>
      <c r="H34" s="2241">
        <f t="shared" si="15"/>
        <v>0</v>
      </c>
      <c r="I34" s="2241">
        <f t="shared" si="15"/>
        <v>0</v>
      </c>
      <c r="J34" s="2241">
        <f t="shared" si="15"/>
        <v>0</v>
      </c>
      <c r="K34" s="2241">
        <f t="shared" si="15"/>
        <v>0</v>
      </c>
      <c r="L34" s="2241">
        <f t="shared" si="15"/>
        <v>0</v>
      </c>
      <c r="M34" s="2241">
        <f t="shared" si="15"/>
        <v>0</v>
      </c>
      <c r="N34" s="2241">
        <f t="shared" si="15"/>
        <v>0</v>
      </c>
      <c r="O34" s="2241">
        <f t="shared" si="15"/>
        <v>0</v>
      </c>
      <c r="P34" s="2241">
        <f t="shared" si="15"/>
        <v>0</v>
      </c>
      <c r="Q34" s="2241">
        <f t="shared" si="15"/>
        <v>0</v>
      </c>
      <c r="R34" s="2241">
        <f t="shared" si="15"/>
        <v>0</v>
      </c>
      <c r="S34" s="2241">
        <f t="shared" si="15"/>
        <v>0</v>
      </c>
      <c r="T34" s="2241">
        <f t="shared" si="15"/>
        <v>0</v>
      </c>
      <c r="U34" s="2241">
        <f t="shared" si="15"/>
        <v>0</v>
      </c>
      <c r="V34" s="2241">
        <f t="shared" si="15"/>
        <v>0</v>
      </c>
      <c r="W34" s="2241">
        <f t="shared" si="15"/>
        <v>0</v>
      </c>
      <c r="X34" s="2241">
        <f t="shared" si="15"/>
        <v>0</v>
      </c>
      <c r="Y34" s="2241">
        <f t="shared" si="15"/>
        <v>0</v>
      </c>
      <c r="Z34" s="2241">
        <f t="shared" si="15"/>
        <v>0</v>
      </c>
      <c r="AA34" s="2241">
        <f t="shared" si="15"/>
        <v>0</v>
      </c>
      <c r="AB34" s="2241">
        <f t="shared" si="15"/>
        <v>0</v>
      </c>
      <c r="AC34" s="2241">
        <f t="shared" si="15"/>
        <v>0</v>
      </c>
      <c r="AD34" s="2241">
        <f t="shared" si="15"/>
        <v>0</v>
      </c>
      <c r="AE34" s="2241">
        <f t="shared" si="15"/>
        <v>0</v>
      </c>
      <c r="AF34" s="2241">
        <f t="shared" si="15"/>
        <v>0</v>
      </c>
      <c r="AG34" s="2241">
        <f t="shared" si="15"/>
        <v>0</v>
      </c>
      <c r="AI34" s="720"/>
      <c r="AJ34" s="720"/>
      <c r="AK34" s="720"/>
      <c r="AL34" s="720"/>
      <c r="AM34" s="720"/>
      <c r="AN34" s="720"/>
      <c r="AO34" s="720"/>
    </row>
    <row r="35" spans="1:41">
      <c r="B35" s="2223"/>
      <c r="AH35" s="720"/>
    </row>
    <row r="36" spans="1:41">
      <c r="B36" s="2223" t="s">
        <v>4022</v>
      </c>
      <c r="F36" s="2238"/>
      <c r="G36" s="2238"/>
      <c r="H36" s="2238"/>
      <c r="I36" s="2238"/>
      <c r="J36" s="2238"/>
      <c r="K36" s="2238"/>
      <c r="L36" s="2238"/>
      <c r="M36" s="2238"/>
      <c r="N36" s="2238"/>
      <c r="O36" s="2238"/>
      <c r="P36" s="2238"/>
      <c r="Q36" s="2238"/>
      <c r="R36" s="2238"/>
      <c r="S36" s="2238"/>
      <c r="T36" s="2238"/>
      <c r="U36" s="2238"/>
      <c r="V36" s="2238"/>
      <c r="W36" s="2238"/>
      <c r="X36" s="2238"/>
      <c r="Y36" s="2238"/>
      <c r="Z36" s="2238"/>
      <c r="AA36" s="2238"/>
      <c r="AB36" s="2238"/>
      <c r="AC36" s="2238"/>
      <c r="AD36" s="2238"/>
      <c r="AE36" s="2238"/>
      <c r="AF36" s="2238"/>
      <c r="AG36" s="2238"/>
    </row>
    <row r="37" spans="1:41">
      <c r="B37" s="454">
        <f>'rNPV Assumptions_Obesity'!B67</f>
        <v>500</v>
      </c>
      <c r="C37" s="2240">
        <f>'rNPV Assumptions_Obesity'!C67</f>
        <v>10</v>
      </c>
      <c r="F37" s="2238">
        <f>IF(SUM($E37:E37)=0,IF(F$22&gt;=$B37,$C37,0),0)</f>
        <v>0</v>
      </c>
      <c r="G37" s="2238">
        <f>IF(SUM($E37:F37)=0,IF(G$22&gt;=$B37,$C37,0),0)</f>
        <v>0</v>
      </c>
      <c r="H37" s="2238">
        <f>IF(SUM($E37:G37)=0,IF(H$22&gt;=$B37,$C37,0),0)</f>
        <v>0</v>
      </c>
      <c r="I37" s="2238">
        <f>IF(SUM($E37:H37)=0,IF(I$22&gt;=$B37,$C37,0),0)</f>
        <v>0</v>
      </c>
      <c r="J37" s="2238">
        <f>IF(SUM($E37:I37)=0,IF(J$22&gt;=$B37,$C37,0),0)</f>
        <v>0</v>
      </c>
      <c r="K37" s="2238">
        <f>IF(SUM($E37:J37)=0,IF(K$22&gt;=$B37,$C37,0),0)</f>
        <v>0</v>
      </c>
      <c r="L37" s="2238">
        <f>IF(SUM($E37:K37)=0,IF(L$22&gt;=$B37,$C37,0),0)</f>
        <v>0</v>
      </c>
      <c r="M37" s="2238">
        <f>IF(SUM($E37:L37)=0,IF(M$22&gt;=$B37,$C37,0),0)</f>
        <v>0</v>
      </c>
      <c r="N37" s="2238">
        <f>IF(SUM($E37:M37)=0,IF(N$22&gt;=$B37,$C37,0),0)</f>
        <v>0</v>
      </c>
      <c r="O37" s="2238">
        <f>IF(SUM($E37:N37)=0,IF(O$22&gt;=$B37,$C37,0),0)</f>
        <v>0</v>
      </c>
      <c r="P37" s="2238">
        <f>IF(SUM($E37:O37)=0,IF(P$22&gt;=$B37,$C37,0),0)</f>
        <v>0</v>
      </c>
      <c r="Q37" s="2238">
        <f>IF(SUM($E37:P37)=0,IF(Q$22&gt;=$B37,$C37,0),0)</f>
        <v>0</v>
      </c>
      <c r="R37" s="2238">
        <f>IF(SUM($E37:Q37)=0,IF(R$22&gt;=$B37,$C37,0),0)</f>
        <v>0</v>
      </c>
      <c r="S37" s="2238">
        <f>IF(SUM($E37:R37)=0,IF(S$22&gt;=$B37,$C37,0),0)</f>
        <v>0</v>
      </c>
      <c r="T37" s="2238">
        <f>IF(SUM($E37:S37)=0,IF(T$22&gt;=$B37,$C37,0),0)</f>
        <v>0</v>
      </c>
      <c r="U37" s="2238">
        <f>IF(SUM($E37:T37)=0,IF(U$22&gt;=$B37,$C37,0),0)</f>
        <v>0</v>
      </c>
      <c r="V37" s="2238">
        <f>IF(SUM($E37:U37)=0,IF(V$22&gt;=$B37,$C37,0),0)</f>
        <v>0</v>
      </c>
      <c r="W37" s="2238">
        <f>IF(SUM($E37:V37)=0,IF(W$22&gt;=$B37,$C37,0),0)</f>
        <v>0</v>
      </c>
      <c r="X37" s="2238">
        <f>IF(SUM($E37:W37)=0,IF(X$22&gt;=$B37,$C37,0),0)</f>
        <v>10</v>
      </c>
      <c r="Y37" s="2238">
        <f>IF(SUM($E37:X37)=0,IF(Y$22&gt;=$B37,$C37,0),0)</f>
        <v>0</v>
      </c>
      <c r="Z37" s="2238">
        <f>IF(SUM($E37:Y37)=0,IF(Z$22&gt;=$B37,$C37,0),0)</f>
        <v>0</v>
      </c>
      <c r="AA37" s="2238">
        <f>IF(SUM($E37:Z37)=0,IF(AA$22&gt;=$B37,$C37,0),0)</f>
        <v>0</v>
      </c>
      <c r="AB37" s="2238">
        <f>IF(SUM($E37:AA37)=0,IF(AB$22&gt;=$B37,$C37,0),0)</f>
        <v>0</v>
      </c>
      <c r="AC37" s="2238">
        <f>IF(SUM($E37:AB37)=0,IF(AC$22&gt;=$B37,$C37,0),0)</f>
        <v>0</v>
      </c>
      <c r="AD37" s="2238">
        <f>IF(SUM($E37:AC37)=0,IF(AD$22&gt;=$B37,$C37,0),0)</f>
        <v>0</v>
      </c>
      <c r="AE37" s="2238">
        <f>IF(SUM($E37:AD37)=0,IF(AE$22&gt;=$B37,$C37,0),0)</f>
        <v>0</v>
      </c>
      <c r="AF37" s="2238">
        <f>IF(SUM($E37:AE37)=0,IF(AF$22&gt;=$B37,$C37,0),0)</f>
        <v>0</v>
      </c>
      <c r="AG37" s="2238">
        <f>IF(SUM($E37:AF37)=0,IF(AG$22&gt;=$B37,$C37,0),0)</f>
        <v>0</v>
      </c>
    </row>
    <row r="38" spans="1:41">
      <c r="B38" s="454">
        <f>'rNPV Assumptions_Obesity'!B68</f>
        <v>1000</v>
      </c>
      <c r="C38" s="2240">
        <f>'rNPV Assumptions_Obesity'!C68</f>
        <v>25</v>
      </c>
      <c r="F38" s="2238">
        <f>IF(SUM($E38:E38)=0,IF(F$22&gt;=$B38,$C38,0),0)</f>
        <v>0</v>
      </c>
      <c r="G38" s="2238">
        <f>IF(SUM($E38:F38)=0,IF(G$22&gt;=$B38,$C38,0),0)</f>
        <v>0</v>
      </c>
      <c r="H38" s="2238">
        <f>IF(SUM($E38:G38)=0,IF(H$22&gt;=$B38,$C38,0),0)</f>
        <v>0</v>
      </c>
      <c r="I38" s="2238">
        <f>IF(SUM($E38:H38)=0,IF(I$22&gt;=$B38,$C38,0),0)</f>
        <v>0</v>
      </c>
      <c r="J38" s="2238">
        <f>IF(SUM($E38:I38)=0,IF(J$22&gt;=$B38,$C38,0),0)</f>
        <v>0</v>
      </c>
      <c r="K38" s="2238">
        <f>IF(SUM($E38:J38)=0,IF(K$22&gt;=$B38,$C38,0),0)</f>
        <v>0</v>
      </c>
      <c r="L38" s="2238">
        <f>IF(SUM($E38:K38)=0,IF(L$22&gt;=$B38,$C38,0),0)</f>
        <v>0</v>
      </c>
      <c r="M38" s="2238">
        <f>IF(SUM($E38:L38)=0,IF(M$22&gt;=$B38,$C38,0),0)</f>
        <v>0</v>
      </c>
      <c r="N38" s="2238">
        <f>IF(SUM($E38:M38)=0,IF(N$22&gt;=$B38,$C38,0),0)</f>
        <v>0</v>
      </c>
      <c r="O38" s="2238">
        <f>IF(SUM($E38:N38)=0,IF(O$22&gt;=$B38,$C38,0),0)</f>
        <v>0</v>
      </c>
      <c r="P38" s="2238">
        <f>IF(SUM($E38:O38)=0,IF(P$22&gt;=$B38,$C38,0),0)</f>
        <v>0</v>
      </c>
      <c r="Q38" s="2238">
        <f>IF(SUM($E38:P38)=0,IF(Q$22&gt;=$B38,$C38,0),0)</f>
        <v>0</v>
      </c>
      <c r="R38" s="2238">
        <f>IF(SUM($E38:Q38)=0,IF(R$22&gt;=$B38,$C38,0),0)</f>
        <v>0</v>
      </c>
      <c r="S38" s="2238">
        <f>IF(SUM($E38:R38)=0,IF(S$22&gt;=$B38,$C38,0),0)</f>
        <v>0</v>
      </c>
      <c r="T38" s="2238">
        <f>IF(SUM($E38:S38)=0,IF(T$22&gt;=$B38,$C38,0),0)</f>
        <v>0</v>
      </c>
      <c r="U38" s="2238">
        <f>IF(SUM($E38:T38)=0,IF(U$22&gt;=$B38,$C38,0),0)</f>
        <v>0</v>
      </c>
      <c r="V38" s="2238">
        <f>IF(SUM($E38:U38)=0,IF(V$22&gt;=$B38,$C38,0),0)</f>
        <v>0</v>
      </c>
      <c r="W38" s="2238">
        <f>IF(SUM($E38:V38)=0,IF(W$22&gt;=$B38,$C38,0),0)</f>
        <v>0</v>
      </c>
      <c r="X38" s="2238">
        <f>IF(SUM($E38:W38)=0,IF(X$22&gt;=$B38,$C38,0),0)</f>
        <v>0</v>
      </c>
      <c r="Y38" s="2238">
        <f>IF(SUM($E38:X38)=0,IF(Y$22&gt;=$B38,$C38,0),0)</f>
        <v>0</v>
      </c>
      <c r="Z38" s="2238">
        <f>IF(SUM($E38:Y38)=0,IF(Z$22&gt;=$B38,$C38,0),0)</f>
        <v>0</v>
      </c>
      <c r="AA38" s="2238">
        <f>IF(SUM($E38:Z38)=0,IF(AA$22&gt;=$B38,$C38,0),0)</f>
        <v>0</v>
      </c>
      <c r="AB38" s="2238">
        <f>IF(SUM($E38:AA38)=0,IF(AB$22&gt;=$B38,$C38,0),0)</f>
        <v>0</v>
      </c>
      <c r="AC38" s="2238">
        <f>IF(SUM($E38:AB38)=0,IF(AC$22&gt;=$B38,$C38,0),0)</f>
        <v>0</v>
      </c>
      <c r="AD38" s="2238">
        <f>IF(SUM($E38:AC38)=0,IF(AD$22&gt;=$B38,$C38,0),0)</f>
        <v>0</v>
      </c>
      <c r="AE38" s="2238">
        <f>IF(SUM($E38:AD38)=0,IF(AE$22&gt;=$B38,$C38,0),0)</f>
        <v>0</v>
      </c>
      <c r="AF38" s="2238">
        <f>IF(SUM($E38:AE38)=0,IF(AF$22&gt;=$B38,$C38,0),0)</f>
        <v>0</v>
      </c>
      <c r="AG38" s="2238">
        <f>IF(SUM($E38:AF38)=0,IF(AG$22&gt;=$B38,$C38,0),0)</f>
        <v>0</v>
      </c>
    </row>
    <row r="39" spans="1:41">
      <c r="B39" s="454">
        <f>'rNPV Assumptions_Obesity'!B69</f>
        <v>2000</v>
      </c>
      <c r="C39" s="2240">
        <f>'rNPV Assumptions_Obesity'!C69</f>
        <v>35</v>
      </c>
      <c r="F39" s="2238">
        <f>IF(SUM($E39:E39)=0,IF(F$22&gt;=$B39,$C39,0),0)</f>
        <v>0</v>
      </c>
      <c r="G39" s="2238">
        <f>IF(SUM($E39:F39)=0,IF(G$22&gt;=$B39,$C39,0),0)</f>
        <v>0</v>
      </c>
      <c r="H39" s="2238">
        <f>IF(SUM($E39:G39)=0,IF(H$22&gt;=$B39,$C39,0),0)</f>
        <v>0</v>
      </c>
      <c r="I39" s="2238">
        <f>IF(SUM($E39:H39)=0,IF(I$22&gt;=$B39,$C39,0),0)</f>
        <v>0</v>
      </c>
      <c r="J39" s="2238">
        <f>IF(SUM($E39:I39)=0,IF(J$22&gt;=$B39,$C39,0),0)</f>
        <v>0</v>
      </c>
      <c r="K39" s="2238">
        <f>IF(SUM($E39:J39)=0,IF(K$22&gt;=$B39,$C39,0),0)</f>
        <v>0</v>
      </c>
      <c r="L39" s="2238">
        <f>IF(SUM($E39:K39)=0,IF(L$22&gt;=$B39,$C39,0),0)</f>
        <v>0</v>
      </c>
      <c r="M39" s="2238">
        <f>IF(SUM($E39:L39)=0,IF(M$22&gt;=$B39,$C39,0),0)</f>
        <v>0</v>
      </c>
      <c r="N39" s="2238">
        <f>IF(SUM($E39:M39)=0,IF(N$22&gt;=$B39,$C39,0),0)</f>
        <v>0</v>
      </c>
      <c r="O39" s="2238">
        <f>IF(SUM($E39:N39)=0,IF(O$22&gt;=$B39,$C39,0),0)</f>
        <v>0</v>
      </c>
      <c r="P39" s="2238">
        <f>IF(SUM($E39:O39)=0,IF(P$22&gt;=$B39,$C39,0),0)</f>
        <v>0</v>
      </c>
      <c r="Q39" s="2238">
        <f>IF(SUM($E39:P39)=0,IF(Q$22&gt;=$B39,$C39,0),0)</f>
        <v>0</v>
      </c>
      <c r="R39" s="2238">
        <f>IF(SUM($E39:Q39)=0,IF(R$22&gt;=$B39,$C39,0),0)</f>
        <v>0</v>
      </c>
      <c r="S39" s="2238">
        <f>IF(SUM($E39:R39)=0,IF(S$22&gt;=$B39,$C39,0),0)</f>
        <v>0</v>
      </c>
      <c r="T39" s="2238">
        <f>IF(SUM($E39:S39)=0,IF(T$22&gt;=$B39,$C39,0),0)</f>
        <v>0</v>
      </c>
      <c r="U39" s="2238">
        <f>IF(SUM($E39:T39)=0,IF(U$22&gt;=$B39,$C39,0),0)</f>
        <v>0</v>
      </c>
      <c r="V39" s="2238">
        <f>IF(SUM($E39:U39)=0,IF(V$22&gt;=$B39,$C39,0),0)</f>
        <v>0</v>
      </c>
      <c r="W39" s="2238">
        <f>IF(SUM($E39:V39)=0,IF(W$22&gt;=$B39,$C39,0),0)</f>
        <v>0</v>
      </c>
      <c r="X39" s="2238">
        <f>IF(SUM($E39:W39)=0,IF(X$22&gt;=$B39,$C39,0),0)</f>
        <v>0</v>
      </c>
      <c r="Y39" s="2238">
        <f>IF(SUM($E39:X39)=0,IF(Y$22&gt;=$B39,$C39,0),0)</f>
        <v>0</v>
      </c>
      <c r="Z39" s="2238">
        <f>IF(SUM($E39:Y39)=0,IF(Z$22&gt;=$B39,$C39,0),0)</f>
        <v>0</v>
      </c>
      <c r="AA39" s="2238">
        <f>IF(SUM($E39:Z39)=0,IF(AA$22&gt;=$B39,$C39,0),0)</f>
        <v>0</v>
      </c>
      <c r="AB39" s="2238">
        <f>IF(SUM($E39:AA39)=0,IF(AB$22&gt;=$B39,$C39,0),0)</f>
        <v>0</v>
      </c>
      <c r="AC39" s="2238">
        <f>IF(SUM($E39:AB39)=0,IF(AC$22&gt;=$B39,$C39,0),0)</f>
        <v>0</v>
      </c>
      <c r="AD39" s="2238">
        <f>IF(SUM($E39:AC39)=0,IF(AD$22&gt;=$B39,$C39,0),0)</f>
        <v>0</v>
      </c>
      <c r="AE39" s="2238">
        <f>IF(SUM($E39:AD39)=0,IF(AE$22&gt;=$B39,$C39,0),0)</f>
        <v>0</v>
      </c>
      <c r="AF39" s="2238">
        <f>IF(SUM($E39:AE39)=0,IF(AF$22&gt;=$B39,$C39,0),0)</f>
        <v>0</v>
      </c>
      <c r="AG39" s="2238">
        <f>IF(SUM($E39:AF39)=0,IF(AG$22&gt;=$B39,$C39,0),0)</f>
        <v>0</v>
      </c>
    </row>
    <row r="40" spans="1:41">
      <c r="B40" s="2223" t="s">
        <v>4023</v>
      </c>
      <c r="AH40" s="720"/>
    </row>
    <row r="41" spans="1:41">
      <c r="B41" s="2473">
        <f>'rNPV Assumptions_Obesity'!C76</f>
        <v>500</v>
      </c>
      <c r="C41" s="2233">
        <f>'rNPV Assumptions_Obesity'!D76</f>
        <v>0.04</v>
      </c>
      <c r="F41" s="2238">
        <f t="shared" ref="F41:Q41" si="16">IF(F$22&gt;0,MIN(F$22,$B41)*$C41,0)</f>
        <v>0</v>
      </c>
      <c r="G41" s="2238">
        <f t="shared" si="16"/>
        <v>0</v>
      </c>
      <c r="H41" s="2238">
        <f t="shared" si="16"/>
        <v>0</v>
      </c>
      <c r="I41" s="2238">
        <f t="shared" si="16"/>
        <v>0</v>
      </c>
      <c r="J41" s="2238">
        <f t="shared" si="16"/>
        <v>0</v>
      </c>
      <c r="K41" s="2238">
        <f t="shared" si="16"/>
        <v>0</v>
      </c>
      <c r="L41" s="2238">
        <f t="shared" si="16"/>
        <v>0</v>
      </c>
      <c r="M41" s="2238">
        <f t="shared" si="16"/>
        <v>0</v>
      </c>
      <c r="N41" s="2238">
        <f t="shared" si="16"/>
        <v>0</v>
      </c>
      <c r="O41" s="2238">
        <f t="shared" si="16"/>
        <v>0</v>
      </c>
      <c r="P41" s="2238">
        <f t="shared" si="16"/>
        <v>0</v>
      </c>
      <c r="Q41" s="2238">
        <f t="shared" si="16"/>
        <v>0</v>
      </c>
      <c r="R41" s="2238">
        <f t="shared" ref="R41:AG41" si="17">IF(R$22&gt;0,MIN(R$22,$B41)*$C41,0)</f>
        <v>0</v>
      </c>
      <c r="S41" s="2238">
        <f t="shared" si="17"/>
        <v>0</v>
      </c>
      <c r="T41" s="2238">
        <f t="shared" si="17"/>
        <v>1.4337105681844411</v>
      </c>
      <c r="U41" s="2238">
        <f t="shared" si="17"/>
        <v>4.7596576179437093</v>
      </c>
      <c r="V41" s="2238">
        <f t="shared" si="17"/>
        <v>11.083240205452908</v>
      </c>
      <c r="W41" s="2238">
        <f t="shared" si="17"/>
        <v>18.916759794547094</v>
      </c>
      <c r="X41" s="2238">
        <f t="shared" si="17"/>
        <v>20</v>
      </c>
      <c r="Y41" s="2238">
        <f t="shared" si="17"/>
        <v>20</v>
      </c>
      <c r="Z41" s="2238">
        <f t="shared" si="17"/>
        <v>20</v>
      </c>
      <c r="AA41" s="2238">
        <f t="shared" si="17"/>
        <v>20</v>
      </c>
      <c r="AB41" s="2238">
        <f t="shared" si="17"/>
        <v>20</v>
      </c>
      <c r="AC41" s="2238">
        <f t="shared" si="17"/>
        <v>20</v>
      </c>
      <c r="AD41" s="2238">
        <f t="shared" si="17"/>
        <v>0</v>
      </c>
      <c r="AE41" s="2238">
        <f t="shared" si="17"/>
        <v>0</v>
      </c>
      <c r="AF41" s="2238">
        <f t="shared" si="17"/>
        <v>0</v>
      </c>
      <c r="AG41" s="2238">
        <f t="shared" si="17"/>
        <v>0</v>
      </c>
    </row>
    <row r="42" spans="1:41">
      <c r="B42" s="2473">
        <f>'rNPV Assumptions_Obesity'!C77</f>
        <v>1500</v>
      </c>
      <c r="C42" s="2233">
        <f>'rNPV Assumptions_Obesity'!D77</f>
        <v>0.05</v>
      </c>
      <c r="F42" s="2238">
        <f t="shared" ref="F42" si="18">IF(F$22&gt;$B41,MIN((F$22-$B41),($B42-$B41))*$C42,0)</f>
        <v>0</v>
      </c>
      <c r="G42" s="2238">
        <f t="shared" ref="G42" si="19">IF(G$22&gt;$B41,MIN((G$22-$B41),($B42-$B41))*$C42,0)</f>
        <v>0</v>
      </c>
      <c r="H42" s="2238">
        <f t="shared" ref="H42" si="20">IF(H$22&gt;$B41,MIN((H$22-$B41),($B42-$B41))*$C42,0)</f>
        <v>0</v>
      </c>
      <c r="I42" s="2238">
        <f t="shared" ref="I42:Q42" si="21">IF(I$22&gt;$B41,MIN((I$22-$B41),($B42-$B41))*$C42,0)</f>
        <v>0</v>
      </c>
      <c r="J42" s="2238">
        <f t="shared" si="21"/>
        <v>0</v>
      </c>
      <c r="K42" s="2238">
        <f t="shared" si="21"/>
        <v>0</v>
      </c>
      <c r="L42" s="2238">
        <f t="shared" si="21"/>
        <v>0</v>
      </c>
      <c r="M42" s="2238">
        <f t="shared" si="21"/>
        <v>0</v>
      </c>
      <c r="N42" s="2238">
        <f t="shared" si="21"/>
        <v>0</v>
      </c>
      <c r="O42" s="2238">
        <f t="shared" si="21"/>
        <v>0</v>
      </c>
      <c r="P42" s="2238">
        <f t="shared" si="21"/>
        <v>0</v>
      </c>
      <c r="Q42" s="2238">
        <f t="shared" si="21"/>
        <v>0</v>
      </c>
      <c r="R42" s="2238">
        <f t="shared" ref="R42:AG42" si="22">IF(R$22&gt;$B41,MIN((R$22-$B41),($B42-$B41))*$C42,0)</f>
        <v>0</v>
      </c>
      <c r="S42" s="2238">
        <f t="shared" si="22"/>
        <v>0</v>
      </c>
      <c r="T42" s="2238">
        <f t="shared" si="22"/>
        <v>0</v>
      </c>
      <c r="U42" s="2238">
        <f t="shared" si="22"/>
        <v>0</v>
      </c>
      <c r="V42" s="2238">
        <f t="shared" si="22"/>
        <v>0</v>
      </c>
      <c r="W42" s="2238">
        <f t="shared" si="22"/>
        <v>0</v>
      </c>
      <c r="X42" s="2238">
        <f t="shared" si="22"/>
        <v>6.5504279775703651</v>
      </c>
      <c r="Y42" s="2238">
        <f t="shared" si="22"/>
        <v>10.707861789769447</v>
      </c>
      <c r="Z42" s="2238">
        <f t="shared" si="22"/>
        <v>12.131925176425803</v>
      </c>
      <c r="AA42" s="2238">
        <f t="shared" si="22"/>
        <v>12.449378823813873</v>
      </c>
      <c r="AB42" s="2238">
        <f t="shared" si="22"/>
        <v>12.495392510376309</v>
      </c>
      <c r="AC42" s="2238">
        <f t="shared" si="22"/>
        <v>15.499702591334609</v>
      </c>
      <c r="AD42" s="2238">
        <f t="shared" si="22"/>
        <v>0</v>
      </c>
      <c r="AE42" s="2238">
        <f t="shared" si="22"/>
        <v>0</v>
      </c>
      <c r="AF42" s="2238">
        <f t="shared" si="22"/>
        <v>0</v>
      </c>
      <c r="AG42" s="2238">
        <f t="shared" si="22"/>
        <v>0</v>
      </c>
    </row>
    <row r="43" spans="1:41">
      <c r="B43" s="2474">
        <f>B42</f>
        <v>1500</v>
      </c>
      <c r="C43" s="2233">
        <f>'rNPV Assumptions_Obesity'!D78</f>
        <v>0.06</v>
      </c>
      <c r="F43" s="2238">
        <f t="shared" ref="F43" si="23">IF(F$22&gt;$B42,MIN((F$22-$B42),($B43-$B42))*$C43,0)</f>
        <v>0</v>
      </c>
      <c r="G43" s="2238">
        <f t="shared" ref="G43" si="24">IF(G$22&gt;$B42,MIN((G$22-$B42),($B43-$B42))*$C43,0)</f>
        <v>0</v>
      </c>
      <c r="H43" s="2238">
        <f t="shared" ref="H43" si="25">IF(H$22&gt;$B42,MIN((H$22-$B42),($B43-$B42))*$C43,0)</f>
        <v>0</v>
      </c>
      <c r="I43" s="2238">
        <f t="shared" ref="I43:Q43" si="26">IF(I$22&gt;$B42,MIN((I$22-$B42),($B43-$B42))*$C43,0)</f>
        <v>0</v>
      </c>
      <c r="J43" s="2238">
        <f t="shared" si="26"/>
        <v>0</v>
      </c>
      <c r="K43" s="2238">
        <f t="shared" si="26"/>
        <v>0</v>
      </c>
      <c r="L43" s="2238">
        <f t="shared" si="26"/>
        <v>0</v>
      </c>
      <c r="M43" s="2238">
        <f t="shared" si="26"/>
        <v>0</v>
      </c>
      <c r="N43" s="2238">
        <f t="shared" si="26"/>
        <v>0</v>
      </c>
      <c r="O43" s="2238">
        <f t="shared" si="26"/>
        <v>0</v>
      </c>
      <c r="P43" s="2238">
        <f t="shared" si="26"/>
        <v>0</v>
      </c>
      <c r="Q43" s="2238">
        <f t="shared" si="26"/>
        <v>0</v>
      </c>
      <c r="R43" s="2238">
        <f t="shared" ref="R43" si="27">IF(R$22&gt;$B42,MIN((R$22-$B42),($B43-$B42))*$C43,0)</f>
        <v>0</v>
      </c>
      <c r="S43" s="2238">
        <f>IF(S$22&gt;$B42,(S$22-$B42)*$C43,0)</f>
        <v>0</v>
      </c>
      <c r="T43" s="2238">
        <f t="shared" ref="T43:AG43" si="28">IF(T$22&gt;$B42,(T$22-$B42)*$C43,0)</f>
        <v>0</v>
      </c>
      <c r="U43" s="2238">
        <f t="shared" si="28"/>
        <v>0</v>
      </c>
      <c r="V43" s="2238">
        <f t="shared" si="28"/>
        <v>0</v>
      </c>
      <c r="W43" s="2238">
        <f t="shared" si="28"/>
        <v>0</v>
      </c>
      <c r="X43" s="2238">
        <f t="shared" si="28"/>
        <v>0</v>
      </c>
      <c r="Y43" s="2238">
        <f t="shared" si="28"/>
        <v>0</v>
      </c>
      <c r="Z43" s="2238">
        <f t="shared" si="28"/>
        <v>0</v>
      </c>
      <c r="AA43" s="2238">
        <f t="shared" si="28"/>
        <v>0</v>
      </c>
      <c r="AB43" s="2238">
        <f t="shared" si="28"/>
        <v>0</v>
      </c>
      <c r="AC43" s="2238">
        <f t="shared" si="28"/>
        <v>0</v>
      </c>
      <c r="AD43" s="2238">
        <f t="shared" si="28"/>
        <v>0</v>
      </c>
      <c r="AE43" s="2238">
        <f t="shared" si="28"/>
        <v>0</v>
      </c>
      <c r="AF43" s="2238">
        <f t="shared" si="28"/>
        <v>0</v>
      </c>
      <c r="AG43" s="2238">
        <f t="shared" si="28"/>
        <v>0</v>
      </c>
    </row>
    <row r="44" spans="1:41" s="1984" customFormat="1" ht="12.75" customHeight="1">
      <c r="A44" s="720"/>
      <c r="B44" s="3179" t="s">
        <v>4380</v>
      </c>
      <c r="C44" s="1171"/>
      <c r="D44" s="720"/>
      <c r="E44" s="720"/>
      <c r="F44" s="2289">
        <f>SUM(F37:F43)</f>
        <v>0</v>
      </c>
      <c r="G44" s="2289">
        <f t="shared" ref="G44:AG44" si="29">SUM(G37:G43)</f>
        <v>0</v>
      </c>
      <c r="H44" s="2289">
        <f t="shared" si="29"/>
        <v>0</v>
      </c>
      <c r="I44" s="2289">
        <f t="shared" si="29"/>
        <v>0</v>
      </c>
      <c r="J44" s="2289">
        <f t="shared" si="29"/>
        <v>0</v>
      </c>
      <c r="K44" s="2289">
        <f t="shared" si="29"/>
        <v>0</v>
      </c>
      <c r="L44" s="2289">
        <f t="shared" si="29"/>
        <v>0</v>
      </c>
      <c r="M44" s="2289">
        <f t="shared" si="29"/>
        <v>0</v>
      </c>
      <c r="N44" s="2289">
        <f t="shared" si="29"/>
        <v>0</v>
      </c>
      <c r="O44" s="2289">
        <f t="shared" si="29"/>
        <v>0</v>
      </c>
      <c r="P44" s="2289">
        <f t="shared" si="29"/>
        <v>0</v>
      </c>
      <c r="Q44" s="2289">
        <f t="shared" si="29"/>
        <v>0</v>
      </c>
      <c r="R44" s="2289">
        <f t="shared" si="29"/>
        <v>0</v>
      </c>
      <c r="S44" s="2289">
        <f t="shared" si="29"/>
        <v>0</v>
      </c>
      <c r="T44" s="2289">
        <f t="shared" si="29"/>
        <v>1.4337105681844411</v>
      </c>
      <c r="U44" s="2289">
        <f t="shared" si="29"/>
        <v>4.7596576179437093</v>
      </c>
      <c r="V44" s="2289">
        <f t="shared" si="29"/>
        <v>11.083240205452908</v>
      </c>
      <c r="W44" s="2289">
        <f t="shared" si="29"/>
        <v>18.916759794547094</v>
      </c>
      <c r="X44" s="2289">
        <f t="shared" si="29"/>
        <v>36.550427977570365</v>
      </c>
      <c r="Y44" s="2289">
        <f t="shared" si="29"/>
        <v>30.707861789769446</v>
      </c>
      <c r="Z44" s="2289">
        <f t="shared" si="29"/>
        <v>32.131925176425803</v>
      </c>
      <c r="AA44" s="2289">
        <f t="shared" si="29"/>
        <v>32.449378823813873</v>
      </c>
      <c r="AB44" s="2289">
        <f t="shared" si="29"/>
        <v>32.495392510376305</v>
      </c>
      <c r="AC44" s="2289">
        <f t="shared" si="29"/>
        <v>35.499702591334611</v>
      </c>
      <c r="AD44" s="2289">
        <f t="shared" si="29"/>
        <v>0</v>
      </c>
      <c r="AE44" s="2289">
        <f t="shared" si="29"/>
        <v>0</v>
      </c>
      <c r="AF44" s="2289">
        <f t="shared" si="29"/>
        <v>0</v>
      </c>
      <c r="AG44" s="2289">
        <f t="shared" si="29"/>
        <v>0</v>
      </c>
      <c r="AI44" s="720"/>
      <c r="AJ44" s="720"/>
      <c r="AK44" s="720"/>
      <c r="AL44" s="720"/>
      <c r="AM44" s="720"/>
      <c r="AN44" s="720"/>
      <c r="AO44" s="720"/>
    </row>
    <row r="45" spans="1:41" s="1984" customFormat="1" ht="8.1" customHeight="1">
      <c r="A45" s="720"/>
      <c r="B45" s="2157"/>
      <c r="C45" s="1171"/>
      <c r="D45" s="720"/>
      <c r="E45" s="720"/>
      <c r="F45" s="720"/>
      <c r="G45" s="720"/>
      <c r="H45" s="720"/>
      <c r="I45" s="720"/>
      <c r="J45" s="720"/>
      <c r="K45" s="720"/>
      <c r="L45" s="720"/>
      <c r="M45" s="720"/>
      <c r="N45" s="720"/>
      <c r="O45" s="720"/>
      <c r="P45" s="720"/>
      <c r="Q45" s="720"/>
      <c r="R45" s="720"/>
      <c r="S45" s="720"/>
      <c r="T45" s="720"/>
      <c r="U45" s="720"/>
      <c r="V45" s="720"/>
      <c r="W45" s="720"/>
      <c r="X45" s="720"/>
      <c r="Y45" s="720"/>
      <c r="Z45" s="720"/>
      <c r="AA45" s="720"/>
      <c r="AB45" s="720"/>
      <c r="AC45" s="720"/>
      <c r="AD45" s="720"/>
      <c r="AE45" s="720"/>
      <c r="AF45" s="720"/>
      <c r="AG45" s="720"/>
      <c r="AI45" s="720"/>
      <c r="AJ45" s="720"/>
      <c r="AK45" s="720"/>
      <c r="AL45" s="720"/>
      <c r="AM45" s="720"/>
      <c r="AN45" s="720"/>
      <c r="AO45" s="720"/>
    </row>
    <row r="46" spans="1:41" s="1984" customFormat="1">
      <c r="A46" s="720"/>
      <c r="B46" s="2232" t="s">
        <v>2843</v>
      </c>
      <c r="C46" s="720"/>
      <c r="D46" s="720"/>
      <c r="E46" s="720"/>
      <c r="F46" s="2235">
        <f>IFERROR(IF(VLOOKUP(F9,'rNPV Assumptions_Obesity'!$B$21:$F$30,COLUMNS('rNPV Assumptions_Obesity'!$B$21:$F$21),FALSE)="NA",0,VLOOKUP(F9,'rNPV Assumptions_Obesity'!$B$21:$F$30,COLUMNS('rNPV Assumptions_Obesity'!$B$21:$F$21),FALSE)),0%)</f>
        <v>0</v>
      </c>
      <c r="G46" s="2235">
        <f>IFERROR(IF(VLOOKUP(G9,'rNPV Assumptions_Obesity'!$B$21:$F$30,COLUMNS('rNPV Assumptions_Obesity'!$B$21:$F$21),FALSE)="NA",0,VLOOKUP(G9,'rNPV Assumptions_Obesity'!$B$21:$F$30,COLUMNS('rNPV Assumptions_Obesity'!$B$21:$F$21),FALSE)),0%)</f>
        <v>0</v>
      </c>
      <c r="H46" s="2235">
        <f>IFERROR(IF(VLOOKUP(H9,'rNPV Assumptions_Obesity'!$B$21:$F$30,COLUMNS('rNPV Assumptions_Obesity'!$B$21:$F$21),FALSE)="NA",0,VLOOKUP(H9,'rNPV Assumptions_Obesity'!$B$21:$F$30,COLUMNS('rNPV Assumptions_Obesity'!$B$21:$F$21),FALSE)),0%)</f>
        <v>0</v>
      </c>
      <c r="I46" s="2235">
        <f>IFERROR(IF(VLOOKUP(I9,'rNPV Assumptions_Obesity'!$B$21:$F$30,COLUMNS('rNPV Assumptions_Obesity'!$B$21:$F$21),FALSE)="NA",0,VLOOKUP(I9,'rNPV Assumptions_Obesity'!$B$21:$F$30,COLUMNS('rNPV Assumptions_Obesity'!$B$21:$F$21),FALSE)),0%)</f>
        <v>0</v>
      </c>
      <c r="J46" s="2235">
        <f>IFERROR(IF(VLOOKUP(J9,'rNPV Assumptions_Obesity'!$B$21:$F$30,COLUMNS('rNPV Assumptions_Obesity'!$B$21:$F$21),FALSE)="NA",0,VLOOKUP(J9,'rNPV Assumptions_Obesity'!$B$21:$F$30,COLUMNS('rNPV Assumptions_Obesity'!$B$21:$F$21),FALSE)),0%)</f>
        <v>4.725E-2</v>
      </c>
      <c r="K46" s="2235">
        <f>IFERROR(IF(VLOOKUP(K9,'rNPV Assumptions_Obesity'!$B$21:$F$30,COLUMNS('rNPV Assumptions_Obesity'!$B$21:$F$21),FALSE)="NA",0,VLOOKUP(K9,'rNPV Assumptions_Obesity'!$B$21:$F$30,COLUMNS('rNPV Assumptions_Obesity'!$B$21:$F$21),FALSE)),0%)</f>
        <v>3.3075E-2</v>
      </c>
      <c r="L46" s="2235">
        <f>IFERROR(IF(VLOOKUP(L9,'rNPV Assumptions_Obesity'!$B$21:$F$30,COLUMNS('rNPV Assumptions_Obesity'!$B$21:$F$21),FALSE)="NA",0,VLOOKUP(L9,'rNPV Assumptions_Obesity'!$B$21:$F$30,COLUMNS('rNPV Assumptions_Obesity'!$B$21:$F$21),FALSE)),0%)</f>
        <v>1.2899250000000003E-2</v>
      </c>
      <c r="M46" s="2235">
        <f>IFERROR(IF(VLOOKUP(M9,'rNPV Assumptions_Obesity'!$B$21:$F$30,COLUMNS('rNPV Assumptions_Obesity'!$B$21:$F$21),FALSE)="NA",0,VLOOKUP(M9,'rNPV Assumptions_Obesity'!$B$21:$F$30,COLUMNS('rNPV Assumptions_Obesity'!$B$21:$F$21),FALSE)),0%)</f>
        <v>1.2899250000000003E-2</v>
      </c>
      <c r="N46" s="2235">
        <f>IFERROR(IF(VLOOKUP(N9,'rNPV Assumptions_Obesity'!$B$21:$F$30,COLUMNS('rNPV Assumptions_Obesity'!$B$21:$F$21),FALSE)="NA",0,VLOOKUP(N9,'rNPV Assumptions_Obesity'!$B$21:$F$30,COLUMNS('rNPV Assumptions_Obesity'!$B$21:$F$21),FALSE)),0%)</f>
        <v>5.804662500000001E-3</v>
      </c>
      <c r="O46" s="2235">
        <f>IFERROR(IF(VLOOKUP(O9,'rNPV Assumptions_Obesity'!$B$21:$F$30,COLUMNS('rNPV Assumptions_Obesity'!$B$21:$F$21),FALSE)="NA",0,VLOOKUP(O9,'rNPV Assumptions_Obesity'!$B$21:$F$30,COLUMNS('rNPV Assumptions_Obesity'!$B$21:$F$21),FALSE)),0%)</f>
        <v>5.804662500000001E-3</v>
      </c>
      <c r="P46" s="2235">
        <f>IFERROR(IF(VLOOKUP(P9,'rNPV Assumptions_Obesity'!$B$21:$F$30,COLUMNS('rNPV Assumptions_Obesity'!$B$21:$F$21),FALSE)="NA",0,VLOOKUP(P9,'rNPV Assumptions_Obesity'!$B$21:$F$30,COLUMNS('rNPV Assumptions_Obesity'!$B$21:$F$21),FALSE)),0%)</f>
        <v>3.4827975000000003E-3</v>
      </c>
      <c r="Q46" s="2235">
        <f>IFERROR(IF(VLOOKUP(Q9,'rNPV Assumptions_Obesity'!$B$21:$F$30,COLUMNS('rNPV Assumptions_Obesity'!$B$21:$F$21),FALSE)="NA",0,VLOOKUP(Q9,'rNPV Assumptions_Obesity'!$B$21:$F$30,COLUMNS('rNPV Assumptions_Obesity'!$B$21:$F$21),FALSE)),0%)</f>
        <v>3.4827975000000003E-3</v>
      </c>
      <c r="R46" s="2235">
        <f>IFERROR(IF(VLOOKUP(R9,'rNPV Assumptions_Obesity'!$B$21:$F$30,COLUMNS('rNPV Assumptions_Obesity'!$B$21:$F$21),FALSE)="NA",0,VLOOKUP(R9,'rNPV Assumptions_Obesity'!$B$21:$F$30,COLUMNS('rNPV Assumptions_Obesity'!$B$21:$F$21),FALSE)),0%)</f>
        <v>3.4827975000000003E-3</v>
      </c>
      <c r="S46" s="2235">
        <f>IFERROR(IF(VLOOKUP(S9,'rNPV Assumptions_Obesity'!$B$21:$F$30,COLUMNS('rNPV Assumptions_Obesity'!$B$21:$F$21),FALSE)="NA",0,VLOOKUP(S9,'rNPV Assumptions_Obesity'!$B$21:$F$30,COLUMNS('rNPV Assumptions_Obesity'!$B$21:$F$21),FALSE)),0%)</f>
        <v>2.6120981250000001E-3</v>
      </c>
      <c r="T46" s="2235">
        <f>IFERROR(IF(VLOOKUP(T9,'rNPV Assumptions_Obesity'!$B$21:$F$30,COLUMNS('rNPV Assumptions_Obesity'!$B$21:$F$21),FALSE)="NA",0,VLOOKUP(T9,'rNPV Assumptions_Obesity'!$B$21:$F$30,COLUMNS('rNPV Assumptions_Obesity'!$B$21:$F$21),FALSE)),0%)</f>
        <v>2.6120981250000001E-3</v>
      </c>
      <c r="U46" s="2235">
        <f>IFERROR(IF(VLOOKUP(U9,'rNPV Assumptions_Obesity'!$B$21:$F$30,COLUMNS('rNPV Assumptions_Obesity'!$B$21:$F$21),FALSE)="NA",0,VLOOKUP(U9,'rNPV Assumptions_Obesity'!$B$21:$F$30,COLUMNS('rNPV Assumptions_Obesity'!$B$21:$F$21),FALSE)),0%)</f>
        <v>2.6120981250000001E-3</v>
      </c>
      <c r="V46" s="2235">
        <f>IFERROR(IF(VLOOKUP(V9,'rNPV Assumptions_Obesity'!$B$21:$F$30,COLUMNS('rNPV Assumptions_Obesity'!$B$21:$F$21),FALSE)="NA",0,VLOOKUP(V9,'rNPV Assumptions_Obesity'!$B$21:$F$30,COLUMNS('rNPV Assumptions_Obesity'!$B$21:$F$21),FALSE)),0%)</f>
        <v>2.6120981250000001E-3</v>
      </c>
      <c r="W46" s="2235">
        <f>IFERROR(IF(VLOOKUP(W9,'rNPV Assumptions_Obesity'!$B$21:$F$30,COLUMNS('rNPV Assumptions_Obesity'!$B$21:$F$21),FALSE)="NA",0,VLOOKUP(W9,'rNPV Assumptions_Obesity'!$B$21:$F$30,COLUMNS('rNPV Assumptions_Obesity'!$B$21:$F$21),FALSE)),0%)</f>
        <v>2.6120981250000001E-3</v>
      </c>
      <c r="X46" s="2235">
        <f>IFERROR(IF(VLOOKUP(X9,'rNPV Assumptions_Obesity'!$B$21:$F$30,COLUMNS('rNPV Assumptions_Obesity'!$B$21:$F$21),FALSE)="NA",0,VLOOKUP(X9,'rNPV Assumptions_Obesity'!$B$21:$F$30,COLUMNS('rNPV Assumptions_Obesity'!$B$21:$F$21),FALSE)),0%)</f>
        <v>2.6120981250000001E-3</v>
      </c>
      <c r="Y46" s="2235">
        <f>IFERROR(IF(VLOOKUP(Y9,'rNPV Assumptions_Obesity'!$B$21:$F$30,COLUMNS('rNPV Assumptions_Obesity'!$B$21:$F$21),FALSE)="NA",0,VLOOKUP(Y9,'rNPV Assumptions_Obesity'!$B$21:$F$30,COLUMNS('rNPV Assumptions_Obesity'!$B$21:$F$21),FALSE)),0%)</f>
        <v>2.6120981250000001E-3</v>
      </c>
      <c r="Z46" s="2235">
        <f>IFERROR(IF(VLOOKUP(Z9,'rNPV Assumptions_Obesity'!$B$21:$F$30,COLUMNS('rNPV Assumptions_Obesity'!$B$21:$F$21),FALSE)="NA",0,VLOOKUP(Z9,'rNPV Assumptions_Obesity'!$B$21:$F$30,COLUMNS('rNPV Assumptions_Obesity'!$B$21:$F$21),FALSE)),0%)</f>
        <v>2.6120981250000001E-3</v>
      </c>
      <c r="AA46" s="2235">
        <f>IFERROR(IF(VLOOKUP(AA9,'rNPV Assumptions_Obesity'!$B$21:$F$30,COLUMNS('rNPV Assumptions_Obesity'!$B$21:$F$21),FALSE)="NA",0,VLOOKUP(AA9,'rNPV Assumptions_Obesity'!$B$21:$F$30,COLUMNS('rNPV Assumptions_Obesity'!$B$21:$F$21),FALSE)),0%)</f>
        <v>2.6120981250000001E-3</v>
      </c>
      <c r="AB46" s="2235">
        <f>IFERROR(IF(VLOOKUP(AB9,'rNPV Assumptions_Obesity'!$B$21:$F$30,COLUMNS('rNPV Assumptions_Obesity'!$B$21:$F$21),FALSE)="NA",0,VLOOKUP(AB9,'rNPV Assumptions_Obesity'!$B$21:$F$30,COLUMNS('rNPV Assumptions_Obesity'!$B$21:$F$21),FALSE)),0%)</f>
        <v>2.6120981250000001E-3</v>
      </c>
      <c r="AC46" s="2235">
        <f>IFERROR(IF(VLOOKUP(AC9,'rNPV Assumptions_Obesity'!$B$21:$F$30,COLUMNS('rNPV Assumptions_Obesity'!$B$21:$F$21),FALSE)="NA",0,VLOOKUP(AC9,'rNPV Assumptions_Obesity'!$B$21:$F$30,COLUMNS('rNPV Assumptions_Obesity'!$B$21:$F$21),FALSE)),0%)</f>
        <v>2.6120981250000001E-3</v>
      </c>
      <c r="AD46" s="2235">
        <f>IFERROR(IF(VLOOKUP(AD9,'rNPV Assumptions_Obesity'!$B$21:$F$30,COLUMNS('rNPV Assumptions_Obesity'!$B$21:$F$21),FALSE)="NA",0,VLOOKUP(AD9,'rNPV Assumptions_Obesity'!$B$21:$F$30,COLUMNS('rNPV Assumptions_Obesity'!$B$21:$F$21),FALSE)),0%)</f>
        <v>0</v>
      </c>
      <c r="AE46" s="2235">
        <f>IFERROR(IF(VLOOKUP(AE9,'rNPV Assumptions_Obesity'!$B$21:$F$30,COLUMNS('rNPV Assumptions_Obesity'!$B$21:$F$21),FALSE)="NA",0,VLOOKUP(AE9,'rNPV Assumptions_Obesity'!$B$21:$F$30,COLUMNS('rNPV Assumptions_Obesity'!$B$21:$F$21),FALSE)),0%)</f>
        <v>0</v>
      </c>
      <c r="AF46" s="2235">
        <f>IFERROR(IF(VLOOKUP(AF9,'rNPV Assumptions_Obesity'!$B$21:$F$30,COLUMNS('rNPV Assumptions_Obesity'!$B$21:$F$21),FALSE)="NA",0,VLOOKUP(AF9,'rNPV Assumptions_Obesity'!$B$21:$F$30,COLUMNS('rNPV Assumptions_Obesity'!$B$21:$F$21),FALSE)),0%)</f>
        <v>0</v>
      </c>
      <c r="AG46" s="2235">
        <f>IFERROR(IF(VLOOKUP(AG9,'rNPV Assumptions_Obesity'!$B$21:$F$30,COLUMNS('rNPV Assumptions_Obesity'!$B$21:$F$21),FALSE)="NA",0,VLOOKUP(AG9,'rNPV Assumptions_Obesity'!$B$21:$F$30,COLUMNS('rNPV Assumptions_Obesity'!$B$21:$F$21),FALSE)),0%)</f>
        <v>0</v>
      </c>
      <c r="AI46" s="720"/>
      <c r="AJ46" s="720"/>
      <c r="AK46" s="720"/>
      <c r="AL46" s="720"/>
      <c r="AM46" s="720"/>
      <c r="AN46" s="720"/>
      <c r="AO46" s="720"/>
    </row>
    <row r="47" spans="1:41" s="1984" customFormat="1">
      <c r="A47" s="720"/>
      <c r="B47" s="2223" t="s">
        <v>4378</v>
      </c>
      <c r="C47" s="720"/>
      <c r="D47" s="720"/>
      <c r="E47" s="720"/>
      <c r="F47" s="2241">
        <f t="shared" ref="F47" si="30">F44*F46</f>
        <v>0</v>
      </c>
      <c r="G47" s="2241">
        <f t="shared" ref="G47" si="31">G44*G46</f>
        <v>0</v>
      </c>
      <c r="H47" s="2241">
        <f t="shared" ref="H47" si="32">H44*H46</f>
        <v>0</v>
      </c>
      <c r="I47" s="2241">
        <f t="shared" ref="I47:Q47" si="33">I44*I46</f>
        <v>0</v>
      </c>
      <c r="J47" s="2241">
        <f t="shared" si="33"/>
        <v>0</v>
      </c>
      <c r="K47" s="2241">
        <f t="shared" si="33"/>
        <v>0</v>
      </c>
      <c r="L47" s="2241">
        <f t="shared" si="33"/>
        <v>0</v>
      </c>
      <c r="M47" s="2241">
        <f t="shared" si="33"/>
        <v>0</v>
      </c>
      <c r="N47" s="2241">
        <f t="shared" si="33"/>
        <v>0</v>
      </c>
      <c r="O47" s="2241">
        <f t="shared" si="33"/>
        <v>0</v>
      </c>
      <c r="P47" s="2241">
        <f t="shared" si="33"/>
        <v>0</v>
      </c>
      <c r="Q47" s="2241">
        <f t="shared" si="33"/>
        <v>0</v>
      </c>
      <c r="R47" s="2241">
        <f t="shared" ref="R47:AG47" si="34">R44*R46</f>
        <v>0</v>
      </c>
      <c r="S47" s="2241">
        <f t="shared" si="34"/>
        <v>0</v>
      </c>
      <c r="T47" s="2241">
        <f t="shared" si="34"/>
        <v>3.7449926869472633E-3</v>
      </c>
      <c r="U47" s="2241">
        <f t="shared" si="34"/>
        <v>1.243269273947273E-2</v>
      </c>
      <c r="V47" s="2241">
        <f t="shared" si="34"/>
        <v>2.8950510959588158E-2</v>
      </c>
      <c r="W47" s="2241">
        <f t="shared" si="34"/>
        <v>4.9412432790411853E-2</v>
      </c>
      <c r="X47" s="2241">
        <f t="shared" si="34"/>
        <v>9.5473304388159097E-2</v>
      </c>
      <c r="Y47" s="2241">
        <f t="shared" si="34"/>
        <v>8.0211948203815914E-2</v>
      </c>
      <c r="Z47" s="2241">
        <f t="shared" si="34"/>
        <v>8.3931741505982135E-2</v>
      </c>
      <c r="AA47" s="2241">
        <f t="shared" si="34"/>
        <v>8.4760961583098926E-2</v>
      </c>
      <c r="AB47" s="2241">
        <f t="shared" si="34"/>
        <v>8.4881153847492993E-2</v>
      </c>
      <c r="AC47" s="2241">
        <f t="shared" si="34"/>
        <v>9.2728706576882786E-2</v>
      </c>
      <c r="AD47" s="2241">
        <f t="shared" si="34"/>
        <v>0</v>
      </c>
      <c r="AE47" s="2241">
        <f t="shared" si="34"/>
        <v>0</v>
      </c>
      <c r="AF47" s="2241">
        <f t="shared" si="34"/>
        <v>0</v>
      </c>
      <c r="AG47" s="2241">
        <f t="shared" si="34"/>
        <v>0</v>
      </c>
      <c r="AI47" s="720"/>
      <c r="AJ47" s="720"/>
      <c r="AK47" s="720"/>
      <c r="AL47" s="720"/>
      <c r="AM47" s="720"/>
      <c r="AN47" s="720"/>
      <c r="AO47" s="720"/>
    </row>
    <row r="48" spans="1:41" s="1984" customFormat="1" ht="8.1" customHeight="1">
      <c r="A48" s="720"/>
      <c r="B48" s="720"/>
      <c r="C48" s="720"/>
      <c r="D48" s="720"/>
      <c r="E48" s="720"/>
      <c r="F48" s="720"/>
      <c r="G48" s="720"/>
      <c r="H48" s="720"/>
      <c r="I48" s="720"/>
      <c r="J48" s="720"/>
      <c r="K48" s="720"/>
      <c r="L48" s="720"/>
      <c r="M48" s="720"/>
      <c r="N48" s="720"/>
      <c r="O48" s="720"/>
      <c r="P48" s="720"/>
      <c r="Q48" s="720"/>
      <c r="R48" s="720"/>
      <c r="S48" s="720"/>
      <c r="T48" s="720"/>
      <c r="U48" s="720"/>
      <c r="V48" s="720"/>
      <c r="W48" s="720"/>
      <c r="X48" s="720"/>
      <c r="Y48" s="720"/>
      <c r="Z48" s="720"/>
      <c r="AA48" s="720"/>
      <c r="AB48" s="720"/>
      <c r="AC48" s="720"/>
      <c r="AD48" s="720"/>
      <c r="AE48" s="720"/>
      <c r="AF48" s="720"/>
      <c r="AG48" s="720"/>
      <c r="AI48" s="720"/>
      <c r="AJ48" s="720"/>
      <c r="AK48" s="720"/>
      <c r="AL48" s="720"/>
      <c r="AM48" s="720"/>
      <c r="AN48" s="720"/>
      <c r="AO48" s="720"/>
    </row>
    <row r="49" spans="1:44" s="1984" customFormat="1">
      <c r="A49" s="720"/>
      <c r="B49" s="2223" t="s">
        <v>4374</v>
      </c>
      <c r="C49" s="720"/>
      <c r="D49" s="720"/>
      <c r="E49" s="720"/>
      <c r="F49" s="2245">
        <f>+F29+F34+F47</f>
        <v>0</v>
      </c>
      <c r="G49" s="2245">
        <f t="shared" ref="G49:AG49" si="35">+G29+G34+G47</f>
        <v>0</v>
      </c>
      <c r="H49" s="2245">
        <f t="shared" si="35"/>
        <v>0</v>
      </c>
      <c r="I49" s="2245">
        <f t="shared" si="35"/>
        <v>0</v>
      </c>
      <c r="J49" s="2245">
        <f t="shared" si="35"/>
        <v>0.30712499999999998</v>
      </c>
      <c r="K49" s="2245">
        <f t="shared" si="35"/>
        <v>9.9225000000000008E-2</v>
      </c>
      <c r="L49" s="2245">
        <f t="shared" si="35"/>
        <v>6.4496250000000019E-2</v>
      </c>
      <c r="M49" s="2245">
        <f t="shared" si="35"/>
        <v>0</v>
      </c>
      <c r="N49" s="2245">
        <f t="shared" si="35"/>
        <v>4.0632637500000006E-2</v>
      </c>
      <c r="O49" s="2245">
        <f t="shared" si="35"/>
        <v>0</v>
      </c>
      <c r="P49" s="2245">
        <f t="shared" si="35"/>
        <v>3.1345177500000002E-2</v>
      </c>
      <c r="Q49" s="2245">
        <f t="shared" si="35"/>
        <v>0</v>
      </c>
      <c r="R49" s="2245">
        <f t="shared" si="35"/>
        <v>0</v>
      </c>
      <c r="S49" s="2245">
        <f t="shared" si="35"/>
        <v>8.0975041875000001E-2</v>
      </c>
      <c r="T49" s="2245">
        <f t="shared" si="35"/>
        <v>3.7449926869472633E-3</v>
      </c>
      <c r="U49" s="2245">
        <f t="shared" si="35"/>
        <v>1.243269273947273E-2</v>
      </c>
      <c r="V49" s="2245">
        <f t="shared" si="35"/>
        <v>2.8950510959588158E-2</v>
      </c>
      <c r="W49" s="2245">
        <f t="shared" si="35"/>
        <v>4.9412432790411853E-2</v>
      </c>
      <c r="X49" s="2245">
        <f t="shared" si="35"/>
        <v>9.5473304388159097E-2</v>
      </c>
      <c r="Y49" s="2245">
        <f t="shared" si="35"/>
        <v>8.0211948203815914E-2</v>
      </c>
      <c r="Z49" s="2245">
        <f t="shared" si="35"/>
        <v>8.3931741505982135E-2</v>
      </c>
      <c r="AA49" s="2245">
        <f t="shared" si="35"/>
        <v>8.4760961583098926E-2</v>
      </c>
      <c r="AB49" s="2245">
        <f t="shared" si="35"/>
        <v>8.4881153847492993E-2</v>
      </c>
      <c r="AC49" s="2245">
        <f t="shared" si="35"/>
        <v>9.2728706576882786E-2</v>
      </c>
      <c r="AD49" s="2245">
        <f t="shared" si="35"/>
        <v>0</v>
      </c>
      <c r="AE49" s="2245">
        <f t="shared" si="35"/>
        <v>0</v>
      </c>
      <c r="AF49" s="2245">
        <f t="shared" si="35"/>
        <v>0</v>
      </c>
      <c r="AG49" s="2245">
        <f t="shared" si="35"/>
        <v>0</v>
      </c>
      <c r="AI49" s="720"/>
      <c r="AJ49" s="720"/>
      <c r="AK49" s="720"/>
      <c r="AL49" s="720"/>
      <c r="AM49" s="720"/>
      <c r="AN49" s="720"/>
      <c r="AO49" s="720"/>
    </row>
    <row r="50" spans="1:44" s="1984" customFormat="1" ht="8.1" customHeight="1">
      <c r="A50" s="720"/>
      <c r="B50" s="720"/>
      <c r="C50" s="720"/>
      <c r="D50" s="720"/>
      <c r="E50" s="720"/>
      <c r="F50" s="720"/>
      <c r="G50" s="720"/>
      <c r="H50" s="720"/>
      <c r="I50" s="720"/>
      <c r="J50" s="720"/>
      <c r="K50" s="720"/>
      <c r="L50" s="720"/>
      <c r="M50" s="720"/>
      <c r="N50" s="720"/>
      <c r="O50" s="720"/>
      <c r="P50" s="720"/>
      <c r="Q50" s="720"/>
      <c r="R50" s="720"/>
      <c r="S50" s="720"/>
      <c r="T50" s="720"/>
      <c r="U50" s="720"/>
      <c r="V50" s="720"/>
      <c r="W50" s="720"/>
      <c r="X50" s="720"/>
      <c r="Y50" s="720"/>
      <c r="Z50" s="720"/>
      <c r="AA50" s="720"/>
      <c r="AB50" s="720"/>
      <c r="AC50" s="720"/>
      <c r="AD50" s="720"/>
      <c r="AE50" s="720"/>
      <c r="AF50" s="720"/>
      <c r="AG50" s="720"/>
      <c r="AI50" s="720"/>
      <c r="AJ50" s="720"/>
      <c r="AK50" s="720"/>
      <c r="AL50" s="720"/>
      <c r="AM50" s="720"/>
      <c r="AN50" s="720"/>
      <c r="AO50" s="720"/>
    </row>
    <row r="51" spans="1:44" s="1984" customFormat="1">
      <c r="A51" s="720"/>
      <c r="B51" s="2157" t="s">
        <v>2845</v>
      </c>
      <c r="C51" s="720"/>
      <c r="D51" s="720"/>
      <c r="E51" s="720"/>
      <c r="F51" s="2242">
        <f>+F8-0.5</f>
        <v>0.5</v>
      </c>
      <c r="G51" s="2242">
        <f>+F51*2+0.5</f>
        <v>1.5</v>
      </c>
      <c r="H51" s="2242">
        <f>+G51+1</f>
        <v>2.5</v>
      </c>
      <c r="I51" s="2242">
        <f t="shared" ref="I51:AG51" si="36">+H51+1</f>
        <v>3.5</v>
      </c>
      <c r="J51" s="2242">
        <f t="shared" si="36"/>
        <v>4.5</v>
      </c>
      <c r="K51" s="2242">
        <f t="shared" si="36"/>
        <v>5.5</v>
      </c>
      <c r="L51" s="2242">
        <f t="shared" si="36"/>
        <v>6.5</v>
      </c>
      <c r="M51" s="2242">
        <f t="shared" si="36"/>
        <v>7.5</v>
      </c>
      <c r="N51" s="2242">
        <f t="shared" si="36"/>
        <v>8.5</v>
      </c>
      <c r="O51" s="2242">
        <f t="shared" si="36"/>
        <v>9.5</v>
      </c>
      <c r="P51" s="2242">
        <f t="shared" si="36"/>
        <v>10.5</v>
      </c>
      <c r="Q51" s="2242">
        <f t="shared" si="36"/>
        <v>11.5</v>
      </c>
      <c r="R51" s="2242">
        <f t="shared" si="36"/>
        <v>12.5</v>
      </c>
      <c r="S51" s="2242">
        <f t="shared" si="36"/>
        <v>13.5</v>
      </c>
      <c r="T51" s="2242">
        <f t="shared" si="36"/>
        <v>14.5</v>
      </c>
      <c r="U51" s="2242">
        <f t="shared" si="36"/>
        <v>15.5</v>
      </c>
      <c r="V51" s="2242">
        <f t="shared" si="36"/>
        <v>16.5</v>
      </c>
      <c r="W51" s="2242">
        <f t="shared" si="36"/>
        <v>17.5</v>
      </c>
      <c r="X51" s="2242">
        <f t="shared" si="36"/>
        <v>18.5</v>
      </c>
      <c r="Y51" s="2242">
        <f t="shared" si="36"/>
        <v>19.5</v>
      </c>
      <c r="Z51" s="2242">
        <f t="shared" si="36"/>
        <v>20.5</v>
      </c>
      <c r="AA51" s="2242">
        <f t="shared" si="36"/>
        <v>21.5</v>
      </c>
      <c r="AB51" s="2242">
        <f t="shared" si="36"/>
        <v>22.5</v>
      </c>
      <c r="AC51" s="2242">
        <f t="shared" si="36"/>
        <v>23.5</v>
      </c>
      <c r="AD51" s="2242">
        <f t="shared" si="36"/>
        <v>24.5</v>
      </c>
      <c r="AE51" s="2242">
        <f t="shared" si="36"/>
        <v>25.5</v>
      </c>
      <c r="AF51" s="2242">
        <f t="shared" si="36"/>
        <v>26.5</v>
      </c>
      <c r="AG51" s="2242">
        <f t="shared" si="36"/>
        <v>27.5</v>
      </c>
      <c r="AI51" s="720"/>
      <c r="AJ51" s="720"/>
      <c r="AK51" s="720"/>
      <c r="AL51" s="720"/>
      <c r="AM51" s="720"/>
      <c r="AN51" s="720"/>
      <c r="AO51" s="720"/>
    </row>
    <row r="52" spans="1:44" s="1984" customFormat="1">
      <c r="A52" s="720"/>
      <c r="B52" s="2157" t="s">
        <v>2846</v>
      </c>
      <c r="C52" s="1144">
        <f>'rNPV Assumptions_Obesity'!D7</f>
        <v>0.2</v>
      </c>
      <c r="D52" s="1144"/>
      <c r="E52" s="1144"/>
      <c r="F52" s="2243">
        <f t="shared" ref="F52" si="37">1/(1+$C$52)^F51</f>
        <v>0.9128709291752769</v>
      </c>
      <c r="G52" s="2243">
        <f t="shared" ref="G52" si="38">1/(1+$C$52)^G51</f>
        <v>0.7607257743127307</v>
      </c>
      <c r="H52" s="2243">
        <f t="shared" ref="H52" si="39">1/(1+$C$52)^H51</f>
        <v>0.63393814526060899</v>
      </c>
      <c r="I52" s="2243">
        <f t="shared" ref="I52:Q52" si="40">1/(1+$C$52)^I51</f>
        <v>0.52828178771717416</v>
      </c>
      <c r="J52" s="2243">
        <f t="shared" si="40"/>
        <v>0.44023482309764517</v>
      </c>
      <c r="K52" s="2243">
        <f t="shared" si="40"/>
        <v>0.36686235258137107</v>
      </c>
      <c r="L52" s="2243">
        <f t="shared" si="40"/>
        <v>0.30571862715114251</v>
      </c>
      <c r="M52" s="2243">
        <f t="shared" si="40"/>
        <v>0.25476552262595203</v>
      </c>
      <c r="N52" s="2243">
        <f t="shared" si="40"/>
        <v>0.21230460218829345</v>
      </c>
      <c r="O52" s="2243">
        <f t="shared" si="40"/>
        <v>0.17692050182357785</v>
      </c>
      <c r="P52" s="2243">
        <f t="shared" si="40"/>
        <v>0.14743375151964822</v>
      </c>
      <c r="Q52" s="2243">
        <f t="shared" si="40"/>
        <v>0.12286145959970685</v>
      </c>
      <c r="R52" s="2243">
        <f t="shared" ref="R52:AG52" si="41">1/(1+$C$52)^R51</f>
        <v>0.10238454966642239</v>
      </c>
      <c r="S52" s="2243">
        <f t="shared" si="41"/>
        <v>8.5320458055351975E-2</v>
      </c>
      <c r="T52" s="2243">
        <f t="shared" si="41"/>
        <v>7.1100381712793329E-2</v>
      </c>
      <c r="U52" s="2243">
        <f t="shared" si="41"/>
        <v>5.9250318093994447E-2</v>
      </c>
      <c r="V52" s="2243">
        <f t="shared" si="41"/>
        <v>4.9375265078328692E-2</v>
      </c>
      <c r="W52" s="2243">
        <f t="shared" si="41"/>
        <v>4.1146054231940586E-2</v>
      </c>
      <c r="X52" s="2243">
        <f t="shared" si="41"/>
        <v>3.4288378526617161E-2</v>
      </c>
      <c r="Y52" s="2243">
        <f t="shared" si="41"/>
        <v>2.8573648772180955E-2</v>
      </c>
      <c r="Z52" s="2243">
        <f t="shared" si="41"/>
        <v>2.3811373976817471E-2</v>
      </c>
      <c r="AA52" s="2243">
        <f t="shared" si="41"/>
        <v>1.9842811647347896E-2</v>
      </c>
      <c r="AB52" s="2243">
        <f t="shared" si="41"/>
        <v>1.6535676372789913E-2</v>
      </c>
      <c r="AC52" s="2243">
        <f t="shared" si="41"/>
        <v>1.377973031065826E-2</v>
      </c>
      <c r="AD52" s="2243">
        <f t="shared" si="41"/>
        <v>1.1483108592215211E-2</v>
      </c>
      <c r="AE52" s="2243">
        <f t="shared" si="41"/>
        <v>9.5692571601793501E-3</v>
      </c>
      <c r="AF52" s="2243">
        <f t="shared" si="41"/>
        <v>7.9743809668161216E-3</v>
      </c>
      <c r="AG52" s="2243">
        <f t="shared" si="41"/>
        <v>6.6453174723467663E-3</v>
      </c>
      <c r="AI52" s="720"/>
      <c r="AJ52" s="720"/>
      <c r="AK52" s="720"/>
      <c r="AL52" s="720"/>
      <c r="AM52" s="720"/>
      <c r="AN52" s="720"/>
      <c r="AO52" s="720"/>
    </row>
    <row r="53" spans="1:44" s="1984" customFormat="1" ht="8.1" customHeight="1">
      <c r="A53" s="720"/>
      <c r="B53" s="720"/>
      <c r="C53" s="720"/>
      <c r="D53" s="720"/>
      <c r="E53" s="720"/>
      <c r="F53" s="720"/>
      <c r="G53" s="720"/>
      <c r="H53" s="720"/>
      <c r="I53" s="720"/>
      <c r="J53" s="720"/>
      <c r="K53" s="720"/>
      <c r="L53" s="720"/>
      <c r="M53" s="720"/>
      <c r="N53" s="720"/>
      <c r="O53" s="720"/>
      <c r="P53" s="720"/>
      <c r="Q53" s="720"/>
      <c r="R53" s="720"/>
      <c r="S53" s="720"/>
      <c r="T53" s="720"/>
      <c r="U53" s="720"/>
      <c r="V53" s="720"/>
      <c r="W53" s="720"/>
      <c r="X53" s="720"/>
      <c r="Y53" s="720"/>
      <c r="Z53" s="720"/>
      <c r="AA53" s="720"/>
      <c r="AB53" s="720"/>
      <c r="AC53" s="720"/>
      <c r="AD53" s="720"/>
      <c r="AE53" s="720"/>
      <c r="AF53" s="720"/>
      <c r="AG53" s="720"/>
      <c r="AI53" s="720"/>
      <c r="AJ53" s="720"/>
      <c r="AK53" s="720"/>
      <c r="AL53" s="720"/>
      <c r="AM53" s="720"/>
      <c r="AN53" s="720"/>
      <c r="AO53" s="720"/>
    </row>
    <row r="54" spans="1:44" s="1984" customFormat="1">
      <c r="A54" s="720"/>
      <c r="B54" s="2223" t="s">
        <v>2847</v>
      </c>
      <c r="C54" s="720"/>
      <c r="D54" s="720"/>
      <c r="E54" s="720"/>
      <c r="F54" s="2237">
        <f>F49*F52</f>
        <v>0</v>
      </c>
      <c r="G54" s="2237">
        <f t="shared" ref="G54:AG54" si="42">G49*G52</f>
        <v>0</v>
      </c>
      <c r="H54" s="2237">
        <f t="shared" si="42"/>
        <v>0</v>
      </c>
      <c r="I54" s="2237">
        <f t="shared" si="42"/>
        <v>0</v>
      </c>
      <c r="J54" s="2237">
        <f t="shared" si="42"/>
        <v>0.13520712004386426</v>
      </c>
      <c r="K54" s="2237">
        <f t="shared" si="42"/>
        <v>3.640191693488655E-2</v>
      </c>
      <c r="L54" s="2237">
        <f t="shared" si="42"/>
        <v>1.9717705006396882E-2</v>
      </c>
      <c r="M54" s="2237">
        <f>M49*M52</f>
        <v>0</v>
      </c>
      <c r="N54" s="2237">
        <f t="shared" si="42"/>
        <v>8.6264959402986355E-3</v>
      </c>
      <c r="O54" s="2237">
        <f t="shared" si="42"/>
        <v>0</v>
      </c>
      <c r="P54" s="2237">
        <f t="shared" si="42"/>
        <v>4.6213371108742686E-3</v>
      </c>
      <c r="Q54" s="2237">
        <f t="shared" si="42"/>
        <v>0</v>
      </c>
      <c r="R54" s="2237">
        <f t="shared" si="42"/>
        <v>0</v>
      </c>
      <c r="S54" s="2237">
        <f t="shared" si="42"/>
        <v>6.9088276638263075E-3</v>
      </c>
      <c r="T54" s="2237">
        <f t="shared" si="42"/>
        <v>2.6627040955356997E-4</v>
      </c>
      <c r="U54" s="2237">
        <f t="shared" si="42"/>
        <v>7.3664099957865443E-4</v>
      </c>
      <c r="V54" s="2237">
        <f t="shared" si="42"/>
        <v>1.4294391527827253E-3</v>
      </c>
      <c r="W54" s="2237">
        <f t="shared" si="42"/>
        <v>2.0331266393264053E-3</v>
      </c>
      <c r="X54" s="2237">
        <f t="shared" si="42"/>
        <v>3.2736248000481381E-3</v>
      </c>
      <c r="Y54" s="2237">
        <f t="shared" si="42"/>
        <v>2.2919480353082071E-3</v>
      </c>
      <c r="Z54" s="2237">
        <f t="shared" si="42"/>
        <v>1.9985300855245138E-3</v>
      </c>
      <c r="AA54" s="2237">
        <f t="shared" si="42"/>
        <v>1.6818957957415229E-3</v>
      </c>
      <c r="AB54" s="2237">
        <f t="shared" si="42"/>
        <v>1.4035672901711355E-3</v>
      </c>
      <c r="AC54" s="2237">
        <f t="shared" si="42"/>
        <v>1.2777765686856077E-3</v>
      </c>
      <c r="AD54" s="2237">
        <f t="shared" si="42"/>
        <v>0</v>
      </c>
      <c r="AE54" s="2237">
        <f t="shared" si="42"/>
        <v>0</v>
      </c>
      <c r="AF54" s="2237">
        <f t="shared" si="42"/>
        <v>0</v>
      </c>
      <c r="AG54" s="2237">
        <f t="shared" si="42"/>
        <v>0</v>
      </c>
      <c r="AI54" s="720"/>
      <c r="AJ54" s="720"/>
      <c r="AK54" s="720"/>
      <c r="AL54" s="720"/>
      <c r="AM54" s="720"/>
      <c r="AN54" s="720"/>
      <c r="AO54" s="720"/>
    </row>
    <row r="56" spans="1:44" s="1984" customFormat="1">
      <c r="A56" s="720"/>
      <c r="B56" s="3144" t="s">
        <v>2847</v>
      </c>
      <c r="C56" s="2244">
        <f>SUM(F54:AG54)</f>
        <v>0.22787622247686734</v>
      </c>
      <c r="D56" s="2245"/>
      <c r="E56" s="2245"/>
      <c r="F56" s="2245"/>
      <c r="G56" s="2245"/>
      <c r="H56" s="2245"/>
      <c r="I56" s="2245"/>
      <c r="J56" s="2245"/>
      <c r="K56" s="2245"/>
      <c r="L56" s="2245"/>
      <c r="M56" s="2245"/>
      <c r="N56" s="725"/>
      <c r="O56" s="725"/>
      <c r="P56" s="725"/>
      <c r="Q56" s="725"/>
      <c r="R56" s="2246"/>
      <c r="S56" s="726"/>
      <c r="T56" s="2246"/>
      <c r="U56" s="725"/>
      <c r="V56" s="2202"/>
      <c r="W56" s="725"/>
      <c r="X56" s="725"/>
      <c r="Y56" s="725"/>
      <c r="Z56" s="2246"/>
      <c r="AA56" s="726"/>
      <c r="AB56" s="2246"/>
      <c r="AC56" s="725"/>
      <c r="AD56" s="2202"/>
      <c r="AE56" s="725"/>
      <c r="AF56" s="725"/>
      <c r="AG56" s="725"/>
      <c r="AH56" s="2202"/>
      <c r="AI56" s="2202"/>
      <c r="AJ56" s="2202"/>
      <c r="AK56" s="2202"/>
      <c r="AL56" s="2202"/>
      <c r="AM56" s="2202"/>
      <c r="AN56" s="2202"/>
      <c r="AO56" s="2202"/>
      <c r="AP56" s="2202"/>
      <c r="AQ56" s="2202"/>
      <c r="AR56" s="2202"/>
    </row>
    <row r="57" spans="1:44">
      <c r="A57" s="2247"/>
      <c r="B57" s="2247"/>
      <c r="C57" s="2247"/>
      <c r="D57" s="2247"/>
      <c r="H57" s="2247"/>
      <c r="I57" s="2247"/>
      <c r="J57" s="2247"/>
      <c r="K57" s="2247"/>
      <c r="L57" s="2247"/>
      <c r="M57" s="2247"/>
      <c r="N57" s="2248"/>
      <c r="O57" s="2248"/>
      <c r="P57" s="2248"/>
      <c r="Q57" s="2248"/>
      <c r="R57" s="2202"/>
      <c r="S57" s="2202"/>
      <c r="T57" s="2202"/>
      <c r="U57" s="2202"/>
      <c r="V57" s="2202"/>
      <c r="W57" s="2202"/>
      <c r="X57" s="2202"/>
      <c r="Y57" s="2202"/>
      <c r="Z57" s="2202"/>
      <c r="AA57" s="2202"/>
      <c r="AB57" s="2202"/>
      <c r="AC57" s="2202"/>
      <c r="AD57" s="2202"/>
      <c r="AE57" s="2202"/>
      <c r="AF57" s="2202"/>
      <c r="AG57" s="2202"/>
      <c r="AH57" s="2202"/>
      <c r="AI57" s="2202"/>
      <c r="AJ57" s="2202"/>
      <c r="AK57" s="2202"/>
      <c r="AL57" s="2202"/>
      <c r="AM57" s="2202"/>
      <c r="AN57" s="2202"/>
      <c r="AO57" s="2202"/>
      <c r="AP57" s="2202"/>
      <c r="AQ57" s="2202"/>
      <c r="AR57" s="2202"/>
    </row>
    <row r="58" spans="1:44">
      <c r="B58" s="2250" t="s">
        <v>86</v>
      </c>
      <c r="C58" s="1984"/>
      <c r="H58" s="1984"/>
      <c r="I58" s="1984"/>
      <c r="J58" s="1984"/>
      <c r="K58" s="1984"/>
      <c r="L58" s="1984"/>
      <c r="M58" s="1984"/>
      <c r="N58" s="2250"/>
      <c r="O58" s="2250"/>
      <c r="P58" s="1984"/>
      <c r="Q58" s="1984"/>
      <c r="R58" s="1984"/>
      <c r="S58" s="1984"/>
      <c r="T58" s="1984"/>
      <c r="U58" s="2250"/>
      <c r="V58" s="2250"/>
      <c r="Y58" s="1984"/>
      <c r="Z58" s="1984"/>
      <c r="AA58" s="2250"/>
      <c r="AB58" s="1984"/>
      <c r="AC58" s="1984"/>
    </row>
    <row r="59" spans="1:44">
      <c r="A59" s="763" t="s">
        <v>210</v>
      </c>
      <c r="B59" s="3145" t="str">
        <f>"Refer to "&amp;'rNPV Assumptions_Obesity'!$B$3&amp;"."</f>
        <v>Refer to Workpaper #4.</v>
      </c>
      <c r="C59" s="2167"/>
      <c r="H59" s="2167"/>
      <c r="I59" s="2167"/>
      <c r="J59" s="2167"/>
      <c r="K59" s="2167"/>
      <c r="L59" s="2167"/>
      <c r="M59" s="2167"/>
      <c r="N59" s="1984"/>
      <c r="O59" s="1984"/>
      <c r="P59" s="1984"/>
      <c r="Q59" s="1984"/>
      <c r="R59" s="1984"/>
      <c r="S59" s="1984"/>
      <c r="T59" s="1984"/>
      <c r="U59" s="1984"/>
      <c r="V59" s="1984"/>
      <c r="Y59" s="1984"/>
      <c r="Z59" s="1984"/>
      <c r="AA59" s="1984"/>
      <c r="AB59" s="1984"/>
      <c r="AC59" s="1984"/>
    </row>
    <row r="60" spans="1:44">
      <c r="A60" s="763" t="s">
        <v>209</v>
      </c>
      <c r="B60" s="3145" t="str">
        <f>"Refer to "&amp;'Penetration Curves'!B3&amp;"."</f>
        <v>Refer to Workpaper #10.</v>
      </c>
      <c r="C60" s="2167"/>
      <c r="H60" s="2167"/>
      <c r="I60" s="2167"/>
      <c r="J60" s="2167"/>
      <c r="K60" s="2167"/>
      <c r="L60" s="2167"/>
      <c r="M60" s="2167"/>
      <c r="N60" s="1984"/>
      <c r="O60" s="1984"/>
      <c r="P60" s="1984"/>
      <c r="Q60" s="1984"/>
      <c r="R60" s="1984"/>
      <c r="S60" s="1984"/>
      <c r="T60" s="1984"/>
      <c r="U60" s="1984"/>
      <c r="V60" s="1984"/>
      <c r="Y60" s="1984"/>
      <c r="Z60" s="1984"/>
      <c r="AA60" s="1984"/>
      <c r="AB60" s="1984"/>
      <c r="AC60" s="1984"/>
    </row>
    <row r="61" spans="1:44">
      <c r="A61" s="2167" t="s">
        <v>246</v>
      </c>
      <c r="B61" s="2219" t="s">
        <v>2848</v>
      </c>
      <c r="C61" s="2167"/>
      <c r="H61" s="2167"/>
      <c r="I61" s="2167"/>
      <c r="J61" s="2167"/>
      <c r="K61" s="2167"/>
      <c r="L61" s="2167"/>
      <c r="M61" s="2167"/>
      <c r="N61" s="1984"/>
      <c r="O61" s="2219"/>
      <c r="P61" s="2251"/>
      <c r="Q61" s="2251"/>
      <c r="R61" s="2251"/>
      <c r="S61" s="2251"/>
      <c r="T61" s="2251"/>
      <c r="U61" s="2219"/>
      <c r="V61" s="1984"/>
      <c r="W61" s="2252"/>
      <c r="Y61" s="2251"/>
      <c r="Z61" s="2251"/>
      <c r="AA61" s="3255"/>
      <c r="AB61" s="3255"/>
      <c r="AC61" s="3255"/>
    </row>
    <row r="62" spans="1:44">
      <c r="A62" s="762"/>
      <c r="B62" s="1984"/>
      <c r="F62" s="1984"/>
      <c r="G62" s="1984"/>
      <c r="H62" s="1984"/>
      <c r="I62" s="1984"/>
      <c r="J62" s="1984"/>
      <c r="K62" s="1984"/>
      <c r="L62" s="1984"/>
      <c r="M62" s="1984"/>
      <c r="N62" s="1984"/>
      <c r="O62" s="1984"/>
      <c r="P62" s="1984"/>
      <c r="Q62" s="1984"/>
      <c r="R62" s="3146"/>
      <c r="S62" s="3146"/>
      <c r="T62" s="1984"/>
    </row>
    <row r="63" spans="1:44">
      <c r="C63" s="2231"/>
      <c r="D63" s="2231"/>
      <c r="E63" s="2231"/>
      <c r="F63" s="2231"/>
      <c r="G63" s="2231"/>
      <c r="H63" s="2231"/>
      <c r="I63" s="2231"/>
      <c r="J63" s="2231"/>
      <c r="K63" s="2231"/>
      <c r="L63" s="2231"/>
      <c r="M63" s="2231"/>
      <c r="N63" s="2231"/>
      <c r="O63" s="2231"/>
      <c r="P63" s="2231"/>
      <c r="Q63" s="2231"/>
      <c r="R63" s="2231"/>
      <c r="S63" s="2231"/>
      <c r="T63" s="2231"/>
      <c r="U63" s="2231"/>
      <c r="V63" s="2231"/>
      <c r="W63" s="2231"/>
      <c r="X63" s="2231"/>
      <c r="Y63" s="2231"/>
      <c r="Z63" s="2231"/>
      <c r="AA63" s="2231"/>
      <c r="AB63" s="2231"/>
      <c r="AC63" s="2231"/>
      <c r="AD63" s="2231"/>
      <c r="AE63" s="2231"/>
      <c r="AF63" s="2231"/>
      <c r="AG63" s="2231"/>
    </row>
  </sheetData>
  <mergeCells count="1">
    <mergeCell ref="AA61:AC61"/>
  </mergeCells>
  <conditionalFormatting sqref="V4 AB4:AC4 B4:H4 Q4:R4 AE4:AF4 X4:Y4">
    <cfRule type="cellIs" dxfId="450" priority="201" stopIfTrue="1" operator="equal">
      <formula>"input"</formula>
    </cfRule>
  </conditionalFormatting>
  <conditionalFormatting sqref="R52:AG52 R47:AG47 R26:AG26 R14:AG15 R22:AG22 R41:AG43 S13:AG13 F49:AG49 F34:AG34">
    <cfRule type="cellIs" dxfId="449" priority="200" operator="equal">
      <formula>0</formula>
    </cfRule>
  </conditionalFormatting>
  <conditionalFormatting sqref="R26:AG26">
    <cfRule type="cellIs" dxfId="448" priority="174" operator="equal">
      <formula>0</formula>
    </cfRule>
  </conditionalFormatting>
  <conditionalFormatting sqref="AG4">
    <cfRule type="cellIs" dxfId="447" priority="171" stopIfTrue="1" operator="equal">
      <formula>"input"</formula>
    </cfRule>
  </conditionalFormatting>
  <conditionalFormatting sqref="R20:AG20">
    <cfRule type="cellIs" dxfId="446" priority="169" operator="equal">
      <formula>0</formula>
    </cfRule>
  </conditionalFormatting>
  <conditionalFormatting sqref="R22:AG22">
    <cfRule type="cellIs" dxfId="445" priority="166" operator="equal">
      <formula>0</formula>
    </cfRule>
  </conditionalFormatting>
  <conditionalFormatting sqref="R41:AG43">
    <cfRule type="cellIs" dxfId="444" priority="159" operator="equal">
      <formula>0</formula>
    </cfRule>
  </conditionalFormatting>
  <conditionalFormatting sqref="J4:L4">
    <cfRule type="cellIs" dxfId="443" priority="138" stopIfTrue="1" operator="equal">
      <formula>"input"</formula>
    </cfRule>
  </conditionalFormatting>
  <conditionalFormatting sqref="I4">
    <cfRule type="cellIs" dxfId="442" priority="122" stopIfTrue="1" operator="equal">
      <formula>"input"</formula>
    </cfRule>
  </conditionalFormatting>
  <conditionalFormatting sqref="I52:Q52 I47:Q47 I26:Q26 I14:Q15 I22:Q22 I41:Q43">
    <cfRule type="cellIs" dxfId="441" priority="90" operator="equal">
      <formula>0</formula>
    </cfRule>
  </conditionalFormatting>
  <conditionalFormatting sqref="R13">
    <cfRule type="cellIs" dxfId="440" priority="91" operator="equal">
      <formula>0</formula>
    </cfRule>
  </conditionalFormatting>
  <conditionalFormatting sqref="I22:Q22">
    <cfRule type="cellIs" dxfId="439" priority="84" operator="equal">
      <formula>0</formula>
    </cfRule>
  </conditionalFormatting>
  <conditionalFormatting sqref="H20">
    <cfRule type="cellIs" dxfId="438" priority="71" operator="equal">
      <formula>0</formula>
    </cfRule>
  </conditionalFormatting>
  <conditionalFormatting sqref="I24:AG24">
    <cfRule type="cellIs" dxfId="437" priority="78" operator="equal">
      <formula>0</formula>
    </cfRule>
  </conditionalFormatting>
  <conditionalFormatting sqref="I26:Q26">
    <cfRule type="cellIs" dxfId="436" priority="86" operator="equal">
      <formula>0</formula>
    </cfRule>
  </conditionalFormatting>
  <conditionalFormatting sqref="I20:Q20">
    <cfRule type="cellIs" dxfId="435" priority="85" operator="equal">
      <formula>0</formula>
    </cfRule>
  </conditionalFormatting>
  <conditionalFormatting sqref="I41:Q43">
    <cfRule type="cellIs" dxfId="434" priority="81" operator="equal">
      <formula>0</formula>
    </cfRule>
  </conditionalFormatting>
  <conditionalFormatting sqref="I13:Q13">
    <cfRule type="cellIs" dxfId="433" priority="80" operator="equal">
      <formula>0</formula>
    </cfRule>
  </conditionalFormatting>
  <conditionalFormatting sqref="I24:AG24">
    <cfRule type="cellIs" dxfId="432" priority="79" operator="equal">
      <formula>0</formula>
    </cfRule>
  </conditionalFormatting>
  <conditionalFormatting sqref="F9:L9 N9:T9 V9:AG9">
    <cfRule type="cellIs" dxfId="431" priority="77" operator="equal">
      <formula>0</formula>
    </cfRule>
  </conditionalFormatting>
  <conditionalFormatting sqref="H52 H47 H26 H14:H15 H22 H41:H43">
    <cfRule type="cellIs" dxfId="430" priority="76" operator="equal">
      <formula>0</formula>
    </cfRule>
  </conditionalFormatting>
  <conditionalFormatting sqref="H22">
    <cfRule type="cellIs" dxfId="429" priority="70" operator="equal">
      <formula>0</formula>
    </cfRule>
  </conditionalFormatting>
  <conditionalFormatting sqref="G22">
    <cfRule type="cellIs" dxfId="428" priority="57" operator="equal">
      <formula>0</formula>
    </cfRule>
  </conditionalFormatting>
  <conditionalFormatting sqref="H24">
    <cfRule type="cellIs" dxfId="427" priority="64" operator="equal">
      <formula>0</formula>
    </cfRule>
  </conditionalFormatting>
  <conditionalFormatting sqref="H51:AG51">
    <cfRule type="cellIs" dxfId="426" priority="74" operator="equal">
      <formula>0</formula>
    </cfRule>
  </conditionalFormatting>
  <conditionalFormatting sqref="G52 G47 G26 G14:G15 G22 G41:G43">
    <cfRule type="cellIs" dxfId="425" priority="63" operator="equal">
      <formula>0</formula>
    </cfRule>
  </conditionalFormatting>
  <conditionalFormatting sqref="H26">
    <cfRule type="cellIs" dxfId="424" priority="72" operator="equal">
      <formula>0</formula>
    </cfRule>
  </conditionalFormatting>
  <conditionalFormatting sqref="H41:H43">
    <cfRule type="cellIs" dxfId="423" priority="67" operator="equal">
      <formula>0</formula>
    </cfRule>
  </conditionalFormatting>
  <conditionalFormatting sqref="H13">
    <cfRule type="cellIs" dxfId="422" priority="66" operator="equal">
      <formula>0</formula>
    </cfRule>
  </conditionalFormatting>
  <conditionalFormatting sqref="H24">
    <cfRule type="cellIs" dxfId="421" priority="65" operator="equal">
      <formula>0</formula>
    </cfRule>
  </conditionalFormatting>
  <conditionalFormatting sqref="F22 F31:AG31">
    <cfRule type="cellIs" dxfId="420" priority="44" operator="equal">
      <formula>0</formula>
    </cfRule>
  </conditionalFormatting>
  <conditionalFormatting sqref="G24">
    <cfRule type="cellIs" dxfId="419" priority="51" operator="equal">
      <formula>0</formula>
    </cfRule>
  </conditionalFormatting>
  <conditionalFormatting sqref="G51">
    <cfRule type="cellIs" dxfId="418" priority="61" operator="equal">
      <formula>0</formula>
    </cfRule>
  </conditionalFormatting>
  <conditionalFormatting sqref="F52 F47 F26 F14:F15 F22 F41:F43 F37:AG39 F31:AG31 F54:AG54">
    <cfRule type="cellIs" dxfId="417" priority="50" operator="equal">
      <formula>0</formula>
    </cfRule>
  </conditionalFormatting>
  <conditionalFormatting sqref="G26">
    <cfRule type="cellIs" dxfId="416" priority="59" operator="equal">
      <formula>0</formula>
    </cfRule>
  </conditionalFormatting>
  <conditionalFormatting sqref="G20">
    <cfRule type="cellIs" dxfId="415" priority="58" operator="equal">
      <formula>0</formula>
    </cfRule>
  </conditionalFormatting>
  <conditionalFormatting sqref="G41:G43">
    <cfRule type="cellIs" dxfId="414" priority="54" operator="equal">
      <formula>0</formula>
    </cfRule>
  </conditionalFormatting>
  <conditionalFormatting sqref="G13">
    <cfRule type="cellIs" dxfId="413" priority="53" operator="equal">
      <formula>0</formula>
    </cfRule>
  </conditionalFormatting>
  <conditionalFormatting sqref="G24">
    <cfRule type="cellIs" dxfId="412" priority="52" operator="equal">
      <formula>0</formula>
    </cfRule>
  </conditionalFormatting>
  <conditionalFormatting sqref="F37:AG39">
    <cfRule type="cellIs" dxfId="411" priority="42" operator="equal">
      <formula>0</formula>
    </cfRule>
  </conditionalFormatting>
  <conditionalFormatting sqref="F46:AG46">
    <cfRule type="cellIs" dxfId="410" priority="49" operator="equal">
      <formula>0</formula>
    </cfRule>
  </conditionalFormatting>
  <conditionalFormatting sqref="F51">
    <cfRule type="cellIs" dxfId="409" priority="48" operator="equal">
      <formula>0</formula>
    </cfRule>
  </conditionalFormatting>
  <conditionalFormatting sqref="F26 F31:AG31">
    <cfRule type="cellIs" dxfId="408" priority="46" operator="equal">
      <formula>0</formula>
    </cfRule>
  </conditionalFormatting>
  <conditionalFormatting sqref="F20">
    <cfRule type="cellIs" dxfId="407" priority="45" operator="equal">
      <formula>0</formula>
    </cfRule>
  </conditionalFormatting>
  <conditionalFormatting sqref="F31:AG31">
    <cfRule type="cellIs" dxfId="406" priority="43" operator="equal">
      <formula>0</formula>
    </cfRule>
  </conditionalFormatting>
  <conditionalFormatting sqref="F41:F43">
    <cfRule type="cellIs" dxfId="405" priority="41" operator="equal">
      <formula>0</formula>
    </cfRule>
  </conditionalFormatting>
  <conditionalFormatting sqref="F13">
    <cfRule type="cellIs" dxfId="404" priority="40" operator="equal">
      <formula>0</formula>
    </cfRule>
  </conditionalFormatting>
  <conditionalFormatting sqref="F24">
    <cfRule type="cellIs" dxfId="403" priority="38" operator="equal">
      <formula>0</formula>
    </cfRule>
  </conditionalFormatting>
  <conditionalFormatting sqref="F24">
    <cfRule type="cellIs" dxfId="402" priority="39" operator="equal">
      <formula>0</formula>
    </cfRule>
  </conditionalFormatting>
  <conditionalFormatting sqref="F18">
    <cfRule type="cellIs" dxfId="401" priority="27" operator="equal">
      <formula>0</formula>
    </cfRule>
  </conditionalFormatting>
  <conditionalFormatting sqref="S18:AG18">
    <cfRule type="cellIs" dxfId="400" priority="36" operator="equal">
      <formula>0</formula>
    </cfRule>
  </conditionalFormatting>
  <conditionalFormatting sqref="R18">
    <cfRule type="cellIs" dxfId="399" priority="35" operator="equal">
      <formula>0</formula>
    </cfRule>
  </conditionalFormatting>
  <conditionalFormatting sqref="I18:Q18">
    <cfRule type="cellIs" dxfId="398" priority="33" operator="equal">
      <formula>0</formula>
    </cfRule>
  </conditionalFormatting>
  <conditionalFormatting sqref="H18">
    <cfRule type="cellIs" dxfId="397" priority="31" operator="equal">
      <formula>0</formula>
    </cfRule>
  </conditionalFormatting>
  <conditionalFormatting sqref="G18">
    <cfRule type="cellIs" dxfId="396" priority="29" operator="equal">
      <formula>0</formula>
    </cfRule>
  </conditionalFormatting>
  <conditionalFormatting sqref="F19:AG19">
    <cfRule type="cellIs" dxfId="395" priority="28" operator="equal">
      <formula>0</formula>
    </cfRule>
  </conditionalFormatting>
  <conditionalFormatting sqref="N4">
    <cfRule type="cellIs" dxfId="394" priority="25" stopIfTrue="1" operator="equal">
      <formula>"input"</formula>
    </cfRule>
  </conditionalFormatting>
  <conditionalFormatting sqref="S4">
    <cfRule type="cellIs" dxfId="393" priority="24" stopIfTrue="1" operator="equal">
      <formula>"input"</formula>
    </cfRule>
  </conditionalFormatting>
  <conditionalFormatting sqref="T4">
    <cfRule type="cellIs" dxfId="392" priority="23" stopIfTrue="1" operator="equal">
      <formula>"input"</formula>
    </cfRule>
  </conditionalFormatting>
  <conditionalFormatting sqref="Z4:AA4">
    <cfRule type="cellIs" dxfId="391" priority="22" stopIfTrue="1" operator="equal">
      <formula>"input"</formula>
    </cfRule>
  </conditionalFormatting>
  <conditionalFormatting sqref="O4">
    <cfRule type="cellIs" dxfId="390" priority="21" stopIfTrue="1" operator="equal">
      <formula>"input"</formula>
    </cfRule>
  </conditionalFormatting>
  <conditionalFormatting sqref="AD4">
    <cfRule type="cellIs" dxfId="389" priority="20" stopIfTrue="1" operator="equal">
      <formula>"input"</formula>
    </cfRule>
  </conditionalFormatting>
  <conditionalFormatting sqref="M4">
    <cfRule type="cellIs" dxfId="388" priority="19" stopIfTrue="1" operator="equal">
      <formula>"input"</formula>
    </cfRule>
  </conditionalFormatting>
  <conditionalFormatting sqref="U4">
    <cfRule type="cellIs" dxfId="387" priority="17" stopIfTrue="1" operator="equal">
      <formula>"input"</formula>
    </cfRule>
  </conditionalFormatting>
  <conditionalFormatting sqref="F33:AG33">
    <cfRule type="cellIs" dxfId="386" priority="11" operator="equal">
      <formula>0</formula>
    </cfRule>
  </conditionalFormatting>
  <conditionalFormatting sqref="F29:AG29">
    <cfRule type="cellIs" dxfId="385" priority="6" operator="equal">
      <formula>0</formula>
    </cfRule>
  </conditionalFormatting>
  <conditionalFormatting sqref="F28:AG28">
    <cfRule type="cellIs" dxfId="384" priority="5" operator="equal">
      <formula>0</formula>
    </cfRule>
  </conditionalFormatting>
  <conditionalFormatting sqref="M9">
    <cfRule type="cellIs" dxfId="383" priority="4" operator="equal">
      <formula>0</formula>
    </cfRule>
  </conditionalFormatting>
  <conditionalFormatting sqref="U9">
    <cfRule type="cellIs" dxfId="382" priority="3" operator="equal">
      <formula>0</formula>
    </cfRule>
  </conditionalFormatting>
  <conditionalFormatting sqref="W4">
    <cfRule type="cellIs" dxfId="381" priority="2" stopIfTrue="1" operator="equal">
      <formula>"input"</formula>
    </cfRule>
  </conditionalFormatting>
  <conditionalFormatting sqref="P4">
    <cfRule type="cellIs" dxfId="380" priority="1" stopIfTrue="1" operator="equal">
      <formula>"input"</formula>
    </cfRule>
  </conditionalFormatting>
  <pageMargins left="0.5" right="0.5" top="0.5" bottom="0.5" header="0.5" footer="0.5"/>
  <pageSetup scale="60" fitToWidth="0" fitToHeight="0" pageOrder="overThenDown" orientation="landscape" r:id="rId1"/>
  <colBreaks count="2" manualBreakCount="2">
    <brk id="16" max="61" man="1"/>
    <brk id="23" max="61" man="1"/>
  </colBreak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53"/>
  <sheetViews>
    <sheetView showGridLines="0" view="pageBreakPreview" zoomScaleNormal="100" zoomScaleSheetLayoutView="100" workbookViewId="0">
      <selection activeCell="D31" sqref="D31"/>
    </sheetView>
  </sheetViews>
  <sheetFormatPr defaultRowHeight="12.75"/>
  <cols>
    <col min="1" max="1" width="4.5" style="2168" customWidth="1"/>
    <col min="2" max="2" width="36.1640625" style="2168" customWidth="1"/>
    <col min="3" max="3" width="18.5" style="2168" customWidth="1"/>
    <col min="4" max="4" width="17" style="2168" customWidth="1"/>
    <col min="5" max="5" width="15" style="2168" customWidth="1"/>
    <col min="6" max="7" width="14.1640625" style="2168" customWidth="1"/>
    <col min="8" max="8" width="23.33203125" style="2168" customWidth="1"/>
    <col min="9" max="9" width="23.1640625" style="2168" customWidth="1"/>
    <col min="10" max="10" width="4.5" style="2168" customWidth="1"/>
    <col min="11" max="11" width="12" style="2168" customWidth="1"/>
    <col min="12" max="12" width="15.5" style="2168" bestFit="1" customWidth="1"/>
    <col min="13" max="13" width="16.83203125" style="2168" bestFit="1" customWidth="1"/>
    <col min="14" max="16384" width="9.33203125" style="2168"/>
  </cols>
  <sheetData>
    <row r="1" spans="2:12" ht="13.5" thickBot="1"/>
    <row r="2" spans="2:12" ht="16.5" thickTop="1">
      <c r="B2" s="10" t="str">
        <f>'MASTER PubCo Inputs'!$C$5</f>
        <v>Kallyope, Inc.</v>
      </c>
      <c r="C2" s="10"/>
      <c r="D2" s="10"/>
      <c r="E2" s="10"/>
      <c r="F2" s="10"/>
      <c r="G2" s="10"/>
      <c r="H2" s="10"/>
      <c r="I2" s="10"/>
    </row>
    <row r="3" spans="2:12" ht="15.75">
      <c r="B3" s="11" t="str">
        <f>VLOOKUP(B4,Outline!$E$8:$G$69,COLUMNS(Outline!$E$8:$G$8),FALSE)</f>
        <v>Workpaper #6</v>
      </c>
      <c r="C3" s="11"/>
      <c r="D3" s="11"/>
      <c r="E3" s="11"/>
      <c r="F3" s="11"/>
      <c r="G3" s="11"/>
      <c r="H3" s="11"/>
      <c r="I3" s="11"/>
    </row>
    <row r="4" spans="2:12" ht="16.5" thickBot="1">
      <c r="B4" s="12" t="s">
        <v>3859</v>
      </c>
      <c r="C4" s="12"/>
      <c r="D4" s="12"/>
      <c r="E4" s="12"/>
      <c r="F4" s="12"/>
      <c r="G4" s="12"/>
      <c r="H4" s="12"/>
      <c r="I4" s="12" t="str">
        <f>'MASTER PubCo Inputs'!$C$24</f>
        <v>(in millions of USD)</v>
      </c>
    </row>
    <row r="5" spans="2:12" s="720" customFormat="1" ht="7.5" customHeight="1" thickTop="1"/>
    <row r="6" spans="2:12" s="720" customFormat="1">
      <c r="B6" s="2171" t="s">
        <v>2825</v>
      </c>
      <c r="C6" s="2172"/>
      <c r="D6" s="2173"/>
      <c r="E6" s="1171"/>
    </row>
    <row r="7" spans="2:12" s="720" customFormat="1">
      <c r="B7" s="3160" t="s">
        <v>2826</v>
      </c>
      <c r="C7" s="3139"/>
      <c r="D7" s="3164">
        <f>'Milestone Calcs'!D7</f>
        <v>0.2</v>
      </c>
      <c r="E7" s="2174" t="s">
        <v>210</v>
      </c>
      <c r="F7" s="2175"/>
      <c r="G7" s="2175"/>
      <c r="K7" s="2169" t="s">
        <v>2902</v>
      </c>
      <c r="L7" s="2456">
        <v>0</v>
      </c>
    </row>
    <row r="8" spans="2:12" s="720" customFormat="1">
      <c r="B8" s="1171"/>
      <c r="C8" s="1171"/>
      <c r="D8" s="2430"/>
      <c r="E8" s="2174"/>
      <c r="F8" s="2175"/>
      <c r="G8" s="2175"/>
    </row>
    <row r="9" spans="2:12" s="720" customFormat="1">
      <c r="B9" s="1171"/>
      <c r="C9" s="1171"/>
      <c r="D9" s="2430"/>
      <c r="E9" s="2174"/>
      <c r="F9" s="2175"/>
      <c r="G9" s="2175"/>
    </row>
    <row r="10" spans="2:12" s="720" customFormat="1">
      <c r="B10" s="2313" t="s">
        <v>2900</v>
      </c>
      <c r="C10" s="2314"/>
      <c r="D10" s="2315"/>
      <c r="E10" s="2174"/>
      <c r="F10" s="2175"/>
      <c r="G10" s="2175"/>
    </row>
    <row r="11" spans="2:12" s="720" customFormat="1">
      <c r="B11" s="1171"/>
      <c r="C11" s="1171"/>
      <c r="D11" s="1171"/>
      <c r="E11" s="2174"/>
      <c r="F11" s="2175"/>
      <c r="G11" s="2175"/>
    </row>
    <row r="12" spans="2:12" s="720" customFormat="1">
      <c r="B12" s="2487" t="s">
        <v>2910</v>
      </c>
      <c r="C12" s="2285" t="s">
        <v>4372</v>
      </c>
      <c r="D12" s="2488" t="s">
        <v>4019</v>
      </c>
      <c r="E12" s="2181"/>
      <c r="F12" s="2181"/>
      <c r="G12" s="2181"/>
      <c r="H12" s="2181"/>
      <c r="I12" s="2181"/>
    </row>
    <row r="13" spans="2:12" s="720" customFormat="1">
      <c r="B13" s="2485" t="s">
        <v>2862</v>
      </c>
      <c r="C13" s="2484">
        <v>6</v>
      </c>
      <c r="D13" s="2489">
        <v>5</v>
      </c>
      <c r="E13" s="2423"/>
      <c r="F13" s="2480"/>
      <c r="G13" s="2481"/>
      <c r="H13" s="2482"/>
      <c r="I13" s="2481"/>
    </row>
    <row r="14" spans="2:12" s="720" customFormat="1">
      <c r="B14" s="2296" t="s">
        <v>2857</v>
      </c>
      <c r="C14" s="2533">
        <f>C13</f>
        <v>6</v>
      </c>
      <c r="D14" s="2490">
        <v>1.5</v>
      </c>
      <c r="E14" s="2423"/>
      <c r="F14" s="2480"/>
      <c r="G14" s="2481"/>
      <c r="H14" s="2482"/>
      <c r="I14" s="2481"/>
    </row>
    <row r="15" spans="2:12" s="720" customFormat="1">
      <c r="B15" s="2300" t="s">
        <v>2853</v>
      </c>
      <c r="C15" s="2534">
        <f>D23</f>
        <v>7</v>
      </c>
      <c r="D15" s="2486">
        <v>3</v>
      </c>
      <c r="E15" s="2423"/>
      <c r="F15" s="2480"/>
      <c r="G15" s="2481"/>
      <c r="H15" s="2482"/>
      <c r="I15" s="2483"/>
    </row>
    <row r="16" spans="2:12" s="720" customFormat="1">
      <c r="B16" s="2476"/>
      <c r="C16" s="1171"/>
      <c r="D16" s="2422"/>
      <c r="E16" s="2423"/>
      <c r="F16" s="2424"/>
      <c r="G16" s="2425"/>
      <c r="H16" s="2426"/>
      <c r="I16" s="2477"/>
    </row>
    <row r="17" spans="2:14" s="720" customFormat="1">
      <c r="B17" s="1171"/>
      <c r="C17" s="1171"/>
      <c r="D17" s="2430"/>
      <c r="E17" s="2174"/>
      <c r="F17" s="2175"/>
      <c r="G17" s="2175"/>
    </row>
    <row r="18" spans="2:14" s="720" customFormat="1" ht="15" customHeight="1">
      <c r="B18" s="2429" t="s">
        <v>4382</v>
      </c>
      <c r="C18" s="2433" t="s">
        <v>3559</v>
      </c>
      <c r="D18" s="2433"/>
      <c r="E18" s="2431"/>
      <c r="F18" s="2459"/>
      <c r="G18" s="1171"/>
      <c r="L18" s="2178"/>
      <c r="M18" s="1171"/>
      <c r="N18" s="1171"/>
    </row>
    <row r="19" spans="2:14" s="720" customFormat="1" ht="5.0999999999999996" customHeight="1">
      <c r="B19" s="2176"/>
      <c r="D19" s="2177"/>
      <c r="E19" s="2177"/>
      <c r="F19" s="2432"/>
      <c r="G19" s="1171"/>
      <c r="L19" s="2178"/>
      <c r="M19" s="1171"/>
      <c r="N19" s="1171"/>
    </row>
    <row r="20" spans="2:14" s="720" customFormat="1" ht="38.25">
      <c r="B20" s="2310" t="s">
        <v>514</v>
      </c>
      <c r="C20" s="2311" t="s">
        <v>2827</v>
      </c>
      <c r="D20" s="2285" t="s">
        <v>4372</v>
      </c>
      <c r="E20" s="2286" t="s">
        <v>4373</v>
      </c>
      <c r="F20" s="2286" t="s">
        <v>2805</v>
      </c>
      <c r="H20" s="2181"/>
      <c r="L20" s="2182"/>
      <c r="M20" s="2182"/>
      <c r="N20" s="1171"/>
    </row>
    <row r="21" spans="2:14" s="720" customFormat="1">
      <c r="B21" s="2296" t="s">
        <v>2862</v>
      </c>
      <c r="C21" s="2535">
        <v>0</v>
      </c>
      <c r="D21" s="2531">
        <f>C13</f>
        <v>6</v>
      </c>
      <c r="E21" s="2291">
        <v>0.15</v>
      </c>
      <c r="F21" s="2298">
        <f>'Milestone Calcs'!F15*E21</f>
        <v>4.725E-2</v>
      </c>
      <c r="H21" s="2181"/>
      <c r="L21" s="2182"/>
      <c r="M21" s="2182"/>
      <c r="N21" s="1171"/>
    </row>
    <row r="22" spans="2:14" s="720" customFormat="1">
      <c r="B22" s="2443" t="s">
        <v>2857</v>
      </c>
      <c r="C22" s="2184">
        <v>1</v>
      </c>
      <c r="D22" s="2531">
        <f>C14</f>
        <v>6</v>
      </c>
      <c r="E22" s="3185">
        <v>1</v>
      </c>
      <c r="F22" s="2294">
        <f>F21*E22</f>
        <v>4.725E-2</v>
      </c>
      <c r="H22" s="2181"/>
      <c r="I22"/>
      <c r="L22" s="2182"/>
      <c r="M22" s="2182"/>
      <c r="N22" s="1171"/>
    </row>
    <row r="23" spans="2:14" s="720" customFormat="1">
      <c r="B23" s="2444" t="s">
        <v>2853</v>
      </c>
      <c r="C23" s="2184">
        <v>0</v>
      </c>
      <c r="D23" s="2531">
        <f>D22+C22</f>
        <v>7</v>
      </c>
      <c r="E23" s="2185">
        <f>'PoTS _rNPV'!B83</f>
        <v>0.7</v>
      </c>
      <c r="F23" s="2294">
        <f>F22*E23</f>
        <v>3.3075E-2</v>
      </c>
      <c r="H23" s="2181"/>
      <c r="K23" s="2254"/>
      <c r="L23" s="2182"/>
      <c r="M23" s="2182"/>
      <c r="N23" s="1171"/>
    </row>
    <row r="24" spans="2:14" s="720" customFormat="1">
      <c r="B24" s="2183" t="s">
        <v>781</v>
      </c>
      <c r="C24" s="2184">
        <v>1</v>
      </c>
      <c r="D24" s="2531">
        <f t="shared" ref="D24:D30" si="0">D23+C23</f>
        <v>7</v>
      </c>
      <c r="E24" s="2185">
        <f>'PoTS _rNPV'!C90</f>
        <v>0.65</v>
      </c>
      <c r="F24" s="2294">
        <f>F23*E24</f>
        <v>2.149875E-2</v>
      </c>
      <c r="H24" s="2292" t="s">
        <v>2828</v>
      </c>
      <c r="I24" s="2293"/>
      <c r="K24" s="2254"/>
      <c r="L24" s="1171"/>
      <c r="M24" s="1171"/>
      <c r="N24" s="1171"/>
    </row>
    <row r="25" spans="2:14" s="720" customFormat="1">
      <c r="B25" s="2183" t="s">
        <v>517</v>
      </c>
      <c r="C25" s="2184">
        <v>2</v>
      </c>
      <c r="D25" s="2531">
        <f t="shared" si="0"/>
        <v>8</v>
      </c>
      <c r="E25" s="2185">
        <f>'PoTS _rNPV'!D90</f>
        <v>0.60000000000000009</v>
      </c>
      <c r="F25" s="2186">
        <f>E25*F24</f>
        <v>1.2899250000000003E-2</v>
      </c>
      <c r="H25" s="2187" t="s">
        <v>2829</v>
      </c>
      <c r="I25" s="2188">
        <v>2000</v>
      </c>
      <c r="J25" s="2003" t="s">
        <v>248</v>
      </c>
      <c r="L25" s="1171"/>
      <c r="M25" s="1171"/>
      <c r="N25" s="1171"/>
    </row>
    <row r="26" spans="2:14" s="720" customFormat="1">
      <c r="B26" s="2183" t="s">
        <v>510</v>
      </c>
      <c r="C26" s="2184">
        <v>2</v>
      </c>
      <c r="D26" s="2531">
        <f t="shared" si="0"/>
        <v>10</v>
      </c>
      <c r="E26" s="2185">
        <f>'PoTS _rNPV'!E90</f>
        <v>0.45</v>
      </c>
      <c r="F26" s="2186">
        <f>E26*F25</f>
        <v>5.804662500000001E-3</v>
      </c>
      <c r="H26" s="2189" t="s">
        <v>2830</v>
      </c>
      <c r="I26" s="2190">
        <v>0.08</v>
      </c>
      <c r="J26" s="2003" t="s">
        <v>273</v>
      </c>
      <c r="L26" s="1171"/>
      <c r="M26" s="1171"/>
      <c r="N26" s="1171"/>
    </row>
    <row r="27" spans="2:14" s="720" customFormat="1">
      <c r="B27" s="2183" t="s">
        <v>518</v>
      </c>
      <c r="C27" s="2184">
        <v>3</v>
      </c>
      <c r="D27" s="2531">
        <f t="shared" si="0"/>
        <v>12</v>
      </c>
      <c r="E27" s="2185">
        <f>'PoTS _rNPV'!F90</f>
        <v>0.6</v>
      </c>
      <c r="F27" s="2186">
        <f>E27*F26</f>
        <v>3.4827975000000003E-3</v>
      </c>
      <c r="H27" s="2191" t="s">
        <v>2810</v>
      </c>
      <c r="I27" s="2192">
        <v>6</v>
      </c>
      <c r="J27" s="2003" t="s">
        <v>274</v>
      </c>
      <c r="L27" s="1171"/>
      <c r="M27" s="1171"/>
      <c r="N27" s="1171"/>
    </row>
    <row r="28" spans="2:14" s="720" customFormat="1">
      <c r="B28" s="2183" t="s">
        <v>3659</v>
      </c>
      <c r="C28" s="2184">
        <v>1</v>
      </c>
      <c r="D28" s="2531">
        <f t="shared" si="0"/>
        <v>15</v>
      </c>
      <c r="E28" s="2185">
        <f>'PoTS _rNPV'!B93</f>
        <v>0.75</v>
      </c>
      <c r="F28" s="2186">
        <f>E28*F27</f>
        <v>2.6120981250000001E-3</v>
      </c>
      <c r="H28" s="2191" t="s">
        <v>2831</v>
      </c>
      <c r="I28" s="2193" t="s">
        <v>2832</v>
      </c>
      <c r="L28" s="1171"/>
      <c r="M28" s="1171"/>
      <c r="N28" s="1171"/>
    </row>
    <row r="29" spans="2:14" s="720" customFormat="1">
      <c r="B29" s="2194" t="s">
        <v>2806</v>
      </c>
      <c r="C29" s="2184">
        <v>10</v>
      </c>
      <c r="D29" s="2531">
        <f t="shared" si="0"/>
        <v>16</v>
      </c>
      <c r="E29" s="2185">
        <f>'PoTS _rNPV'!C93</f>
        <v>1</v>
      </c>
      <c r="F29" s="2186">
        <f>E29*F28</f>
        <v>2.6120981250000001E-3</v>
      </c>
      <c r="H29" s="2195" t="s">
        <v>2833</v>
      </c>
      <c r="I29" s="2196">
        <v>10</v>
      </c>
      <c r="L29" s="1171"/>
      <c r="M29" s="1171"/>
      <c r="N29" s="1171"/>
    </row>
    <row r="30" spans="2:14" s="720" customFormat="1">
      <c r="B30" s="2197" t="s">
        <v>2808</v>
      </c>
      <c r="C30" s="2198"/>
      <c r="D30" s="2532">
        <f t="shared" si="0"/>
        <v>26</v>
      </c>
      <c r="E30" s="2199" t="s">
        <v>2807</v>
      </c>
      <c r="F30" s="2199" t="s">
        <v>2807</v>
      </c>
      <c r="L30" s="1171"/>
      <c r="M30" s="1171"/>
      <c r="N30" s="1171"/>
    </row>
    <row r="31" spans="2:14" s="720" customFormat="1">
      <c r="B31" s="2282"/>
      <c r="C31" s="2284"/>
      <c r="D31" s="2221"/>
      <c r="E31" s="2283"/>
      <c r="F31" s="2283"/>
      <c r="G31" s="2283"/>
      <c r="L31" s="1171"/>
      <c r="M31" s="1171"/>
      <c r="N31" s="1171"/>
    </row>
    <row r="32" spans="2:14" s="720" customFormat="1">
      <c r="B32" s="2478" t="s">
        <v>2854</v>
      </c>
      <c r="C32" s="2285" t="s">
        <v>4372</v>
      </c>
      <c r="D32" s="2479" t="s">
        <v>4019</v>
      </c>
      <c r="E32" s="2283"/>
      <c r="F32" s="2283"/>
      <c r="G32" s="2283"/>
      <c r="L32" s="1171"/>
      <c r="M32" s="1171"/>
      <c r="N32" s="1171"/>
    </row>
    <row r="33" spans="1:14" s="720" customFormat="1">
      <c r="B33" s="2445" t="s">
        <v>2849</v>
      </c>
      <c r="C33" s="2446">
        <f>D25</f>
        <v>8</v>
      </c>
      <c r="D33" s="2447">
        <v>5</v>
      </c>
      <c r="E33" s="2283"/>
      <c r="F33" s="2283"/>
      <c r="G33" s="2283"/>
      <c r="L33" s="1171"/>
      <c r="M33" s="1171"/>
      <c r="N33" s="1171"/>
    </row>
    <row r="34" spans="1:14" s="720" customFormat="1">
      <c r="B34" s="2444" t="s">
        <v>2850</v>
      </c>
      <c r="C34" s="2448">
        <f>D26</f>
        <v>10</v>
      </c>
      <c r="D34" s="2449">
        <v>7</v>
      </c>
      <c r="E34" s="2283"/>
      <c r="F34" s="2283"/>
      <c r="G34" s="2283"/>
      <c r="L34" s="1171"/>
      <c r="M34" s="1171"/>
      <c r="N34" s="1171"/>
    </row>
    <row r="35" spans="1:14" s="720" customFormat="1">
      <c r="B35" s="2444" t="s">
        <v>2851</v>
      </c>
      <c r="C35" s="2448">
        <f>D27</f>
        <v>12</v>
      </c>
      <c r="D35" s="2449">
        <v>9</v>
      </c>
      <c r="E35" s="2283"/>
      <c r="F35" s="2283"/>
      <c r="G35" s="2283"/>
      <c r="L35" s="1171"/>
      <c r="M35" s="1171"/>
      <c r="N35" s="1171"/>
    </row>
    <row r="36" spans="1:14" s="720" customFormat="1">
      <c r="B36" s="2444" t="s">
        <v>3659</v>
      </c>
      <c r="C36" s="2448">
        <f>D28</f>
        <v>15</v>
      </c>
      <c r="D36" s="2449">
        <f>15+10+6</f>
        <v>31</v>
      </c>
      <c r="E36" s="2283"/>
      <c r="F36" s="2283"/>
      <c r="G36" s="2283"/>
      <c r="L36" s="1171"/>
      <c r="M36" s="1171"/>
      <c r="N36" s="1171"/>
    </row>
    <row r="37" spans="1:14" s="720" customFormat="1">
      <c r="B37" s="2434" t="s">
        <v>160</v>
      </c>
      <c r="C37" s="2435"/>
      <c r="D37" s="2436">
        <f>SUM(D33:D36)</f>
        <v>52</v>
      </c>
      <c r="E37" s="2283"/>
      <c r="F37" s="2283"/>
      <c r="G37" s="2283"/>
      <c r="L37" s="1171"/>
      <c r="M37" s="1171"/>
      <c r="N37" s="1171"/>
    </row>
    <row r="38" spans="1:14" s="720" customFormat="1">
      <c r="B38" s="2428"/>
      <c r="C38" s="2213"/>
      <c r="D38" s="2206"/>
      <c r="E38" s="2283"/>
      <c r="F38" s="2283"/>
      <c r="G38" s="2283"/>
      <c r="L38" s="2502" t="s">
        <v>579</v>
      </c>
      <c r="M38" s="2459"/>
      <c r="N38" s="1171"/>
    </row>
    <row r="39" spans="1:14" s="720" customFormat="1">
      <c r="B39" s="2282"/>
      <c r="C39" s="2284"/>
      <c r="D39" s="2221"/>
      <c r="E39" s="2283"/>
      <c r="F39" s="2283"/>
      <c r="G39" s="2283"/>
      <c r="L39" s="2439">
        <v>1</v>
      </c>
      <c r="M39" s="2440"/>
      <c r="N39" s="1171"/>
    </row>
    <row r="40" spans="1:14" s="720" customFormat="1">
      <c r="B40" s="2182" t="s">
        <v>3860</v>
      </c>
      <c r="L40" s="2176">
        <v>0</v>
      </c>
      <c r="M40" s="2432"/>
      <c r="N40" s="1171"/>
    </row>
    <row r="41" spans="1:14" s="720" customFormat="1">
      <c r="B41" s="2182"/>
      <c r="L41" s="1171"/>
      <c r="M41" s="1171"/>
      <c r="N41" s="1171"/>
    </row>
    <row r="42" spans="1:14" s="720" customFormat="1">
      <c r="B42" s="1171" t="s">
        <v>2909</v>
      </c>
      <c r="C42" s="1171"/>
      <c r="D42" s="2524">
        <v>0</v>
      </c>
      <c r="F42"/>
      <c r="L42" s="1171"/>
      <c r="M42" s="1171"/>
      <c r="N42" s="1171"/>
    </row>
    <row r="43" spans="1:14" s="720" customFormat="1">
      <c r="A43" s="1171"/>
      <c r="B43" s="2177"/>
      <c r="C43" s="2177"/>
      <c r="D43" s="2177"/>
      <c r="E43" s="2177"/>
      <c r="F43" s="2177"/>
      <c r="G43" s="1171"/>
      <c r="L43" s="1171"/>
      <c r="M43" s="1171"/>
      <c r="N43" s="1171"/>
    </row>
    <row r="44" spans="1:14" s="720" customFormat="1" ht="38.25">
      <c r="B44" s="2310" t="s">
        <v>2901</v>
      </c>
      <c r="C44" s="2311" t="s">
        <v>2827</v>
      </c>
      <c r="D44" s="2285" t="s">
        <v>4372</v>
      </c>
      <c r="E44" s="2286" t="s">
        <v>4377</v>
      </c>
      <c r="F44" s="2286" t="s">
        <v>4379</v>
      </c>
      <c r="G44" s="2181"/>
      <c r="L44" s="1171"/>
      <c r="M44" s="1171"/>
      <c r="N44" s="1171"/>
    </row>
    <row r="45" spans="1:14" s="720" customFormat="1">
      <c r="B45" s="2296" t="s">
        <v>2862</v>
      </c>
      <c r="C45" s="2297">
        <f>C21</f>
        <v>0</v>
      </c>
      <c r="D45" s="2492">
        <f>D21</f>
        <v>6</v>
      </c>
      <c r="E45" s="2291">
        <v>1</v>
      </c>
      <c r="F45" s="2298">
        <f>F21*E45</f>
        <v>4.725E-2</v>
      </c>
      <c r="G45" s="2295"/>
      <c r="L45" s="1171"/>
      <c r="M45" s="1171"/>
      <c r="N45" s="1171"/>
    </row>
    <row r="46" spans="1:14" s="720" customFormat="1">
      <c r="B46" s="2443" t="s">
        <v>2857</v>
      </c>
      <c r="C46" s="2297">
        <f t="shared" ref="C46:E54" si="1">C22</f>
        <v>1</v>
      </c>
      <c r="D46" s="2493">
        <f t="shared" si="1"/>
        <v>6</v>
      </c>
      <c r="E46" s="2298">
        <f>E45</f>
        <v>1</v>
      </c>
      <c r="F46" s="2294">
        <f>E22*E46*F45</f>
        <v>4.725E-2</v>
      </c>
      <c r="G46" s="2295"/>
      <c r="H46"/>
      <c r="I46"/>
      <c r="L46" s="1171"/>
      <c r="M46" s="1171"/>
      <c r="N46" s="1171"/>
    </row>
    <row r="47" spans="1:14" s="720" customFormat="1">
      <c r="B47" s="2444" t="s">
        <v>2853</v>
      </c>
      <c r="C47" s="2297">
        <f t="shared" si="1"/>
        <v>0</v>
      </c>
      <c r="D47" s="2493">
        <f t="shared" si="1"/>
        <v>7</v>
      </c>
      <c r="E47" s="2298">
        <f>E46</f>
        <v>1</v>
      </c>
      <c r="F47" s="2294">
        <f t="shared" ref="F47:F50" si="2">E23*E47*F46</f>
        <v>3.3075E-2</v>
      </c>
      <c r="G47" s="2295"/>
      <c r="L47" s="1171"/>
      <c r="M47" s="1171"/>
      <c r="N47" s="1171"/>
    </row>
    <row r="48" spans="1:14" s="720" customFormat="1">
      <c r="B48" s="2183" t="s">
        <v>781</v>
      </c>
      <c r="C48" s="2297">
        <f t="shared" si="1"/>
        <v>1</v>
      </c>
      <c r="D48" s="2493">
        <f t="shared" si="1"/>
        <v>7</v>
      </c>
      <c r="E48" s="2298">
        <f>E47</f>
        <v>1</v>
      </c>
      <c r="F48" s="2294">
        <f t="shared" si="2"/>
        <v>2.149875E-2</v>
      </c>
      <c r="G48" s="2295"/>
      <c r="H48" s="2292" t="s">
        <v>2828</v>
      </c>
      <c r="I48" s="2293"/>
      <c r="L48" s="1171"/>
      <c r="M48" s="1171"/>
      <c r="N48" s="1171"/>
    </row>
    <row r="49" spans="1:19" s="720" customFormat="1">
      <c r="B49" s="2183" t="s">
        <v>517</v>
      </c>
      <c r="C49" s="2297">
        <f t="shared" si="1"/>
        <v>2</v>
      </c>
      <c r="D49" s="2493">
        <f t="shared" si="1"/>
        <v>8</v>
      </c>
      <c r="E49" s="2298">
        <f>E48</f>
        <v>1</v>
      </c>
      <c r="F49" s="2294">
        <f t="shared" si="2"/>
        <v>1.2899250000000003E-2</v>
      </c>
      <c r="G49" s="2299"/>
      <c r="H49" s="2187" t="s">
        <v>2829</v>
      </c>
      <c r="I49" s="3141">
        <f>I25</f>
        <v>2000</v>
      </c>
      <c r="J49" s="720" t="str">
        <f>J25</f>
        <v>(5)</v>
      </c>
      <c r="L49" s="1171"/>
      <c r="M49" s="1171"/>
      <c r="N49" s="1171"/>
    </row>
    <row r="50" spans="1:19" s="720" customFormat="1">
      <c r="B50" s="3175" t="s">
        <v>510</v>
      </c>
      <c r="C50" s="3176">
        <f t="shared" si="1"/>
        <v>2</v>
      </c>
      <c r="D50" s="2494">
        <f t="shared" si="1"/>
        <v>10</v>
      </c>
      <c r="E50" s="3177">
        <f>E49</f>
        <v>1</v>
      </c>
      <c r="F50" s="3178">
        <f t="shared" si="2"/>
        <v>5.804662500000001E-3</v>
      </c>
      <c r="G50" s="2299"/>
      <c r="H50" s="2189" t="s">
        <v>2830</v>
      </c>
      <c r="I50" s="2190">
        <v>0.08</v>
      </c>
      <c r="J50" s="720" t="str">
        <f t="shared" ref="J50:J51" si="3">J26</f>
        <v>(6)</v>
      </c>
      <c r="L50" s="1171"/>
      <c r="M50" s="1171"/>
      <c r="N50" s="1171"/>
    </row>
    <row r="51" spans="1:19" s="720" customFormat="1">
      <c r="B51" s="2183" t="s">
        <v>518</v>
      </c>
      <c r="C51" s="2297">
        <f t="shared" si="1"/>
        <v>3</v>
      </c>
      <c r="D51" s="2493">
        <f t="shared" si="1"/>
        <v>12</v>
      </c>
      <c r="E51" s="2185">
        <f t="shared" si="1"/>
        <v>0.6</v>
      </c>
      <c r="F51" s="2186">
        <f>E51*F50</f>
        <v>3.4827975000000003E-3</v>
      </c>
      <c r="G51" s="2299"/>
      <c r="H51" s="2191" t="s">
        <v>2810</v>
      </c>
      <c r="I51" s="2192">
        <v>6</v>
      </c>
      <c r="J51" s="720" t="str">
        <f t="shared" si="3"/>
        <v>(7)</v>
      </c>
      <c r="L51" s="1171"/>
      <c r="M51" s="1171"/>
      <c r="N51" s="1171"/>
    </row>
    <row r="52" spans="1:19" s="720" customFormat="1">
      <c r="B52" s="2183" t="s">
        <v>3659</v>
      </c>
      <c r="C52" s="2297">
        <f t="shared" si="1"/>
        <v>1</v>
      </c>
      <c r="D52" s="2493">
        <f t="shared" si="1"/>
        <v>15</v>
      </c>
      <c r="E52" s="2185">
        <f t="shared" si="1"/>
        <v>0.75</v>
      </c>
      <c r="F52" s="2186">
        <f>E52*F51</f>
        <v>2.6120981250000001E-3</v>
      </c>
      <c r="G52" s="2299"/>
      <c r="H52" s="2191" t="s">
        <v>2831</v>
      </c>
      <c r="I52" s="2193" t="s">
        <v>2832</v>
      </c>
      <c r="L52" s="1171"/>
      <c r="M52" s="1171"/>
      <c r="N52" s="1171"/>
    </row>
    <row r="53" spans="1:19" s="720" customFormat="1">
      <c r="B53" s="2194" t="s">
        <v>2806</v>
      </c>
      <c r="C53" s="2297">
        <f t="shared" si="1"/>
        <v>10</v>
      </c>
      <c r="D53" s="2493">
        <f t="shared" si="1"/>
        <v>16</v>
      </c>
      <c r="E53" s="2185">
        <f t="shared" si="1"/>
        <v>1</v>
      </c>
      <c r="F53" s="2186">
        <f>E53*F52</f>
        <v>2.6120981250000001E-3</v>
      </c>
      <c r="G53" s="2299"/>
      <c r="H53" s="2195" t="s">
        <v>2833</v>
      </c>
      <c r="I53" s="2196">
        <v>10</v>
      </c>
      <c r="L53" s="1171"/>
      <c r="M53" s="1171"/>
      <c r="N53" s="1171"/>
    </row>
    <row r="54" spans="1:19" s="720" customFormat="1">
      <c r="B54" s="2197" t="s">
        <v>2808</v>
      </c>
      <c r="C54" s="2491"/>
      <c r="D54" s="2494">
        <f t="shared" si="1"/>
        <v>26</v>
      </c>
      <c r="E54" s="2199" t="s">
        <v>2807</v>
      </c>
      <c r="F54" s="2199" t="s">
        <v>2807</v>
      </c>
      <c r="G54" s="2283"/>
      <c r="L54" s="1171"/>
      <c r="M54" s="1171"/>
      <c r="N54" s="1171"/>
    </row>
    <row r="55" spans="1:19" s="720" customFormat="1">
      <c r="B55" s="2282"/>
      <c r="C55" s="2284"/>
      <c r="D55" s="2221"/>
      <c r="E55" s="2283"/>
      <c r="F55" s="2283"/>
      <c r="G55" s="2283"/>
      <c r="L55" s="1171"/>
      <c r="M55" s="1171"/>
      <c r="N55" s="1171"/>
    </row>
    <row r="56" spans="1:19" s="720" customFormat="1">
      <c r="B56" s="2478" t="s">
        <v>2854</v>
      </c>
      <c r="C56" s="2285" t="s">
        <v>4372</v>
      </c>
      <c r="D56" s="2479" t="s">
        <v>4019</v>
      </c>
      <c r="E56" s="2283"/>
      <c r="F56" s="2283"/>
      <c r="G56" s="2283"/>
      <c r="L56" s="1171"/>
      <c r="M56" s="1171"/>
      <c r="N56" s="1171"/>
    </row>
    <row r="57" spans="1:19" s="720" customFormat="1">
      <c r="B57" s="2445" t="s">
        <v>2849</v>
      </c>
      <c r="C57" s="2446">
        <f>D49</f>
        <v>8</v>
      </c>
      <c r="D57" s="2447">
        <v>0</v>
      </c>
      <c r="E57" s="2283"/>
      <c r="F57" s="2283"/>
      <c r="G57" s="2283"/>
      <c r="H57" s="1197"/>
      <c r="L57" s="1171"/>
      <c r="M57" s="1171"/>
      <c r="N57" s="1171"/>
    </row>
    <row r="58" spans="1:19" s="720" customFormat="1">
      <c r="B58" s="2444" t="s">
        <v>2850</v>
      </c>
      <c r="C58" s="2448">
        <f>D50</f>
        <v>10</v>
      </c>
      <c r="D58" s="2449">
        <v>3.5</v>
      </c>
      <c r="H58" s="1197"/>
      <c r="L58" s="1171"/>
      <c r="M58" s="1171"/>
      <c r="N58" s="1171"/>
    </row>
    <row r="59" spans="1:19" s="720" customFormat="1">
      <c r="B59" s="2444" t="s">
        <v>2851</v>
      </c>
      <c r="C59" s="2448">
        <f>D51</f>
        <v>12</v>
      </c>
      <c r="D59" s="2449">
        <v>4.5</v>
      </c>
      <c r="E59" s="2283"/>
      <c r="F59" s="2283"/>
      <c r="G59" s="2283"/>
      <c r="H59" s="1197"/>
      <c r="L59" s="1171"/>
      <c r="M59" s="1171"/>
      <c r="N59" s="1171"/>
    </row>
    <row r="60" spans="1:19" s="720" customFormat="1" ht="12.75" customHeight="1">
      <c r="B60" s="2444" t="s">
        <v>3659</v>
      </c>
      <c r="C60" s="2448">
        <f>D52</f>
        <v>15</v>
      </c>
      <c r="D60" s="2449">
        <f>7.5+5+3</f>
        <v>15.5</v>
      </c>
      <c r="E60" s="2200"/>
    </row>
    <row r="61" spans="1:19" s="720" customFormat="1">
      <c r="A61" s="1171"/>
      <c r="B61" s="2434" t="s">
        <v>160</v>
      </c>
      <c r="C61" s="2435"/>
      <c r="D61" s="2436">
        <f>SUM(D57:D60)</f>
        <v>23.5</v>
      </c>
      <c r="E61" s="2312"/>
      <c r="F61" s="2312"/>
      <c r="G61" s="2312"/>
      <c r="L61" s="1171"/>
      <c r="M61" s="1171"/>
      <c r="N61" s="1171"/>
      <c r="O61" s="1171"/>
      <c r="P61" s="1171"/>
      <c r="Q61" s="1171"/>
      <c r="R61" s="1171"/>
      <c r="S61" s="1171"/>
    </row>
    <row r="62" spans="1:19" s="720" customFormat="1" ht="12.75" customHeight="1">
      <c r="A62" s="1171"/>
      <c r="L62" s="1171"/>
      <c r="M62" s="2178"/>
      <c r="N62" s="1171"/>
      <c r="O62" s="1171"/>
      <c r="P62" s="1171"/>
      <c r="Q62" s="1171"/>
      <c r="R62" s="1171"/>
      <c r="S62" s="1171"/>
    </row>
    <row r="63" spans="1:19" s="2203" customFormat="1" ht="13.5" customHeight="1">
      <c r="E63"/>
      <c r="F63"/>
      <c r="G63" s="2201"/>
      <c r="H63" s="2201"/>
    </row>
    <row r="64" spans="1:19" s="2203" customFormat="1" ht="16.5" customHeight="1">
      <c r="B64" s="2438" t="s">
        <v>4020</v>
      </c>
      <c r="C64" s="2437"/>
      <c r="E64"/>
      <c r="F64"/>
      <c r="G64" s="2205"/>
      <c r="H64" s="2201"/>
    </row>
    <row r="65" spans="2:8" s="2203" customFormat="1" ht="12.75" customHeight="1">
      <c r="B65" s="2439"/>
      <c r="C65" s="2440"/>
      <c r="E65"/>
      <c r="F65"/>
      <c r="G65" s="2205"/>
      <c r="H65" s="2205"/>
    </row>
    <row r="66" spans="2:8" s="2203" customFormat="1" ht="12.75" customHeight="1">
      <c r="B66" s="2441" t="s">
        <v>2834</v>
      </c>
      <c r="C66" s="2442" t="s">
        <v>583</v>
      </c>
      <c r="E66"/>
      <c r="F66"/>
      <c r="G66" s="2205"/>
      <c r="H66" s="2205"/>
    </row>
    <row r="67" spans="2:8" s="2203" customFormat="1" ht="12.75" customHeight="1">
      <c r="B67" s="2204">
        <v>500</v>
      </c>
      <c r="C67" s="2204">
        <v>10</v>
      </c>
      <c r="E67"/>
      <c r="F67"/>
      <c r="G67" s="2205"/>
      <c r="H67" s="2205"/>
    </row>
    <row r="68" spans="2:8" s="2203" customFormat="1" ht="12.75" customHeight="1">
      <c r="B68" s="2204">
        <v>1000</v>
      </c>
      <c r="C68" s="2204">
        <v>25</v>
      </c>
      <c r="E68"/>
      <c r="F68"/>
      <c r="G68" s="2205"/>
      <c r="H68" s="2205"/>
    </row>
    <row r="69" spans="2:8" s="2203" customFormat="1" ht="12.75" customHeight="1">
      <c r="B69" s="2204">
        <v>2000</v>
      </c>
      <c r="C69" s="2204">
        <v>35</v>
      </c>
      <c r="E69"/>
      <c r="F69"/>
      <c r="G69" s="2205"/>
      <c r="H69" s="2205"/>
    </row>
    <row r="70" spans="2:8" s="2203" customFormat="1" ht="12.75" customHeight="1">
      <c r="B70" s="2434" t="s">
        <v>160</v>
      </c>
      <c r="C70" s="2436">
        <f>SUM(C67:C69)</f>
        <v>70</v>
      </c>
      <c r="E70"/>
      <c r="F70"/>
      <c r="G70" s="2205"/>
      <c r="H70" s="2205"/>
    </row>
    <row r="71" spans="2:8" s="2203" customFormat="1" ht="12.75" customHeight="1">
      <c r="B71" s="2428"/>
      <c r="C71" s="2213"/>
      <c r="D71" s="2206"/>
      <c r="E71"/>
      <c r="F71"/>
      <c r="G71" s="2205"/>
      <c r="H71" s="2205"/>
    </row>
    <row r="72" spans="2:8" s="2203" customFormat="1" ht="12.75" customHeight="1">
      <c r="B72" s="2438" t="s">
        <v>4021</v>
      </c>
      <c r="C72" s="2450"/>
      <c r="D72" s="2437"/>
      <c r="E72"/>
      <c r="F72"/>
      <c r="G72" s="2205"/>
      <c r="H72" s="2205"/>
    </row>
    <row r="73" spans="2:8" s="2203" customFormat="1" ht="12.75" customHeight="1">
      <c r="B73" s="2439"/>
      <c r="C73" s="1171"/>
      <c r="D73" s="2440"/>
      <c r="E73"/>
      <c r="F73"/>
      <c r="G73" s="2205"/>
      <c r="H73" s="2205"/>
    </row>
    <row r="74" spans="2:8" s="2203" customFormat="1" ht="12.75" customHeight="1">
      <c r="B74" s="2451" t="s">
        <v>2835</v>
      </c>
      <c r="C74" s="2452"/>
      <c r="D74" s="2453" t="s">
        <v>2836</v>
      </c>
      <c r="E74"/>
      <c r="F74"/>
      <c r="G74" s="2205"/>
      <c r="H74" s="2205"/>
    </row>
    <row r="75" spans="2:8" s="2203" customFormat="1" ht="12.75" customHeight="1">
      <c r="B75" s="2434" t="s">
        <v>2837</v>
      </c>
      <c r="C75" s="2454" t="s">
        <v>2838</v>
      </c>
      <c r="D75" s="2442" t="str">
        <f>C66</f>
        <v>Amount</v>
      </c>
      <c r="E75"/>
      <c r="F75"/>
      <c r="G75" s="2205"/>
      <c r="H75" s="2205"/>
    </row>
    <row r="76" spans="2:8" s="2203" customFormat="1" ht="12.75" customHeight="1">
      <c r="B76" s="2207">
        <v>0</v>
      </c>
      <c r="C76" s="2208">
        <v>500</v>
      </c>
      <c r="D76" s="2455">
        <v>0.04</v>
      </c>
      <c r="E76"/>
      <c r="F76"/>
      <c r="G76" s="2205"/>
      <c r="H76" s="2205"/>
    </row>
    <row r="77" spans="2:8" s="2203" customFormat="1" ht="12.75" customHeight="1">
      <c r="B77" s="2207">
        <f>C76</f>
        <v>500</v>
      </c>
      <c r="C77" s="2208">
        <v>1500</v>
      </c>
      <c r="D77" s="2209">
        <v>0.05</v>
      </c>
      <c r="E77"/>
      <c r="F77"/>
      <c r="G77" s="2205"/>
      <c r="H77" s="2205"/>
    </row>
    <row r="78" spans="2:8" s="2203" customFormat="1" ht="12.75" customHeight="1">
      <c r="B78" s="2210">
        <v>1500</v>
      </c>
      <c r="C78" s="2211" t="s">
        <v>13</v>
      </c>
      <c r="D78" s="2212">
        <v>0.06</v>
      </c>
      <c r="E78"/>
      <c r="F78"/>
      <c r="G78" s="2205"/>
      <c r="H78" s="2205"/>
    </row>
    <row r="79" spans="2:8" s="2203" customFormat="1" ht="12.75" customHeight="1">
      <c r="B79" s="2428"/>
      <c r="C79" s="2213"/>
      <c r="D79" s="2206"/>
      <c r="E79"/>
      <c r="F79"/>
      <c r="G79" s="2205"/>
      <c r="H79" s="2205"/>
    </row>
    <row r="80" spans="2:8" s="720" customFormat="1">
      <c r="B80" s="2166" t="s">
        <v>86</v>
      </c>
    </row>
    <row r="81" spans="1:9" s="720" customFormat="1" ht="12.75" customHeight="1">
      <c r="A81" s="2167" t="s">
        <v>210</v>
      </c>
      <c r="B81" s="2219" t="str">
        <f>"Refer to "&amp;'WACC CAPM_rNPV'!B3&amp;"."</f>
        <v>Refer to Workpaper #12.</v>
      </c>
      <c r="C81" s="2219"/>
      <c r="D81" s="2219"/>
      <c r="E81" s="2219"/>
      <c r="F81" s="2219"/>
      <c r="G81" s="2219"/>
      <c r="H81" s="2219"/>
      <c r="I81" s="2219"/>
    </row>
    <row r="82" spans="1:9" s="720" customFormat="1" ht="12.75" customHeight="1">
      <c r="A82" s="2167" t="s">
        <v>209</v>
      </c>
      <c r="B82" s="2219" t="s">
        <v>2839</v>
      </c>
      <c r="C82" s="2219"/>
      <c r="D82" s="2219"/>
      <c r="E82" s="2219"/>
      <c r="F82" s="2219"/>
      <c r="G82" s="2219"/>
      <c r="H82" s="2219"/>
      <c r="I82" s="2219"/>
    </row>
    <row r="83" spans="1:9" s="720" customFormat="1" ht="12.75" customHeight="1">
      <c r="A83" s="2167" t="s">
        <v>246</v>
      </c>
      <c r="B83" s="3142" t="s">
        <v>2935</v>
      </c>
      <c r="C83" s="2219"/>
      <c r="D83" s="2219"/>
      <c r="E83" s="2219"/>
      <c r="F83" s="2219"/>
      <c r="G83" s="2219"/>
      <c r="H83" s="2219"/>
      <c r="I83" s="2219"/>
    </row>
    <row r="84" spans="1:9" s="720" customFormat="1" ht="12.75" customHeight="1">
      <c r="A84" s="763" t="s">
        <v>247</v>
      </c>
      <c r="B84" s="2219" t="str">
        <f>"Based on the published studies and discussions with Management. Refer to"&amp;'PoTS _rNPV'!B3&amp;"."</f>
        <v>Based on the published studies and discussions with Management. Refer toWorkpaper #19.</v>
      </c>
      <c r="C84" s="2219"/>
      <c r="D84" s="2219"/>
      <c r="E84" s="2219"/>
      <c r="F84" s="2219"/>
      <c r="G84" s="2219"/>
      <c r="H84" s="2219"/>
      <c r="I84" s="2219"/>
    </row>
    <row r="85" spans="1:9" s="720" customFormat="1" ht="25.5" customHeight="1">
      <c r="A85" s="763" t="s">
        <v>248</v>
      </c>
      <c r="B85" s="3253" t="str">
        <f>"Refer to "&amp;'Diabetes_WW Summary'!B3&amp;" for peak sales of drugs in "&amp;C18&amp;". Given the very early stage of the Agreement, we considered lower peak sales for the product candidates. Assumed similar peak sales for "&amp;B40&amp;", considering the indication will be complementary to "&amp;C18&amp;"."</f>
        <v>Refer to Workpaper #15 for peak sales of drugs in Diabetes. Given the very early stage of the Agreement, we considered lower peak sales for the product candidates. Assumed similar peak sales for Indication #4, considering the indication will be complementary to Diabetes.</v>
      </c>
      <c r="C85" s="3253"/>
      <c r="D85" s="3253"/>
      <c r="E85" s="3253"/>
      <c r="F85" s="3253"/>
      <c r="G85" s="3253"/>
      <c r="H85" s="3253"/>
      <c r="I85" s="3253"/>
    </row>
    <row r="86" spans="1:9" s="720" customFormat="1">
      <c r="A86" s="763" t="s">
        <v>273</v>
      </c>
      <c r="B86" s="2219" t="s">
        <v>2804</v>
      </c>
      <c r="C86" s="2219"/>
      <c r="D86" s="2219"/>
      <c r="E86" s="2219"/>
      <c r="F86" s="2219"/>
      <c r="G86" s="2219"/>
      <c r="H86" s="2219"/>
      <c r="I86" s="2219"/>
    </row>
    <row r="87" spans="1:9" s="720" customFormat="1" ht="12.75" customHeight="1">
      <c r="A87" s="763" t="s">
        <v>274</v>
      </c>
      <c r="B87" s="2219" t="str">
        <f>"Refer to "&amp;'Penetration Curves'!B3&amp;" and "&amp;'Timeline and Cost Research'!B3&amp;"."</f>
        <v>Refer to Workpaper #10 and Workpaper #17.</v>
      </c>
      <c r="C87" s="2219"/>
      <c r="D87" s="2219"/>
      <c r="E87" s="2219"/>
      <c r="F87" s="2219"/>
      <c r="G87" s="2219"/>
      <c r="H87" s="2219"/>
      <c r="I87" s="2219"/>
    </row>
    <row r="88" spans="1:9" s="720" customFormat="1" ht="26.25" customHeight="1">
      <c r="A88" s="763" t="s">
        <v>275</v>
      </c>
      <c r="B88" s="3253" t="str">
        <f>"The individual success probabilities for "&amp;B40&amp;" are "&amp;TEXT(E45,"0.0%")&amp;" up to Phase II, depending on the cumulative success probabilities of "&amp;C18&amp;". The individual success probabilies for Phase III onwards would be dependent on the respective trials for "&amp;B40&amp;" and are assumed to be same as "&amp;C18&amp;" for the purpose of our analysis."</f>
        <v>The individual success probabilities for Indication #4 are 100.0% up to Phase II, depending on the cumulative success probabilities of Diabetes. The individual success probabilies for Phase III onwards would be dependent on the respective trials for Indication #4 and are assumed to be same as Diabetes for the purpose of our analysis.</v>
      </c>
      <c r="C88" s="3253"/>
      <c r="D88" s="3253"/>
      <c r="E88" s="3253"/>
      <c r="F88" s="3253"/>
      <c r="G88" s="3253"/>
      <c r="H88" s="3253"/>
      <c r="I88" s="3253"/>
    </row>
    <row r="89" spans="1:9" s="720" customFormat="1"/>
    <row r="90" spans="1:9" s="720" customFormat="1"/>
    <row r="91" spans="1:9" s="720" customFormat="1"/>
    <row r="92" spans="1:9" s="720" customFormat="1"/>
    <row r="93" spans="1:9" s="720" customFormat="1"/>
    <row r="94" spans="1:9" s="720" customFormat="1"/>
    <row r="95" spans="1:9" s="720" customFormat="1"/>
    <row r="96" spans="1:9" s="720" customFormat="1"/>
    <row r="97" s="720" customFormat="1"/>
    <row r="98" s="720" customFormat="1"/>
    <row r="99" s="720" customFormat="1"/>
    <row r="100" s="720" customFormat="1"/>
    <row r="101" s="720" customFormat="1"/>
    <row r="102" s="720" customFormat="1"/>
    <row r="103" s="720" customFormat="1"/>
    <row r="104" s="720" customFormat="1"/>
    <row r="105" s="720" customFormat="1"/>
    <row r="106" s="720" customFormat="1"/>
    <row r="107" s="720" customFormat="1"/>
    <row r="108" s="720" customFormat="1"/>
    <row r="109" s="720" customFormat="1"/>
    <row r="110" s="720" customFormat="1"/>
    <row r="111" s="720" customFormat="1"/>
    <row r="112" s="720" customFormat="1"/>
    <row r="113" s="720" customFormat="1"/>
    <row r="114" s="720" customFormat="1"/>
    <row r="115" s="720" customFormat="1"/>
    <row r="116" s="720" customFormat="1"/>
    <row r="117" s="720" customFormat="1"/>
    <row r="118" s="720" customFormat="1"/>
    <row r="119" s="720" customFormat="1"/>
    <row r="120" s="720" customFormat="1"/>
    <row r="121" s="720" customFormat="1"/>
    <row r="122" s="720" customFormat="1"/>
    <row r="123" s="720" customFormat="1"/>
    <row r="124" s="720" customFormat="1"/>
    <row r="125" s="720" customFormat="1"/>
    <row r="126" s="720" customFormat="1"/>
    <row r="127" s="720" customFormat="1"/>
    <row r="128" s="720" customFormat="1"/>
    <row r="129" s="720" customFormat="1"/>
    <row r="130" s="720" customFormat="1"/>
    <row r="131" s="720" customFormat="1"/>
    <row r="132" s="720" customFormat="1"/>
    <row r="133" s="720" customFormat="1"/>
    <row r="134" s="720" customFormat="1"/>
    <row r="135" s="720" customFormat="1"/>
    <row r="136" s="720" customFormat="1"/>
    <row r="137" s="720" customFormat="1"/>
    <row r="138" s="720" customFormat="1"/>
    <row r="139" s="720" customFormat="1"/>
    <row r="140" s="720" customFormat="1"/>
    <row r="141" s="720" customFormat="1"/>
    <row r="142" s="720" customFormat="1"/>
    <row r="143" s="720" customFormat="1"/>
    <row r="144" s="720" customFormat="1"/>
    <row r="145" s="720" customFormat="1"/>
    <row r="146" s="720" customFormat="1"/>
    <row r="147" s="720" customFormat="1"/>
    <row r="148" s="720" customFormat="1"/>
    <row r="149" s="720" customFormat="1"/>
    <row r="150" s="720" customFormat="1"/>
    <row r="151" s="720" customFormat="1"/>
    <row r="152" s="720" customFormat="1"/>
    <row r="153" s="720" customFormat="1"/>
    <row r="154" s="720" customFormat="1"/>
    <row r="155" s="720" customFormat="1"/>
    <row r="156" s="720" customFormat="1"/>
    <row r="157" s="720" customFormat="1"/>
    <row r="158" s="720" customFormat="1"/>
    <row r="159" s="720" customFormat="1"/>
    <row r="160" s="720" customFormat="1"/>
    <row r="161" s="720" customFormat="1"/>
    <row r="162" s="720" customFormat="1"/>
    <row r="163" s="720" customFormat="1"/>
    <row r="164" s="720" customFormat="1"/>
    <row r="165" s="720" customFormat="1"/>
    <row r="166" s="720" customFormat="1"/>
    <row r="167" s="720" customFormat="1"/>
    <row r="168" s="720" customFormat="1"/>
    <row r="169" s="720" customFormat="1"/>
    <row r="170" s="720" customFormat="1"/>
    <row r="171" s="720" customFormat="1"/>
    <row r="172" s="720" customFormat="1"/>
    <row r="173" s="720" customFormat="1"/>
    <row r="174" s="720" customFormat="1"/>
    <row r="175" s="720" customFormat="1"/>
    <row r="176" s="720" customFormat="1"/>
    <row r="177" s="720" customFormat="1"/>
    <row r="178" s="720" customFormat="1"/>
    <row r="179" s="720" customFormat="1"/>
    <row r="180" s="720" customFormat="1"/>
    <row r="181" s="720" customFormat="1"/>
    <row r="182" s="720" customFormat="1"/>
    <row r="183" s="720" customFormat="1"/>
    <row r="184" s="720" customFormat="1"/>
    <row r="185" s="720" customFormat="1"/>
    <row r="186" s="720" customFormat="1"/>
    <row r="187" s="720" customFormat="1"/>
    <row r="188" s="720" customFormat="1"/>
    <row r="189" s="720" customFormat="1"/>
    <row r="190" s="720" customFormat="1"/>
    <row r="191" s="720" customFormat="1"/>
    <row r="192" s="720" customFormat="1"/>
    <row r="193" s="720" customFormat="1"/>
    <row r="194" s="720" customFormat="1"/>
    <row r="195" s="720" customFormat="1"/>
    <row r="196" s="720" customFormat="1"/>
    <row r="197" s="720" customFormat="1"/>
    <row r="198" s="720" customFormat="1"/>
    <row r="199" s="720" customFormat="1"/>
    <row r="200" s="720" customFormat="1"/>
    <row r="201" s="720" customFormat="1"/>
    <row r="202" s="720" customFormat="1"/>
    <row r="203" s="720" customFormat="1"/>
    <row r="204" s="720" customFormat="1"/>
    <row r="205" s="720" customFormat="1"/>
    <row r="206" s="720" customFormat="1"/>
    <row r="207" s="720" customFormat="1"/>
    <row r="208" s="720" customFormat="1"/>
    <row r="209" s="720" customFormat="1"/>
    <row r="210" s="720" customFormat="1"/>
    <row r="211" s="720" customFormat="1"/>
    <row r="212" s="720" customFormat="1"/>
    <row r="213" s="720" customFormat="1"/>
    <row r="214" s="720" customFormat="1"/>
    <row r="215" s="720" customFormat="1"/>
    <row r="216" s="720" customFormat="1"/>
    <row r="217" s="720" customFormat="1"/>
    <row r="218" s="720" customFormat="1"/>
    <row r="219" s="720" customFormat="1"/>
    <row r="220" s="720" customFormat="1"/>
    <row r="221" s="720" customFormat="1"/>
    <row r="222" s="720" customFormat="1"/>
    <row r="223" s="720" customFormat="1"/>
    <row r="224" s="720" customFormat="1"/>
    <row r="225" s="720" customFormat="1"/>
    <row r="226" s="720" customFormat="1"/>
    <row r="227" s="720" customFormat="1"/>
    <row r="228" s="720" customFormat="1"/>
    <row r="229" s="720" customFormat="1"/>
    <row r="230" s="720" customFormat="1"/>
    <row r="231" s="720" customFormat="1"/>
    <row r="232" s="720" customFormat="1"/>
    <row r="233" s="720" customFormat="1"/>
    <row r="234" s="720" customFormat="1"/>
    <row r="235" s="720" customFormat="1"/>
    <row r="236" s="720" customFormat="1"/>
    <row r="237" s="720" customFormat="1"/>
    <row r="238" s="720" customFormat="1"/>
    <row r="239" s="720" customFormat="1"/>
    <row r="240" s="720" customFormat="1"/>
    <row r="241" s="720" customFormat="1"/>
    <row r="242" s="720" customFormat="1"/>
    <row r="243" s="720" customFormat="1"/>
    <row r="244" s="720" customFormat="1"/>
    <row r="245" s="720" customFormat="1"/>
    <row r="246" s="720" customFormat="1"/>
    <row r="247" s="720" customFormat="1"/>
    <row r="248" s="720" customFormat="1"/>
    <row r="249" s="720" customFormat="1"/>
    <row r="250" s="720" customFormat="1"/>
    <row r="251" s="720" customFormat="1"/>
    <row r="252" s="720" customFormat="1"/>
    <row r="253" s="720" customFormat="1"/>
  </sheetData>
  <mergeCells count="2">
    <mergeCell ref="B85:I85"/>
    <mergeCell ref="B88:I88"/>
  </mergeCells>
  <conditionalFormatting sqref="B4:H4">
    <cfRule type="cellIs" dxfId="379" priority="3" stopIfTrue="1" operator="equal">
      <formula>"input"</formula>
    </cfRule>
  </conditionalFormatting>
  <conditionalFormatting sqref="I4">
    <cfRule type="cellIs" dxfId="378" priority="2" stopIfTrue="1" operator="equal">
      <formula>"input"</formula>
    </cfRule>
  </conditionalFormatting>
  <conditionalFormatting sqref="C12:D12">
    <cfRule type="duplicateValues" dxfId="377" priority="1"/>
  </conditionalFormatting>
  <dataValidations count="1">
    <dataValidation type="list" allowBlank="1" showInputMessage="1" showErrorMessage="1" sqref="D42">
      <formula1>$L$39:$L$40</formula1>
    </dataValidation>
  </dataValidations>
  <pageMargins left="0.5" right="0.5" top="0.5" bottom="0.5" header="0.5" footer="0.5"/>
  <pageSetup scale="90" orientation="landscape" r:id="rId1"/>
  <rowBreaks count="2" manualBreakCount="2">
    <brk id="39" max="9" man="1"/>
    <brk id="62" max="9" man="1"/>
  </rowBreak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FC69"/>
  <sheetViews>
    <sheetView showGridLines="0" view="pageBreakPreview" topLeftCell="A38" zoomScale="85" zoomScaleNormal="100" zoomScaleSheetLayoutView="85" workbookViewId="0">
      <selection activeCell="D31" sqref="D31"/>
    </sheetView>
  </sheetViews>
  <sheetFormatPr defaultColWidth="9.33203125" defaultRowHeight="12.75" outlineLevelRow="1" outlineLevelCol="1"/>
  <cols>
    <col min="1" max="1" width="4.5" style="720" customWidth="1"/>
    <col min="2" max="2" width="41.5" style="720" customWidth="1"/>
    <col min="3" max="3" width="12.83203125" style="720" customWidth="1"/>
    <col min="4" max="5" width="4.1640625" style="720" customWidth="1"/>
    <col min="6" max="10" width="18.83203125" style="720" hidden="1" customWidth="1" outlineLevel="1"/>
    <col min="11" max="11" width="23.83203125" style="720" customWidth="1" collapsed="1"/>
    <col min="12" max="18" width="23.83203125" style="720" customWidth="1"/>
    <col min="19" max="25" width="27.33203125" style="720" customWidth="1"/>
    <col min="26" max="31" width="31.1640625" style="720" customWidth="1"/>
    <col min="32" max="33" width="13.83203125" style="720" hidden="1" customWidth="1" outlineLevel="1"/>
    <col min="34" max="34" width="4.5" style="1984" customWidth="1" collapsed="1"/>
    <col min="35" max="16384" width="9.33203125" style="720"/>
  </cols>
  <sheetData>
    <row r="1" spans="1:41" s="2168" customFormat="1" ht="13.5" thickBot="1">
      <c r="AH1" s="2222"/>
    </row>
    <row r="2" spans="1:41" s="2168" customFormat="1" ht="16.5"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2222"/>
      <c r="AJ2" s="720"/>
      <c r="AK2" s="720"/>
      <c r="AL2" s="720"/>
      <c r="AM2" s="720"/>
      <c r="AN2" s="720"/>
      <c r="AO2" s="720"/>
    </row>
    <row r="3" spans="1:41" s="2168" customFormat="1" ht="15.75">
      <c r="B3" s="11" t="str">
        <f>VLOOKUP(B4,Outline!$E$8:$G$69,COLUMNS(Outline!$E$8:$G$8),FALSE)</f>
        <v>Workpaper #7</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2222"/>
      <c r="AJ3" s="720"/>
      <c r="AK3" s="720"/>
      <c r="AL3" s="720"/>
      <c r="AM3" s="720"/>
      <c r="AN3" s="720"/>
      <c r="AO3" s="720"/>
    </row>
    <row r="4" spans="1:41" s="2168" customFormat="1" ht="15.75" customHeight="1" thickBot="1">
      <c r="B4" s="12" t="s">
        <v>4016</v>
      </c>
      <c r="C4" s="12"/>
      <c r="D4" s="12"/>
      <c r="E4" s="12"/>
      <c r="F4" s="12"/>
      <c r="G4" s="12"/>
      <c r="H4" s="12"/>
      <c r="I4" s="12"/>
      <c r="J4" s="12"/>
      <c r="K4" s="13"/>
      <c r="L4" s="12"/>
      <c r="M4" s="13"/>
      <c r="N4" s="12"/>
      <c r="O4" s="12"/>
      <c r="P4" s="12"/>
      <c r="Q4" s="12"/>
      <c r="R4" s="13" t="str">
        <f>'MASTER PubCo Inputs'!$C$24</f>
        <v>(in millions of USD)</v>
      </c>
      <c r="S4" s="12"/>
      <c r="T4" s="13"/>
      <c r="U4" s="13"/>
      <c r="V4" s="13"/>
      <c r="W4" s="12"/>
      <c r="X4" s="12"/>
      <c r="Y4" s="13" t="str">
        <f>'MASTER PubCo Inputs'!$C$24</f>
        <v>(in millions of USD)</v>
      </c>
      <c r="Z4" s="12"/>
      <c r="AA4" s="12"/>
      <c r="AB4" s="13"/>
      <c r="AC4" s="13"/>
      <c r="AD4" s="13"/>
      <c r="AE4" s="13" t="str">
        <f>'MASTER PubCo Inputs'!$C$24</f>
        <v>(in millions of USD)</v>
      </c>
      <c r="AF4" s="12"/>
      <c r="AG4" s="13" t="str">
        <f>'MASTER PubCo Inputs'!$C$24</f>
        <v>(in millions of USD)</v>
      </c>
      <c r="AH4" s="2222"/>
      <c r="AI4" s="720"/>
      <c r="AJ4" s="720"/>
      <c r="AK4" s="720"/>
      <c r="AL4" s="720"/>
      <c r="AM4" s="720"/>
      <c r="AN4" s="720"/>
      <c r="AO4" s="720"/>
    </row>
    <row r="5" spans="1:41" ht="13.5" thickTop="1"/>
    <row r="6" spans="1:41">
      <c r="B6" s="2223" t="str">
        <f>'rNPV Assumptions_Diabetes'!C18</f>
        <v>Diabetes</v>
      </c>
    </row>
    <row r="8" spans="1:41">
      <c r="A8" s="1171"/>
      <c r="B8" s="2224" t="s">
        <v>2840</v>
      </c>
      <c r="C8" s="2225"/>
      <c r="D8" s="2225"/>
      <c r="E8" s="2475"/>
      <c r="F8" s="2290">
        <v>1</v>
      </c>
      <c r="G8" s="2290">
        <f>+F8+1</f>
        <v>2</v>
      </c>
      <c r="H8" s="2290">
        <f t="shared" ref="H8:AG8" si="0">+G8+1</f>
        <v>3</v>
      </c>
      <c r="I8" s="2290">
        <f t="shared" si="0"/>
        <v>4</v>
      </c>
      <c r="J8" s="2290">
        <f t="shared" si="0"/>
        <v>5</v>
      </c>
      <c r="K8" s="2290">
        <f t="shared" si="0"/>
        <v>6</v>
      </c>
      <c r="L8" s="2290">
        <f t="shared" si="0"/>
        <v>7</v>
      </c>
      <c r="M8" s="2290">
        <f t="shared" si="0"/>
        <v>8</v>
      </c>
      <c r="N8" s="2290">
        <f t="shared" si="0"/>
        <v>9</v>
      </c>
      <c r="O8" s="2290">
        <f t="shared" si="0"/>
        <v>10</v>
      </c>
      <c r="P8" s="2290">
        <f t="shared" si="0"/>
        <v>11</v>
      </c>
      <c r="Q8" s="2290">
        <f t="shared" si="0"/>
        <v>12</v>
      </c>
      <c r="R8" s="3170">
        <f t="shared" si="0"/>
        <v>13</v>
      </c>
      <c r="S8" s="2290">
        <f t="shared" si="0"/>
        <v>14</v>
      </c>
      <c r="T8" s="2290">
        <f t="shared" si="0"/>
        <v>15</v>
      </c>
      <c r="U8" s="2290">
        <f t="shared" si="0"/>
        <v>16</v>
      </c>
      <c r="V8" s="2290">
        <f t="shared" si="0"/>
        <v>17</v>
      </c>
      <c r="W8" s="2290">
        <f t="shared" si="0"/>
        <v>18</v>
      </c>
      <c r="X8" s="2290">
        <f t="shared" si="0"/>
        <v>19</v>
      </c>
      <c r="Y8" s="3170">
        <f t="shared" si="0"/>
        <v>20</v>
      </c>
      <c r="Z8" s="2290">
        <f t="shared" si="0"/>
        <v>21</v>
      </c>
      <c r="AA8" s="2290">
        <f t="shared" si="0"/>
        <v>22</v>
      </c>
      <c r="AB8" s="2290">
        <f t="shared" si="0"/>
        <v>23</v>
      </c>
      <c r="AC8" s="2290">
        <f t="shared" si="0"/>
        <v>24</v>
      </c>
      <c r="AD8" s="2290">
        <f t="shared" si="0"/>
        <v>25</v>
      </c>
      <c r="AE8" s="3005">
        <f t="shared" si="0"/>
        <v>26</v>
      </c>
      <c r="AF8" s="2290">
        <f t="shared" si="0"/>
        <v>27</v>
      </c>
      <c r="AG8" s="3005">
        <f t="shared" si="0"/>
        <v>28</v>
      </c>
    </row>
    <row r="9" spans="1:41" ht="47.25" customHeight="1">
      <c r="A9" s="1171"/>
      <c r="B9" s="2226" t="s">
        <v>514</v>
      </c>
      <c r="C9" s="2227"/>
      <c r="D9" s="2227"/>
      <c r="E9" s="2529"/>
      <c r="F9" s="2227">
        <f>IFERROR(INDEX('rNPV Assumptions_Diabetes'!$B$21:$D$30,MATCH(F$8,'rNPV Assumptions_Diabetes'!$D$21:$D$30,0),1),E9)</f>
        <v>0</v>
      </c>
      <c r="G9" s="2227">
        <f>IFERROR(INDEX('rNPV Assumptions_Diabetes'!$B$21:$D$30,MATCH(G$8,'rNPV Assumptions_Diabetes'!$D$21:$D$30,0),1),F9)</f>
        <v>0</v>
      </c>
      <c r="H9" s="2227">
        <f>IFERROR(INDEX('rNPV Assumptions_Diabetes'!$B$21:$D$30,MATCH(H$8,'rNPV Assumptions_Diabetes'!$D$21:$D$30,0),1),G9)</f>
        <v>0</v>
      </c>
      <c r="I9" s="2227">
        <f>IFERROR(INDEX('rNPV Assumptions_Diabetes'!$B$21:$D$30,MATCH(I$8,'rNPV Assumptions_Diabetes'!$D$21:$D$30,0),1),H9)</f>
        <v>0</v>
      </c>
      <c r="J9" s="2227">
        <f>IFERROR(INDEX('rNPV Assumptions_Diabetes'!$B$21:$D$30,MATCH(J$8,'rNPV Assumptions_Diabetes'!$D$21:$D$30,0),1),I9)</f>
        <v>0</v>
      </c>
      <c r="K9" s="2227" t="str">
        <f>IFERROR(INDEX('rNPV Assumptions_Diabetes'!$B$21:$D$30,MATCH(K$8,'rNPV Assumptions_Diabetes'!$D$21:$D$30,0),1),J9)</f>
        <v>Ligand Option Exercise</v>
      </c>
      <c r="L9" s="2227" t="str">
        <f>IFERROR(INDEX('rNPV Assumptions_Diabetes'!$B$21:$D$30,MATCH(L$8,'rNPV Assumptions_Diabetes'!$D$21:$D$30,0),1),K9)</f>
        <v>Development Lead Selection</v>
      </c>
      <c r="M9" s="2227" t="str">
        <f>IFERROR(INDEX('rNPV Assumptions_Diabetes'!$B$21:$D$30,MATCH(M$8,'rNPV Assumptions_Diabetes'!$D$21:$D$30,0),1),L9)</f>
        <v>Phase I</v>
      </c>
      <c r="N9" s="2227" t="str">
        <f>IFERROR(INDEX('rNPV Assumptions_Diabetes'!$B$21:$D$30,MATCH(N$8,'rNPV Assumptions_Diabetes'!$D$21:$D$30,0),1),M9)</f>
        <v>Phase I</v>
      </c>
      <c r="O9" s="2227" t="str">
        <f>IFERROR(INDEX('rNPV Assumptions_Diabetes'!$B$21:$D$30,MATCH(O$8,'rNPV Assumptions_Diabetes'!$D$21:$D$30,0),1),N9)</f>
        <v>Phase II</v>
      </c>
      <c r="P9" s="2227" t="str">
        <f>IFERROR(INDEX('rNPV Assumptions_Diabetes'!$B$21:$D$30,MATCH(P$8,'rNPV Assumptions_Diabetes'!$D$21:$D$30,0),1),O9)</f>
        <v>Phase II</v>
      </c>
      <c r="Q9" s="2227" t="str">
        <f>IFERROR(INDEX('rNPV Assumptions_Diabetes'!$B$21:$D$30,MATCH(Q$8,'rNPV Assumptions_Diabetes'!$D$21:$D$30,0),1),P9)</f>
        <v>Phase III</v>
      </c>
      <c r="R9" s="2501" t="str">
        <f>IFERROR(INDEX('rNPV Assumptions_Diabetes'!$B$21:$D$30,MATCH(R$8,'rNPV Assumptions_Diabetes'!$D$21:$D$30,0),1),Q9)</f>
        <v>Phase III</v>
      </c>
      <c r="S9" s="2227" t="str">
        <f>IFERROR(INDEX('rNPV Assumptions_Diabetes'!$B$21:$D$30,MATCH(S$8,'rNPV Assumptions_Diabetes'!$D$21:$D$30,0),1),R9)</f>
        <v>Phase III</v>
      </c>
      <c r="T9" s="2227" t="str">
        <f>IFERROR(INDEX('rNPV Assumptions_Diabetes'!$B$21:$D$30,MATCH(T$8,'rNPV Assumptions_Diabetes'!$D$21:$D$30,0),1),S9)</f>
        <v>Regulatory Approval FDA/EMA/JP</v>
      </c>
      <c r="U9" s="2227" t="str">
        <f>IFERROR(INDEX('rNPV Assumptions_Diabetes'!$B$21:$D$30,MATCH(U$8,'rNPV Assumptions_Diabetes'!$D$21:$D$30,0),1),T9)</f>
        <v>Commercial</v>
      </c>
      <c r="V9" s="2227" t="str">
        <f>IFERROR(INDEX('rNPV Assumptions_Diabetes'!$B$21:$D$30,MATCH(V$8,'rNPV Assumptions_Diabetes'!$D$21:$D$30,0),1),U9)</f>
        <v>Commercial</v>
      </c>
      <c r="W9" s="2227" t="str">
        <f>IFERROR(INDEX('rNPV Assumptions_Diabetes'!$B$21:$D$30,MATCH(W$8,'rNPV Assumptions_Diabetes'!$D$21:$D$30,0),1),V9)</f>
        <v>Commercial</v>
      </c>
      <c r="X9" s="2227" t="str">
        <f>IFERROR(INDEX('rNPV Assumptions_Diabetes'!$B$21:$D$30,MATCH(X$8,'rNPV Assumptions_Diabetes'!$D$21:$D$30,0),1),W9)</f>
        <v>Commercial</v>
      </c>
      <c r="Y9" s="2501" t="str">
        <f>IFERROR(INDEX('rNPV Assumptions_Diabetes'!$B$21:$D$30,MATCH(Y$8,'rNPV Assumptions_Diabetes'!$D$21:$D$30,0),1),X9)</f>
        <v>Commercial</v>
      </c>
      <c r="Z9" s="2227" t="str">
        <f>IFERROR(INDEX('rNPV Assumptions_Diabetes'!$B$21:$D$30,MATCH(Z$8,'rNPV Assumptions_Diabetes'!$D$21:$D$30,0),1),Y9)</f>
        <v>Commercial</v>
      </c>
      <c r="AA9" s="2227" t="str">
        <f>IFERROR(INDEX('rNPV Assumptions_Diabetes'!$B$21:$D$30,MATCH(AA$8,'rNPV Assumptions_Diabetes'!$D$21:$D$30,0),1),Z9)</f>
        <v>Commercial</v>
      </c>
      <c r="AB9" s="2227" t="str">
        <f>IFERROR(INDEX('rNPV Assumptions_Diabetes'!$B$21:$D$30,MATCH(AB$8,'rNPV Assumptions_Diabetes'!$D$21:$D$30,0),1),AA9)</f>
        <v>Commercial</v>
      </c>
      <c r="AC9" s="2227" t="str">
        <f>IFERROR(INDEX('rNPV Assumptions_Diabetes'!$B$21:$D$30,MATCH(AC$8,'rNPV Assumptions_Diabetes'!$D$21:$D$30,0),1),AB9)</f>
        <v>Commercial</v>
      </c>
      <c r="AD9" s="2227" t="str">
        <f>IFERROR(INDEX('rNPV Assumptions_Diabetes'!$B$21:$D$30,MATCH(AD$8,'rNPV Assumptions_Diabetes'!$D$21:$D$30,0),1),AC9)</f>
        <v>Commercial</v>
      </c>
      <c r="AE9" s="2501" t="str">
        <f>IFERROR(INDEX('rNPV Assumptions_Diabetes'!$B$21:$D$30,MATCH(AE$8,'rNPV Assumptions_Diabetes'!$D$21:$D$30,0),1),AD9)</f>
        <v>Loss of Exclusivity</v>
      </c>
      <c r="AF9" s="2227" t="str">
        <f>IFERROR(INDEX('rNPV Assumptions_Diabetes'!$B$21:$D$30,MATCH(AF$8,'rNPV Assumptions_Diabetes'!$D$21:$D$30,0),1),AE9)</f>
        <v>Loss of Exclusivity</v>
      </c>
      <c r="AG9" s="2501" t="str">
        <f>IFERROR(INDEX('rNPV Assumptions_Diabetes'!$B$21:$D$30,MATCH(AG$8,'rNPV Assumptions_Diabetes'!$D$21:$D$30,0),1),AF9)</f>
        <v>Loss of Exclusivity</v>
      </c>
    </row>
    <row r="10" spans="1:41" s="1984" customFormat="1" ht="37.5" hidden="1" customHeight="1" outlineLevel="1">
      <c r="A10" s="2202"/>
      <c r="B10" s="2228" t="s">
        <v>2841</v>
      </c>
      <c r="C10" s="2229"/>
      <c r="D10" s="2229"/>
      <c r="E10" s="2229"/>
      <c r="F10" s="2230">
        <f>IF(F9='rNPV Assumptions_Diabetes'!$B$29,COUNTIF(F$9:$O9,'rNPV Assumptions_Diabetes'!$B$29),0)</f>
        <v>0</v>
      </c>
      <c r="G10" s="2230">
        <f>IF(G9='rNPV Assumptions_Diabetes'!$B$29,COUNTIF(G$9:$O9,'rNPV Assumptions_Diabetes'!$B$29),0)</f>
        <v>0</v>
      </c>
      <c r="H10" s="2230">
        <f>IF(H9='rNPV Assumptions_Diabetes'!$B$29,COUNTIF(H$9:$O9,'rNPV Assumptions_Diabetes'!$B$29),0)</f>
        <v>0</v>
      </c>
      <c r="I10" s="2230">
        <f>IF(I9='rNPV Assumptions_Diabetes'!$B$29,COUNTIF(I$9:$O9,'rNPV Assumptions_Diabetes'!$B$29),0)</f>
        <v>0</v>
      </c>
      <c r="J10" s="2230">
        <f>IF(J9='rNPV Assumptions_Diabetes'!$B$29,COUNTIF(J$9:$O9,'rNPV Assumptions_Diabetes'!$B$29),0)</f>
        <v>0</v>
      </c>
      <c r="K10" s="2230">
        <f>IF(K9='rNPV Assumptions_Diabetes'!$B$29,COUNTIF(K$9:$O9,'rNPV Assumptions_Diabetes'!$B$29),0)</f>
        <v>0</v>
      </c>
      <c r="L10" s="2230">
        <f>IF(L9='rNPV Assumptions_Diabetes'!$B$29,COUNTIF(L$9:$O9,'rNPV Assumptions_Diabetes'!$B$29),0)</f>
        <v>0</v>
      </c>
      <c r="M10" s="2230">
        <f>IF(M9='rNPV Assumptions_Diabetes'!$B$29,COUNTIF(M$9:$O9,'rNPV Assumptions_Diabetes'!$B$29),0)</f>
        <v>0</v>
      </c>
      <c r="N10" s="2230">
        <f>IF(N9='rNPV Assumptions_Diabetes'!$B$29,COUNTIF(N$9:$O9,'rNPV Assumptions_Diabetes'!$B$29),0)</f>
        <v>0</v>
      </c>
      <c r="O10" s="2230">
        <f>IF(O9='rNPV Assumptions_Diabetes'!$B$29,COUNTIF($O$9:O9,'rNPV Assumptions_Diabetes'!$B$29),0)</f>
        <v>0</v>
      </c>
      <c r="P10" s="2230">
        <f>IF(P9='rNPV Assumptions_Diabetes'!$B$29,COUNTIF($O$9:P9,'rNPV Assumptions_Diabetes'!$B$29),0)</f>
        <v>0</v>
      </c>
      <c r="Q10" s="2230">
        <f>IF(Q9='rNPV Assumptions_Diabetes'!$B$29,COUNTIF($O$9:Q9,'rNPV Assumptions_Diabetes'!$B$29),0)</f>
        <v>0</v>
      </c>
      <c r="R10" s="2230">
        <f>IF(R9='rNPV Assumptions_Diabetes'!$B$29,COUNTIF($O$9:R9,'rNPV Assumptions_Diabetes'!$B$29),0)</f>
        <v>0</v>
      </c>
      <c r="S10" s="2230">
        <f>IF(S9='rNPV Assumptions_Diabetes'!$B$29,COUNTIF($O$9:S9,'rNPV Assumptions_Diabetes'!$B$29),0)</f>
        <v>0</v>
      </c>
      <c r="T10" s="2230">
        <f>IF(T9='rNPV Assumptions_Diabetes'!$B$29,COUNTIF($O$9:T9,'rNPV Assumptions_Diabetes'!$B$29),0)</f>
        <v>0</v>
      </c>
      <c r="U10" s="2230">
        <f>IF(U9='rNPV Assumptions_Diabetes'!$B$29,COUNTIF($O$9:U9,'rNPV Assumptions_Diabetes'!$B$29),0)</f>
        <v>1</v>
      </c>
      <c r="V10" s="2230">
        <f>IF(V9='rNPV Assumptions_Diabetes'!$B$29,COUNTIF($O$9:V9,'rNPV Assumptions_Diabetes'!$B$29),0)</f>
        <v>2</v>
      </c>
      <c r="W10" s="2230">
        <f>IF(W9='rNPV Assumptions_Diabetes'!$B$29,COUNTIF($O$9:W9,'rNPV Assumptions_Diabetes'!$B$29),0)</f>
        <v>3</v>
      </c>
      <c r="X10" s="2230">
        <f>IF(X9='rNPV Assumptions_Diabetes'!$B$29,COUNTIF($O$9:X9,'rNPV Assumptions_Diabetes'!$B$29),0)</f>
        <v>4</v>
      </c>
      <c r="Y10" s="2230">
        <f>IF(Y9='rNPV Assumptions_Diabetes'!$B$29,COUNTIF($O$9:Y9,'rNPV Assumptions_Diabetes'!$B$29),0)</f>
        <v>5</v>
      </c>
      <c r="Z10" s="2230">
        <f>IF(Z9='rNPV Assumptions_Diabetes'!$B$29,COUNTIF($O$9:Z9,'rNPV Assumptions_Diabetes'!$B$29),0)</f>
        <v>6</v>
      </c>
      <c r="AA10" s="2230">
        <f>IF(AA9='rNPV Assumptions_Diabetes'!$B$29,COUNTIF($O$9:AA9,'rNPV Assumptions_Diabetes'!$B$29),0)</f>
        <v>7</v>
      </c>
      <c r="AB10" s="2230">
        <f>IF(AB9='rNPV Assumptions_Diabetes'!$B$29,COUNTIF($O$9:AB9,'rNPV Assumptions_Diabetes'!$B$29),0)</f>
        <v>8</v>
      </c>
      <c r="AC10" s="2230">
        <f>IF(AC9='rNPV Assumptions_Diabetes'!$B$29,COUNTIF($O$9:AC9,'rNPV Assumptions_Diabetes'!$B$29),0)</f>
        <v>9</v>
      </c>
      <c r="AD10" s="2230">
        <f>IF(AD9='rNPV Assumptions_Diabetes'!$B$29,COUNTIF($O$9:AD9,'rNPV Assumptions_Diabetes'!$B$29),0)</f>
        <v>10</v>
      </c>
      <c r="AE10" s="2230">
        <f>IF(AE9='rNPV Assumptions_Diabetes'!$B$29,COUNTIF($O$9:AE9,'rNPV Assumptions_Diabetes'!$B$29),0)</f>
        <v>0</v>
      </c>
      <c r="AF10" s="2230">
        <f>IF(AF9='rNPV Assumptions_Diabetes'!$B$29,COUNTIF($O$9:AF9,'rNPV Assumptions_Diabetes'!$B$29),0)</f>
        <v>0</v>
      </c>
      <c r="AG10" s="2230">
        <f>IF(AG9='rNPV Assumptions_Diabetes'!$B$29,COUNTIF($O$9:AG9,'rNPV Assumptions_Diabetes'!$B$29),0)</f>
        <v>0</v>
      </c>
    </row>
    <row r="11" spans="1:41" collapsed="1"/>
    <row r="12" spans="1:41">
      <c r="B12" s="2223" t="str">
        <f>'rNPV Assumptions_Diabetes'!C18</f>
        <v>Diabetes</v>
      </c>
    </row>
    <row r="13" spans="1:41">
      <c r="B13" s="720" t="s">
        <v>2803</v>
      </c>
      <c r="C13" s="2160">
        <f>'rNPV Assumptions_Diabetes'!I25</f>
        <v>2000</v>
      </c>
      <c r="D13" s="2160"/>
      <c r="E13" s="2160"/>
      <c r="F13" s="2231">
        <f>IF(F$10=0,0,IF(ROUND(E14,3)=100%,$C13*(1+$C14),$C13))</f>
        <v>0</v>
      </c>
      <c r="G13" s="2231">
        <f t="shared" ref="G13:AG13" si="1">IF(G$10=0,0,IF(ROUND(F14,3)=100%,$C13*(1+$C14),$C13))</f>
        <v>0</v>
      </c>
      <c r="H13" s="2231">
        <f t="shared" si="1"/>
        <v>0</v>
      </c>
      <c r="I13" s="2231">
        <f t="shared" si="1"/>
        <v>0</v>
      </c>
      <c r="J13" s="2231">
        <f t="shared" si="1"/>
        <v>0</v>
      </c>
      <c r="K13" s="2231">
        <f t="shared" si="1"/>
        <v>0</v>
      </c>
      <c r="L13" s="2231">
        <f t="shared" si="1"/>
        <v>0</v>
      </c>
      <c r="M13" s="2231">
        <f t="shared" si="1"/>
        <v>0</v>
      </c>
      <c r="N13" s="2231">
        <f t="shared" si="1"/>
        <v>0</v>
      </c>
      <c r="O13" s="2231">
        <f t="shared" si="1"/>
        <v>0</v>
      </c>
      <c r="P13" s="2231">
        <f t="shared" si="1"/>
        <v>0</v>
      </c>
      <c r="Q13" s="2231">
        <f t="shared" si="1"/>
        <v>0</v>
      </c>
      <c r="R13" s="2231">
        <f t="shared" si="1"/>
        <v>0</v>
      </c>
      <c r="S13" s="2231">
        <f t="shared" si="1"/>
        <v>0</v>
      </c>
      <c r="T13" s="2231">
        <f t="shared" si="1"/>
        <v>0</v>
      </c>
      <c r="U13" s="2231">
        <f t="shared" si="1"/>
        <v>2000</v>
      </c>
      <c r="V13" s="2231">
        <f t="shared" si="1"/>
        <v>2000</v>
      </c>
      <c r="W13" s="2231">
        <f t="shared" si="1"/>
        <v>2000</v>
      </c>
      <c r="X13" s="2231">
        <f t="shared" si="1"/>
        <v>2000</v>
      </c>
      <c r="Y13" s="2231">
        <f t="shared" si="1"/>
        <v>2000</v>
      </c>
      <c r="Z13" s="2231">
        <f t="shared" si="1"/>
        <v>2000</v>
      </c>
      <c r="AA13" s="2231">
        <f t="shared" si="1"/>
        <v>2000</v>
      </c>
      <c r="AB13" s="2231">
        <f t="shared" si="1"/>
        <v>2000</v>
      </c>
      <c r="AC13" s="2231">
        <f t="shared" si="1"/>
        <v>2000</v>
      </c>
      <c r="AD13" s="2231">
        <f t="shared" si="1"/>
        <v>2160</v>
      </c>
      <c r="AE13" s="2231">
        <f t="shared" si="1"/>
        <v>0</v>
      </c>
      <c r="AF13" s="2231">
        <f t="shared" si="1"/>
        <v>0</v>
      </c>
      <c r="AG13" s="2231">
        <f t="shared" si="1"/>
        <v>0</v>
      </c>
    </row>
    <row r="14" spans="1:41">
      <c r="B14" s="2232" t="s">
        <v>2842</v>
      </c>
      <c r="C14" s="2233">
        <f>'rNPV Assumptions_Diabetes'!I26</f>
        <v>0.08</v>
      </c>
      <c r="D14" s="2234"/>
      <c r="E14" s="2234"/>
      <c r="F14" s="2235">
        <f>IF(F$10=0,0,IFERROR(HLOOKUP(F$10,'Penetration Curves'!$F$41:$O$49,ROWS('Penetration Curves'!$F$41:$F$49),FALSE),1))</f>
        <v>0</v>
      </c>
      <c r="G14" s="2235">
        <f>IF(G$10=0,0,IFERROR(HLOOKUP(G$10,'Penetration Curves'!$F$41:$O$49,ROWS('Penetration Curves'!$F$41:$F$49),FALSE),1))</f>
        <v>0</v>
      </c>
      <c r="H14" s="2235">
        <f>IF(H$10=0,0,IFERROR(HLOOKUP(H$10,'Penetration Curves'!$F$41:$O$49,ROWS('Penetration Curves'!$F$41:$F$49),FALSE),1))</f>
        <v>0</v>
      </c>
      <c r="I14" s="2235">
        <f>IF(I$10=0,0,IFERROR(HLOOKUP(I$10,'Penetration Curves'!$F$41:$O$49,ROWS('Penetration Curves'!$F$41:$F$49),FALSE),1))</f>
        <v>0</v>
      </c>
      <c r="J14" s="2235">
        <f>IF(J$10=0,0,IFERROR(HLOOKUP(J$10,'Penetration Curves'!$F$41:$O$49,ROWS('Penetration Curves'!$F$41:$F$49),FALSE),1))</f>
        <v>0</v>
      </c>
      <c r="K14" s="2235">
        <f>IF(K$10=0,0,IFERROR(HLOOKUP(K$10,'Penetration Curves'!$F$41:$O$49,ROWS('Penetration Curves'!$F$41:$F$49),FALSE),1))</f>
        <v>0</v>
      </c>
      <c r="L14" s="2235">
        <f>IF(L$10=0,0,IFERROR(HLOOKUP(L$10,'Penetration Curves'!$F$41:$O$49,ROWS('Penetration Curves'!$F$41:$F$49),FALSE),1))</f>
        <v>0</v>
      </c>
      <c r="M14" s="2235">
        <f>IF(M$10=0,0,IFERROR(HLOOKUP(M$10,'Penetration Curves'!$F$41:$O$49,ROWS('Penetration Curves'!$F$41:$F$49),FALSE),1))</f>
        <v>0</v>
      </c>
      <c r="N14" s="2235">
        <f>IF(N$10=0,0,IFERROR(HLOOKUP(N$10,'Penetration Curves'!$F$41:$O$49,ROWS('Penetration Curves'!$F$41:$F$49),FALSE),1))</f>
        <v>0</v>
      </c>
      <c r="O14" s="2235">
        <f>IF(O$10=0,0,IFERROR(HLOOKUP(O$10,'Penetration Curves'!$F$41:$O$49,ROWS('Penetration Curves'!$F$41:$F$49),FALSE),1))</f>
        <v>0</v>
      </c>
      <c r="P14" s="2235">
        <f>IF(P$10=0,0,IFERROR(HLOOKUP(P$10,'Penetration Curves'!$F$41:$O$49,ROWS('Penetration Curves'!$F$41:$F$49),FALSE),1))</f>
        <v>0</v>
      </c>
      <c r="Q14" s="2235">
        <f>IF(Q$10=0,0,IFERROR(HLOOKUP(Q$10,'Penetration Curves'!$F$41:$O$49,ROWS('Penetration Curves'!$F$41:$F$49),FALSE),1))</f>
        <v>0</v>
      </c>
      <c r="R14" s="2235">
        <f>IF(R$10=0,0,IFERROR(HLOOKUP(R$10,'Penetration Curves'!$F$41:$O$49,ROWS('Penetration Curves'!$F$41:$F$49),FALSE),1))</f>
        <v>0</v>
      </c>
      <c r="S14" s="2235">
        <f>IF(S$10=0,0,IFERROR(HLOOKUP(S$10,'Penetration Curves'!$F$41:$O$49,ROWS('Penetration Curves'!$F$41:$F$49),FALSE),1))</f>
        <v>0</v>
      </c>
      <c r="T14" s="2235">
        <f>IF(T$10=0,0,IFERROR(HLOOKUP(T$10,'Penetration Curves'!$F$41:$O$49,ROWS('Penetration Curves'!$F$41:$F$49),FALSE),1))</f>
        <v>0</v>
      </c>
      <c r="U14" s="2235">
        <f>IF(U$10=0,0,IFERROR(HLOOKUP(U$10,'Penetration Curves'!$F$41:$O$49,ROWS('Penetration Curves'!$F$41:$F$49),FALSE),1))</f>
        <v>4.7790352272814703E-2</v>
      </c>
      <c r="V14" s="2235">
        <f>IF(V$10=0,0,IFERROR(HLOOKUP(V$10,'Penetration Curves'!$F$41:$O$49,ROWS('Penetration Curves'!$F$41:$F$49),FALSE),1))</f>
        <v>0.15865525393145699</v>
      </c>
      <c r="W14" s="2235">
        <f>IF(W$10=0,0,IFERROR(HLOOKUP(W$10,'Penetration Curves'!$F$41:$O$49,ROWS('Penetration Curves'!$F$41:$F$49),FALSE),1))</f>
        <v>0.36944134018176361</v>
      </c>
      <c r="X14" s="2235">
        <f>IF(X$10=0,0,IFERROR(HLOOKUP(X$10,'Penetration Curves'!$F$41:$O$49,ROWS('Penetration Curves'!$F$41:$F$49),FALSE),1))</f>
        <v>0.63055865981823644</v>
      </c>
      <c r="Y14" s="2235">
        <f>IF(Y$10=0,0,IFERROR(HLOOKUP(Y$10,'Penetration Curves'!$F$41:$O$49,ROWS('Penetration Curves'!$F$41:$F$49),FALSE),1))</f>
        <v>0.84134474606854304</v>
      </c>
      <c r="Z14" s="2235">
        <f>IF(Z$10=0,0,IFERROR(HLOOKUP(Z$10,'Penetration Curves'!$F$41:$O$49,ROWS('Penetration Curves'!$F$41:$F$49),FALSE),1))</f>
        <v>0.9522096477271853</v>
      </c>
      <c r="AA14" s="2235">
        <f>IF(AA$10=0,0,IFERROR(HLOOKUP(AA$10,'Penetration Curves'!$F$41:$O$49,ROWS('Penetration Curves'!$F$41:$F$49),FALSE),1))</f>
        <v>0.99018467137135469</v>
      </c>
      <c r="AB14" s="2235">
        <f>IF(AB$10=0,0,IFERROR(HLOOKUP(AB$10,'Penetration Curves'!$F$41:$O$49,ROWS('Penetration Curves'!$F$41:$F$49),FALSE),1))</f>
        <v>0.9986501019683699</v>
      </c>
      <c r="AC14" s="2235">
        <f>IF(AC$10=0,0,IFERROR(HLOOKUP(AC$10,'Penetration Curves'!$F$41:$O$49,ROWS('Penetration Curves'!$F$41:$F$49),FALSE),1))</f>
        <v>0.99987713361003483</v>
      </c>
      <c r="AD14" s="2235">
        <f>IF(AD$10=0,0,IFERROR(HLOOKUP(AD$10,'Penetration Curves'!$F$41:$O$49,ROWS('Penetration Curves'!$F$41:$F$49),FALSE),1))</f>
        <v>0.9999926565761631</v>
      </c>
      <c r="AE14" s="2235">
        <f>IF(AE$10=0,0,IFERROR(HLOOKUP(AE$10,'Penetration Curves'!$F$41:$O$49,ROWS('Penetration Curves'!$F$41:$F$49),FALSE),1))</f>
        <v>0</v>
      </c>
      <c r="AF14" s="2235">
        <f>IF(AF$10=0,0,IFERROR(HLOOKUP(AF$10,'Penetration Curves'!$F$41:$O$49,ROWS('Penetration Curves'!$F$41:$F$49),FALSE),1))</f>
        <v>0</v>
      </c>
      <c r="AG14" s="2235">
        <f>IF(AG$10=0,0,IFERROR(HLOOKUP(AG$10,'Penetration Curves'!$F$41:$O$49,ROWS('Penetration Curves'!$F$41:$F$49),FALSE),1))</f>
        <v>0</v>
      </c>
    </row>
    <row r="15" spans="1:41" ht="12.75" customHeight="1">
      <c r="B15" s="2236" t="str">
        <f>"Net Sales "&amp;B12</f>
        <v>Net Sales Diabetes</v>
      </c>
      <c r="C15" s="2239"/>
      <c r="F15" s="2289">
        <f t="shared" ref="F15:AE15" si="2">F13*F14</f>
        <v>0</v>
      </c>
      <c r="G15" s="2289">
        <f t="shared" si="2"/>
        <v>0</v>
      </c>
      <c r="H15" s="2289">
        <f t="shared" si="2"/>
        <v>0</v>
      </c>
      <c r="I15" s="2289">
        <f t="shared" si="2"/>
        <v>0</v>
      </c>
      <c r="J15" s="2289">
        <f t="shared" si="2"/>
        <v>0</v>
      </c>
      <c r="K15" s="2289">
        <f t="shared" si="2"/>
        <v>0</v>
      </c>
      <c r="L15" s="2289">
        <f t="shared" si="2"/>
        <v>0</v>
      </c>
      <c r="M15" s="2289">
        <f t="shared" si="2"/>
        <v>0</v>
      </c>
      <c r="N15" s="2289">
        <f t="shared" si="2"/>
        <v>0</v>
      </c>
      <c r="O15" s="2289">
        <f t="shared" si="2"/>
        <v>0</v>
      </c>
      <c r="P15" s="2289">
        <f t="shared" si="2"/>
        <v>0</v>
      </c>
      <c r="Q15" s="2289">
        <f t="shared" si="2"/>
        <v>0</v>
      </c>
      <c r="R15" s="2289">
        <f t="shared" si="2"/>
        <v>0</v>
      </c>
      <c r="S15" s="2289">
        <f t="shared" si="2"/>
        <v>0</v>
      </c>
      <c r="T15" s="2289">
        <f t="shared" si="2"/>
        <v>0</v>
      </c>
      <c r="U15" s="2289">
        <f t="shared" si="2"/>
        <v>95.580704545629402</v>
      </c>
      <c r="V15" s="2289">
        <f t="shared" si="2"/>
        <v>317.31050786291399</v>
      </c>
      <c r="W15" s="2289">
        <f t="shared" si="2"/>
        <v>738.88268036352724</v>
      </c>
      <c r="X15" s="2289">
        <f t="shared" si="2"/>
        <v>1261.117319636473</v>
      </c>
      <c r="Y15" s="2289">
        <f t="shared" si="2"/>
        <v>1682.6894921370861</v>
      </c>
      <c r="Z15" s="2289">
        <f t="shared" si="2"/>
        <v>1904.4192954543705</v>
      </c>
      <c r="AA15" s="2289">
        <f t="shared" si="2"/>
        <v>1980.3693427427095</v>
      </c>
      <c r="AB15" s="2289">
        <f t="shared" si="2"/>
        <v>1997.3002039367398</v>
      </c>
      <c r="AC15" s="2289">
        <f t="shared" si="2"/>
        <v>1999.7542672200696</v>
      </c>
      <c r="AD15" s="2289">
        <f t="shared" si="2"/>
        <v>2159.9841382045124</v>
      </c>
      <c r="AE15" s="2289">
        <f t="shared" si="2"/>
        <v>0</v>
      </c>
      <c r="AF15" s="2289">
        <f t="shared" ref="AF15:AG15" si="3">AF13*AF14</f>
        <v>0</v>
      </c>
      <c r="AG15" s="2289">
        <f t="shared" si="3"/>
        <v>0</v>
      </c>
    </row>
    <row r="16" spans="1:41" ht="12.75" customHeight="1">
      <c r="C16" s="2239"/>
      <c r="F16" s="2206"/>
      <c r="G16" s="2206"/>
      <c r="H16" s="2206"/>
      <c r="I16" s="2206"/>
      <c r="J16" s="2206"/>
      <c r="K16" s="2206"/>
      <c r="L16" s="2206"/>
      <c r="M16" s="2206"/>
      <c r="N16" s="2206"/>
      <c r="O16" s="2206"/>
      <c r="P16" s="2206"/>
      <c r="Q16" s="2206"/>
      <c r="R16" s="2206"/>
      <c r="S16" s="2206"/>
      <c r="T16" s="2206"/>
      <c r="U16" s="2206"/>
      <c r="V16" s="2206"/>
      <c r="W16" s="2206"/>
      <c r="X16" s="2206"/>
      <c r="Y16" s="2206"/>
      <c r="Z16" s="2206"/>
      <c r="AA16" s="2206"/>
      <c r="AB16" s="2206"/>
      <c r="AC16" s="2206"/>
      <c r="AD16" s="2206"/>
      <c r="AE16" s="2206"/>
      <c r="AF16" s="2206"/>
      <c r="AG16" s="2206"/>
    </row>
    <row r="17" spans="1:16383" ht="12.75" customHeight="1">
      <c r="B17" s="2236" t="str">
        <f>'rNPV Assumptions_Diabetes'!B40</f>
        <v>Indication #4</v>
      </c>
      <c r="C17" s="2239"/>
      <c r="F17" s="2206"/>
      <c r="G17" s="2206"/>
      <c r="H17" s="2206"/>
      <c r="I17" s="2206"/>
      <c r="J17" s="2206"/>
      <c r="K17" s="2206"/>
      <c r="L17" s="2206"/>
      <c r="M17" s="2206"/>
      <c r="N17" s="2206"/>
      <c r="O17" s="2206"/>
      <c r="P17" s="2206"/>
      <c r="Q17" s="2206"/>
      <c r="R17" s="2206"/>
      <c r="S17" s="2206"/>
      <c r="T17" s="2206"/>
      <c r="U17" s="2206"/>
      <c r="V17" s="2206"/>
      <c r="W17" s="2206"/>
      <c r="X17" s="2206"/>
      <c r="Y17" s="2206"/>
      <c r="Z17" s="2206"/>
      <c r="AA17" s="2206"/>
      <c r="AB17" s="2206"/>
      <c r="AC17" s="2206"/>
      <c r="AD17" s="2206"/>
      <c r="AE17" s="2206"/>
      <c r="AF17" s="2206"/>
      <c r="AG17" s="2206"/>
    </row>
    <row r="18" spans="1:16383" ht="12.75" customHeight="1">
      <c r="B18" s="720" t="s">
        <v>2803</v>
      </c>
      <c r="C18" s="2160">
        <f>'rNPV Assumptions_Diabetes'!I49</f>
        <v>2000</v>
      </c>
      <c r="D18" s="2160"/>
      <c r="E18" s="2160"/>
      <c r="F18" s="2231">
        <f>IF(F$10=0,0,IF(ROUND(E19,3)=100%,$C18*(1+$C19),$C18))*'rNPV Assumptions_Diabetes'!$D$42</f>
        <v>0</v>
      </c>
      <c r="G18" s="2231">
        <f>IF(G$10=0,0,IF(ROUND(F19,3)=100%,$C18*(1+$C19),$C18))*'rNPV Assumptions_Diabetes'!$D$42</f>
        <v>0</v>
      </c>
      <c r="H18" s="2231">
        <f>IF(H$10=0,0,IF(ROUND(G19,3)=100%,$C18*(1+$C19),$C18))*'rNPV Assumptions_Diabetes'!$D$42</f>
        <v>0</v>
      </c>
      <c r="I18" s="2231">
        <f>IF(I$10=0,0,IF(ROUND(H19,3)=100%,$C18*(1+$C19),$C18))*'rNPV Assumptions_Diabetes'!$D$42</f>
        <v>0</v>
      </c>
      <c r="J18" s="2231">
        <f>IF(J$10=0,0,IF(ROUND(I19,3)=100%,$C18*(1+$C19),$C18))*'rNPV Assumptions_Diabetes'!$D$42</f>
        <v>0</v>
      </c>
      <c r="K18" s="2231">
        <f>IF(K$10=0,0,IF(ROUND(J19,3)=100%,$C18*(1+$C19),$C18))*'rNPV Assumptions_Diabetes'!$D$42</f>
        <v>0</v>
      </c>
      <c r="L18" s="2231">
        <f>IF(L$10=0,0,IF(ROUND(K19,3)=100%,$C18*(1+$C19),$C18))*'rNPV Assumptions_Diabetes'!$D$42</f>
        <v>0</v>
      </c>
      <c r="M18" s="2231">
        <f>IF(M$10=0,0,IF(ROUND(L19,3)=100%,$C18*(1+$C19),$C18))*'rNPV Assumptions_Diabetes'!$D$42</f>
        <v>0</v>
      </c>
      <c r="N18" s="2231">
        <f>IF(N$10=0,0,IF(ROUND(M19,3)=100%,$C18*(1+$C19),$C18))*'rNPV Assumptions_Diabetes'!$D$42</f>
        <v>0</v>
      </c>
      <c r="O18" s="2231">
        <f>IF(O$10=0,0,IF(ROUND(N19,3)=100%,$C18*(1+$C19),$C18))*'rNPV Assumptions_Diabetes'!$D$42</f>
        <v>0</v>
      </c>
      <c r="P18" s="2231">
        <f>IF(P$10=0,0,IF(ROUND(O19,3)=100%,$C18*(1+$C19),$C18))*'rNPV Assumptions_Diabetes'!$D$42</f>
        <v>0</v>
      </c>
      <c r="Q18" s="2231">
        <f>IF(Q$10=0,0,IF(ROUND(P19,3)=100%,$C18*(1+$C19),$C18))*'rNPV Assumptions_Diabetes'!$D$42</f>
        <v>0</v>
      </c>
      <c r="R18" s="2231">
        <f>IF(R$10=0,0,IF(ROUND(Q19,3)=100%,$C18*(1+$C19),$C18))*'rNPV Assumptions_Diabetes'!$D$42</f>
        <v>0</v>
      </c>
      <c r="S18" s="2231">
        <f>IF(S$10=0,0,IF(ROUND(R19,3)=100%,$C18*(1+$C19),$C18))*'rNPV Assumptions_Diabetes'!$D$42</f>
        <v>0</v>
      </c>
      <c r="T18" s="2231">
        <f>IF(T$10=0,0,IF(ROUND(S19,3)=100%,$C18*(1+$C19),$C18))*'rNPV Assumptions_Diabetes'!$D$42</f>
        <v>0</v>
      </c>
      <c r="U18" s="2231">
        <f>IF(U$10=0,0,IF(ROUND(T19,3)=100%,$C18*(1+$C19),$C18))*'rNPV Assumptions_Diabetes'!$D$42</f>
        <v>0</v>
      </c>
      <c r="V18" s="2231">
        <f>IF(V$10=0,0,IF(ROUND(U19,3)=100%,$C18*(1+$C19),$C18))*'rNPV Assumptions_Diabetes'!$D$42</f>
        <v>0</v>
      </c>
      <c r="W18" s="2231">
        <f>IF(W$10=0,0,IF(ROUND(V19,3)=100%,$C18*(1+$C19),$C18))*'rNPV Assumptions_Diabetes'!$D$42</f>
        <v>0</v>
      </c>
      <c r="X18" s="2231">
        <f>IF(X$10=0,0,IF(ROUND(W19,3)=100%,$C18*(1+$C19),$C18))*'rNPV Assumptions_Diabetes'!$D$42</f>
        <v>0</v>
      </c>
      <c r="Y18" s="2231">
        <f>IF(Y$10=0,0,IF(ROUND(X19,3)=100%,$C18*(1+$C19),$C18))*'rNPV Assumptions_Diabetes'!$D$42</f>
        <v>0</v>
      </c>
      <c r="Z18" s="2231">
        <f>IF(Z$10=0,0,IF(ROUND(Y19,3)=100%,$C18*(1+$C19),$C18))*'rNPV Assumptions_Diabetes'!$D$42</f>
        <v>0</v>
      </c>
      <c r="AA18" s="2231">
        <f>IF(AA$10=0,0,IF(ROUND(Z19,3)=100%,$C18*(1+$C19),$C18))*'rNPV Assumptions_Diabetes'!$D$42</f>
        <v>0</v>
      </c>
      <c r="AB18" s="2231">
        <f>IF(AB$10=0,0,IF(ROUND(AA19,3)=100%,$C18*(1+$C19),$C18))*'rNPV Assumptions_Diabetes'!$D$42</f>
        <v>0</v>
      </c>
      <c r="AC18" s="2231">
        <f>IF(AC$10=0,0,IF(ROUND(AB19,3)=100%,$C18*(1+$C19),$C18))*'rNPV Assumptions_Diabetes'!$D$42</f>
        <v>0</v>
      </c>
      <c r="AD18" s="2231">
        <f>IF(AD$10=0,0,IF(ROUND(AC19,3)=100%,$C18*(1+$C19),$C18))*'rNPV Assumptions_Diabetes'!$D$42</f>
        <v>0</v>
      </c>
      <c r="AE18" s="2231">
        <f>IF(AE$10=0,0,IF(ROUND(AD19,3)=100%,$C18*(1+$C19),$C18))*'rNPV Assumptions_Diabetes'!$D$42</f>
        <v>0</v>
      </c>
      <c r="AF18" s="2231">
        <f>IF(AF$10=0,0,IF(ROUND(AE19,3)=100%,$C18*(1+$C19),$C18))*'rNPV Assumptions_Diabetes'!$D$42</f>
        <v>0</v>
      </c>
      <c r="AG18" s="2231">
        <f>IF(AG$10=0,0,IF(ROUND(AF19,3)=100%,$C18*(1+$C19),$C18))*'rNPV Assumptions_Diabetes'!$D$42</f>
        <v>0</v>
      </c>
    </row>
    <row r="19" spans="1:16383" ht="12.75" customHeight="1">
      <c r="B19" s="2232" t="s">
        <v>2842</v>
      </c>
      <c r="C19" s="2233">
        <f>'rNPV Assumptions_Diabetes'!I50</f>
        <v>0.08</v>
      </c>
      <c r="D19" s="2234"/>
      <c r="E19" s="2234"/>
      <c r="F19" s="2235">
        <f>IF(F$10=0,0,IFERROR(HLOOKUP(F$10,'Penetration Curves'!$F$56:$O$64,ROWS('Penetration Curves'!$F$56:$F$64),FALSE),1))</f>
        <v>0</v>
      </c>
      <c r="G19" s="2235">
        <f>IF(G$10=0,0,IFERROR(HLOOKUP(G$10,'Penetration Curves'!$F$56:$O$64,ROWS('Penetration Curves'!$F$56:$F$64),FALSE),1))</f>
        <v>0</v>
      </c>
      <c r="H19" s="2235">
        <f>IF(H$10=0,0,IFERROR(HLOOKUP(H$10,'Penetration Curves'!$F$56:$O$64,ROWS('Penetration Curves'!$F$56:$F$64),FALSE),1))</f>
        <v>0</v>
      </c>
      <c r="I19" s="2235">
        <f>IF(I$10=0,0,IFERROR(HLOOKUP(I$10,'Penetration Curves'!$F$56:$O$64,ROWS('Penetration Curves'!$F$56:$F$64),FALSE),1))</f>
        <v>0</v>
      </c>
      <c r="J19" s="2235">
        <f>IF(J$10=0,0,IFERROR(HLOOKUP(J$10,'Penetration Curves'!$F$56:$O$64,ROWS('Penetration Curves'!$F$56:$F$64),FALSE),1))</f>
        <v>0</v>
      </c>
      <c r="K19" s="2235">
        <f>IF(K$10=0,0,IFERROR(HLOOKUP(K$10,'Penetration Curves'!$F$56:$O$64,ROWS('Penetration Curves'!$F$56:$F$64),FALSE),1))</f>
        <v>0</v>
      </c>
      <c r="L19" s="2235">
        <f>IF(L$10=0,0,IFERROR(HLOOKUP(L$10,'Penetration Curves'!$F$56:$O$64,ROWS('Penetration Curves'!$F$56:$F$64),FALSE),1))</f>
        <v>0</v>
      </c>
      <c r="M19" s="2235">
        <f>IF(M$10=0,0,IFERROR(HLOOKUP(M$10,'Penetration Curves'!$F$56:$O$64,ROWS('Penetration Curves'!$F$56:$F$64),FALSE),1))</f>
        <v>0</v>
      </c>
      <c r="N19" s="2235">
        <f>IF(N$10=0,0,IFERROR(HLOOKUP(N$10,'Penetration Curves'!$F$56:$O$64,ROWS('Penetration Curves'!$F$56:$F$64),FALSE),1))</f>
        <v>0</v>
      </c>
      <c r="O19" s="2235">
        <f>IF(O$10=0,0,IFERROR(HLOOKUP(O$10,'Penetration Curves'!$F$56:$O$64,ROWS('Penetration Curves'!$F$56:$F$64),FALSE),1))</f>
        <v>0</v>
      </c>
      <c r="P19" s="2235">
        <f>IF(P$10=0,0,IFERROR(HLOOKUP(P$10,'Penetration Curves'!$F$56:$O$64,ROWS('Penetration Curves'!$F$56:$F$64),FALSE),1))</f>
        <v>0</v>
      </c>
      <c r="Q19" s="2235">
        <f>IF(Q$10=0,0,IFERROR(HLOOKUP(Q$10,'Penetration Curves'!$F$56:$O$64,ROWS('Penetration Curves'!$F$56:$F$64),FALSE),1))</f>
        <v>0</v>
      </c>
      <c r="R19" s="2235">
        <f>IF(R$10=0,0,IFERROR(HLOOKUP(R$10,'Penetration Curves'!$F$56:$O$64,ROWS('Penetration Curves'!$F$56:$F$64),FALSE),1))</f>
        <v>0</v>
      </c>
      <c r="S19" s="2235">
        <f>IF(S$10=0,0,IFERROR(HLOOKUP(S$10,'Penetration Curves'!$F$56:$O$64,ROWS('Penetration Curves'!$F$56:$F$64),FALSE),1))</f>
        <v>0</v>
      </c>
      <c r="T19" s="2235">
        <f>IF(T$10=0,0,IFERROR(HLOOKUP(T$10,'Penetration Curves'!$F$56:$O$64,ROWS('Penetration Curves'!$F$56:$F$64),FALSE),1))</f>
        <v>0</v>
      </c>
      <c r="U19" s="2235">
        <f>IF(U$10=0,0,IFERROR(HLOOKUP(U$10,'Penetration Curves'!$F$56:$O$64,ROWS('Penetration Curves'!$F$56:$F$64),FALSE),1))</f>
        <v>4.7790352272814703E-2</v>
      </c>
      <c r="V19" s="2235">
        <f>IF(V$10=0,0,IFERROR(HLOOKUP(V$10,'Penetration Curves'!$F$56:$O$64,ROWS('Penetration Curves'!$F$56:$F$64),FALSE),1))</f>
        <v>0.15865525393145699</v>
      </c>
      <c r="W19" s="2235">
        <f>IF(W$10=0,0,IFERROR(HLOOKUP(W$10,'Penetration Curves'!$F$56:$O$64,ROWS('Penetration Curves'!$F$56:$F$64),FALSE),1))</f>
        <v>0.36944134018176361</v>
      </c>
      <c r="X19" s="2235">
        <f>IF(X$10=0,0,IFERROR(HLOOKUP(X$10,'Penetration Curves'!$F$56:$O$64,ROWS('Penetration Curves'!$F$56:$F$64),FALSE),1))</f>
        <v>0.63055865981823644</v>
      </c>
      <c r="Y19" s="2235">
        <f>IF(Y$10=0,0,IFERROR(HLOOKUP(Y$10,'Penetration Curves'!$F$56:$O$64,ROWS('Penetration Curves'!$F$56:$F$64),FALSE),1))</f>
        <v>0.84134474606854304</v>
      </c>
      <c r="Z19" s="2235">
        <f>IF(Z$10=0,0,IFERROR(HLOOKUP(Z$10,'Penetration Curves'!$F$56:$O$64,ROWS('Penetration Curves'!$F$56:$F$64),FALSE),1))</f>
        <v>0.9522096477271853</v>
      </c>
      <c r="AA19" s="2235">
        <f>IF(AA$10=0,0,IFERROR(HLOOKUP(AA$10,'Penetration Curves'!$F$56:$O$64,ROWS('Penetration Curves'!$F$56:$F$64),FALSE),1))</f>
        <v>0.99018467137135469</v>
      </c>
      <c r="AB19" s="2235">
        <f>IF(AB$10=0,0,IFERROR(HLOOKUP(AB$10,'Penetration Curves'!$F$56:$O$64,ROWS('Penetration Curves'!$F$56:$F$64),FALSE),1))</f>
        <v>0.9986501019683699</v>
      </c>
      <c r="AC19" s="2235">
        <f>IF(AC$10=0,0,IFERROR(HLOOKUP(AC$10,'Penetration Curves'!$F$56:$O$64,ROWS('Penetration Curves'!$F$56:$F$64),FALSE),1))</f>
        <v>0.99987713361003483</v>
      </c>
      <c r="AD19" s="2235">
        <f>IF(AD$10=0,0,IFERROR(HLOOKUP(AD$10,'Penetration Curves'!$F$56:$O$64,ROWS('Penetration Curves'!$F$56:$F$64),FALSE),1))</f>
        <v>0.9999926565761631</v>
      </c>
      <c r="AE19" s="2235">
        <f>IF(AE$10=0,0,IFERROR(HLOOKUP(AE$10,'Penetration Curves'!$F$56:$O$64,ROWS('Penetration Curves'!$F$56:$F$64),FALSE),1))</f>
        <v>0</v>
      </c>
      <c r="AF19" s="2235">
        <f>IF(AF$10=0,0,IFERROR(HLOOKUP(AF$10,'Penetration Curves'!$F$56:$O$64,ROWS('Penetration Curves'!$F$56:$F$64),FALSE),1))</f>
        <v>0</v>
      </c>
      <c r="AG19" s="2235">
        <f>IF(AG$10=0,0,IFERROR(HLOOKUP(AG$10,'Penetration Curves'!$F$56:$O$64,ROWS('Penetration Curves'!$F$56:$F$64),FALSE),1))</f>
        <v>0</v>
      </c>
    </row>
    <row r="20" spans="1:16383" ht="12.75" customHeight="1">
      <c r="B20" s="2236" t="str">
        <f>"Net Sales "&amp;B17</f>
        <v>Net Sales Indication #4</v>
      </c>
      <c r="C20" s="2239"/>
      <c r="F20" s="2237">
        <f t="shared" ref="F20:AG20" si="4">F18*F19</f>
        <v>0</v>
      </c>
      <c r="G20" s="2237">
        <f t="shared" si="4"/>
        <v>0</v>
      </c>
      <c r="H20" s="2237">
        <f t="shared" si="4"/>
        <v>0</v>
      </c>
      <c r="I20" s="2237">
        <f t="shared" si="4"/>
        <v>0</v>
      </c>
      <c r="J20" s="2237">
        <f t="shared" si="4"/>
        <v>0</v>
      </c>
      <c r="K20" s="2237">
        <f t="shared" si="4"/>
        <v>0</v>
      </c>
      <c r="L20" s="2237">
        <f t="shared" si="4"/>
        <v>0</v>
      </c>
      <c r="M20" s="2237">
        <f t="shared" si="4"/>
        <v>0</v>
      </c>
      <c r="N20" s="2237">
        <f t="shared" si="4"/>
        <v>0</v>
      </c>
      <c r="O20" s="2237">
        <f t="shared" si="4"/>
        <v>0</v>
      </c>
      <c r="P20" s="2237">
        <f t="shared" si="4"/>
        <v>0</v>
      </c>
      <c r="Q20" s="2237">
        <f t="shared" si="4"/>
        <v>0</v>
      </c>
      <c r="R20" s="2237">
        <f t="shared" si="4"/>
        <v>0</v>
      </c>
      <c r="S20" s="2237">
        <f t="shared" si="4"/>
        <v>0</v>
      </c>
      <c r="T20" s="2237">
        <f t="shared" si="4"/>
        <v>0</v>
      </c>
      <c r="U20" s="2237">
        <f t="shared" si="4"/>
        <v>0</v>
      </c>
      <c r="V20" s="2237">
        <f t="shared" si="4"/>
        <v>0</v>
      </c>
      <c r="W20" s="2237">
        <f t="shared" si="4"/>
        <v>0</v>
      </c>
      <c r="X20" s="2237">
        <f t="shared" si="4"/>
        <v>0</v>
      </c>
      <c r="Y20" s="2237">
        <f t="shared" si="4"/>
        <v>0</v>
      </c>
      <c r="Z20" s="2237">
        <f t="shared" si="4"/>
        <v>0</v>
      </c>
      <c r="AA20" s="2237">
        <f t="shared" si="4"/>
        <v>0</v>
      </c>
      <c r="AB20" s="2237">
        <f t="shared" si="4"/>
        <v>0</v>
      </c>
      <c r="AC20" s="2237">
        <f t="shared" si="4"/>
        <v>0</v>
      </c>
      <c r="AD20" s="2237">
        <f t="shared" si="4"/>
        <v>0</v>
      </c>
      <c r="AE20" s="2237">
        <f t="shared" si="4"/>
        <v>0</v>
      </c>
      <c r="AF20" s="2237">
        <f t="shared" si="4"/>
        <v>0</v>
      </c>
      <c r="AG20" s="2237">
        <f t="shared" si="4"/>
        <v>0</v>
      </c>
    </row>
    <row r="21" spans="1:16383" ht="12.75" customHeight="1">
      <c r="B21" s="2236"/>
      <c r="C21" s="2239"/>
      <c r="F21" s="2206"/>
      <c r="G21" s="2206"/>
      <c r="H21" s="2206"/>
      <c r="I21" s="2206"/>
      <c r="J21" s="2206"/>
      <c r="K21" s="2206"/>
      <c r="L21" s="2206"/>
      <c r="M21" s="2206"/>
      <c r="N21" s="2206"/>
      <c r="O21" s="2206"/>
      <c r="P21" s="2206"/>
      <c r="Q21" s="2206"/>
      <c r="R21" s="2206"/>
      <c r="S21" s="2206"/>
      <c r="T21" s="2206"/>
      <c r="U21" s="2206"/>
      <c r="V21" s="2206"/>
      <c r="W21" s="2206"/>
      <c r="X21" s="2206"/>
      <c r="Y21" s="2206"/>
      <c r="Z21" s="2206"/>
      <c r="AA21" s="2206"/>
      <c r="AB21" s="2206"/>
      <c r="AC21" s="2206"/>
      <c r="AD21" s="2206"/>
      <c r="AE21" s="2206"/>
      <c r="AF21" s="2206"/>
      <c r="AG21" s="2206"/>
    </row>
    <row r="22" spans="1:16383" ht="12.75" customHeight="1">
      <c r="B22" s="2236" t="s">
        <v>2905</v>
      </c>
      <c r="C22" s="2239"/>
      <c r="F22" s="2206">
        <f t="shared" ref="F22:AG22" si="5">F20+F15</f>
        <v>0</v>
      </c>
      <c r="G22" s="2206">
        <f t="shared" si="5"/>
        <v>0</v>
      </c>
      <c r="H22" s="2206">
        <f t="shared" si="5"/>
        <v>0</v>
      </c>
      <c r="I22" s="2206">
        <f t="shared" si="5"/>
        <v>0</v>
      </c>
      <c r="J22" s="2206">
        <f t="shared" si="5"/>
        <v>0</v>
      </c>
      <c r="K22" s="2206">
        <f t="shared" si="5"/>
        <v>0</v>
      </c>
      <c r="L22" s="2206">
        <f t="shared" si="5"/>
        <v>0</v>
      </c>
      <c r="M22" s="2206">
        <f t="shared" si="5"/>
        <v>0</v>
      </c>
      <c r="N22" s="2206">
        <f t="shared" si="5"/>
        <v>0</v>
      </c>
      <c r="O22" s="2206">
        <f t="shared" si="5"/>
        <v>0</v>
      </c>
      <c r="P22" s="2206">
        <f t="shared" si="5"/>
        <v>0</v>
      </c>
      <c r="Q22" s="2206">
        <f t="shared" si="5"/>
        <v>0</v>
      </c>
      <c r="R22" s="2206">
        <f t="shared" si="5"/>
        <v>0</v>
      </c>
      <c r="S22" s="2206">
        <f t="shared" si="5"/>
        <v>0</v>
      </c>
      <c r="T22" s="2206">
        <f t="shared" si="5"/>
        <v>0</v>
      </c>
      <c r="U22" s="2206">
        <f t="shared" si="5"/>
        <v>95.580704545629402</v>
      </c>
      <c r="V22" s="2206">
        <f t="shared" si="5"/>
        <v>317.31050786291399</v>
      </c>
      <c r="W22" s="2206">
        <f t="shared" si="5"/>
        <v>738.88268036352724</v>
      </c>
      <c r="X22" s="2206">
        <f t="shared" si="5"/>
        <v>1261.117319636473</v>
      </c>
      <c r="Y22" s="2206">
        <f t="shared" si="5"/>
        <v>1682.6894921370861</v>
      </c>
      <c r="Z22" s="2206">
        <f t="shared" si="5"/>
        <v>1904.4192954543705</v>
      </c>
      <c r="AA22" s="2206">
        <f t="shared" si="5"/>
        <v>1980.3693427427095</v>
      </c>
      <c r="AB22" s="2206">
        <f t="shared" si="5"/>
        <v>1997.3002039367398</v>
      </c>
      <c r="AC22" s="2206">
        <f t="shared" si="5"/>
        <v>1999.7542672200696</v>
      </c>
      <c r="AD22" s="2206">
        <f t="shared" si="5"/>
        <v>2159.9841382045124</v>
      </c>
      <c r="AE22" s="2206">
        <f t="shared" si="5"/>
        <v>0</v>
      </c>
      <c r="AF22" s="2206">
        <f t="shared" si="5"/>
        <v>0</v>
      </c>
      <c r="AG22" s="2206">
        <f t="shared" si="5"/>
        <v>0</v>
      </c>
    </row>
    <row r="23" spans="1:16383" ht="12.75" customHeight="1">
      <c r="B23" s="2236"/>
      <c r="C23" s="2239"/>
      <c r="F23" s="2206"/>
      <c r="G23" s="2206"/>
      <c r="H23" s="2206"/>
      <c r="I23" s="2206"/>
      <c r="J23" s="2206"/>
      <c r="K23" s="2206"/>
      <c r="L23" s="2206"/>
      <c r="M23" s="2206"/>
      <c r="N23" s="2206"/>
      <c r="O23" s="2206"/>
      <c r="P23" s="2206"/>
      <c r="Q23" s="2206"/>
      <c r="R23" s="2206"/>
      <c r="S23" s="2206"/>
      <c r="T23" s="2206"/>
      <c r="U23" s="2206"/>
      <c r="V23" s="2206"/>
      <c r="W23" s="2206"/>
      <c r="X23" s="2206"/>
      <c r="Y23" s="2206"/>
      <c r="Z23" s="2206"/>
      <c r="AA23" s="2206"/>
      <c r="AB23" s="2206"/>
      <c r="AC23" s="2206"/>
      <c r="AD23" s="2206"/>
      <c r="AE23" s="2206"/>
      <c r="AF23" s="2206"/>
      <c r="AG23" s="2206"/>
    </row>
    <row r="24" spans="1:16383" s="1984" customFormat="1" ht="12.75" customHeight="1">
      <c r="A24" s="720"/>
      <c r="B24" s="2236" t="s">
        <v>2930</v>
      </c>
      <c r="C24" s="2239"/>
      <c r="D24" s="720"/>
      <c r="E24" s="720"/>
      <c r="F24" s="2238">
        <f>SUMIF('rNPV Assumptions_Diabetes'!$C$13:$C$15,'rNPV Analysis_Diabetes'!F8,'rNPV Assumptions_Diabetes'!$D$13:$D$15)</f>
        <v>0</v>
      </c>
      <c r="G24" s="2238">
        <f>SUMIF('rNPV Assumptions_Diabetes'!$C$13:$C$15,'rNPV Analysis_Diabetes'!G8,'rNPV Assumptions_Diabetes'!$D$13:$D$15)</f>
        <v>0</v>
      </c>
      <c r="H24" s="2238">
        <f>SUMIF('rNPV Assumptions_Diabetes'!$C$13:$C$15,'rNPV Analysis_Diabetes'!H8,'rNPV Assumptions_Diabetes'!$D$13:$D$15)</f>
        <v>0</v>
      </c>
      <c r="I24" s="2238">
        <f>SUMIF('rNPV Assumptions_Diabetes'!$C$13:$C$15,'rNPV Analysis_Diabetes'!I8,'rNPV Assumptions_Diabetes'!$D$13:$D$15)</f>
        <v>0</v>
      </c>
      <c r="J24" s="2238">
        <f>SUMIF('rNPV Assumptions_Diabetes'!$C$13:$C$15,'rNPV Analysis_Diabetes'!J8,'rNPV Assumptions_Diabetes'!$D$13:$D$15)</f>
        <v>0</v>
      </c>
      <c r="K24" s="2238">
        <f>SUMIF('rNPV Assumptions_Diabetes'!$C$13:$C$15,'rNPV Analysis_Diabetes'!K8,'rNPV Assumptions_Diabetes'!$D$13:$D$15)</f>
        <v>6.5</v>
      </c>
      <c r="L24" s="2238">
        <f>SUMIF('rNPV Assumptions_Diabetes'!$C$13:$C$15,'rNPV Analysis_Diabetes'!L8,'rNPV Assumptions_Diabetes'!$D$13:$D$15)</f>
        <v>3</v>
      </c>
      <c r="M24" s="2238">
        <f>SUMIF('rNPV Assumptions_Diabetes'!$C$13:$C$15,'rNPV Analysis_Diabetes'!M8,'rNPV Assumptions_Diabetes'!$D$13:$D$15)</f>
        <v>0</v>
      </c>
      <c r="N24" s="2238">
        <f>SUMIF('rNPV Assumptions_Diabetes'!$C$13:$C$15,'rNPV Analysis_Diabetes'!N8,'rNPV Assumptions_Diabetes'!$D$13:$D$15)</f>
        <v>0</v>
      </c>
      <c r="O24" s="2238">
        <f>SUMIF('rNPV Assumptions_Diabetes'!$C$13:$C$15,'rNPV Analysis_Diabetes'!O8,'rNPV Assumptions_Diabetes'!$D$13:$D$15)</f>
        <v>0</v>
      </c>
      <c r="P24" s="2238">
        <f>SUMIF('rNPV Assumptions_Diabetes'!$C$13:$C$15,'rNPV Analysis_Diabetes'!P8,'rNPV Assumptions_Diabetes'!$D$13:$D$15)</f>
        <v>0</v>
      </c>
      <c r="Q24" s="2238">
        <f>SUMIF('rNPV Assumptions_Diabetes'!$C$13:$C$15,'rNPV Analysis_Diabetes'!Q8,'rNPV Assumptions_Diabetes'!$D$13:$D$15)</f>
        <v>0</v>
      </c>
      <c r="R24" s="2238">
        <f>SUMIF('rNPV Assumptions_Diabetes'!$C$13:$C$15,'rNPV Analysis_Diabetes'!R8,'rNPV Assumptions_Diabetes'!$D$13:$D$15)</f>
        <v>0</v>
      </c>
      <c r="S24" s="2238">
        <f>SUMIF('rNPV Assumptions_Diabetes'!$C$13:$C$15,'rNPV Analysis_Diabetes'!S8,'rNPV Assumptions_Diabetes'!$D$13:$D$15)</f>
        <v>0</v>
      </c>
      <c r="T24" s="2238">
        <f>SUMIF('rNPV Assumptions_Diabetes'!$C$13:$C$15,'rNPV Analysis_Diabetes'!T8,'rNPV Assumptions_Diabetes'!$D$13:$D$15)</f>
        <v>0</v>
      </c>
      <c r="U24" s="2238">
        <f>SUMIF('rNPV Assumptions_Diabetes'!$C$13:$C$15,'rNPV Analysis_Diabetes'!U8,'rNPV Assumptions_Diabetes'!$D$13:$D$15)</f>
        <v>0</v>
      </c>
      <c r="V24" s="2238">
        <f>SUMIF('rNPV Assumptions_Diabetes'!$C$13:$C$15,'rNPV Analysis_Diabetes'!V8,'rNPV Assumptions_Diabetes'!$D$13:$D$15)</f>
        <v>0</v>
      </c>
      <c r="W24" s="2238">
        <f>SUMIF('rNPV Assumptions_Diabetes'!$C$13:$C$15,'rNPV Analysis_Diabetes'!W8,'rNPV Assumptions_Diabetes'!$D$13:$D$15)</f>
        <v>0</v>
      </c>
      <c r="X24" s="2238">
        <f>SUMIF('rNPV Assumptions_Diabetes'!$C$13:$C$15,'rNPV Analysis_Diabetes'!X8,'rNPV Assumptions_Diabetes'!$D$13:$D$15)</f>
        <v>0</v>
      </c>
      <c r="Y24" s="2238">
        <f>SUMIF('rNPV Assumptions_Diabetes'!$C$13:$C$15,'rNPV Analysis_Diabetes'!Y8,'rNPV Assumptions_Diabetes'!$D$13:$D$15)</f>
        <v>0</v>
      </c>
      <c r="Z24" s="2238">
        <f>SUMIF('rNPV Assumptions_Diabetes'!$C$13:$C$15,'rNPV Analysis_Diabetes'!Z8,'rNPV Assumptions_Diabetes'!$D$13:$D$15)</f>
        <v>0</v>
      </c>
      <c r="AA24" s="2238">
        <f>SUMIF('rNPV Assumptions_Diabetes'!$C$13:$C$15,'rNPV Analysis_Diabetes'!AA8,'rNPV Assumptions_Diabetes'!$D$13:$D$15)</f>
        <v>0</v>
      </c>
      <c r="AB24" s="2238">
        <f>SUMIF('rNPV Assumptions_Diabetes'!$C$13:$C$15,'rNPV Analysis_Diabetes'!AB8,'rNPV Assumptions_Diabetes'!$D$13:$D$15)</f>
        <v>0</v>
      </c>
      <c r="AC24" s="2238">
        <f>SUMIF('rNPV Assumptions_Diabetes'!$C$13:$C$15,'rNPV Analysis_Diabetes'!AC8,'rNPV Assumptions_Diabetes'!$D$13:$D$15)</f>
        <v>0</v>
      </c>
      <c r="AD24" s="2238">
        <f>SUMIF('rNPV Assumptions_Diabetes'!$C$13:$C$15,'rNPV Analysis_Diabetes'!AD8,'rNPV Assumptions_Diabetes'!$D$13:$D$15)</f>
        <v>0</v>
      </c>
      <c r="AE24" s="2238">
        <f>SUMIF('rNPV Assumptions_Diabetes'!$C$13:$C$15,'rNPV Analysis_Diabetes'!AE8,'rNPV Assumptions_Diabetes'!$D$13:$D$15)</f>
        <v>0</v>
      </c>
      <c r="AF24" s="2238">
        <f>SUMIF('rNPV Assumptions_Diabetes'!$C$13:$C$15,'rNPV Analysis_Diabetes'!AF8,'rNPV Assumptions_Diabetes'!$D$13:$D$15)</f>
        <v>0</v>
      </c>
      <c r="AG24" s="2238">
        <f>SUMIF('rNPV Assumptions_Diabetes'!$C$13:$C$15,'rNPV Analysis_Diabetes'!AG8,'rNPV Assumptions_Diabetes'!$D$13:$D$15)</f>
        <v>0</v>
      </c>
      <c r="AH24" s="720"/>
      <c r="AI24" s="720"/>
      <c r="AJ24" s="720"/>
      <c r="AK24" s="720"/>
      <c r="AL24" s="720"/>
      <c r="AM24" s="720"/>
      <c r="AN24" s="720"/>
      <c r="AO24" s="720"/>
      <c r="AP24" s="720"/>
      <c r="AQ24" s="720"/>
      <c r="AR24" s="720"/>
      <c r="AS24" s="720"/>
      <c r="AT24" s="720"/>
      <c r="AU24" s="720"/>
      <c r="AV24" s="720"/>
      <c r="AW24" s="720"/>
      <c r="AX24" s="720"/>
      <c r="AY24" s="720"/>
      <c r="AZ24" s="720"/>
      <c r="BA24" s="720"/>
      <c r="BB24" s="720"/>
      <c r="BC24" s="720"/>
      <c r="BD24" s="720"/>
      <c r="BE24" s="720"/>
      <c r="BF24" s="720"/>
      <c r="BG24" s="720"/>
      <c r="BH24" s="720"/>
      <c r="BI24" s="720"/>
      <c r="BJ24" s="720"/>
      <c r="BK24" s="720"/>
      <c r="BL24" s="720"/>
      <c r="BM24" s="720"/>
      <c r="BN24" s="720"/>
      <c r="BO24" s="720"/>
      <c r="BP24" s="720"/>
      <c r="BQ24" s="720"/>
      <c r="BR24" s="720"/>
      <c r="BS24" s="720"/>
      <c r="BT24" s="720"/>
      <c r="BU24" s="720"/>
      <c r="BV24" s="720"/>
      <c r="BW24" s="720"/>
      <c r="BX24" s="720"/>
      <c r="BY24" s="720"/>
      <c r="BZ24" s="720"/>
      <c r="CA24" s="720"/>
      <c r="CB24" s="720"/>
      <c r="CC24" s="720"/>
      <c r="CD24" s="720"/>
      <c r="CE24" s="720"/>
      <c r="CF24" s="720"/>
      <c r="CG24" s="720"/>
      <c r="CH24" s="720"/>
      <c r="CI24" s="720"/>
      <c r="CJ24" s="720"/>
      <c r="CK24" s="720"/>
      <c r="CL24" s="720"/>
      <c r="CM24" s="720"/>
      <c r="CN24" s="720"/>
      <c r="CO24" s="720"/>
      <c r="CP24" s="720"/>
      <c r="CQ24" s="720"/>
      <c r="CR24" s="720"/>
      <c r="CS24" s="720"/>
      <c r="CT24" s="720"/>
      <c r="CU24" s="720"/>
      <c r="CV24" s="720"/>
      <c r="CW24" s="720"/>
      <c r="CX24" s="720"/>
      <c r="CY24" s="720"/>
      <c r="CZ24" s="720"/>
      <c r="DA24" s="720"/>
      <c r="DB24" s="720"/>
      <c r="DC24" s="720"/>
      <c r="DD24" s="720"/>
      <c r="DE24" s="720"/>
      <c r="DF24" s="720"/>
      <c r="DG24" s="720"/>
      <c r="DH24" s="720"/>
      <c r="DI24" s="720"/>
      <c r="DJ24" s="720"/>
      <c r="DK24" s="720"/>
      <c r="DL24" s="720"/>
      <c r="DM24" s="720"/>
      <c r="DN24" s="720"/>
      <c r="DO24" s="720"/>
      <c r="DP24" s="720"/>
      <c r="DQ24" s="720"/>
      <c r="DR24" s="720"/>
      <c r="DS24" s="720"/>
      <c r="DT24" s="720"/>
      <c r="DU24" s="720"/>
      <c r="DV24" s="720"/>
      <c r="DW24" s="720"/>
      <c r="DX24" s="720"/>
      <c r="DY24" s="720"/>
      <c r="DZ24" s="720"/>
      <c r="EA24" s="720"/>
      <c r="EB24" s="720"/>
      <c r="EC24" s="720"/>
      <c r="ED24" s="720"/>
      <c r="EE24" s="720"/>
      <c r="EF24" s="720"/>
      <c r="EG24" s="720"/>
      <c r="EH24" s="720"/>
      <c r="EI24" s="720"/>
      <c r="EJ24" s="720"/>
      <c r="EK24" s="720"/>
      <c r="EL24" s="720"/>
      <c r="EM24" s="720"/>
      <c r="EN24" s="720"/>
      <c r="EO24" s="720"/>
      <c r="EP24" s="720"/>
      <c r="EQ24" s="720"/>
      <c r="ER24" s="720"/>
      <c r="ES24" s="720"/>
      <c r="ET24" s="720"/>
      <c r="EU24" s="720"/>
      <c r="EV24" s="720"/>
      <c r="EW24" s="720"/>
      <c r="EX24" s="720"/>
      <c r="EY24" s="720"/>
      <c r="EZ24" s="720"/>
      <c r="FA24" s="720"/>
      <c r="FB24" s="720"/>
      <c r="FC24" s="720"/>
      <c r="FD24" s="720"/>
      <c r="FE24" s="720"/>
      <c r="FF24" s="720"/>
      <c r="FG24" s="720"/>
      <c r="FH24" s="720"/>
      <c r="FI24" s="720"/>
      <c r="FJ24" s="720"/>
      <c r="FK24" s="720"/>
      <c r="FL24" s="720"/>
      <c r="FM24" s="720"/>
      <c r="FN24" s="720"/>
      <c r="FO24" s="720"/>
      <c r="FP24" s="720"/>
      <c r="FQ24" s="720"/>
      <c r="FR24" s="720"/>
      <c r="FS24" s="720"/>
      <c r="FT24" s="720"/>
      <c r="FU24" s="720"/>
      <c r="FV24" s="720"/>
      <c r="FW24" s="720"/>
      <c r="FX24" s="720"/>
      <c r="FY24" s="720"/>
      <c r="FZ24" s="720"/>
      <c r="GA24" s="720"/>
      <c r="GB24" s="720"/>
      <c r="GC24" s="720"/>
      <c r="GD24" s="720"/>
      <c r="GE24" s="720"/>
      <c r="GF24" s="720"/>
      <c r="GG24" s="720"/>
      <c r="GH24" s="720"/>
      <c r="GI24" s="720"/>
      <c r="GJ24" s="720"/>
      <c r="GK24" s="720"/>
      <c r="GL24" s="720"/>
      <c r="GM24" s="720"/>
      <c r="GN24" s="720"/>
      <c r="GO24" s="720"/>
      <c r="GP24" s="720"/>
      <c r="GQ24" s="720"/>
      <c r="GR24" s="720"/>
      <c r="GS24" s="720"/>
      <c r="GT24" s="720"/>
      <c r="GU24" s="720"/>
      <c r="GV24" s="720"/>
      <c r="GW24" s="720"/>
      <c r="GX24" s="720"/>
      <c r="GY24" s="720"/>
      <c r="GZ24" s="720"/>
      <c r="HA24" s="720"/>
      <c r="HB24" s="720"/>
      <c r="HC24" s="720"/>
      <c r="HD24" s="720"/>
      <c r="HE24" s="720"/>
      <c r="HF24" s="720"/>
      <c r="HG24" s="720"/>
      <c r="HH24" s="720"/>
      <c r="HI24" s="720"/>
      <c r="HJ24" s="720"/>
      <c r="HK24" s="720"/>
      <c r="HL24" s="720"/>
      <c r="HM24" s="720"/>
      <c r="HN24" s="720"/>
      <c r="HO24" s="720"/>
      <c r="HP24" s="720"/>
      <c r="HQ24" s="720"/>
      <c r="HR24" s="720"/>
      <c r="HS24" s="720"/>
      <c r="HT24" s="720"/>
      <c r="HU24" s="720"/>
      <c r="HV24" s="720"/>
      <c r="HW24" s="720"/>
      <c r="HX24" s="720"/>
      <c r="HY24" s="720"/>
      <c r="HZ24" s="720"/>
      <c r="IA24" s="720"/>
      <c r="IB24" s="720"/>
      <c r="IC24" s="720"/>
      <c r="ID24" s="720"/>
      <c r="IE24" s="720"/>
      <c r="IF24" s="720"/>
      <c r="IG24" s="720"/>
      <c r="IH24" s="720"/>
      <c r="II24" s="720"/>
      <c r="IJ24" s="720"/>
      <c r="IK24" s="720"/>
      <c r="IL24" s="720"/>
      <c r="IM24" s="720"/>
      <c r="IN24" s="720"/>
      <c r="IO24" s="720"/>
      <c r="IP24" s="720"/>
      <c r="IQ24" s="720"/>
      <c r="IR24" s="720"/>
      <c r="IS24" s="720"/>
      <c r="IT24" s="720"/>
      <c r="IU24" s="720"/>
      <c r="IV24" s="720"/>
      <c r="IW24" s="720"/>
      <c r="IX24" s="720"/>
      <c r="IY24" s="720"/>
      <c r="IZ24" s="720"/>
      <c r="JA24" s="720"/>
      <c r="JB24" s="720"/>
      <c r="JC24" s="720"/>
      <c r="JD24" s="720"/>
      <c r="JE24" s="720"/>
      <c r="JF24" s="720"/>
      <c r="JG24" s="720"/>
      <c r="JH24" s="720"/>
      <c r="JI24" s="720"/>
      <c r="JJ24" s="720"/>
      <c r="JK24" s="720"/>
      <c r="JL24" s="720"/>
      <c r="JM24" s="720"/>
      <c r="JN24" s="720"/>
      <c r="JO24" s="720"/>
      <c r="JP24" s="720"/>
      <c r="JQ24" s="720"/>
      <c r="JR24" s="720"/>
      <c r="JS24" s="720"/>
      <c r="JT24" s="720"/>
      <c r="JU24" s="720"/>
      <c r="JV24" s="720"/>
      <c r="JW24" s="720"/>
      <c r="JX24" s="720"/>
      <c r="JY24" s="720"/>
      <c r="JZ24" s="720"/>
      <c r="KA24" s="720"/>
      <c r="KB24" s="720"/>
      <c r="KC24" s="720"/>
      <c r="KD24" s="720"/>
      <c r="KE24" s="720"/>
      <c r="KF24" s="720"/>
      <c r="KG24" s="720"/>
      <c r="KH24" s="720"/>
      <c r="KI24" s="720"/>
      <c r="KJ24" s="720"/>
      <c r="KK24" s="720"/>
      <c r="KL24" s="720"/>
      <c r="KM24" s="720"/>
      <c r="KN24" s="720"/>
      <c r="KO24" s="720"/>
      <c r="KP24" s="720"/>
      <c r="KQ24" s="720"/>
      <c r="KR24" s="720"/>
      <c r="KS24" s="720"/>
      <c r="KT24" s="720"/>
      <c r="KU24" s="720"/>
      <c r="KV24" s="720"/>
      <c r="KW24" s="720"/>
      <c r="KX24" s="720"/>
      <c r="KY24" s="720"/>
      <c r="KZ24" s="720"/>
      <c r="LA24" s="720"/>
      <c r="LB24" s="720"/>
      <c r="LC24" s="720"/>
      <c r="LD24" s="720"/>
      <c r="LE24" s="720"/>
      <c r="LF24" s="720"/>
      <c r="LG24" s="720"/>
      <c r="LH24" s="720"/>
      <c r="LI24" s="720"/>
      <c r="LJ24" s="720"/>
      <c r="LK24" s="720"/>
      <c r="LL24" s="720"/>
      <c r="LM24" s="720"/>
      <c r="LN24" s="720"/>
      <c r="LO24" s="720"/>
      <c r="LP24" s="720"/>
      <c r="LQ24" s="720"/>
      <c r="LR24" s="720"/>
      <c r="LS24" s="720"/>
      <c r="LT24" s="720"/>
      <c r="LU24" s="720"/>
      <c r="LV24" s="720"/>
      <c r="LW24" s="720"/>
      <c r="LX24" s="720"/>
      <c r="LY24" s="720"/>
      <c r="LZ24" s="720"/>
      <c r="MA24" s="720"/>
      <c r="MB24" s="720"/>
      <c r="MC24" s="720"/>
      <c r="MD24" s="720"/>
      <c r="ME24" s="720"/>
      <c r="MF24" s="720"/>
      <c r="MG24" s="720"/>
      <c r="MH24" s="720"/>
      <c r="MI24" s="720"/>
      <c r="MJ24" s="720"/>
      <c r="MK24" s="720"/>
      <c r="ML24" s="720"/>
      <c r="MM24" s="720"/>
      <c r="MN24" s="720"/>
      <c r="MO24" s="720"/>
      <c r="MP24" s="720"/>
      <c r="MQ24" s="720"/>
      <c r="MR24" s="720"/>
      <c r="MS24" s="720"/>
      <c r="MT24" s="720"/>
      <c r="MU24" s="720"/>
      <c r="MV24" s="720"/>
      <c r="MW24" s="720"/>
      <c r="MX24" s="720"/>
      <c r="MY24" s="720"/>
      <c r="MZ24" s="720"/>
      <c r="NA24" s="720"/>
      <c r="NB24" s="720"/>
      <c r="NC24" s="720"/>
      <c r="ND24" s="720"/>
      <c r="NE24" s="720"/>
      <c r="NF24" s="720"/>
      <c r="NG24" s="720"/>
      <c r="NH24" s="720"/>
      <c r="NI24" s="720"/>
      <c r="NJ24" s="720"/>
      <c r="NK24" s="720"/>
      <c r="NL24" s="720"/>
      <c r="NM24" s="720"/>
      <c r="NN24" s="720"/>
      <c r="NO24" s="720"/>
      <c r="NP24" s="720"/>
      <c r="NQ24" s="720"/>
      <c r="NR24" s="720"/>
      <c r="NS24" s="720"/>
      <c r="NT24" s="720"/>
      <c r="NU24" s="720"/>
      <c r="NV24" s="720"/>
      <c r="NW24" s="720"/>
      <c r="NX24" s="720"/>
      <c r="NY24" s="720"/>
      <c r="NZ24" s="720"/>
      <c r="OA24" s="720"/>
      <c r="OB24" s="720"/>
      <c r="OC24" s="720"/>
      <c r="OD24" s="720"/>
      <c r="OE24" s="720"/>
      <c r="OF24" s="720"/>
      <c r="OG24" s="720"/>
      <c r="OH24" s="720"/>
      <c r="OI24" s="720"/>
      <c r="OJ24" s="720"/>
      <c r="OK24" s="720"/>
      <c r="OL24" s="720"/>
      <c r="OM24" s="720"/>
      <c r="ON24" s="720"/>
      <c r="OO24" s="720"/>
      <c r="OP24" s="720"/>
      <c r="OQ24" s="720"/>
      <c r="OR24" s="720"/>
      <c r="OS24" s="720"/>
      <c r="OT24" s="720"/>
      <c r="OU24" s="720"/>
      <c r="OV24" s="720"/>
      <c r="OW24" s="720"/>
      <c r="OX24" s="720"/>
      <c r="OY24" s="720"/>
      <c r="OZ24" s="720"/>
      <c r="PA24" s="720"/>
      <c r="PB24" s="720"/>
      <c r="PC24" s="720"/>
      <c r="PD24" s="720"/>
      <c r="PE24" s="720"/>
      <c r="PF24" s="720"/>
      <c r="PG24" s="720"/>
      <c r="PH24" s="720"/>
      <c r="PI24" s="720"/>
      <c r="PJ24" s="720"/>
      <c r="PK24" s="720"/>
      <c r="PL24" s="720"/>
      <c r="PM24" s="720"/>
      <c r="PN24" s="720"/>
      <c r="PO24" s="720"/>
      <c r="PP24" s="720"/>
      <c r="PQ24" s="720"/>
      <c r="PR24" s="720"/>
      <c r="PS24" s="720"/>
      <c r="PT24" s="720"/>
      <c r="PU24" s="720"/>
      <c r="PV24" s="720"/>
      <c r="PW24" s="720"/>
      <c r="PX24" s="720"/>
      <c r="PY24" s="720"/>
      <c r="PZ24" s="720"/>
      <c r="QA24" s="720"/>
      <c r="QB24" s="720"/>
      <c r="QC24" s="720"/>
      <c r="QD24" s="720"/>
      <c r="QE24" s="720"/>
      <c r="QF24" s="720"/>
      <c r="QG24" s="720"/>
      <c r="QH24" s="720"/>
      <c r="QI24" s="720"/>
      <c r="QJ24" s="720"/>
      <c r="QK24" s="720"/>
      <c r="QL24" s="720"/>
      <c r="QM24" s="720"/>
      <c r="QN24" s="720"/>
      <c r="QO24" s="720"/>
      <c r="QP24" s="720"/>
      <c r="QQ24" s="720"/>
      <c r="QR24" s="720"/>
      <c r="QS24" s="720"/>
      <c r="QT24" s="720"/>
      <c r="QU24" s="720"/>
      <c r="QV24" s="720"/>
      <c r="QW24" s="720"/>
      <c r="QX24" s="720"/>
      <c r="QY24" s="720"/>
      <c r="QZ24" s="720"/>
      <c r="RA24" s="720"/>
      <c r="RB24" s="720"/>
      <c r="RC24" s="720"/>
      <c r="RD24" s="720"/>
      <c r="RE24" s="720"/>
      <c r="RF24" s="720"/>
      <c r="RG24" s="720"/>
      <c r="RH24" s="720"/>
      <c r="RI24" s="720"/>
      <c r="RJ24" s="720"/>
      <c r="RK24" s="720"/>
      <c r="RL24" s="720"/>
      <c r="RM24" s="720"/>
      <c r="RN24" s="720"/>
      <c r="RO24" s="720"/>
      <c r="RP24" s="720"/>
      <c r="RQ24" s="720"/>
      <c r="RR24" s="720"/>
      <c r="RS24" s="720"/>
      <c r="RT24" s="720"/>
      <c r="RU24" s="720"/>
      <c r="RV24" s="720"/>
      <c r="RW24" s="720"/>
      <c r="RX24" s="720"/>
      <c r="RY24" s="720"/>
      <c r="RZ24" s="720"/>
      <c r="SA24" s="720"/>
      <c r="SB24" s="720"/>
      <c r="SC24" s="720"/>
      <c r="SD24" s="720"/>
      <c r="SE24" s="720"/>
      <c r="SF24" s="720"/>
      <c r="SG24" s="720"/>
      <c r="SH24" s="720"/>
      <c r="SI24" s="720"/>
      <c r="SJ24" s="720"/>
      <c r="SK24" s="720"/>
      <c r="SL24" s="720"/>
      <c r="SM24" s="720"/>
      <c r="SN24" s="720"/>
      <c r="SO24" s="720"/>
      <c r="SP24" s="720"/>
      <c r="SQ24" s="720"/>
      <c r="SR24" s="720"/>
      <c r="SS24" s="720"/>
      <c r="ST24" s="720"/>
      <c r="SU24" s="720"/>
      <c r="SV24" s="720"/>
      <c r="SW24" s="720"/>
      <c r="SX24" s="720"/>
      <c r="SY24" s="720"/>
      <c r="SZ24" s="720"/>
      <c r="TA24" s="720"/>
      <c r="TB24" s="720"/>
      <c r="TC24" s="720"/>
      <c r="TD24" s="720"/>
      <c r="TE24" s="720"/>
      <c r="TF24" s="720"/>
      <c r="TG24" s="720"/>
      <c r="TH24" s="720"/>
      <c r="TI24" s="720"/>
      <c r="TJ24" s="720"/>
      <c r="TK24" s="720"/>
      <c r="TL24" s="720"/>
      <c r="TM24" s="720"/>
      <c r="TN24" s="720"/>
      <c r="TO24" s="720"/>
      <c r="TP24" s="720"/>
      <c r="TQ24" s="720"/>
      <c r="TR24" s="720"/>
      <c r="TS24" s="720"/>
      <c r="TT24" s="720"/>
      <c r="TU24" s="720"/>
      <c r="TV24" s="720"/>
      <c r="TW24" s="720"/>
      <c r="TX24" s="720"/>
      <c r="TY24" s="720"/>
      <c r="TZ24" s="720"/>
      <c r="UA24" s="720"/>
      <c r="UB24" s="720"/>
      <c r="UC24" s="720"/>
      <c r="UD24" s="720"/>
      <c r="UE24" s="720"/>
      <c r="UF24" s="720"/>
      <c r="UG24" s="720"/>
      <c r="UH24" s="720"/>
      <c r="UI24" s="720"/>
      <c r="UJ24" s="720"/>
      <c r="UK24" s="720"/>
      <c r="UL24" s="720"/>
      <c r="UM24" s="720"/>
      <c r="UN24" s="720"/>
      <c r="UO24" s="720"/>
      <c r="UP24" s="720"/>
      <c r="UQ24" s="720"/>
      <c r="UR24" s="720"/>
      <c r="US24" s="720"/>
      <c r="UT24" s="720"/>
      <c r="UU24" s="720"/>
      <c r="UV24" s="720"/>
      <c r="UW24" s="720"/>
      <c r="UX24" s="720"/>
      <c r="UY24" s="720"/>
      <c r="UZ24" s="720"/>
      <c r="VA24" s="720"/>
      <c r="VB24" s="720"/>
      <c r="VC24" s="720"/>
      <c r="VD24" s="720"/>
      <c r="VE24" s="720"/>
      <c r="VF24" s="720"/>
      <c r="VG24" s="720"/>
      <c r="VH24" s="720"/>
      <c r="VI24" s="720"/>
      <c r="VJ24" s="720"/>
      <c r="VK24" s="720"/>
      <c r="VL24" s="720"/>
      <c r="VM24" s="720"/>
      <c r="VN24" s="720"/>
      <c r="VO24" s="720"/>
      <c r="VP24" s="720"/>
      <c r="VQ24" s="720"/>
      <c r="VR24" s="720"/>
      <c r="VS24" s="720"/>
      <c r="VT24" s="720"/>
      <c r="VU24" s="720"/>
      <c r="VV24" s="720"/>
      <c r="VW24" s="720"/>
      <c r="VX24" s="720"/>
      <c r="VY24" s="720"/>
      <c r="VZ24" s="720"/>
      <c r="WA24" s="720"/>
      <c r="WB24" s="720"/>
      <c r="WC24" s="720"/>
      <c r="WD24" s="720"/>
      <c r="WE24" s="720"/>
      <c r="WF24" s="720"/>
      <c r="WG24" s="720"/>
      <c r="WH24" s="720"/>
      <c r="WI24" s="720"/>
      <c r="WJ24" s="720"/>
      <c r="WK24" s="720"/>
      <c r="WL24" s="720"/>
      <c r="WM24" s="720"/>
      <c r="WN24" s="720"/>
      <c r="WO24" s="720"/>
      <c r="WP24" s="720"/>
      <c r="WQ24" s="720"/>
      <c r="WR24" s="720"/>
      <c r="WS24" s="720"/>
      <c r="WT24" s="720"/>
      <c r="WU24" s="720"/>
      <c r="WV24" s="720"/>
      <c r="WW24" s="720"/>
      <c r="WX24" s="720"/>
      <c r="WY24" s="720"/>
      <c r="WZ24" s="720"/>
      <c r="XA24" s="720"/>
      <c r="XB24" s="720"/>
      <c r="XC24" s="720"/>
      <c r="XD24" s="720"/>
      <c r="XE24" s="720"/>
      <c r="XF24" s="720"/>
      <c r="XG24" s="720"/>
      <c r="XH24" s="720"/>
      <c r="XI24" s="720"/>
      <c r="XJ24" s="720"/>
      <c r="XK24" s="720"/>
      <c r="XL24" s="720"/>
      <c r="XM24" s="720"/>
      <c r="XN24" s="720"/>
      <c r="XO24" s="720"/>
      <c r="XP24" s="720"/>
      <c r="XQ24" s="720"/>
      <c r="XR24" s="720"/>
      <c r="XS24" s="720"/>
      <c r="XT24" s="720"/>
      <c r="XU24" s="720"/>
      <c r="XV24" s="720"/>
      <c r="XW24" s="720"/>
      <c r="XX24" s="720"/>
      <c r="XY24" s="720"/>
      <c r="XZ24" s="720"/>
      <c r="YA24" s="720"/>
      <c r="YB24" s="720"/>
      <c r="YC24" s="720"/>
      <c r="YD24" s="720"/>
      <c r="YE24" s="720"/>
      <c r="YF24" s="720"/>
      <c r="YG24" s="720"/>
      <c r="YH24" s="720"/>
      <c r="YI24" s="720"/>
      <c r="YJ24" s="720"/>
      <c r="YK24" s="720"/>
      <c r="YL24" s="720"/>
      <c r="YM24" s="720"/>
      <c r="YN24" s="720"/>
      <c r="YO24" s="720"/>
      <c r="YP24" s="720"/>
      <c r="YQ24" s="720"/>
      <c r="YR24" s="720"/>
      <c r="YS24" s="720"/>
      <c r="YT24" s="720"/>
      <c r="YU24" s="720"/>
      <c r="YV24" s="720"/>
      <c r="YW24" s="720"/>
      <c r="YX24" s="720"/>
      <c r="YY24" s="720"/>
      <c r="YZ24" s="720"/>
      <c r="ZA24" s="720"/>
      <c r="ZB24" s="720"/>
      <c r="ZC24" s="720"/>
      <c r="ZD24" s="720"/>
      <c r="ZE24" s="720"/>
      <c r="ZF24" s="720"/>
      <c r="ZG24" s="720"/>
      <c r="ZH24" s="720"/>
      <c r="ZI24" s="720"/>
      <c r="ZJ24" s="720"/>
      <c r="ZK24" s="720"/>
      <c r="ZL24" s="720"/>
      <c r="ZM24" s="720"/>
      <c r="ZN24" s="720"/>
      <c r="ZO24" s="720"/>
      <c r="ZP24" s="720"/>
      <c r="ZQ24" s="720"/>
      <c r="ZR24" s="720"/>
      <c r="ZS24" s="720"/>
      <c r="ZT24" s="720"/>
      <c r="ZU24" s="720"/>
      <c r="ZV24" s="720"/>
      <c r="ZW24" s="720"/>
      <c r="ZX24" s="720"/>
      <c r="ZY24" s="720"/>
      <c r="ZZ24" s="720"/>
      <c r="AAA24" s="720"/>
      <c r="AAB24" s="720"/>
      <c r="AAC24" s="720"/>
      <c r="AAD24" s="720"/>
      <c r="AAE24" s="720"/>
      <c r="AAF24" s="720"/>
      <c r="AAG24" s="720"/>
      <c r="AAH24" s="720"/>
      <c r="AAI24" s="720"/>
      <c r="AAJ24" s="720"/>
      <c r="AAK24" s="720"/>
      <c r="AAL24" s="720"/>
      <c r="AAM24" s="720"/>
      <c r="AAN24" s="720"/>
      <c r="AAO24" s="720"/>
      <c r="AAP24" s="720"/>
      <c r="AAQ24" s="720"/>
      <c r="AAR24" s="720"/>
      <c r="AAS24" s="720"/>
      <c r="AAT24" s="720"/>
      <c r="AAU24" s="720"/>
      <c r="AAV24" s="720"/>
      <c r="AAW24" s="720"/>
      <c r="AAX24" s="720"/>
      <c r="AAY24" s="720"/>
      <c r="AAZ24" s="720"/>
      <c r="ABA24" s="720"/>
      <c r="ABB24" s="720"/>
      <c r="ABC24" s="720"/>
      <c r="ABD24" s="720"/>
      <c r="ABE24" s="720"/>
      <c r="ABF24" s="720"/>
      <c r="ABG24" s="720"/>
      <c r="ABH24" s="720"/>
      <c r="ABI24" s="720"/>
      <c r="ABJ24" s="720"/>
      <c r="ABK24" s="720"/>
      <c r="ABL24" s="720"/>
      <c r="ABM24" s="720"/>
      <c r="ABN24" s="720"/>
      <c r="ABO24" s="720"/>
      <c r="ABP24" s="720"/>
      <c r="ABQ24" s="720"/>
      <c r="ABR24" s="720"/>
      <c r="ABS24" s="720"/>
      <c r="ABT24" s="720"/>
      <c r="ABU24" s="720"/>
      <c r="ABV24" s="720"/>
      <c r="ABW24" s="720"/>
      <c r="ABX24" s="720"/>
      <c r="ABY24" s="720"/>
      <c r="ABZ24" s="720"/>
      <c r="ACA24" s="720"/>
      <c r="ACB24" s="720"/>
      <c r="ACC24" s="720"/>
      <c r="ACD24" s="720"/>
      <c r="ACE24" s="720"/>
      <c r="ACF24" s="720"/>
      <c r="ACG24" s="720"/>
      <c r="ACH24" s="720"/>
      <c r="ACI24" s="720"/>
      <c r="ACJ24" s="720"/>
      <c r="ACK24" s="720"/>
      <c r="ACL24" s="720"/>
      <c r="ACM24" s="720"/>
      <c r="ACN24" s="720"/>
      <c r="ACO24" s="720"/>
      <c r="ACP24" s="720"/>
      <c r="ACQ24" s="720"/>
      <c r="ACR24" s="720"/>
      <c r="ACS24" s="720"/>
      <c r="ACT24" s="720"/>
      <c r="ACU24" s="720"/>
      <c r="ACV24" s="720"/>
      <c r="ACW24" s="720"/>
      <c r="ACX24" s="720"/>
      <c r="ACY24" s="720"/>
      <c r="ACZ24" s="720"/>
      <c r="ADA24" s="720"/>
      <c r="ADB24" s="720"/>
      <c r="ADC24" s="720"/>
      <c r="ADD24" s="720"/>
      <c r="ADE24" s="720"/>
      <c r="ADF24" s="720"/>
      <c r="ADG24" s="720"/>
      <c r="ADH24" s="720"/>
      <c r="ADI24" s="720"/>
      <c r="ADJ24" s="720"/>
      <c r="ADK24" s="720"/>
      <c r="ADL24" s="720"/>
      <c r="ADM24" s="720"/>
      <c r="ADN24" s="720"/>
      <c r="ADO24" s="720"/>
      <c r="ADP24" s="720"/>
      <c r="ADQ24" s="720"/>
      <c r="ADR24" s="720"/>
      <c r="ADS24" s="720"/>
      <c r="ADT24" s="720"/>
      <c r="ADU24" s="720"/>
      <c r="ADV24" s="720"/>
      <c r="ADW24" s="720"/>
      <c r="ADX24" s="720"/>
      <c r="ADY24" s="720"/>
      <c r="ADZ24" s="720"/>
      <c r="AEA24" s="720"/>
      <c r="AEB24" s="720"/>
      <c r="AEC24" s="720"/>
      <c r="AED24" s="720"/>
      <c r="AEE24" s="720"/>
      <c r="AEF24" s="720"/>
      <c r="AEG24" s="720"/>
      <c r="AEH24" s="720"/>
      <c r="AEI24" s="720"/>
      <c r="AEJ24" s="720"/>
      <c r="AEK24" s="720"/>
      <c r="AEL24" s="720"/>
      <c r="AEM24" s="720"/>
      <c r="AEN24" s="720"/>
      <c r="AEO24" s="720"/>
      <c r="AEP24" s="720"/>
      <c r="AEQ24" s="720"/>
      <c r="AER24" s="720"/>
      <c r="AES24" s="720"/>
      <c r="AET24" s="720"/>
      <c r="AEU24" s="720"/>
      <c r="AEV24" s="720"/>
      <c r="AEW24" s="720"/>
      <c r="AEX24" s="720"/>
      <c r="AEY24" s="720"/>
      <c r="AEZ24" s="720"/>
      <c r="AFA24" s="720"/>
      <c r="AFB24" s="720"/>
      <c r="AFC24" s="720"/>
      <c r="AFD24" s="720"/>
      <c r="AFE24" s="720"/>
      <c r="AFF24" s="720"/>
      <c r="AFG24" s="720"/>
      <c r="AFH24" s="720"/>
      <c r="AFI24" s="720"/>
      <c r="AFJ24" s="720"/>
      <c r="AFK24" s="720"/>
      <c r="AFL24" s="720"/>
      <c r="AFM24" s="720"/>
      <c r="AFN24" s="720"/>
      <c r="AFO24" s="720"/>
      <c r="AFP24" s="720"/>
      <c r="AFQ24" s="720"/>
      <c r="AFR24" s="720"/>
      <c r="AFS24" s="720"/>
      <c r="AFT24" s="720"/>
      <c r="AFU24" s="720"/>
      <c r="AFV24" s="720"/>
      <c r="AFW24" s="720"/>
      <c r="AFX24" s="720"/>
      <c r="AFY24" s="720"/>
      <c r="AFZ24" s="720"/>
      <c r="AGA24" s="720"/>
      <c r="AGB24" s="720"/>
      <c r="AGC24" s="720"/>
      <c r="AGD24" s="720"/>
      <c r="AGE24" s="720"/>
      <c r="AGF24" s="720"/>
      <c r="AGG24" s="720"/>
      <c r="AGH24" s="720"/>
      <c r="AGI24" s="720"/>
      <c r="AGJ24" s="720"/>
      <c r="AGK24" s="720"/>
      <c r="AGL24" s="720"/>
      <c r="AGM24" s="720"/>
      <c r="AGN24" s="720"/>
      <c r="AGO24" s="720"/>
      <c r="AGP24" s="720"/>
      <c r="AGQ24" s="720"/>
      <c r="AGR24" s="720"/>
      <c r="AGS24" s="720"/>
      <c r="AGT24" s="720"/>
      <c r="AGU24" s="720"/>
      <c r="AGV24" s="720"/>
      <c r="AGW24" s="720"/>
      <c r="AGX24" s="720"/>
      <c r="AGY24" s="720"/>
      <c r="AGZ24" s="720"/>
      <c r="AHA24" s="720"/>
      <c r="AHB24" s="720"/>
      <c r="AHC24" s="720"/>
      <c r="AHD24" s="720"/>
      <c r="AHE24" s="720"/>
      <c r="AHF24" s="720"/>
      <c r="AHG24" s="720"/>
      <c r="AHH24" s="720"/>
      <c r="AHI24" s="720"/>
      <c r="AHJ24" s="720"/>
      <c r="AHK24" s="720"/>
      <c r="AHL24" s="720"/>
      <c r="AHM24" s="720"/>
      <c r="AHN24" s="720"/>
      <c r="AHO24" s="720"/>
      <c r="AHP24" s="720"/>
      <c r="AHQ24" s="720"/>
      <c r="AHR24" s="720"/>
      <c r="AHS24" s="720"/>
      <c r="AHT24" s="720"/>
      <c r="AHU24" s="720"/>
      <c r="AHV24" s="720"/>
      <c r="AHW24" s="720"/>
      <c r="AHX24" s="720"/>
      <c r="AHY24" s="720"/>
      <c r="AHZ24" s="720"/>
      <c r="AIA24" s="720"/>
      <c r="AIB24" s="720"/>
      <c r="AIC24" s="720"/>
      <c r="AID24" s="720"/>
      <c r="AIE24" s="720"/>
      <c r="AIF24" s="720"/>
      <c r="AIG24" s="720"/>
      <c r="AIH24" s="720"/>
      <c r="AII24" s="720"/>
      <c r="AIJ24" s="720"/>
      <c r="AIK24" s="720"/>
      <c r="AIL24" s="720"/>
      <c r="AIM24" s="720"/>
      <c r="AIN24" s="720"/>
      <c r="AIO24" s="720"/>
      <c r="AIP24" s="720"/>
      <c r="AIQ24" s="720"/>
      <c r="AIR24" s="720"/>
      <c r="AIS24" s="720"/>
      <c r="AIT24" s="720"/>
      <c r="AIU24" s="720"/>
      <c r="AIV24" s="720"/>
      <c r="AIW24" s="720"/>
      <c r="AIX24" s="720"/>
      <c r="AIY24" s="720"/>
      <c r="AIZ24" s="720"/>
      <c r="AJA24" s="720"/>
      <c r="AJB24" s="720"/>
      <c r="AJC24" s="720"/>
      <c r="AJD24" s="720"/>
      <c r="AJE24" s="720"/>
      <c r="AJF24" s="720"/>
      <c r="AJG24" s="720"/>
      <c r="AJH24" s="720"/>
      <c r="AJI24" s="720"/>
      <c r="AJJ24" s="720"/>
      <c r="AJK24" s="720"/>
      <c r="AJL24" s="720"/>
      <c r="AJM24" s="720"/>
      <c r="AJN24" s="720"/>
      <c r="AJO24" s="720"/>
      <c r="AJP24" s="720"/>
      <c r="AJQ24" s="720"/>
      <c r="AJR24" s="720"/>
      <c r="AJS24" s="720"/>
      <c r="AJT24" s="720"/>
      <c r="AJU24" s="720"/>
      <c r="AJV24" s="720"/>
      <c r="AJW24" s="720"/>
      <c r="AJX24" s="720"/>
      <c r="AJY24" s="720"/>
      <c r="AJZ24" s="720"/>
      <c r="AKA24" s="720"/>
      <c r="AKB24" s="720"/>
      <c r="AKC24" s="720"/>
      <c r="AKD24" s="720"/>
      <c r="AKE24" s="720"/>
      <c r="AKF24" s="720"/>
      <c r="AKG24" s="720"/>
      <c r="AKH24" s="720"/>
      <c r="AKI24" s="720"/>
      <c r="AKJ24" s="720"/>
      <c r="AKK24" s="720"/>
      <c r="AKL24" s="720"/>
      <c r="AKM24" s="720"/>
      <c r="AKN24" s="720"/>
      <c r="AKO24" s="720"/>
      <c r="AKP24" s="720"/>
      <c r="AKQ24" s="720"/>
      <c r="AKR24" s="720"/>
      <c r="AKS24" s="720"/>
      <c r="AKT24" s="720"/>
      <c r="AKU24" s="720"/>
      <c r="AKV24" s="720"/>
      <c r="AKW24" s="720"/>
      <c r="AKX24" s="720"/>
      <c r="AKY24" s="720"/>
      <c r="AKZ24" s="720"/>
      <c r="ALA24" s="720"/>
      <c r="ALB24" s="720"/>
      <c r="ALC24" s="720"/>
      <c r="ALD24" s="720"/>
      <c r="ALE24" s="720"/>
      <c r="ALF24" s="720"/>
      <c r="ALG24" s="720"/>
      <c r="ALH24" s="720"/>
      <c r="ALI24" s="720"/>
      <c r="ALJ24" s="720"/>
      <c r="ALK24" s="720"/>
      <c r="ALL24" s="720"/>
      <c r="ALM24" s="720"/>
      <c r="ALN24" s="720"/>
      <c r="ALO24" s="720"/>
      <c r="ALP24" s="720"/>
      <c r="ALQ24" s="720"/>
      <c r="ALR24" s="720"/>
      <c r="ALS24" s="720"/>
      <c r="ALT24" s="720"/>
      <c r="ALU24" s="720"/>
      <c r="ALV24" s="720"/>
      <c r="ALW24" s="720"/>
      <c r="ALX24" s="720"/>
      <c r="ALY24" s="720"/>
      <c r="ALZ24" s="720"/>
      <c r="AMA24" s="720"/>
      <c r="AMB24" s="720"/>
      <c r="AMC24" s="720"/>
      <c r="AMD24" s="720"/>
      <c r="AME24" s="720"/>
      <c r="AMF24" s="720"/>
      <c r="AMG24" s="720"/>
      <c r="AMH24" s="720"/>
      <c r="AMI24" s="720"/>
      <c r="AMJ24" s="720"/>
      <c r="AMK24" s="720"/>
      <c r="AML24" s="720"/>
      <c r="AMM24" s="720"/>
      <c r="AMN24" s="720"/>
      <c r="AMO24" s="720"/>
      <c r="AMP24" s="720"/>
      <c r="AMQ24" s="720"/>
      <c r="AMR24" s="720"/>
      <c r="AMS24" s="720"/>
      <c r="AMT24" s="720"/>
      <c r="AMU24" s="720"/>
      <c r="AMV24" s="720"/>
      <c r="AMW24" s="720"/>
      <c r="AMX24" s="720"/>
      <c r="AMY24" s="720"/>
      <c r="AMZ24" s="720"/>
      <c r="ANA24" s="720"/>
      <c r="ANB24" s="720"/>
      <c r="ANC24" s="720"/>
      <c r="AND24" s="720"/>
      <c r="ANE24" s="720"/>
      <c r="ANF24" s="720"/>
      <c r="ANG24" s="720"/>
      <c r="ANH24" s="720"/>
      <c r="ANI24" s="720"/>
      <c r="ANJ24" s="720"/>
      <c r="ANK24" s="720"/>
      <c r="ANL24" s="720"/>
      <c r="ANM24" s="720"/>
      <c r="ANN24" s="720"/>
      <c r="ANO24" s="720"/>
      <c r="ANP24" s="720"/>
      <c r="ANQ24" s="720"/>
      <c r="ANR24" s="720"/>
      <c r="ANS24" s="720"/>
      <c r="ANT24" s="720"/>
      <c r="ANU24" s="720"/>
      <c r="ANV24" s="720"/>
      <c r="ANW24" s="720"/>
      <c r="ANX24" s="720"/>
      <c r="ANY24" s="720"/>
      <c r="ANZ24" s="720"/>
      <c r="AOA24" s="720"/>
      <c r="AOB24" s="720"/>
      <c r="AOC24" s="720"/>
      <c r="AOD24" s="720"/>
      <c r="AOE24" s="720"/>
      <c r="AOF24" s="720"/>
      <c r="AOG24" s="720"/>
      <c r="AOH24" s="720"/>
      <c r="AOI24" s="720"/>
      <c r="AOJ24" s="720"/>
      <c r="AOK24" s="720"/>
      <c r="AOL24" s="720"/>
      <c r="AOM24" s="720"/>
      <c r="AON24" s="720"/>
      <c r="AOO24" s="720"/>
      <c r="AOP24" s="720"/>
      <c r="AOQ24" s="720"/>
      <c r="AOR24" s="720"/>
      <c r="AOS24" s="720"/>
      <c r="AOT24" s="720"/>
      <c r="AOU24" s="720"/>
      <c r="AOV24" s="720"/>
      <c r="AOW24" s="720"/>
      <c r="AOX24" s="720"/>
      <c r="AOY24" s="720"/>
      <c r="AOZ24" s="720"/>
      <c r="APA24" s="720"/>
      <c r="APB24" s="720"/>
      <c r="APC24" s="720"/>
      <c r="APD24" s="720"/>
      <c r="APE24" s="720"/>
      <c r="APF24" s="720"/>
      <c r="APG24" s="720"/>
      <c r="APH24" s="720"/>
      <c r="API24" s="720"/>
      <c r="APJ24" s="720"/>
      <c r="APK24" s="720"/>
      <c r="APL24" s="720"/>
      <c r="APM24" s="720"/>
      <c r="APN24" s="720"/>
      <c r="APO24" s="720"/>
      <c r="APP24" s="720"/>
      <c r="APQ24" s="720"/>
      <c r="APR24" s="720"/>
      <c r="APS24" s="720"/>
      <c r="APT24" s="720"/>
      <c r="APU24" s="720"/>
      <c r="APV24" s="720"/>
      <c r="APW24" s="720"/>
      <c r="APX24" s="720"/>
      <c r="APY24" s="720"/>
      <c r="APZ24" s="720"/>
      <c r="AQA24" s="720"/>
      <c r="AQB24" s="720"/>
      <c r="AQC24" s="720"/>
      <c r="AQD24" s="720"/>
      <c r="AQE24" s="720"/>
      <c r="AQF24" s="720"/>
      <c r="AQG24" s="720"/>
      <c r="AQH24" s="720"/>
      <c r="AQI24" s="720"/>
      <c r="AQJ24" s="720"/>
      <c r="AQK24" s="720"/>
      <c r="AQL24" s="720"/>
      <c r="AQM24" s="720"/>
      <c r="AQN24" s="720"/>
      <c r="AQO24" s="720"/>
      <c r="AQP24" s="720"/>
      <c r="AQQ24" s="720"/>
      <c r="AQR24" s="720"/>
      <c r="AQS24" s="720"/>
      <c r="AQT24" s="720"/>
      <c r="AQU24" s="720"/>
      <c r="AQV24" s="720"/>
      <c r="AQW24" s="720"/>
      <c r="AQX24" s="720"/>
      <c r="AQY24" s="720"/>
      <c r="AQZ24" s="720"/>
      <c r="ARA24" s="720"/>
      <c r="ARB24" s="720"/>
      <c r="ARC24" s="720"/>
      <c r="ARD24" s="720"/>
      <c r="ARE24" s="720"/>
      <c r="ARF24" s="720"/>
      <c r="ARG24" s="720"/>
      <c r="ARH24" s="720"/>
      <c r="ARI24" s="720"/>
      <c r="ARJ24" s="720"/>
      <c r="ARK24" s="720"/>
      <c r="ARL24" s="720"/>
      <c r="ARM24" s="720"/>
      <c r="ARN24" s="720"/>
      <c r="ARO24" s="720"/>
      <c r="ARP24" s="720"/>
      <c r="ARQ24" s="720"/>
      <c r="ARR24" s="720"/>
      <c r="ARS24" s="720"/>
      <c r="ART24" s="720"/>
      <c r="ARU24" s="720"/>
      <c r="ARV24" s="720"/>
      <c r="ARW24" s="720"/>
      <c r="ARX24" s="720"/>
      <c r="ARY24" s="720"/>
      <c r="ARZ24" s="720"/>
      <c r="ASA24" s="720"/>
      <c r="ASB24" s="720"/>
      <c r="ASC24" s="720"/>
      <c r="ASD24" s="720"/>
      <c r="ASE24" s="720"/>
      <c r="ASF24" s="720"/>
      <c r="ASG24" s="720"/>
      <c r="ASH24" s="720"/>
      <c r="ASI24" s="720"/>
      <c r="ASJ24" s="720"/>
      <c r="ASK24" s="720"/>
      <c r="ASL24" s="720"/>
      <c r="ASM24" s="720"/>
      <c r="ASN24" s="720"/>
      <c r="ASO24" s="720"/>
      <c r="ASP24" s="720"/>
      <c r="ASQ24" s="720"/>
      <c r="ASR24" s="720"/>
      <c r="ASS24" s="720"/>
      <c r="AST24" s="720"/>
      <c r="ASU24" s="720"/>
      <c r="ASV24" s="720"/>
      <c r="ASW24" s="720"/>
      <c r="ASX24" s="720"/>
      <c r="ASY24" s="720"/>
      <c r="ASZ24" s="720"/>
      <c r="ATA24" s="720"/>
      <c r="ATB24" s="720"/>
      <c r="ATC24" s="720"/>
      <c r="ATD24" s="720"/>
      <c r="ATE24" s="720"/>
      <c r="ATF24" s="720"/>
      <c r="ATG24" s="720"/>
      <c r="ATH24" s="720"/>
      <c r="ATI24" s="720"/>
      <c r="ATJ24" s="720"/>
      <c r="ATK24" s="720"/>
      <c r="ATL24" s="720"/>
      <c r="ATM24" s="720"/>
      <c r="ATN24" s="720"/>
      <c r="ATO24" s="720"/>
      <c r="ATP24" s="720"/>
      <c r="ATQ24" s="720"/>
      <c r="ATR24" s="720"/>
      <c r="ATS24" s="720"/>
      <c r="ATT24" s="720"/>
      <c r="ATU24" s="720"/>
      <c r="ATV24" s="720"/>
      <c r="ATW24" s="720"/>
      <c r="ATX24" s="720"/>
      <c r="ATY24" s="720"/>
      <c r="ATZ24" s="720"/>
      <c r="AUA24" s="720"/>
      <c r="AUB24" s="720"/>
      <c r="AUC24" s="720"/>
      <c r="AUD24" s="720"/>
      <c r="AUE24" s="720"/>
      <c r="AUF24" s="720"/>
      <c r="AUG24" s="720"/>
      <c r="AUH24" s="720"/>
      <c r="AUI24" s="720"/>
      <c r="AUJ24" s="720"/>
      <c r="AUK24" s="720"/>
      <c r="AUL24" s="720"/>
      <c r="AUM24" s="720"/>
      <c r="AUN24" s="720"/>
      <c r="AUO24" s="720"/>
      <c r="AUP24" s="720"/>
      <c r="AUQ24" s="720"/>
      <c r="AUR24" s="720"/>
      <c r="AUS24" s="720"/>
      <c r="AUT24" s="720"/>
      <c r="AUU24" s="720"/>
      <c r="AUV24" s="720"/>
      <c r="AUW24" s="720"/>
      <c r="AUX24" s="720"/>
      <c r="AUY24" s="720"/>
      <c r="AUZ24" s="720"/>
      <c r="AVA24" s="720"/>
      <c r="AVB24" s="720"/>
      <c r="AVC24" s="720"/>
      <c r="AVD24" s="720"/>
      <c r="AVE24" s="720"/>
      <c r="AVF24" s="720"/>
      <c r="AVG24" s="720"/>
      <c r="AVH24" s="720"/>
      <c r="AVI24" s="720"/>
      <c r="AVJ24" s="720"/>
      <c r="AVK24" s="720"/>
      <c r="AVL24" s="720"/>
      <c r="AVM24" s="720"/>
      <c r="AVN24" s="720"/>
      <c r="AVO24" s="720"/>
      <c r="AVP24" s="720"/>
      <c r="AVQ24" s="720"/>
      <c r="AVR24" s="720"/>
      <c r="AVS24" s="720"/>
      <c r="AVT24" s="720"/>
      <c r="AVU24" s="720"/>
      <c r="AVV24" s="720"/>
      <c r="AVW24" s="720"/>
      <c r="AVX24" s="720"/>
      <c r="AVY24" s="720"/>
      <c r="AVZ24" s="720"/>
      <c r="AWA24" s="720"/>
      <c r="AWB24" s="720"/>
      <c r="AWC24" s="720"/>
      <c r="AWD24" s="720"/>
      <c r="AWE24" s="720"/>
      <c r="AWF24" s="720"/>
      <c r="AWG24" s="720"/>
      <c r="AWH24" s="720"/>
      <c r="AWI24" s="720"/>
      <c r="AWJ24" s="720"/>
      <c r="AWK24" s="720"/>
      <c r="AWL24" s="720"/>
      <c r="AWM24" s="720"/>
      <c r="AWN24" s="720"/>
      <c r="AWO24" s="720"/>
      <c r="AWP24" s="720"/>
      <c r="AWQ24" s="720"/>
      <c r="AWR24" s="720"/>
      <c r="AWS24" s="720"/>
      <c r="AWT24" s="720"/>
      <c r="AWU24" s="720"/>
      <c r="AWV24" s="720"/>
      <c r="AWW24" s="720"/>
      <c r="AWX24" s="720"/>
      <c r="AWY24" s="720"/>
      <c r="AWZ24" s="720"/>
      <c r="AXA24" s="720"/>
      <c r="AXB24" s="720"/>
      <c r="AXC24" s="720"/>
      <c r="AXD24" s="720"/>
      <c r="AXE24" s="720"/>
      <c r="AXF24" s="720"/>
      <c r="AXG24" s="720"/>
      <c r="AXH24" s="720"/>
      <c r="AXI24" s="720"/>
      <c r="AXJ24" s="720"/>
      <c r="AXK24" s="720"/>
      <c r="AXL24" s="720"/>
      <c r="AXM24" s="720"/>
      <c r="AXN24" s="720"/>
      <c r="AXO24" s="720"/>
      <c r="AXP24" s="720"/>
      <c r="AXQ24" s="720"/>
      <c r="AXR24" s="720"/>
      <c r="AXS24" s="720"/>
      <c r="AXT24" s="720"/>
      <c r="AXU24" s="720"/>
      <c r="AXV24" s="720"/>
      <c r="AXW24" s="720"/>
      <c r="AXX24" s="720"/>
      <c r="AXY24" s="720"/>
      <c r="AXZ24" s="720"/>
      <c r="AYA24" s="720"/>
      <c r="AYB24" s="720"/>
      <c r="AYC24" s="720"/>
      <c r="AYD24" s="720"/>
      <c r="AYE24" s="720"/>
      <c r="AYF24" s="720"/>
      <c r="AYG24" s="720"/>
      <c r="AYH24" s="720"/>
      <c r="AYI24" s="720"/>
      <c r="AYJ24" s="720"/>
      <c r="AYK24" s="720"/>
      <c r="AYL24" s="720"/>
      <c r="AYM24" s="720"/>
      <c r="AYN24" s="720"/>
      <c r="AYO24" s="720"/>
      <c r="AYP24" s="720"/>
      <c r="AYQ24" s="720"/>
      <c r="AYR24" s="720"/>
      <c r="AYS24" s="720"/>
      <c r="AYT24" s="720"/>
      <c r="AYU24" s="720"/>
      <c r="AYV24" s="720"/>
      <c r="AYW24" s="720"/>
      <c r="AYX24" s="720"/>
      <c r="AYY24" s="720"/>
      <c r="AYZ24" s="720"/>
      <c r="AZA24" s="720"/>
      <c r="AZB24" s="720"/>
      <c r="AZC24" s="720"/>
      <c r="AZD24" s="720"/>
      <c r="AZE24" s="720"/>
      <c r="AZF24" s="720"/>
      <c r="AZG24" s="720"/>
      <c r="AZH24" s="720"/>
      <c r="AZI24" s="720"/>
      <c r="AZJ24" s="720"/>
      <c r="AZK24" s="720"/>
      <c r="AZL24" s="720"/>
      <c r="AZM24" s="720"/>
      <c r="AZN24" s="720"/>
      <c r="AZO24" s="720"/>
      <c r="AZP24" s="720"/>
      <c r="AZQ24" s="720"/>
      <c r="AZR24" s="720"/>
      <c r="AZS24" s="720"/>
      <c r="AZT24" s="720"/>
      <c r="AZU24" s="720"/>
      <c r="AZV24" s="720"/>
      <c r="AZW24" s="720"/>
      <c r="AZX24" s="720"/>
      <c r="AZY24" s="720"/>
      <c r="AZZ24" s="720"/>
      <c r="BAA24" s="720"/>
      <c r="BAB24" s="720"/>
      <c r="BAC24" s="720"/>
      <c r="BAD24" s="720"/>
      <c r="BAE24" s="720"/>
      <c r="BAF24" s="720"/>
      <c r="BAG24" s="720"/>
      <c r="BAH24" s="720"/>
      <c r="BAI24" s="720"/>
      <c r="BAJ24" s="720"/>
      <c r="BAK24" s="720"/>
      <c r="BAL24" s="720"/>
      <c r="BAM24" s="720"/>
      <c r="BAN24" s="720"/>
      <c r="BAO24" s="720"/>
      <c r="BAP24" s="720"/>
      <c r="BAQ24" s="720"/>
      <c r="BAR24" s="720"/>
      <c r="BAS24" s="720"/>
      <c r="BAT24" s="720"/>
      <c r="BAU24" s="720"/>
      <c r="BAV24" s="720"/>
      <c r="BAW24" s="720"/>
      <c r="BAX24" s="720"/>
      <c r="BAY24" s="720"/>
      <c r="BAZ24" s="720"/>
      <c r="BBA24" s="720"/>
      <c r="BBB24" s="720"/>
      <c r="BBC24" s="720"/>
      <c r="BBD24" s="720"/>
      <c r="BBE24" s="720"/>
      <c r="BBF24" s="720"/>
      <c r="BBG24" s="720"/>
      <c r="BBH24" s="720"/>
      <c r="BBI24" s="720"/>
      <c r="BBJ24" s="720"/>
      <c r="BBK24" s="720"/>
      <c r="BBL24" s="720"/>
      <c r="BBM24" s="720"/>
      <c r="BBN24" s="720"/>
      <c r="BBO24" s="720"/>
      <c r="BBP24" s="720"/>
      <c r="BBQ24" s="720"/>
      <c r="BBR24" s="720"/>
      <c r="BBS24" s="720"/>
      <c r="BBT24" s="720"/>
      <c r="BBU24" s="720"/>
      <c r="BBV24" s="720"/>
      <c r="BBW24" s="720"/>
      <c r="BBX24" s="720"/>
      <c r="BBY24" s="720"/>
      <c r="BBZ24" s="720"/>
      <c r="BCA24" s="720"/>
      <c r="BCB24" s="720"/>
      <c r="BCC24" s="720"/>
      <c r="BCD24" s="720"/>
      <c r="BCE24" s="720"/>
      <c r="BCF24" s="720"/>
      <c r="BCG24" s="720"/>
      <c r="BCH24" s="720"/>
      <c r="BCI24" s="720"/>
      <c r="BCJ24" s="720"/>
      <c r="BCK24" s="720"/>
      <c r="BCL24" s="720"/>
      <c r="BCM24" s="720"/>
      <c r="BCN24" s="720"/>
      <c r="BCO24" s="720"/>
      <c r="BCP24" s="720"/>
      <c r="BCQ24" s="720"/>
      <c r="BCR24" s="720"/>
      <c r="BCS24" s="720"/>
      <c r="BCT24" s="720"/>
      <c r="BCU24" s="720"/>
      <c r="BCV24" s="720"/>
      <c r="BCW24" s="720"/>
      <c r="BCX24" s="720"/>
      <c r="BCY24" s="720"/>
      <c r="BCZ24" s="720"/>
      <c r="BDA24" s="720"/>
      <c r="BDB24" s="720"/>
      <c r="BDC24" s="720"/>
      <c r="BDD24" s="720"/>
      <c r="BDE24" s="720"/>
      <c r="BDF24" s="720"/>
      <c r="BDG24" s="720"/>
      <c r="BDH24" s="720"/>
      <c r="BDI24" s="720"/>
      <c r="BDJ24" s="720"/>
      <c r="BDK24" s="720"/>
      <c r="BDL24" s="720"/>
      <c r="BDM24" s="720"/>
      <c r="BDN24" s="720"/>
      <c r="BDO24" s="720"/>
      <c r="BDP24" s="720"/>
      <c r="BDQ24" s="720"/>
      <c r="BDR24" s="720"/>
      <c r="BDS24" s="720"/>
      <c r="BDT24" s="720"/>
      <c r="BDU24" s="720"/>
      <c r="BDV24" s="720"/>
      <c r="BDW24" s="720"/>
      <c r="BDX24" s="720"/>
      <c r="BDY24" s="720"/>
      <c r="BDZ24" s="720"/>
      <c r="BEA24" s="720"/>
      <c r="BEB24" s="720"/>
      <c r="BEC24" s="720"/>
      <c r="BED24" s="720"/>
      <c r="BEE24" s="720"/>
      <c r="BEF24" s="720"/>
      <c r="BEG24" s="720"/>
      <c r="BEH24" s="720"/>
      <c r="BEI24" s="720"/>
      <c r="BEJ24" s="720"/>
      <c r="BEK24" s="720"/>
      <c r="BEL24" s="720"/>
      <c r="BEM24" s="720"/>
      <c r="BEN24" s="720"/>
      <c r="BEO24" s="720"/>
      <c r="BEP24" s="720"/>
      <c r="BEQ24" s="720"/>
      <c r="BER24" s="720"/>
      <c r="BES24" s="720"/>
      <c r="BET24" s="720"/>
      <c r="BEU24" s="720"/>
      <c r="BEV24" s="720"/>
      <c r="BEW24" s="720"/>
      <c r="BEX24" s="720"/>
      <c r="BEY24" s="720"/>
      <c r="BEZ24" s="720"/>
      <c r="BFA24" s="720"/>
      <c r="BFB24" s="720"/>
      <c r="BFC24" s="720"/>
      <c r="BFD24" s="720"/>
      <c r="BFE24" s="720"/>
      <c r="BFF24" s="720"/>
      <c r="BFG24" s="720"/>
      <c r="BFH24" s="720"/>
      <c r="BFI24" s="720"/>
      <c r="BFJ24" s="720"/>
      <c r="BFK24" s="720"/>
      <c r="BFL24" s="720"/>
      <c r="BFM24" s="720"/>
      <c r="BFN24" s="720"/>
      <c r="BFO24" s="720"/>
      <c r="BFP24" s="720"/>
      <c r="BFQ24" s="720"/>
      <c r="BFR24" s="720"/>
      <c r="BFS24" s="720"/>
      <c r="BFT24" s="720"/>
      <c r="BFU24" s="720"/>
      <c r="BFV24" s="720"/>
      <c r="BFW24" s="720"/>
      <c r="BFX24" s="720"/>
      <c r="BFY24" s="720"/>
      <c r="BFZ24" s="720"/>
      <c r="BGA24" s="720"/>
      <c r="BGB24" s="720"/>
      <c r="BGC24" s="720"/>
      <c r="BGD24" s="720"/>
      <c r="BGE24" s="720"/>
      <c r="BGF24" s="720"/>
      <c r="BGG24" s="720"/>
      <c r="BGH24" s="720"/>
      <c r="BGI24" s="720"/>
      <c r="BGJ24" s="720"/>
      <c r="BGK24" s="720"/>
      <c r="BGL24" s="720"/>
      <c r="BGM24" s="720"/>
      <c r="BGN24" s="720"/>
      <c r="BGO24" s="720"/>
      <c r="BGP24" s="720"/>
      <c r="BGQ24" s="720"/>
      <c r="BGR24" s="720"/>
      <c r="BGS24" s="720"/>
      <c r="BGT24" s="720"/>
      <c r="BGU24" s="720"/>
      <c r="BGV24" s="720"/>
      <c r="BGW24" s="720"/>
      <c r="BGX24" s="720"/>
      <c r="BGY24" s="720"/>
      <c r="BGZ24" s="720"/>
      <c r="BHA24" s="720"/>
      <c r="BHB24" s="720"/>
      <c r="BHC24" s="720"/>
      <c r="BHD24" s="720"/>
      <c r="BHE24" s="720"/>
      <c r="BHF24" s="720"/>
      <c r="BHG24" s="720"/>
      <c r="BHH24" s="720"/>
      <c r="BHI24" s="720"/>
      <c r="BHJ24" s="720"/>
      <c r="BHK24" s="720"/>
      <c r="BHL24" s="720"/>
      <c r="BHM24" s="720"/>
      <c r="BHN24" s="720"/>
      <c r="BHO24" s="720"/>
      <c r="BHP24" s="720"/>
      <c r="BHQ24" s="720"/>
      <c r="BHR24" s="720"/>
      <c r="BHS24" s="720"/>
      <c r="BHT24" s="720"/>
      <c r="BHU24" s="720"/>
      <c r="BHV24" s="720"/>
      <c r="BHW24" s="720"/>
      <c r="BHX24" s="720"/>
      <c r="BHY24" s="720"/>
      <c r="BHZ24" s="720"/>
      <c r="BIA24" s="720"/>
      <c r="BIB24" s="720"/>
      <c r="BIC24" s="720"/>
      <c r="BID24" s="720"/>
      <c r="BIE24" s="720"/>
      <c r="BIF24" s="720"/>
      <c r="BIG24" s="720"/>
      <c r="BIH24" s="720"/>
      <c r="BII24" s="720"/>
      <c r="BIJ24" s="720"/>
      <c r="BIK24" s="720"/>
      <c r="BIL24" s="720"/>
      <c r="BIM24" s="720"/>
      <c r="BIN24" s="720"/>
      <c r="BIO24" s="720"/>
      <c r="BIP24" s="720"/>
      <c r="BIQ24" s="720"/>
      <c r="BIR24" s="720"/>
      <c r="BIS24" s="720"/>
      <c r="BIT24" s="720"/>
      <c r="BIU24" s="720"/>
      <c r="BIV24" s="720"/>
      <c r="BIW24" s="720"/>
      <c r="BIX24" s="720"/>
      <c r="BIY24" s="720"/>
      <c r="BIZ24" s="720"/>
      <c r="BJA24" s="720"/>
      <c r="BJB24" s="720"/>
      <c r="BJC24" s="720"/>
      <c r="BJD24" s="720"/>
      <c r="BJE24" s="720"/>
      <c r="BJF24" s="720"/>
      <c r="BJG24" s="720"/>
      <c r="BJH24" s="720"/>
      <c r="BJI24" s="720"/>
      <c r="BJJ24" s="720"/>
      <c r="BJK24" s="720"/>
      <c r="BJL24" s="720"/>
      <c r="BJM24" s="720"/>
      <c r="BJN24" s="720"/>
      <c r="BJO24" s="720"/>
      <c r="BJP24" s="720"/>
      <c r="BJQ24" s="720"/>
      <c r="BJR24" s="720"/>
      <c r="BJS24" s="720"/>
      <c r="BJT24" s="720"/>
      <c r="BJU24" s="720"/>
      <c r="BJV24" s="720"/>
      <c r="BJW24" s="720"/>
      <c r="BJX24" s="720"/>
      <c r="BJY24" s="720"/>
      <c r="BJZ24" s="720"/>
      <c r="BKA24" s="720"/>
      <c r="BKB24" s="720"/>
      <c r="BKC24" s="720"/>
      <c r="BKD24" s="720"/>
      <c r="BKE24" s="720"/>
      <c r="BKF24" s="720"/>
      <c r="BKG24" s="720"/>
      <c r="BKH24" s="720"/>
      <c r="BKI24" s="720"/>
      <c r="BKJ24" s="720"/>
      <c r="BKK24" s="720"/>
      <c r="BKL24" s="720"/>
      <c r="BKM24" s="720"/>
      <c r="BKN24" s="720"/>
      <c r="BKO24" s="720"/>
      <c r="BKP24" s="720"/>
      <c r="BKQ24" s="720"/>
      <c r="BKR24" s="720"/>
      <c r="BKS24" s="720"/>
      <c r="BKT24" s="720"/>
      <c r="BKU24" s="720"/>
      <c r="BKV24" s="720"/>
      <c r="BKW24" s="720"/>
      <c r="BKX24" s="720"/>
      <c r="BKY24" s="720"/>
      <c r="BKZ24" s="720"/>
      <c r="BLA24" s="720"/>
      <c r="BLB24" s="720"/>
      <c r="BLC24" s="720"/>
      <c r="BLD24" s="720"/>
      <c r="BLE24" s="720"/>
      <c r="BLF24" s="720"/>
      <c r="BLG24" s="720"/>
      <c r="BLH24" s="720"/>
      <c r="BLI24" s="720"/>
      <c r="BLJ24" s="720"/>
      <c r="BLK24" s="720"/>
      <c r="BLL24" s="720"/>
      <c r="BLM24" s="720"/>
      <c r="BLN24" s="720"/>
      <c r="BLO24" s="720"/>
      <c r="BLP24" s="720"/>
      <c r="BLQ24" s="720"/>
      <c r="BLR24" s="720"/>
      <c r="BLS24" s="720"/>
      <c r="BLT24" s="720"/>
      <c r="BLU24" s="720"/>
      <c r="BLV24" s="720"/>
      <c r="BLW24" s="720"/>
      <c r="BLX24" s="720"/>
      <c r="BLY24" s="720"/>
      <c r="BLZ24" s="720"/>
      <c r="BMA24" s="720"/>
      <c r="BMB24" s="720"/>
      <c r="BMC24" s="720"/>
      <c r="BMD24" s="720"/>
      <c r="BME24" s="720"/>
      <c r="BMF24" s="720"/>
      <c r="BMG24" s="720"/>
      <c r="BMH24" s="720"/>
      <c r="BMI24" s="720"/>
      <c r="BMJ24" s="720"/>
      <c r="BMK24" s="720"/>
      <c r="BML24" s="720"/>
      <c r="BMM24" s="720"/>
      <c r="BMN24" s="720"/>
      <c r="BMO24" s="720"/>
      <c r="BMP24" s="720"/>
      <c r="BMQ24" s="720"/>
      <c r="BMR24" s="720"/>
      <c r="BMS24" s="720"/>
      <c r="BMT24" s="720"/>
      <c r="BMU24" s="720"/>
      <c r="BMV24" s="720"/>
      <c r="BMW24" s="720"/>
      <c r="BMX24" s="720"/>
      <c r="BMY24" s="720"/>
      <c r="BMZ24" s="720"/>
      <c r="BNA24" s="720"/>
      <c r="BNB24" s="720"/>
      <c r="BNC24" s="720"/>
      <c r="BND24" s="720"/>
      <c r="BNE24" s="720"/>
      <c r="BNF24" s="720"/>
      <c r="BNG24" s="720"/>
      <c r="BNH24" s="720"/>
      <c r="BNI24" s="720"/>
      <c r="BNJ24" s="720"/>
      <c r="BNK24" s="720"/>
      <c r="BNL24" s="720"/>
      <c r="BNM24" s="720"/>
      <c r="BNN24" s="720"/>
      <c r="BNO24" s="720"/>
      <c r="BNP24" s="720"/>
      <c r="BNQ24" s="720"/>
      <c r="BNR24" s="720"/>
      <c r="BNS24" s="720"/>
      <c r="BNT24" s="720"/>
      <c r="BNU24" s="720"/>
      <c r="BNV24" s="720"/>
      <c r="BNW24" s="720"/>
      <c r="BNX24" s="720"/>
      <c r="BNY24" s="720"/>
      <c r="BNZ24" s="720"/>
      <c r="BOA24" s="720"/>
      <c r="BOB24" s="720"/>
      <c r="BOC24" s="720"/>
      <c r="BOD24" s="720"/>
      <c r="BOE24" s="720"/>
      <c r="BOF24" s="720"/>
      <c r="BOG24" s="720"/>
      <c r="BOH24" s="720"/>
      <c r="BOI24" s="720"/>
      <c r="BOJ24" s="720"/>
      <c r="BOK24" s="720"/>
      <c r="BOL24" s="720"/>
      <c r="BOM24" s="720"/>
      <c r="BON24" s="720"/>
      <c r="BOO24" s="720"/>
      <c r="BOP24" s="720"/>
      <c r="BOQ24" s="720"/>
      <c r="BOR24" s="720"/>
      <c r="BOS24" s="720"/>
      <c r="BOT24" s="720"/>
      <c r="BOU24" s="720"/>
      <c r="BOV24" s="720"/>
      <c r="BOW24" s="720"/>
      <c r="BOX24" s="720"/>
      <c r="BOY24" s="720"/>
      <c r="BOZ24" s="720"/>
      <c r="BPA24" s="720"/>
      <c r="BPB24" s="720"/>
      <c r="BPC24" s="720"/>
      <c r="BPD24" s="720"/>
      <c r="BPE24" s="720"/>
      <c r="BPF24" s="720"/>
      <c r="BPG24" s="720"/>
      <c r="BPH24" s="720"/>
      <c r="BPI24" s="720"/>
      <c r="BPJ24" s="720"/>
      <c r="BPK24" s="720"/>
      <c r="BPL24" s="720"/>
      <c r="BPM24" s="720"/>
      <c r="BPN24" s="720"/>
      <c r="BPO24" s="720"/>
      <c r="BPP24" s="720"/>
      <c r="BPQ24" s="720"/>
      <c r="BPR24" s="720"/>
      <c r="BPS24" s="720"/>
      <c r="BPT24" s="720"/>
      <c r="BPU24" s="720"/>
      <c r="BPV24" s="720"/>
      <c r="BPW24" s="720"/>
      <c r="BPX24" s="720"/>
      <c r="BPY24" s="720"/>
      <c r="BPZ24" s="720"/>
      <c r="BQA24" s="720"/>
      <c r="BQB24" s="720"/>
      <c r="BQC24" s="720"/>
      <c r="BQD24" s="720"/>
      <c r="BQE24" s="720"/>
      <c r="BQF24" s="720"/>
      <c r="BQG24" s="720"/>
      <c r="BQH24" s="720"/>
      <c r="BQI24" s="720"/>
      <c r="BQJ24" s="720"/>
      <c r="BQK24" s="720"/>
      <c r="BQL24" s="720"/>
      <c r="BQM24" s="720"/>
      <c r="BQN24" s="720"/>
      <c r="BQO24" s="720"/>
      <c r="BQP24" s="720"/>
      <c r="BQQ24" s="720"/>
      <c r="BQR24" s="720"/>
      <c r="BQS24" s="720"/>
      <c r="BQT24" s="720"/>
      <c r="BQU24" s="720"/>
      <c r="BQV24" s="720"/>
      <c r="BQW24" s="720"/>
      <c r="BQX24" s="720"/>
      <c r="BQY24" s="720"/>
      <c r="BQZ24" s="720"/>
      <c r="BRA24" s="720"/>
      <c r="BRB24" s="720"/>
      <c r="BRC24" s="720"/>
      <c r="BRD24" s="720"/>
      <c r="BRE24" s="720"/>
      <c r="BRF24" s="720"/>
      <c r="BRG24" s="720"/>
      <c r="BRH24" s="720"/>
      <c r="BRI24" s="720"/>
      <c r="BRJ24" s="720"/>
      <c r="BRK24" s="720"/>
      <c r="BRL24" s="720"/>
      <c r="BRM24" s="720"/>
      <c r="BRN24" s="720"/>
      <c r="BRO24" s="720"/>
      <c r="BRP24" s="720"/>
      <c r="BRQ24" s="720"/>
      <c r="BRR24" s="720"/>
      <c r="BRS24" s="720"/>
      <c r="BRT24" s="720"/>
      <c r="BRU24" s="720"/>
      <c r="BRV24" s="720"/>
      <c r="BRW24" s="720"/>
      <c r="BRX24" s="720"/>
      <c r="BRY24" s="720"/>
      <c r="BRZ24" s="720"/>
      <c r="BSA24" s="720"/>
      <c r="BSB24" s="720"/>
      <c r="BSC24" s="720"/>
      <c r="BSD24" s="720"/>
      <c r="BSE24" s="720"/>
      <c r="BSF24" s="720"/>
      <c r="BSG24" s="720"/>
      <c r="BSH24" s="720"/>
      <c r="BSI24" s="720"/>
      <c r="BSJ24" s="720"/>
      <c r="BSK24" s="720"/>
      <c r="BSL24" s="720"/>
      <c r="BSM24" s="720"/>
      <c r="BSN24" s="720"/>
      <c r="BSO24" s="720"/>
      <c r="BSP24" s="720"/>
      <c r="BSQ24" s="720"/>
      <c r="BSR24" s="720"/>
      <c r="BSS24" s="720"/>
      <c r="BST24" s="720"/>
      <c r="BSU24" s="720"/>
      <c r="BSV24" s="720"/>
      <c r="BSW24" s="720"/>
      <c r="BSX24" s="720"/>
      <c r="BSY24" s="720"/>
      <c r="BSZ24" s="720"/>
      <c r="BTA24" s="720"/>
      <c r="BTB24" s="720"/>
      <c r="BTC24" s="720"/>
      <c r="BTD24" s="720"/>
      <c r="BTE24" s="720"/>
      <c r="BTF24" s="720"/>
      <c r="BTG24" s="720"/>
      <c r="BTH24" s="720"/>
      <c r="BTI24" s="720"/>
      <c r="BTJ24" s="720"/>
      <c r="BTK24" s="720"/>
      <c r="BTL24" s="720"/>
      <c r="BTM24" s="720"/>
      <c r="BTN24" s="720"/>
      <c r="BTO24" s="720"/>
      <c r="BTP24" s="720"/>
      <c r="BTQ24" s="720"/>
      <c r="BTR24" s="720"/>
      <c r="BTS24" s="720"/>
      <c r="BTT24" s="720"/>
      <c r="BTU24" s="720"/>
      <c r="BTV24" s="720"/>
      <c r="BTW24" s="720"/>
      <c r="BTX24" s="720"/>
      <c r="BTY24" s="720"/>
      <c r="BTZ24" s="720"/>
      <c r="BUA24" s="720"/>
      <c r="BUB24" s="720"/>
      <c r="BUC24" s="720"/>
      <c r="BUD24" s="720"/>
      <c r="BUE24" s="720"/>
      <c r="BUF24" s="720"/>
      <c r="BUG24" s="720"/>
      <c r="BUH24" s="720"/>
      <c r="BUI24" s="720"/>
      <c r="BUJ24" s="720"/>
      <c r="BUK24" s="720"/>
      <c r="BUL24" s="720"/>
      <c r="BUM24" s="720"/>
      <c r="BUN24" s="720"/>
      <c r="BUO24" s="720"/>
      <c r="BUP24" s="720"/>
      <c r="BUQ24" s="720"/>
      <c r="BUR24" s="720"/>
      <c r="BUS24" s="720"/>
      <c r="BUT24" s="720"/>
      <c r="BUU24" s="720"/>
      <c r="BUV24" s="720"/>
      <c r="BUW24" s="720"/>
      <c r="BUX24" s="720"/>
      <c r="BUY24" s="720"/>
      <c r="BUZ24" s="720"/>
      <c r="BVA24" s="720"/>
      <c r="BVB24" s="720"/>
      <c r="BVC24" s="720"/>
      <c r="BVD24" s="720"/>
      <c r="BVE24" s="720"/>
      <c r="BVF24" s="720"/>
      <c r="BVG24" s="720"/>
      <c r="BVH24" s="720"/>
      <c r="BVI24" s="720"/>
      <c r="BVJ24" s="720"/>
      <c r="BVK24" s="720"/>
      <c r="BVL24" s="720"/>
      <c r="BVM24" s="720"/>
      <c r="BVN24" s="720"/>
      <c r="BVO24" s="720"/>
      <c r="BVP24" s="720"/>
      <c r="BVQ24" s="720"/>
      <c r="BVR24" s="720"/>
      <c r="BVS24" s="720"/>
      <c r="BVT24" s="720"/>
      <c r="BVU24" s="720"/>
      <c r="BVV24" s="720"/>
      <c r="BVW24" s="720"/>
      <c r="BVX24" s="720"/>
      <c r="BVY24" s="720"/>
      <c r="BVZ24" s="720"/>
      <c r="BWA24" s="720"/>
      <c r="BWB24" s="720"/>
      <c r="BWC24" s="720"/>
      <c r="BWD24" s="720"/>
      <c r="BWE24" s="720"/>
      <c r="BWF24" s="720"/>
      <c r="BWG24" s="720"/>
      <c r="BWH24" s="720"/>
      <c r="BWI24" s="720"/>
      <c r="BWJ24" s="720"/>
      <c r="BWK24" s="720"/>
      <c r="BWL24" s="720"/>
      <c r="BWM24" s="720"/>
      <c r="BWN24" s="720"/>
      <c r="BWO24" s="720"/>
      <c r="BWP24" s="720"/>
      <c r="BWQ24" s="720"/>
      <c r="BWR24" s="720"/>
      <c r="BWS24" s="720"/>
      <c r="BWT24" s="720"/>
      <c r="BWU24" s="720"/>
      <c r="BWV24" s="720"/>
      <c r="BWW24" s="720"/>
      <c r="BWX24" s="720"/>
      <c r="BWY24" s="720"/>
      <c r="BWZ24" s="720"/>
      <c r="BXA24" s="720"/>
      <c r="BXB24" s="720"/>
      <c r="BXC24" s="720"/>
      <c r="BXD24" s="720"/>
      <c r="BXE24" s="720"/>
      <c r="BXF24" s="720"/>
      <c r="BXG24" s="720"/>
      <c r="BXH24" s="720"/>
      <c r="BXI24" s="720"/>
      <c r="BXJ24" s="720"/>
      <c r="BXK24" s="720"/>
      <c r="BXL24" s="720"/>
      <c r="BXM24" s="720"/>
      <c r="BXN24" s="720"/>
      <c r="BXO24" s="720"/>
      <c r="BXP24" s="720"/>
      <c r="BXQ24" s="720"/>
      <c r="BXR24" s="720"/>
      <c r="BXS24" s="720"/>
      <c r="BXT24" s="720"/>
      <c r="BXU24" s="720"/>
      <c r="BXV24" s="720"/>
      <c r="BXW24" s="720"/>
      <c r="BXX24" s="720"/>
      <c r="BXY24" s="720"/>
      <c r="BXZ24" s="720"/>
      <c r="BYA24" s="720"/>
      <c r="BYB24" s="720"/>
      <c r="BYC24" s="720"/>
      <c r="BYD24" s="720"/>
      <c r="BYE24" s="720"/>
      <c r="BYF24" s="720"/>
      <c r="BYG24" s="720"/>
      <c r="BYH24" s="720"/>
      <c r="BYI24" s="720"/>
      <c r="BYJ24" s="720"/>
      <c r="BYK24" s="720"/>
      <c r="BYL24" s="720"/>
      <c r="BYM24" s="720"/>
      <c r="BYN24" s="720"/>
      <c r="BYO24" s="720"/>
      <c r="BYP24" s="720"/>
      <c r="BYQ24" s="720"/>
      <c r="BYR24" s="720"/>
      <c r="BYS24" s="720"/>
      <c r="BYT24" s="720"/>
      <c r="BYU24" s="720"/>
      <c r="BYV24" s="720"/>
      <c r="BYW24" s="720"/>
      <c r="BYX24" s="720"/>
      <c r="BYY24" s="720"/>
      <c r="BYZ24" s="720"/>
      <c r="BZA24" s="720"/>
      <c r="BZB24" s="720"/>
      <c r="BZC24" s="720"/>
      <c r="BZD24" s="720"/>
      <c r="BZE24" s="720"/>
      <c r="BZF24" s="720"/>
      <c r="BZG24" s="720"/>
      <c r="BZH24" s="720"/>
      <c r="BZI24" s="720"/>
      <c r="BZJ24" s="720"/>
      <c r="BZK24" s="720"/>
      <c r="BZL24" s="720"/>
      <c r="BZM24" s="720"/>
      <c r="BZN24" s="720"/>
      <c r="BZO24" s="720"/>
      <c r="BZP24" s="720"/>
      <c r="BZQ24" s="720"/>
      <c r="BZR24" s="720"/>
      <c r="BZS24" s="720"/>
      <c r="BZT24" s="720"/>
      <c r="BZU24" s="720"/>
      <c r="BZV24" s="720"/>
      <c r="BZW24" s="720"/>
      <c r="BZX24" s="720"/>
      <c r="BZY24" s="720"/>
      <c r="BZZ24" s="720"/>
      <c r="CAA24" s="720"/>
      <c r="CAB24" s="720"/>
      <c r="CAC24" s="720"/>
      <c r="CAD24" s="720"/>
      <c r="CAE24" s="720"/>
      <c r="CAF24" s="720"/>
      <c r="CAG24" s="720"/>
      <c r="CAH24" s="720"/>
      <c r="CAI24" s="720"/>
      <c r="CAJ24" s="720"/>
      <c r="CAK24" s="720"/>
      <c r="CAL24" s="720"/>
      <c r="CAM24" s="720"/>
      <c r="CAN24" s="720"/>
      <c r="CAO24" s="720"/>
      <c r="CAP24" s="720"/>
      <c r="CAQ24" s="720"/>
      <c r="CAR24" s="720"/>
      <c r="CAS24" s="720"/>
      <c r="CAT24" s="720"/>
      <c r="CAU24" s="720"/>
      <c r="CAV24" s="720"/>
      <c r="CAW24" s="720"/>
      <c r="CAX24" s="720"/>
      <c r="CAY24" s="720"/>
      <c r="CAZ24" s="720"/>
      <c r="CBA24" s="720"/>
      <c r="CBB24" s="720"/>
      <c r="CBC24" s="720"/>
      <c r="CBD24" s="720"/>
      <c r="CBE24" s="720"/>
      <c r="CBF24" s="720"/>
      <c r="CBG24" s="720"/>
      <c r="CBH24" s="720"/>
      <c r="CBI24" s="720"/>
      <c r="CBJ24" s="720"/>
      <c r="CBK24" s="720"/>
      <c r="CBL24" s="720"/>
      <c r="CBM24" s="720"/>
      <c r="CBN24" s="720"/>
      <c r="CBO24" s="720"/>
      <c r="CBP24" s="720"/>
      <c r="CBQ24" s="720"/>
      <c r="CBR24" s="720"/>
      <c r="CBS24" s="720"/>
      <c r="CBT24" s="720"/>
      <c r="CBU24" s="720"/>
      <c r="CBV24" s="720"/>
      <c r="CBW24" s="720"/>
      <c r="CBX24" s="720"/>
      <c r="CBY24" s="720"/>
      <c r="CBZ24" s="720"/>
      <c r="CCA24" s="720"/>
      <c r="CCB24" s="720"/>
      <c r="CCC24" s="720"/>
      <c r="CCD24" s="720"/>
      <c r="CCE24" s="720"/>
      <c r="CCF24" s="720"/>
      <c r="CCG24" s="720"/>
      <c r="CCH24" s="720"/>
      <c r="CCI24" s="720"/>
      <c r="CCJ24" s="720"/>
      <c r="CCK24" s="720"/>
      <c r="CCL24" s="720"/>
      <c r="CCM24" s="720"/>
      <c r="CCN24" s="720"/>
      <c r="CCO24" s="720"/>
      <c r="CCP24" s="720"/>
      <c r="CCQ24" s="720"/>
      <c r="CCR24" s="720"/>
      <c r="CCS24" s="720"/>
      <c r="CCT24" s="720"/>
      <c r="CCU24" s="720"/>
      <c r="CCV24" s="720"/>
      <c r="CCW24" s="720"/>
      <c r="CCX24" s="720"/>
      <c r="CCY24" s="720"/>
      <c r="CCZ24" s="720"/>
      <c r="CDA24" s="720"/>
      <c r="CDB24" s="720"/>
      <c r="CDC24" s="720"/>
      <c r="CDD24" s="720"/>
      <c r="CDE24" s="720"/>
      <c r="CDF24" s="720"/>
      <c r="CDG24" s="720"/>
      <c r="CDH24" s="720"/>
      <c r="CDI24" s="720"/>
      <c r="CDJ24" s="720"/>
      <c r="CDK24" s="720"/>
      <c r="CDL24" s="720"/>
      <c r="CDM24" s="720"/>
      <c r="CDN24" s="720"/>
      <c r="CDO24" s="720"/>
      <c r="CDP24" s="720"/>
      <c r="CDQ24" s="720"/>
      <c r="CDR24" s="720"/>
      <c r="CDS24" s="720"/>
      <c r="CDT24" s="720"/>
      <c r="CDU24" s="720"/>
      <c r="CDV24" s="720"/>
      <c r="CDW24" s="720"/>
      <c r="CDX24" s="720"/>
      <c r="CDY24" s="720"/>
      <c r="CDZ24" s="720"/>
      <c r="CEA24" s="720"/>
      <c r="CEB24" s="720"/>
      <c r="CEC24" s="720"/>
      <c r="CED24" s="720"/>
      <c r="CEE24" s="720"/>
      <c r="CEF24" s="720"/>
      <c r="CEG24" s="720"/>
      <c r="CEH24" s="720"/>
      <c r="CEI24" s="720"/>
      <c r="CEJ24" s="720"/>
      <c r="CEK24" s="720"/>
      <c r="CEL24" s="720"/>
      <c r="CEM24" s="720"/>
      <c r="CEN24" s="720"/>
      <c r="CEO24" s="720"/>
      <c r="CEP24" s="720"/>
      <c r="CEQ24" s="720"/>
      <c r="CER24" s="720"/>
      <c r="CES24" s="720"/>
      <c r="CET24" s="720"/>
      <c r="CEU24" s="720"/>
      <c r="CEV24" s="720"/>
      <c r="CEW24" s="720"/>
      <c r="CEX24" s="720"/>
      <c r="CEY24" s="720"/>
      <c r="CEZ24" s="720"/>
      <c r="CFA24" s="720"/>
      <c r="CFB24" s="720"/>
      <c r="CFC24" s="720"/>
      <c r="CFD24" s="720"/>
      <c r="CFE24" s="720"/>
      <c r="CFF24" s="720"/>
      <c r="CFG24" s="720"/>
      <c r="CFH24" s="720"/>
      <c r="CFI24" s="720"/>
      <c r="CFJ24" s="720"/>
      <c r="CFK24" s="720"/>
      <c r="CFL24" s="720"/>
      <c r="CFM24" s="720"/>
      <c r="CFN24" s="720"/>
      <c r="CFO24" s="720"/>
      <c r="CFP24" s="720"/>
      <c r="CFQ24" s="720"/>
      <c r="CFR24" s="720"/>
      <c r="CFS24" s="720"/>
      <c r="CFT24" s="720"/>
      <c r="CFU24" s="720"/>
      <c r="CFV24" s="720"/>
      <c r="CFW24" s="720"/>
      <c r="CFX24" s="720"/>
      <c r="CFY24" s="720"/>
      <c r="CFZ24" s="720"/>
      <c r="CGA24" s="720"/>
      <c r="CGB24" s="720"/>
      <c r="CGC24" s="720"/>
      <c r="CGD24" s="720"/>
      <c r="CGE24" s="720"/>
      <c r="CGF24" s="720"/>
      <c r="CGG24" s="720"/>
      <c r="CGH24" s="720"/>
      <c r="CGI24" s="720"/>
      <c r="CGJ24" s="720"/>
      <c r="CGK24" s="720"/>
      <c r="CGL24" s="720"/>
      <c r="CGM24" s="720"/>
      <c r="CGN24" s="720"/>
      <c r="CGO24" s="720"/>
      <c r="CGP24" s="720"/>
      <c r="CGQ24" s="720"/>
      <c r="CGR24" s="720"/>
      <c r="CGS24" s="720"/>
      <c r="CGT24" s="720"/>
      <c r="CGU24" s="720"/>
      <c r="CGV24" s="720"/>
      <c r="CGW24" s="720"/>
      <c r="CGX24" s="720"/>
      <c r="CGY24" s="720"/>
      <c r="CGZ24" s="720"/>
      <c r="CHA24" s="720"/>
      <c r="CHB24" s="720"/>
      <c r="CHC24" s="720"/>
      <c r="CHD24" s="720"/>
      <c r="CHE24" s="720"/>
      <c r="CHF24" s="720"/>
      <c r="CHG24" s="720"/>
      <c r="CHH24" s="720"/>
      <c r="CHI24" s="720"/>
      <c r="CHJ24" s="720"/>
      <c r="CHK24" s="720"/>
      <c r="CHL24" s="720"/>
      <c r="CHM24" s="720"/>
      <c r="CHN24" s="720"/>
      <c r="CHO24" s="720"/>
      <c r="CHP24" s="720"/>
      <c r="CHQ24" s="720"/>
      <c r="CHR24" s="720"/>
      <c r="CHS24" s="720"/>
      <c r="CHT24" s="720"/>
      <c r="CHU24" s="720"/>
      <c r="CHV24" s="720"/>
      <c r="CHW24" s="720"/>
      <c r="CHX24" s="720"/>
      <c r="CHY24" s="720"/>
      <c r="CHZ24" s="720"/>
      <c r="CIA24" s="720"/>
      <c r="CIB24" s="720"/>
      <c r="CIC24" s="720"/>
      <c r="CID24" s="720"/>
      <c r="CIE24" s="720"/>
      <c r="CIF24" s="720"/>
      <c r="CIG24" s="720"/>
      <c r="CIH24" s="720"/>
      <c r="CII24" s="720"/>
      <c r="CIJ24" s="720"/>
      <c r="CIK24" s="720"/>
      <c r="CIL24" s="720"/>
      <c r="CIM24" s="720"/>
      <c r="CIN24" s="720"/>
      <c r="CIO24" s="720"/>
      <c r="CIP24" s="720"/>
      <c r="CIQ24" s="720"/>
      <c r="CIR24" s="720"/>
      <c r="CIS24" s="720"/>
      <c r="CIT24" s="720"/>
      <c r="CIU24" s="720"/>
      <c r="CIV24" s="720"/>
      <c r="CIW24" s="720"/>
      <c r="CIX24" s="720"/>
      <c r="CIY24" s="720"/>
      <c r="CIZ24" s="720"/>
      <c r="CJA24" s="720"/>
      <c r="CJB24" s="720"/>
      <c r="CJC24" s="720"/>
      <c r="CJD24" s="720"/>
      <c r="CJE24" s="720"/>
      <c r="CJF24" s="720"/>
      <c r="CJG24" s="720"/>
      <c r="CJH24" s="720"/>
      <c r="CJI24" s="720"/>
      <c r="CJJ24" s="720"/>
      <c r="CJK24" s="720"/>
      <c r="CJL24" s="720"/>
      <c r="CJM24" s="720"/>
      <c r="CJN24" s="720"/>
      <c r="CJO24" s="720"/>
      <c r="CJP24" s="720"/>
      <c r="CJQ24" s="720"/>
      <c r="CJR24" s="720"/>
      <c r="CJS24" s="720"/>
      <c r="CJT24" s="720"/>
      <c r="CJU24" s="720"/>
      <c r="CJV24" s="720"/>
      <c r="CJW24" s="720"/>
      <c r="CJX24" s="720"/>
      <c r="CJY24" s="720"/>
      <c r="CJZ24" s="720"/>
      <c r="CKA24" s="720"/>
      <c r="CKB24" s="720"/>
      <c r="CKC24" s="720"/>
      <c r="CKD24" s="720"/>
      <c r="CKE24" s="720"/>
      <c r="CKF24" s="720"/>
      <c r="CKG24" s="720"/>
      <c r="CKH24" s="720"/>
      <c r="CKI24" s="720"/>
      <c r="CKJ24" s="720"/>
      <c r="CKK24" s="720"/>
      <c r="CKL24" s="720"/>
      <c r="CKM24" s="720"/>
      <c r="CKN24" s="720"/>
      <c r="CKO24" s="720"/>
      <c r="CKP24" s="720"/>
      <c r="CKQ24" s="720"/>
      <c r="CKR24" s="720"/>
      <c r="CKS24" s="720"/>
      <c r="CKT24" s="720"/>
      <c r="CKU24" s="720"/>
      <c r="CKV24" s="720"/>
      <c r="CKW24" s="720"/>
      <c r="CKX24" s="720"/>
      <c r="CKY24" s="720"/>
      <c r="CKZ24" s="720"/>
      <c r="CLA24" s="720"/>
      <c r="CLB24" s="720"/>
      <c r="CLC24" s="720"/>
      <c r="CLD24" s="720"/>
      <c r="CLE24" s="720"/>
      <c r="CLF24" s="720"/>
      <c r="CLG24" s="720"/>
      <c r="CLH24" s="720"/>
      <c r="CLI24" s="720"/>
      <c r="CLJ24" s="720"/>
      <c r="CLK24" s="720"/>
      <c r="CLL24" s="720"/>
      <c r="CLM24" s="720"/>
      <c r="CLN24" s="720"/>
      <c r="CLO24" s="720"/>
      <c r="CLP24" s="720"/>
      <c r="CLQ24" s="720"/>
      <c r="CLR24" s="720"/>
      <c r="CLS24" s="720"/>
      <c r="CLT24" s="720"/>
      <c r="CLU24" s="720"/>
      <c r="CLV24" s="720"/>
      <c r="CLW24" s="720"/>
      <c r="CLX24" s="720"/>
      <c r="CLY24" s="720"/>
      <c r="CLZ24" s="720"/>
      <c r="CMA24" s="720"/>
      <c r="CMB24" s="720"/>
      <c r="CMC24" s="720"/>
      <c r="CMD24" s="720"/>
      <c r="CME24" s="720"/>
      <c r="CMF24" s="720"/>
      <c r="CMG24" s="720"/>
      <c r="CMH24" s="720"/>
      <c r="CMI24" s="720"/>
      <c r="CMJ24" s="720"/>
      <c r="CMK24" s="720"/>
      <c r="CML24" s="720"/>
      <c r="CMM24" s="720"/>
      <c r="CMN24" s="720"/>
      <c r="CMO24" s="720"/>
      <c r="CMP24" s="720"/>
      <c r="CMQ24" s="720"/>
      <c r="CMR24" s="720"/>
      <c r="CMS24" s="720"/>
      <c r="CMT24" s="720"/>
      <c r="CMU24" s="720"/>
      <c r="CMV24" s="720"/>
      <c r="CMW24" s="720"/>
      <c r="CMX24" s="720"/>
      <c r="CMY24" s="720"/>
      <c r="CMZ24" s="720"/>
      <c r="CNA24" s="720"/>
      <c r="CNB24" s="720"/>
      <c r="CNC24" s="720"/>
      <c r="CND24" s="720"/>
      <c r="CNE24" s="720"/>
      <c r="CNF24" s="720"/>
      <c r="CNG24" s="720"/>
      <c r="CNH24" s="720"/>
      <c r="CNI24" s="720"/>
      <c r="CNJ24" s="720"/>
      <c r="CNK24" s="720"/>
      <c r="CNL24" s="720"/>
      <c r="CNM24" s="720"/>
      <c r="CNN24" s="720"/>
      <c r="CNO24" s="720"/>
      <c r="CNP24" s="720"/>
      <c r="CNQ24" s="720"/>
      <c r="CNR24" s="720"/>
      <c r="CNS24" s="720"/>
      <c r="CNT24" s="720"/>
      <c r="CNU24" s="720"/>
      <c r="CNV24" s="720"/>
      <c r="CNW24" s="720"/>
      <c r="CNX24" s="720"/>
      <c r="CNY24" s="720"/>
      <c r="CNZ24" s="720"/>
      <c r="COA24" s="720"/>
      <c r="COB24" s="720"/>
      <c r="COC24" s="720"/>
      <c r="COD24" s="720"/>
      <c r="COE24" s="720"/>
      <c r="COF24" s="720"/>
      <c r="COG24" s="720"/>
      <c r="COH24" s="720"/>
      <c r="COI24" s="720"/>
      <c r="COJ24" s="720"/>
      <c r="COK24" s="720"/>
      <c r="COL24" s="720"/>
      <c r="COM24" s="720"/>
      <c r="CON24" s="720"/>
      <c r="COO24" s="720"/>
      <c r="COP24" s="720"/>
      <c r="COQ24" s="720"/>
      <c r="COR24" s="720"/>
      <c r="COS24" s="720"/>
      <c r="COT24" s="720"/>
      <c r="COU24" s="720"/>
      <c r="COV24" s="720"/>
      <c r="COW24" s="720"/>
      <c r="COX24" s="720"/>
      <c r="COY24" s="720"/>
      <c r="COZ24" s="720"/>
      <c r="CPA24" s="720"/>
      <c r="CPB24" s="720"/>
      <c r="CPC24" s="720"/>
      <c r="CPD24" s="720"/>
      <c r="CPE24" s="720"/>
      <c r="CPF24" s="720"/>
      <c r="CPG24" s="720"/>
      <c r="CPH24" s="720"/>
      <c r="CPI24" s="720"/>
      <c r="CPJ24" s="720"/>
      <c r="CPK24" s="720"/>
      <c r="CPL24" s="720"/>
      <c r="CPM24" s="720"/>
      <c r="CPN24" s="720"/>
      <c r="CPO24" s="720"/>
      <c r="CPP24" s="720"/>
      <c r="CPQ24" s="720"/>
      <c r="CPR24" s="720"/>
      <c r="CPS24" s="720"/>
      <c r="CPT24" s="720"/>
      <c r="CPU24" s="720"/>
      <c r="CPV24" s="720"/>
      <c r="CPW24" s="720"/>
      <c r="CPX24" s="720"/>
      <c r="CPY24" s="720"/>
      <c r="CPZ24" s="720"/>
      <c r="CQA24" s="720"/>
      <c r="CQB24" s="720"/>
      <c r="CQC24" s="720"/>
      <c r="CQD24" s="720"/>
      <c r="CQE24" s="720"/>
      <c r="CQF24" s="720"/>
      <c r="CQG24" s="720"/>
      <c r="CQH24" s="720"/>
      <c r="CQI24" s="720"/>
      <c r="CQJ24" s="720"/>
      <c r="CQK24" s="720"/>
      <c r="CQL24" s="720"/>
      <c r="CQM24" s="720"/>
      <c r="CQN24" s="720"/>
      <c r="CQO24" s="720"/>
      <c r="CQP24" s="720"/>
      <c r="CQQ24" s="720"/>
      <c r="CQR24" s="720"/>
      <c r="CQS24" s="720"/>
      <c r="CQT24" s="720"/>
      <c r="CQU24" s="720"/>
      <c r="CQV24" s="720"/>
      <c r="CQW24" s="720"/>
      <c r="CQX24" s="720"/>
      <c r="CQY24" s="720"/>
      <c r="CQZ24" s="720"/>
      <c r="CRA24" s="720"/>
      <c r="CRB24" s="720"/>
      <c r="CRC24" s="720"/>
      <c r="CRD24" s="720"/>
      <c r="CRE24" s="720"/>
      <c r="CRF24" s="720"/>
      <c r="CRG24" s="720"/>
      <c r="CRH24" s="720"/>
      <c r="CRI24" s="720"/>
      <c r="CRJ24" s="720"/>
      <c r="CRK24" s="720"/>
      <c r="CRL24" s="720"/>
      <c r="CRM24" s="720"/>
      <c r="CRN24" s="720"/>
      <c r="CRO24" s="720"/>
      <c r="CRP24" s="720"/>
      <c r="CRQ24" s="720"/>
      <c r="CRR24" s="720"/>
      <c r="CRS24" s="720"/>
      <c r="CRT24" s="720"/>
      <c r="CRU24" s="720"/>
      <c r="CRV24" s="720"/>
      <c r="CRW24" s="720"/>
      <c r="CRX24" s="720"/>
      <c r="CRY24" s="720"/>
      <c r="CRZ24" s="720"/>
      <c r="CSA24" s="720"/>
      <c r="CSB24" s="720"/>
      <c r="CSC24" s="720"/>
      <c r="CSD24" s="720"/>
      <c r="CSE24" s="720"/>
      <c r="CSF24" s="720"/>
      <c r="CSG24" s="720"/>
      <c r="CSH24" s="720"/>
      <c r="CSI24" s="720"/>
      <c r="CSJ24" s="720"/>
      <c r="CSK24" s="720"/>
      <c r="CSL24" s="720"/>
      <c r="CSM24" s="720"/>
      <c r="CSN24" s="720"/>
      <c r="CSO24" s="720"/>
      <c r="CSP24" s="720"/>
      <c r="CSQ24" s="720"/>
      <c r="CSR24" s="720"/>
      <c r="CSS24" s="720"/>
      <c r="CST24" s="720"/>
      <c r="CSU24" s="720"/>
      <c r="CSV24" s="720"/>
      <c r="CSW24" s="720"/>
      <c r="CSX24" s="720"/>
      <c r="CSY24" s="720"/>
      <c r="CSZ24" s="720"/>
      <c r="CTA24" s="720"/>
      <c r="CTB24" s="720"/>
      <c r="CTC24" s="720"/>
      <c r="CTD24" s="720"/>
      <c r="CTE24" s="720"/>
      <c r="CTF24" s="720"/>
      <c r="CTG24" s="720"/>
      <c r="CTH24" s="720"/>
      <c r="CTI24" s="720"/>
      <c r="CTJ24" s="720"/>
      <c r="CTK24" s="720"/>
      <c r="CTL24" s="720"/>
      <c r="CTM24" s="720"/>
      <c r="CTN24" s="720"/>
      <c r="CTO24" s="720"/>
      <c r="CTP24" s="720"/>
      <c r="CTQ24" s="720"/>
      <c r="CTR24" s="720"/>
      <c r="CTS24" s="720"/>
      <c r="CTT24" s="720"/>
      <c r="CTU24" s="720"/>
      <c r="CTV24" s="720"/>
      <c r="CTW24" s="720"/>
      <c r="CTX24" s="720"/>
      <c r="CTY24" s="720"/>
      <c r="CTZ24" s="720"/>
      <c r="CUA24" s="720"/>
      <c r="CUB24" s="720"/>
      <c r="CUC24" s="720"/>
      <c r="CUD24" s="720"/>
      <c r="CUE24" s="720"/>
      <c r="CUF24" s="720"/>
      <c r="CUG24" s="720"/>
      <c r="CUH24" s="720"/>
      <c r="CUI24" s="720"/>
      <c r="CUJ24" s="720"/>
      <c r="CUK24" s="720"/>
      <c r="CUL24" s="720"/>
      <c r="CUM24" s="720"/>
      <c r="CUN24" s="720"/>
      <c r="CUO24" s="720"/>
      <c r="CUP24" s="720"/>
      <c r="CUQ24" s="720"/>
      <c r="CUR24" s="720"/>
      <c r="CUS24" s="720"/>
      <c r="CUT24" s="720"/>
      <c r="CUU24" s="720"/>
      <c r="CUV24" s="720"/>
      <c r="CUW24" s="720"/>
      <c r="CUX24" s="720"/>
      <c r="CUY24" s="720"/>
      <c r="CUZ24" s="720"/>
      <c r="CVA24" s="720"/>
      <c r="CVB24" s="720"/>
      <c r="CVC24" s="720"/>
      <c r="CVD24" s="720"/>
      <c r="CVE24" s="720"/>
      <c r="CVF24" s="720"/>
      <c r="CVG24" s="720"/>
      <c r="CVH24" s="720"/>
      <c r="CVI24" s="720"/>
      <c r="CVJ24" s="720"/>
      <c r="CVK24" s="720"/>
      <c r="CVL24" s="720"/>
      <c r="CVM24" s="720"/>
      <c r="CVN24" s="720"/>
      <c r="CVO24" s="720"/>
      <c r="CVP24" s="720"/>
      <c r="CVQ24" s="720"/>
      <c r="CVR24" s="720"/>
      <c r="CVS24" s="720"/>
      <c r="CVT24" s="720"/>
      <c r="CVU24" s="720"/>
      <c r="CVV24" s="720"/>
      <c r="CVW24" s="720"/>
      <c r="CVX24" s="720"/>
      <c r="CVY24" s="720"/>
      <c r="CVZ24" s="720"/>
      <c r="CWA24" s="720"/>
      <c r="CWB24" s="720"/>
      <c r="CWC24" s="720"/>
      <c r="CWD24" s="720"/>
      <c r="CWE24" s="720"/>
      <c r="CWF24" s="720"/>
      <c r="CWG24" s="720"/>
      <c r="CWH24" s="720"/>
      <c r="CWI24" s="720"/>
      <c r="CWJ24" s="720"/>
      <c r="CWK24" s="720"/>
      <c r="CWL24" s="720"/>
      <c r="CWM24" s="720"/>
      <c r="CWN24" s="720"/>
      <c r="CWO24" s="720"/>
      <c r="CWP24" s="720"/>
      <c r="CWQ24" s="720"/>
      <c r="CWR24" s="720"/>
      <c r="CWS24" s="720"/>
      <c r="CWT24" s="720"/>
      <c r="CWU24" s="720"/>
      <c r="CWV24" s="720"/>
      <c r="CWW24" s="720"/>
      <c r="CWX24" s="720"/>
      <c r="CWY24" s="720"/>
      <c r="CWZ24" s="720"/>
      <c r="CXA24" s="720"/>
      <c r="CXB24" s="720"/>
      <c r="CXC24" s="720"/>
      <c r="CXD24" s="720"/>
      <c r="CXE24" s="720"/>
      <c r="CXF24" s="720"/>
      <c r="CXG24" s="720"/>
      <c r="CXH24" s="720"/>
      <c r="CXI24" s="720"/>
      <c r="CXJ24" s="720"/>
      <c r="CXK24" s="720"/>
      <c r="CXL24" s="720"/>
      <c r="CXM24" s="720"/>
      <c r="CXN24" s="720"/>
      <c r="CXO24" s="720"/>
      <c r="CXP24" s="720"/>
      <c r="CXQ24" s="720"/>
      <c r="CXR24" s="720"/>
      <c r="CXS24" s="720"/>
      <c r="CXT24" s="720"/>
      <c r="CXU24" s="720"/>
      <c r="CXV24" s="720"/>
      <c r="CXW24" s="720"/>
      <c r="CXX24" s="720"/>
      <c r="CXY24" s="720"/>
      <c r="CXZ24" s="720"/>
      <c r="CYA24" s="720"/>
      <c r="CYB24" s="720"/>
      <c r="CYC24" s="720"/>
      <c r="CYD24" s="720"/>
      <c r="CYE24" s="720"/>
      <c r="CYF24" s="720"/>
      <c r="CYG24" s="720"/>
      <c r="CYH24" s="720"/>
      <c r="CYI24" s="720"/>
      <c r="CYJ24" s="720"/>
      <c r="CYK24" s="720"/>
      <c r="CYL24" s="720"/>
      <c r="CYM24" s="720"/>
      <c r="CYN24" s="720"/>
      <c r="CYO24" s="720"/>
      <c r="CYP24" s="720"/>
      <c r="CYQ24" s="720"/>
      <c r="CYR24" s="720"/>
      <c r="CYS24" s="720"/>
      <c r="CYT24" s="720"/>
      <c r="CYU24" s="720"/>
      <c r="CYV24" s="720"/>
      <c r="CYW24" s="720"/>
      <c r="CYX24" s="720"/>
      <c r="CYY24" s="720"/>
      <c r="CYZ24" s="720"/>
      <c r="CZA24" s="720"/>
      <c r="CZB24" s="720"/>
      <c r="CZC24" s="720"/>
      <c r="CZD24" s="720"/>
      <c r="CZE24" s="720"/>
      <c r="CZF24" s="720"/>
      <c r="CZG24" s="720"/>
      <c r="CZH24" s="720"/>
      <c r="CZI24" s="720"/>
      <c r="CZJ24" s="720"/>
      <c r="CZK24" s="720"/>
      <c r="CZL24" s="720"/>
      <c r="CZM24" s="720"/>
      <c r="CZN24" s="720"/>
      <c r="CZO24" s="720"/>
      <c r="CZP24" s="720"/>
      <c r="CZQ24" s="720"/>
      <c r="CZR24" s="720"/>
      <c r="CZS24" s="720"/>
      <c r="CZT24" s="720"/>
      <c r="CZU24" s="720"/>
      <c r="CZV24" s="720"/>
      <c r="CZW24" s="720"/>
      <c r="CZX24" s="720"/>
      <c r="CZY24" s="720"/>
      <c r="CZZ24" s="720"/>
      <c r="DAA24" s="720"/>
      <c r="DAB24" s="720"/>
      <c r="DAC24" s="720"/>
      <c r="DAD24" s="720"/>
      <c r="DAE24" s="720"/>
      <c r="DAF24" s="720"/>
      <c r="DAG24" s="720"/>
      <c r="DAH24" s="720"/>
      <c r="DAI24" s="720"/>
      <c r="DAJ24" s="720"/>
      <c r="DAK24" s="720"/>
      <c r="DAL24" s="720"/>
      <c r="DAM24" s="720"/>
      <c r="DAN24" s="720"/>
      <c r="DAO24" s="720"/>
      <c r="DAP24" s="720"/>
      <c r="DAQ24" s="720"/>
      <c r="DAR24" s="720"/>
      <c r="DAS24" s="720"/>
      <c r="DAT24" s="720"/>
      <c r="DAU24" s="720"/>
      <c r="DAV24" s="720"/>
      <c r="DAW24" s="720"/>
      <c r="DAX24" s="720"/>
      <c r="DAY24" s="720"/>
      <c r="DAZ24" s="720"/>
      <c r="DBA24" s="720"/>
      <c r="DBB24" s="720"/>
      <c r="DBC24" s="720"/>
      <c r="DBD24" s="720"/>
      <c r="DBE24" s="720"/>
      <c r="DBF24" s="720"/>
      <c r="DBG24" s="720"/>
      <c r="DBH24" s="720"/>
      <c r="DBI24" s="720"/>
      <c r="DBJ24" s="720"/>
      <c r="DBK24" s="720"/>
      <c r="DBL24" s="720"/>
      <c r="DBM24" s="720"/>
      <c r="DBN24" s="720"/>
      <c r="DBO24" s="720"/>
      <c r="DBP24" s="720"/>
      <c r="DBQ24" s="720"/>
      <c r="DBR24" s="720"/>
      <c r="DBS24" s="720"/>
      <c r="DBT24" s="720"/>
      <c r="DBU24" s="720"/>
      <c r="DBV24" s="720"/>
      <c r="DBW24" s="720"/>
      <c r="DBX24" s="720"/>
      <c r="DBY24" s="720"/>
      <c r="DBZ24" s="720"/>
      <c r="DCA24" s="720"/>
      <c r="DCB24" s="720"/>
      <c r="DCC24" s="720"/>
      <c r="DCD24" s="720"/>
      <c r="DCE24" s="720"/>
      <c r="DCF24" s="720"/>
      <c r="DCG24" s="720"/>
      <c r="DCH24" s="720"/>
      <c r="DCI24" s="720"/>
      <c r="DCJ24" s="720"/>
      <c r="DCK24" s="720"/>
      <c r="DCL24" s="720"/>
      <c r="DCM24" s="720"/>
      <c r="DCN24" s="720"/>
      <c r="DCO24" s="720"/>
      <c r="DCP24" s="720"/>
      <c r="DCQ24" s="720"/>
      <c r="DCR24" s="720"/>
      <c r="DCS24" s="720"/>
      <c r="DCT24" s="720"/>
      <c r="DCU24" s="720"/>
      <c r="DCV24" s="720"/>
      <c r="DCW24" s="720"/>
      <c r="DCX24" s="720"/>
      <c r="DCY24" s="720"/>
      <c r="DCZ24" s="720"/>
      <c r="DDA24" s="720"/>
      <c r="DDB24" s="720"/>
      <c r="DDC24" s="720"/>
      <c r="DDD24" s="720"/>
      <c r="DDE24" s="720"/>
      <c r="DDF24" s="720"/>
      <c r="DDG24" s="720"/>
      <c r="DDH24" s="720"/>
      <c r="DDI24" s="720"/>
      <c r="DDJ24" s="720"/>
      <c r="DDK24" s="720"/>
      <c r="DDL24" s="720"/>
      <c r="DDM24" s="720"/>
      <c r="DDN24" s="720"/>
      <c r="DDO24" s="720"/>
      <c r="DDP24" s="720"/>
      <c r="DDQ24" s="720"/>
      <c r="DDR24" s="720"/>
      <c r="DDS24" s="720"/>
      <c r="DDT24" s="720"/>
      <c r="DDU24" s="720"/>
      <c r="DDV24" s="720"/>
      <c r="DDW24" s="720"/>
      <c r="DDX24" s="720"/>
      <c r="DDY24" s="720"/>
      <c r="DDZ24" s="720"/>
      <c r="DEA24" s="720"/>
      <c r="DEB24" s="720"/>
      <c r="DEC24" s="720"/>
      <c r="DED24" s="720"/>
      <c r="DEE24" s="720"/>
      <c r="DEF24" s="720"/>
      <c r="DEG24" s="720"/>
      <c r="DEH24" s="720"/>
      <c r="DEI24" s="720"/>
      <c r="DEJ24" s="720"/>
      <c r="DEK24" s="720"/>
      <c r="DEL24" s="720"/>
      <c r="DEM24" s="720"/>
      <c r="DEN24" s="720"/>
      <c r="DEO24" s="720"/>
      <c r="DEP24" s="720"/>
      <c r="DEQ24" s="720"/>
      <c r="DER24" s="720"/>
      <c r="DES24" s="720"/>
      <c r="DET24" s="720"/>
      <c r="DEU24" s="720"/>
      <c r="DEV24" s="720"/>
      <c r="DEW24" s="720"/>
      <c r="DEX24" s="720"/>
      <c r="DEY24" s="720"/>
      <c r="DEZ24" s="720"/>
      <c r="DFA24" s="720"/>
      <c r="DFB24" s="720"/>
      <c r="DFC24" s="720"/>
      <c r="DFD24" s="720"/>
      <c r="DFE24" s="720"/>
      <c r="DFF24" s="720"/>
      <c r="DFG24" s="720"/>
      <c r="DFH24" s="720"/>
      <c r="DFI24" s="720"/>
      <c r="DFJ24" s="720"/>
      <c r="DFK24" s="720"/>
      <c r="DFL24" s="720"/>
      <c r="DFM24" s="720"/>
      <c r="DFN24" s="720"/>
      <c r="DFO24" s="720"/>
      <c r="DFP24" s="720"/>
      <c r="DFQ24" s="720"/>
      <c r="DFR24" s="720"/>
      <c r="DFS24" s="720"/>
      <c r="DFT24" s="720"/>
      <c r="DFU24" s="720"/>
      <c r="DFV24" s="720"/>
      <c r="DFW24" s="720"/>
      <c r="DFX24" s="720"/>
      <c r="DFY24" s="720"/>
      <c r="DFZ24" s="720"/>
      <c r="DGA24" s="720"/>
      <c r="DGB24" s="720"/>
      <c r="DGC24" s="720"/>
      <c r="DGD24" s="720"/>
      <c r="DGE24" s="720"/>
      <c r="DGF24" s="720"/>
      <c r="DGG24" s="720"/>
      <c r="DGH24" s="720"/>
      <c r="DGI24" s="720"/>
      <c r="DGJ24" s="720"/>
      <c r="DGK24" s="720"/>
      <c r="DGL24" s="720"/>
      <c r="DGM24" s="720"/>
      <c r="DGN24" s="720"/>
      <c r="DGO24" s="720"/>
      <c r="DGP24" s="720"/>
      <c r="DGQ24" s="720"/>
      <c r="DGR24" s="720"/>
      <c r="DGS24" s="720"/>
      <c r="DGT24" s="720"/>
      <c r="DGU24" s="720"/>
      <c r="DGV24" s="720"/>
      <c r="DGW24" s="720"/>
      <c r="DGX24" s="720"/>
      <c r="DGY24" s="720"/>
      <c r="DGZ24" s="720"/>
      <c r="DHA24" s="720"/>
      <c r="DHB24" s="720"/>
      <c r="DHC24" s="720"/>
      <c r="DHD24" s="720"/>
      <c r="DHE24" s="720"/>
      <c r="DHF24" s="720"/>
      <c r="DHG24" s="720"/>
      <c r="DHH24" s="720"/>
      <c r="DHI24" s="720"/>
      <c r="DHJ24" s="720"/>
      <c r="DHK24" s="720"/>
      <c r="DHL24" s="720"/>
      <c r="DHM24" s="720"/>
      <c r="DHN24" s="720"/>
      <c r="DHO24" s="720"/>
      <c r="DHP24" s="720"/>
      <c r="DHQ24" s="720"/>
      <c r="DHR24" s="720"/>
      <c r="DHS24" s="720"/>
      <c r="DHT24" s="720"/>
      <c r="DHU24" s="720"/>
      <c r="DHV24" s="720"/>
      <c r="DHW24" s="720"/>
      <c r="DHX24" s="720"/>
      <c r="DHY24" s="720"/>
      <c r="DHZ24" s="720"/>
      <c r="DIA24" s="720"/>
      <c r="DIB24" s="720"/>
      <c r="DIC24" s="720"/>
      <c r="DID24" s="720"/>
      <c r="DIE24" s="720"/>
      <c r="DIF24" s="720"/>
      <c r="DIG24" s="720"/>
      <c r="DIH24" s="720"/>
      <c r="DII24" s="720"/>
      <c r="DIJ24" s="720"/>
      <c r="DIK24" s="720"/>
      <c r="DIL24" s="720"/>
      <c r="DIM24" s="720"/>
      <c r="DIN24" s="720"/>
      <c r="DIO24" s="720"/>
      <c r="DIP24" s="720"/>
      <c r="DIQ24" s="720"/>
      <c r="DIR24" s="720"/>
      <c r="DIS24" s="720"/>
      <c r="DIT24" s="720"/>
      <c r="DIU24" s="720"/>
      <c r="DIV24" s="720"/>
      <c r="DIW24" s="720"/>
      <c r="DIX24" s="720"/>
      <c r="DIY24" s="720"/>
      <c r="DIZ24" s="720"/>
      <c r="DJA24" s="720"/>
      <c r="DJB24" s="720"/>
      <c r="DJC24" s="720"/>
      <c r="DJD24" s="720"/>
      <c r="DJE24" s="720"/>
      <c r="DJF24" s="720"/>
      <c r="DJG24" s="720"/>
      <c r="DJH24" s="720"/>
      <c r="DJI24" s="720"/>
      <c r="DJJ24" s="720"/>
      <c r="DJK24" s="720"/>
      <c r="DJL24" s="720"/>
      <c r="DJM24" s="720"/>
      <c r="DJN24" s="720"/>
      <c r="DJO24" s="720"/>
      <c r="DJP24" s="720"/>
      <c r="DJQ24" s="720"/>
      <c r="DJR24" s="720"/>
      <c r="DJS24" s="720"/>
      <c r="DJT24" s="720"/>
      <c r="DJU24" s="720"/>
      <c r="DJV24" s="720"/>
      <c r="DJW24" s="720"/>
      <c r="DJX24" s="720"/>
      <c r="DJY24" s="720"/>
      <c r="DJZ24" s="720"/>
      <c r="DKA24" s="720"/>
      <c r="DKB24" s="720"/>
      <c r="DKC24" s="720"/>
      <c r="DKD24" s="720"/>
      <c r="DKE24" s="720"/>
      <c r="DKF24" s="720"/>
      <c r="DKG24" s="720"/>
      <c r="DKH24" s="720"/>
      <c r="DKI24" s="720"/>
      <c r="DKJ24" s="720"/>
      <c r="DKK24" s="720"/>
      <c r="DKL24" s="720"/>
      <c r="DKM24" s="720"/>
      <c r="DKN24" s="720"/>
      <c r="DKO24" s="720"/>
      <c r="DKP24" s="720"/>
      <c r="DKQ24" s="720"/>
      <c r="DKR24" s="720"/>
      <c r="DKS24" s="720"/>
      <c r="DKT24" s="720"/>
      <c r="DKU24" s="720"/>
      <c r="DKV24" s="720"/>
      <c r="DKW24" s="720"/>
      <c r="DKX24" s="720"/>
      <c r="DKY24" s="720"/>
      <c r="DKZ24" s="720"/>
      <c r="DLA24" s="720"/>
      <c r="DLB24" s="720"/>
      <c r="DLC24" s="720"/>
      <c r="DLD24" s="720"/>
      <c r="DLE24" s="720"/>
      <c r="DLF24" s="720"/>
      <c r="DLG24" s="720"/>
      <c r="DLH24" s="720"/>
      <c r="DLI24" s="720"/>
      <c r="DLJ24" s="720"/>
      <c r="DLK24" s="720"/>
      <c r="DLL24" s="720"/>
      <c r="DLM24" s="720"/>
      <c r="DLN24" s="720"/>
      <c r="DLO24" s="720"/>
      <c r="DLP24" s="720"/>
      <c r="DLQ24" s="720"/>
      <c r="DLR24" s="720"/>
      <c r="DLS24" s="720"/>
      <c r="DLT24" s="720"/>
      <c r="DLU24" s="720"/>
      <c r="DLV24" s="720"/>
      <c r="DLW24" s="720"/>
      <c r="DLX24" s="720"/>
      <c r="DLY24" s="720"/>
      <c r="DLZ24" s="720"/>
      <c r="DMA24" s="720"/>
      <c r="DMB24" s="720"/>
      <c r="DMC24" s="720"/>
      <c r="DMD24" s="720"/>
      <c r="DME24" s="720"/>
      <c r="DMF24" s="720"/>
      <c r="DMG24" s="720"/>
      <c r="DMH24" s="720"/>
      <c r="DMI24" s="720"/>
      <c r="DMJ24" s="720"/>
      <c r="DMK24" s="720"/>
      <c r="DML24" s="720"/>
      <c r="DMM24" s="720"/>
      <c r="DMN24" s="720"/>
      <c r="DMO24" s="720"/>
      <c r="DMP24" s="720"/>
      <c r="DMQ24" s="720"/>
      <c r="DMR24" s="720"/>
      <c r="DMS24" s="720"/>
      <c r="DMT24" s="720"/>
      <c r="DMU24" s="720"/>
      <c r="DMV24" s="720"/>
      <c r="DMW24" s="720"/>
      <c r="DMX24" s="720"/>
      <c r="DMY24" s="720"/>
      <c r="DMZ24" s="720"/>
      <c r="DNA24" s="720"/>
      <c r="DNB24" s="720"/>
      <c r="DNC24" s="720"/>
      <c r="DND24" s="720"/>
      <c r="DNE24" s="720"/>
      <c r="DNF24" s="720"/>
      <c r="DNG24" s="720"/>
      <c r="DNH24" s="720"/>
      <c r="DNI24" s="720"/>
      <c r="DNJ24" s="720"/>
      <c r="DNK24" s="720"/>
      <c r="DNL24" s="720"/>
      <c r="DNM24" s="720"/>
      <c r="DNN24" s="720"/>
      <c r="DNO24" s="720"/>
      <c r="DNP24" s="720"/>
      <c r="DNQ24" s="720"/>
      <c r="DNR24" s="720"/>
      <c r="DNS24" s="720"/>
      <c r="DNT24" s="720"/>
      <c r="DNU24" s="720"/>
      <c r="DNV24" s="720"/>
      <c r="DNW24" s="720"/>
      <c r="DNX24" s="720"/>
      <c r="DNY24" s="720"/>
      <c r="DNZ24" s="720"/>
      <c r="DOA24" s="720"/>
      <c r="DOB24" s="720"/>
      <c r="DOC24" s="720"/>
      <c r="DOD24" s="720"/>
      <c r="DOE24" s="720"/>
      <c r="DOF24" s="720"/>
      <c r="DOG24" s="720"/>
      <c r="DOH24" s="720"/>
      <c r="DOI24" s="720"/>
      <c r="DOJ24" s="720"/>
      <c r="DOK24" s="720"/>
      <c r="DOL24" s="720"/>
      <c r="DOM24" s="720"/>
      <c r="DON24" s="720"/>
      <c r="DOO24" s="720"/>
      <c r="DOP24" s="720"/>
      <c r="DOQ24" s="720"/>
      <c r="DOR24" s="720"/>
      <c r="DOS24" s="720"/>
      <c r="DOT24" s="720"/>
      <c r="DOU24" s="720"/>
      <c r="DOV24" s="720"/>
      <c r="DOW24" s="720"/>
      <c r="DOX24" s="720"/>
      <c r="DOY24" s="720"/>
      <c r="DOZ24" s="720"/>
      <c r="DPA24" s="720"/>
      <c r="DPB24" s="720"/>
      <c r="DPC24" s="720"/>
      <c r="DPD24" s="720"/>
      <c r="DPE24" s="720"/>
      <c r="DPF24" s="720"/>
      <c r="DPG24" s="720"/>
      <c r="DPH24" s="720"/>
      <c r="DPI24" s="720"/>
      <c r="DPJ24" s="720"/>
      <c r="DPK24" s="720"/>
      <c r="DPL24" s="720"/>
      <c r="DPM24" s="720"/>
      <c r="DPN24" s="720"/>
      <c r="DPO24" s="720"/>
      <c r="DPP24" s="720"/>
      <c r="DPQ24" s="720"/>
      <c r="DPR24" s="720"/>
      <c r="DPS24" s="720"/>
      <c r="DPT24" s="720"/>
      <c r="DPU24" s="720"/>
      <c r="DPV24" s="720"/>
      <c r="DPW24" s="720"/>
      <c r="DPX24" s="720"/>
      <c r="DPY24" s="720"/>
      <c r="DPZ24" s="720"/>
      <c r="DQA24" s="720"/>
      <c r="DQB24" s="720"/>
      <c r="DQC24" s="720"/>
      <c r="DQD24" s="720"/>
      <c r="DQE24" s="720"/>
      <c r="DQF24" s="720"/>
      <c r="DQG24" s="720"/>
      <c r="DQH24" s="720"/>
      <c r="DQI24" s="720"/>
      <c r="DQJ24" s="720"/>
      <c r="DQK24" s="720"/>
      <c r="DQL24" s="720"/>
      <c r="DQM24" s="720"/>
      <c r="DQN24" s="720"/>
      <c r="DQO24" s="720"/>
      <c r="DQP24" s="720"/>
      <c r="DQQ24" s="720"/>
      <c r="DQR24" s="720"/>
      <c r="DQS24" s="720"/>
      <c r="DQT24" s="720"/>
      <c r="DQU24" s="720"/>
      <c r="DQV24" s="720"/>
      <c r="DQW24" s="720"/>
      <c r="DQX24" s="720"/>
      <c r="DQY24" s="720"/>
      <c r="DQZ24" s="720"/>
      <c r="DRA24" s="720"/>
      <c r="DRB24" s="720"/>
      <c r="DRC24" s="720"/>
      <c r="DRD24" s="720"/>
      <c r="DRE24" s="720"/>
      <c r="DRF24" s="720"/>
      <c r="DRG24" s="720"/>
      <c r="DRH24" s="720"/>
      <c r="DRI24" s="720"/>
      <c r="DRJ24" s="720"/>
      <c r="DRK24" s="720"/>
      <c r="DRL24" s="720"/>
      <c r="DRM24" s="720"/>
      <c r="DRN24" s="720"/>
      <c r="DRO24" s="720"/>
      <c r="DRP24" s="720"/>
      <c r="DRQ24" s="720"/>
      <c r="DRR24" s="720"/>
      <c r="DRS24" s="720"/>
      <c r="DRT24" s="720"/>
      <c r="DRU24" s="720"/>
      <c r="DRV24" s="720"/>
      <c r="DRW24" s="720"/>
      <c r="DRX24" s="720"/>
      <c r="DRY24" s="720"/>
      <c r="DRZ24" s="720"/>
      <c r="DSA24" s="720"/>
      <c r="DSB24" s="720"/>
      <c r="DSC24" s="720"/>
      <c r="DSD24" s="720"/>
      <c r="DSE24" s="720"/>
      <c r="DSF24" s="720"/>
      <c r="DSG24" s="720"/>
      <c r="DSH24" s="720"/>
      <c r="DSI24" s="720"/>
      <c r="DSJ24" s="720"/>
      <c r="DSK24" s="720"/>
      <c r="DSL24" s="720"/>
      <c r="DSM24" s="720"/>
      <c r="DSN24" s="720"/>
      <c r="DSO24" s="720"/>
      <c r="DSP24" s="720"/>
      <c r="DSQ24" s="720"/>
      <c r="DSR24" s="720"/>
      <c r="DSS24" s="720"/>
      <c r="DST24" s="720"/>
      <c r="DSU24" s="720"/>
      <c r="DSV24" s="720"/>
      <c r="DSW24" s="720"/>
      <c r="DSX24" s="720"/>
      <c r="DSY24" s="720"/>
      <c r="DSZ24" s="720"/>
      <c r="DTA24" s="720"/>
      <c r="DTB24" s="720"/>
      <c r="DTC24" s="720"/>
      <c r="DTD24" s="720"/>
      <c r="DTE24" s="720"/>
      <c r="DTF24" s="720"/>
      <c r="DTG24" s="720"/>
      <c r="DTH24" s="720"/>
      <c r="DTI24" s="720"/>
      <c r="DTJ24" s="720"/>
      <c r="DTK24" s="720"/>
      <c r="DTL24" s="720"/>
      <c r="DTM24" s="720"/>
      <c r="DTN24" s="720"/>
      <c r="DTO24" s="720"/>
      <c r="DTP24" s="720"/>
      <c r="DTQ24" s="720"/>
      <c r="DTR24" s="720"/>
      <c r="DTS24" s="720"/>
      <c r="DTT24" s="720"/>
      <c r="DTU24" s="720"/>
      <c r="DTV24" s="720"/>
      <c r="DTW24" s="720"/>
      <c r="DTX24" s="720"/>
      <c r="DTY24" s="720"/>
      <c r="DTZ24" s="720"/>
      <c r="DUA24" s="720"/>
      <c r="DUB24" s="720"/>
      <c r="DUC24" s="720"/>
      <c r="DUD24" s="720"/>
      <c r="DUE24" s="720"/>
      <c r="DUF24" s="720"/>
      <c r="DUG24" s="720"/>
      <c r="DUH24" s="720"/>
      <c r="DUI24" s="720"/>
      <c r="DUJ24" s="720"/>
      <c r="DUK24" s="720"/>
      <c r="DUL24" s="720"/>
      <c r="DUM24" s="720"/>
      <c r="DUN24" s="720"/>
      <c r="DUO24" s="720"/>
      <c r="DUP24" s="720"/>
      <c r="DUQ24" s="720"/>
      <c r="DUR24" s="720"/>
      <c r="DUS24" s="720"/>
      <c r="DUT24" s="720"/>
      <c r="DUU24" s="720"/>
      <c r="DUV24" s="720"/>
      <c r="DUW24" s="720"/>
      <c r="DUX24" s="720"/>
      <c r="DUY24" s="720"/>
      <c r="DUZ24" s="720"/>
      <c r="DVA24" s="720"/>
      <c r="DVB24" s="720"/>
      <c r="DVC24" s="720"/>
      <c r="DVD24" s="720"/>
      <c r="DVE24" s="720"/>
      <c r="DVF24" s="720"/>
      <c r="DVG24" s="720"/>
      <c r="DVH24" s="720"/>
      <c r="DVI24" s="720"/>
      <c r="DVJ24" s="720"/>
      <c r="DVK24" s="720"/>
      <c r="DVL24" s="720"/>
      <c r="DVM24" s="720"/>
      <c r="DVN24" s="720"/>
      <c r="DVO24" s="720"/>
      <c r="DVP24" s="720"/>
      <c r="DVQ24" s="720"/>
      <c r="DVR24" s="720"/>
      <c r="DVS24" s="720"/>
      <c r="DVT24" s="720"/>
      <c r="DVU24" s="720"/>
      <c r="DVV24" s="720"/>
      <c r="DVW24" s="720"/>
      <c r="DVX24" s="720"/>
      <c r="DVY24" s="720"/>
      <c r="DVZ24" s="720"/>
      <c r="DWA24" s="720"/>
      <c r="DWB24" s="720"/>
      <c r="DWC24" s="720"/>
      <c r="DWD24" s="720"/>
      <c r="DWE24" s="720"/>
      <c r="DWF24" s="720"/>
      <c r="DWG24" s="720"/>
      <c r="DWH24" s="720"/>
      <c r="DWI24" s="720"/>
      <c r="DWJ24" s="720"/>
      <c r="DWK24" s="720"/>
      <c r="DWL24" s="720"/>
      <c r="DWM24" s="720"/>
      <c r="DWN24" s="720"/>
      <c r="DWO24" s="720"/>
      <c r="DWP24" s="720"/>
      <c r="DWQ24" s="720"/>
      <c r="DWR24" s="720"/>
      <c r="DWS24" s="720"/>
      <c r="DWT24" s="720"/>
      <c r="DWU24" s="720"/>
      <c r="DWV24" s="720"/>
      <c r="DWW24" s="720"/>
      <c r="DWX24" s="720"/>
      <c r="DWY24" s="720"/>
      <c r="DWZ24" s="720"/>
      <c r="DXA24" s="720"/>
      <c r="DXB24" s="720"/>
      <c r="DXC24" s="720"/>
      <c r="DXD24" s="720"/>
      <c r="DXE24" s="720"/>
      <c r="DXF24" s="720"/>
      <c r="DXG24" s="720"/>
      <c r="DXH24" s="720"/>
      <c r="DXI24" s="720"/>
      <c r="DXJ24" s="720"/>
      <c r="DXK24" s="720"/>
      <c r="DXL24" s="720"/>
      <c r="DXM24" s="720"/>
      <c r="DXN24" s="720"/>
      <c r="DXO24" s="720"/>
      <c r="DXP24" s="720"/>
      <c r="DXQ24" s="720"/>
      <c r="DXR24" s="720"/>
      <c r="DXS24" s="720"/>
      <c r="DXT24" s="720"/>
      <c r="DXU24" s="720"/>
      <c r="DXV24" s="720"/>
      <c r="DXW24" s="720"/>
      <c r="DXX24" s="720"/>
      <c r="DXY24" s="720"/>
      <c r="DXZ24" s="720"/>
      <c r="DYA24" s="720"/>
      <c r="DYB24" s="720"/>
      <c r="DYC24" s="720"/>
      <c r="DYD24" s="720"/>
      <c r="DYE24" s="720"/>
      <c r="DYF24" s="720"/>
      <c r="DYG24" s="720"/>
      <c r="DYH24" s="720"/>
      <c r="DYI24" s="720"/>
      <c r="DYJ24" s="720"/>
      <c r="DYK24" s="720"/>
      <c r="DYL24" s="720"/>
      <c r="DYM24" s="720"/>
      <c r="DYN24" s="720"/>
      <c r="DYO24" s="720"/>
      <c r="DYP24" s="720"/>
      <c r="DYQ24" s="720"/>
      <c r="DYR24" s="720"/>
      <c r="DYS24" s="720"/>
      <c r="DYT24" s="720"/>
      <c r="DYU24" s="720"/>
      <c r="DYV24" s="720"/>
      <c r="DYW24" s="720"/>
      <c r="DYX24" s="720"/>
      <c r="DYY24" s="720"/>
      <c r="DYZ24" s="720"/>
      <c r="DZA24" s="720"/>
      <c r="DZB24" s="720"/>
      <c r="DZC24" s="720"/>
      <c r="DZD24" s="720"/>
      <c r="DZE24" s="720"/>
      <c r="DZF24" s="720"/>
      <c r="DZG24" s="720"/>
      <c r="DZH24" s="720"/>
      <c r="DZI24" s="720"/>
      <c r="DZJ24" s="720"/>
      <c r="DZK24" s="720"/>
      <c r="DZL24" s="720"/>
      <c r="DZM24" s="720"/>
      <c r="DZN24" s="720"/>
      <c r="DZO24" s="720"/>
      <c r="DZP24" s="720"/>
      <c r="DZQ24" s="720"/>
      <c r="DZR24" s="720"/>
      <c r="DZS24" s="720"/>
      <c r="DZT24" s="720"/>
      <c r="DZU24" s="720"/>
      <c r="DZV24" s="720"/>
      <c r="DZW24" s="720"/>
      <c r="DZX24" s="720"/>
      <c r="DZY24" s="720"/>
      <c r="DZZ24" s="720"/>
      <c r="EAA24" s="720"/>
      <c r="EAB24" s="720"/>
      <c r="EAC24" s="720"/>
      <c r="EAD24" s="720"/>
      <c r="EAE24" s="720"/>
      <c r="EAF24" s="720"/>
      <c r="EAG24" s="720"/>
      <c r="EAH24" s="720"/>
      <c r="EAI24" s="720"/>
      <c r="EAJ24" s="720"/>
      <c r="EAK24" s="720"/>
      <c r="EAL24" s="720"/>
      <c r="EAM24" s="720"/>
      <c r="EAN24" s="720"/>
      <c r="EAO24" s="720"/>
      <c r="EAP24" s="720"/>
      <c r="EAQ24" s="720"/>
      <c r="EAR24" s="720"/>
      <c r="EAS24" s="720"/>
      <c r="EAT24" s="720"/>
      <c r="EAU24" s="720"/>
      <c r="EAV24" s="720"/>
      <c r="EAW24" s="720"/>
      <c r="EAX24" s="720"/>
      <c r="EAY24" s="720"/>
      <c r="EAZ24" s="720"/>
      <c r="EBA24" s="720"/>
      <c r="EBB24" s="720"/>
      <c r="EBC24" s="720"/>
      <c r="EBD24" s="720"/>
      <c r="EBE24" s="720"/>
      <c r="EBF24" s="720"/>
      <c r="EBG24" s="720"/>
      <c r="EBH24" s="720"/>
      <c r="EBI24" s="720"/>
      <c r="EBJ24" s="720"/>
      <c r="EBK24" s="720"/>
      <c r="EBL24" s="720"/>
      <c r="EBM24" s="720"/>
      <c r="EBN24" s="720"/>
      <c r="EBO24" s="720"/>
      <c r="EBP24" s="720"/>
      <c r="EBQ24" s="720"/>
      <c r="EBR24" s="720"/>
      <c r="EBS24" s="720"/>
      <c r="EBT24" s="720"/>
      <c r="EBU24" s="720"/>
      <c r="EBV24" s="720"/>
      <c r="EBW24" s="720"/>
      <c r="EBX24" s="720"/>
      <c r="EBY24" s="720"/>
      <c r="EBZ24" s="720"/>
      <c r="ECA24" s="720"/>
      <c r="ECB24" s="720"/>
      <c r="ECC24" s="720"/>
      <c r="ECD24" s="720"/>
      <c r="ECE24" s="720"/>
      <c r="ECF24" s="720"/>
      <c r="ECG24" s="720"/>
      <c r="ECH24" s="720"/>
      <c r="ECI24" s="720"/>
      <c r="ECJ24" s="720"/>
      <c r="ECK24" s="720"/>
      <c r="ECL24" s="720"/>
      <c r="ECM24" s="720"/>
      <c r="ECN24" s="720"/>
      <c r="ECO24" s="720"/>
      <c r="ECP24" s="720"/>
      <c r="ECQ24" s="720"/>
      <c r="ECR24" s="720"/>
      <c r="ECS24" s="720"/>
      <c r="ECT24" s="720"/>
      <c r="ECU24" s="720"/>
      <c r="ECV24" s="720"/>
      <c r="ECW24" s="720"/>
      <c r="ECX24" s="720"/>
      <c r="ECY24" s="720"/>
      <c r="ECZ24" s="720"/>
      <c r="EDA24" s="720"/>
      <c r="EDB24" s="720"/>
      <c r="EDC24" s="720"/>
      <c r="EDD24" s="720"/>
      <c r="EDE24" s="720"/>
      <c r="EDF24" s="720"/>
      <c r="EDG24" s="720"/>
      <c r="EDH24" s="720"/>
      <c r="EDI24" s="720"/>
      <c r="EDJ24" s="720"/>
      <c r="EDK24" s="720"/>
      <c r="EDL24" s="720"/>
      <c r="EDM24" s="720"/>
      <c r="EDN24" s="720"/>
      <c r="EDO24" s="720"/>
      <c r="EDP24" s="720"/>
      <c r="EDQ24" s="720"/>
      <c r="EDR24" s="720"/>
      <c r="EDS24" s="720"/>
      <c r="EDT24" s="720"/>
      <c r="EDU24" s="720"/>
      <c r="EDV24" s="720"/>
      <c r="EDW24" s="720"/>
      <c r="EDX24" s="720"/>
      <c r="EDY24" s="720"/>
      <c r="EDZ24" s="720"/>
      <c r="EEA24" s="720"/>
      <c r="EEB24" s="720"/>
      <c r="EEC24" s="720"/>
      <c r="EED24" s="720"/>
      <c r="EEE24" s="720"/>
      <c r="EEF24" s="720"/>
      <c r="EEG24" s="720"/>
      <c r="EEH24" s="720"/>
      <c r="EEI24" s="720"/>
      <c r="EEJ24" s="720"/>
      <c r="EEK24" s="720"/>
      <c r="EEL24" s="720"/>
      <c r="EEM24" s="720"/>
      <c r="EEN24" s="720"/>
      <c r="EEO24" s="720"/>
      <c r="EEP24" s="720"/>
      <c r="EEQ24" s="720"/>
      <c r="EER24" s="720"/>
      <c r="EES24" s="720"/>
      <c r="EET24" s="720"/>
      <c r="EEU24" s="720"/>
      <c r="EEV24" s="720"/>
      <c r="EEW24" s="720"/>
      <c r="EEX24" s="720"/>
      <c r="EEY24" s="720"/>
      <c r="EEZ24" s="720"/>
      <c r="EFA24" s="720"/>
      <c r="EFB24" s="720"/>
      <c r="EFC24" s="720"/>
      <c r="EFD24" s="720"/>
      <c r="EFE24" s="720"/>
      <c r="EFF24" s="720"/>
      <c r="EFG24" s="720"/>
      <c r="EFH24" s="720"/>
      <c r="EFI24" s="720"/>
      <c r="EFJ24" s="720"/>
      <c r="EFK24" s="720"/>
      <c r="EFL24" s="720"/>
      <c r="EFM24" s="720"/>
      <c r="EFN24" s="720"/>
      <c r="EFO24" s="720"/>
      <c r="EFP24" s="720"/>
      <c r="EFQ24" s="720"/>
      <c r="EFR24" s="720"/>
      <c r="EFS24" s="720"/>
      <c r="EFT24" s="720"/>
      <c r="EFU24" s="720"/>
      <c r="EFV24" s="720"/>
      <c r="EFW24" s="720"/>
      <c r="EFX24" s="720"/>
      <c r="EFY24" s="720"/>
      <c r="EFZ24" s="720"/>
      <c r="EGA24" s="720"/>
      <c r="EGB24" s="720"/>
      <c r="EGC24" s="720"/>
      <c r="EGD24" s="720"/>
      <c r="EGE24" s="720"/>
      <c r="EGF24" s="720"/>
      <c r="EGG24" s="720"/>
      <c r="EGH24" s="720"/>
      <c r="EGI24" s="720"/>
      <c r="EGJ24" s="720"/>
      <c r="EGK24" s="720"/>
      <c r="EGL24" s="720"/>
      <c r="EGM24" s="720"/>
      <c r="EGN24" s="720"/>
      <c r="EGO24" s="720"/>
      <c r="EGP24" s="720"/>
      <c r="EGQ24" s="720"/>
      <c r="EGR24" s="720"/>
      <c r="EGS24" s="720"/>
      <c r="EGT24" s="720"/>
      <c r="EGU24" s="720"/>
      <c r="EGV24" s="720"/>
      <c r="EGW24" s="720"/>
      <c r="EGX24" s="720"/>
      <c r="EGY24" s="720"/>
      <c r="EGZ24" s="720"/>
      <c r="EHA24" s="720"/>
      <c r="EHB24" s="720"/>
      <c r="EHC24" s="720"/>
      <c r="EHD24" s="720"/>
      <c r="EHE24" s="720"/>
      <c r="EHF24" s="720"/>
      <c r="EHG24" s="720"/>
      <c r="EHH24" s="720"/>
      <c r="EHI24" s="720"/>
      <c r="EHJ24" s="720"/>
      <c r="EHK24" s="720"/>
      <c r="EHL24" s="720"/>
      <c r="EHM24" s="720"/>
      <c r="EHN24" s="720"/>
      <c r="EHO24" s="720"/>
      <c r="EHP24" s="720"/>
      <c r="EHQ24" s="720"/>
      <c r="EHR24" s="720"/>
      <c r="EHS24" s="720"/>
      <c r="EHT24" s="720"/>
      <c r="EHU24" s="720"/>
      <c r="EHV24" s="720"/>
      <c r="EHW24" s="720"/>
      <c r="EHX24" s="720"/>
      <c r="EHY24" s="720"/>
      <c r="EHZ24" s="720"/>
      <c r="EIA24" s="720"/>
      <c r="EIB24" s="720"/>
      <c r="EIC24" s="720"/>
      <c r="EID24" s="720"/>
      <c r="EIE24" s="720"/>
      <c r="EIF24" s="720"/>
      <c r="EIG24" s="720"/>
      <c r="EIH24" s="720"/>
      <c r="EII24" s="720"/>
      <c r="EIJ24" s="720"/>
      <c r="EIK24" s="720"/>
      <c r="EIL24" s="720"/>
      <c r="EIM24" s="720"/>
      <c r="EIN24" s="720"/>
      <c r="EIO24" s="720"/>
      <c r="EIP24" s="720"/>
      <c r="EIQ24" s="720"/>
      <c r="EIR24" s="720"/>
      <c r="EIS24" s="720"/>
      <c r="EIT24" s="720"/>
      <c r="EIU24" s="720"/>
      <c r="EIV24" s="720"/>
      <c r="EIW24" s="720"/>
      <c r="EIX24" s="720"/>
      <c r="EIY24" s="720"/>
      <c r="EIZ24" s="720"/>
      <c r="EJA24" s="720"/>
      <c r="EJB24" s="720"/>
      <c r="EJC24" s="720"/>
      <c r="EJD24" s="720"/>
      <c r="EJE24" s="720"/>
      <c r="EJF24" s="720"/>
      <c r="EJG24" s="720"/>
      <c r="EJH24" s="720"/>
      <c r="EJI24" s="720"/>
      <c r="EJJ24" s="720"/>
      <c r="EJK24" s="720"/>
      <c r="EJL24" s="720"/>
      <c r="EJM24" s="720"/>
      <c r="EJN24" s="720"/>
      <c r="EJO24" s="720"/>
      <c r="EJP24" s="720"/>
      <c r="EJQ24" s="720"/>
      <c r="EJR24" s="720"/>
      <c r="EJS24" s="720"/>
      <c r="EJT24" s="720"/>
      <c r="EJU24" s="720"/>
      <c r="EJV24" s="720"/>
      <c r="EJW24" s="720"/>
      <c r="EJX24" s="720"/>
      <c r="EJY24" s="720"/>
      <c r="EJZ24" s="720"/>
      <c r="EKA24" s="720"/>
      <c r="EKB24" s="720"/>
      <c r="EKC24" s="720"/>
      <c r="EKD24" s="720"/>
      <c r="EKE24" s="720"/>
      <c r="EKF24" s="720"/>
      <c r="EKG24" s="720"/>
      <c r="EKH24" s="720"/>
      <c r="EKI24" s="720"/>
      <c r="EKJ24" s="720"/>
      <c r="EKK24" s="720"/>
      <c r="EKL24" s="720"/>
      <c r="EKM24" s="720"/>
      <c r="EKN24" s="720"/>
      <c r="EKO24" s="720"/>
      <c r="EKP24" s="720"/>
      <c r="EKQ24" s="720"/>
      <c r="EKR24" s="720"/>
      <c r="EKS24" s="720"/>
      <c r="EKT24" s="720"/>
      <c r="EKU24" s="720"/>
      <c r="EKV24" s="720"/>
      <c r="EKW24" s="720"/>
      <c r="EKX24" s="720"/>
      <c r="EKY24" s="720"/>
      <c r="EKZ24" s="720"/>
      <c r="ELA24" s="720"/>
      <c r="ELB24" s="720"/>
      <c r="ELC24" s="720"/>
      <c r="ELD24" s="720"/>
      <c r="ELE24" s="720"/>
      <c r="ELF24" s="720"/>
      <c r="ELG24" s="720"/>
      <c r="ELH24" s="720"/>
      <c r="ELI24" s="720"/>
      <c r="ELJ24" s="720"/>
      <c r="ELK24" s="720"/>
      <c r="ELL24" s="720"/>
      <c r="ELM24" s="720"/>
      <c r="ELN24" s="720"/>
      <c r="ELO24" s="720"/>
      <c r="ELP24" s="720"/>
      <c r="ELQ24" s="720"/>
      <c r="ELR24" s="720"/>
      <c r="ELS24" s="720"/>
      <c r="ELT24" s="720"/>
      <c r="ELU24" s="720"/>
      <c r="ELV24" s="720"/>
      <c r="ELW24" s="720"/>
      <c r="ELX24" s="720"/>
      <c r="ELY24" s="720"/>
      <c r="ELZ24" s="720"/>
      <c r="EMA24" s="720"/>
      <c r="EMB24" s="720"/>
      <c r="EMC24" s="720"/>
      <c r="EMD24" s="720"/>
      <c r="EME24" s="720"/>
      <c r="EMF24" s="720"/>
      <c r="EMG24" s="720"/>
      <c r="EMH24" s="720"/>
      <c r="EMI24" s="720"/>
      <c r="EMJ24" s="720"/>
      <c r="EMK24" s="720"/>
      <c r="EML24" s="720"/>
      <c r="EMM24" s="720"/>
      <c r="EMN24" s="720"/>
      <c r="EMO24" s="720"/>
      <c r="EMP24" s="720"/>
      <c r="EMQ24" s="720"/>
      <c r="EMR24" s="720"/>
      <c r="EMS24" s="720"/>
      <c r="EMT24" s="720"/>
      <c r="EMU24" s="720"/>
      <c r="EMV24" s="720"/>
      <c r="EMW24" s="720"/>
      <c r="EMX24" s="720"/>
      <c r="EMY24" s="720"/>
      <c r="EMZ24" s="720"/>
      <c r="ENA24" s="720"/>
      <c r="ENB24" s="720"/>
      <c r="ENC24" s="720"/>
      <c r="END24" s="720"/>
      <c r="ENE24" s="720"/>
      <c r="ENF24" s="720"/>
      <c r="ENG24" s="720"/>
      <c r="ENH24" s="720"/>
      <c r="ENI24" s="720"/>
      <c r="ENJ24" s="720"/>
      <c r="ENK24" s="720"/>
      <c r="ENL24" s="720"/>
      <c r="ENM24" s="720"/>
      <c r="ENN24" s="720"/>
      <c r="ENO24" s="720"/>
      <c r="ENP24" s="720"/>
      <c r="ENQ24" s="720"/>
      <c r="ENR24" s="720"/>
      <c r="ENS24" s="720"/>
      <c r="ENT24" s="720"/>
      <c r="ENU24" s="720"/>
      <c r="ENV24" s="720"/>
      <c r="ENW24" s="720"/>
      <c r="ENX24" s="720"/>
      <c r="ENY24" s="720"/>
      <c r="ENZ24" s="720"/>
      <c r="EOA24" s="720"/>
      <c r="EOB24" s="720"/>
      <c r="EOC24" s="720"/>
      <c r="EOD24" s="720"/>
      <c r="EOE24" s="720"/>
      <c r="EOF24" s="720"/>
      <c r="EOG24" s="720"/>
      <c r="EOH24" s="720"/>
      <c r="EOI24" s="720"/>
      <c r="EOJ24" s="720"/>
      <c r="EOK24" s="720"/>
      <c r="EOL24" s="720"/>
      <c r="EOM24" s="720"/>
      <c r="EON24" s="720"/>
      <c r="EOO24" s="720"/>
      <c r="EOP24" s="720"/>
      <c r="EOQ24" s="720"/>
      <c r="EOR24" s="720"/>
      <c r="EOS24" s="720"/>
      <c r="EOT24" s="720"/>
      <c r="EOU24" s="720"/>
      <c r="EOV24" s="720"/>
      <c r="EOW24" s="720"/>
      <c r="EOX24" s="720"/>
      <c r="EOY24" s="720"/>
      <c r="EOZ24" s="720"/>
      <c r="EPA24" s="720"/>
      <c r="EPB24" s="720"/>
      <c r="EPC24" s="720"/>
      <c r="EPD24" s="720"/>
      <c r="EPE24" s="720"/>
      <c r="EPF24" s="720"/>
      <c r="EPG24" s="720"/>
      <c r="EPH24" s="720"/>
      <c r="EPI24" s="720"/>
      <c r="EPJ24" s="720"/>
      <c r="EPK24" s="720"/>
      <c r="EPL24" s="720"/>
      <c r="EPM24" s="720"/>
      <c r="EPN24" s="720"/>
      <c r="EPO24" s="720"/>
      <c r="EPP24" s="720"/>
      <c r="EPQ24" s="720"/>
      <c r="EPR24" s="720"/>
      <c r="EPS24" s="720"/>
      <c r="EPT24" s="720"/>
      <c r="EPU24" s="720"/>
      <c r="EPV24" s="720"/>
      <c r="EPW24" s="720"/>
      <c r="EPX24" s="720"/>
      <c r="EPY24" s="720"/>
      <c r="EPZ24" s="720"/>
      <c r="EQA24" s="720"/>
      <c r="EQB24" s="720"/>
      <c r="EQC24" s="720"/>
      <c r="EQD24" s="720"/>
      <c r="EQE24" s="720"/>
      <c r="EQF24" s="720"/>
      <c r="EQG24" s="720"/>
      <c r="EQH24" s="720"/>
      <c r="EQI24" s="720"/>
      <c r="EQJ24" s="720"/>
      <c r="EQK24" s="720"/>
      <c r="EQL24" s="720"/>
      <c r="EQM24" s="720"/>
      <c r="EQN24" s="720"/>
      <c r="EQO24" s="720"/>
      <c r="EQP24" s="720"/>
      <c r="EQQ24" s="720"/>
      <c r="EQR24" s="720"/>
      <c r="EQS24" s="720"/>
      <c r="EQT24" s="720"/>
      <c r="EQU24" s="720"/>
      <c r="EQV24" s="720"/>
      <c r="EQW24" s="720"/>
      <c r="EQX24" s="720"/>
      <c r="EQY24" s="720"/>
      <c r="EQZ24" s="720"/>
      <c r="ERA24" s="720"/>
      <c r="ERB24" s="720"/>
      <c r="ERC24" s="720"/>
      <c r="ERD24" s="720"/>
      <c r="ERE24" s="720"/>
      <c r="ERF24" s="720"/>
      <c r="ERG24" s="720"/>
      <c r="ERH24" s="720"/>
      <c r="ERI24" s="720"/>
      <c r="ERJ24" s="720"/>
      <c r="ERK24" s="720"/>
      <c r="ERL24" s="720"/>
      <c r="ERM24" s="720"/>
      <c r="ERN24" s="720"/>
      <c r="ERO24" s="720"/>
      <c r="ERP24" s="720"/>
      <c r="ERQ24" s="720"/>
      <c r="ERR24" s="720"/>
      <c r="ERS24" s="720"/>
      <c r="ERT24" s="720"/>
      <c r="ERU24" s="720"/>
      <c r="ERV24" s="720"/>
      <c r="ERW24" s="720"/>
      <c r="ERX24" s="720"/>
      <c r="ERY24" s="720"/>
      <c r="ERZ24" s="720"/>
      <c r="ESA24" s="720"/>
      <c r="ESB24" s="720"/>
      <c r="ESC24" s="720"/>
      <c r="ESD24" s="720"/>
      <c r="ESE24" s="720"/>
      <c r="ESF24" s="720"/>
      <c r="ESG24" s="720"/>
      <c r="ESH24" s="720"/>
      <c r="ESI24" s="720"/>
      <c r="ESJ24" s="720"/>
      <c r="ESK24" s="720"/>
      <c r="ESL24" s="720"/>
      <c r="ESM24" s="720"/>
      <c r="ESN24" s="720"/>
      <c r="ESO24" s="720"/>
      <c r="ESP24" s="720"/>
      <c r="ESQ24" s="720"/>
      <c r="ESR24" s="720"/>
      <c r="ESS24" s="720"/>
      <c r="EST24" s="720"/>
      <c r="ESU24" s="720"/>
      <c r="ESV24" s="720"/>
      <c r="ESW24" s="720"/>
      <c r="ESX24" s="720"/>
      <c r="ESY24" s="720"/>
      <c r="ESZ24" s="720"/>
      <c r="ETA24" s="720"/>
      <c r="ETB24" s="720"/>
      <c r="ETC24" s="720"/>
      <c r="ETD24" s="720"/>
      <c r="ETE24" s="720"/>
      <c r="ETF24" s="720"/>
      <c r="ETG24" s="720"/>
      <c r="ETH24" s="720"/>
      <c r="ETI24" s="720"/>
      <c r="ETJ24" s="720"/>
      <c r="ETK24" s="720"/>
      <c r="ETL24" s="720"/>
      <c r="ETM24" s="720"/>
      <c r="ETN24" s="720"/>
      <c r="ETO24" s="720"/>
      <c r="ETP24" s="720"/>
      <c r="ETQ24" s="720"/>
      <c r="ETR24" s="720"/>
      <c r="ETS24" s="720"/>
      <c r="ETT24" s="720"/>
      <c r="ETU24" s="720"/>
      <c r="ETV24" s="720"/>
      <c r="ETW24" s="720"/>
      <c r="ETX24" s="720"/>
      <c r="ETY24" s="720"/>
      <c r="ETZ24" s="720"/>
      <c r="EUA24" s="720"/>
      <c r="EUB24" s="720"/>
      <c r="EUC24" s="720"/>
      <c r="EUD24" s="720"/>
      <c r="EUE24" s="720"/>
      <c r="EUF24" s="720"/>
      <c r="EUG24" s="720"/>
      <c r="EUH24" s="720"/>
      <c r="EUI24" s="720"/>
      <c r="EUJ24" s="720"/>
      <c r="EUK24" s="720"/>
      <c r="EUL24" s="720"/>
      <c r="EUM24" s="720"/>
      <c r="EUN24" s="720"/>
      <c r="EUO24" s="720"/>
      <c r="EUP24" s="720"/>
      <c r="EUQ24" s="720"/>
      <c r="EUR24" s="720"/>
      <c r="EUS24" s="720"/>
      <c r="EUT24" s="720"/>
      <c r="EUU24" s="720"/>
      <c r="EUV24" s="720"/>
      <c r="EUW24" s="720"/>
      <c r="EUX24" s="720"/>
      <c r="EUY24" s="720"/>
      <c r="EUZ24" s="720"/>
      <c r="EVA24" s="720"/>
      <c r="EVB24" s="720"/>
      <c r="EVC24" s="720"/>
      <c r="EVD24" s="720"/>
      <c r="EVE24" s="720"/>
      <c r="EVF24" s="720"/>
      <c r="EVG24" s="720"/>
      <c r="EVH24" s="720"/>
      <c r="EVI24" s="720"/>
      <c r="EVJ24" s="720"/>
      <c r="EVK24" s="720"/>
      <c r="EVL24" s="720"/>
      <c r="EVM24" s="720"/>
      <c r="EVN24" s="720"/>
      <c r="EVO24" s="720"/>
      <c r="EVP24" s="720"/>
      <c r="EVQ24" s="720"/>
      <c r="EVR24" s="720"/>
      <c r="EVS24" s="720"/>
      <c r="EVT24" s="720"/>
      <c r="EVU24" s="720"/>
      <c r="EVV24" s="720"/>
      <c r="EVW24" s="720"/>
      <c r="EVX24" s="720"/>
      <c r="EVY24" s="720"/>
      <c r="EVZ24" s="720"/>
      <c r="EWA24" s="720"/>
      <c r="EWB24" s="720"/>
      <c r="EWC24" s="720"/>
      <c r="EWD24" s="720"/>
      <c r="EWE24" s="720"/>
      <c r="EWF24" s="720"/>
      <c r="EWG24" s="720"/>
      <c r="EWH24" s="720"/>
      <c r="EWI24" s="720"/>
      <c r="EWJ24" s="720"/>
      <c r="EWK24" s="720"/>
      <c r="EWL24" s="720"/>
      <c r="EWM24" s="720"/>
      <c r="EWN24" s="720"/>
      <c r="EWO24" s="720"/>
      <c r="EWP24" s="720"/>
      <c r="EWQ24" s="720"/>
      <c r="EWR24" s="720"/>
      <c r="EWS24" s="720"/>
      <c r="EWT24" s="720"/>
      <c r="EWU24" s="720"/>
      <c r="EWV24" s="720"/>
      <c r="EWW24" s="720"/>
      <c r="EWX24" s="720"/>
      <c r="EWY24" s="720"/>
      <c r="EWZ24" s="720"/>
      <c r="EXA24" s="720"/>
      <c r="EXB24" s="720"/>
      <c r="EXC24" s="720"/>
      <c r="EXD24" s="720"/>
      <c r="EXE24" s="720"/>
      <c r="EXF24" s="720"/>
      <c r="EXG24" s="720"/>
      <c r="EXH24" s="720"/>
      <c r="EXI24" s="720"/>
      <c r="EXJ24" s="720"/>
      <c r="EXK24" s="720"/>
      <c r="EXL24" s="720"/>
      <c r="EXM24" s="720"/>
      <c r="EXN24" s="720"/>
      <c r="EXO24" s="720"/>
      <c r="EXP24" s="720"/>
      <c r="EXQ24" s="720"/>
      <c r="EXR24" s="720"/>
      <c r="EXS24" s="720"/>
      <c r="EXT24" s="720"/>
      <c r="EXU24" s="720"/>
      <c r="EXV24" s="720"/>
      <c r="EXW24" s="720"/>
      <c r="EXX24" s="720"/>
      <c r="EXY24" s="720"/>
      <c r="EXZ24" s="720"/>
      <c r="EYA24" s="720"/>
      <c r="EYB24" s="720"/>
      <c r="EYC24" s="720"/>
      <c r="EYD24" s="720"/>
      <c r="EYE24" s="720"/>
      <c r="EYF24" s="720"/>
      <c r="EYG24" s="720"/>
      <c r="EYH24" s="720"/>
      <c r="EYI24" s="720"/>
      <c r="EYJ24" s="720"/>
      <c r="EYK24" s="720"/>
      <c r="EYL24" s="720"/>
      <c r="EYM24" s="720"/>
      <c r="EYN24" s="720"/>
      <c r="EYO24" s="720"/>
      <c r="EYP24" s="720"/>
      <c r="EYQ24" s="720"/>
      <c r="EYR24" s="720"/>
      <c r="EYS24" s="720"/>
      <c r="EYT24" s="720"/>
      <c r="EYU24" s="720"/>
      <c r="EYV24" s="720"/>
      <c r="EYW24" s="720"/>
      <c r="EYX24" s="720"/>
      <c r="EYY24" s="720"/>
      <c r="EYZ24" s="720"/>
      <c r="EZA24" s="720"/>
      <c r="EZB24" s="720"/>
      <c r="EZC24" s="720"/>
      <c r="EZD24" s="720"/>
      <c r="EZE24" s="720"/>
      <c r="EZF24" s="720"/>
      <c r="EZG24" s="720"/>
      <c r="EZH24" s="720"/>
      <c r="EZI24" s="720"/>
      <c r="EZJ24" s="720"/>
      <c r="EZK24" s="720"/>
      <c r="EZL24" s="720"/>
      <c r="EZM24" s="720"/>
      <c r="EZN24" s="720"/>
      <c r="EZO24" s="720"/>
      <c r="EZP24" s="720"/>
      <c r="EZQ24" s="720"/>
      <c r="EZR24" s="720"/>
      <c r="EZS24" s="720"/>
      <c r="EZT24" s="720"/>
      <c r="EZU24" s="720"/>
      <c r="EZV24" s="720"/>
      <c r="EZW24" s="720"/>
      <c r="EZX24" s="720"/>
      <c r="EZY24" s="720"/>
      <c r="EZZ24" s="720"/>
      <c r="FAA24" s="720"/>
      <c r="FAB24" s="720"/>
      <c r="FAC24" s="720"/>
      <c r="FAD24" s="720"/>
      <c r="FAE24" s="720"/>
      <c r="FAF24" s="720"/>
      <c r="FAG24" s="720"/>
      <c r="FAH24" s="720"/>
      <c r="FAI24" s="720"/>
      <c r="FAJ24" s="720"/>
      <c r="FAK24" s="720"/>
      <c r="FAL24" s="720"/>
      <c r="FAM24" s="720"/>
      <c r="FAN24" s="720"/>
      <c r="FAO24" s="720"/>
      <c r="FAP24" s="720"/>
      <c r="FAQ24" s="720"/>
      <c r="FAR24" s="720"/>
      <c r="FAS24" s="720"/>
      <c r="FAT24" s="720"/>
      <c r="FAU24" s="720"/>
      <c r="FAV24" s="720"/>
      <c r="FAW24" s="720"/>
      <c r="FAX24" s="720"/>
      <c r="FAY24" s="720"/>
      <c r="FAZ24" s="720"/>
      <c r="FBA24" s="720"/>
      <c r="FBB24" s="720"/>
      <c r="FBC24" s="720"/>
      <c r="FBD24" s="720"/>
      <c r="FBE24" s="720"/>
      <c r="FBF24" s="720"/>
      <c r="FBG24" s="720"/>
      <c r="FBH24" s="720"/>
      <c r="FBI24" s="720"/>
      <c r="FBJ24" s="720"/>
      <c r="FBK24" s="720"/>
      <c r="FBL24" s="720"/>
      <c r="FBM24" s="720"/>
      <c r="FBN24" s="720"/>
      <c r="FBO24" s="720"/>
      <c r="FBP24" s="720"/>
      <c r="FBQ24" s="720"/>
      <c r="FBR24" s="720"/>
      <c r="FBS24" s="720"/>
      <c r="FBT24" s="720"/>
      <c r="FBU24" s="720"/>
      <c r="FBV24" s="720"/>
      <c r="FBW24" s="720"/>
      <c r="FBX24" s="720"/>
      <c r="FBY24" s="720"/>
      <c r="FBZ24" s="720"/>
      <c r="FCA24" s="720"/>
      <c r="FCB24" s="720"/>
      <c r="FCC24" s="720"/>
      <c r="FCD24" s="720"/>
      <c r="FCE24" s="720"/>
      <c r="FCF24" s="720"/>
      <c r="FCG24" s="720"/>
      <c r="FCH24" s="720"/>
      <c r="FCI24" s="720"/>
      <c r="FCJ24" s="720"/>
      <c r="FCK24" s="720"/>
      <c r="FCL24" s="720"/>
      <c r="FCM24" s="720"/>
      <c r="FCN24" s="720"/>
      <c r="FCO24" s="720"/>
      <c r="FCP24" s="720"/>
      <c r="FCQ24" s="720"/>
      <c r="FCR24" s="720"/>
      <c r="FCS24" s="720"/>
      <c r="FCT24" s="720"/>
      <c r="FCU24" s="720"/>
      <c r="FCV24" s="720"/>
      <c r="FCW24" s="720"/>
      <c r="FCX24" s="720"/>
      <c r="FCY24" s="720"/>
      <c r="FCZ24" s="720"/>
      <c r="FDA24" s="720"/>
      <c r="FDB24" s="720"/>
      <c r="FDC24" s="720"/>
      <c r="FDD24" s="720"/>
      <c r="FDE24" s="720"/>
      <c r="FDF24" s="720"/>
      <c r="FDG24" s="720"/>
      <c r="FDH24" s="720"/>
      <c r="FDI24" s="720"/>
      <c r="FDJ24" s="720"/>
      <c r="FDK24" s="720"/>
      <c r="FDL24" s="720"/>
      <c r="FDM24" s="720"/>
      <c r="FDN24" s="720"/>
      <c r="FDO24" s="720"/>
      <c r="FDP24" s="720"/>
      <c r="FDQ24" s="720"/>
      <c r="FDR24" s="720"/>
      <c r="FDS24" s="720"/>
      <c r="FDT24" s="720"/>
      <c r="FDU24" s="720"/>
      <c r="FDV24" s="720"/>
      <c r="FDW24" s="720"/>
      <c r="FDX24" s="720"/>
      <c r="FDY24" s="720"/>
      <c r="FDZ24" s="720"/>
      <c r="FEA24" s="720"/>
      <c r="FEB24" s="720"/>
      <c r="FEC24" s="720"/>
      <c r="FED24" s="720"/>
      <c r="FEE24" s="720"/>
      <c r="FEF24" s="720"/>
      <c r="FEG24" s="720"/>
      <c r="FEH24" s="720"/>
      <c r="FEI24" s="720"/>
      <c r="FEJ24" s="720"/>
      <c r="FEK24" s="720"/>
      <c r="FEL24" s="720"/>
      <c r="FEM24" s="720"/>
      <c r="FEN24" s="720"/>
      <c r="FEO24" s="720"/>
      <c r="FEP24" s="720"/>
      <c r="FEQ24" s="720"/>
      <c r="FER24" s="720"/>
      <c r="FES24" s="720"/>
      <c r="FET24" s="720"/>
      <c r="FEU24" s="720"/>
      <c r="FEV24" s="720"/>
      <c r="FEW24" s="720"/>
      <c r="FEX24" s="720"/>
      <c r="FEY24" s="720"/>
      <c r="FEZ24" s="720"/>
      <c r="FFA24" s="720"/>
      <c r="FFB24" s="720"/>
      <c r="FFC24" s="720"/>
      <c r="FFD24" s="720"/>
      <c r="FFE24" s="720"/>
      <c r="FFF24" s="720"/>
      <c r="FFG24" s="720"/>
      <c r="FFH24" s="720"/>
      <c r="FFI24" s="720"/>
      <c r="FFJ24" s="720"/>
      <c r="FFK24" s="720"/>
      <c r="FFL24" s="720"/>
      <c r="FFM24" s="720"/>
      <c r="FFN24" s="720"/>
      <c r="FFO24" s="720"/>
      <c r="FFP24" s="720"/>
      <c r="FFQ24" s="720"/>
      <c r="FFR24" s="720"/>
      <c r="FFS24" s="720"/>
      <c r="FFT24" s="720"/>
      <c r="FFU24" s="720"/>
      <c r="FFV24" s="720"/>
      <c r="FFW24" s="720"/>
      <c r="FFX24" s="720"/>
      <c r="FFY24" s="720"/>
      <c r="FFZ24" s="720"/>
      <c r="FGA24" s="720"/>
      <c r="FGB24" s="720"/>
      <c r="FGC24" s="720"/>
      <c r="FGD24" s="720"/>
      <c r="FGE24" s="720"/>
      <c r="FGF24" s="720"/>
      <c r="FGG24" s="720"/>
      <c r="FGH24" s="720"/>
      <c r="FGI24" s="720"/>
      <c r="FGJ24" s="720"/>
      <c r="FGK24" s="720"/>
      <c r="FGL24" s="720"/>
      <c r="FGM24" s="720"/>
      <c r="FGN24" s="720"/>
      <c r="FGO24" s="720"/>
      <c r="FGP24" s="720"/>
      <c r="FGQ24" s="720"/>
      <c r="FGR24" s="720"/>
      <c r="FGS24" s="720"/>
      <c r="FGT24" s="720"/>
      <c r="FGU24" s="720"/>
      <c r="FGV24" s="720"/>
      <c r="FGW24" s="720"/>
      <c r="FGX24" s="720"/>
      <c r="FGY24" s="720"/>
      <c r="FGZ24" s="720"/>
      <c r="FHA24" s="720"/>
      <c r="FHB24" s="720"/>
      <c r="FHC24" s="720"/>
      <c r="FHD24" s="720"/>
      <c r="FHE24" s="720"/>
      <c r="FHF24" s="720"/>
      <c r="FHG24" s="720"/>
      <c r="FHH24" s="720"/>
      <c r="FHI24" s="720"/>
      <c r="FHJ24" s="720"/>
      <c r="FHK24" s="720"/>
      <c r="FHL24" s="720"/>
      <c r="FHM24" s="720"/>
      <c r="FHN24" s="720"/>
      <c r="FHO24" s="720"/>
      <c r="FHP24" s="720"/>
      <c r="FHQ24" s="720"/>
      <c r="FHR24" s="720"/>
      <c r="FHS24" s="720"/>
      <c r="FHT24" s="720"/>
      <c r="FHU24" s="720"/>
      <c r="FHV24" s="720"/>
      <c r="FHW24" s="720"/>
      <c r="FHX24" s="720"/>
      <c r="FHY24" s="720"/>
      <c r="FHZ24" s="720"/>
      <c r="FIA24" s="720"/>
      <c r="FIB24" s="720"/>
      <c r="FIC24" s="720"/>
      <c r="FID24" s="720"/>
      <c r="FIE24" s="720"/>
      <c r="FIF24" s="720"/>
      <c r="FIG24" s="720"/>
      <c r="FIH24" s="720"/>
      <c r="FII24" s="720"/>
      <c r="FIJ24" s="720"/>
      <c r="FIK24" s="720"/>
      <c r="FIL24" s="720"/>
      <c r="FIM24" s="720"/>
      <c r="FIN24" s="720"/>
      <c r="FIO24" s="720"/>
      <c r="FIP24" s="720"/>
      <c r="FIQ24" s="720"/>
      <c r="FIR24" s="720"/>
      <c r="FIS24" s="720"/>
      <c r="FIT24" s="720"/>
      <c r="FIU24" s="720"/>
      <c r="FIV24" s="720"/>
      <c r="FIW24" s="720"/>
      <c r="FIX24" s="720"/>
      <c r="FIY24" s="720"/>
      <c r="FIZ24" s="720"/>
      <c r="FJA24" s="720"/>
      <c r="FJB24" s="720"/>
      <c r="FJC24" s="720"/>
      <c r="FJD24" s="720"/>
      <c r="FJE24" s="720"/>
      <c r="FJF24" s="720"/>
      <c r="FJG24" s="720"/>
      <c r="FJH24" s="720"/>
      <c r="FJI24" s="720"/>
      <c r="FJJ24" s="720"/>
      <c r="FJK24" s="720"/>
      <c r="FJL24" s="720"/>
      <c r="FJM24" s="720"/>
      <c r="FJN24" s="720"/>
      <c r="FJO24" s="720"/>
      <c r="FJP24" s="720"/>
      <c r="FJQ24" s="720"/>
      <c r="FJR24" s="720"/>
      <c r="FJS24" s="720"/>
      <c r="FJT24" s="720"/>
      <c r="FJU24" s="720"/>
      <c r="FJV24" s="720"/>
      <c r="FJW24" s="720"/>
      <c r="FJX24" s="720"/>
      <c r="FJY24" s="720"/>
      <c r="FJZ24" s="720"/>
      <c r="FKA24" s="720"/>
      <c r="FKB24" s="720"/>
      <c r="FKC24" s="720"/>
      <c r="FKD24" s="720"/>
      <c r="FKE24" s="720"/>
      <c r="FKF24" s="720"/>
      <c r="FKG24" s="720"/>
      <c r="FKH24" s="720"/>
      <c r="FKI24" s="720"/>
      <c r="FKJ24" s="720"/>
      <c r="FKK24" s="720"/>
      <c r="FKL24" s="720"/>
      <c r="FKM24" s="720"/>
      <c r="FKN24" s="720"/>
      <c r="FKO24" s="720"/>
      <c r="FKP24" s="720"/>
      <c r="FKQ24" s="720"/>
      <c r="FKR24" s="720"/>
      <c r="FKS24" s="720"/>
      <c r="FKT24" s="720"/>
      <c r="FKU24" s="720"/>
      <c r="FKV24" s="720"/>
      <c r="FKW24" s="720"/>
      <c r="FKX24" s="720"/>
      <c r="FKY24" s="720"/>
      <c r="FKZ24" s="720"/>
      <c r="FLA24" s="720"/>
      <c r="FLB24" s="720"/>
      <c r="FLC24" s="720"/>
      <c r="FLD24" s="720"/>
      <c r="FLE24" s="720"/>
      <c r="FLF24" s="720"/>
      <c r="FLG24" s="720"/>
      <c r="FLH24" s="720"/>
      <c r="FLI24" s="720"/>
      <c r="FLJ24" s="720"/>
      <c r="FLK24" s="720"/>
      <c r="FLL24" s="720"/>
      <c r="FLM24" s="720"/>
      <c r="FLN24" s="720"/>
      <c r="FLO24" s="720"/>
      <c r="FLP24" s="720"/>
      <c r="FLQ24" s="720"/>
      <c r="FLR24" s="720"/>
      <c r="FLS24" s="720"/>
      <c r="FLT24" s="720"/>
      <c r="FLU24" s="720"/>
      <c r="FLV24" s="720"/>
      <c r="FLW24" s="720"/>
      <c r="FLX24" s="720"/>
      <c r="FLY24" s="720"/>
      <c r="FLZ24" s="720"/>
      <c r="FMA24" s="720"/>
      <c r="FMB24" s="720"/>
      <c r="FMC24" s="720"/>
      <c r="FMD24" s="720"/>
      <c r="FME24" s="720"/>
      <c r="FMF24" s="720"/>
      <c r="FMG24" s="720"/>
      <c r="FMH24" s="720"/>
      <c r="FMI24" s="720"/>
      <c r="FMJ24" s="720"/>
      <c r="FMK24" s="720"/>
      <c r="FML24" s="720"/>
      <c r="FMM24" s="720"/>
      <c r="FMN24" s="720"/>
      <c r="FMO24" s="720"/>
      <c r="FMP24" s="720"/>
      <c r="FMQ24" s="720"/>
      <c r="FMR24" s="720"/>
      <c r="FMS24" s="720"/>
      <c r="FMT24" s="720"/>
      <c r="FMU24" s="720"/>
      <c r="FMV24" s="720"/>
      <c r="FMW24" s="720"/>
      <c r="FMX24" s="720"/>
      <c r="FMY24" s="720"/>
      <c r="FMZ24" s="720"/>
      <c r="FNA24" s="720"/>
      <c r="FNB24" s="720"/>
      <c r="FNC24" s="720"/>
      <c r="FND24" s="720"/>
      <c r="FNE24" s="720"/>
      <c r="FNF24" s="720"/>
      <c r="FNG24" s="720"/>
      <c r="FNH24" s="720"/>
      <c r="FNI24" s="720"/>
      <c r="FNJ24" s="720"/>
      <c r="FNK24" s="720"/>
      <c r="FNL24" s="720"/>
      <c r="FNM24" s="720"/>
      <c r="FNN24" s="720"/>
      <c r="FNO24" s="720"/>
      <c r="FNP24" s="720"/>
      <c r="FNQ24" s="720"/>
      <c r="FNR24" s="720"/>
      <c r="FNS24" s="720"/>
      <c r="FNT24" s="720"/>
      <c r="FNU24" s="720"/>
      <c r="FNV24" s="720"/>
      <c r="FNW24" s="720"/>
      <c r="FNX24" s="720"/>
      <c r="FNY24" s="720"/>
      <c r="FNZ24" s="720"/>
      <c r="FOA24" s="720"/>
      <c r="FOB24" s="720"/>
      <c r="FOC24" s="720"/>
      <c r="FOD24" s="720"/>
      <c r="FOE24" s="720"/>
      <c r="FOF24" s="720"/>
      <c r="FOG24" s="720"/>
      <c r="FOH24" s="720"/>
      <c r="FOI24" s="720"/>
      <c r="FOJ24" s="720"/>
      <c r="FOK24" s="720"/>
      <c r="FOL24" s="720"/>
      <c r="FOM24" s="720"/>
      <c r="FON24" s="720"/>
      <c r="FOO24" s="720"/>
      <c r="FOP24" s="720"/>
      <c r="FOQ24" s="720"/>
      <c r="FOR24" s="720"/>
      <c r="FOS24" s="720"/>
      <c r="FOT24" s="720"/>
      <c r="FOU24" s="720"/>
      <c r="FOV24" s="720"/>
      <c r="FOW24" s="720"/>
      <c r="FOX24" s="720"/>
      <c r="FOY24" s="720"/>
      <c r="FOZ24" s="720"/>
      <c r="FPA24" s="720"/>
      <c r="FPB24" s="720"/>
      <c r="FPC24" s="720"/>
      <c r="FPD24" s="720"/>
      <c r="FPE24" s="720"/>
      <c r="FPF24" s="720"/>
      <c r="FPG24" s="720"/>
      <c r="FPH24" s="720"/>
      <c r="FPI24" s="720"/>
      <c r="FPJ24" s="720"/>
      <c r="FPK24" s="720"/>
      <c r="FPL24" s="720"/>
      <c r="FPM24" s="720"/>
      <c r="FPN24" s="720"/>
      <c r="FPO24" s="720"/>
      <c r="FPP24" s="720"/>
      <c r="FPQ24" s="720"/>
      <c r="FPR24" s="720"/>
      <c r="FPS24" s="720"/>
      <c r="FPT24" s="720"/>
      <c r="FPU24" s="720"/>
      <c r="FPV24" s="720"/>
      <c r="FPW24" s="720"/>
      <c r="FPX24" s="720"/>
      <c r="FPY24" s="720"/>
      <c r="FPZ24" s="720"/>
      <c r="FQA24" s="720"/>
      <c r="FQB24" s="720"/>
      <c r="FQC24" s="720"/>
      <c r="FQD24" s="720"/>
      <c r="FQE24" s="720"/>
      <c r="FQF24" s="720"/>
      <c r="FQG24" s="720"/>
      <c r="FQH24" s="720"/>
      <c r="FQI24" s="720"/>
      <c r="FQJ24" s="720"/>
      <c r="FQK24" s="720"/>
      <c r="FQL24" s="720"/>
      <c r="FQM24" s="720"/>
      <c r="FQN24" s="720"/>
      <c r="FQO24" s="720"/>
      <c r="FQP24" s="720"/>
      <c r="FQQ24" s="720"/>
      <c r="FQR24" s="720"/>
      <c r="FQS24" s="720"/>
      <c r="FQT24" s="720"/>
      <c r="FQU24" s="720"/>
      <c r="FQV24" s="720"/>
      <c r="FQW24" s="720"/>
      <c r="FQX24" s="720"/>
      <c r="FQY24" s="720"/>
      <c r="FQZ24" s="720"/>
      <c r="FRA24" s="720"/>
      <c r="FRB24" s="720"/>
      <c r="FRC24" s="720"/>
      <c r="FRD24" s="720"/>
      <c r="FRE24" s="720"/>
      <c r="FRF24" s="720"/>
      <c r="FRG24" s="720"/>
      <c r="FRH24" s="720"/>
      <c r="FRI24" s="720"/>
      <c r="FRJ24" s="720"/>
      <c r="FRK24" s="720"/>
      <c r="FRL24" s="720"/>
      <c r="FRM24" s="720"/>
      <c r="FRN24" s="720"/>
      <c r="FRO24" s="720"/>
      <c r="FRP24" s="720"/>
      <c r="FRQ24" s="720"/>
      <c r="FRR24" s="720"/>
      <c r="FRS24" s="720"/>
      <c r="FRT24" s="720"/>
      <c r="FRU24" s="720"/>
      <c r="FRV24" s="720"/>
      <c r="FRW24" s="720"/>
      <c r="FRX24" s="720"/>
      <c r="FRY24" s="720"/>
      <c r="FRZ24" s="720"/>
      <c r="FSA24" s="720"/>
      <c r="FSB24" s="720"/>
      <c r="FSC24" s="720"/>
      <c r="FSD24" s="720"/>
      <c r="FSE24" s="720"/>
      <c r="FSF24" s="720"/>
      <c r="FSG24" s="720"/>
      <c r="FSH24" s="720"/>
      <c r="FSI24" s="720"/>
      <c r="FSJ24" s="720"/>
      <c r="FSK24" s="720"/>
      <c r="FSL24" s="720"/>
      <c r="FSM24" s="720"/>
      <c r="FSN24" s="720"/>
      <c r="FSO24" s="720"/>
      <c r="FSP24" s="720"/>
      <c r="FSQ24" s="720"/>
      <c r="FSR24" s="720"/>
      <c r="FSS24" s="720"/>
      <c r="FST24" s="720"/>
      <c r="FSU24" s="720"/>
      <c r="FSV24" s="720"/>
      <c r="FSW24" s="720"/>
      <c r="FSX24" s="720"/>
      <c r="FSY24" s="720"/>
      <c r="FSZ24" s="720"/>
      <c r="FTA24" s="720"/>
      <c r="FTB24" s="720"/>
      <c r="FTC24" s="720"/>
      <c r="FTD24" s="720"/>
      <c r="FTE24" s="720"/>
      <c r="FTF24" s="720"/>
      <c r="FTG24" s="720"/>
      <c r="FTH24" s="720"/>
      <c r="FTI24" s="720"/>
      <c r="FTJ24" s="720"/>
      <c r="FTK24" s="720"/>
      <c r="FTL24" s="720"/>
      <c r="FTM24" s="720"/>
      <c r="FTN24" s="720"/>
      <c r="FTO24" s="720"/>
      <c r="FTP24" s="720"/>
      <c r="FTQ24" s="720"/>
      <c r="FTR24" s="720"/>
      <c r="FTS24" s="720"/>
      <c r="FTT24" s="720"/>
      <c r="FTU24" s="720"/>
      <c r="FTV24" s="720"/>
      <c r="FTW24" s="720"/>
      <c r="FTX24" s="720"/>
      <c r="FTY24" s="720"/>
      <c r="FTZ24" s="720"/>
      <c r="FUA24" s="720"/>
      <c r="FUB24" s="720"/>
      <c r="FUC24" s="720"/>
      <c r="FUD24" s="720"/>
      <c r="FUE24" s="720"/>
      <c r="FUF24" s="720"/>
      <c r="FUG24" s="720"/>
      <c r="FUH24" s="720"/>
      <c r="FUI24" s="720"/>
      <c r="FUJ24" s="720"/>
      <c r="FUK24" s="720"/>
      <c r="FUL24" s="720"/>
      <c r="FUM24" s="720"/>
      <c r="FUN24" s="720"/>
      <c r="FUO24" s="720"/>
      <c r="FUP24" s="720"/>
      <c r="FUQ24" s="720"/>
      <c r="FUR24" s="720"/>
      <c r="FUS24" s="720"/>
      <c r="FUT24" s="720"/>
      <c r="FUU24" s="720"/>
      <c r="FUV24" s="720"/>
      <c r="FUW24" s="720"/>
      <c r="FUX24" s="720"/>
      <c r="FUY24" s="720"/>
      <c r="FUZ24" s="720"/>
      <c r="FVA24" s="720"/>
      <c r="FVB24" s="720"/>
      <c r="FVC24" s="720"/>
      <c r="FVD24" s="720"/>
      <c r="FVE24" s="720"/>
      <c r="FVF24" s="720"/>
      <c r="FVG24" s="720"/>
      <c r="FVH24" s="720"/>
      <c r="FVI24" s="720"/>
      <c r="FVJ24" s="720"/>
      <c r="FVK24" s="720"/>
      <c r="FVL24" s="720"/>
      <c r="FVM24" s="720"/>
      <c r="FVN24" s="720"/>
      <c r="FVO24" s="720"/>
      <c r="FVP24" s="720"/>
      <c r="FVQ24" s="720"/>
      <c r="FVR24" s="720"/>
      <c r="FVS24" s="720"/>
      <c r="FVT24" s="720"/>
      <c r="FVU24" s="720"/>
      <c r="FVV24" s="720"/>
      <c r="FVW24" s="720"/>
      <c r="FVX24" s="720"/>
      <c r="FVY24" s="720"/>
      <c r="FVZ24" s="720"/>
      <c r="FWA24" s="720"/>
      <c r="FWB24" s="720"/>
      <c r="FWC24" s="720"/>
      <c r="FWD24" s="720"/>
      <c r="FWE24" s="720"/>
      <c r="FWF24" s="720"/>
      <c r="FWG24" s="720"/>
      <c r="FWH24" s="720"/>
      <c r="FWI24" s="720"/>
      <c r="FWJ24" s="720"/>
      <c r="FWK24" s="720"/>
      <c r="FWL24" s="720"/>
      <c r="FWM24" s="720"/>
      <c r="FWN24" s="720"/>
      <c r="FWO24" s="720"/>
      <c r="FWP24" s="720"/>
      <c r="FWQ24" s="720"/>
      <c r="FWR24" s="720"/>
      <c r="FWS24" s="720"/>
      <c r="FWT24" s="720"/>
      <c r="FWU24" s="720"/>
      <c r="FWV24" s="720"/>
      <c r="FWW24" s="720"/>
      <c r="FWX24" s="720"/>
      <c r="FWY24" s="720"/>
      <c r="FWZ24" s="720"/>
      <c r="FXA24" s="720"/>
      <c r="FXB24" s="720"/>
      <c r="FXC24" s="720"/>
      <c r="FXD24" s="720"/>
      <c r="FXE24" s="720"/>
      <c r="FXF24" s="720"/>
      <c r="FXG24" s="720"/>
      <c r="FXH24" s="720"/>
      <c r="FXI24" s="720"/>
      <c r="FXJ24" s="720"/>
      <c r="FXK24" s="720"/>
      <c r="FXL24" s="720"/>
      <c r="FXM24" s="720"/>
      <c r="FXN24" s="720"/>
      <c r="FXO24" s="720"/>
      <c r="FXP24" s="720"/>
      <c r="FXQ24" s="720"/>
      <c r="FXR24" s="720"/>
      <c r="FXS24" s="720"/>
      <c r="FXT24" s="720"/>
      <c r="FXU24" s="720"/>
      <c r="FXV24" s="720"/>
      <c r="FXW24" s="720"/>
      <c r="FXX24" s="720"/>
      <c r="FXY24" s="720"/>
      <c r="FXZ24" s="720"/>
      <c r="FYA24" s="720"/>
      <c r="FYB24" s="720"/>
      <c r="FYC24" s="720"/>
      <c r="FYD24" s="720"/>
      <c r="FYE24" s="720"/>
      <c r="FYF24" s="720"/>
      <c r="FYG24" s="720"/>
      <c r="FYH24" s="720"/>
      <c r="FYI24" s="720"/>
      <c r="FYJ24" s="720"/>
      <c r="FYK24" s="720"/>
      <c r="FYL24" s="720"/>
      <c r="FYM24" s="720"/>
      <c r="FYN24" s="720"/>
      <c r="FYO24" s="720"/>
      <c r="FYP24" s="720"/>
      <c r="FYQ24" s="720"/>
      <c r="FYR24" s="720"/>
      <c r="FYS24" s="720"/>
      <c r="FYT24" s="720"/>
      <c r="FYU24" s="720"/>
      <c r="FYV24" s="720"/>
      <c r="FYW24" s="720"/>
      <c r="FYX24" s="720"/>
      <c r="FYY24" s="720"/>
      <c r="FYZ24" s="720"/>
      <c r="FZA24" s="720"/>
      <c r="FZB24" s="720"/>
      <c r="FZC24" s="720"/>
      <c r="FZD24" s="720"/>
      <c r="FZE24" s="720"/>
      <c r="FZF24" s="720"/>
      <c r="FZG24" s="720"/>
      <c r="FZH24" s="720"/>
      <c r="FZI24" s="720"/>
      <c r="FZJ24" s="720"/>
      <c r="FZK24" s="720"/>
      <c r="FZL24" s="720"/>
      <c r="FZM24" s="720"/>
      <c r="FZN24" s="720"/>
      <c r="FZO24" s="720"/>
      <c r="FZP24" s="720"/>
      <c r="FZQ24" s="720"/>
      <c r="FZR24" s="720"/>
      <c r="FZS24" s="720"/>
      <c r="FZT24" s="720"/>
      <c r="FZU24" s="720"/>
      <c r="FZV24" s="720"/>
      <c r="FZW24" s="720"/>
      <c r="FZX24" s="720"/>
      <c r="FZY24" s="720"/>
      <c r="FZZ24" s="720"/>
      <c r="GAA24" s="720"/>
      <c r="GAB24" s="720"/>
      <c r="GAC24" s="720"/>
      <c r="GAD24" s="720"/>
      <c r="GAE24" s="720"/>
      <c r="GAF24" s="720"/>
      <c r="GAG24" s="720"/>
      <c r="GAH24" s="720"/>
      <c r="GAI24" s="720"/>
      <c r="GAJ24" s="720"/>
      <c r="GAK24" s="720"/>
      <c r="GAL24" s="720"/>
      <c r="GAM24" s="720"/>
      <c r="GAN24" s="720"/>
      <c r="GAO24" s="720"/>
      <c r="GAP24" s="720"/>
      <c r="GAQ24" s="720"/>
      <c r="GAR24" s="720"/>
      <c r="GAS24" s="720"/>
      <c r="GAT24" s="720"/>
      <c r="GAU24" s="720"/>
      <c r="GAV24" s="720"/>
      <c r="GAW24" s="720"/>
      <c r="GAX24" s="720"/>
      <c r="GAY24" s="720"/>
      <c r="GAZ24" s="720"/>
      <c r="GBA24" s="720"/>
      <c r="GBB24" s="720"/>
      <c r="GBC24" s="720"/>
      <c r="GBD24" s="720"/>
      <c r="GBE24" s="720"/>
      <c r="GBF24" s="720"/>
      <c r="GBG24" s="720"/>
      <c r="GBH24" s="720"/>
      <c r="GBI24" s="720"/>
      <c r="GBJ24" s="720"/>
      <c r="GBK24" s="720"/>
      <c r="GBL24" s="720"/>
      <c r="GBM24" s="720"/>
      <c r="GBN24" s="720"/>
      <c r="GBO24" s="720"/>
      <c r="GBP24" s="720"/>
      <c r="GBQ24" s="720"/>
      <c r="GBR24" s="720"/>
      <c r="GBS24" s="720"/>
      <c r="GBT24" s="720"/>
      <c r="GBU24" s="720"/>
      <c r="GBV24" s="720"/>
      <c r="GBW24" s="720"/>
      <c r="GBX24" s="720"/>
      <c r="GBY24" s="720"/>
      <c r="GBZ24" s="720"/>
      <c r="GCA24" s="720"/>
      <c r="GCB24" s="720"/>
      <c r="GCC24" s="720"/>
      <c r="GCD24" s="720"/>
      <c r="GCE24" s="720"/>
      <c r="GCF24" s="720"/>
      <c r="GCG24" s="720"/>
      <c r="GCH24" s="720"/>
      <c r="GCI24" s="720"/>
      <c r="GCJ24" s="720"/>
      <c r="GCK24" s="720"/>
      <c r="GCL24" s="720"/>
      <c r="GCM24" s="720"/>
      <c r="GCN24" s="720"/>
      <c r="GCO24" s="720"/>
      <c r="GCP24" s="720"/>
      <c r="GCQ24" s="720"/>
      <c r="GCR24" s="720"/>
      <c r="GCS24" s="720"/>
      <c r="GCT24" s="720"/>
      <c r="GCU24" s="720"/>
      <c r="GCV24" s="720"/>
      <c r="GCW24" s="720"/>
      <c r="GCX24" s="720"/>
      <c r="GCY24" s="720"/>
      <c r="GCZ24" s="720"/>
      <c r="GDA24" s="720"/>
      <c r="GDB24" s="720"/>
      <c r="GDC24" s="720"/>
      <c r="GDD24" s="720"/>
      <c r="GDE24" s="720"/>
      <c r="GDF24" s="720"/>
      <c r="GDG24" s="720"/>
      <c r="GDH24" s="720"/>
      <c r="GDI24" s="720"/>
      <c r="GDJ24" s="720"/>
      <c r="GDK24" s="720"/>
      <c r="GDL24" s="720"/>
      <c r="GDM24" s="720"/>
      <c r="GDN24" s="720"/>
      <c r="GDO24" s="720"/>
      <c r="GDP24" s="720"/>
      <c r="GDQ24" s="720"/>
      <c r="GDR24" s="720"/>
      <c r="GDS24" s="720"/>
      <c r="GDT24" s="720"/>
      <c r="GDU24" s="720"/>
      <c r="GDV24" s="720"/>
      <c r="GDW24" s="720"/>
      <c r="GDX24" s="720"/>
      <c r="GDY24" s="720"/>
      <c r="GDZ24" s="720"/>
      <c r="GEA24" s="720"/>
      <c r="GEB24" s="720"/>
      <c r="GEC24" s="720"/>
      <c r="GED24" s="720"/>
      <c r="GEE24" s="720"/>
      <c r="GEF24" s="720"/>
      <c r="GEG24" s="720"/>
      <c r="GEH24" s="720"/>
      <c r="GEI24" s="720"/>
      <c r="GEJ24" s="720"/>
      <c r="GEK24" s="720"/>
      <c r="GEL24" s="720"/>
      <c r="GEM24" s="720"/>
      <c r="GEN24" s="720"/>
      <c r="GEO24" s="720"/>
      <c r="GEP24" s="720"/>
      <c r="GEQ24" s="720"/>
      <c r="GER24" s="720"/>
      <c r="GES24" s="720"/>
      <c r="GET24" s="720"/>
      <c r="GEU24" s="720"/>
      <c r="GEV24" s="720"/>
      <c r="GEW24" s="720"/>
      <c r="GEX24" s="720"/>
      <c r="GEY24" s="720"/>
      <c r="GEZ24" s="720"/>
      <c r="GFA24" s="720"/>
      <c r="GFB24" s="720"/>
      <c r="GFC24" s="720"/>
      <c r="GFD24" s="720"/>
      <c r="GFE24" s="720"/>
      <c r="GFF24" s="720"/>
      <c r="GFG24" s="720"/>
      <c r="GFH24" s="720"/>
      <c r="GFI24" s="720"/>
      <c r="GFJ24" s="720"/>
      <c r="GFK24" s="720"/>
      <c r="GFL24" s="720"/>
      <c r="GFM24" s="720"/>
      <c r="GFN24" s="720"/>
      <c r="GFO24" s="720"/>
      <c r="GFP24" s="720"/>
      <c r="GFQ24" s="720"/>
      <c r="GFR24" s="720"/>
      <c r="GFS24" s="720"/>
      <c r="GFT24" s="720"/>
      <c r="GFU24" s="720"/>
      <c r="GFV24" s="720"/>
      <c r="GFW24" s="720"/>
      <c r="GFX24" s="720"/>
      <c r="GFY24" s="720"/>
      <c r="GFZ24" s="720"/>
      <c r="GGA24" s="720"/>
      <c r="GGB24" s="720"/>
      <c r="GGC24" s="720"/>
      <c r="GGD24" s="720"/>
      <c r="GGE24" s="720"/>
      <c r="GGF24" s="720"/>
      <c r="GGG24" s="720"/>
      <c r="GGH24" s="720"/>
      <c r="GGI24" s="720"/>
      <c r="GGJ24" s="720"/>
      <c r="GGK24" s="720"/>
      <c r="GGL24" s="720"/>
      <c r="GGM24" s="720"/>
      <c r="GGN24" s="720"/>
      <c r="GGO24" s="720"/>
      <c r="GGP24" s="720"/>
      <c r="GGQ24" s="720"/>
      <c r="GGR24" s="720"/>
      <c r="GGS24" s="720"/>
      <c r="GGT24" s="720"/>
      <c r="GGU24" s="720"/>
      <c r="GGV24" s="720"/>
      <c r="GGW24" s="720"/>
      <c r="GGX24" s="720"/>
      <c r="GGY24" s="720"/>
      <c r="GGZ24" s="720"/>
      <c r="GHA24" s="720"/>
      <c r="GHB24" s="720"/>
      <c r="GHC24" s="720"/>
      <c r="GHD24" s="720"/>
      <c r="GHE24" s="720"/>
      <c r="GHF24" s="720"/>
      <c r="GHG24" s="720"/>
      <c r="GHH24" s="720"/>
      <c r="GHI24" s="720"/>
      <c r="GHJ24" s="720"/>
      <c r="GHK24" s="720"/>
      <c r="GHL24" s="720"/>
      <c r="GHM24" s="720"/>
      <c r="GHN24" s="720"/>
      <c r="GHO24" s="720"/>
      <c r="GHP24" s="720"/>
      <c r="GHQ24" s="720"/>
      <c r="GHR24" s="720"/>
      <c r="GHS24" s="720"/>
      <c r="GHT24" s="720"/>
      <c r="GHU24" s="720"/>
      <c r="GHV24" s="720"/>
      <c r="GHW24" s="720"/>
      <c r="GHX24" s="720"/>
      <c r="GHY24" s="720"/>
      <c r="GHZ24" s="720"/>
      <c r="GIA24" s="720"/>
      <c r="GIB24" s="720"/>
      <c r="GIC24" s="720"/>
      <c r="GID24" s="720"/>
      <c r="GIE24" s="720"/>
      <c r="GIF24" s="720"/>
      <c r="GIG24" s="720"/>
      <c r="GIH24" s="720"/>
      <c r="GII24" s="720"/>
      <c r="GIJ24" s="720"/>
      <c r="GIK24" s="720"/>
      <c r="GIL24" s="720"/>
      <c r="GIM24" s="720"/>
      <c r="GIN24" s="720"/>
      <c r="GIO24" s="720"/>
      <c r="GIP24" s="720"/>
      <c r="GIQ24" s="720"/>
      <c r="GIR24" s="720"/>
      <c r="GIS24" s="720"/>
      <c r="GIT24" s="720"/>
      <c r="GIU24" s="720"/>
      <c r="GIV24" s="720"/>
      <c r="GIW24" s="720"/>
      <c r="GIX24" s="720"/>
      <c r="GIY24" s="720"/>
      <c r="GIZ24" s="720"/>
      <c r="GJA24" s="720"/>
      <c r="GJB24" s="720"/>
      <c r="GJC24" s="720"/>
      <c r="GJD24" s="720"/>
      <c r="GJE24" s="720"/>
      <c r="GJF24" s="720"/>
      <c r="GJG24" s="720"/>
      <c r="GJH24" s="720"/>
      <c r="GJI24" s="720"/>
      <c r="GJJ24" s="720"/>
      <c r="GJK24" s="720"/>
      <c r="GJL24" s="720"/>
      <c r="GJM24" s="720"/>
      <c r="GJN24" s="720"/>
      <c r="GJO24" s="720"/>
      <c r="GJP24" s="720"/>
      <c r="GJQ24" s="720"/>
      <c r="GJR24" s="720"/>
      <c r="GJS24" s="720"/>
      <c r="GJT24" s="720"/>
      <c r="GJU24" s="720"/>
      <c r="GJV24" s="720"/>
      <c r="GJW24" s="720"/>
      <c r="GJX24" s="720"/>
      <c r="GJY24" s="720"/>
      <c r="GJZ24" s="720"/>
      <c r="GKA24" s="720"/>
      <c r="GKB24" s="720"/>
      <c r="GKC24" s="720"/>
      <c r="GKD24" s="720"/>
      <c r="GKE24" s="720"/>
      <c r="GKF24" s="720"/>
      <c r="GKG24" s="720"/>
      <c r="GKH24" s="720"/>
      <c r="GKI24" s="720"/>
      <c r="GKJ24" s="720"/>
      <c r="GKK24" s="720"/>
      <c r="GKL24" s="720"/>
      <c r="GKM24" s="720"/>
      <c r="GKN24" s="720"/>
      <c r="GKO24" s="720"/>
      <c r="GKP24" s="720"/>
      <c r="GKQ24" s="720"/>
      <c r="GKR24" s="720"/>
      <c r="GKS24" s="720"/>
      <c r="GKT24" s="720"/>
      <c r="GKU24" s="720"/>
      <c r="GKV24" s="720"/>
      <c r="GKW24" s="720"/>
      <c r="GKX24" s="720"/>
      <c r="GKY24" s="720"/>
      <c r="GKZ24" s="720"/>
      <c r="GLA24" s="720"/>
      <c r="GLB24" s="720"/>
      <c r="GLC24" s="720"/>
      <c r="GLD24" s="720"/>
      <c r="GLE24" s="720"/>
      <c r="GLF24" s="720"/>
      <c r="GLG24" s="720"/>
      <c r="GLH24" s="720"/>
      <c r="GLI24" s="720"/>
      <c r="GLJ24" s="720"/>
      <c r="GLK24" s="720"/>
      <c r="GLL24" s="720"/>
      <c r="GLM24" s="720"/>
      <c r="GLN24" s="720"/>
      <c r="GLO24" s="720"/>
      <c r="GLP24" s="720"/>
      <c r="GLQ24" s="720"/>
      <c r="GLR24" s="720"/>
      <c r="GLS24" s="720"/>
      <c r="GLT24" s="720"/>
      <c r="GLU24" s="720"/>
      <c r="GLV24" s="720"/>
      <c r="GLW24" s="720"/>
      <c r="GLX24" s="720"/>
      <c r="GLY24" s="720"/>
      <c r="GLZ24" s="720"/>
      <c r="GMA24" s="720"/>
      <c r="GMB24" s="720"/>
      <c r="GMC24" s="720"/>
      <c r="GMD24" s="720"/>
      <c r="GME24" s="720"/>
      <c r="GMF24" s="720"/>
      <c r="GMG24" s="720"/>
      <c r="GMH24" s="720"/>
      <c r="GMI24" s="720"/>
      <c r="GMJ24" s="720"/>
      <c r="GMK24" s="720"/>
      <c r="GML24" s="720"/>
      <c r="GMM24" s="720"/>
      <c r="GMN24" s="720"/>
      <c r="GMO24" s="720"/>
      <c r="GMP24" s="720"/>
      <c r="GMQ24" s="720"/>
      <c r="GMR24" s="720"/>
      <c r="GMS24" s="720"/>
      <c r="GMT24" s="720"/>
      <c r="GMU24" s="720"/>
      <c r="GMV24" s="720"/>
      <c r="GMW24" s="720"/>
      <c r="GMX24" s="720"/>
      <c r="GMY24" s="720"/>
      <c r="GMZ24" s="720"/>
      <c r="GNA24" s="720"/>
      <c r="GNB24" s="720"/>
      <c r="GNC24" s="720"/>
      <c r="GND24" s="720"/>
      <c r="GNE24" s="720"/>
      <c r="GNF24" s="720"/>
      <c r="GNG24" s="720"/>
      <c r="GNH24" s="720"/>
      <c r="GNI24" s="720"/>
      <c r="GNJ24" s="720"/>
      <c r="GNK24" s="720"/>
      <c r="GNL24" s="720"/>
      <c r="GNM24" s="720"/>
      <c r="GNN24" s="720"/>
      <c r="GNO24" s="720"/>
      <c r="GNP24" s="720"/>
      <c r="GNQ24" s="720"/>
      <c r="GNR24" s="720"/>
      <c r="GNS24" s="720"/>
      <c r="GNT24" s="720"/>
      <c r="GNU24" s="720"/>
      <c r="GNV24" s="720"/>
      <c r="GNW24" s="720"/>
      <c r="GNX24" s="720"/>
      <c r="GNY24" s="720"/>
      <c r="GNZ24" s="720"/>
      <c r="GOA24" s="720"/>
      <c r="GOB24" s="720"/>
      <c r="GOC24" s="720"/>
      <c r="GOD24" s="720"/>
      <c r="GOE24" s="720"/>
      <c r="GOF24" s="720"/>
      <c r="GOG24" s="720"/>
      <c r="GOH24" s="720"/>
      <c r="GOI24" s="720"/>
      <c r="GOJ24" s="720"/>
      <c r="GOK24" s="720"/>
      <c r="GOL24" s="720"/>
      <c r="GOM24" s="720"/>
      <c r="GON24" s="720"/>
      <c r="GOO24" s="720"/>
      <c r="GOP24" s="720"/>
      <c r="GOQ24" s="720"/>
      <c r="GOR24" s="720"/>
      <c r="GOS24" s="720"/>
      <c r="GOT24" s="720"/>
      <c r="GOU24" s="720"/>
      <c r="GOV24" s="720"/>
      <c r="GOW24" s="720"/>
      <c r="GOX24" s="720"/>
      <c r="GOY24" s="720"/>
      <c r="GOZ24" s="720"/>
      <c r="GPA24" s="720"/>
      <c r="GPB24" s="720"/>
      <c r="GPC24" s="720"/>
      <c r="GPD24" s="720"/>
      <c r="GPE24" s="720"/>
      <c r="GPF24" s="720"/>
      <c r="GPG24" s="720"/>
      <c r="GPH24" s="720"/>
      <c r="GPI24" s="720"/>
      <c r="GPJ24" s="720"/>
      <c r="GPK24" s="720"/>
      <c r="GPL24" s="720"/>
      <c r="GPM24" s="720"/>
      <c r="GPN24" s="720"/>
      <c r="GPO24" s="720"/>
      <c r="GPP24" s="720"/>
      <c r="GPQ24" s="720"/>
      <c r="GPR24" s="720"/>
      <c r="GPS24" s="720"/>
      <c r="GPT24" s="720"/>
      <c r="GPU24" s="720"/>
      <c r="GPV24" s="720"/>
      <c r="GPW24" s="720"/>
      <c r="GPX24" s="720"/>
      <c r="GPY24" s="720"/>
      <c r="GPZ24" s="720"/>
      <c r="GQA24" s="720"/>
      <c r="GQB24" s="720"/>
      <c r="GQC24" s="720"/>
      <c r="GQD24" s="720"/>
      <c r="GQE24" s="720"/>
      <c r="GQF24" s="720"/>
      <c r="GQG24" s="720"/>
      <c r="GQH24" s="720"/>
      <c r="GQI24" s="720"/>
      <c r="GQJ24" s="720"/>
      <c r="GQK24" s="720"/>
      <c r="GQL24" s="720"/>
      <c r="GQM24" s="720"/>
      <c r="GQN24" s="720"/>
      <c r="GQO24" s="720"/>
      <c r="GQP24" s="720"/>
      <c r="GQQ24" s="720"/>
      <c r="GQR24" s="720"/>
      <c r="GQS24" s="720"/>
      <c r="GQT24" s="720"/>
      <c r="GQU24" s="720"/>
      <c r="GQV24" s="720"/>
      <c r="GQW24" s="720"/>
      <c r="GQX24" s="720"/>
      <c r="GQY24" s="720"/>
      <c r="GQZ24" s="720"/>
      <c r="GRA24" s="720"/>
      <c r="GRB24" s="720"/>
      <c r="GRC24" s="720"/>
      <c r="GRD24" s="720"/>
      <c r="GRE24" s="720"/>
      <c r="GRF24" s="720"/>
      <c r="GRG24" s="720"/>
      <c r="GRH24" s="720"/>
      <c r="GRI24" s="720"/>
      <c r="GRJ24" s="720"/>
      <c r="GRK24" s="720"/>
      <c r="GRL24" s="720"/>
      <c r="GRM24" s="720"/>
      <c r="GRN24" s="720"/>
      <c r="GRO24" s="720"/>
      <c r="GRP24" s="720"/>
      <c r="GRQ24" s="720"/>
      <c r="GRR24" s="720"/>
      <c r="GRS24" s="720"/>
      <c r="GRT24" s="720"/>
      <c r="GRU24" s="720"/>
      <c r="GRV24" s="720"/>
      <c r="GRW24" s="720"/>
      <c r="GRX24" s="720"/>
      <c r="GRY24" s="720"/>
      <c r="GRZ24" s="720"/>
      <c r="GSA24" s="720"/>
      <c r="GSB24" s="720"/>
      <c r="GSC24" s="720"/>
      <c r="GSD24" s="720"/>
      <c r="GSE24" s="720"/>
      <c r="GSF24" s="720"/>
      <c r="GSG24" s="720"/>
      <c r="GSH24" s="720"/>
      <c r="GSI24" s="720"/>
      <c r="GSJ24" s="720"/>
      <c r="GSK24" s="720"/>
      <c r="GSL24" s="720"/>
      <c r="GSM24" s="720"/>
      <c r="GSN24" s="720"/>
      <c r="GSO24" s="720"/>
      <c r="GSP24" s="720"/>
      <c r="GSQ24" s="720"/>
      <c r="GSR24" s="720"/>
      <c r="GSS24" s="720"/>
      <c r="GST24" s="720"/>
      <c r="GSU24" s="720"/>
      <c r="GSV24" s="720"/>
      <c r="GSW24" s="720"/>
      <c r="GSX24" s="720"/>
      <c r="GSY24" s="720"/>
      <c r="GSZ24" s="720"/>
      <c r="GTA24" s="720"/>
      <c r="GTB24" s="720"/>
      <c r="GTC24" s="720"/>
      <c r="GTD24" s="720"/>
      <c r="GTE24" s="720"/>
      <c r="GTF24" s="720"/>
      <c r="GTG24" s="720"/>
      <c r="GTH24" s="720"/>
      <c r="GTI24" s="720"/>
      <c r="GTJ24" s="720"/>
      <c r="GTK24" s="720"/>
      <c r="GTL24" s="720"/>
      <c r="GTM24" s="720"/>
      <c r="GTN24" s="720"/>
      <c r="GTO24" s="720"/>
      <c r="GTP24" s="720"/>
      <c r="GTQ24" s="720"/>
      <c r="GTR24" s="720"/>
      <c r="GTS24" s="720"/>
      <c r="GTT24" s="720"/>
      <c r="GTU24" s="720"/>
      <c r="GTV24" s="720"/>
      <c r="GTW24" s="720"/>
      <c r="GTX24" s="720"/>
      <c r="GTY24" s="720"/>
      <c r="GTZ24" s="720"/>
      <c r="GUA24" s="720"/>
      <c r="GUB24" s="720"/>
      <c r="GUC24" s="720"/>
      <c r="GUD24" s="720"/>
      <c r="GUE24" s="720"/>
      <c r="GUF24" s="720"/>
      <c r="GUG24" s="720"/>
      <c r="GUH24" s="720"/>
      <c r="GUI24" s="720"/>
      <c r="GUJ24" s="720"/>
      <c r="GUK24" s="720"/>
      <c r="GUL24" s="720"/>
      <c r="GUM24" s="720"/>
      <c r="GUN24" s="720"/>
      <c r="GUO24" s="720"/>
      <c r="GUP24" s="720"/>
      <c r="GUQ24" s="720"/>
      <c r="GUR24" s="720"/>
      <c r="GUS24" s="720"/>
      <c r="GUT24" s="720"/>
      <c r="GUU24" s="720"/>
      <c r="GUV24" s="720"/>
      <c r="GUW24" s="720"/>
      <c r="GUX24" s="720"/>
      <c r="GUY24" s="720"/>
      <c r="GUZ24" s="720"/>
      <c r="GVA24" s="720"/>
      <c r="GVB24" s="720"/>
      <c r="GVC24" s="720"/>
      <c r="GVD24" s="720"/>
      <c r="GVE24" s="720"/>
      <c r="GVF24" s="720"/>
      <c r="GVG24" s="720"/>
      <c r="GVH24" s="720"/>
      <c r="GVI24" s="720"/>
      <c r="GVJ24" s="720"/>
      <c r="GVK24" s="720"/>
      <c r="GVL24" s="720"/>
      <c r="GVM24" s="720"/>
      <c r="GVN24" s="720"/>
      <c r="GVO24" s="720"/>
      <c r="GVP24" s="720"/>
      <c r="GVQ24" s="720"/>
      <c r="GVR24" s="720"/>
      <c r="GVS24" s="720"/>
      <c r="GVT24" s="720"/>
      <c r="GVU24" s="720"/>
      <c r="GVV24" s="720"/>
      <c r="GVW24" s="720"/>
      <c r="GVX24" s="720"/>
      <c r="GVY24" s="720"/>
      <c r="GVZ24" s="720"/>
      <c r="GWA24" s="720"/>
      <c r="GWB24" s="720"/>
      <c r="GWC24" s="720"/>
      <c r="GWD24" s="720"/>
      <c r="GWE24" s="720"/>
      <c r="GWF24" s="720"/>
      <c r="GWG24" s="720"/>
      <c r="GWH24" s="720"/>
      <c r="GWI24" s="720"/>
      <c r="GWJ24" s="720"/>
      <c r="GWK24" s="720"/>
      <c r="GWL24" s="720"/>
      <c r="GWM24" s="720"/>
      <c r="GWN24" s="720"/>
      <c r="GWO24" s="720"/>
      <c r="GWP24" s="720"/>
      <c r="GWQ24" s="720"/>
      <c r="GWR24" s="720"/>
      <c r="GWS24" s="720"/>
      <c r="GWT24" s="720"/>
      <c r="GWU24" s="720"/>
      <c r="GWV24" s="720"/>
      <c r="GWW24" s="720"/>
      <c r="GWX24" s="720"/>
      <c r="GWY24" s="720"/>
      <c r="GWZ24" s="720"/>
      <c r="GXA24" s="720"/>
      <c r="GXB24" s="720"/>
      <c r="GXC24" s="720"/>
      <c r="GXD24" s="720"/>
      <c r="GXE24" s="720"/>
      <c r="GXF24" s="720"/>
      <c r="GXG24" s="720"/>
      <c r="GXH24" s="720"/>
      <c r="GXI24" s="720"/>
      <c r="GXJ24" s="720"/>
      <c r="GXK24" s="720"/>
      <c r="GXL24" s="720"/>
      <c r="GXM24" s="720"/>
      <c r="GXN24" s="720"/>
      <c r="GXO24" s="720"/>
      <c r="GXP24" s="720"/>
      <c r="GXQ24" s="720"/>
      <c r="GXR24" s="720"/>
      <c r="GXS24" s="720"/>
      <c r="GXT24" s="720"/>
      <c r="GXU24" s="720"/>
      <c r="GXV24" s="720"/>
      <c r="GXW24" s="720"/>
      <c r="GXX24" s="720"/>
      <c r="GXY24" s="720"/>
      <c r="GXZ24" s="720"/>
      <c r="GYA24" s="720"/>
      <c r="GYB24" s="720"/>
      <c r="GYC24" s="720"/>
      <c r="GYD24" s="720"/>
      <c r="GYE24" s="720"/>
      <c r="GYF24" s="720"/>
      <c r="GYG24" s="720"/>
      <c r="GYH24" s="720"/>
      <c r="GYI24" s="720"/>
      <c r="GYJ24" s="720"/>
      <c r="GYK24" s="720"/>
      <c r="GYL24" s="720"/>
      <c r="GYM24" s="720"/>
      <c r="GYN24" s="720"/>
      <c r="GYO24" s="720"/>
      <c r="GYP24" s="720"/>
      <c r="GYQ24" s="720"/>
      <c r="GYR24" s="720"/>
      <c r="GYS24" s="720"/>
      <c r="GYT24" s="720"/>
      <c r="GYU24" s="720"/>
      <c r="GYV24" s="720"/>
      <c r="GYW24" s="720"/>
      <c r="GYX24" s="720"/>
      <c r="GYY24" s="720"/>
      <c r="GYZ24" s="720"/>
      <c r="GZA24" s="720"/>
      <c r="GZB24" s="720"/>
      <c r="GZC24" s="720"/>
      <c r="GZD24" s="720"/>
      <c r="GZE24" s="720"/>
      <c r="GZF24" s="720"/>
      <c r="GZG24" s="720"/>
      <c r="GZH24" s="720"/>
      <c r="GZI24" s="720"/>
      <c r="GZJ24" s="720"/>
      <c r="GZK24" s="720"/>
      <c r="GZL24" s="720"/>
      <c r="GZM24" s="720"/>
      <c r="GZN24" s="720"/>
      <c r="GZO24" s="720"/>
      <c r="GZP24" s="720"/>
      <c r="GZQ24" s="720"/>
      <c r="GZR24" s="720"/>
      <c r="GZS24" s="720"/>
      <c r="GZT24" s="720"/>
      <c r="GZU24" s="720"/>
      <c r="GZV24" s="720"/>
      <c r="GZW24" s="720"/>
      <c r="GZX24" s="720"/>
      <c r="GZY24" s="720"/>
      <c r="GZZ24" s="720"/>
      <c r="HAA24" s="720"/>
      <c r="HAB24" s="720"/>
      <c r="HAC24" s="720"/>
      <c r="HAD24" s="720"/>
      <c r="HAE24" s="720"/>
      <c r="HAF24" s="720"/>
      <c r="HAG24" s="720"/>
      <c r="HAH24" s="720"/>
      <c r="HAI24" s="720"/>
      <c r="HAJ24" s="720"/>
      <c r="HAK24" s="720"/>
      <c r="HAL24" s="720"/>
      <c r="HAM24" s="720"/>
      <c r="HAN24" s="720"/>
      <c r="HAO24" s="720"/>
      <c r="HAP24" s="720"/>
      <c r="HAQ24" s="720"/>
      <c r="HAR24" s="720"/>
      <c r="HAS24" s="720"/>
      <c r="HAT24" s="720"/>
      <c r="HAU24" s="720"/>
      <c r="HAV24" s="720"/>
      <c r="HAW24" s="720"/>
      <c r="HAX24" s="720"/>
      <c r="HAY24" s="720"/>
      <c r="HAZ24" s="720"/>
      <c r="HBA24" s="720"/>
      <c r="HBB24" s="720"/>
      <c r="HBC24" s="720"/>
      <c r="HBD24" s="720"/>
      <c r="HBE24" s="720"/>
      <c r="HBF24" s="720"/>
      <c r="HBG24" s="720"/>
      <c r="HBH24" s="720"/>
      <c r="HBI24" s="720"/>
      <c r="HBJ24" s="720"/>
      <c r="HBK24" s="720"/>
      <c r="HBL24" s="720"/>
      <c r="HBM24" s="720"/>
      <c r="HBN24" s="720"/>
      <c r="HBO24" s="720"/>
      <c r="HBP24" s="720"/>
      <c r="HBQ24" s="720"/>
      <c r="HBR24" s="720"/>
      <c r="HBS24" s="720"/>
      <c r="HBT24" s="720"/>
      <c r="HBU24" s="720"/>
      <c r="HBV24" s="720"/>
      <c r="HBW24" s="720"/>
      <c r="HBX24" s="720"/>
      <c r="HBY24" s="720"/>
      <c r="HBZ24" s="720"/>
      <c r="HCA24" s="720"/>
      <c r="HCB24" s="720"/>
      <c r="HCC24" s="720"/>
      <c r="HCD24" s="720"/>
      <c r="HCE24" s="720"/>
      <c r="HCF24" s="720"/>
      <c r="HCG24" s="720"/>
      <c r="HCH24" s="720"/>
      <c r="HCI24" s="720"/>
      <c r="HCJ24" s="720"/>
      <c r="HCK24" s="720"/>
      <c r="HCL24" s="720"/>
      <c r="HCM24" s="720"/>
      <c r="HCN24" s="720"/>
      <c r="HCO24" s="720"/>
      <c r="HCP24" s="720"/>
      <c r="HCQ24" s="720"/>
      <c r="HCR24" s="720"/>
      <c r="HCS24" s="720"/>
      <c r="HCT24" s="720"/>
      <c r="HCU24" s="720"/>
      <c r="HCV24" s="720"/>
      <c r="HCW24" s="720"/>
      <c r="HCX24" s="720"/>
      <c r="HCY24" s="720"/>
      <c r="HCZ24" s="720"/>
      <c r="HDA24" s="720"/>
      <c r="HDB24" s="720"/>
      <c r="HDC24" s="720"/>
      <c r="HDD24" s="720"/>
      <c r="HDE24" s="720"/>
      <c r="HDF24" s="720"/>
      <c r="HDG24" s="720"/>
      <c r="HDH24" s="720"/>
      <c r="HDI24" s="720"/>
      <c r="HDJ24" s="720"/>
      <c r="HDK24" s="720"/>
      <c r="HDL24" s="720"/>
      <c r="HDM24" s="720"/>
      <c r="HDN24" s="720"/>
      <c r="HDO24" s="720"/>
      <c r="HDP24" s="720"/>
      <c r="HDQ24" s="720"/>
      <c r="HDR24" s="720"/>
      <c r="HDS24" s="720"/>
      <c r="HDT24" s="720"/>
      <c r="HDU24" s="720"/>
      <c r="HDV24" s="720"/>
      <c r="HDW24" s="720"/>
      <c r="HDX24" s="720"/>
      <c r="HDY24" s="720"/>
      <c r="HDZ24" s="720"/>
      <c r="HEA24" s="720"/>
      <c r="HEB24" s="720"/>
      <c r="HEC24" s="720"/>
      <c r="HED24" s="720"/>
      <c r="HEE24" s="720"/>
      <c r="HEF24" s="720"/>
      <c r="HEG24" s="720"/>
      <c r="HEH24" s="720"/>
      <c r="HEI24" s="720"/>
      <c r="HEJ24" s="720"/>
      <c r="HEK24" s="720"/>
      <c r="HEL24" s="720"/>
      <c r="HEM24" s="720"/>
      <c r="HEN24" s="720"/>
      <c r="HEO24" s="720"/>
      <c r="HEP24" s="720"/>
      <c r="HEQ24" s="720"/>
      <c r="HER24" s="720"/>
      <c r="HES24" s="720"/>
      <c r="HET24" s="720"/>
      <c r="HEU24" s="720"/>
      <c r="HEV24" s="720"/>
      <c r="HEW24" s="720"/>
      <c r="HEX24" s="720"/>
      <c r="HEY24" s="720"/>
      <c r="HEZ24" s="720"/>
      <c r="HFA24" s="720"/>
      <c r="HFB24" s="720"/>
      <c r="HFC24" s="720"/>
      <c r="HFD24" s="720"/>
      <c r="HFE24" s="720"/>
      <c r="HFF24" s="720"/>
      <c r="HFG24" s="720"/>
      <c r="HFH24" s="720"/>
      <c r="HFI24" s="720"/>
      <c r="HFJ24" s="720"/>
      <c r="HFK24" s="720"/>
      <c r="HFL24" s="720"/>
      <c r="HFM24" s="720"/>
      <c r="HFN24" s="720"/>
      <c r="HFO24" s="720"/>
      <c r="HFP24" s="720"/>
      <c r="HFQ24" s="720"/>
      <c r="HFR24" s="720"/>
      <c r="HFS24" s="720"/>
      <c r="HFT24" s="720"/>
      <c r="HFU24" s="720"/>
      <c r="HFV24" s="720"/>
      <c r="HFW24" s="720"/>
      <c r="HFX24" s="720"/>
      <c r="HFY24" s="720"/>
      <c r="HFZ24" s="720"/>
      <c r="HGA24" s="720"/>
      <c r="HGB24" s="720"/>
      <c r="HGC24" s="720"/>
      <c r="HGD24" s="720"/>
      <c r="HGE24" s="720"/>
      <c r="HGF24" s="720"/>
      <c r="HGG24" s="720"/>
      <c r="HGH24" s="720"/>
      <c r="HGI24" s="720"/>
      <c r="HGJ24" s="720"/>
      <c r="HGK24" s="720"/>
      <c r="HGL24" s="720"/>
      <c r="HGM24" s="720"/>
      <c r="HGN24" s="720"/>
      <c r="HGO24" s="720"/>
      <c r="HGP24" s="720"/>
      <c r="HGQ24" s="720"/>
      <c r="HGR24" s="720"/>
      <c r="HGS24" s="720"/>
      <c r="HGT24" s="720"/>
      <c r="HGU24" s="720"/>
      <c r="HGV24" s="720"/>
      <c r="HGW24" s="720"/>
      <c r="HGX24" s="720"/>
      <c r="HGY24" s="720"/>
      <c r="HGZ24" s="720"/>
      <c r="HHA24" s="720"/>
      <c r="HHB24" s="720"/>
      <c r="HHC24" s="720"/>
      <c r="HHD24" s="720"/>
      <c r="HHE24" s="720"/>
      <c r="HHF24" s="720"/>
      <c r="HHG24" s="720"/>
      <c r="HHH24" s="720"/>
      <c r="HHI24" s="720"/>
      <c r="HHJ24" s="720"/>
      <c r="HHK24" s="720"/>
      <c r="HHL24" s="720"/>
      <c r="HHM24" s="720"/>
      <c r="HHN24" s="720"/>
      <c r="HHO24" s="720"/>
      <c r="HHP24" s="720"/>
      <c r="HHQ24" s="720"/>
      <c r="HHR24" s="720"/>
      <c r="HHS24" s="720"/>
      <c r="HHT24" s="720"/>
      <c r="HHU24" s="720"/>
      <c r="HHV24" s="720"/>
      <c r="HHW24" s="720"/>
      <c r="HHX24" s="720"/>
      <c r="HHY24" s="720"/>
      <c r="HHZ24" s="720"/>
      <c r="HIA24" s="720"/>
      <c r="HIB24" s="720"/>
      <c r="HIC24" s="720"/>
      <c r="HID24" s="720"/>
      <c r="HIE24" s="720"/>
      <c r="HIF24" s="720"/>
      <c r="HIG24" s="720"/>
      <c r="HIH24" s="720"/>
      <c r="HII24" s="720"/>
      <c r="HIJ24" s="720"/>
      <c r="HIK24" s="720"/>
      <c r="HIL24" s="720"/>
      <c r="HIM24" s="720"/>
      <c r="HIN24" s="720"/>
      <c r="HIO24" s="720"/>
      <c r="HIP24" s="720"/>
      <c r="HIQ24" s="720"/>
      <c r="HIR24" s="720"/>
      <c r="HIS24" s="720"/>
      <c r="HIT24" s="720"/>
      <c r="HIU24" s="720"/>
      <c r="HIV24" s="720"/>
      <c r="HIW24" s="720"/>
      <c r="HIX24" s="720"/>
      <c r="HIY24" s="720"/>
      <c r="HIZ24" s="720"/>
      <c r="HJA24" s="720"/>
      <c r="HJB24" s="720"/>
      <c r="HJC24" s="720"/>
      <c r="HJD24" s="720"/>
      <c r="HJE24" s="720"/>
      <c r="HJF24" s="720"/>
      <c r="HJG24" s="720"/>
      <c r="HJH24" s="720"/>
      <c r="HJI24" s="720"/>
      <c r="HJJ24" s="720"/>
      <c r="HJK24" s="720"/>
      <c r="HJL24" s="720"/>
      <c r="HJM24" s="720"/>
      <c r="HJN24" s="720"/>
      <c r="HJO24" s="720"/>
      <c r="HJP24" s="720"/>
      <c r="HJQ24" s="720"/>
      <c r="HJR24" s="720"/>
      <c r="HJS24" s="720"/>
      <c r="HJT24" s="720"/>
      <c r="HJU24" s="720"/>
      <c r="HJV24" s="720"/>
      <c r="HJW24" s="720"/>
      <c r="HJX24" s="720"/>
      <c r="HJY24" s="720"/>
      <c r="HJZ24" s="720"/>
      <c r="HKA24" s="720"/>
      <c r="HKB24" s="720"/>
      <c r="HKC24" s="720"/>
      <c r="HKD24" s="720"/>
      <c r="HKE24" s="720"/>
      <c r="HKF24" s="720"/>
      <c r="HKG24" s="720"/>
      <c r="HKH24" s="720"/>
      <c r="HKI24" s="720"/>
      <c r="HKJ24" s="720"/>
      <c r="HKK24" s="720"/>
      <c r="HKL24" s="720"/>
      <c r="HKM24" s="720"/>
      <c r="HKN24" s="720"/>
      <c r="HKO24" s="720"/>
      <c r="HKP24" s="720"/>
      <c r="HKQ24" s="720"/>
      <c r="HKR24" s="720"/>
      <c r="HKS24" s="720"/>
      <c r="HKT24" s="720"/>
      <c r="HKU24" s="720"/>
      <c r="HKV24" s="720"/>
      <c r="HKW24" s="720"/>
      <c r="HKX24" s="720"/>
      <c r="HKY24" s="720"/>
      <c r="HKZ24" s="720"/>
      <c r="HLA24" s="720"/>
      <c r="HLB24" s="720"/>
      <c r="HLC24" s="720"/>
      <c r="HLD24" s="720"/>
      <c r="HLE24" s="720"/>
      <c r="HLF24" s="720"/>
      <c r="HLG24" s="720"/>
      <c r="HLH24" s="720"/>
      <c r="HLI24" s="720"/>
      <c r="HLJ24" s="720"/>
      <c r="HLK24" s="720"/>
      <c r="HLL24" s="720"/>
      <c r="HLM24" s="720"/>
      <c r="HLN24" s="720"/>
      <c r="HLO24" s="720"/>
      <c r="HLP24" s="720"/>
      <c r="HLQ24" s="720"/>
      <c r="HLR24" s="720"/>
      <c r="HLS24" s="720"/>
      <c r="HLT24" s="720"/>
      <c r="HLU24" s="720"/>
      <c r="HLV24" s="720"/>
      <c r="HLW24" s="720"/>
      <c r="HLX24" s="720"/>
      <c r="HLY24" s="720"/>
      <c r="HLZ24" s="720"/>
      <c r="HMA24" s="720"/>
      <c r="HMB24" s="720"/>
      <c r="HMC24" s="720"/>
      <c r="HMD24" s="720"/>
      <c r="HME24" s="720"/>
      <c r="HMF24" s="720"/>
      <c r="HMG24" s="720"/>
      <c r="HMH24" s="720"/>
      <c r="HMI24" s="720"/>
      <c r="HMJ24" s="720"/>
      <c r="HMK24" s="720"/>
      <c r="HML24" s="720"/>
      <c r="HMM24" s="720"/>
      <c r="HMN24" s="720"/>
      <c r="HMO24" s="720"/>
      <c r="HMP24" s="720"/>
      <c r="HMQ24" s="720"/>
      <c r="HMR24" s="720"/>
      <c r="HMS24" s="720"/>
      <c r="HMT24" s="720"/>
      <c r="HMU24" s="720"/>
      <c r="HMV24" s="720"/>
      <c r="HMW24" s="720"/>
      <c r="HMX24" s="720"/>
      <c r="HMY24" s="720"/>
      <c r="HMZ24" s="720"/>
      <c r="HNA24" s="720"/>
      <c r="HNB24" s="720"/>
      <c r="HNC24" s="720"/>
      <c r="HND24" s="720"/>
      <c r="HNE24" s="720"/>
      <c r="HNF24" s="720"/>
      <c r="HNG24" s="720"/>
      <c r="HNH24" s="720"/>
      <c r="HNI24" s="720"/>
      <c r="HNJ24" s="720"/>
      <c r="HNK24" s="720"/>
      <c r="HNL24" s="720"/>
      <c r="HNM24" s="720"/>
      <c r="HNN24" s="720"/>
      <c r="HNO24" s="720"/>
      <c r="HNP24" s="720"/>
      <c r="HNQ24" s="720"/>
      <c r="HNR24" s="720"/>
      <c r="HNS24" s="720"/>
      <c r="HNT24" s="720"/>
      <c r="HNU24" s="720"/>
      <c r="HNV24" s="720"/>
      <c r="HNW24" s="720"/>
      <c r="HNX24" s="720"/>
      <c r="HNY24" s="720"/>
      <c r="HNZ24" s="720"/>
      <c r="HOA24" s="720"/>
      <c r="HOB24" s="720"/>
      <c r="HOC24" s="720"/>
      <c r="HOD24" s="720"/>
      <c r="HOE24" s="720"/>
      <c r="HOF24" s="720"/>
      <c r="HOG24" s="720"/>
      <c r="HOH24" s="720"/>
      <c r="HOI24" s="720"/>
      <c r="HOJ24" s="720"/>
      <c r="HOK24" s="720"/>
      <c r="HOL24" s="720"/>
      <c r="HOM24" s="720"/>
      <c r="HON24" s="720"/>
      <c r="HOO24" s="720"/>
      <c r="HOP24" s="720"/>
      <c r="HOQ24" s="720"/>
      <c r="HOR24" s="720"/>
      <c r="HOS24" s="720"/>
      <c r="HOT24" s="720"/>
      <c r="HOU24" s="720"/>
      <c r="HOV24" s="720"/>
      <c r="HOW24" s="720"/>
      <c r="HOX24" s="720"/>
      <c r="HOY24" s="720"/>
      <c r="HOZ24" s="720"/>
      <c r="HPA24" s="720"/>
      <c r="HPB24" s="720"/>
      <c r="HPC24" s="720"/>
      <c r="HPD24" s="720"/>
      <c r="HPE24" s="720"/>
      <c r="HPF24" s="720"/>
      <c r="HPG24" s="720"/>
      <c r="HPH24" s="720"/>
      <c r="HPI24" s="720"/>
      <c r="HPJ24" s="720"/>
      <c r="HPK24" s="720"/>
      <c r="HPL24" s="720"/>
      <c r="HPM24" s="720"/>
      <c r="HPN24" s="720"/>
      <c r="HPO24" s="720"/>
      <c r="HPP24" s="720"/>
      <c r="HPQ24" s="720"/>
      <c r="HPR24" s="720"/>
      <c r="HPS24" s="720"/>
      <c r="HPT24" s="720"/>
      <c r="HPU24" s="720"/>
      <c r="HPV24" s="720"/>
      <c r="HPW24" s="720"/>
      <c r="HPX24" s="720"/>
      <c r="HPY24" s="720"/>
      <c r="HPZ24" s="720"/>
      <c r="HQA24" s="720"/>
      <c r="HQB24" s="720"/>
      <c r="HQC24" s="720"/>
      <c r="HQD24" s="720"/>
      <c r="HQE24" s="720"/>
      <c r="HQF24" s="720"/>
      <c r="HQG24" s="720"/>
      <c r="HQH24" s="720"/>
      <c r="HQI24" s="720"/>
      <c r="HQJ24" s="720"/>
      <c r="HQK24" s="720"/>
      <c r="HQL24" s="720"/>
      <c r="HQM24" s="720"/>
      <c r="HQN24" s="720"/>
      <c r="HQO24" s="720"/>
      <c r="HQP24" s="720"/>
      <c r="HQQ24" s="720"/>
      <c r="HQR24" s="720"/>
      <c r="HQS24" s="720"/>
      <c r="HQT24" s="720"/>
      <c r="HQU24" s="720"/>
      <c r="HQV24" s="720"/>
      <c r="HQW24" s="720"/>
      <c r="HQX24" s="720"/>
      <c r="HQY24" s="720"/>
      <c r="HQZ24" s="720"/>
      <c r="HRA24" s="720"/>
      <c r="HRB24" s="720"/>
      <c r="HRC24" s="720"/>
      <c r="HRD24" s="720"/>
      <c r="HRE24" s="720"/>
      <c r="HRF24" s="720"/>
      <c r="HRG24" s="720"/>
      <c r="HRH24" s="720"/>
      <c r="HRI24" s="720"/>
      <c r="HRJ24" s="720"/>
      <c r="HRK24" s="720"/>
      <c r="HRL24" s="720"/>
      <c r="HRM24" s="720"/>
      <c r="HRN24" s="720"/>
      <c r="HRO24" s="720"/>
      <c r="HRP24" s="720"/>
      <c r="HRQ24" s="720"/>
      <c r="HRR24" s="720"/>
      <c r="HRS24" s="720"/>
      <c r="HRT24" s="720"/>
      <c r="HRU24" s="720"/>
      <c r="HRV24" s="720"/>
      <c r="HRW24" s="720"/>
      <c r="HRX24" s="720"/>
      <c r="HRY24" s="720"/>
      <c r="HRZ24" s="720"/>
      <c r="HSA24" s="720"/>
      <c r="HSB24" s="720"/>
      <c r="HSC24" s="720"/>
      <c r="HSD24" s="720"/>
      <c r="HSE24" s="720"/>
      <c r="HSF24" s="720"/>
      <c r="HSG24" s="720"/>
      <c r="HSH24" s="720"/>
      <c r="HSI24" s="720"/>
      <c r="HSJ24" s="720"/>
      <c r="HSK24" s="720"/>
      <c r="HSL24" s="720"/>
      <c r="HSM24" s="720"/>
      <c r="HSN24" s="720"/>
      <c r="HSO24" s="720"/>
      <c r="HSP24" s="720"/>
      <c r="HSQ24" s="720"/>
      <c r="HSR24" s="720"/>
      <c r="HSS24" s="720"/>
      <c r="HST24" s="720"/>
      <c r="HSU24" s="720"/>
      <c r="HSV24" s="720"/>
      <c r="HSW24" s="720"/>
      <c r="HSX24" s="720"/>
      <c r="HSY24" s="720"/>
      <c r="HSZ24" s="720"/>
      <c r="HTA24" s="720"/>
      <c r="HTB24" s="720"/>
      <c r="HTC24" s="720"/>
      <c r="HTD24" s="720"/>
      <c r="HTE24" s="720"/>
      <c r="HTF24" s="720"/>
      <c r="HTG24" s="720"/>
      <c r="HTH24" s="720"/>
      <c r="HTI24" s="720"/>
      <c r="HTJ24" s="720"/>
      <c r="HTK24" s="720"/>
      <c r="HTL24" s="720"/>
      <c r="HTM24" s="720"/>
      <c r="HTN24" s="720"/>
      <c r="HTO24" s="720"/>
      <c r="HTP24" s="720"/>
      <c r="HTQ24" s="720"/>
      <c r="HTR24" s="720"/>
      <c r="HTS24" s="720"/>
      <c r="HTT24" s="720"/>
      <c r="HTU24" s="720"/>
      <c r="HTV24" s="720"/>
      <c r="HTW24" s="720"/>
      <c r="HTX24" s="720"/>
      <c r="HTY24" s="720"/>
      <c r="HTZ24" s="720"/>
      <c r="HUA24" s="720"/>
      <c r="HUB24" s="720"/>
      <c r="HUC24" s="720"/>
      <c r="HUD24" s="720"/>
      <c r="HUE24" s="720"/>
      <c r="HUF24" s="720"/>
      <c r="HUG24" s="720"/>
      <c r="HUH24" s="720"/>
      <c r="HUI24" s="720"/>
      <c r="HUJ24" s="720"/>
      <c r="HUK24" s="720"/>
      <c r="HUL24" s="720"/>
      <c r="HUM24" s="720"/>
      <c r="HUN24" s="720"/>
      <c r="HUO24" s="720"/>
      <c r="HUP24" s="720"/>
      <c r="HUQ24" s="720"/>
      <c r="HUR24" s="720"/>
      <c r="HUS24" s="720"/>
      <c r="HUT24" s="720"/>
      <c r="HUU24" s="720"/>
      <c r="HUV24" s="720"/>
      <c r="HUW24" s="720"/>
      <c r="HUX24" s="720"/>
      <c r="HUY24" s="720"/>
      <c r="HUZ24" s="720"/>
      <c r="HVA24" s="720"/>
      <c r="HVB24" s="720"/>
      <c r="HVC24" s="720"/>
      <c r="HVD24" s="720"/>
      <c r="HVE24" s="720"/>
      <c r="HVF24" s="720"/>
      <c r="HVG24" s="720"/>
      <c r="HVH24" s="720"/>
      <c r="HVI24" s="720"/>
      <c r="HVJ24" s="720"/>
      <c r="HVK24" s="720"/>
      <c r="HVL24" s="720"/>
      <c r="HVM24" s="720"/>
      <c r="HVN24" s="720"/>
      <c r="HVO24" s="720"/>
      <c r="HVP24" s="720"/>
      <c r="HVQ24" s="720"/>
      <c r="HVR24" s="720"/>
      <c r="HVS24" s="720"/>
      <c r="HVT24" s="720"/>
      <c r="HVU24" s="720"/>
      <c r="HVV24" s="720"/>
      <c r="HVW24" s="720"/>
      <c r="HVX24" s="720"/>
      <c r="HVY24" s="720"/>
      <c r="HVZ24" s="720"/>
      <c r="HWA24" s="720"/>
      <c r="HWB24" s="720"/>
      <c r="HWC24" s="720"/>
      <c r="HWD24" s="720"/>
      <c r="HWE24" s="720"/>
      <c r="HWF24" s="720"/>
      <c r="HWG24" s="720"/>
      <c r="HWH24" s="720"/>
      <c r="HWI24" s="720"/>
      <c r="HWJ24" s="720"/>
      <c r="HWK24" s="720"/>
      <c r="HWL24" s="720"/>
      <c r="HWM24" s="720"/>
      <c r="HWN24" s="720"/>
      <c r="HWO24" s="720"/>
      <c r="HWP24" s="720"/>
      <c r="HWQ24" s="720"/>
      <c r="HWR24" s="720"/>
      <c r="HWS24" s="720"/>
      <c r="HWT24" s="720"/>
      <c r="HWU24" s="720"/>
      <c r="HWV24" s="720"/>
      <c r="HWW24" s="720"/>
      <c r="HWX24" s="720"/>
      <c r="HWY24" s="720"/>
      <c r="HWZ24" s="720"/>
      <c r="HXA24" s="720"/>
      <c r="HXB24" s="720"/>
      <c r="HXC24" s="720"/>
      <c r="HXD24" s="720"/>
      <c r="HXE24" s="720"/>
      <c r="HXF24" s="720"/>
      <c r="HXG24" s="720"/>
      <c r="HXH24" s="720"/>
      <c r="HXI24" s="720"/>
      <c r="HXJ24" s="720"/>
      <c r="HXK24" s="720"/>
      <c r="HXL24" s="720"/>
      <c r="HXM24" s="720"/>
      <c r="HXN24" s="720"/>
      <c r="HXO24" s="720"/>
      <c r="HXP24" s="720"/>
      <c r="HXQ24" s="720"/>
      <c r="HXR24" s="720"/>
      <c r="HXS24" s="720"/>
      <c r="HXT24" s="720"/>
      <c r="HXU24" s="720"/>
      <c r="HXV24" s="720"/>
      <c r="HXW24" s="720"/>
      <c r="HXX24" s="720"/>
      <c r="HXY24" s="720"/>
      <c r="HXZ24" s="720"/>
      <c r="HYA24" s="720"/>
      <c r="HYB24" s="720"/>
      <c r="HYC24" s="720"/>
      <c r="HYD24" s="720"/>
      <c r="HYE24" s="720"/>
      <c r="HYF24" s="720"/>
      <c r="HYG24" s="720"/>
      <c r="HYH24" s="720"/>
      <c r="HYI24" s="720"/>
      <c r="HYJ24" s="720"/>
      <c r="HYK24" s="720"/>
      <c r="HYL24" s="720"/>
      <c r="HYM24" s="720"/>
      <c r="HYN24" s="720"/>
      <c r="HYO24" s="720"/>
      <c r="HYP24" s="720"/>
      <c r="HYQ24" s="720"/>
      <c r="HYR24" s="720"/>
      <c r="HYS24" s="720"/>
      <c r="HYT24" s="720"/>
      <c r="HYU24" s="720"/>
      <c r="HYV24" s="720"/>
      <c r="HYW24" s="720"/>
      <c r="HYX24" s="720"/>
      <c r="HYY24" s="720"/>
      <c r="HYZ24" s="720"/>
      <c r="HZA24" s="720"/>
      <c r="HZB24" s="720"/>
      <c r="HZC24" s="720"/>
      <c r="HZD24" s="720"/>
      <c r="HZE24" s="720"/>
      <c r="HZF24" s="720"/>
      <c r="HZG24" s="720"/>
      <c r="HZH24" s="720"/>
      <c r="HZI24" s="720"/>
      <c r="HZJ24" s="720"/>
      <c r="HZK24" s="720"/>
      <c r="HZL24" s="720"/>
      <c r="HZM24" s="720"/>
      <c r="HZN24" s="720"/>
      <c r="HZO24" s="720"/>
      <c r="HZP24" s="720"/>
      <c r="HZQ24" s="720"/>
      <c r="HZR24" s="720"/>
      <c r="HZS24" s="720"/>
      <c r="HZT24" s="720"/>
      <c r="HZU24" s="720"/>
      <c r="HZV24" s="720"/>
      <c r="HZW24" s="720"/>
      <c r="HZX24" s="720"/>
      <c r="HZY24" s="720"/>
      <c r="HZZ24" s="720"/>
      <c r="IAA24" s="720"/>
      <c r="IAB24" s="720"/>
      <c r="IAC24" s="720"/>
      <c r="IAD24" s="720"/>
      <c r="IAE24" s="720"/>
      <c r="IAF24" s="720"/>
      <c r="IAG24" s="720"/>
      <c r="IAH24" s="720"/>
      <c r="IAI24" s="720"/>
      <c r="IAJ24" s="720"/>
      <c r="IAK24" s="720"/>
      <c r="IAL24" s="720"/>
      <c r="IAM24" s="720"/>
      <c r="IAN24" s="720"/>
      <c r="IAO24" s="720"/>
      <c r="IAP24" s="720"/>
      <c r="IAQ24" s="720"/>
      <c r="IAR24" s="720"/>
      <c r="IAS24" s="720"/>
      <c r="IAT24" s="720"/>
      <c r="IAU24" s="720"/>
      <c r="IAV24" s="720"/>
      <c r="IAW24" s="720"/>
      <c r="IAX24" s="720"/>
      <c r="IAY24" s="720"/>
      <c r="IAZ24" s="720"/>
      <c r="IBA24" s="720"/>
      <c r="IBB24" s="720"/>
      <c r="IBC24" s="720"/>
      <c r="IBD24" s="720"/>
      <c r="IBE24" s="720"/>
      <c r="IBF24" s="720"/>
      <c r="IBG24" s="720"/>
      <c r="IBH24" s="720"/>
      <c r="IBI24" s="720"/>
      <c r="IBJ24" s="720"/>
      <c r="IBK24" s="720"/>
      <c r="IBL24" s="720"/>
      <c r="IBM24" s="720"/>
      <c r="IBN24" s="720"/>
      <c r="IBO24" s="720"/>
      <c r="IBP24" s="720"/>
      <c r="IBQ24" s="720"/>
      <c r="IBR24" s="720"/>
      <c r="IBS24" s="720"/>
      <c r="IBT24" s="720"/>
      <c r="IBU24" s="720"/>
      <c r="IBV24" s="720"/>
      <c r="IBW24" s="720"/>
      <c r="IBX24" s="720"/>
      <c r="IBY24" s="720"/>
      <c r="IBZ24" s="720"/>
      <c r="ICA24" s="720"/>
      <c r="ICB24" s="720"/>
      <c r="ICC24" s="720"/>
      <c r="ICD24" s="720"/>
      <c r="ICE24" s="720"/>
      <c r="ICF24" s="720"/>
      <c r="ICG24" s="720"/>
      <c r="ICH24" s="720"/>
      <c r="ICI24" s="720"/>
      <c r="ICJ24" s="720"/>
      <c r="ICK24" s="720"/>
      <c r="ICL24" s="720"/>
      <c r="ICM24" s="720"/>
      <c r="ICN24" s="720"/>
      <c r="ICO24" s="720"/>
      <c r="ICP24" s="720"/>
      <c r="ICQ24" s="720"/>
      <c r="ICR24" s="720"/>
      <c r="ICS24" s="720"/>
      <c r="ICT24" s="720"/>
      <c r="ICU24" s="720"/>
      <c r="ICV24" s="720"/>
      <c r="ICW24" s="720"/>
      <c r="ICX24" s="720"/>
      <c r="ICY24" s="720"/>
      <c r="ICZ24" s="720"/>
      <c r="IDA24" s="720"/>
      <c r="IDB24" s="720"/>
      <c r="IDC24" s="720"/>
      <c r="IDD24" s="720"/>
      <c r="IDE24" s="720"/>
      <c r="IDF24" s="720"/>
      <c r="IDG24" s="720"/>
      <c r="IDH24" s="720"/>
      <c r="IDI24" s="720"/>
      <c r="IDJ24" s="720"/>
      <c r="IDK24" s="720"/>
      <c r="IDL24" s="720"/>
      <c r="IDM24" s="720"/>
      <c r="IDN24" s="720"/>
      <c r="IDO24" s="720"/>
      <c r="IDP24" s="720"/>
      <c r="IDQ24" s="720"/>
      <c r="IDR24" s="720"/>
      <c r="IDS24" s="720"/>
      <c r="IDT24" s="720"/>
      <c r="IDU24" s="720"/>
      <c r="IDV24" s="720"/>
      <c r="IDW24" s="720"/>
      <c r="IDX24" s="720"/>
      <c r="IDY24" s="720"/>
      <c r="IDZ24" s="720"/>
      <c r="IEA24" s="720"/>
      <c r="IEB24" s="720"/>
      <c r="IEC24" s="720"/>
      <c r="IED24" s="720"/>
      <c r="IEE24" s="720"/>
      <c r="IEF24" s="720"/>
      <c r="IEG24" s="720"/>
      <c r="IEH24" s="720"/>
      <c r="IEI24" s="720"/>
      <c r="IEJ24" s="720"/>
      <c r="IEK24" s="720"/>
      <c r="IEL24" s="720"/>
      <c r="IEM24" s="720"/>
      <c r="IEN24" s="720"/>
      <c r="IEO24" s="720"/>
      <c r="IEP24" s="720"/>
      <c r="IEQ24" s="720"/>
      <c r="IER24" s="720"/>
      <c r="IES24" s="720"/>
      <c r="IET24" s="720"/>
      <c r="IEU24" s="720"/>
      <c r="IEV24" s="720"/>
      <c r="IEW24" s="720"/>
      <c r="IEX24" s="720"/>
      <c r="IEY24" s="720"/>
      <c r="IEZ24" s="720"/>
      <c r="IFA24" s="720"/>
      <c r="IFB24" s="720"/>
      <c r="IFC24" s="720"/>
      <c r="IFD24" s="720"/>
      <c r="IFE24" s="720"/>
      <c r="IFF24" s="720"/>
      <c r="IFG24" s="720"/>
      <c r="IFH24" s="720"/>
      <c r="IFI24" s="720"/>
      <c r="IFJ24" s="720"/>
      <c r="IFK24" s="720"/>
      <c r="IFL24" s="720"/>
      <c r="IFM24" s="720"/>
      <c r="IFN24" s="720"/>
      <c r="IFO24" s="720"/>
      <c r="IFP24" s="720"/>
      <c r="IFQ24" s="720"/>
      <c r="IFR24" s="720"/>
      <c r="IFS24" s="720"/>
      <c r="IFT24" s="720"/>
      <c r="IFU24" s="720"/>
      <c r="IFV24" s="720"/>
      <c r="IFW24" s="720"/>
      <c r="IFX24" s="720"/>
      <c r="IFY24" s="720"/>
      <c r="IFZ24" s="720"/>
      <c r="IGA24" s="720"/>
      <c r="IGB24" s="720"/>
      <c r="IGC24" s="720"/>
      <c r="IGD24" s="720"/>
      <c r="IGE24" s="720"/>
      <c r="IGF24" s="720"/>
      <c r="IGG24" s="720"/>
      <c r="IGH24" s="720"/>
      <c r="IGI24" s="720"/>
      <c r="IGJ24" s="720"/>
      <c r="IGK24" s="720"/>
      <c r="IGL24" s="720"/>
      <c r="IGM24" s="720"/>
      <c r="IGN24" s="720"/>
      <c r="IGO24" s="720"/>
      <c r="IGP24" s="720"/>
      <c r="IGQ24" s="720"/>
      <c r="IGR24" s="720"/>
      <c r="IGS24" s="720"/>
      <c r="IGT24" s="720"/>
      <c r="IGU24" s="720"/>
      <c r="IGV24" s="720"/>
      <c r="IGW24" s="720"/>
      <c r="IGX24" s="720"/>
      <c r="IGY24" s="720"/>
      <c r="IGZ24" s="720"/>
      <c r="IHA24" s="720"/>
      <c r="IHB24" s="720"/>
      <c r="IHC24" s="720"/>
      <c r="IHD24" s="720"/>
      <c r="IHE24" s="720"/>
      <c r="IHF24" s="720"/>
      <c r="IHG24" s="720"/>
      <c r="IHH24" s="720"/>
      <c r="IHI24" s="720"/>
      <c r="IHJ24" s="720"/>
      <c r="IHK24" s="720"/>
      <c r="IHL24" s="720"/>
      <c r="IHM24" s="720"/>
      <c r="IHN24" s="720"/>
      <c r="IHO24" s="720"/>
      <c r="IHP24" s="720"/>
      <c r="IHQ24" s="720"/>
      <c r="IHR24" s="720"/>
      <c r="IHS24" s="720"/>
      <c r="IHT24" s="720"/>
      <c r="IHU24" s="720"/>
      <c r="IHV24" s="720"/>
      <c r="IHW24" s="720"/>
      <c r="IHX24" s="720"/>
      <c r="IHY24" s="720"/>
      <c r="IHZ24" s="720"/>
      <c r="IIA24" s="720"/>
      <c r="IIB24" s="720"/>
      <c r="IIC24" s="720"/>
      <c r="IID24" s="720"/>
      <c r="IIE24" s="720"/>
      <c r="IIF24" s="720"/>
      <c r="IIG24" s="720"/>
      <c r="IIH24" s="720"/>
      <c r="III24" s="720"/>
      <c r="IIJ24" s="720"/>
      <c r="IIK24" s="720"/>
      <c r="IIL24" s="720"/>
      <c r="IIM24" s="720"/>
      <c r="IIN24" s="720"/>
      <c r="IIO24" s="720"/>
      <c r="IIP24" s="720"/>
      <c r="IIQ24" s="720"/>
      <c r="IIR24" s="720"/>
      <c r="IIS24" s="720"/>
      <c r="IIT24" s="720"/>
      <c r="IIU24" s="720"/>
      <c r="IIV24" s="720"/>
      <c r="IIW24" s="720"/>
      <c r="IIX24" s="720"/>
      <c r="IIY24" s="720"/>
      <c r="IIZ24" s="720"/>
      <c r="IJA24" s="720"/>
      <c r="IJB24" s="720"/>
      <c r="IJC24" s="720"/>
      <c r="IJD24" s="720"/>
      <c r="IJE24" s="720"/>
      <c r="IJF24" s="720"/>
      <c r="IJG24" s="720"/>
      <c r="IJH24" s="720"/>
      <c r="IJI24" s="720"/>
      <c r="IJJ24" s="720"/>
      <c r="IJK24" s="720"/>
      <c r="IJL24" s="720"/>
      <c r="IJM24" s="720"/>
      <c r="IJN24" s="720"/>
      <c r="IJO24" s="720"/>
      <c r="IJP24" s="720"/>
      <c r="IJQ24" s="720"/>
      <c r="IJR24" s="720"/>
      <c r="IJS24" s="720"/>
      <c r="IJT24" s="720"/>
      <c r="IJU24" s="720"/>
      <c r="IJV24" s="720"/>
      <c r="IJW24" s="720"/>
      <c r="IJX24" s="720"/>
      <c r="IJY24" s="720"/>
      <c r="IJZ24" s="720"/>
      <c r="IKA24" s="720"/>
      <c r="IKB24" s="720"/>
      <c r="IKC24" s="720"/>
      <c r="IKD24" s="720"/>
      <c r="IKE24" s="720"/>
      <c r="IKF24" s="720"/>
      <c r="IKG24" s="720"/>
      <c r="IKH24" s="720"/>
      <c r="IKI24" s="720"/>
      <c r="IKJ24" s="720"/>
      <c r="IKK24" s="720"/>
      <c r="IKL24" s="720"/>
      <c r="IKM24" s="720"/>
      <c r="IKN24" s="720"/>
      <c r="IKO24" s="720"/>
      <c r="IKP24" s="720"/>
      <c r="IKQ24" s="720"/>
      <c r="IKR24" s="720"/>
      <c r="IKS24" s="720"/>
      <c r="IKT24" s="720"/>
      <c r="IKU24" s="720"/>
      <c r="IKV24" s="720"/>
      <c r="IKW24" s="720"/>
      <c r="IKX24" s="720"/>
      <c r="IKY24" s="720"/>
      <c r="IKZ24" s="720"/>
      <c r="ILA24" s="720"/>
      <c r="ILB24" s="720"/>
      <c r="ILC24" s="720"/>
      <c r="ILD24" s="720"/>
      <c r="ILE24" s="720"/>
      <c r="ILF24" s="720"/>
      <c r="ILG24" s="720"/>
      <c r="ILH24" s="720"/>
      <c r="ILI24" s="720"/>
      <c r="ILJ24" s="720"/>
      <c r="ILK24" s="720"/>
      <c r="ILL24" s="720"/>
      <c r="ILM24" s="720"/>
      <c r="ILN24" s="720"/>
      <c r="ILO24" s="720"/>
      <c r="ILP24" s="720"/>
      <c r="ILQ24" s="720"/>
      <c r="ILR24" s="720"/>
      <c r="ILS24" s="720"/>
      <c r="ILT24" s="720"/>
      <c r="ILU24" s="720"/>
      <c r="ILV24" s="720"/>
      <c r="ILW24" s="720"/>
      <c r="ILX24" s="720"/>
      <c r="ILY24" s="720"/>
      <c r="ILZ24" s="720"/>
      <c r="IMA24" s="720"/>
      <c r="IMB24" s="720"/>
      <c r="IMC24" s="720"/>
      <c r="IMD24" s="720"/>
      <c r="IME24" s="720"/>
      <c r="IMF24" s="720"/>
      <c r="IMG24" s="720"/>
      <c r="IMH24" s="720"/>
      <c r="IMI24" s="720"/>
      <c r="IMJ24" s="720"/>
      <c r="IMK24" s="720"/>
      <c r="IML24" s="720"/>
      <c r="IMM24" s="720"/>
      <c r="IMN24" s="720"/>
      <c r="IMO24" s="720"/>
      <c r="IMP24" s="720"/>
      <c r="IMQ24" s="720"/>
      <c r="IMR24" s="720"/>
      <c r="IMS24" s="720"/>
      <c r="IMT24" s="720"/>
      <c r="IMU24" s="720"/>
      <c r="IMV24" s="720"/>
      <c r="IMW24" s="720"/>
      <c r="IMX24" s="720"/>
      <c r="IMY24" s="720"/>
      <c r="IMZ24" s="720"/>
      <c r="INA24" s="720"/>
      <c r="INB24" s="720"/>
      <c r="INC24" s="720"/>
      <c r="IND24" s="720"/>
      <c r="INE24" s="720"/>
      <c r="INF24" s="720"/>
      <c r="ING24" s="720"/>
      <c r="INH24" s="720"/>
      <c r="INI24" s="720"/>
      <c r="INJ24" s="720"/>
      <c r="INK24" s="720"/>
      <c r="INL24" s="720"/>
      <c r="INM24" s="720"/>
      <c r="INN24" s="720"/>
      <c r="INO24" s="720"/>
      <c r="INP24" s="720"/>
      <c r="INQ24" s="720"/>
      <c r="INR24" s="720"/>
      <c r="INS24" s="720"/>
      <c r="INT24" s="720"/>
      <c r="INU24" s="720"/>
      <c r="INV24" s="720"/>
      <c r="INW24" s="720"/>
      <c r="INX24" s="720"/>
      <c r="INY24" s="720"/>
      <c r="INZ24" s="720"/>
      <c r="IOA24" s="720"/>
      <c r="IOB24" s="720"/>
      <c r="IOC24" s="720"/>
      <c r="IOD24" s="720"/>
      <c r="IOE24" s="720"/>
      <c r="IOF24" s="720"/>
      <c r="IOG24" s="720"/>
      <c r="IOH24" s="720"/>
      <c r="IOI24" s="720"/>
      <c r="IOJ24" s="720"/>
      <c r="IOK24" s="720"/>
      <c r="IOL24" s="720"/>
      <c r="IOM24" s="720"/>
      <c r="ION24" s="720"/>
      <c r="IOO24" s="720"/>
      <c r="IOP24" s="720"/>
      <c r="IOQ24" s="720"/>
      <c r="IOR24" s="720"/>
      <c r="IOS24" s="720"/>
      <c r="IOT24" s="720"/>
      <c r="IOU24" s="720"/>
      <c r="IOV24" s="720"/>
      <c r="IOW24" s="720"/>
      <c r="IOX24" s="720"/>
      <c r="IOY24" s="720"/>
      <c r="IOZ24" s="720"/>
      <c r="IPA24" s="720"/>
      <c r="IPB24" s="720"/>
      <c r="IPC24" s="720"/>
      <c r="IPD24" s="720"/>
      <c r="IPE24" s="720"/>
      <c r="IPF24" s="720"/>
      <c r="IPG24" s="720"/>
      <c r="IPH24" s="720"/>
      <c r="IPI24" s="720"/>
      <c r="IPJ24" s="720"/>
      <c r="IPK24" s="720"/>
      <c r="IPL24" s="720"/>
      <c r="IPM24" s="720"/>
      <c r="IPN24" s="720"/>
      <c r="IPO24" s="720"/>
      <c r="IPP24" s="720"/>
      <c r="IPQ24" s="720"/>
      <c r="IPR24" s="720"/>
      <c r="IPS24" s="720"/>
      <c r="IPT24" s="720"/>
      <c r="IPU24" s="720"/>
      <c r="IPV24" s="720"/>
      <c r="IPW24" s="720"/>
      <c r="IPX24" s="720"/>
      <c r="IPY24" s="720"/>
      <c r="IPZ24" s="720"/>
      <c r="IQA24" s="720"/>
      <c r="IQB24" s="720"/>
      <c r="IQC24" s="720"/>
      <c r="IQD24" s="720"/>
      <c r="IQE24" s="720"/>
      <c r="IQF24" s="720"/>
      <c r="IQG24" s="720"/>
      <c r="IQH24" s="720"/>
      <c r="IQI24" s="720"/>
      <c r="IQJ24" s="720"/>
      <c r="IQK24" s="720"/>
      <c r="IQL24" s="720"/>
      <c r="IQM24" s="720"/>
      <c r="IQN24" s="720"/>
      <c r="IQO24" s="720"/>
      <c r="IQP24" s="720"/>
      <c r="IQQ24" s="720"/>
      <c r="IQR24" s="720"/>
      <c r="IQS24" s="720"/>
      <c r="IQT24" s="720"/>
      <c r="IQU24" s="720"/>
      <c r="IQV24" s="720"/>
      <c r="IQW24" s="720"/>
      <c r="IQX24" s="720"/>
      <c r="IQY24" s="720"/>
      <c r="IQZ24" s="720"/>
      <c r="IRA24" s="720"/>
      <c r="IRB24" s="720"/>
      <c r="IRC24" s="720"/>
      <c r="IRD24" s="720"/>
      <c r="IRE24" s="720"/>
      <c r="IRF24" s="720"/>
      <c r="IRG24" s="720"/>
      <c r="IRH24" s="720"/>
      <c r="IRI24" s="720"/>
      <c r="IRJ24" s="720"/>
      <c r="IRK24" s="720"/>
      <c r="IRL24" s="720"/>
      <c r="IRM24" s="720"/>
      <c r="IRN24" s="720"/>
      <c r="IRO24" s="720"/>
      <c r="IRP24" s="720"/>
      <c r="IRQ24" s="720"/>
      <c r="IRR24" s="720"/>
      <c r="IRS24" s="720"/>
      <c r="IRT24" s="720"/>
      <c r="IRU24" s="720"/>
      <c r="IRV24" s="720"/>
      <c r="IRW24" s="720"/>
      <c r="IRX24" s="720"/>
      <c r="IRY24" s="720"/>
      <c r="IRZ24" s="720"/>
      <c r="ISA24" s="720"/>
      <c r="ISB24" s="720"/>
      <c r="ISC24" s="720"/>
      <c r="ISD24" s="720"/>
      <c r="ISE24" s="720"/>
      <c r="ISF24" s="720"/>
      <c r="ISG24" s="720"/>
      <c r="ISH24" s="720"/>
      <c r="ISI24" s="720"/>
      <c r="ISJ24" s="720"/>
      <c r="ISK24" s="720"/>
      <c r="ISL24" s="720"/>
      <c r="ISM24" s="720"/>
      <c r="ISN24" s="720"/>
      <c r="ISO24" s="720"/>
      <c r="ISP24" s="720"/>
      <c r="ISQ24" s="720"/>
      <c r="ISR24" s="720"/>
      <c r="ISS24" s="720"/>
      <c r="IST24" s="720"/>
      <c r="ISU24" s="720"/>
      <c r="ISV24" s="720"/>
      <c r="ISW24" s="720"/>
      <c r="ISX24" s="720"/>
      <c r="ISY24" s="720"/>
      <c r="ISZ24" s="720"/>
      <c r="ITA24" s="720"/>
      <c r="ITB24" s="720"/>
      <c r="ITC24" s="720"/>
      <c r="ITD24" s="720"/>
      <c r="ITE24" s="720"/>
      <c r="ITF24" s="720"/>
      <c r="ITG24" s="720"/>
      <c r="ITH24" s="720"/>
      <c r="ITI24" s="720"/>
      <c r="ITJ24" s="720"/>
      <c r="ITK24" s="720"/>
      <c r="ITL24" s="720"/>
      <c r="ITM24" s="720"/>
      <c r="ITN24" s="720"/>
      <c r="ITO24" s="720"/>
      <c r="ITP24" s="720"/>
      <c r="ITQ24" s="720"/>
      <c r="ITR24" s="720"/>
      <c r="ITS24" s="720"/>
      <c r="ITT24" s="720"/>
      <c r="ITU24" s="720"/>
      <c r="ITV24" s="720"/>
      <c r="ITW24" s="720"/>
      <c r="ITX24" s="720"/>
      <c r="ITY24" s="720"/>
      <c r="ITZ24" s="720"/>
      <c r="IUA24" s="720"/>
      <c r="IUB24" s="720"/>
      <c r="IUC24" s="720"/>
      <c r="IUD24" s="720"/>
      <c r="IUE24" s="720"/>
      <c r="IUF24" s="720"/>
      <c r="IUG24" s="720"/>
      <c r="IUH24" s="720"/>
      <c r="IUI24" s="720"/>
      <c r="IUJ24" s="720"/>
      <c r="IUK24" s="720"/>
      <c r="IUL24" s="720"/>
      <c r="IUM24" s="720"/>
      <c r="IUN24" s="720"/>
      <c r="IUO24" s="720"/>
      <c r="IUP24" s="720"/>
      <c r="IUQ24" s="720"/>
      <c r="IUR24" s="720"/>
      <c r="IUS24" s="720"/>
      <c r="IUT24" s="720"/>
      <c r="IUU24" s="720"/>
      <c r="IUV24" s="720"/>
      <c r="IUW24" s="720"/>
      <c r="IUX24" s="720"/>
      <c r="IUY24" s="720"/>
      <c r="IUZ24" s="720"/>
      <c r="IVA24" s="720"/>
      <c r="IVB24" s="720"/>
      <c r="IVC24" s="720"/>
      <c r="IVD24" s="720"/>
      <c r="IVE24" s="720"/>
      <c r="IVF24" s="720"/>
      <c r="IVG24" s="720"/>
      <c r="IVH24" s="720"/>
      <c r="IVI24" s="720"/>
      <c r="IVJ24" s="720"/>
      <c r="IVK24" s="720"/>
      <c r="IVL24" s="720"/>
      <c r="IVM24" s="720"/>
      <c r="IVN24" s="720"/>
      <c r="IVO24" s="720"/>
      <c r="IVP24" s="720"/>
      <c r="IVQ24" s="720"/>
      <c r="IVR24" s="720"/>
      <c r="IVS24" s="720"/>
      <c r="IVT24" s="720"/>
      <c r="IVU24" s="720"/>
      <c r="IVV24" s="720"/>
      <c r="IVW24" s="720"/>
      <c r="IVX24" s="720"/>
      <c r="IVY24" s="720"/>
      <c r="IVZ24" s="720"/>
      <c r="IWA24" s="720"/>
      <c r="IWB24" s="720"/>
      <c r="IWC24" s="720"/>
      <c r="IWD24" s="720"/>
      <c r="IWE24" s="720"/>
      <c r="IWF24" s="720"/>
      <c r="IWG24" s="720"/>
      <c r="IWH24" s="720"/>
      <c r="IWI24" s="720"/>
      <c r="IWJ24" s="720"/>
      <c r="IWK24" s="720"/>
      <c r="IWL24" s="720"/>
      <c r="IWM24" s="720"/>
      <c r="IWN24" s="720"/>
      <c r="IWO24" s="720"/>
      <c r="IWP24" s="720"/>
      <c r="IWQ24" s="720"/>
      <c r="IWR24" s="720"/>
      <c r="IWS24" s="720"/>
      <c r="IWT24" s="720"/>
      <c r="IWU24" s="720"/>
      <c r="IWV24" s="720"/>
      <c r="IWW24" s="720"/>
      <c r="IWX24" s="720"/>
      <c r="IWY24" s="720"/>
      <c r="IWZ24" s="720"/>
      <c r="IXA24" s="720"/>
      <c r="IXB24" s="720"/>
      <c r="IXC24" s="720"/>
      <c r="IXD24" s="720"/>
      <c r="IXE24" s="720"/>
      <c r="IXF24" s="720"/>
      <c r="IXG24" s="720"/>
      <c r="IXH24" s="720"/>
      <c r="IXI24" s="720"/>
      <c r="IXJ24" s="720"/>
      <c r="IXK24" s="720"/>
      <c r="IXL24" s="720"/>
      <c r="IXM24" s="720"/>
      <c r="IXN24" s="720"/>
      <c r="IXO24" s="720"/>
      <c r="IXP24" s="720"/>
      <c r="IXQ24" s="720"/>
      <c r="IXR24" s="720"/>
      <c r="IXS24" s="720"/>
      <c r="IXT24" s="720"/>
      <c r="IXU24" s="720"/>
      <c r="IXV24" s="720"/>
      <c r="IXW24" s="720"/>
      <c r="IXX24" s="720"/>
      <c r="IXY24" s="720"/>
      <c r="IXZ24" s="720"/>
      <c r="IYA24" s="720"/>
      <c r="IYB24" s="720"/>
      <c r="IYC24" s="720"/>
      <c r="IYD24" s="720"/>
      <c r="IYE24" s="720"/>
      <c r="IYF24" s="720"/>
      <c r="IYG24" s="720"/>
      <c r="IYH24" s="720"/>
      <c r="IYI24" s="720"/>
      <c r="IYJ24" s="720"/>
      <c r="IYK24" s="720"/>
      <c r="IYL24" s="720"/>
      <c r="IYM24" s="720"/>
      <c r="IYN24" s="720"/>
      <c r="IYO24" s="720"/>
      <c r="IYP24" s="720"/>
      <c r="IYQ24" s="720"/>
      <c r="IYR24" s="720"/>
      <c r="IYS24" s="720"/>
      <c r="IYT24" s="720"/>
      <c r="IYU24" s="720"/>
      <c r="IYV24" s="720"/>
      <c r="IYW24" s="720"/>
      <c r="IYX24" s="720"/>
      <c r="IYY24" s="720"/>
      <c r="IYZ24" s="720"/>
      <c r="IZA24" s="720"/>
      <c r="IZB24" s="720"/>
      <c r="IZC24" s="720"/>
      <c r="IZD24" s="720"/>
      <c r="IZE24" s="720"/>
      <c r="IZF24" s="720"/>
      <c r="IZG24" s="720"/>
      <c r="IZH24" s="720"/>
      <c r="IZI24" s="720"/>
      <c r="IZJ24" s="720"/>
      <c r="IZK24" s="720"/>
      <c r="IZL24" s="720"/>
      <c r="IZM24" s="720"/>
      <c r="IZN24" s="720"/>
      <c r="IZO24" s="720"/>
      <c r="IZP24" s="720"/>
      <c r="IZQ24" s="720"/>
      <c r="IZR24" s="720"/>
      <c r="IZS24" s="720"/>
      <c r="IZT24" s="720"/>
      <c r="IZU24" s="720"/>
      <c r="IZV24" s="720"/>
      <c r="IZW24" s="720"/>
      <c r="IZX24" s="720"/>
      <c r="IZY24" s="720"/>
      <c r="IZZ24" s="720"/>
      <c r="JAA24" s="720"/>
      <c r="JAB24" s="720"/>
      <c r="JAC24" s="720"/>
      <c r="JAD24" s="720"/>
      <c r="JAE24" s="720"/>
      <c r="JAF24" s="720"/>
      <c r="JAG24" s="720"/>
      <c r="JAH24" s="720"/>
      <c r="JAI24" s="720"/>
      <c r="JAJ24" s="720"/>
      <c r="JAK24" s="720"/>
      <c r="JAL24" s="720"/>
      <c r="JAM24" s="720"/>
      <c r="JAN24" s="720"/>
      <c r="JAO24" s="720"/>
      <c r="JAP24" s="720"/>
      <c r="JAQ24" s="720"/>
      <c r="JAR24" s="720"/>
      <c r="JAS24" s="720"/>
      <c r="JAT24" s="720"/>
      <c r="JAU24" s="720"/>
      <c r="JAV24" s="720"/>
      <c r="JAW24" s="720"/>
      <c r="JAX24" s="720"/>
      <c r="JAY24" s="720"/>
      <c r="JAZ24" s="720"/>
      <c r="JBA24" s="720"/>
      <c r="JBB24" s="720"/>
      <c r="JBC24" s="720"/>
      <c r="JBD24" s="720"/>
      <c r="JBE24" s="720"/>
      <c r="JBF24" s="720"/>
      <c r="JBG24" s="720"/>
      <c r="JBH24" s="720"/>
      <c r="JBI24" s="720"/>
      <c r="JBJ24" s="720"/>
      <c r="JBK24" s="720"/>
      <c r="JBL24" s="720"/>
      <c r="JBM24" s="720"/>
      <c r="JBN24" s="720"/>
      <c r="JBO24" s="720"/>
      <c r="JBP24" s="720"/>
      <c r="JBQ24" s="720"/>
      <c r="JBR24" s="720"/>
      <c r="JBS24" s="720"/>
      <c r="JBT24" s="720"/>
      <c r="JBU24" s="720"/>
      <c r="JBV24" s="720"/>
      <c r="JBW24" s="720"/>
      <c r="JBX24" s="720"/>
      <c r="JBY24" s="720"/>
      <c r="JBZ24" s="720"/>
      <c r="JCA24" s="720"/>
      <c r="JCB24" s="720"/>
      <c r="JCC24" s="720"/>
      <c r="JCD24" s="720"/>
      <c r="JCE24" s="720"/>
      <c r="JCF24" s="720"/>
      <c r="JCG24" s="720"/>
      <c r="JCH24" s="720"/>
      <c r="JCI24" s="720"/>
      <c r="JCJ24" s="720"/>
      <c r="JCK24" s="720"/>
      <c r="JCL24" s="720"/>
      <c r="JCM24" s="720"/>
      <c r="JCN24" s="720"/>
      <c r="JCO24" s="720"/>
      <c r="JCP24" s="720"/>
      <c r="JCQ24" s="720"/>
      <c r="JCR24" s="720"/>
      <c r="JCS24" s="720"/>
      <c r="JCT24" s="720"/>
      <c r="JCU24" s="720"/>
      <c r="JCV24" s="720"/>
      <c r="JCW24" s="720"/>
      <c r="JCX24" s="720"/>
      <c r="JCY24" s="720"/>
      <c r="JCZ24" s="720"/>
      <c r="JDA24" s="720"/>
      <c r="JDB24" s="720"/>
      <c r="JDC24" s="720"/>
      <c r="JDD24" s="720"/>
      <c r="JDE24" s="720"/>
      <c r="JDF24" s="720"/>
      <c r="JDG24" s="720"/>
      <c r="JDH24" s="720"/>
      <c r="JDI24" s="720"/>
      <c r="JDJ24" s="720"/>
      <c r="JDK24" s="720"/>
      <c r="JDL24" s="720"/>
      <c r="JDM24" s="720"/>
      <c r="JDN24" s="720"/>
      <c r="JDO24" s="720"/>
      <c r="JDP24" s="720"/>
      <c r="JDQ24" s="720"/>
      <c r="JDR24" s="720"/>
      <c r="JDS24" s="720"/>
      <c r="JDT24" s="720"/>
      <c r="JDU24" s="720"/>
      <c r="JDV24" s="720"/>
      <c r="JDW24" s="720"/>
      <c r="JDX24" s="720"/>
      <c r="JDY24" s="720"/>
      <c r="JDZ24" s="720"/>
      <c r="JEA24" s="720"/>
      <c r="JEB24" s="720"/>
      <c r="JEC24" s="720"/>
      <c r="JED24" s="720"/>
      <c r="JEE24" s="720"/>
      <c r="JEF24" s="720"/>
      <c r="JEG24" s="720"/>
      <c r="JEH24" s="720"/>
      <c r="JEI24" s="720"/>
      <c r="JEJ24" s="720"/>
      <c r="JEK24" s="720"/>
      <c r="JEL24" s="720"/>
      <c r="JEM24" s="720"/>
      <c r="JEN24" s="720"/>
      <c r="JEO24" s="720"/>
      <c r="JEP24" s="720"/>
      <c r="JEQ24" s="720"/>
      <c r="JER24" s="720"/>
      <c r="JES24" s="720"/>
      <c r="JET24" s="720"/>
      <c r="JEU24" s="720"/>
      <c r="JEV24" s="720"/>
      <c r="JEW24" s="720"/>
      <c r="JEX24" s="720"/>
      <c r="JEY24" s="720"/>
      <c r="JEZ24" s="720"/>
      <c r="JFA24" s="720"/>
      <c r="JFB24" s="720"/>
      <c r="JFC24" s="720"/>
      <c r="JFD24" s="720"/>
      <c r="JFE24" s="720"/>
      <c r="JFF24" s="720"/>
      <c r="JFG24" s="720"/>
      <c r="JFH24" s="720"/>
      <c r="JFI24" s="720"/>
      <c r="JFJ24" s="720"/>
      <c r="JFK24" s="720"/>
      <c r="JFL24" s="720"/>
      <c r="JFM24" s="720"/>
      <c r="JFN24" s="720"/>
      <c r="JFO24" s="720"/>
      <c r="JFP24" s="720"/>
      <c r="JFQ24" s="720"/>
      <c r="JFR24" s="720"/>
      <c r="JFS24" s="720"/>
      <c r="JFT24" s="720"/>
      <c r="JFU24" s="720"/>
      <c r="JFV24" s="720"/>
      <c r="JFW24" s="720"/>
      <c r="JFX24" s="720"/>
      <c r="JFY24" s="720"/>
      <c r="JFZ24" s="720"/>
      <c r="JGA24" s="720"/>
      <c r="JGB24" s="720"/>
      <c r="JGC24" s="720"/>
      <c r="JGD24" s="720"/>
      <c r="JGE24" s="720"/>
      <c r="JGF24" s="720"/>
      <c r="JGG24" s="720"/>
      <c r="JGH24" s="720"/>
      <c r="JGI24" s="720"/>
      <c r="JGJ24" s="720"/>
      <c r="JGK24" s="720"/>
      <c r="JGL24" s="720"/>
      <c r="JGM24" s="720"/>
      <c r="JGN24" s="720"/>
      <c r="JGO24" s="720"/>
      <c r="JGP24" s="720"/>
      <c r="JGQ24" s="720"/>
      <c r="JGR24" s="720"/>
      <c r="JGS24" s="720"/>
      <c r="JGT24" s="720"/>
      <c r="JGU24" s="720"/>
      <c r="JGV24" s="720"/>
      <c r="JGW24" s="720"/>
      <c r="JGX24" s="720"/>
      <c r="JGY24" s="720"/>
      <c r="JGZ24" s="720"/>
      <c r="JHA24" s="720"/>
      <c r="JHB24" s="720"/>
      <c r="JHC24" s="720"/>
      <c r="JHD24" s="720"/>
      <c r="JHE24" s="720"/>
      <c r="JHF24" s="720"/>
      <c r="JHG24" s="720"/>
      <c r="JHH24" s="720"/>
      <c r="JHI24" s="720"/>
      <c r="JHJ24" s="720"/>
      <c r="JHK24" s="720"/>
      <c r="JHL24" s="720"/>
      <c r="JHM24" s="720"/>
      <c r="JHN24" s="720"/>
      <c r="JHO24" s="720"/>
      <c r="JHP24" s="720"/>
      <c r="JHQ24" s="720"/>
      <c r="JHR24" s="720"/>
      <c r="JHS24" s="720"/>
      <c r="JHT24" s="720"/>
      <c r="JHU24" s="720"/>
      <c r="JHV24" s="720"/>
      <c r="JHW24" s="720"/>
      <c r="JHX24" s="720"/>
      <c r="JHY24" s="720"/>
      <c r="JHZ24" s="720"/>
      <c r="JIA24" s="720"/>
      <c r="JIB24" s="720"/>
      <c r="JIC24" s="720"/>
      <c r="JID24" s="720"/>
      <c r="JIE24" s="720"/>
      <c r="JIF24" s="720"/>
      <c r="JIG24" s="720"/>
      <c r="JIH24" s="720"/>
      <c r="JII24" s="720"/>
      <c r="JIJ24" s="720"/>
      <c r="JIK24" s="720"/>
      <c r="JIL24" s="720"/>
      <c r="JIM24" s="720"/>
      <c r="JIN24" s="720"/>
      <c r="JIO24" s="720"/>
      <c r="JIP24" s="720"/>
      <c r="JIQ24" s="720"/>
      <c r="JIR24" s="720"/>
      <c r="JIS24" s="720"/>
      <c r="JIT24" s="720"/>
      <c r="JIU24" s="720"/>
      <c r="JIV24" s="720"/>
      <c r="JIW24" s="720"/>
      <c r="JIX24" s="720"/>
      <c r="JIY24" s="720"/>
      <c r="JIZ24" s="720"/>
      <c r="JJA24" s="720"/>
      <c r="JJB24" s="720"/>
      <c r="JJC24" s="720"/>
      <c r="JJD24" s="720"/>
      <c r="JJE24" s="720"/>
      <c r="JJF24" s="720"/>
      <c r="JJG24" s="720"/>
      <c r="JJH24" s="720"/>
      <c r="JJI24" s="720"/>
      <c r="JJJ24" s="720"/>
      <c r="JJK24" s="720"/>
      <c r="JJL24" s="720"/>
      <c r="JJM24" s="720"/>
      <c r="JJN24" s="720"/>
      <c r="JJO24" s="720"/>
      <c r="JJP24" s="720"/>
      <c r="JJQ24" s="720"/>
      <c r="JJR24" s="720"/>
      <c r="JJS24" s="720"/>
      <c r="JJT24" s="720"/>
      <c r="JJU24" s="720"/>
      <c r="JJV24" s="720"/>
      <c r="JJW24" s="720"/>
      <c r="JJX24" s="720"/>
      <c r="JJY24" s="720"/>
      <c r="JJZ24" s="720"/>
      <c r="JKA24" s="720"/>
      <c r="JKB24" s="720"/>
      <c r="JKC24" s="720"/>
      <c r="JKD24" s="720"/>
      <c r="JKE24" s="720"/>
      <c r="JKF24" s="720"/>
      <c r="JKG24" s="720"/>
      <c r="JKH24" s="720"/>
      <c r="JKI24" s="720"/>
      <c r="JKJ24" s="720"/>
      <c r="JKK24" s="720"/>
      <c r="JKL24" s="720"/>
      <c r="JKM24" s="720"/>
      <c r="JKN24" s="720"/>
      <c r="JKO24" s="720"/>
      <c r="JKP24" s="720"/>
      <c r="JKQ24" s="720"/>
      <c r="JKR24" s="720"/>
      <c r="JKS24" s="720"/>
      <c r="JKT24" s="720"/>
      <c r="JKU24" s="720"/>
      <c r="JKV24" s="720"/>
      <c r="JKW24" s="720"/>
      <c r="JKX24" s="720"/>
      <c r="JKY24" s="720"/>
      <c r="JKZ24" s="720"/>
      <c r="JLA24" s="720"/>
      <c r="JLB24" s="720"/>
      <c r="JLC24" s="720"/>
      <c r="JLD24" s="720"/>
      <c r="JLE24" s="720"/>
      <c r="JLF24" s="720"/>
      <c r="JLG24" s="720"/>
      <c r="JLH24" s="720"/>
      <c r="JLI24" s="720"/>
      <c r="JLJ24" s="720"/>
      <c r="JLK24" s="720"/>
      <c r="JLL24" s="720"/>
      <c r="JLM24" s="720"/>
      <c r="JLN24" s="720"/>
      <c r="JLO24" s="720"/>
      <c r="JLP24" s="720"/>
      <c r="JLQ24" s="720"/>
      <c r="JLR24" s="720"/>
      <c r="JLS24" s="720"/>
      <c r="JLT24" s="720"/>
      <c r="JLU24" s="720"/>
      <c r="JLV24" s="720"/>
      <c r="JLW24" s="720"/>
      <c r="JLX24" s="720"/>
      <c r="JLY24" s="720"/>
      <c r="JLZ24" s="720"/>
      <c r="JMA24" s="720"/>
      <c r="JMB24" s="720"/>
      <c r="JMC24" s="720"/>
      <c r="JMD24" s="720"/>
      <c r="JME24" s="720"/>
      <c r="JMF24" s="720"/>
      <c r="JMG24" s="720"/>
      <c r="JMH24" s="720"/>
      <c r="JMI24" s="720"/>
      <c r="JMJ24" s="720"/>
      <c r="JMK24" s="720"/>
      <c r="JML24" s="720"/>
      <c r="JMM24" s="720"/>
      <c r="JMN24" s="720"/>
      <c r="JMO24" s="720"/>
      <c r="JMP24" s="720"/>
      <c r="JMQ24" s="720"/>
      <c r="JMR24" s="720"/>
      <c r="JMS24" s="720"/>
      <c r="JMT24" s="720"/>
      <c r="JMU24" s="720"/>
      <c r="JMV24" s="720"/>
      <c r="JMW24" s="720"/>
      <c r="JMX24" s="720"/>
      <c r="JMY24" s="720"/>
      <c r="JMZ24" s="720"/>
      <c r="JNA24" s="720"/>
      <c r="JNB24" s="720"/>
      <c r="JNC24" s="720"/>
      <c r="JND24" s="720"/>
      <c r="JNE24" s="720"/>
      <c r="JNF24" s="720"/>
      <c r="JNG24" s="720"/>
      <c r="JNH24" s="720"/>
      <c r="JNI24" s="720"/>
      <c r="JNJ24" s="720"/>
      <c r="JNK24" s="720"/>
      <c r="JNL24" s="720"/>
      <c r="JNM24" s="720"/>
      <c r="JNN24" s="720"/>
      <c r="JNO24" s="720"/>
      <c r="JNP24" s="720"/>
      <c r="JNQ24" s="720"/>
      <c r="JNR24" s="720"/>
      <c r="JNS24" s="720"/>
      <c r="JNT24" s="720"/>
      <c r="JNU24" s="720"/>
      <c r="JNV24" s="720"/>
      <c r="JNW24" s="720"/>
      <c r="JNX24" s="720"/>
      <c r="JNY24" s="720"/>
      <c r="JNZ24" s="720"/>
      <c r="JOA24" s="720"/>
      <c r="JOB24" s="720"/>
      <c r="JOC24" s="720"/>
      <c r="JOD24" s="720"/>
      <c r="JOE24" s="720"/>
      <c r="JOF24" s="720"/>
      <c r="JOG24" s="720"/>
      <c r="JOH24" s="720"/>
      <c r="JOI24" s="720"/>
      <c r="JOJ24" s="720"/>
      <c r="JOK24" s="720"/>
      <c r="JOL24" s="720"/>
      <c r="JOM24" s="720"/>
      <c r="JON24" s="720"/>
      <c r="JOO24" s="720"/>
      <c r="JOP24" s="720"/>
      <c r="JOQ24" s="720"/>
      <c r="JOR24" s="720"/>
      <c r="JOS24" s="720"/>
      <c r="JOT24" s="720"/>
      <c r="JOU24" s="720"/>
      <c r="JOV24" s="720"/>
      <c r="JOW24" s="720"/>
      <c r="JOX24" s="720"/>
      <c r="JOY24" s="720"/>
      <c r="JOZ24" s="720"/>
      <c r="JPA24" s="720"/>
      <c r="JPB24" s="720"/>
      <c r="JPC24" s="720"/>
      <c r="JPD24" s="720"/>
      <c r="JPE24" s="720"/>
      <c r="JPF24" s="720"/>
      <c r="JPG24" s="720"/>
      <c r="JPH24" s="720"/>
      <c r="JPI24" s="720"/>
      <c r="JPJ24" s="720"/>
      <c r="JPK24" s="720"/>
      <c r="JPL24" s="720"/>
      <c r="JPM24" s="720"/>
      <c r="JPN24" s="720"/>
      <c r="JPO24" s="720"/>
      <c r="JPP24" s="720"/>
      <c r="JPQ24" s="720"/>
      <c r="JPR24" s="720"/>
      <c r="JPS24" s="720"/>
      <c r="JPT24" s="720"/>
      <c r="JPU24" s="720"/>
      <c r="JPV24" s="720"/>
      <c r="JPW24" s="720"/>
      <c r="JPX24" s="720"/>
      <c r="JPY24" s="720"/>
      <c r="JPZ24" s="720"/>
      <c r="JQA24" s="720"/>
      <c r="JQB24" s="720"/>
      <c r="JQC24" s="720"/>
      <c r="JQD24" s="720"/>
      <c r="JQE24" s="720"/>
      <c r="JQF24" s="720"/>
      <c r="JQG24" s="720"/>
      <c r="JQH24" s="720"/>
      <c r="JQI24" s="720"/>
      <c r="JQJ24" s="720"/>
      <c r="JQK24" s="720"/>
      <c r="JQL24" s="720"/>
      <c r="JQM24" s="720"/>
      <c r="JQN24" s="720"/>
      <c r="JQO24" s="720"/>
      <c r="JQP24" s="720"/>
      <c r="JQQ24" s="720"/>
      <c r="JQR24" s="720"/>
      <c r="JQS24" s="720"/>
      <c r="JQT24" s="720"/>
      <c r="JQU24" s="720"/>
      <c r="JQV24" s="720"/>
      <c r="JQW24" s="720"/>
      <c r="JQX24" s="720"/>
      <c r="JQY24" s="720"/>
      <c r="JQZ24" s="720"/>
      <c r="JRA24" s="720"/>
      <c r="JRB24" s="720"/>
      <c r="JRC24" s="720"/>
      <c r="JRD24" s="720"/>
      <c r="JRE24" s="720"/>
      <c r="JRF24" s="720"/>
      <c r="JRG24" s="720"/>
      <c r="JRH24" s="720"/>
      <c r="JRI24" s="720"/>
      <c r="JRJ24" s="720"/>
      <c r="JRK24" s="720"/>
      <c r="JRL24" s="720"/>
      <c r="JRM24" s="720"/>
      <c r="JRN24" s="720"/>
      <c r="JRO24" s="720"/>
      <c r="JRP24" s="720"/>
      <c r="JRQ24" s="720"/>
      <c r="JRR24" s="720"/>
      <c r="JRS24" s="720"/>
      <c r="JRT24" s="720"/>
      <c r="JRU24" s="720"/>
      <c r="JRV24" s="720"/>
      <c r="JRW24" s="720"/>
      <c r="JRX24" s="720"/>
      <c r="JRY24" s="720"/>
      <c r="JRZ24" s="720"/>
      <c r="JSA24" s="720"/>
      <c r="JSB24" s="720"/>
      <c r="JSC24" s="720"/>
      <c r="JSD24" s="720"/>
      <c r="JSE24" s="720"/>
      <c r="JSF24" s="720"/>
      <c r="JSG24" s="720"/>
      <c r="JSH24" s="720"/>
      <c r="JSI24" s="720"/>
      <c r="JSJ24" s="720"/>
      <c r="JSK24" s="720"/>
      <c r="JSL24" s="720"/>
      <c r="JSM24" s="720"/>
      <c r="JSN24" s="720"/>
      <c r="JSO24" s="720"/>
      <c r="JSP24" s="720"/>
      <c r="JSQ24" s="720"/>
      <c r="JSR24" s="720"/>
      <c r="JSS24" s="720"/>
      <c r="JST24" s="720"/>
      <c r="JSU24" s="720"/>
      <c r="JSV24" s="720"/>
      <c r="JSW24" s="720"/>
      <c r="JSX24" s="720"/>
      <c r="JSY24" s="720"/>
      <c r="JSZ24" s="720"/>
      <c r="JTA24" s="720"/>
      <c r="JTB24" s="720"/>
      <c r="JTC24" s="720"/>
      <c r="JTD24" s="720"/>
      <c r="JTE24" s="720"/>
      <c r="JTF24" s="720"/>
      <c r="JTG24" s="720"/>
      <c r="JTH24" s="720"/>
      <c r="JTI24" s="720"/>
      <c r="JTJ24" s="720"/>
      <c r="JTK24" s="720"/>
      <c r="JTL24" s="720"/>
      <c r="JTM24" s="720"/>
      <c r="JTN24" s="720"/>
      <c r="JTO24" s="720"/>
      <c r="JTP24" s="720"/>
      <c r="JTQ24" s="720"/>
      <c r="JTR24" s="720"/>
      <c r="JTS24" s="720"/>
      <c r="JTT24" s="720"/>
      <c r="JTU24" s="720"/>
      <c r="JTV24" s="720"/>
      <c r="JTW24" s="720"/>
      <c r="JTX24" s="720"/>
      <c r="JTY24" s="720"/>
      <c r="JTZ24" s="720"/>
      <c r="JUA24" s="720"/>
      <c r="JUB24" s="720"/>
      <c r="JUC24" s="720"/>
      <c r="JUD24" s="720"/>
      <c r="JUE24" s="720"/>
      <c r="JUF24" s="720"/>
      <c r="JUG24" s="720"/>
      <c r="JUH24" s="720"/>
      <c r="JUI24" s="720"/>
      <c r="JUJ24" s="720"/>
      <c r="JUK24" s="720"/>
      <c r="JUL24" s="720"/>
      <c r="JUM24" s="720"/>
      <c r="JUN24" s="720"/>
      <c r="JUO24" s="720"/>
      <c r="JUP24" s="720"/>
      <c r="JUQ24" s="720"/>
      <c r="JUR24" s="720"/>
      <c r="JUS24" s="720"/>
      <c r="JUT24" s="720"/>
      <c r="JUU24" s="720"/>
      <c r="JUV24" s="720"/>
      <c r="JUW24" s="720"/>
      <c r="JUX24" s="720"/>
      <c r="JUY24" s="720"/>
      <c r="JUZ24" s="720"/>
      <c r="JVA24" s="720"/>
      <c r="JVB24" s="720"/>
      <c r="JVC24" s="720"/>
      <c r="JVD24" s="720"/>
      <c r="JVE24" s="720"/>
      <c r="JVF24" s="720"/>
      <c r="JVG24" s="720"/>
      <c r="JVH24" s="720"/>
      <c r="JVI24" s="720"/>
      <c r="JVJ24" s="720"/>
      <c r="JVK24" s="720"/>
      <c r="JVL24" s="720"/>
      <c r="JVM24" s="720"/>
      <c r="JVN24" s="720"/>
      <c r="JVO24" s="720"/>
      <c r="JVP24" s="720"/>
      <c r="JVQ24" s="720"/>
      <c r="JVR24" s="720"/>
      <c r="JVS24" s="720"/>
      <c r="JVT24" s="720"/>
      <c r="JVU24" s="720"/>
      <c r="JVV24" s="720"/>
      <c r="JVW24" s="720"/>
      <c r="JVX24" s="720"/>
      <c r="JVY24" s="720"/>
      <c r="JVZ24" s="720"/>
      <c r="JWA24" s="720"/>
      <c r="JWB24" s="720"/>
      <c r="JWC24" s="720"/>
      <c r="JWD24" s="720"/>
      <c r="JWE24" s="720"/>
      <c r="JWF24" s="720"/>
      <c r="JWG24" s="720"/>
      <c r="JWH24" s="720"/>
      <c r="JWI24" s="720"/>
      <c r="JWJ24" s="720"/>
      <c r="JWK24" s="720"/>
      <c r="JWL24" s="720"/>
      <c r="JWM24" s="720"/>
      <c r="JWN24" s="720"/>
      <c r="JWO24" s="720"/>
      <c r="JWP24" s="720"/>
      <c r="JWQ24" s="720"/>
      <c r="JWR24" s="720"/>
      <c r="JWS24" s="720"/>
      <c r="JWT24" s="720"/>
      <c r="JWU24" s="720"/>
      <c r="JWV24" s="720"/>
      <c r="JWW24" s="720"/>
      <c r="JWX24" s="720"/>
      <c r="JWY24" s="720"/>
      <c r="JWZ24" s="720"/>
      <c r="JXA24" s="720"/>
      <c r="JXB24" s="720"/>
      <c r="JXC24" s="720"/>
      <c r="JXD24" s="720"/>
      <c r="JXE24" s="720"/>
      <c r="JXF24" s="720"/>
      <c r="JXG24" s="720"/>
      <c r="JXH24" s="720"/>
      <c r="JXI24" s="720"/>
      <c r="JXJ24" s="720"/>
      <c r="JXK24" s="720"/>
      <c r="JXL24" s="720"/>
      <c r="JXM24" s="720"/>
      <c r="JXN24" s="720"/>
      <c r="JXO24" s="720"/>
      <c r="JXP24" s="720"/>
      <c r="JXQ24" s="720"/>
      <c r="JXR24" s="720"/>
      <c r="JXS24" s="720"/>
      <c r="JXT24" s="720"/>
      <c r="JXU24" s="720"/>
      <c r="JXV24" s="720"/>
      <c r="JXW24" s="720"/>
      <c r="JXX24" s="720"/>
      <c r="JXY24" s="720"/>
      <c r="JXZ24" s="720"/>
      <c r="JYA24" s="720"/>
      <c r="JYB24" s="720"/>
      <c r="JYC24" s="720"/>
      <c r="JYD24" s="720"/>
      <c r="JYE24" s="720"/>
      <c r="JYF24" s="720"/>
      <c r="JYG24" s="720"/>
      <c r="JYH24" s="720"/>
      <c r="JYI24" s="720"/>
      <c r="JYJ24" s="720"/>
      <c r="JYK24" s="720"/>
      <c r="JYL24" s="720"/>
      <c r="JYM24" s="720"/>
      <c r="JYN24" s="720"/>
      <c r="JYO24" s="720"/>
      <c r="JYP24" s="720"/>
      <c r="JYQ24" s="720"/>
      <c r="JYR24" s="720"/>
      <c r="JYS24" s="720"/>
      <c r="JYT24" s="720"/>
      <c r="JYU24" s="720"/>
      <c r="JYV24" s="720"/>
      <c r="JYW24" s="720"/>
      <c r="JYX24" s="720"/>
      <c r="JYY24" s="720"/>
      <c r="JYZ24" s="720"/>
      <c r="JZA24" s="720"/>
      <c r="JZB24" s="720"/>
      <c r="JZC24" s="720"/>
      <c r="JZD24" s="720"/>
      <c r="JZE24" s="720"/>
      <c r="JZF24" s="720"/>
      <c r="JZG24" s="720"/>
      <c r="JZH24" s="720"/>
      <c r="JZI24" s="720"/>
      <c r="JZJ24" s="720"/>
      <c r="JZK24" s="720"/>
      <c r="JZL24" s="720"/>
      <c r="JZM24" s="720"/>
      <c r="JZN24" s="720"/>
      <c r="JZO24" s="720"/>
      <c r="JZP24" s="720"/>
      <c r="JZQ24" s="720"/>
      <c r="JZR24" s="720"/>
      <c r="JZS24" s="720"/>
      <c r="JZT24" s="720"/>
      <c r="JZU24" s="720"/>
      <c r="JZV24" s="720"/>
      <c r="JZW24" s="720"/>
      <c r="JZX24" s="720"/>
      <c r="JZY24" s="720"/>
      <c r="JZZ24" s="720"/>
      <c r="KAA24" s="720"/>
      <c r="KAB24" s="720"/>
      <c r="KAC24" s="720"/>
      <c r="KAD24" s="720"/>
      <c r="KAE24" s="720"/>
      <c r="KAF24" s="720"/>
      <c r="KAG24" s="720"/>
      <c r="KAH24" s="720"/>
      <c r="KAI24" s="720"/>
      <c r="KAJ24" s="720"/>
      <c r="KAK24" s="720"/>
      <c r="KAL24" s="720"/>
      <c r="KAM24" s="720"/>
      <c r="KAN24" s="720"/>
      <c r="KAO24" s="720"/>
      <c r="KAP24" s="720"/>
      <c r="KAQ24" s="720"/>
      <c r="KAR24" s="720"/>
      <c r="KAS24" s="720"/>
      <c r="KAT24" s="720"/>
      <c r="KAU24" s="720"/>
      <c r="KAV24" s="720"/>
      <c r="KAW24" s="720"/>
      <c r="KAX24" s="720"/>
      <c r="KAY24" s="720"/>
      <c r="KAZ24" s="720"/>
      <c r="KBA24" s="720"/>
      <c r="KBB24" s="720"/>
      <c r="KBC24" s="720"/>
      <c r="KBD24" s="720"/>
      <c r="KBE24" s="720"/>
      <c r="KBF24" s="720"/>
      <c r="KBG24" s="720"/>
      <c r="KBH24" s="720"/>
      <c r="KBI24" s="720"/>
      <c r="KBJ24" s="720"/>
      <c r="KBK24" s="720"/>
      <c r="KBL24" s="720"/>
      <c r="KBM24" s="720"/>
      <c r="KBN24" s="720"/>
      <c r="KBO24" s="720"/>
      <c r="KBP24" s="720"/>
      <c r="KBQ24" s="720"/>
      <c r="KBR24" s="720"/>
      <c r="KBS24" s="720"/>
      <c r="KBT24" s="720"/>
      <c r="KBU24" s="720"/>
      <c r="KBV24" s="720"/>
      <c r="KBW24" s="720"/>
      <c r="KBX24" s="720"/>
      <c r="KBY24" s="720"/>
      <c r="KBZ24" s="720"/>
      <c r="KCA24" s="720"/>
      <c r="KCB24" s="720"/>
      <c r="KCC24" s="720"/>
      <c r="KCD24" s="720"/>
      <c r="KCE24" s="720"/>
      <c r="KCF24" s="720"/>
      <c r="KCG24" s="720"/>
      <c r="KCH24" s="720"/>
      <c r="KCI24" s="720"/>
      <c r="KCJ24" s="720"/>
      <c r="KCK24" s="720"/>
      <c r="KCL24" s="720"/>
      <c r="KCM24" s="720"/>
      <c r="KCN24" s="720"/>
      <c r="KCO24" s="720"/>
      <c r="KCP24" s="720"/>
      <c r="KCQ24" s="720"/>
      <c r="KCR24" s="720"/>
      <c r="KCS24" s="720"/>
      <c r="KCT24" s="720"/>
      <c r="KCU24" s="720"/>
      <c r="KCV24" s="720"/>
      <c r="KCW24" s="720"/>
      <c r="KCX24" s="720"/>
      <c r="KCY24" s="720"/>
      <c r="KCZ24" s="720"/>
      <c r="KDA24" s="720"/>
      <c r="KDB24" s="720"/>
      <c r="KDC24" s="720"/>
      <c r="KDD24" s="720"/>
      <c r="KDE24" s="720"/>
      <c r="KDF24" s="720"/>
      <c r="KDG24" s="720"/>
      <c r="KDH24" s="720"/>
      <c r="KDI24" s="720"/>
      <c r="KDJ24" s="720"/>
      <c r="KDK24" s="720"/>
      <c r="KDL24" s="720"/>
      <c r="KDM24" s="720"/>
      <c r="KDN24" s="720"/>
      <c r="KDO24" s="720"/>
      <c r="KDP24" s="720"/>
      <c r="KDQ24" s="720"/>
      <c r="KDR24" s="720"/>
      <c r="KDS24" s="720"/>
      <c r="KDT24" s="720"/>
      <c r="KDU24" s="720"/>
      <c r="KDV24" s="720"/>
      <c r="KDW24" s="720"/>
      <c r="KDX24" s="720"/>
      <c r="KDY24" s="720"/>
      <c r="KDZ24" s="720"/>
      <c r="KEA24" s="720"/>
      <c r="KEB24" s="720"/>
      <c r="KEC24" s="720"/>
      <c r="KED24" s="720"/>
      <c r="KEE24" s="720"/>
      <c r="KEF24" s="720"/>
      <c r="KEG24" s="720"/>
      <c r="KEH24" s="720"/>
      <c r="KEI24" s="720"/>
      <c r="KEJ24" s="720"/>
      <c r="KEK24" s="720"/>
      <c r="KEL24" s="720"/>
      <c r="KEM24" s="720"/>
      <c r="KEN24" s="720"/>
      <c r="KEO24" s="720"/>
      <c r="KEP24" s="720"/>
      <c r="KEQ24" s="720"/>
      <c r="KER24" s="720"/>
      <c r="KES24" s="720"/>
      <c r="KET24" s="720"/>
      <c r="KEU24" s="720"/>
      <c r="KEV24" s="720"/>
      <c r="KEW24" s="720"/>
      <c r="KEX24" s="720"/>
      <c r="KEY24" s="720"/>
      <c r="KEZ24" s="720"/>
      <c r="KFA24" s="720"/>
      <c r="KFB24" s="720"/>
      <c r="KFC24" s="720"/>
      <c r="KFD24" s="720"/>
      <c r="KFE24" s="720"/>
      <c r="KFF24" s="720"/>
      <c r="KFG24" s="720"/>
      <c r="KFH24" s="720"/>
      <c r="KFI24" s="720"/>
      <c r="KFJ24" s="720"/>
      <c r="KFK24" s="720"/>
      <c r="KFL24" s="720"/>
      <c r="KFM24" s="720"/>
      <c r="KFN24" s="720"/>
      <c r="KFO24" s="720"/>
      <c r="KFP24" s="720"/>
      <c r="KFQ24" s="720"/>
      <c r="KFR24" s="720"/>
      <c r="KFS24" s="720"/>
      <c r="KFT24" s="720"/>
      <c r="KFU24" s="720"/>
      <c r="KFV24" s="720"/>
      <c r="KFW24" s="720"/>
      <c r="KFX24" s="720"/>
      <c r="KFY24" s="720"/>
      <c r="KFZ24" s="720"/>
      <c r="KGA24" s="720"/>
      <c r="KGB24" s="720"/>
      <c r="KGC24" s="720"/>
      <c r="KGD24" s="720"/>
      <c r="KGE24" s="720"/>
      <c r="KGF24" s="720"/>
      <c r="KGG24" s="720"/>
      <c r="KGH24" s="720"/>
      <c r="KGI24" s="720"/>
      <c r="KGJ24" s="720"/>
      <c r="KGK24" s="720"/>
      <c r="KGL24" s="720"/>
      <c r="KGM24" s="720"/>
      <c r="KGN24" s="720"/>
      <c r="KGO24" s="720"/>
      <c r="KGP24" s="720"/>
      <c r="KGQ24" s="720"/>
      <c r="KGR24" s="720"/>
      <c r="KGS24" s="720"/>
      <c r="KGT24" s="720"/>
      <c r="KGU24" s="720"/>
      <c r="KGV24" s="720"/>
      <c r="KGW24" s="720"/>
      <c r="KGX24" s="720"/>
      <c r="KGY24" s="720"/>
      <c r="KGZ24" s="720"/>
      <c r="KHA24" s="720"/>
      <c r="KHB24" s="720"/>
      <c r="KHC24" s="720"/>
      <c r="KHD24" s="720"/>
      <c r="KHE24" s="720"/>
      <c r="KHF24" s="720"/>
      <c r="KHG24" s="720"/>
      <c r="KHH24" s="720"/>
      <c r="KHI24" s="720"/>
      <c r="KHJ24" s="720"/>
      <c r="KHK24" s="720"/>
      <c r="KHL24" s="720"/>
      <c r="KHM24" s="720"/>
      <c r="KHN24" s="720"/>
      <c r="KHO24" s="720"/>
      <c r="KHP24" s="720"/>
      <c r="KHQ24" s="720"/>
      <c r="KHR24" s="720"/>
      <c r="KHS24" s="720"/>
      <c r="KHT24" s="720"/>
      <c r="KHU24" s="720"/>
      <c r="KHV24" s="720"/>
      <c r="KHW24" s="720"/>
      <c r="KHX24" s="720"/>
      <c r="KHY24" s="720"/>
      <c r="KHZ24" s="720"/>
      <c r="KIA24" s="720"/>
      <c r="KIB24" s="720"/>
      <c r="KIC24" s="720"/>
      <c r="KID24" s="720"/>
      <c r="KIE24" s="720"/>
      <c r="KIF24" s="720"/>
      <c r="KIG24" s="720"/>
      <c r="KIH24" s="720"/>
      <c r="KII24" s="720"/>
      <c r="KIJ24" s="720"/>
      <c r="KIK24" s="720"/>
      <c r="KIL24" s="720"/>
      <c r="KIM24" s="720"/>
      <c r="KIN24" s="720"/>
      <c r="KIO24" s="720"/>
      <c r="KIP24" s="720"/>
      <c r="KIQ24" s="720"/>
      <c r="KIR24" s="720"/>
      <c r="KIS24" s="720"/>
      <c r="KIT24" s="720"/>
      <c r="KIU24" s="720"/>
      <c r="KIV24" s="720"/>
      <c r="KIW24" s="720"/>
      <c r="KIX24" s="720"/>
      <c r="KIY24" s="720"/>
      <c r="KIZ24" s="720"/>
      <c r="KJA24" s="720"/>
      <c r="KJB24" s="720"/>
      <c r="KJC24" s="720"/>
      <c r="KJD24" s="720"/>
      <c r="KJE24" s="720"/>
      <c r="KJF24" s="720"/>
      <c r="KJG24" s="720"/>
      <c r="KJH24" s="720"/>
      <c r="KJI24" s="720"/>
      <c r="KJJ24" s="720"/>
      <c r="KJK24" s="720"/>
      <c r="KJL24" s="720"/>
      <c r="KJM24" s="720"/>
      <c r="KJN24" s="720"/>
      <c r="KJO24" s="720"/>
      <c r="KJP24" s="720"/>
      <c r="KJQ24" s="720"/>
      <c r="KJR24" s="720"/>
      <c r="KJS24" s="720"/>
      <c r="KJT24" s="720"/>
      <c r="KJU24" s="720"/>
      <c r="KJV24" s="720"/>
      <c r="KJW24" s="720"/>
      <c r="KJX24" s="720"/>
      <c r="KJY24" s="720"/>
      <c r="KJZ24" s="720"/>
      <c r="KKA24" s="720"/>
      <c r="KKB24" s="720"/>
      <c r="KKC24" s="720"/>
      <c r="KKD24" s="720"/>
      <c r="KKE24" s="720"/>
      <c r="KKF24" s="720"/>
      <c r="KKG24" s="720"/>
      <c r="KKH24" s="720"/>
      <c r="KKI24" s="720"/>
      <c r="KKJ24" s="720"/>
      <c r="KKK24" s="720"/>
      <c r="KKL24" s="720"/>
      <c r="KKM24" s="720"/>
      <c r="KKN24" s="720"/>
      <c r="KKO24" s="720"/>
      <c r="KKP24" s="720"/>
      <c r="KKQ24" s="720"/>
      <c r="KKR24" s="720"/>
      <c r="KKS24" s="720"/>
      <c r="KKT24" s="720"/>
      <c r="KKU24" s="720"/>
      <c r="KKV24" s="720"/>
      <c r="KKW24" s="720"/>
      <c r="KKX24" s="720"/>
      <c r="KKY24" s="720"/>
      <c r="KKZ24" s="720"/>
      <c r="KLA24" s="720"/>
      <c r="KLB24" s="720"/>
      <c r="KLC24" s="720"/>
      <c r="KLD24" s="720"/>
      <c r="KLE24" s="720"/>
      <c r="KLF24" s="720"/>
      <c r="KLG24" s="720"/>
      <c r="KLH24" s="720"/>
      <c r="KLI24" s="720"/>
      <c r="KLJ24" s="720"/>
      <c r="KLK24" s="720"/>
      <c r="KLL24" s="720"/>
      <c r="KLM24" s="720"/>
      <c r="KLN24" s="720"/>
      <c r="KLO24" s="720"/>
      <c r="KLP24" s="720"/>
      <c r="KLQ24" s="720"/>
      <c r="KLR24" s="720"/>
      <c r="KLS24" s="720"/>
      <c r="KLT24" s="720"/>
      <c r="KLU24" s="720"/>
      <c r="KLV24" s="720"/>
      <c r="KLW24" s="720"/>
      <c r="KLX24" s="720"/>
      <c r="KLY24" s="720"/>
      <c r="KLZ24" s="720"/>
      <c r="KMA24" s="720"/>
      <c r="KMB24" s="720"/>
      <c r="KMC24" s="720"/>
      <c r="KMD24" s="720"/>
      <c r="KME24" s="720"/>
      <c r="KMF24" s="720"/>
      <c r="KMG24" s="720"/>
      <c r="KMH24" s="720"/>
      <c r="KMI24" s="720"/>
      <c r="KMJ24" s="720"/>
      <c r="KMK24" s="720"/>
      <c r="KML24" s="720"/>
      <c r="KMM24" s="720"/>
      <c r="KMN24" s="720"/>
      <c r="KMO24" s="720"/>
      <c r="KMP24" s="720"/>
      <c r="KMQ24" s="720"/>
      <c r="KMR24" s="720"/>
      <c r="KMS24" s="720"/>
      <c r="KMT24" s="720"/>
      <c r="KMU24" s="720"/>
      <c r="KMV24" s="720"/>
      <c r="KMW24" s="720"/>
      <c r="KMX24" s="720"/>
      <c r="KMY24" s="720"/>
      <c r="KMZ24" s="720"/>
      <c r="KNA24" s="720"/>
      <c r="KNB24" s="720"/>
      <c r="KNC24" s="720"/>
      <c r="KND24" s="720"/>
      <c r="KNE24" s="720"/>
      <c r="KNF24" s="720"/>
      <c r="KNG24" s="720"/>
      <c r="KNH24" s="720"/>
      <c r="KNI24" s="720"/>
      <c r="KNJ24" s="720"/>
      <c r="KNK24" s="720"/>
      <c r="KNL24" s="720"/>
      <c r="KNM24" s="720"/>
      <c r="KNN24" s="720"/>
      <c r="KNO24" s="720"/>
      <c r="KNP24" s="720"/>
      <c r="KNQ24" s="720"/>
      <c r="KNR24" s="720"/>
      <c r="KNS24" s="720"/>
      <c r="KNT24" s="720"/>
      <c r="KNU24" s="720"/>
      <c r="KNV24" s="720"/>
      <c r="KNW24" s="720"/>
      <c r="KNX24" s="720"/>
      <c r="KNY24" s="720"/>
      <c r="KNZ24" s="720"/>
      <c r="KOA24" s="720"/>
      <c r="KOB24" s="720"/>
      <c r="KOC24" s="720"/>
      <c r="KOD24" s="720"/>
      <c r="KOE24" s="720"/>
      <c r="KOF24" s="720"/>
      <c r="KOG24" s="720"/>
      <c r="KOH24" s="720"/>
      <c r="KOI24" s="720"/>
      <c r="KOJ24" s="720"/>
      <c r="KOK24" s="720"/>
      <c r="KOL24" s="720"/>
      <c r="KOM24" s="720"/>
      <c r="KON24" s="720"/>
      <c r="KOO24" s="720"/>
      <c r="KOP24" s="720"/>
      <c r="KOQ24" s="720"/>
      <c r="KOR24" s="720"/>
      <c r="KOS24" s="720"/>
      <c r="KOT24" s="720"/>
      <c r="KOU24" s="720"/>
      <c r="KOV24" s="720"/>
      <c r="KOW24" s="720"/>
      <c r="KOX24" s="720"/>
      <c r="KOY24" s="720"/>
      <c r="KOZ24" s="720"/>
      <c r="KPA24" s="720"/>
      <c r="KPB24" s="720"/>
      <c r="KPC24" s="720"/>
      <c r="KPD24" s="720"/>
      <c r="KPE24" s="720"/>
      <c r="KPF24" s="720"/>
      <c r="KPG24" s="720"/>
      <c r="KPH24" s="720"/>
      <c r="KPI24" s="720"/>
      <c r="KPJ24" s="720"/>
      <c r="KPK24" s="720"/>
      <c r="KPL24" s="720"/>
      <c r="KPM24" s="720"/>
      <c r="KPN24" s="720"/>
      <c r="KPO24" s="720"/>
      <c r="KPP24" s="720"/>
      <c r="KPQ24" s="720"/>
      <c r="KPR24" s="720"/>
      <c r="KPS24" s="720"/>
      <c r="KPT24" s="720"/>
      <c r="KPU24" s="720"/>
      <c r="KPV24" s="720"/>
      <c r="KPW24" s="720"/>
      <c r="KPX24" s="720"/>
      <c r="KPY24" s="720"/>
      <c r="KPZ24" s="720"/>
      <c r="KQA24" s="720"/>
      <c r="KQB24" s="720"/>
      <c r="KQC24" s="720"/>
      <c r="KQD24" s="720"/>
      <c r="KQE24" s="720"/>
      <c r="KQF24" s="720"/>
      <c r="KQG24" s="720"/>
      <c r="KQH24" s="720"/>
      <c r="KQI24" s="720"/>
      <c r="KQJ24" s="720"/>
      <c r="KQK24" s="720"/>
      <c r="KQL24" s="720"/>
      <c r="KQM24" s="720"/>
      <c r="KQN24" s="720"/>
      <c r="KQO24" s="720"/>
      <c r="KQP24" s="720"/>
      <c r="KQQ24" s="720"/>
      <c r="KQR24" s="720"/>
      <c r="KQS24" s="720"/>
      <c r="KQT24" s="720"/>
      <c r="KQU24" s="720"/>
      <c r="KQV24" s="720"/>
      <c r="KQW24" s="720"/>
      <c r="KQX24" s="720"/>
      <c r="KQY24" s="720"/>
      <c r="KQZ24" s="720"/>
      <c r="KRA24" s="720"/>
      <c r="KRB24" s="720"/>
      <c r="KRC24" s="720"/>
      <c r="KRD24" s="720"/>
      <c r="KRE24" s="720"/>
      <c r="KRF24" s="720"/>
      <c r="KRG24" s="720"/>
      <c r="KRH24" s="720"/>
      <c r="KRI24" s="720"/>
      <c r="KRJ24" s="720"/>
      <c r="KRK24" s="720"/>
      <c r="KRL24" s="720"/>
      <c r="KRM24" s="720"/>
      <c r="KRN24" s="720"/>
      <c r="KRO24" s="720"/>
      <c r="KRP24" s="720"/>
      <c r="KRQ24" s="720"/>
      <c r="KRR24" s="720"/>
      <c r="KRS24" s="720"/>
      <c r="KRT24" s="720"/>
      <c r="KRU24" s="720"/>
      <c r="KRV24" s="720"/>
      <c r="KRW24" s="720"/>
      <c r="KRX24" s="720"/>
      <c r="KRY24" s="720"/>
      <c r="KRZ24" s="720"/>
      <c r="KSA24" s="720"/>
      <c r="KSB24" s="720"/>
      <c r="KSC24" s="720"/>
      <c r="KSD24" s="720"/>
      <c r="KSE24" s="720"/>
      <c r="KSF24" s="720"/>
      <c r="KSG24" s="720"/>
      <c r="KSH24" s="720"/>
      <c r="KSI24" s="720"/>
      <c r="KSJ24" s="720"/>
      <c r="KSK24" s="720"/>
      <c r="KSL24" s="720"/>
      <c r="KSM24" s="720"/>
      <c r="KSN24" s="720"/>
      <c r="KSO24" s="720"/>
      <c r="KSP24" s="720"/>
      <c r="KSQ24" s="720"/>
      <c r="KSR24" s="720"/>
      <c r="KSS24" s="720"/>
      <c r="KST24" s="720"/>
      <c r="KSU24" s="720"/>
      <c r="KSV24" s="720"/>
      <c r="KSW24" s="720"/>
      <c r="KSX24" s="720"/>
      <c r="KSY24" s="720"/>
      <c r="KSZ24" s="720"/>
      <c r="KTA24" s="720"/>
      <c r="KTB24" s="720"/>
      <c r="KTC24" s="720"/>
      <c r="KTD24" s="720"/>
      <c r="KTE24" s="720"/>
      <c r="KTF24" s="720"/>
      <c r="KTG24" s="720"/>
      <c r="KTH24" s="720"/>
      <c r="KTI24" s="720"/>
      <c r="KTJ24" s="720"/>
      <c r="KTK24" s="720"/>
      <c r="KTL24" s="720"/>
      <c r="KTM24" s="720"/>
      <c r="KTN24" s="720"/>
      <c r="KTO24" s="720"/>
      <c r="KTP24" s="720"/>
      <c r="KTQ24" s="720"/>
      <c r="KTR24" s="720"/>
      <c r="KTS24" s="720"/>
      <c r="KTT24" s="720"/>
      <c r="KTU24" s="720"/>
      <c r="KTV24" s="720"/>
      <c r="KTW24" s="720"/>
      <c r="KTX24" s="720"/>
      <c r="KTY24" s="720"/>
      <c r="KTZ24" s="720"/>
      <c r="KUA24" s="720"/>
      <c r="KUB24" s="720"/>
      <c r="KUC24" s="720"/>
      <c r="KUD24" s="720"/>
      <c r="KUE24" s="720"/>
      <c r="KUF24" s="720"/>
      <c r="KUG24" s="720"/>
      <c r="KUH24" s="720"/>
      <c r="KUI24" s="720"/>
      <c r="KUJ24" s="720"/>
      <c r="KUK24" s="720"/>
      <c r="KUL24" s="720"/>
      <c r="KUM24" s="720"/>
      <c r="KUN24" s="720"/>
      <c r="KUO24" s="720"/>
      <c r="KUP24" s="720"/>
      <c r="KUQ24" s="720"/>
      <c r="KUR24" s="720"/>
      <c r="KUS24" s="720"/>
      <c r="KUT24" s="720"/>
      <c r="KUU24" s="720"/>
      <c r="KUV24" s="720"/>
      <c r="KUW24" s="720"/>
      <c r="KUX24" s="720"/>
      <c r="KUY24" s="720"/>
      <c r="KUZ24" s="720"/>
      <c r="KVA24" s="720"/>
      <c r="KVB24" s="720"/>
      <c r="KVC24" s="720"/>
      <c r="KVD24" s="720"/>
      <c r="KVE24" s="720"/>
      <c r="KVF24" s="720"/>
      <c r="KVG24" s="720"/>
      <c r="KVH24" s="720"/>
      <c r="KVI24" s="720"/>
      <c r="KVJ24" s="720"/>
      <c r="KVK24" s="720"/>
      <c r="KVL24" s="720"/>
      <c r="KVM24" s="720"/>
      <c r="KVN24" s="720"/>
      <c r="KVO24" s="720"/>
      <c r="KVP24" s="720"/>
      <c r="KVQ24" s="720"/>
      <c r="KVR24" s="720"/>
      <c r="KVS24" s="720"/>
      <c r="KVT24" s="720"/>
      <c r="KVU24" s="720"/>
      <c r="KVV24" s="720"/>
      <c r="KVW24" s="720"/>
      <c r="KVX24" s="720"/>
      <c r="KVY24" s="720"/>
      <c r="KVZ24" s="720"/>
      <c r="KWA24" s="720"/>
      <c r="KWB24" s="720"/>
      <c r="KWC24" s="720"/>
      <c r="KWD24" s="720"/>
      <c r="KWE24" s="720"/>
      <c r="KWF24" s="720"/>
      <c r="KWG24" s="720"/>
      <c r="KWH24" s="720"/>
      <c r="KWI24" s="720"/>
      <c r="KWJ24" s="720"/>
      <c r="KWK24" s="720"/>
      <c r="KWL24" s="720"/>
      <c r="KWM24" s="720"/>
      <c r="KWN24" s="720"/>
      <c r="KWO24" s="720"/>
      <c r="KWP24" s="720"/>
      <c r="KWQ24" s="720"/>
      <c r="KWR24" s="720"/>
      <c r="KWS24" s="720"/>
      <c r="KWT24" s="720"/>
      <c r="KWU24" s="720"/>
      <c r="KWV24" s="720"/>
      <c r="KWW24" s="720"/>
      <c r="KWX24" s="720"/>
      <c r="KWY24" s="720"/>
      <c r="KWZ24" s="720"/>
      <c r="KXA24" s="720"/>
      <c r="KXB24" s="720"/>
      <c r="KXC24" s="720"/>
      <c r="KXD24" s="720"/>
      <c r="KXE24" s="720"/>
      <c r="KXF24" s="720"/>
      <c r="KXG24" s="720"/>
      <c r="KXH24" s="720"/>
      <c r="KXI24" s="720"/>
      <c r="KXJ24" s="720"/>
      <c r="KXK24" s="720"/>
      <c r="KXL24" s="720"/>
      <c r="KXM24" s="720"/>
      <c r="KXN24" s="720"/>
      <c r="KXO24" s="720"/>
      <c r="KXP24" s="720"/>
      <c r="KXQ24" s="720"/>
      <c r="KXR24" s="720"/>
      <c r="KXS24" s="720"/>
      <c r="KXT24" s="720"/>
      <c r="KXU24" s="720"/>
      <c r="KXV24" s="720"/>
      <c r="KXW24" s="720"/>
      <c r="KXX24" s="720"/>
      <c r="KXY24" s="720"/>
      <c r="KXZ24" s="720"/>
      <c r="KYA24" s="720"/>
      <c r="KYB24" s="720"/>
      <c r="KYC24" s="720"/>
      <c r="KYD24" s="720"/>
      <c r="KYE24" s="720"/>
      <c r="KYF24" s="720"/>
      <c r="KYG24" s="720"/>
      <c r="KYH24" s="720"/>
      <c r="KYI24" s="720"/>
      <c r="KYJ24" s="720"/>
      <c r="KYK24" s="720"/>
      <c r="KYL24" s="720"/>
      <c r="KYM24" s="720"/>
      <c r="KYN24" s="720"/>
      <c r="KYO24" s="720"/>
      <c r="KYP24" s="720"/>
      <c r="KYQ24" s="720"/>
      <c r="KYR24" s="720"/>
      <c r="KYS24" s="720"/>
      <c r="KYT24" s="720"/>
      <c r="KYU24" s="720"/>
      <c r="KYV24" s="720"/>
      <c r="KYW24" s="720"/>
      <c r="KYX24" s="720"/>
      <c r="KYY24" s="720"/>
      <c r="KYZ24" s="720"/>
      <c r="KZA24" s="720"/>
      <c r="KZB24" s="720"/>
      <c r="KZC24" s="720"/>
      <c r="KZD24" s="720"/>
      <c r="KZE24" s="720"/>
      <c r="KZF24" s="720"/>
      <c r="KZG24" s="720"/>
      <c r="KZH24" s="720"/>
      <c r="KZI24" s="720"/>
      <c r="KZJ24" s="720"/>
      <c r="KZK24" s="720"/>
      <c r="KZL24" s="720"/>
      <c r="KZM24" s="720"/>
      <c r="KZN24" s="720"/>
      <c r="KZO24" s="720"/>
      <c r="KZP24" s="720"/>
      <c r="KZQ24" s="720"/>
      <c r="KZR24" s="720"/>
      <c r="KZS24" s="720"/>
      <c r="KZT24" s="720"/>
      <c r="KZU24" s="720"/>
      <c r="KZV24" s="720"/>
      <c r="KZW24" s="720"/>
      <c r="KZX24" s="720"/>
      <c r="KZY24" s="720"/>
      <c r="KZZ24" s="720"/>
      <c r="LAA24" s="720"/>
      <c r="LAB24" s="720"/>
      <c r="LAC24" s="720"/>
      <c r="LAD24" s="720"/>
      <c r="LAE24" s="720"/>
      <c r="LAF24" s="720"/>
      <c r="LAG24" s="720"/>
      <c r="LAH24" s="720"/>
      <c r="LAI24" s="720"/>
      <c r="LAJ24" s="720"/>
      <c r="LAK24" s="720"/>
      <c r="LAL24" s="720"/>
      <c r="LAM24" s="720"/>
      <c r="LAN24" s="720"/>
      <c r="LAO24" s="720"/>
      <c r="LAP24" s="720"/>
      <c r="LAQ24" s="720"/>
      <c r="LAR24" s="720"/>
      <c r="LAS24" s="720"/>
      <c r="LAT24" s="720"/>
      <c r="LAU24" s="720"/>
      <c r="LAV24" s="720"/>
      <c r="LAW24" s="720"/>
      <c r="LAX24" s="720"/>
      <c r="LAY24" s="720"/>
      <c r="LAZ24" s="720"/>
      <c r="LBA24" s="720"/>
      <c r="LBB24" s="720"/>
      <c r="LBC24" s="720"/>
      <c r="LBD24" s="720"/>
      <c r="LBE24" s="720"/>
      <c r="LBF24" s="720"/>
      <c r="LBG24" s="720"/>
      <c r="LBH24" s="720"/>
      <c r="LBI24" s="720"/>
      <c r="LBJ24" s="720"/>
      <c r="LBK24" s="720"/>
      <c r="LBL24" s="720"/>
      <c r="LBM24" s="720"/>
      <c r="LBN24" s="720"/>
      <c r="LBO24" s="720"/>
      <c r="LBP24" s="720"/>
      <c r="LBQ24" s="720"/>
      <c r="LBR24" s="720"/>
      <c r="LBS24" s="720"/>
      <c r="LBT24" s="720"/>
      <c r="LBU24" s="720"/>
      <c r="LBV24" s="720"/>
      <c r="LBW24" s="720"/>
      <c r="LBX24" s="720"/>
      <c r="LBY24" s="720"/>
      <c r="LBZ24" s="720"/>
      <c r="LCA24" s="720"/>
      <c r="LCB24" s="720"/>
      <c r="LCC24" s="720"/>
      <c r="LCD24" s="720"/>
      <c r="LCE24" s="720"/>
      <c r="LCF24" s="720"/>
      <c r="LCG24" s="720"/>
      <c r="LCH24" s="720"/>
      <c r="LCI24" s="720"/>
      <c r="LCJ24" s="720"/>
      <c r="LCK24" s="720"/>
      <c r="LCL24" s="720"/>
      <c r="LCM24" s="720"/>
      <c r="LCN24" s="720"/>
      <c r="LCO24" s="720"/>
      <c r="LCP24" s="720"/>
      <c r="LCQ24" s="720"/>
      <c r="LCR24" s="720"/>
      <c r="LCS24" s="720"/>
      <c r="LCT24" s="720"/>
      <c r="LCU24" s="720"/>
      <c r="LCV24" s="720"/>
      <c r="LCW24" s="720"/>
      <c r="LCX24" s="720"/>
      <c r="LCY24" s="720"/>
      <c r="LCZ24" s="720"/>
      <c r="LDA24" s="720"/>
      <c r="LDB24" s="720"/>
      <c r="LDC24" s="720"/>
      <c r="LDD24" s="720"/>
      <c r="LDE24" s="720"/>
      <c r="LDF24" s="720"/>
      <c r="LDG24" s="720"/>
      <c r="LDH24" s="720"/>
      <c r="LDI24" s="720"/>
      <c r="LDJ24" s="720"/>
      <c r="LDK24" s="720"/>
      <c r="LDL24" s="720"/>
      <c r="LDM24" s="720"/>
      <c r="LDN24" s="720"/>
      <c r="LDO24" s="720"/>
      <c r="LDP24" s="720"/>
      <c r="LDQ24" s="720"/>
      <c r="LDR24" s="720"/>
      <c r="LDS24" s="720"/>
      <c r="LDT24" s="720"/>
      <c r="LDU24" s="720"/>
      <c r="LDV24" s="720"/>
      <c r="LDW24" s="720"/>
      <c r="LDX24" s="720"/>
      <c r="LDY24" s="720"/>
      <c r="LDZ24" s="720"/>
      <c r="LEA24" s="720"/>
      <c r="LEB24" s="720"/>
      <c r="LEC24" s="720"/>
      <c r="LED24" s="720"/>
      <c r="LEE24" s="720"/>
      <c r="LEF24" s="720"/>
      <c r="LEG24" s="720"/>
      <c r="LEH24" s="720"/>
      <c r="LEI24" s="720"/>
      <c r="LEJ24" s="720"/>
      <c r="LEK24" s="720"/>
      <c r="LEL24" s="720"/>
      <c r="LEM24" s="720"/>
      <c r="LEN24" s="720"/>
      <c r="LEO24" s="720"/>
      <c r="LEP24" s="720"/>
      <c r="LEQ24" s="720"/>
      <c r="LER24" s="720"/>
      <c r="LES24" s="720"/>
      <c r="LET24" s="720"/>
      <c r="LEU24" s="720"/>
      <c r="LEV24" s="720"/>
      <c r="LEW24" s="720"/>
      <c r="LEX24" s="720"/>
      <c r="LEY24" s="720"/>
      <c r="LEZ24" s="720"/>
      <c r="LFA24" s="720"/>
      <c r="LFB24" s="720"/>
      <c r="LFC24" s="720"/>
      <c r="LFD24" s="720"/>
      <c r="LFE24" s="720"/>
      <c r="LFF24" s="720"/>
      <c r="LFG24" s="720"/>
      <c r="LFH24" s="720"/>
      <c r="LFI24" s="720"/>
      <c r="LFJ24" s="720"/>
      <c r="LFK24" s="720"/>
      <c r="LFL24" s="720"/>
      <c r="LFM24" s="720"/>
      <c r="LFN24" s="720"/>
      <c r="LFO24" s="720"/>
      <c r="LFP24" s="720"/>
      <c r="LFQ24" s="720"/>
      <c r="LFR24" s="720"/>
      <c r="LFS24" s="720"/>
      <c r="LFT24" s="720"/>
      <c r="LFU24" s="720"/>
      <c r="LFV24" s="720"/>
      <c r="LFW24" s="720"/>
      <c r="LFX24" s="720"/>
      <c r="LFY24" s="720"/>
      <c r="LFZ24" s="720"/>
      <c r="LGA24" s="720"/>
      <c r="LGB24" s="720"/>
      <c r="LGC24" s="720"/>
      <c r="LGD24" s="720"/>
      <c r="LGE24" s="720"/>
      <c r="LGF24" s="720"/>
      <c r="LGG24" s="720"/>
      <c r="LGH24" s="720"/>
      <c r="LGI24" s="720"/>
      <c r="LGJ24" s="720"/>
      <c r="LGK24" s="720"/>
      <c r="LGL24" s="720"/>
      <c r="LGM24" s="720"/>
      <c r="LGN24" s="720"/>
      <c r="LGO24" s="720"/>
      <c r="LGP24" s="720"/>
      <c r="LGQ24" s="720"/>
      <c r="LGR24" s="720"/>
      <c r="LGS24" s="720"/>
      <c r="LGT24" s="720"/>
      <c r="LGU24" s="720"/>
      <c r="LGV24" s="720"/>
      <c r="LGW24" s="720"/>
      <c r="LGX24" s="720"/>
      <c r="LGY24" s="720"/>
      <c r="LGZ24" s="720"/>
      <c r="LHA24" s="720"/>
      <c r="LHB24" s="720"/>
      <c r="LHC24" s="720"/>
      <c r="LHD24" s="720"/>
      <c r="LHE24" s="720"/>
      <c r="LHF24" s="720"/>
      <c r="LHG24" s="720"/>
      <c r="LHH24" s="720"/>
      <c r="LHI24" s="720"/>
      <c r="LHJ24" s="720"/>
      <c r="LHK24" s="720"/>
      <c r="LHL24" s="720"/>
      <c r="LHM24" s="720"/>
      <c r="LHN24" s="720"/>
      <c r="LHO24" s="720"/>
      <c r="LHP24" s="720"/>
      <c r="LHQ24" s="720"/>
      <c r="LHR24" s="720"/>
      <c r="LHS24" s="720"/>
      <c r="LHT24" s="720"/>
      <c r="LHU24" s="720"/>
      <c r="LHV24" s="720"/>
      <c r="LHW24" s="720"/>
      <c r="LHX24" s="720"/>
      <c r="LHY24" s="720"/>
      <c r="LHZ24" s="720"/>
      <c r="LIA24" s="720"/>
      <c r="LIB24" s="720"/>
      <c r="LIC24" s="720"/>
      <c r="LID24" s="720"/>
      <c r="LIE24" s="720"/>
      <c r="LIF24" s="720"/>
      <c r="LIG24" s="720"/>
      <c r="LIH24" s="720"/>
      <c r="LII24" s="720"/>
      <c r="LIJ24" s="720"/>
      <c r="LIK24" s="720"/>
      <c r="LIL24" s="720"/>
      <c r="LIM24" s="720"/>
      <c r="LIN24" s="720"/>
      <c r="LIO24" s="720"/>
      <c r="LIP24" s="720"/>
      <c r="LIQ24" s="720"/>
      <c r="LIR24" s="720"/>
      <c r="LIS24" s="720"/>
      <c r="LIT24" s="720"/>
      <c r="LIU24" s="720"/>
      <c r="LIV24" s="720"/>
      <c r="LIW24" s="720"/>
      <c r="LIX24" s="720"/>
      <c r="LIY24" s="720"/>
      <c r="LIZ24" s="720"/>
      <c r="LJA24" s="720"/>
      <c r="LJB24" s="720"/>
      <c r="LJC24" s="720"/>
      <c r="LJD24" s="720"/>
      <c r="LJE24" s="720"/>
      <c r="LJF24" s="720"/>
      <c r="LJG24" s="720"/>
      <c r="LJH24" s="720"/>
      <c r="LJI24" s="720"/>
      <c r="LJJ24" s="720"/>
      <c r="LJK24" s="720"/>
      <c r="LJL24" s="720"/>
      <c r="LJM24" s="720"/>
      <c r="LJN24" s="720"/>
      <c r="LJO24" s="720"/>
      <c r="LJP24" s="720"/>
      <c r="LJQ24" s="720"/>
      <c r="LJR24" s="720"/>
      <c r="LJS24" s="720"/>
      <c r="LJT24" s="720"/>
      <c r="LJU24" s="720"/>
      <c r="LJV24" s="720"/>
      <c r="LJW24" s="720"/>
      <c r="LJX24" s="720"/>
      <c r="LJY24" s="720"/>
      <c r="LJZ24" s="720"/>
      <c r="LKA24" s="720"/>
      <c r="LKB24" s="720"/>
      <c r="LKC24" s="720"/>
      <c r="LKD24" s="720"/>
      <c r="LKE24" s="720"/>
      <c r="LKF24" s="720"/>
      <c r="LKG24" s="720"/>
      <c r="LKH24" s="720"/>
      <c r="LKI24" s="720"/>
      <c r="LKJ24" s="720"/>
      <c r="LKK24" s="720"/>
      <c r="LKL24" s="720"/>
      <c r="LKM24" s="720"/>
      <c r="LKN24" s="720"/>
      <c r="LKO24" s="720"/>
      <c r="LKP24" s="720"/>
      <c r="LKQ24" s="720"/>
      <c r="LKR24" s="720"/>
      <c r="LKS24" s="720"/>
      <c r="LKT24" s="720"/>
      <c r="LKU24" s="720"/>
      <c r="LKV24" s="720"/>
      <c r="LKW24" s="720"/>
      <c r="LKX24" s="720"/>
      <c r="LKY24" s="720"/>
      <c r="LKZ24" s="720"/>
      <c r="LLA24" s="720"/>
      <c r="LLB24" s="720"/>
      <c r="LLC24" s="720"/>
      <c r="LLD24" s="720"/>
      <c r="LLE24" s="720"/>
      <c r="LLF24" s="720"/>
      <c r="LLG24" s="720"/>
      <c r="LLH24" s="720"/>
      <c r="LLI24" s="720"/>
      <c r="LLJ24" s="720"/>
      <c r="LLK24" s="720"/>
      <c r="LLL24" s="720"/>
      <c r="LLM24" s="720"/>
      <c r="LLN24" s="720"/>
      <c r="LLO24" s="720"/>
      <c r="LLP24" s="720"/>
      <c r="LLQ24" s="720"/>
      <c r="LLR24" s="720"/>
      <c r="LLS24" s="720"/>
      <c r="LLT24" s="720"/>
      <c r="LLU24" s="720"/>
      <c r="LLV24" s="720"/>
      <c r="LLW24" s="720"/>
      <c r="LLX24" s="720"/>
      <c r="LLY24" s="720"/>
      <c r="LLZ24" s="720"/>
      <c r="LMA24" s="720"/>
      <c r="LMB24" s="720"/>
      <c r="LMC24" s="720"/>
      <c r="LMD24" s="720"/>
      <c r="LME24" s="720"/>
      <c r="LMF24" s="720"/>
      <c r="LMG24" s="720"/>
      <c r="LMH24" s="720"/>
      <c r="LMI24" s="720"/>
      <c r="LMJ24" s="720"/>
      <c r="LMK24" s="720"/>
      <c r="LML24" s="720"/>
      <c r="LMM24" s="720"/>
      <c r="LMN24" s="720"/>
      <c r="LMO24" s="720"/>
      <c r="LMP24" s="720"/>
      <c r="LMQ24" s="720"/>
      <c r="LMR24" s="720"/>
      <c r="LMS24" s="720"/>
      <c r="LMT24" s="720"/>
      <c r="LMU24" s="720"/>
      <c r="LMV24" s="720"/>
      <c r="LMW24" s="720"/>
      <c r="LMX24" s="720"/>
      <c r="LMY24" s="720"/>
      <c r="LMZ24" s="720"/>
      <c r="LNA24" s="720"/>
      <c r="LNB24" s="720"/>
      <c r="LNC24" s="720"/>
      <c r="LND24" s="720"/>
      <c r="LNE24" s="720"/>
      <c r="LNF24" s="720"/>
      <c r="LNG24" s="720"/>
      <c r="LNH24" s="720"/>
      <c r="LNI24" s="720"/>
      <c r="LNJ24" s="720"/>
      <c r="LNK24" s="720"/>
      <c r="LNL24" s="720"/>
      <c r="LNM24" s="720"/>
      <c r="LNN24" s="720"/>
      <c r="LNO24" s="720"/>
      <c r="LNP24" s="720"/>
      <c r="LNQ24" s="720"/>
      <c r="LNR24" s="720"/>
      <c r="LNS24" s="720"/>
      <c r="LNT24" s="720"/>
      <c r="LNU24" s="720"/>
      <c r="LNV24" s="720"/>
      <c r="LNW24" s="720"/>
      <c r="LNX24" s="720"/>
      <c r="LNY24" s="720"/>
      <c r="LNZ24" s="720"/>
      <c r="LOA24" s="720"/>
      <c r="LOB24" s="720"/>
      <c r="LOC24" s="720"/>
      <c r="LOD24" s="720"/>
      <c r="LOE24" s="720"/>
      <c r="LOF24" s="720"/>
      <c r="LOG24" s="720"/>
      <c r="LOH24" s="720"/>
      <c r="LOI24" s="720"/>
      <c r="LOJ24" s="720"/>
      <c r="LOK24" s="720"/>
      <c r="LOL24" s="720"/>
      <c r="LOM24" s="720"/>
      <c r="LON24" s="720"/>
      <c r="LOO24" s="720"/>
      <c r="LOP24" s="720"/>
      <c r="LOQ24" s="720"/>
      <c r="LOR24" s="720"/>
      <c r="LOS24" s="720"/>
      <c r="LOT24" s="720"/>
      <c r="LOU24" s="720"/>
      <c r="LOV24" s="720"/>
      <c r="LOW24" s="720"/>
      <c r="LOX24" s="720"/>
      <c r="LOY24" s="720"/>
      <c r="LOZ24" s="720"/>
      <c r="LPA24" s="720"/>
      <c r="LPB24" s="720"/>
      <c r="LPC24" s="720"/>
      <c r="LPD24" s="720"/>
      <c r="LPE24" s="720"/>
      <c r="LPF24" s="720"/>
      <c r="LPG24" s="720"/>
      <c r="LPH24" s="720"/>
      <c r="LPI24" s="720"/>
      <c r="LPJ24" s="720"/>
      <c r="LPK24" s="720"/>
      <c r="LPL24" s="720"/>
      <c r="LPM24" s="720"/>
      <c r="LPN24" s="720"/>
      <c r="LPO24" s="720"/>
      <c r="LPP24" s="720"/>
      <c r="LPQ24" s="720"/>
      <c r="LPR24" s="720"/>
      <c r="LPS24" s="720"/>
      <c r="LPT24" s="720"/>
      <c r="LPU24" s="720"/>
      <c r="LPV24" s="720"/>
      <c r="LPW24" s="720"/>
      <c r="LPX24" s="720"/>
      <c r="LPY24" s="720"/>
      <c r="LPZ24" s="720"/>
      <c r="LQA24" s="720"/>
      <c r="LQB24" s="720"/>
      <c r="LQC24" s="720"/>
      <c r="LQD24" s="720"/>
      <c r="LQE24" s="720"/>
      <c r="LQF24" s="720"/>
      <c r="LQG24" s="720"/>
      <c r="LQH24" s="720"/>
      <c r="LQI24" s="720"/>
      <c r="LQJ24" s="720"/>
      <c r="LQK24" s="720"/>
      <c r="LQL24" s="720"/>
      <c r="LQM24" s="720"/>
      <c r="LQN24" s="720"/>
      <c r="LQO24" s="720"/>
      <c r="LQP24" s="720"/>
      <c r="LQQ24" s="720"/>
      <c r="LQR24" s="720"/>
      <c r="LQS24" s="720"/>
      <c r="LQT24" s="720"/>
      <c r="LQU24" s="720"/>
      <c r="LQV24" s="720"/>
      <c r="LQW24" s="720"/>
      <c r="LQX24" s="720"/>
      <c r="LQY24" s="720"/>
      <c r="LQZ24" s="720"/>
      <c r="LRA24" s="720"/>
      <c r="LRB24" s="720"/>
      <c r="LRC24" s="720"/>
      <c r="LRD24" s="720"/>
      <c r="LRE24" s="720"/>
      <c r="LRF24" s="720"/>
      <c r="LRG24" s="720"/>
      <c r="LRH24" s="720"/>
      <c r="LRI24" s="720"/>
      <c r="LRJ24" s="720"/>
      <c r="LRK24" s="720"/>
      <c r="LRL24" s="720"/>
      <c r="LRM24" s="720"/>
      <c r="LRN24" s="720"/>
      <c r="LRO24" s="720"/>
      <c r="LRP24" s="720"/>
      <c r="LRQ24" s="720"/>
      <c r="LRR24" s="720"/>
      <c r="LRS24" s="720"/>
      <c r="LRT24" s="720"/>
      <c r="LRU24" s="720"/>
      <c r="LRV24" s="720"/>
      <c r="LRW24" s="720"/>
      <c r="LRX24" s="720"/>
      <c r="LRY24" s="720"/>
      <c r="LRZ24" s="720"/>
      <c r="LSA24" s="720"/>
      <c r="LSB24" s="720"/>
      <c r="LSC24" s="720"/>
      <c r="LSD24" s="720"/>
      <c r="LSE24" s="720"/>
      <c r="LSF24" s="720"/>
      <c r="LSG24" s="720"/>
      <c r="LSH24" s="720"/>
      <c r="LSI24" s="720"/>
      <c r="LSJ24" s="720"/>
      <c r="LSK24" s="720"/>
      <c r="LSL24" s="720"/>
      <c r="LSM24" s="720"/>
      <c r="LSN24" s="720"/>
      <c r="LSO24" s="720"/>
      <c r="LSP24" s="720"/>
      <c r="LSQ24" s="720"/>
      <c r="LSR24" s="720"/>
      <c r="LSS24" s="720"/>
      <c r="LST24" s="720"/>
      <c r="LSU24" s="720"/>
      <c r="LSV24" s="720"/>
      <c r="LSW24" s="720"/>
      <c r="LSX24" s="720"/>
      <c r="LSY24" s="720"/>
      <c r="LSZ24" s="720"/>
      <c r="LTA24" s="720"/>
      <c r="LTB24" s="720"/>
      <c r="LTC24" s="720"/>
      <c r="LTD24" s="720"/>
      <c r="LTE24" s="720"/>
      <c r="LTF24" s="720"/>
      <c r="LTG24" s="720"/>
      <c r="LTH24" s="720"/>
      <c r="LTI24" s="720"/>
      <c r="LTJ24" s="720"/>
      <c r="LTK24" s="720"/>
      <c r="LTL24" s="720"/>
      <c r="LTM24" s="720"/>
      <c r="LTN24" s="720"/>
      <c r="LTO24" s="720"/>
      <c r="LTP24" s="720"/>
      <c r="LTQ24" s="720"/>
      <c r="LTR24" s="720"/>
      <c r="LTS24" s="720"/>
      <c r="LTT24" s="720"/>
      <c r="LTU24" s="720"/>
      <c r="LTV24" s="720"/>
      <c r="LTW24" s="720"/>
      <c r="LTX24" s="720"/>
      <c r="LTY24" s="720"/>
      <c r="LTZ24" s="720"/>
      <c r="LUA24" s="720"/>
      <c r="LUB24" s="720"/>
      <c r="LUC24" s="720"/>
      <c r="LUD24" s="720"/>
      <c r="LUE24" s="720"/>
      <c r="LUF24" s="720"/>
      <c r="LUG24" s="720"/>
      <c r="LUH24" s="720"/>
      <c r="LUI24" s="720"/>
      <c r="LUJ24" s="720"/>
      <c r="LUK24" s="720"/>
      <c r="LUL24" s="720"/>
      <c r="LUM24" s="720"/>
      <c r="LUN24" s="720"/>
      <c r="LUO24" s="720"/>
      <c r="LUP24" s="720"/>
      <c r="LUQ24" s="720"/>
      <c r="LUR24" s="720"/>
      <c r="LUS24" s="720"/>
      <c r="LUT24" s="720"/>
      <c r="LUU24" s="720"/>
      <c r="LUV24" s="720"/>
      <c r="LUW24" s="720"/>
      <c r="LUX24" s="720"/>
      <c r="LUY24" s="720"/>
      <c r="LUZ24" s="720"/>
      <c r="LVA24" s="720"/>
      <c r="LVB24" s="720"/>
      <c r="LVC24" s="720"/>
      <c r="LVD24" s="720"/>
      <c r="LVE24" s="720"/>
      <c r="LVF24" s="720"/>
      <c r="LVG24" s="720"/>
      <c r="LVH24" s="720"/>
      <c r="LVI24" s="720"/>
      <c r="LVJ24" s="720"/>
      <c r="LVK24" s="720"/>
      <c r="LVL24" s="720"/>
      <c r="LVM24" s="720"/>
      <c r="LVN24" s="720"/>
      <c r="LVO24" s="720"/>
      <c r="LVP24" s="720"/>
      <c r="LVQ24" s="720"/>
      <c r="LVR24" s="720"/>
      <c r="LVS24" s="720"/>
      <c r="LVT24" s="720"/>
      <c r="LVU24" s="720"/>
      <c r="LVV24" s="720"/>
      <c r="LVW24" s="720"/>
      <c r="LVX24" s="720"/>
      <c r="LVY24" s="720"/>
      <c r="LVZ24" s="720"/>
      <c r="LWA24" s="720"/>
      <c r="LWB24" s="720"/>
      <c r="LWC24" s="720"/>
      <c r="LWD24" s="720"/>
      <c r="LWE24" s="720"/>
      <c r="LWF24" s="720"/>
      <c r="LWG24" s="720"/>
      <c r="LWH24" s="720"/>
      <c r="LWI24" s="720"/>
      <c r="LWJ24" s="720"/>
      <c r="LWK24" s="720"/>
      <c r="LWL24" s="720"/>
      <c r="LWM24" s="720"/>
      <c r="LWN24" s="720"/>
      <c r="LWO24" s="720"/>
      <c r="LWP24" s="720"/>
      <c r="LWQ24" s="720"/>
      <c r="LWR24" s="720"/>
      <c r="LWS24" s="720"/>
      <c r="LWT24" s="720"/>
      <c r="LWU24" s="720"/>
      <c r="LWV24" s="720"/>
      <c r="LWW24" s="720"/>
      <c r="LWX24" s="720"/>
      <c r="LWY24" s="720"/>
      <c r="LWZ24" s="720"/>
      <c r="LXA24" s="720"/>
      <c r="LXB24" s="720"/>
      <c r="LXC24" s="720"/>
      <c r="LXD24" s="720"/>
      <c r="LXE24" s="720"/>
      <c r="LXF24" s="720"/>
      <c r="LXG24" s="720"/>
      <c r="LXH24" s="720"/>
      <c r="LXI24" s="720"/>
      <c r="LXJ24" s="720"/>
      <c r="LXK24" s="720"/>
      <c r="LXL24" s="720"/>
      <c r="LXM24" s="720"/>
      <c r="LXN24" s="720"/>
      <c r="LXO24" s="720"/>
      <c r="LXP24" s="720"/>
      <c r="LXQ24" s="720"/>
      <c r="LXR24" s="720"/>
      <c r="LXS24" s="720"/>
      <c r="LXT24" s="720"/>
      <c r="LXU24" s="720"/>
      <c r="LXV24" s="720"/>
      <c r="LXW24" s="720"/>
      <c r="LXX24" s="720"/>
      <c r="LXY24" s="720"/>
      <c r="LXZ24" s="720"/>
      <c r="LYA24" s="720"/>
      <c r="LYB24" s="720"/>
      <c r="LYC24" s="720"/>
      <c r="LYD24" s="720"/>
      <c r="LYE24" s="720"/>
      <c r="LYF24" s="720"/>
      <c r="LYG24" s="720"/>
      <c r="LYH24" s="720"/>
      <c r="LYI24" s="720"/>
      <c r="LYJ24" s="720"/>
      <c r="LYK24" s="720"/>
      <c r="LYL24" s="720"/>
      <c r="LYM24" s="720"/>
      <c r="LYN24" s="720"/>
      <c r="LYO24" s="720"/>
      <c r="LYP24" s="720"/>
      <c r="LYQ24" s="720"/>
      <c r="LYR24" s="720"/>
      <c r="LYS24" s="720"/>
      <c r="LYT24" s="720"/>
      <c r="LYU24" s="720"/>
      <c r="LYV24" s="720"/>
      <c r="LYW24" s="720"/>
      <c r="LYX24" s="720"/>
      <c r="LYY24" s="720"/>
      <c r="LYZ24" s="720"/>
      <c r="LZA24" s="720"/>
      <c r="LZB24" s="720"/>
      <c r="LZC24" s="720"/>
      <c r="LZD24" s="720"/>
      <c r="LZE24" s="720"/>
      <c r="LZF24" s="720"/>
      <c r="LZG24" s="720"/>
      <c r="LZH24" s="720"/>
      <c r="LZI24" s="720"/>
      <c r="LZJ24" s="720"/>
      <c r="LZK24" s="720"/>
      <c r="LZL24" s="720"/>
      <c r="LZM24" s="720"/>
      <c r="LZN24" s="720"/>
      <c r="LZO24" s="720"/>
      <c r="LZP24" s="720"/>
      <c r="LZQ24" s="720"/>
      <c r="LZR24" s="720"/>
      <c r="LZS24" s="720"/>
      <c r="LZT24" s="720"/>
      <c r="LZU24" s="720"/>
      <c r="LZV24" s="720"/>
      <c r="LZW24" s="720"/>
      <c r="LZX24" s="720"/>
      <c r="LZY24" s="720"/>
      <c r="LZZ24" s="720"/>
      <c r="MAA24" s="720"/>
      <c r="MAB24" s="720"/>
      <c r="MAC24" s="720"/>
      <c r="MAD24" s="720"/>
      <c r="MAE24" s="720"/>
      <c r="MAF24" s="720"/>
      <c r="MAG24" s="720"/>
      <c r="MAH24" s="720"/>
      <c r="MAI24" s="720"/>
      <c r="MAJ24" s="720"/>
      <c r="MAK24" s="720"/>
      <c r="MAL24" s="720"/>
      <c r="MAM24" s="720"/>
      <c r="MAN24" s="720"/>
      <c r="MAO24" s="720"/>
      <c r="MAP24" s="720"/>
      <c r="MAQ24" s="720"/>
      <c r="MAR24" s="720"/>
      <c r="MAS24" s="720"/>
      <c r="MAT24" s="720"/>
      <c r="MAU24" s="720"/>
      <c r="MAV24" s="720"/>
      <c r="MAW24" s="720"/>
      <c r="MAX24" s="720"/>
      <c r="MAY24" s="720"/>
      <c r="MAZ24" s="720"/>
      <c r="MBA24" s="720"/>
      <c r="MBB24" s="720"/>
      <c r="MBC24" s="720"/>
      <c r="MBD24" s="720"/>
      <c r="MBE24" s="720"/>
      <c r="MBF24" s="720"/>
      <c r="MBG24" s="720"/>
      <c r="MBH24" s="720"/>
      <c r="MBI24" s="720"/>
      <c r="MBJ24" s="720"/>
      <c r="MBK24" s="720"/>
      <c r="MBL24" s="720"/>
      <c r="MBM24" s="720"/>
      <c r="MBN24" s="720"/>
      <c r="MBO24" s="720"/>
      <c r="MBP24" s="720"/>
      <c r="MBQ24" s="720"/>
      <c r="MBR24" s="720"/>
      <c r="MBS24" s="720"/>
      <c r="MBT24" s="720"/>
      <c r="MBU24" s="720"/>
      <c r="MBV24" s="720"/>
      <c r="MBW24" s="720"/>
      <c r="MBX24" s="720"/>
      <c r="MBY24" s="720"/>
      <c r="MBZ24" s="720"/>
      <c r="MCA24" s="720"/>
      <c r="MCB24" s="720"/>
      <c r="MCC24" s="720"/>
      <c r="MCD24" s="720"/>
      <c r="MCE24" s="720"/>
      <c r="MCF24" s="720"/>
      <c r="MCG24" s="720"/>
      <c r="MCH24" s="720"/>
      <c r="MCI24" s="720"/>
      <c r="MCJ24" s="720"/>
      <c r="MCK24" s="720"/>
      <c r="MCL24" s="720"/>
      <c r="MCM24" s="720"/>
      <c r="MCN24" s="720"/>
      <c r="MCO24" s="720"/>
      <c r="MCP24" s="720"/>
      <c r="MCQ24" s="720"/>
      <c r="MCR24" s="720"/>
      <c r="MCS24" s="720"/>
      <c r="MCT24" s="720"/>
      <c r="MCU24" s="720"/>
      <c r="MCV24" s="720"/>
      <c r="MCW24" s="720"/>
      <c r="MCX24" s="720"/>
      <c r="MCY24" s="720"/>
      <c r="MCZ24" s="720"/>
      <c r="MDA24" s="720"/>
      <c r="MDB24" s="720"/>
      <c r="MDC24" s="720"/>
      <c r="MDD24" s="720"/>
      <c r="MDE24" s="720"/>
      <c r="MDF24" s="720"/>
      <c r="MDG24" s="720"/>
      <c r="MDH24" s="720"/>
      <c r="MDI24" s="720"/>
      <c r="MDJ24" s="720"/>
      <c r="MDK24" s="720"/>
      <c r="MDL24" s="720"/>
      <c r="MDM24" s="720"/>
      <c r="MDN24" s="720"/>
      <c r="MDO24" s="720"/>
      <c r="MDP24" s="720"/>
      <c r="MDQ24" s="720"/>
      <c r="MDR24" s="720"/>
      <c r="MDS24" s="720"/>
      <c r="MDT24" s="720"/>
      <c r="MDU24" s="720"/>
      <c r="MDV24" s="720"/>
      <c r="MDW24" s="720"/>
      <c r="MDX24" s="720"/>
      <c r="MDY24" s="720"/>
      <c r="MDZ24" s="720"/>
      <c r="MEA24" s="720"/>
      <c r="MEB24" s="720"/>
      <c r="MEC24" s="720"/>
      <c r="MED24" s="720"/>
      <c r="MEE24" s="720"/>
      <c r="MEF24" s="720"/>
      <c r="MEG24" s="720"/>
      <c r="MEH24" s="720"/>
      <c r="MEI24" s="720"/>
      <c r="MEJ24" s="720"/>
      <c r="MEK24" s="720"/>
      <c r="MEL24" s="720"/>
      <c r="MEM24" s="720"/>
      <c r="MEN24" s="720"/>
      <c r="MEO24" s="720"/>
      <c r="MEP24" s="720"/>
      <c r="MEQ24" s="720"/>
      <c r="MER24" s="720"/>
      <c r="MES24" s="720"/>
      <c r="MET24" s="720"/>
      <c r="MEU24" s="720"/>
      <c r="MEV24" s="720"/>
      <c r="MEW24" s="720"/>
      <c r="MEX24" s="720"/>
      <c r="MEY24" s="720"/>
      <c r="MEZ24" s="720"/>
      <c r="MFA24" s="720"/>
      <c r="MFB24" s="720"/>
      <c r="MFC24" s="720"/>
      <c r="MFD24" s="720"/>
      <c r="MFE24" s="720"/>
      <c r="MFF24" s="720"/>
      <c r="MFG24" s="720"/>
      <c r="MFH24" s="720"/>
      <c r="MFI24" s="720"/>
      <c r="MFJ24" s="720"/>
      <c r="MFK24" s="720"/>
      <c r="MFL24" s="720"/>
      <c r="MFM24" s="720"/>
      <c r="MFN24" s="720"/>
      <c r="MFO24" s="720"/>
      <c r="MFP24" s="720"/>
      <c r="MFQ24" s="720"/>
      <c r="MFR24" s="720"/>
      <c r="MFS24" s="720"/>
      <c r="MFT24" s="720"/>
      <c r="MFU24" s="720"/>
      <c r="MFV24" s="720"/>
      <c r="MFW24" s="720"/>
      <c r="MFX24" s="720"/>
      <c r="MFY24" s="720"/>
      <c r="MFZ24" s="720"/>
      <c r="MGA24" s="720"/>
      <c r="MGB24" s="720"/>
      <c r="MGC24" s="720"/>
      <c r="MGD24" s="720"/>
      <c r="MGE24" s="720"/>
      <c r="MGF24" s="720"/>
      <c r="MGG24" s="720"/>
      <c r="MGH24" s="720"/>
      <c r="MGI24" s="720"/>
      <c r="MGJ24" s="720"/>
      <c r="MGK24" s="720"/>
      <c r="MGL24" s="720"/>
      <c r="MGM24" s="720"/>
      <c r="MGN24" s="720"/>
      <c r="MGO24" s="720"/>
      <c r="MGP24" s="720"/>
      <c r="MGQ24" s="720"/>
      <c r="MGR24" s="720"/>
      <c r="MGS24" s="720"/>
      <c r="MGT24" s="720"/>
      <c r="MGU24" s="720"/>
      <c r="MGV24" s="720"/>
      <c r="MGW24" s="720"/>
      <c r="MGX24" s="720"/>
      <c r="MGY24" s="720"/>
      <c r="MGZ24" s="720"/>
      <c r="MHA24" s="720"/>
      <c r="MHB24" s="720"/>
      <c r="MHC24" s="720"/>
      <c r="MHD24" s="720"/>
      <c r="MHE24" s="720"/>
      <c r="MHF24" s="720"/>
      <c r="MHG24" s="720"/>
      <c r="MHH24" s="720"/>
      <c r="MHI24" s="720"/>
      <c r="MHJ24" s="720"/>
      <c r="MHK24" s="720"/>
      <c r="MHL24" s="720"/>
      <c r="MHM24" s="720"/>
      <c r="MHN24" s="720"/>
      <c r="MHO24" s="720"/>
      <c r="MHP24" s="720"/>
      <c r="MHQ24" s="720"/>
      <c r="MHR24" s="720"/>
      <c r="MHS24" s="720"/>
      <c r="MHT24" s="720"/>
      <c r="MHU24" s="720"/>
      <c r="MHV24" s="720"/>
      <c r="MHW24" s="720"/>
      <c r="MHX24" s="720"/>
      <c r="MHY24" s="720"/>
      <c r="MHZ24" s="720"/>
      <c r="MIA24" s="720"/>
      <c r="MIB24" s="720"/>
      <c r="MIC24" s="720"/>
      <c r="MID24" s="720"/>
      <c r="MIE24" s="720"/>
      <c r="MIF24" s="720"/>
      <c r="MIG24" s="720"/>
      <c r="MIH24" s="720"/>
      <c r="MII24" s="720"/>
      <c r="MIJ24" s="720"/>
      <c r="MIK24" s="720"/>
      <c r="MIL24" s="720"/>
      <c r="MIM24" s="720"/>
      <c r="MIN24" s="720"/>
      <c r="MIO24" s="720"/>
      <c r="MIP24" s="720"/>
      <c r="MIQ24" s="720"/>
      <c r="MIR24" s="720"/>
      <c r="MIS24" s="720"/>
      <c r="MIT24" s="720"/>
      <c r="MIU24" s="720"/>
      <c r="MIV24" s="720"/>
      <c r="MIW24" s="720"/>
      <c r="MIX24" s="720"/>
      <c r="MIY24" s="720"/>
      <c r="MIZ24" s="720"/>
      <c r="MJA24" s="720"/>
      <c r="MJB24" s="720"/>
      <c r="MJC24" s="720"/>
      <c r="MJD24" s="720"/>
      <c r="MJE24" s="720"/>
      <c r="MJF24" s="720"/>
      <c r="MJG24" s="720"/>
      <c r="MJH24" s="720"/>
      <c r="MJI24" s="720"/>
      <c r="MJJ24" s="720"/>
      <c r="MJK24" s="720"/>
      <c r="MJL24" s="720"/>
      <c r="MJM24" s="720"/>
      <c r="MJN24" s="720"/>
      <c r="MJO24" s="720"/>
      <c r="MJP24" s="720"/>
      <c r="MJQ24" s="720"/>
      <c r="MJR24" s="720"/>
      <c r="MJS24" s="720"/>
      <c r="MJT24" s="720"/>
      <c r="MJU24" s="720"/>
      <c r="MJV24" s="720"/>
      <c r="MJW24" s="720"/>
      <c r="MJX24" s="720"/>
      <c r="MJY24" s="720"/>
      <c r="MJZ24" s="720"/>
      <c r="MKA24" s="720"/>
      <c r="MKB24" s="720"/>
      <c r="MKC24" s="720"/>
      <c r="MKD24" s="720"/>
      <c r="MKE24" s="720"/>
      <c r="MKF24" s="720"/>
      <c r="MKG24" s="720"/>
      <c r="MKH24" s="720"/>
      <c r="MKI24" s="720"/>
      <c r="MKJ24" s="720"/>
      <c r="MKK24" s="720"/>
      <c r="MKL24" s="720"/>
      <c r="MKM24" s="720"/>
      <c r="MKN24" s="720"/>
      <c r="MKO24" s="720"/>
      <c r="MKP24" s="720"/>
      <c r="MKQ24" s="720"/>
      <c r="MKR24" s="720"/>
      <c r="MKS24" s="720"/>
      <c r="MKT24" s="720"/>
      <c r="MKU24" s="720"/>
      <c r="MKV24" s="720"/>
      <c r="MKW24" s="720"/>
      <c r="MKX24" s="720"/>
      <c r="MKY24" s="720"/>
      <c r="MKZ24" s="720"/>
      <c r="MLA24" s="720"/>
      <c r="MLB24" s="720"/>
      <c r="MLC24" s="720"/>
      <c r="MLD24" s="720"/>
      <c r="MLE24" s="720"/>
      <c r="MLF24" s="720"/>
      <c r="MLG24" s="720"/>
      <c r="MLH24" s="720"/>
      <c r="MLI24" s="720"/>
      <c r="MLJ24" s="720"/>
      <c r="MLK24" s="720"/>
      <c r="MLL24" s="720"/>
      <c r="MLM24" s="720"/>
      <c r="MLN24" s="720"/>
      <c r="MLO24" s="720"/>
      <c r="MLP24" s="720"/>
      <c r="MLQ24" s="720"/>
      <c r="MLR24" s="720"/>
      <c r="MLS24" s="720"/>
      <c r="MLT24" s="720"/>
      <c r="MLU24" s="720"/>
      <c r="MLV24" s="720"/>
      <c r="MLW24" s="720"/>
      <c r="MLX24" s="720"/>
      <c r="MLY24" s="720"/>
      <c r="MLZ24" s="720"/>
      <c r="MMA24" s="720"/>
      <c r="MMB24" s="720"/>
      <c r="MMC24" s="720"/>
      <c r="MMD24" s="720"/>
      <c r="MME24" s="720"/>
      <c r="MMF24" s="720"/>
      <c r="MMG24" s="720"/>
      <c r="MMH24" s="720"/>
      <c r="MMI24" s="720"/>
      <c r="MMJ24" s="720"/>
      <c r="MMK24" s="720"/>
      <c r="MML24" s="720"/>
      <c r="MMM24" s="720"/>
      <c r="MMN24" s="720"/>
      <c r="MMO24" s="720"/>
      <c r="MMP24" s="720"/>
      <c r="MMQ24" s="720"/>
      <c r="MMR24" s="720"/>
      <c r="MMS24" s="720"/>
      <c r="MMT24" s="720"/>
      <c r="MMU24" s="720"/>
      <c r="MMV24" s="720"/>
      <c r="MMW24" s="720"/>
      <c r="MMX24" s="720"/>
      <c r="MMY24" s="720"/>
      <c r="MMZ24" s="720"/>
      <c r="MNA24" s="720"/>
      <c r="MNB24" s="720"/>
      <c r="MNC24" s="720"/>
      <c r="MND24" s="720"/>
      <c r="MNE24" s="720"/>
      <c r="MNF24" s="720"/>
      <c r="MNG24" s="720"/>
      <c r="MNH24" s="720"/>
      <c r="MNI24" s="720"/>
      <c r="MNJ24" s="720"/>
      <c r="MNK24" s="720"/>
      <c r="MNL24" s="720"/>
      <c r="MNM24" s="720"/>
      <c r="MNN24" s="720"/>
      <c r="MNO24" s="720"/>
      <c r="MNP24" s="720"/>
      <c r="MNQ24" s="720"/>
      <c r="MNR24" s="720"/>
      <c r="MNS24" s="720"/>
      <c r="MNT24" s="720"/>
      <c r="MNU24" s="720"/>
      <c r="MNV24" s="720"/>
      <c r="MNW24" s="720"/>
      <c r="MNX24" s="720"/>
      <c r="MNY24" s="720"/>
      <c r="MNZ24" s="720"/>
      <c r="MOA24" s="720"/>
      <c r="MOB24" s="720"/>
      <c r="MOC24" s="720"/>
      <c r="MOD24" s="720"/>
      <c r="MOE24" s="720"/>
      <c r="MOF24" s="720"/>
      <c r="MOG24" s="720"/>
      <c r="MOH24" s="720"/>
      <c r="MOI24" s="720"/>
      <c r="MOJ24" s="720"/>
      <c r="MOK24" s="720"/>
      <c r="MOL24" s="720"/>
      <c r="MOM24" s="720"/>
      <c r="MON24" s="720"/>
      <c r="MOO24" s="720"/>
      <c r="MOP24" s="720"/>
      <c r="MOQ24" s="720"/>
      <c r="MOR24" s="720"/>
      <c r="MOS24" s="720"/>
      <c r="MOT24" s="720"/>
      <c r="MOU24" s="720"/>
      <c r="MOV24" s="720"/>
      <c r="MOW24" s="720"/>
      <c r="MOX24" s="720"/>
      <c r="MOY24" s="720"/>
      <c r="MOZ24" s="720"/>
      <c r="MPA24" s="720"/>
      <c r="MPB24" s="720"/>
      <c r="MPC24" s="720"/>
      <c r="MPD24" s="720"/>
      <c r="MPE24" s="720"/>
      <c r="MPF24" s="720"/>
      <c r="MPG24" s="720"/>
      <c r="MPH24" s="720"/>
      <c r="MPI24" s="720"/>
      <c r="MPJ24" s="720"/>
      <c r="MPK24" s="720"/>
      <c r="MPL24" s="720"/>
      <c r="MPM24" s="720"/>
      <c r="MPN24" s="720"/>
      <c r="MPO24" s="720"/>
      <c r="MPP24" s="720"/>
      <c r="MPQ24" s="720"/>
      <c r="MPR24" s="720"/>
      <c r="MPS24" s="720"/>
      <c r="MPT24" s="720"/>
      <c r="MPU24" s="720"/>
      <c r="MPV24" s="720"/>
      <c r="MPW24" s="720"/>
      <c r="MPX24" s="720"/>
      <c r="MPY24" s="720"/>
      <c r="MPZ24" s="720"/>
      <c r="MQA24" s="720"/>
      <c r="MQB24" s="720"/>
      <c r="MQC24" s="720"/>
      <c r="MQD24" s="720"/>
      <c r="MQE24" s="720"/>
      <c r="MQF24" s="720"/>
      <c r="MQG24" s="720"/>
      <c r="MQH24" s="720"/>
      <c r="MQI24" s="720"/>
      <c r="MQJ24" s="720"/>
      <c r="MQK24" s="720"/>
      <c r="MQL24" s="720"/>
      <c r="MQM24" s="720"/>
      <c r="MQN24" s="720"/>
      <c r="MQO24" s="720"/>
      <c r="MQP24" s="720"/>
      <c r="MQQ24" s="720"/>
      <c r="MQR24" s="720"/>
      <c r="MQS24" s="720"/>
      <c r="MQT24" s="720"/>
      <c r="MQU24" s="720"/>
      <c r="MQV24" s="720"/>
      <c r="MQW24" s="720"/>
      <c r="MQX24" s="720"/>
      <c r="MQY24" s="720"/>
      <c r="MQZ24" s="720"/>
      <c r="MRA24" s="720"/>
      <c r="MRB24" s="720"/>
      <c r="MRC24" s="720"/>
      <c r="MRD24" s="720"/>
      <c r="MRE24" s="720"/>
      <c r="MRF24" s="720"/>
      <c r="MRG24" s="720"/>
      <c r="MRH24" s="720"/>
      <c r="MRI24" s="720"/>
      <c r="MRJ24" s="720"/>
      <c r="MRK24" s="720"/>
      <c r="MRL24" s="720"/>
      <c r="MRM24" s="720"/>
      <c r="MRN24" s="720"/>
      <c r="MRO24" s="720"/>
      <c r="MRP24" s="720"/>
      <c r="MRQ24" s="720"/>
      <c r="MRR24" s="720"/>
      <c r="MRS24" s="720"/>
      <c r="MRT24" s="720"/>
      <c r="MRU24" s="720"/>
      <c r="MRV24" s="720"/>
      <c r="MRW24" s="720"/>
      <c r="MRX24" s="720"/>
      <c r="MRY24" s="720"/>
      <c r="MRZ24" s="720"/>
      <c r="MSA24" s="720"/>
      <c r="MSB24" s="720"/>
      <c r="MSC24" s="720"/>
      <c r="MSD24" s="720"/>
      <c r="MSE24" s="720"/>
      <c r="MSF24" s="720"/>
      <c r="MSG24" s="720"/>
      <c r="MSH24" s="720"/>
      <c r="MSI24" s="720"/>
      <c r="MSJ24" s="720"/>
      <c r="MSK24" s="720"/>
      <c r="MSL24" s="720"/>
      <c r="MSM24" s="720"/>
      <c r="MSN24" s="720"/>
      <c r="MSO24" s="720"/>
      <c r="MSP24" s="720"/>
      <c r="MSQ24" s="720"/>
      <c r="MSR24" s="720"/>
      <c r="MSS24" s="720"/>
      <c r="MST24" s="720"/>
      <c r="MSU24" s="720"/>
      <c r="MSV24" s="720"/>
      <c r="MSW24" s="720"/>
      <c r="MSX24" s="720"/>
      <c r="MSY24" s="720"/>
      <c r="MSZ24" s="720"/>
      <c r="MTA24" s="720"/>
      <c r="MTB24" s="720"/>
      <c r="MTC24" s="720"/>
      <c r="MTD24" s="720"/>
      <c r="MTE24" s="720"/>
      <c r="MTF24" s="720"/>
      <c r="MTG24" s="720"/>
      <c r="MTH24" s="720"/>
      <c r="MTI24" s="720"/>
      <c r="MTJ24" s="720"/>
      <c r="MTK24" s="720"/>
      <c r="MTL24" s="720"/>
      <c r="MTM24" s="720"/>
      <c r="MTN24" s="720"/>
      <c r="MTO24" s="720"/>
      <c r="MTP24" s="720"/>
      <c r="MTQ24" s="720"/>
      <c r="MTR24" s="720"/>
      <c r="MTS24" s="720"/>
      <c r="MTT24" s="720"/>
      <c r="MTU24" s="720"/>
      <c r="MTV24" s="720"/>
      <c r="MTW24" s="720"/>
      <c r="MTX24" s="720"/>
      <c r="MTY24" s="720"/>
      <c r="MTZ24" s="720"/>
      <c r="MUA24" s="720"/>
      <c r="MUB24" s="720"/>
      <c r="MUC24" s="720"/>
      <c r="MUD24" s="720"/>
      <c r="MUE24" s="720"/>
      <c r="MUF24" s="720"/>
      <c r="MUG24" s="720"/>
      <c r="MUH24" s="720"/>
      <c r="MUI24" s="720"/>
      <c r="MUJ24" s="720"/>
      <c r="MUK24" s="720"/>
      <c r="MUL24" s="720"/>
      <c r="MUM24" s="720"/>
      <c r="MUN24" s="720"/>
      <c r="MUO24" s="720"/>
      <c r="MUP24" s="720"/>
      <c r="MUQ24" s="720"/>
      <c r="MUR24" s="720"/>
      <c r="MUS24" s="720"/>
      <c r="MUT24" s="720"/>
      <c r="MUU24" s="720"/>
      <c r="MUV24" s="720"/>
      <c r="MUW24" s="720"/>
      <c r="MUX24" s="720"/>
      <c r="MUY24" s="720"/>
      <c r="MUZ24" s="720"/>
      <c r="MVA24" s="720"/>
      <c r="MVB24" s="720"/>
      <c r="MVC24" s="720"/>
      <c r="MVD24" s="720"/>
      <c r="MVE24" s="720"/>
      <c r="MVF24" s="720"/>
      <c r="MVG24" s="720"/>
      <c r="MVH24" s="720"/>
      <c r="MVI24" s="720"/>
      <c r="MVJ24" s="720"/>
      <c r="MVK24" s="720"/>
      <c r="MVL24" s="720"/>
      <c r="MVM24" s="720"/>
      <c r="MVN24" s="720"/>
      <c r="MVO24" s="720"/>
      <c r="MVP24" s="720"/>
      <c r="MVQ24" s="720"/>
      <c r="MVR24" s="720"/>
      <c r="MVS24" s="720"/>
      <c r="MVT24" s="720"/>
      <c r="MVU24" s="720"/>
      <c r="MVV24" s="720"/>
      <c r="MVW24" s="720"/>
      <c r="MVX24" s="720"/>
      <c r="MVY24" s="720"/>
      <c r="MVZ24" s="720"/>
      <c r="MWA24" s="720"/>
      <c r="MWB24" s="720"/>
      <c r="MWC24" s="720"/>
      <c r="MWD24" s="720"/>
      <c r="MWE24" s="720"/>
      <c r="MWF24" s="720"/>
      <c r="MWG24" s="720"/>
      <c r="MWH24" s="720"/>
      <c r="MWI24" s="720"/>
      <c r="MWJ24" s="720"/>
      <c r="MWK24" s="720"/>
      <c r="MWL24" s="720"/>
      <c r="MWM24" s="720"/>
      <c r="MWN24" s="720"/>
      <c r="MWO24" s="720"/>
      <c r="MWP24" s="720"/>
      <c r="MWQ24" s="720"/>
      <c r="MWR24" s="720"/>
      <c r="MWS24" s="720"/>
      <c r="MWT24" s="720"/>
      <c r="MWU24" s="720"/>
      <c r="MWV24" s="720"/>
      <c r="MWW24" s="720"/>
      <c r="MWX24" s="720"/>
      <c r="MWY24" s="720"/>
      <c r="MWZ24" s="720"/>
      <c r="MXA24" s="720"/>
      <c r="MXB24" s="720"/>
      <c r="MXC24" s="720"/>
      <c r="MXD24" s="720"/>
      <c r="MXE24" s="720"/>
      <c r="MXF24" s="720"/>
      <c r="MXG24" s="720"/>
      <c r="MXH24" s="720"/>
      <c r="MXI24" s="720"/>
      <c r="MXJ24" s="720"/>
      <c r="MXK24" s="720"/>
      <c r="MXL24" s="720"/>
      <c r="MXM24" s="720"/>
      <c r="MXN24" s="720"/>
      <c r="MXO24" s="720"/>
      <c r="MXP24" s="720"/>
      <c r="MXQ24" s="720"/>
      <c r="MXR24" s="720"/>
      <c r="MXS24" s="720"/>
      <c r="MXT24" s="720"/>
      <c r="MXU24" s="720"/>
      <c r="MXV24" s="720"/>
      <c r="MXW24" s="720"/>
      <c r="MXX24" s="720"/>
      <c r="MXY24" s="720"/>
      <c r="MXZ24" s="720"/>
      <c r="MYA24" s="720"/>
      <c r="MYB24" s="720"/>
      <c r="MYC24" s="720"/>
      <c r="MYD24" s="720"/>
      <c r="MYE24" s="720"/>
      <c r="MYF24" s="720"/>
      <c r="MYG24" s="720"/>
      <c r="MYH24" s="720"/>
      <c r="MYI24" s="720"/>
      <c r="MYJ24" s="720"/>
      <c r="MYK24" s="720"/>
      <c r="MYL24" s="720"/>
      <c r="MYM24" s="720"/>
      <c r="MYN24" s="720"/>
      <c r="MYO24" s="720"/>
      <c r="MYP24" s="720"/>
      <c r="MYQ24" s="720"/>
      <c r="MYR24" s="720"/>
      <c r="MYS24" s="720"/>
      <c r="MYT24" s="720"/>
      <c r="MYU24" s="720"/>
      <c r="MYV24" s="720"/>
      <c r="MYW24" s="720"/>
      <c r="MYX24" s="720"/>
      <c r="MYY24" s="720"/>
      <c r="MYZ24" s="720"/>
      <c r="MZA24" s="720"/>
      <c r="MZB24" s="720"/>
      <c r="MZC24" s="720"/>
      <c r="MZD24" s="720"/>
      <c r="MZE24" s="720"/>
      <c r="MZF24" s="720"/>
      <c r="MZG24" s="720"/>
      <c r="MZH24" s="720"/>
      <c r="MZI24" s="720"/>
      <c r="MZJ24" s="720"/>
      <c r="MZK24" s="720"/>
      <c r="MZL24" s="720"/>
      <c r="MZM24" s="720"/>
      <c r="MZN24" s="720"/>
      <c r="MZO24" s="720"/>
      <c r="MZP24" s="720"/>
      <c r="MZQ24" s="720"/>
      <c r="MZR24" s="720"/>
      <c r="MZS24" s="720"/>
      <c r="MZT24" s="720"/>
      <c r="MZU24" s="720"/>
      <c r="MZV24" s="720"/>
      <c r="MZW24" s="720"/>
      <c r="MZX24" s="720"/>
      <c r="MZY24" s="720"/>
      <c r="MZZ24" s="720"/>
      <c r="NAA24" s="720"/>
      <c r="NAB24" s="720"/>
      <c r="NAC24" s="720"/>
      <c r="NAD24" s="720"/>
      <c r="NAE24" s="720"/>
      <c r="NAF24" s="720"/>
      <c r="NAG24" s="720"/>
      <c r="NAH24" s="720"/>
      <c r="NAI24" s="720"/>
      <c r="NAJ24" s="720"/>
      <c r="NAK24" s="720"/>
      <c r="NAL24" s="720"/>
      <c r="NAM24" s="720"/>
      <c r="NAN24" s="720"/>
      <c r="NAO24" s="720"/>
      <c r="NAP24" s="720"/>
      <c r="NAQ24" s="720"/>
      <c r="NAR24" s="720"/>
      <c r="NAS24" s="720"/>
      <c r="NAT24" s="720"/>
      <c r="NAU24" s="720"/>
      <c r="NAV24" s="720"/>
      <c r="NAW24" s="720"/>
      <c r="NAX24" s="720"/>
      <c r="NAY24" s="720"/>
      <c r="NAZ24" s="720"/>
      <c r="NBA24" s="720"/>
      <c r="NBB24" s="720"/>
      <c r="NBC24" s="720"/>
      <c r="NBD24" s="720"/>
      <c r="NBE24" s="720"/>
      <c r="NBF24" s="720"/>
      <c r="NBG24" s="720"/>
      <c r="NBH24" s="720"/>
      <c r="NBI24" s="720"/>
      <c r="NBJ24" s="720"/>
      <c r="NBK24" s="720"/>
      <c r="NBL24" s="720"/>
      <c r="NBM24" s="720"/>
      <c r="NBN24" s="720"/>
      <c r="NBO24" s="720"/>
      <c r="NBP24" s="720"/>
      <c r="NBQ24" s="720"/>
      <c r="NBR24" s="720"/>
      <c r="NBS24" s="720"/>
      <c r="NBT24" s="720"/>
      <c r="NBU24" s="720"/>
      <c r="NBV24" s="720"/>
      <c r="NBW24" s="720"/>
      <c r="NBX24" s="720"/>
      <c r="NBY24" s="720"/>
      <c r="NBZ24" s="720"/>
      <c r="NCA24" s="720"/>
      <c r="NCB24" s="720"/>
      <c r="NCC24" s="720"/>
      <c r="NCD24" s="720"/>
      <c r="NCE24" s="720"/>
      <c r="NCF24" s="720"/>
      <c r="NCG24" s="720"/>
      <c r="NCH24" s="720"/>
      <c r="NCI24" s="720"/>
      <c r="NCJ24" s="720"/>
      <c r="NCK24" s="720"/>
      <c r="NCL24" s="720"/>
      <c r="NCM24" s="720"/>
      <c r="NCN24" s="720"/>
      <c r="NCO24" s="720"/>
      <c r="NCP24" s="720"/>
      <c r="NCQ24" s="720"/>
      <c r="NCR24" s="720"/>
      <c r="NCS24" s="720"/>
      <c r="NCT24" s="720"/>
      <c r="NCU24" s="720"/>
      <c r="NCV24" s="720"/>
      <c r="NCW24" s="720"/>
      <c r="NCX24" s="720"/>
      <c r="NCY24" s="720"/>
      <c r="NCZ24" s="720"/>
      <c r="NDA24" s="720"/>
      <c r="NDB24" s="720"/>
      <c r="NDC24" s="720"/>
      <c r="NDD24" s="720"/>
      <c r="NDE24" s="720"/>
      <c r="NDF24" s="720"/>
      <c r="NDG24" s="720"/>
      <c r="NDH24" s="720"/>
      <c r="NDI24" s="720"/>
      <c r="NDJ24" s="720"/>
      <c r="NDK24" s="720"/>
      <c r="NDL24" s="720"/>
      <c r="NDM24" s="720"/>
      <c r="NDN24" s="720"/>
      <c r="NDO24" s="720"/>
      <c r="NDP24" s="720"/>
      <c r="NDQ24" s="720"/>
      <c r="NDR24" s="720"/>
      <c r="NDS24" s="720"/>
      <c r="NDT24" s="720"/>
      <c r="NDU24" s="720"/>
      <c r="NDV24" s="720"/>
      <c r="NDW24" s="720"/>
      <c r="NDX24" s="720"/>
      <c r="NDY24" s="720"/>
      <c r="NDZ24" s="720"/>
      <c r="NEA24" s="720"/>
      <c r="NEB24" s="720"/>
      <c r="NEC24" s="720"/>
      <c r="NED24" s="720"/>
      <c r="NEE24" s="720"/>
      <c r="NEF24" s="720"/>
      <c r="NEG24" s="720"/>
      <c r="NEH24" s="720"/>
      <c r="NEI24" s="720"/>
      <c r="NEJ24" s="720"/>
      <c r="NEK24" s="720"/>
      <c r="NEL24" s="720"/>
      <c r="NEM24" s="720"/>
      <c r="NEN24" s="720"/>
      <c r="NEO24" s="720"/>
      <c r="NEP24" s="720"/>
      <c r="NEQ24" s="720"/>
      <c r="NER24" s="720"/>
      <c r="NES24" s="720"/>
      <c r="NET24" s="720"/>
      <c r="NEU24" s="720"/>
      <c r="NEV24" s="720"/>
      <c r="NEW24" s="720"/>
      <c r="NEX24" s="720"/>
      <c r="NEY24" s="720"/>
      <c r="NEZ24" s="720"/>
      <c r="NFA24" s="720"/>
      <c r="NFB24" s="720"/>
      <c r="NFC24" s="720"/>
      <c r="NFD24" s="720"/>
      <c r="NFE24" s="720"/>
      <c r="NFF24" s="720"/>
      <c r="NFG24" s="720"/>
      <c r="NFH24" s="720"/>
      <c r="NFI24" s="720"/>
      <c r="NFJ24" s="720"/>
      <c r="NFK24" s="720"/>
      <c r="NFL24" s="720"/>
      <c r="NFM24" s="720"/>
      <c r="NFN24" s="720"/>
      <c r="NFO24" s="720"/>
      <c r="NFP24" s="720"/>
      <c r="NFQ24" s="720"/>
      <c r="NFR24" s="720"/>
      <c r="NFS24" s="720"/>
      <c r="NFT24" s="720"/>
      <c r="NFU24" s="720"/>
      <c r="NFV24" s="720"/>
      <c r="NFW24" s="720"/>
      <c r="NFX24" s="720"/>
      <c r="NFY24" s="720"/>
      <c r="NFZ24" s="720"/>
      <c r="NGA24" s="720"/>
      <c r="NGB24" s="720"/>
      <c r="NGC24" s="720"/>
      <c r="NGD24" s="720"/>
      <c r="NGE24" s="720"/>
      <c r="NGF24" s="720"/>
      <c r="NGG24" s="720"/>
      <c r="NGH24" s="720"/>
      <c r="NGI24" s="720"/>
      <c r="NGJ24" s="720"/>
      <c r="NGK24" s="720"/>
      <c r="NGL24" s="720"/>
      <c r="NGM24" s="720"/>
      <c r="NGN24" s="720"/>
      <c r="NGO24" s="720"/>
      <c r="NGP24" s="720"/>
      <c r="NGQ24" s="720"/>
      <c r="NGR24" s="720"/>
      <c r="NGS24" s="720"/>
      <c r="NGT24" s="720"/>
      <c r="NGU24" s="720"/>
      <c r="NGV24" s="720"/>
      <c r="NGW24" s="720"/>
      <c r="NGX24" s="720"/>
      <c r="NGY24" s="720"/>
      <c r="NGZ24" s="720"/>
      <c r="NHA24" s="720"/>
      <c r="NHB24" s="720"/>
      <c r="NHC24" s="720"/>
      <c r="NHD24" s="720"/>
      <c r="NHE24" s="720"/>
      <c r="NHF24" s="720"/>
      <c r="NHG24" s="720"/>
      <c r="NHH24" s="720"/>
      <c r="NHI24" s="720"/>
      <c r="NHJ24" s="720"/>
      <c r="NHK24" s="720"/>
      <c r="NHL24" s="720"/>
      <c r="NHM24" s="720"/>
      <c r="NHN24" s="720"/>
      <c r="NHO24" s="720"/>
      <c r="NHP24" s="720"/>
      <c r="NHQ24" s="720"/>
      <c r="NHR24" s="720"/>
      <c r="NHS24" s="720"/>
      <c r="NHT24" s="720"/>
      <c r="NHU24" s="720"/>
      <c r="NHV24" s="720"/>
      <c r="NHW24" s="720"/>
      <c r="NHX24" s="720"/>
      <c r="NHY24" s="720"/>
      <c r="NHZ24" s="720"/>
      <c r="NIA24" s="720"/>
      <c r="NIB24" s="720"/>
      <c r="NIC24" s="720"/>
      <c r="NID24" s="720"/>
      <c r="NIE24" s="720"/>
      <c r="NIF24" s="720"/>
      <c r="NIG24" s="720"/>
      <c r="NIH24" s="720"/>
      <c r="NII24" s="720"/>
      <c r="NIJ24" s="720"/>
      <c r="NIK24" s="720"/>
      <c r="NIL24" s="720"/>
      <c r="NIM24" s="720"/>
      <c r="NIN24" s="720"/>
      <c r="NIO24" s="720"/>
      <c r="NIP24" s="720"/>
      <c r="NIQ24" s="720"/>
      <c r="NIR24" s="720"/>
      <c r="NIS24" s="720"/>
      <c r="NIT24" s="720"/>
      <c r="NIU24" s="720"/>
      <c r="NIV24" s="720"/>
      <c r="NIW24" s="720"/>
      <c r="NIX24" s="720"/>
      <c r="NIY24" s="720"/>
      <c r="NIZ24" s="720"/>
      <c r="NJA24" s="720"/>
      <c r="NJB24" s="720"/>
      <c r="NJC24" s="720"/>
      <c r="NJD24" s="720"/>
      <c r="NJE24" s="720"/>
      <c r="NJF24" s="720"/>
      <c r="NJG24" s="720"/>
      <c r="NJH24" s="720"/>
      <c r="NJI24" s="720"/>
      <c r="NJJ24" s="720"/>
      <c r="NJK24" s="720"/>
      <c r="NJL24" s="720"/>
      <c r="NJM24" s="720"/>
      <c r="NJN24" s="720"/>
      <c r="NJO24" s="720"/>
      <c r="NJP24" s="720"/>
      <c r="NJQ24" s="720"/>
      <c r="NJR24" s="720"/>
      <c r="NJS24" s="720"/>
      <c r="NJT24" s="720"/>
      <c r="NJU24" s="720"/>
      <c r="NJV24" s="720"/>
      <c r="NJW24" s="720"/>
      <c r="NJX24" s="720"/>
      <c r="NJY24" s="720"/>
      <c r="NJZ24" s="720"/>
      <c r="NKA24" s="720"/>
      <c r="NKB24" s="720"/>
      <c r="NKC24" s="720"/>
      <c r="NKD24" s="720"/>
      <c r="NKE24" s="720"/>
      <c r="NKF24" s="720"/>
      <c r="NKG24" s="720"/>
      <c r="NKH24" s="720"/>
      <c r="NKI24" s="720"/>
      <c r="NKJ24" s="720"/>
      <c r="NKK24" s="720"/>
      <c r="NKL24" s="720"/>
      <c r="NKM24" s="720"/>
      <c r="NKN24" s="720"/>
      <c r="NKO24" s="720"/>
      <c r="NKP24" s="720"/>
      <c r="NKQ24" s="720"/>
      <c r="NKR24" s="720"/>
      <c r="NKS24" s="720"/>
      <c r="NKT24" s="720"/>
      <c r="NKU24" s="720"/>
      <c r="NKV24" s="720"/>
      <c r="NKW24" s="720"/>
      <c r="NKX24" s="720"/>
      <c r="NKY24" s="720"/>
      <c r="NKZ24" s="720"/>
      <c r="NLA24" s="720"/>
      <c r="NLB24" s="720"/>
      <c r="NLC24" s="720"/>
      <c r="NLD24" s="720"/>
      <c r="NLE24" s="720"/>
      <c r="NLF24" s="720"/>
      <c r="NLG24" s="720"/>
      <c r="NLH24" s="720"/>
      <c r="NLI24" s="720"/>
      <c r="NLJ24" s="720"/>
      <c r="NLK24" s="720"/>
      <c r="NLL24" s="720"/>
      <c r="NLM24" s="720"/>
      <c r="NLN24" s="720"/>
      <c r="NLO24" s="720"/>
      <c r="NLP24" s="720"/>
      <c r="NLQ24" s="720"/>
      <c r="NLR24" s="720"/>
      <c r="NLS24" s="720"/>
      <c r="NLT24" s="720"/>
      <c r="NLU24" s="720"/>
      <c r="NLV24" s="720"/>
      <c r="NLW24" s="720"/>
      <c r="NLX24" s="720"/>
      <c r="NLY24" s="720"/>
      <c r="NLZ24" s="720"/>
      <c r="NMA24" s="720"/>
      <c r="NMB24" s="720"/>
      <c r="NMC24" s="720"/>
      <c r="NMD24" s="720"/>
      <c r="NME24" s="720"/>
      <c r="NMF24" s="720"/>
      <c r="NMG24" s="720"/>
      <c r="NMH24" s="720"/>
      <c r="NMI24" s="720"/>
      <c r="NMJ24" s="720"/>
      <c r="NMK24" s="720"/>
      <c r="NML24" s="720"/>
      <c r="NMM24" s="720"/>
      <c r="NMN24" s="720"/>
      <c r="NMO24" s="720"/>
      <c r="NMP24" s="720"/>
      <c r="NMQ24" s="720"/>
      <c r="NMR24" s="720"/>
      <c r="NMS24" s="720"/>
      <c r="NMT24" s="720"/>
      <c r="NMU24" s="720"/>
      <c r="NMV24" s="720"/>
      <c r="NMW24" s="720"/>
      <c r="NMX24" s="720"/>
      <c r="NMY24" s="720"/>
      <c r="NMZ24" s="720"/>
      <c r="NNA24" s="720"/>
      <c r="NNB24" s="720"/>
      <c r="NNC24" s="720"/>
      <c r="NND24" s="720"/>
      <c r="NNE24" s="720"/>
      <c r="NNF24" s="720"/>
      <c r="NNG24" s="720"/>
      <c r="NNH24" s="720"/>
      <c r="NNI24" s="720"/>
      <c r="NNJ24" s="720"/>
      <c r="NNK24" s="720"/>
      <c r="NNL24" s="720"/>
      <c r="NNM24" s="720"/>
      <c r="NNN24" s="720"/>
      <c r="NNO24" s="720"/>
      <c r="NNP24" s="720"/>
      <c r="NNQ24" s="720"/>
      <c r="NNR24" s="720"/>
      <c r="NNS24" s="720"/>
      <c r="NNT24" s="720"/>
      <c r="NNU24" s="720"/>
      <c r="NNV24" s="720"/>
      <c r="NNW24" s="720"/>
      <c r="NNX24" s="720"/>
      <c r="NNY24" s="720"/>
      <c r="NNZ24" s="720"/>
      <c r="NOA24" s="720"/>
      <c r="NOB24" s="720"/>
      <c r="NOC24" s="720"/>
      <c r="NOD24" s="720"/>
      <c r="NOE24" s="720"/>
      <c r="NOF24" s="720"/>
      <c r="NOG24" s="720"/>
      <c r="NOH24" s="720"/>
      <c r="NOI24" s="720"/>
      <c r="NOJ24" s="720"/>
      <c r="NOK24" s="720"/>
      <c r="NOL24" s="720"/>
      <c r="NOM24" s="720"/>
      <c r="NON24" s="720"/>
      <c r="NOO24" s="720"/>
      <c r="NOP24" s="720"/>
      <c r="NOQ24" s="720"/>
      <c r="NOR24" s="720"/>
      <c r="NOS24" s="720"/>
      <c r="NOT24" s="720"/>
      <c r="NOU24" s="720"/>
      <c r="NOV24" s="720"/>
      <c r="NOW24" s="720"/>
      <c r="NOX24" s="720"/>
      <c r="NOY24" s="720"/>
      <c r="NOZ24" s="720"/>
      <c r="NPA24" s="720"/>
      <c r="NPB24" s="720"/>
      <c r="NPC24" s="720"/>
      <c r="NPD24" s="720"/>
      <c r="NPE24" s="720"/>
      <c r="NPF24" s="720"/>
      <c r="NPG24" s="720"/>
      <c r="NPH24" s="720"/>
      <c r="NPI24" s="720"/>
      <c r="NPJ24" s="720"/>
      <c r="NPK24" s="720"/>
      <c r="NPL24" s="720"/>
      <c r="NPM24" s="720"/>
      <c r="NPN24" s="720"/>
      <c r="NPO24" s="720"/>
      <c r="NPP24" s="720"/>
      <c r="NPQ24" s="720"/>
      <c r="NPR24" s="720"/>
      <c r="NPS24" s="720"/>
      <c r="NPT24" s="720"/>
      <c r="NPU24" s="720"/>
      <c r="NPV24" s="720"/>
      <c r="NPW24" s="720"/>
      <c r="NPX24" s="720"/>
      <c r="NPY24" s="720"/>
      <c r="NPZ24" s="720"/>
      <c r="NQA24" s="720"/>
      <c r="NQB24" s="720"/>
      <c r="NQC24" s="720"/>
      <c r="NQD24" s="720"/>
      <c r="NQE24" s="720"/>
      <c r="NQF24" s="720"/>
      <c r="NQG24" s="720"/>
      <c r="NQH24" s="720"/>
      <c r="NQI24" s="720"/>
      <c r="NQJ24" s="720"/>
      <c r="NQK24" s="720"/>
      <c r="NQL24" s="720"/>
      <c r="NQM24" s="720"/>
      <c r="NQN24" s="720"/>
      <c r="NQO24" s="720"/>
      <c r="NQP24" s="720"/>
      <c r="NQQ24" s="720"/>
      <c r="NQR24" s="720"/>
      <c r="NQS24" s="720"/>
      <c r="NQT24" s="720"/>
      <c r="NQU24" s="720"/>
      <c r="NQV24" s="720"/>
      <c r="NQW24" s="720"/>
      <c r="NQX24" s="720"/>
      <c r="NQY24" s="720"/>
      <c r="NQZ24" s="720"/>
      <c r="NRA24" s="720"/>
      <c r="NRB24" s="720"/>
      <c r="NRC24" s="720"/>
      <c r="NRD24" s="720"/>
      <c r="NRE24" s="720"/>
      <c r="NRF24" s="720"/>
      <c r="NRG24" s="720"/>
      <c r="NRH24" s="720"/>
      <c r="NRI24" s="720"/>
      <c r="NRJ24" s="720"/>
      <c r="NRK24" s="720"/>
      <c r="NRL24" s="720"/>
      <c r="NRM24" s="720"/>
      <c r="NRN24" s="720"/>
      <c r="NRO24" s="720"/>
      <c r="NRP24" s="720"/>
      <c r="NRQ24" s="720"/>
      <c r="NRR24" s="720"/>
      <c r="NRS24" s="720"/>
      <c r="NRT24" s="720"/>
      <c r="NRU24" s="720"/>
      <c r="NRV24" s="720"/>
      <c r="NRW24" s="720"/>
      <c r="NRX24" s="720"/>
      <c r="NRY24" s="720"/>
      <c r="NRZ24" s="720"/>
      <c r="NSA24" s="720"/>
      <c r="NSB24" s="720"/>
      <c r="NSC24" s="720"/>
      <c r="NSD24" s="720"/>
      <c r="NSE24" s="720"/>
      <c r="NSF24" s="720"/>
      <c r="NSG24" s="720"/>
      <c r="NSH24" s="720"/>
      <c r="NSI24" s="720"/>
      <c r="NSJ24" s="720"/>
      <c r="NSK24" s="720"/>
      <c r="NSL24" s="720"/>
      <c r="NSM24" s="720"/>
      <c r="NSN24" s="720"/>
      <c r="NSO24" s="720"/>
      <c r="NSP24" s="720"/>
      <c r="NSQ24" s="720"/>
      <c r="NSR24" s="720"/>
      <c r="NSS24" s="720"/>
      <c r="NST24" s="720"/>
      <c r="NSU24" s="720"/>
      <c r="NSV24" s="720"/>
      <c r="NSW24" s="720"/>
      <c r="NSX24" s="720"/>
      <c r="NSY24" s="720"/>
      <c r="NSZ24" s="720"/>
      <c r="NTA24" s="720"/>
      <c r="NTB24" s="720"/>
      <c r="NTC24" s="720"/>
      <c r="NTD24" s="720"/>
      <c r="NTE24" s="720"/>
      <c r="NTF24" s="720"/>
      <c r="NTG24" s="720"/>
      <c r="NTH24" s="720"/>
      <c r="NTI24" s="720"/>
      <c r="NTJ24" s="720"/>
      <c r="NTK24" s="720"/>
      <c r="NTL24" s="720"/>
      <c r="NTM24" s="720"/>
      <c r="NTN24" s="720"/>
      <c r="NTO24" s="720"/>
      <c r="NTP24" s="720"/>
      <c r="NTQ24" s="720"/>
      <c r="NTR24" s="720"/>
      <c r="NTS24" s="720"/>
      <c r="NTT24" s="720"/>
      <c r="NTU24" s="720"/>
      <c r="NTV24" s="720"/>
      <c r="NTW24" s="720"/>
      <c r="NTX24" s="720"/>
      <c r="NTY24" s="720"/>
      <c r="NTZ24" s="720"/>
      <c r="NUA24" s="720"/>
      <c r="NUB24" s="720"/>
      <c r="NUC24" s="720"/>
      <c r="NUD24" s="720"/>
      <c r="NUE24" s="720"/>
      <c r="NUF24" s="720"/>
      <c r="NUG24" s="720"/>
      <c r="NUH24" s="720"/>
      <c r="NUI24" s="720"/>
      <c r="NUJ24" s="720"/>
      <c r="NUK24" s="720"/>
      <c r="NUL24" s="720"/>
      <c r="NUM24" s="720"/>
      <c r="NUN24" s="720"/>
      <c r="NUO24" s="720"/>
      <c r="NUP24" s="720"/>
      <c r="NUQ24" s="720"/>
      <c r="NUR24" s="720"/>
      <c r="NUS24" s="720"/>
      <c r="NUT24" s="720"/>
      <c r="NUU24" s="720"/>
      <c r="NUV24" s="720"/>
      <c r="NUW24" s="720"/>
      <c r="NUX24" s="720"/>
      <c r="NUY24" s="720"/>
      <c r="NUZ24" s="720"/>
      <c r="NVA24" s="720"/>
      <c r="NVB24" s="720"/>
      <c r="NVC24" s="720"/>
      <c r="NVD24" s="720"/>
      <c r="NVE24" s="720"/>
      <c r="NVF24" s="720"/>
      <c r="NVG24" s="720"/>
      <c r="NVH24" s="720"/>
      <c r="NVI24" s="720"/>
      <c r="NVJ24" s="720"/>
      <c r="NVK24" s="720"/>
      <c r="NVL24" s="720"/>
      <c r="NVM24" s="720"/>
      <c r="NVN24" s="720"/>
      <c r="NVO24" s="720"/>
      <c r="NVP24" s="720"/>
      <c r="NVQ24" s="720"/>
      <c r="NVR24" s="720"/>
      <c r="NVS24" s="720"/>
      <c r="NVT24" s="720"/>
      <c r="NVU24" s="720"/>
      <c r="NVV24" s="720"/>
      <c r="NVW24" s="720"/>
      <c r="NVX24" s="720"/>
      <c r="NVY24" s="720"/>
      <c r="NVZ24" s="720"/>
      <c r="NWA24" s="720"/>
      <c r="NWB24" s="720"/>
      <c r="NWC24" s="720"/>
      <c r="NWD24" s="720"/>
      <c r="NWE24" s="720"/>
      <c r="NWF24" s="720"/>
      <c r="NWG24" s="720"/>
      <c r="NWH24" s="720"/>
      <c r="NWI24" s="720"/>
      <c r="NWJ24" s="720"/>
      <c r="NWK24" s="720"/>
      <c r="NWL24" s="720"/>
      <c r="NWM24" s="720"/>
      <c r="NWN24" s="720"/>
      <c r="NWO24" s="720"/>
      <c r="NWP24" s="720"/>
      <c r="NWQ24" s="720"/>
      <c r="NWR24" s="720"/>
      <c r="NWS24" s="720"/>
      <c r="NWT24" s="720"/>
      <c r="NWU24" s="720"/>
      <c r="NWV24" s="720"/>
      <c r="NWW24" s="720"/>
      <c r="NWX24" s="720"/>
      <c r="NWY24" s="720"/>
      <c r="NWZ24" s="720"/>
      <c r="NXA24" s="720"/>
      <c r="NXB24" s="720"/>
      <c r="NXC24" s="720"/>
      <c r="NXD24" s="720"/>
      <c r="NXE24" s="720"/>
      <c r="NXF24" s="720"/>
      <c r="NXG24" s="720"/>
      <c r="NXH24" s="720"/>
      <c r="NXI24" s="720"/>
      <c r="NXJ24" s="720"/>
      <c r="NXK24" s="720"/>
      <c r="NXL24" s="720"/>
      <c r="NXM24" s="720"/>
      <c r="NXN24" s="720"/>
      <c r="NXO24" s="720"/>
      <c r="NXP24" s="720"/>
      <c r="NXQ24" s="720"/>
      <c r="NXR24" s="720"/>
      <c r="NXS24" s="720"/>
      <c r="NXT24" s="720"/>
      <c r="NXU24" s="720"/>
      <c r="NXV24" s="720"/>
      <c r="NXW24" s="720"/>
      <c r="NXX24" s="720"/>
      <c r="NXY24" s="720"/>
      <c r="NXZ24" s="720"/>
      <c r="NYA24" s="720"/>
      <c r="NYB24" s="720"/>
      <c r="NYC24" s="720"/>
      <c r="NYD24" s="720"/>
      <c r="NYE24" s="720"/>
      <c r="NYF24" s="720"/>
      <c r="NYG24" s="720"/>
      <c r="NYH24" s="720"/>
      <c r="NYI24" s="720"/>
      <c r="NYJ24" s="720"/>
      <c r="NYK24" s="720"/>
      <c r="NYL24" s="720"/>
      <c r="NYM24" s="720"/>
      <c r="NYN24" s="720"/>
      <c r="NYO24" s="720"/>
      <c r="NYP24" s="720"/>
      <c r="NYQ24" s="720"/>
      <c r="NYR24" s="720"/>
      <c r="NYS24" s="720"/>
      <c r="NYT24" s="720"/>
      <c r="NYU24" s="720"/>
      <c r="NYV24" s="720"/>
      <c r="NYW24" s="720"/>
      <c r="NYX24" s="720"/>
      <c r="NYY24" s="720"/>
      <c r="NYZ24" s="720"/>
      <c r="NZA24" s="720"/>
      <c r="NZB24" s="720"/>
      <c r="NZC24" s="720"/>
      <c r="NZD24" s="720"/>
      <c r="NZE24" s="720"/>
      <c r="NZF24" s="720"/>
      <c r="NZG24" s="720"/>
      <c r="NZH24" s="720"/>
      <c r="NZI24" s="720"/>
      <c r="NZJ24" s="720"/>
      <c r="NZK24" s="720"/>
      <c r="NZL24" s="720"/>
      <c r="NZM24" s="720"/>
      <c r="NZN24" s="720"/>
      <c r="NZO24" s="720"/>
      <c r="NZP24" s="720"/>
      <c r="NZQ24" s="720"/>
      <c r="NZR24" s="720"/>
      <c r="NZS24" s="720"/>
      <c r="NZT24" s="720"/>
      <c r="NZU24" s="720"/>
      <c r="NZV24" s="720"/>
      <c r="NZW24" s="720"/>
      <c r="NZX24" s="720"/>
      <c r="NZY24" s="720"/>
      <c r="NZZ24" s="720"/>
      <c r="OAA24" s="720"/>
      <c r="OAB24" s="720"/>
      <c r="OAC24" s="720"/>
      <c r="OAD24" s="720"/>
      <c r="OAE24" s="720"/>
      <c r="OAF24" s="720"/>
      <c r="OAG24" s="720"/>
      <c r="OAH24" s="720"/>
      <c r="OAI24" s="720"/>
      <c r="OAJ24" s="720"/>
      <c r="OAK24" s="720"/>
      <c r="OAL24" s="720"/>
      <c r="OAM24" s="720"/>
      <c r="OAN24" s="720"/>
      <c r="OAO24" s="720"/>
      <c r="OAP24" s="720"/>
      <c r="OAQ24" s="720"/>
      <c r="OAR24" s="720"/>
      <c r="OAS24" s="720"/>
      <c r="OAT24" s="720"/>
      <c r="OAU24" s="720"/>
      <c r="OAV24" s="720"/>
      <c r="OAW24" s="720"/>
      <c r="OAX24" s="720"/>
      <c r="OAY24" s="720"/>
      <c r="OAZ24" s="720"/>
      <c r="OBA24" s="720"/>
      <c r="OBB24" s="720"/>
      <c r="OBC24" s="720"/>
      <c r="OBD24" s="720"/>
      <c r="OBE24" s="720"/>
      <c r="OBF24" s="720"/>
      <c r="OBG24" s="720"/>
      <c r="OBH24" s="720"/>
      <c r="OBI24" s="720"/>
      <c r="OBJ24" s="720"/>
      <c r="OBK24" s="720"/>
      <c r="OBL24" s="720"/>
      <c r="OBM24" s="720"/>
      <c r="OBN24" s="720"/>
      <c r="OBO24" s="720"/>
      <c r="OBP24" s="720"/>
      <c r="OBQ24" s="720"/>
      <c r="OBR24" s="720"/>
      <c r="OBS24" s="720"/>
      <c r="OBT24" s="720"/>
      <c r="OBU24" s="720"/>
      <c r="OBV24" s="720"/>
      <c r="OBW24" s="720"/>
      <c r="OBX24" s="720"/>
      <c r="OBY24" s="720"/>
      <c r="OBZ24" s="720"/>
      <c r="OCA24" s="720"/>
      <c r="OCB24" s="720"/>
      <c r="OCC24" s="720"/>
      <c r="OCD24" s="720"/>
      <c r="OCE24" s="720"/>
      <c r="OCF24" s="720"/>
      <c r="OCG24" s="720"/>
      <c r="OCH24" s="720"/>
      <c r="OCI24" s="720"/>
      <c r="OCJ24" s="720"/>
      <c r="OCK24" s="720"/>
      <c r="OCL24" s="720"/>
      <c r="OCM24" s="720"/>
      <c r="OCN24" s="720"/>
      <c r="OCO24" s="720"/>
      <c r="OCP24" s="720"/>
      <c r="OCQ24" s="720"/>
      <c r="OCR24" s="720"/>
      <c r="OCS24" s="720"/>
      <c r="OCT24" s="720"/>
      <c r="OCU24" s="720"/>
      <c r="OCV24" s="720"/>
      <c r="OCW24" s="720"/>
      <c r="OCX24" s="720"/>
      <c r="OCY24" s="720"/>
      <c r="OCZ24" s="720"/>
      <c r="ODA24" s="720"/>
      <c r="ODB24" s="720"/>
      <c r="ODC24" s="720"/>
      <c r="ODD24" s="720"/>
      <c r="ODE24" s="720"/>
      <c r="ODF24" s="720"/>
      <c r="ODG24" s="720"/>
      <c r="ODH24" s="720"/>
      <c r="ODI24" s="720"/>
      <c r="ODJ24" s="720"/>
      <c r="ODK24" s="720"/>
      <c r="ODL24" s="720"/>
      <c r="ODM24" s="720"/>
      <c r="ODN24" s="720"/>
      <c r="ODO24" s="720"/>
      <c r="ODP24" s="720"/>
      <c r="ODQ24" s="720"/>
      <c r="ODR24" s="720"/>
      <c r="ODS24" s="720"/>
      <c r="ODT24" s="720"/>
      <c r="ODU24" s="720"/>
      <c r="ODV24" s="720"/>
      <c r="ODW24" s="720"/>
      <c r="ODX24" s="720"/>
      <c r="ODY24" s="720"/>
      <c r="ODZ24" s="720"/>
      <c r="OEA24" s="720"/>
      <c r="OEB24" s="720"/>
      <c r="OEC24" s="720"/>
      <c r="OED24" s="720"/>
      <c r="OEE24" s="720"/>
      <c r="OEF24" s="720"/>
      <c r="OEG24" s="720"/>
      <c r="OEH24" s="720"/>
      <c r="OEI24" s="720"/>
      <c r="OEJ24" s="720"/>
      <c r="OEK24" s="720"/>
      <c r="OEL24" s="720"/>
      <c r="OEM24" s="720"/>
      <c r="OEN24" s="720"/>
      <c r="OEO24" s="720"/>
      <c r="OEP24" s="720"/>
      <c r="OEQ24" s="720"/>
      <c r="OER24" s="720"/>
      <c r="OES24" s="720"/>
      <c r="OET24" s="720"/>
      <c r="OEU24" s="720"/>
      <c r="OEV24" s="720"/>
      <c r="OEW24" s="720"/>
      <c r="OEX24" s="720"/>
      <c r="OEY24" s="720"/>
      <c r="OEZ24" s="720"/>
      <c r="OFA24" s="720"/>
      <c r="OFB24" s="720"/>
      <c r="OFC24" s="720"/>
      <c r="OFD24" s="720"/>
      <c r="OFE24" s="720"/>
      <c r="OFF24" s="720"/>
      <c r="OFG24" s="720"/>
      <c r="OFH24" s="720"/>
      <c r="OFI24" s="720"/>
      <c r="OFJ24" s="720"/>
      <c r="OFK24" s="720"/>
      <c r="OFL24" s="720"/>
      <c r="OFM24" s="720"/>
      <c r="OFN24" s="720"/>
      <c r="OFO24" s="720"/>
      <c r="OFP24" s="720"/>
      <c r="OFQ24" s="720"/>
      <c r="OFR24" s="720"/>
      <c r="OFS24" s="720"/>
      <c r="OFT24" s="720"/>
      <c r="OFU24" s="720"/>
      <c r="OFV24" s="720"/>
      <c r="OFW24" s="720"/>
      <c r="OFX24" s="720"/>
      <c r="OFY24" s="720"/>
      <c r="OFZ24" s="720"/>
      <c r="OGA24" s="720"/>
      <c r="OGB24" s="720"/>
      <c r="OGC24" s="720"/>
      <c r="OGD24" s="720"/>
      <c r="OGE24" s="720"/>
      <c r="OGF24" s="720"/>
      <c r="OGG24" s="720"/>
      <c r="OGH24" s="720"/>
      <c r="OGI24" s="720"/>
      <c r="OGJ24" s="720"/>
      <c r="OGK24" s="720"/>
      <c r="OGL24" s="720"/>
      <c r="OGM24" s="720"/>
      <c r="OGN24" s="720"/>
      <c r="OGO24" s="720"/>
      <c r="OGP24" s="720"/>
      <c r="OGQ24" s="720"/>
      <c r="OGR24" s="720"/>
      <c r="OGS24" s="720"/>
      <c r="OGT24" s="720"/>
      <c r="OGU24" s="720"/>
      <c r="OGV24" s="720"/>
      <c r="OGW24" s="720"/>
      <c r="OGX24" s="720"/>
      <c r="OGY24" s="720"/>
      <c r="OGZ24" s="720"/>
      <c r="OHA24" s="720"/>
      <c r="OHB24" s="720"/>
      <c r="OHC24" s="720"/>
      <c r="OHD24" s="720"/>
      <c r="OHE24" s="720"/>
      <c r="OHF24" s="720"/>
      <c r="OHG24" s="720"/>
      <c r="OHH24" s="720"/>
      <c r="OHI24" s="720"/>
      <c r="OHJ24" s="720"/>
      <c r="OHK24" s="720"/>
      <c r="OHL24" s="720"/>
      <c r="OHM24" s="720"/>
      <c r="OHN24" s="720"/>
      <c r="OHO24" s="720"/>
      <c r="OHP24" s="720"/>
      <c r="OHQ24" s="720"/>
      <c r="OHR24" s="720"/>
      <c r="OHS24" s="720"/>
      <c r="OHT24" s="720"/>
      <c r="OHU24" s="720"/>
      <c r="OHV24" s="720"/>
      <c r="OHW24" s="720"/>
      <c r="OHX24" s="720"/>
      <c r="OHY24" s="720"/>
      <c r="OHZ24" s="720"/>
      <c r="OIA24" s="720"/>
      <c r="OIB24" s="720"/>
      <c r="OIC24" s="720"/>
      <c r="OID24" s="720"/>
      <c r="OIE24" s="720"/>
      <c r="OIF24" s="720"/>
      <c r="OIG24" s="720"/>
      <c r="OIH24" s="720"/>
      <c r="OII24" s="720"/>
      <c r="OIJ24" s="720"/>
      <c r="OIK24" s="720"/>
      <c r="OIL24" s="720"/>
      <c r="OIM24" s="720"/>
      <c r="OIN24" s="720"/>
      <c r="OIO24" s="720"/>
      <c r="OIP24" s="720"/>
      <c r="OIQ24" s="720"/>
      <c r="OIR24" s="720"/>
      <c r="OIS24" s="720"/>
      <c r="OIT24" s="720"/>
      <c r="OIU24" s="720"/>
      <c r="OIV24" s="720"/>
      <c r="OIW24" s="720"/>
      <c r="OIX24" s="720"/>
      <c r="OIY24" s="720"/>
      <c r="OIZ24" s="720"/>
      <c r="OJA24" s="720"/>
      <c r="OJB24" s="720"/>
      <c r="OJC24" s="720"/>
      <c r="OJD24" s="720"/>
      <c r="OJE24" s="720"/>
      <c r="OJF24" s="720"/>
      <c r="OJG24" s="720"/>
      <c r="OJH24" s="720"/>
      <c r="OJI24" s="720"/>
      <c r="OJJ24" s="720"/>
      <c r="OJK24" s="720"/>
      <c r="OJL24" s="720"/>
      <c r="OJM24" s="720"/>
      <c r="OJN24" s="720"/>
      <c r="OJO24" s="720"/>
      <c r="OJP24" s="720"/>
      <c r="OJQ24" s="720"/>
      <c r="OJR24" s="720"/>
      <c r="OJS24" s="720"/>
      <c r="OJT24" s="720"/>
      <c r="OJU24" s="720"/>
      <c r="OJV24" s="720"/>
      <c r="OJW24" s="720"/>
      <c r="OJX24" s="720"/>
      <c r="OJY24" s="720"/>
      <c r="OJZ24" s="720"/>
      <c r="OKA24" s="720"/>
      <c r="OKB24" s="720"/>
      <c r="OKC24" s="720"/>
      <c r="OKD24" s="720"/>
      <c r="OKE24" s="720"/>
      <c r="OKF24" s="720"/>
      <c r="OKG24" s="720"/>
      <c r="OKH24" s="720"/>
      <c r="OKI24" s="720"/>
      <c r="OKJ24" s="720"/>
      <c r="OKK24" s="720"/>
      <c r="OKL24" s="720"/>
      <c r="OKM24" s="720"/>
      <c r="OKN24" s="720"/>
      <c r="OKO24" s="720"/>
      <c r="OKP24" s="720"/>
      <c r="OKQ24" s="720"/>
      <c r="OKR24" s="720"/>
      <c r="OKS24" s="720"/>
      <c r="OKT24" s="720"/>
      <c r="OKU24" s="720"/>
      <c r="OKV24" s="720"/>
      <c r="OKW24" s="720"/>
      <c r="OKX24" s="720"/>
      <c r="OKY24" s="720"/>
      <c r="OKZ24" s="720"/>
      <c r="OLA24" s="720"/>
      <c r="OLB24" s="720"/>
      <c r="OLC24" s="720"/>
      <c r="OLD24" s="720"/>
      <c r="OLE24" s="720"/>
      <c r="OLF24" s="720"/>
      <c r="OLG24" s="720"/>
      <c r="OLH24" s="720"/>
      <c r="OLI24" s="720"/>
      <c r="OLJ24" s="720"/>
      <c r="OLK24" s="720"/>
      <c r="OLL24" s="720"/>
      <c r="OLM24" s="720"/>
      <c r="OLN24" s="720"/>
      <c r="OLO24" s="720"/>
      <c r="OLP24" s="720"/>
      <c r="OLQ24" s="720"/>
      <c r="OLR24" s="720"/>
      <c r="OLS24" s="720"/>
      <c r="OLT24" s="720"/>
      <c r="OLU24" s="720"/>
      <c r="OLV24" s="720"/>
      <c r="OLW24" s="720"/>
      <c r="OLX24" s="720"/>
      <c r="OLY24" s="720"/>
      <c r="OLZ24" s="720"/>
      <c r="OMA24" s="720"/>
      <c r="OMB24" s="720"/>
      <c r="OMC24" s="720"/>
      <c r="OMD24" s="720"/>
      <c r="OME24" s="720"/>
      <c r="OMF24" s="720"/>
      <c r="OMG24" s="720"/>
      <c r="OMH24" s="720"/>
      <c r="OMI24" s="720"/>
      <c r="OMJ24" s="720"/>
      <c r="OMK24" s="720"/>
      <c r="OML24" s="720"/>
      <c r="OMM24" s="720"/>
      <c r="OMN24" s="720"/>
      <c r="OMO24" s="720"/>
      <c r="OMP24" s="720"/>
      <c r="OMQ24" s="720"/>
      <c r="OMR24" s="720"/>
      <c r="OMS24" s="720"/>
      <c r="OMT24" s="720"/>
      <c r="OMU24" s="720"/>
      <c r="OMV24" s="720"/>
      <c r="OMW24" s="720"/>
      <c r="OMX24" s="720"/>
      <c r="OMY24" s="720"/>
      <c r="OMZ24" s="720"/>
      <c r="ONA24" s="720"/>
      <c r="ONB24" s="720"/>
      <c r="ONC24" s="720"/>
      <c r="OND24" s="720"/>
      <c r="ONE24" s="720"/>
      <c r="ONF24" s="720"/>
      <c r="ONG24" s="720"/>
      <c r="ONH24" s="720"/>
      <c r="ONI24" s="720"/>
      <c r="ONJ24" s="720"/>
      <c r="ONK24" s="720"/>
      <c r="ONL24" s="720"/>
      <c r="ONM24" s="720"/>
      <c r="ONN24" s="720"/>
      <c r="ONO24" s="720"/>
      <c r="ONP24" s="720"/>
      <c r="ONQ24" s="720"/>
      <c r="ONR24" s="720"/>
      <c r="ONS24" s="720"/>
      <c r="ONT24" s="720"/>
      <c r="ONU24" s="720"/>
      <c r="ONV24" s="720"/>
      <c r="ONW24" s="720"/>
      <c r="ONX24" s="720"/>
      <c r="ONY24" s="720"/>
      <c r="ONZ24" s="720"/>
      <c r="OOA24" s="720"/>
      <c r="OOB24" s="720"/>
      <c r="OOC24" s="720"/>
      <c r="OOD24" s="720"/>
      <c r="OOE24" s="720"/>
      <c r="OOF24" s="720"/>
      <c r="OOG24" s="720"/>
      <c r="OOH24" s="720"/>
      <c r="OOI24" s="720"/>
      <c r="OOJ24" s="720"/>
      <c r="OOK24" s="720"/>
      <c r="OOL24" s="720"/>
      <c r="OOM24" s="720"/>
      <c r="OON24" s="720"/>
      <c r="OOO24" s="720"/>
      <c r="OOP24" s="720"/>
      <c r="OOQ24" s="720"/>
      <c r="OOR24" s="720"/>
      <c r="OOS24" s="720"/>
      <c r="OOT24" s="720"/>
      <c r="OOU24" s="720"/>
      <c r="OOV24" s="720"/>
      <c r="OOW24" s="720"/>
      <c r="OOX24" s="720"/>
      <c r="OOY24" s="720"/>
      <c r="OOZ24" s="720"/>
      <c r="OPA24" s="720"/>
      <c r="OPB24" s="720"/>
      <c r="OPC24" s="720"/>
      <c r="OPD24" s="720"/>
      <c r="OPE24" s="720"/>
      <c r="OPF24" s="720"/>
      <c r="OPG24" s="720"/>
      <c r="OPH24" s="720"/>
      <c r="OPI24" s="720"/>
      <c r="OPJ24" s="720"/>
      <c r="OPK24" s="720"/>
      <c r="OPL24" s="720"/>
      <c r="OPM24" s="720"/>
      <c r="OPN24" s="720"/>
      <c r="OPO24" s="720"/>
      <c r="OPP24" s="720"/>
      <c r="OPQ24" s="720"/>
      <c r="OPR24" s="720"/>
      <c r="OPS24" s="720"/>
      <c r="OPT24" s="720"/>
      <c r="OPU24" s="720"/>
      <c r="OPV24" s="720"/>
      <c r="OPW24" s="720"/>
      <c r="OPX24" s="720"/>
      <c r="OPY24" s="720"/>
      <c r="OPZ24" s="720"/>
      <c r="OQA24" s="720"/>
      <c r="OQB24" s="720"/>
      <c r="OQC24" s="720"/>
      <c r="OQD24" s="720"/>
      <c r="OQE24" s="720"/>
      <c r="OQF24" s="720"/>
      <c r="OQG24" s="720"/>
      <c r="OQH24" s="720"/>
      <c r="OQI24" s="720"/>
      <c r="OQJ24" s="720"/>
      <c r="OQK24" s="720"/>
      <c r="OQL24" s="720"/>
      <c r="OQM24" s="720"/>
      <c r="OQN24" s="720"/>
      <c r="OQO24" s="720"/>
      <c r="OQP24" s="720"/>
      <c r="OQQ24" s="720"/>
      <c r="OQR24" s="720"/>
      <c r="OQS24" s="720"/>
      <c r="OQT24" s="720"/>
      <c r="OQU24" s="720"/>
      <c r="OQV24" s="720"/>
      <c r="OQW24" s="720"/>
      <c r="OQX24" s="720"/>
      <c r="OQY24" s="720"/>
      <c r="OQZ24" s="720"/>
      <c r="ORA24" s="720"/>
      <c r="ORB24" s="720"/>
      <c r="ORC24" s="720"/>
      <c r="ORD24" s="720"/>
      <c r="ORE24" s="720"/>
      <c r="ORF24" s="720"/>
      <c r="ORG24" s="720"/>
      <c r="ORH24" s="720"/>
      <c r="ORI24" s="720"/>
      <c r="ORJ24" s="720"/>
      <c r="ORK24" s="720"/>
      <c r="ORL24" s="720"/>
      <c r="ORM24" s="720"/>
      <c r="ORN24" s="720"/>
      <c r="ORO24" s="720"/>
      <c r="ORP24" s="720"/>
      <c r="ORQ24" s="720"/>
      <c r="ORR24" s="720"/>
      <c r="ORS24" s="720"/>
      <c r="ORT24" s="720"/>
      <c r="ORU24" s="720"/>
      <c r="ORV24" s="720"/>
      <c r="ORW24" s="720"/>
      <c r="ORX24" s="720"/>
      <c r="ORY24" s="720"/>
      <c r="ORZ24" s="720"/>
      <c r="OSA24" s="720"/>
      <c r="OSB24" s="720"/>
      <c r="OSC24" s="720"/>
      <c r="OSD24" s="720"/>
      <c r="OSE24" s="720"/>
      <c r="OSF24" s="720"/>
      <c r="OSG24" s="720"/>
      <c r="OSH24" s="720"/>
      <c r="OSI24" s="720"/>
      <c r="OSJ24" s="720"/>
      <c r="OSK24" s="720"/>
      <c r="OSL24" s="720"/>
      <c r="OSM24" s="720"/>
      <c r="OSN24" s="720"/>
      <c r="OSO24" s="720"/>
      <c r="OSP24" s="720"/>
      <c r="OSQ24" s="720"/>
      <c r="OSR24" s="720"/>
      <c r="OSS24" s="720"/>
      <c r="OST24" s="720"/>
      <c r="OSU24" s="720"/>
      <c r="OSV24" s="720"/>
      <c r="OSW24" s="720"/>
      <c r="OSX24" s="720"/>
      <c r="OSY24" s="720"/>
      <c r="OSZ24" s="720"/>
      <c r="OTA24" s="720"/>
      <c r="OTB24" s="720"/>
      <c r="OTC24" s="720"/>
      <c r="OTD24" s="720"/>
      <c r="OTE24" s="720"/>
      <c r="OTF24" s="720"/>
      <c r="OTG24" s="720"/>
      <c r="OTH24" s="720"/>
      <c r="OTI24" s="720"/>
      <c r="OTJ24" s="720"/>
      <c r="OTK24" s="720"/>
      <c r="OTL24" s="720"/>
      <c r="OTM24" s="720"/>
      <c r="OTN24" s="720"/>
      <c r="OTO24" s="720"/>
      <c r="OTP24" s="720"/>
      <c r="OTQ24" s="720"/>
      <c r="OTR24" s="720"/>
      <c r="OTS24" s="720"/>
      <c r="OTT24" s="720"/>
      <c r="OTU24" s="720"/>
      <c r="OTV24" s="720"/>
      <c r="OTW24" s="720"/>
      <c r="OTX24" s="720"/>
      <c r="OTY24" s="720"/>
      <c r="OTZ24" s="720"/>
      <c r="OUA24" s="720"/>
      <c r="OUB24" s="720"/>
      <c r="OUC24" s="720"/>
      <c r="OUD24" s="720"/>
      <c r="OUE24" s="720"/>
      <c r="OUF24" s="720"/>
      <c r="OUG24" s="720"/>
      <c r="OUH24" s="720"/>
      <c r="OUI24" s="720"/>
      <c r="OUJ24" s="720"/>
      <c r="OUK24" s="720"/>
      <c r="OUL24" s="720"/>
      <c r="OUM24" s="720"/>
      <c r="OUN24" s="720"/>
      <c r="OUO24" s="720"/>
      <c r="OUP24" s="720"/>
      <c r="OUQ24" s="720"/>
      <c r="OUR24" s="720"/>
      <c r="OUS24" s="720"/>
      <c r="OUT24" s="720"/>
      <c r="OUU24" s="720"/>
      <c r="OUV24" s="720"/>
      <c r="OUW24" s="720"/>
      <c r="OUX24" s="720"/>
      <c r="OUY24" s="720"/>
      <c r="OUZ24" s="720"/>
      <c r="OVA24" s="720"/>
      <c r="OVB24" s="720"/>
      <c r="OVC24" s="720"/>
      <c r="OVD24" s="720"/>
      <c r="OVE24" s="720"/>
      <c r="OVF24" s="720"/>
      <c r="OVG24" s="720"/>
      <c r="OVH24" s="720"/>
      <c r="OVI24" s="720"/>
      <c r="OVJ24" s="720"/>
      <c r="OVK24" s="720"/>
      <c r="OVL24" s="720"/>
      <c r="OVM24" s="720"/>
      <c r="OVN24" s="720"/>
      <c r="OVO24" s="720"/>
      <c r="OVP24" s="720"/>
      <c r="OVQ24" s="720"/>
      <c r="OVR24" s="720"/>
      <c r="OVS24" s="720"/>
      <c r="OVT24" s="720"/>
      <c r="OVU24" s="720"/>
      <c r="OVV24" s="720"/>
      <c r="OVW24" s="720"/>
      <c r="OVX24" s="720"/>
      <c r="OVY24" s="720"/>
      <c r="OVZ24" s="720"/>
      <c r="OWA24" s="720"/>
      <c r="OWB24" s="720"/>
      <c r="OWC24" s="720"/>
      <c r="OWD24" s="720"/>
      <c r="OWE24" s="720"/>
      <c r="OWF24" s="720"/>
      <c r="OWG24" s="720"/>
      <c r="OWH24" s="720"/>
      <c r="OWI24" s="720"/>
      <c r="OWJ24" s="720"/>
      <c r="OWK24" s="720"/>
      <c r="OWL24" s="720"/>
      <c r="OWM24" s="720"/>
      <c r="OWN24" s="720"/>
      <c r="OWO24" s="720"/>
      <c r="OWP24" s="720"/>
      <c r="OWQ24" s="720"/>
      <c r="OWR24" s="720"/>
      <c r="OWS24" s="720"/>
      <c r="OWT24" s="720"/>
      <c r="OWU24" s="720"/>
      <c r="OWV24" s="720"/>
      <c r="OWW24" s="720"/>
      <c r="OWX24" s="720"/>
      <c r="OWY24" s="720"/>
      <c r="OWZ24" s="720"/>
      <c r="OXA24" s="720"/>
      <c r="OXB24" s="720"/>
      <c r="OXC24" s="720"/>
      <c r="OXD24" s="720"/>
      <c r="OXE24" s="720"/>
      <c r="OXF24" s="720"/>
      <c r="OXG24" s="720"/>
      <c r="OXH24" s="720"/>
      <c r="OXI24" s="720"/>
      <c r="OXJ24" s="720"/>
      <c r="OXK24" s="720"/>
      <c r="OXL24" s="720"/>
      <c r="OXM24" s="720"/>
      <c r="OXN24" s="720"/>
      <c r="OXO24" s="720"/>
      <c r="OXP24" s="720"/>
      <c r="OXQ24" s="720"/>
      <c r="OXR24" s="720"/>
      <c r="OXS24" s="720"/>
      <c r="OXT24" s="720"/>
      <c r="OXU24" s="720"/>
      <c r="OXV24" s="720"/>
      <c r="OXW24" s="720"/>
      <c r="OXX24" s="720"/>
      <c r="OXY24" s="720"/>
      <c r="OXZ24" s="720"/>
      <c r="OYA24" s="720"/>
      <c r="OYB24" s="720"/>
      <c r="OYC24" s="720"/>
      <c r="OYD24" s="720"/>
      <c r="OYE24" s="720"/>
      <c r="OYF24" s="720"/>
      <c r="OYG24" s="720"/>
      <c r="OYH24" s="720"/>
      <c r="OYI24" s="720"/>
      <c r="OYJ24" s="720"/>
      <c r="OYK24" s="720"/>
      <c r="OYL24" s="720"/>
      <c r="OYM24" s="720"/>
      <c r="OYN24" s="720"/>
      <c r="OYO24" s="720"/>
      <c r="OYP24" s="720"/>
      <c r="OYQ24" s="720"/>
      <c r="OYR24" s="720"/>
      <c r="OYS24" s="720"/>
      <c r="OYT24" s="720"/>
      <c r="OYU24" s="720"/>
      <c r="OYV24" s="720"/>
      <c r="OYW24" s="720"/>
      <c r="OYX24" s="720"/>
      <c r="OYY24" s="720"/>
      <c r="OYZ24" s="720"/>
      <c r="OZA24" s="720"/>
      <c r="OZB24" s="720"/>
      <c r="OZC24" s="720"/>
      <c r="OZD24" s="720"/>
      <c r="OZE24" s="720"/>
      <c r="OZF24" s="720"/>
      <c r="OZG24" s="720"/>
      <c r="OZH24" s="720"/>
      <c r="OZI24" s="720"/>
      <c r="OZJ24" s="720"/>
      <c r="OZK24" s="720"/>
      <c r="OZL24" s="720"/>
      <c r="OZM24" s="720"/>
      <c r="OZN24" s="720"/>
      <c r="OZO24" s="720"/>
      <c r="OZP24" s="720"/>
      <c r="OZQ24" s="720"/>
      <c r="OZR24" s="720"/>
      <c r="OZS24" s="720"/>
      <c r="OZT24" s="720"/>
      <c r="OZU24" s="720"/>
      <c r="OZV24" s="720"/>
      <c r="OZW24" s="720"/>
      <c r="OZX24" s="720"/>
      <c r="OZY24" s="720"/>
      <c r="OZZ24" s="720"/>
      <c r="PAA24" s="720"/>
      <c r="PAB24" s="720"/>
      <c r="PAC24" s="720"/>
      <c r="PAD24" s="720"/>
      <c r="PAE24" s="720"/>
      <c r="PAF24" s="720"/>
      <c r="PAG24" s="720"/>
      <c r="PAH24" s="720"/>
      <c r="PAI24" s="720"/>
      <c r="PAJ24" s="720"/>
      <c r="PAK24" s="720"/>
      <c r="PAL24" s="720"/>
      <c r="PAM24" s="720"/>
      <c r="PAN24" s="720"/>
      <c r="PAO24" s="720"/>
      <c r="PAP24" s="720"/>
      <c r="PAQ24" s="720"/>
      <c r="PAR24" s="720"/>
      <c r="PAS24" s="720"/>
      <c r="PAT24" s="720"/>
      <c r="PAU24" s="720"/>
      <c r="PAV24" s="720"/>
      <c r="PAW24" s="720"/>
      <c r="PAX24" s="720"/>
      <c r="PAY24" s="720"/>
      <c r="PAZ24" s="720"/>
      <c r="PBA24" s="720"/>
      <c r="PBB24" s="720"/>
      <c r="PBC24" s="720"/>
      <c r="PBD24" s="720"/>
      <c r="PBE24" s="720"/>
      <c r="PBF24" s="720"/>
      <c r="PBG24" s="720"/>
      <c r="PBH24" s="720"/>
      <c r="PBI24" s="720"/>
      <c r="PBJ24" s="720"/>
      <c r="PBK24" s="720"/>
      <c r="PBL24" s="720"/>
      <c r="PBM24" s="720"/>
      <c r="PBN24" s="720"/>
      <c r="PBO24" s="720"/>
      <c r="PBP24" s="720"/>
      <c r="PBQ24" s="720"/>
      <c r="PBR24" s="720"/>
      <c r="PBS24" s="720"/>
      <c r="PBT24" s="720"/>
      <c r="PBU24" s="720"/>
      <c r="PBV24" s="720"/>
      <c r="PBW24" s="720"/>
      <c r="PBX24" s="720"/>
      <c r="PBY24" s="720"/>
      <c r="PBZ24" s="720"/>
      <c r="PCA24" s="720"/>
      <c r="PCB24" s="720"/>
      <c r="PCC24" s="720"/>
      <c r="PCD24" s="720"/>
      <c r="PCE24" s="720"/>
      <c r="PCF24" s="720"/>
      <c r="PCG24" s="720"/>
      <c r="PCH24" s="720"/>
      <c r="PCI24" s="720"/>
      <c r="PCJ24" s="720"/>
      <c r="PCK24" s="720"/>
      <c r="PCL24" s="720"/>
      <c r="PCM24" s="720"/>
      <c r="PCN24" s="720"/>
      <c r="PCO24" s="720"/>
      <c r="PCP24" s="720"/>
      <c r="PCQ24" s="720"/>
      <c r="PCR24" s="720"/>
      <c r="PCS24" s="720"/>
      <c r="PCT24" s="720"/>
      <c r="PCU24" s="720"/>
      <c r="PCV24" s="720"/>
      <c r="PCW24" s="720"/>
      <c r="PCX24" s="720"/>
      <c r="PCY24" s="720"/>
      <c r="PCZ24" s="720"/>
      <c r="PDA24" s="720"/>
      <c r="PDB24" s="720"/>
      <c r="PDC24" s="720"/>
      <c r="PDD24" s="720"/>
      <c r="PDE24" s="720"/>
      <c r="PDF24" s="720"/>
      <c r="PDG24" s="720"/>
      <c r="PDH24" s="720"/>
      <c r="PDI24" s="720"/>
      <c r="PDJ24" s="720"/>
      <c r="PDK24" s="720"/>
      <c r="PDL24" s="720"/>
      <c r="PDM24" s="720"/>
      <c r="PDN24" s="720"/>
      <c r="PDO24" s="720"/>
      <c r="PDP24" s="720"/>
      <c r="PDQ24" s="720"/>
      <c r="PDR24" s="720"/>
      <c r="PDS24" s="720"/>
      <c r="PDT24" s="720"/>
      <c r="PDU24" s="720"/>
      <c r="PDV24" s="720"/>
      <c r="PDW24" s="720"/>
      <c r="PDX24" s="720"/>
      <c r="PDY24" s="720"/>
      <c r="PDZ24" s="720"/>
      <c r="PEA24" s="720"/>
      <c r="PEB24" s="720"/>
      <c r="PEC24" s="720"/>
      <c r="PED24" s="720"/>
      <c r="PEE24" s="720"/>
      <c r="PEF24" s="720"/>
      <c r="PEG24" s="720"/>
      <c r="PEH24" s="720"/>
      <c r="PEI24" s="720"/>
      <c r="PEJ24" s="720"/>
      <c r="PEK24" s="720"/>
      <c r="PEL24" s="720"/>
      <c r="PEM24" s="720"/>
      <c r="PEN24" s="720"/>
      <c r="PEO24" s="720"/>
      <c r="PEP24" s="720"/>
      <c r="PEQ24" s="720"/>
      <c r="PER24" s="720"/>
      <c r="PES24" s="720"/>
      <c r="PET24" s="720"/>
      <c r="PEU24" s="720"/>
      <c r="PEV24" s="720"/>
      <c r="PEW24" s="720"/>
      <c r="PEX24" s="720"/>
      <c r="PEY24" s="720"/>
      <c r="PEZ24" s="720"/>
      <c r="PFA24" s="720"/>
      <c r="PFB24" s="720"/>
      <c r="PFC24" s="720"/>
      <c r="PFD24" s="720"/>
      <c r="PFE24" s="720"/>
      <c r="PFF24" s="720"/>
      <c r="PFG24" s="720"/>
      <c r="PFH24" s="720"/>
      <c r="PFI24" s="720"/>
      <c r="PFJ24" s="720"/>
      <c r="PFK24" s="720"/>
      <c r="PFL24" s="720"/>
      <c r="PFM24" s="720"/>
      <c r="PFN24" s="720"/>
      <c r="PFO24" s="720"/>
      <c r="PFP24" s="720"/>
      <c r="PFQ24" s="720"/>
      <c r="PFR24" s="720"/>
      <c r="PFS24" s="720"/>
      <c r="PFT24" s="720"/>
      <c r="PFU24" s="720"/>
      <c r="PFV24" s="720"/>
      <c r="PFW24" s="720"/>
      <c r="PFX24" s="720"/>
      <c r="PFY24" s="720"/>
      <c r="PFZ24" s="720"/>
      <c r="PGA24" s="720"/>
      <c r="PGB24" s="720"/>
      <c r="PGC24" s="720"/>
      <c r="PGD24" s="720"/>
      <c r="PGE24" s="720"/>
      <c r="PGF24" s="720"/>
      <c r="PGG24" s="720"/>
      <c r="PGH24" s="720"/>
      <c r="PGI24" s="720"/>
      <c r="PGJ24" s="720"/>
      <c r="PGK24" s="720"/>
      <c r="PGL24" s="720"/>
      <c r="PGM24" s="720"/>
      <c r="PGN24" s="720"/>
      <c r="PGO24" s="720"/>
      <c r="PGP24" s="720"/>
      <c r="PGQ24" s="720"/>
      <c r="PGR24" s="720"/>
      <c r="PGS24" s="720"/>
      <c r="PGT24" s="720"/>
      <c r="PGU24" s="720"/>
      <c r="PGV24" s="720"/>
      <c r="PGW24" s="720"/>
      <c r="PGX24" s="720"/>
      <c r="PGY24" s="720"/>
      <c r="PGZ24" s="720"/>
      <c r="PHA24" s="720"/>
      <c r="PHB24" s="720"/>
      <c r="PHC24" s="720"/>
      <c r="PHD24" s="720"/>
      <c r="PHE24" s="720"/>
      <c r="PHF24" s="720"/>
      <c r="PHG24" s="720"/>
      <c r="PHH24" s="720"/>
      <c r="PHI24" s="720"/>
      <c r="PHJ24" s="720"/>
      <c r="PHK24" s="720"/>
      <c r="PHL24" s="720"/>
      <c r="PHM24" s="720"/>
      <c r="PHN24" s="720"/>
      <c r="PHO24" s="720"/>
      <c r="PHP24" s="720"/>
      <c r="PHQ24" s="720"/>
      <c r="PHR24" s="720"/>
      <c r="PHS24" s="720"/>
      <c r="PHT24" s="720"/>
      <c r="PHU24" s="720"/>
      <c r="PHV24" s="720"/>
      <c r="PHW24" s="720"/>
      <c r="PHX24" s="720"/>
      <c r="PHY24" s="720"/>
      <c r="PHZ24" s="720"/>
      <c r="PIA24" s="720"/>
      <c r="PIB24" s="720"/>
      <c r="PIC24" s="720"/>
      <c r="PID24" s="720"/>
      <c r="PIE24" s="720"/>
      <c r="PIF24" s="720"/>
      <c r="PIG24" s="720"/>
      <c r="PIH24" s="720"/>
      <c r="PII24" s="720"/>
      <c r="PIJ24" s="720"/>
      <c r="PIK24" s="720"/>
      <c r="PIL24" s="720"/>
      <c r="PIM24" s="720"/>
      <c r="PIN24" s="720"/>
      <c r="PIO24" s="720"/>
      <c r="PIP24" s="720"/>
      <c r="PIQ24" s="720"/>
      <c r="PIR24" s="720"/>
      <c r="PIS24" s="720"/>
      <c r="PIT24" s="720"/>
      <c r="PIU24" s="720"/>
      <c r="PIV24" s="720"/>
      <c r="PIW24" s="720"/>
      <c r="PIX24" s="720"/>
      <c r="PIY24" s="720"/>
      <c r="PIZ24" s="720"/>
      <c r="PJA24" s="720"/>
      <c r="PJB24" s="720"/>
      <c r="PJC24" s="720"/>
      <c r="PJD24" s="720"/>
      <c r="PJE24" s="720"/>
      <c r="PJF24" s="720"/>
      <c r="PJG24" s="720"/>
      <c r="PJH24" s="720"/>
      <c r="PJI24" s="720"/>
      <c r="PJJ24" s="720"/>
      <c r="PJK24" s="720"/>
      <c r="PJL24" s="720"/>
      <c r="PJM24" s="720"/>
      <c r="PJN24" s="720"/>
      <c r="PJO24" s="720"/>
      <c r="PJP24" s="720"/>
      <c r="PJQ24" s="720"/>
      <c r="PJR24" s="720"/>
      <c r="PJS24" s="720"/>
      <c r="PJT24" s="720"/>
      <c r="PJU24" s="720"/>
      <c r="PJV24" s="720"/>
      <c r="PJW24" s="720"/>
      <c r="PJX24" s="720"/>
      <c r="PJY24" s="720"/>
      <c r="PJZ24" s="720"/>
      <c r="PKA24" s="720"/>
      <c r="PKB24" s="720"/>
      <c r="PKC24" s="720"/>
      <c r="PKD24" s="720"/>
      <c r="PKE24" s="720"/>
      <c r="PKF24" s="720"/>
      <c r="PKG24" s="720"/>
      <c r="PKH24" s="720"/>
      <c r="PKI24" s="720"/>
      <c r="PKJ24" s="720"/>
      <c r="PKK24" s="720"/>
      <c r="PKL24" s="720"/>
      <c r="PKM24" s="720"/>
      <c r="PKN24" s="720"/>
      <c r="PKO24" s="720"/>
      <c r="PKP24" s="720"/>
      <c r="PKQ24" s="720"/>
      <c r="PKR24" s="720"/>
      <c r="PKS24" s="720"/>
      <c r="PKT24" s="720"/>
      <c r="PKU24" s="720"/>
      <c r="PKV24" s="720"/>
      <c r="PKW24" s="720"/>
      <c r="PKX24" s="720"/>
      <c r="PKY24" s="720"/>
      <c r="PKZ24" s="720"/>
      <c r="PLA24" s="720"/>
      <c r="PLB24" s="720"/>
      <c r="PLC24" s="720"/>
      <c r="PLD24" s="720"/>
      <c r="PLE24" s="720"/>
      <c r="PLF24" s="720"/>
      <c r="PLG24" s="720"/>
      <c r="PLH24" s="720"/>
      <c r="PLI24" s="720"/>
      <c r="PLJ24" s="720"/>
      <c r="PLK24" s="720"/>
      <c r="PLL24" s="720"/>
      <c r="PLM24" s="720"/>
      <c r="PLN24" s="720"/>
      <c r="PLO24" s="720"/>
      <c r="PLP24" s="720"/>
      <c r="PLQ24" s="720"/>
      <c r="PLR24" s="720"/>
      <c r="PLS24" s="720"/>
      <c r="PLT24" s="720"/>
      <c r="PLU24" s="720"/>
      <c r="PLV24" s="720"/>
      <c r="PLW24" s="720"/>
      <c r="PLX24" s="720"/>
      <c r="PLY24" s="720"/>
      <c r="PLZ24" s="720"/>
      <c r="PMA24" s="720"/>
      <c r="PMB24" s="720"/>
      <c r="PMC24" s="720"/>
      <c r="PMD24" s="720"/>
      <c r="PME24" s="720"/>
      <c r="PMF24" s="720"/>
      <c r="PMG24" s="720"/>
      <c r="PMH24" s="720"/>
      <c r="PMI24" s="720"/>
      <c r="PMJ24" s="720"/>
      <c r="PMK24" s="720"/>
      <c r="PML24" s="720"/>
      <c r="PMM24" s="720"/>
      <c r="PMN24" s="720"/>
      <c r="PMO24" s="720"/>
      <c r="PMP24" s="720"/>
      <c r="PMQ24" s="720"/>
      <c r="PMR24" s="720"/>
      <c r="PMS24" s="720"/>
      <c r="PMT24" s="720"/>
      <c r="PMU24" s="720"/>
      <c r="PMV24" s="720"/>
      <c r="PMW24" s="720"/>
      <c r="PMX24" s="720"/>
      <c r="PMY24" s="720"/>
      <c r="PMZ24" s="720"/>
      <c r="PNA24" s="720"/>
      <c r="PNB24" s="720"/>
      <c r="PNC24" s="720"/>
      <c r="PND24" s="720"/>
      <c r="PNE24" s="720"/>
      <c r="PNF24" s="720"/>
      <c r="PNG24" s="720"/>
      <c r="PNH24" s="720"/>
      <c r="PNI24" s="720"/>
      <c r="PNJ24" s="720"/>
      <c r="PNK24" s="720"/>
      <c r="PNL24" s="720"/>
      <c r="PNM24" s="720"/>
      <c r="PNN24" s="720"/>
      <c r="PNO24" s="720"/>
      <c r="PNP24" s="720"/>
      <c r="PNQ24" s="720"/>
      <c r="PNR24" s="720"/>
      <c r="PNS24" s="720"/>
      <c r="PNT24" s="720"/>
      <c r="PNU24" s="720"/>
      <c r="PNV24" s="720"/>
      <c r="PNW24" s="720"/>
      <c r="PNX24" s="720"/>
      <c r="PNY24" s="720"/>
      <c r="PNZ24" s="720"/>
      <c r="POA24" s="720"/>
      <c r="POB24" s="720"/>
      <c r="POC24" s="720"/>
      <c r="POD24" s="720"/>
      <c r="POE24" s="720"/>
      <c r="POF24" s="720"/>
      <c r="POG24" s="720"/>
      <c r="POH24" s="720"/>
      <c r="POI24" s="720"/>
      <c r="POJ24" s="720"/>
      <c r="POK24" s="720"/>
      <c r="POL24" s="720"/>
      <c r="POM24" s="720"/>
      <c r="PON24" s="720"/>
      <c r="POO24" s="720"/>
      <c r="POP24" s="720"/>
      <c r="POQ24" s="720"/>
      <c r="POR24" s="720"/>
      <c r="POS24" s="720"/>
      <c r="POT24" s="720"/>
      <c r="POU24" s="720"/>
      <c r="POV24" s="720"/>
      <c r="POW24" s="720"/>
      <c r="POX24" s="720"/>
      <c r="POY24" s="720"/>
      <c r="POZ24" s="720"/>
      <c r="PPA24" s="720"/>
      <c r="PPB24" s="720"/>
      <c r="PPC24" s="720"/>
      <c r="PPD24" s="720"/>
      <c r="PPE24" s="720"/>
      <c r="PPF24" s="720"/>
      <c r="PPG24" s="720"/>
      <c r="PPH24" s="720"/>
      <c r="PPI24" s="720"/>
      <c r="PPJ24" s="720"/>
      <c r="PPK24" s="720"/>
      <c r="PPL24" s="720"/>
      <c r="PPM24" s="720"/>
      <c r="PPN24" s="720"/>
      <c r="PPO24" s="720"/>
      <c r="PPP24" s="720"/>
      <c r="PPQ24" s="720"/>
      <c r="PPR24" s="720"/>
      <c r="PPS24" s="720"/>
      <c r="PPT24" s="720"/>
      <c r="PPU24" s="720"/>
      <c r="PPV24" s="720"/>
      <c r="PPW24" s="720"/>
      <c r="PPX24" s="720"/>
      <c r="PPY24" s="720"/>
      <c r="PPZ24" s="720"/>
      <c r="PQA24" s="720"/>
      <c r="PQB24" s="720"/>
      <c r="PQC24" s="720"/>
      <c r="PQD24" s="720"/>
      <c r="PQE24" s="720"/>
      <c r="PQF24" s="720"/>
      <c r="PQG24" s="720"/>
      <c r="PQH24" s="720"/>
      <c r="PQI24" s="720"/>
      <c r="PQJ24" s="720"/>
      <c r="PQK24" s="720"/>
      <c r="PQL24" s="720"/>
      <c r="PQM24" s="720"/>
      <c r="PQN24" s="720"/>
      <c r="PQO24" s="720"/>
      <c r="PQP24" s="720"/>
      <c r="PQQ24" s="720"/>
      <c r="PQR24" s="720"/>
      <c r="PQS24" s="720"/>
      <c r="PQT24" s="720"/>
      <c r="PQU24" s="720"/>
      <c r="PQV24" s="720"/>
      <c r="PQW24" s="720"/>
      <c r="PQX24" s="720"/>
      <c r="PQY24" s="720"/>
      <c r="PQZ24" s="720"/>
      <c r="PRA24" s="720"/>
      <c r="PRB24" s="720"/>
      <c r="PRC24" s="720"/>
      <c r="PRD24" s="720"/>
      <c r="PRE24" s="720"/>
      <c r="PRF24" s="720"/>
      <c r="PRG24" s="720"/>
      <c r="PRH24" s="720"/>
      <c r="PRI24" s="720"/>
      <c r="PRJ24" s="720"/>
      <c r="PRK24" s="720"/>
      <c r="PRL24" s="720"/>
      <c r="PRM24" s="720"/>
      <c r="PRN24" s="720"/>
      <c r="PRO24" s="720"/>
      <c r="PRP24" s="720"/>
      <c r="PRQ24" s="720"/>
      <c r="PRR24" s="720"/>
      <c r="PRS24" s="720"/>
      <c r="PRT24" s="720"/>
      <c r="PRU24" s="720"/>
      <c r="PRV24" s="720"/>
      <c r="PRW24" s="720"/>
      <c r="PRX24" s="720"/>
      <c r="PRY24" s="720"/>
      <c r="PRZ24" s="720"/>
      <c r="PSA24" s="720"/>
      <c r="PSB24" s="720"/>
      <c r="PSC24" s="720"/>
      <c r="PSD24" s="720"/>
      <c r="PSE24" s="720"/>
      <c r="PSF24" s="720"/>
      <c r="PSG24" s="720"/>
      <c r="PSH24" s="720"/>
      <c r="PSI24" s="720"/>
      <c r="PSJ24" s="720"/>
      <c r="PSK24" s="720"/>
      <c r="PSL24" s="720"/>
      <c r="PSM24" s="720"/>
      <c r="PSN24" s="720"/>
      <c r="PSO24" s="720"/>
      <c r="PSP24" s="720"/>
      <c r="PSQ24" s="720"/>
      <c r="PSR24" s="720"/>
      <c r="PSS24" s="720"/>
      <c r="PST24" s="720"/>
      <c r="PSU24" s="720"/>
      <c r="PSV24" s="720"/>
      <c r="PSW24" s="720"/>
      <c r="PSX24" s="720"/>
      <c r="PSY24" s="720"/>
      <c r="PSZ24" s="720"/>
      <c r="PTA24" s="720"/>
      <c r="PTB24" s="720"/>
      <c r="PTC24" s="720"/>
      <c r="PTD24" s="720"/>
      <c r="PTE24" s="720"/>
      <c r="PTF24" s="720"/>
      <c r="PTG24" s="720"/>
      <c r="PTH24" s="720"/>
      <c r="PTI24" s="720"/>
      <c r="PTJ24" s="720"/>
      <c r="PTK24" s="720"/>
      <c r="PTL24" s="720"/>
      <c r="PTM24" s="720"/>
      <c r="PTN24" s="720"/>
      <c r="PTO24" s="720"/>
      <c r="PTP24" s="720"/>
      <c r="PTQ24" s="720"/>
      <c r="PTR24" s="720"/>
      <c r="PTS24" s="720"/>
      <c r="PTT24" s="720"/>
      <c r="PTU24" s="720"/>
      <c r="PTV24" s="720"/>
      <c r="PTW24" s="720"/>
      <c r="PTX24" s="720"/>
      <c r="PTY24" s="720"/>
      <c r="PTZ24" s="720"/>
      <c r="PUA24" s="720"/>
      <c r="PUB24" s="720"/>
      <c r="PUC24" s="720"/>
      <c r="PUD24" s="720"/>
      <c r="PUE24" s="720"/>
      <c r="PUF24" s="720"/>
      <c r="PUG24" s="720"/>
      <c r="PUH24" s="720"/>
      <c r="PUI24" s="720"/>
      <c r="PUJ24" s="720"/>
      <c r="PUK24" s="720"/>
      <c r="PUL24" s="720"/>
      <c r="PUM24" s="720"/>
      <c r="PUN24" s="720"/>
      <c r="PUO24" s="720"/>
      <c r="PUP24" s="720"/>
      <c r="PUQ24" s="720"/>
      <c r="PUR24" s="720"/>
      <c r="PUS24" s="720"/>
      <c r="PUT24" s="720"/>
      <c r="PUU24" s="720"/>
      <c r="PUV24" s="720"/>
      <c r="PUW24" s="720"/>
      <c r="PUX24" s="720"/>
      <c r="PUY24" s="720"/>
      <c r="PUZ24" s="720"/>
      <c r="PVA24" s="720"/>
      <c r="PVB24" s="720"/>
      <c r="PVC24" s="720"/>
      <c r="PVD24" s="720"/>
      <c r="PVE24" s="720"/>
      <c r="PVF24" s="720"/>
      <c r="PVG24" s="720"/>
      <c r="PVH24" s="720"/>
      <c r="PVI24" s="720"/>
      <c r="PVJ24" s="720"/>
      <c r="PVK24" s="720"/>
      <c r="PVL24" s="720"/>
      <c r="PVM24" s="720"/>
      <c r="PVN24" s="720"/>
      <c r="PVO24" s="720"/>
      <c r="PVP24" s="720"/>
      <c r="PVQ24" s="720"/>
      <c r="PVR24" s="720"/>
      <c r="PVS24" s="720"/>
      <c r="PVT24" s="720"/>
      <c r="PVU24" s="720"/>
      <c r="PVV24" s="720"/>
      <c r="PVW24" s="720"/>
      <c r="PVX24" s="720"/>
      <c r="PVY24" s="720"/>
      <c r="PVZ24" s="720"/>
      <c r="PWA24" s="720"/>
      <c r="PWB24" s="720"/>
      <c r="PWC24" s="720"/>
      <c r="PWD24" s="720"/>
      <c r="PWE24" s="720"/>
      <c r="PWF24" s="720"/>
      <c r="PWG24" s="720"/>
      <c r="PWH24" s="720"/>
      <c r="PWI24" s="720"/>
      <c r="PWJ24" s="720"/>
      <c r="PWK24" s="720"/>
      <c r="PWL24" s="720"/>
      <c r="PWM24" s="720"/>
      <c r="PWN24" s="720"/>
      <c r="PWO24" s="720"/>
      <c r="PWP24" s="720"/>
      <c r="PWQ24" s="720"/>
      <c r="PWR24" s="720"/>
      <c r="PWS24" s="720"/>
      <c r="PWT24" s="720"/>
      <c r="PWU24" s="720"/>
      <c r="PWV24" s="720"/>
      <c r="PWW24" s="720"/>
      <c r="PWX24" s="720"/>
      <c r="PWY24" s="720"/>
      <c r="PWZ24" s="720"/>
      <c r="PXA24" s="720"/>
      <c r="PXB24" s="720"/>
      <c r="PXC24" s="720"/>
      <c r="PXD24" s="720"/>
      <c r="PXE24" s="720"/>
      <c r="PXF24" s="720"/>
      <c r="PXG24" s="720"/>
      <c r="PXH24" s="720"/>
      <c r="PXI24" s="720"/>
      <c r="PXJ24" s="720"/>
      <c r="PXK24" s="720"/>
      <c r="PXL24" s="720"/>
      <c r="PXM24" s="720"/>
      <c r="PXN24" s="720"/>
      <c r="PXO24" s="720"/>
      <c r="PXP24" s="720"/>
      <c r="PXQ24" s="720"/>
      <c r="PXR24" s="720"/>
      <c r="PXS24" s="720"/>
      <c r="PXT24" s="720"/>
      <c r="PXU24" s="720"/>
      <c r="PXV24" s="720"/>
      <c r="PXW24" s="720"/>
      <c r="PXX24" s="720"/>
      <c r="PXY24" s="720"/>
      <c r="PXZ24" s="720"/>
      <c r="PYA24" s="720"/>
      <c r="PYB24" s="720"/>
      <c r="PYC24" s="720"/>
      <c r="PYD24" s="720"/>
      <c r="PYE24" s="720"/>
      <c r="PYF24" s="720"/>
      <c r="PYG24" s="720"/>
      <c r="PYH24" s="720"/>
      <c r="PYI24" s="720"/>
      <c r="PYJ24" s="720"/>
      <c r="PYK24" s="720"/>
      <c r="PYL24" s="720"/>
      <c r="PYM24" s="720"/>
      <c r="PYN24" s="720"/>
      <c r="PYO24" s="720"/>
      <c r="PYP24" s="720"/>
      <c r="PYQ24" s="720"/>
      <c r="PYR24" s="720"/>
      <c r="PYS24" s="720"/>
      <c r="PYT24" s="720"/>
      <c r="PYU24" s="720"/>
      <c r="PYV24" s="720"/>
      <c r="PYW24" s="720"/>
      <c r="PYX24" s="720"/>
      <c r="PYY24" s="720"/>
      <c r="PYZ24" s="720"/>
      <c r="PZA24" s="720"/>
      <c r="PZB24" s="720"/>
      <c r="PZC24" s="720"/>
      <c r="PZD24" s="720"/>
      <c r="PZE24" s="720"/>
      <c r="PZF24" s="720"/>
      <c r="PZG24" s="720"/>
      <c r="PZH24" s="720"/>
      <c r="PZI24" s="720"/>
      <c r="PZJ24" s="720"/>
      <c r="PZK24" s="720"/>
      <c r="PZL24" s="720"/>
      <c r="PZM24" s="720"/>
      <c r="PZN24" s="720"/>
      <c r="PZO24" s="720"/>
      <c r="PZP24" s="720"/>
      <c r="PZQ24" s="720"/>
      <c r="PZR24" s="720"/>
      <c r="PZS24" s="720"/>
      <c r="PZT24" s="720"/>
      <c r="PZU24" s="720"/>
      <c r="PZV24" s="720"/>
      <c r="PZW24" s="720"/>
      <c r="PZX24" s="720"/>
      <c r="PZY24" s="720"/>
      <c r="PZZ24" s="720"/>
      <c r="QAA24" s="720"/>
      <c r="QAB24" s="720"/>
      <c r="QAC24" s="720"/>
      <c r="QAD24" s="720"/>
      <c r="QAE24" s="720"/>
      <c r="QAF24" s="720"/>
      <c r="QAG24" s="720"/>
      <c r="QAH24" s="720"/>
      <c r="QAI24" s="720"/>
      <c r="QAJ24" s="720"/>
      <c r="QAK24" s="720"/>
      <c r="QAL24" s="720"/>
      <c r="QAM24" s="720"/>
      <c r="QAN24" s="720"/>
      <c r="QAO24" s="720"/>
      <c r="QAP24" s="720"/>
      <c r="QAQ24" s="720"/>
      <c r="QAR24" s="720"/>
      <c r="QAS24" s="720"/>
      <c r="QAT24" s="720"/>
      <c r="QAU24" s="720"/>
      <c r="QAV24" s="720"/>
      <c r="QAW24" s="720"/>
      <c r="QAX24" s="720"/>
      <c r="QAY24" s="720"/>
      <c r="QAZ24" s="720"/>
      <c r="QBA24" s="720"/>
      <c r="QBB24" s="720"/>
      <c r="QBC24" s="720"/>
      <c r="QBD24" s="720"/>
      <c r="QBE24" s="720"/>
      <c r="QBF24" s="720"/>
      <c r="QBG24" s="720"/>
      <c r="QBH24" s="720"/>
      <c r="QBI24" s="720"/>
      <c r="QBJ24" s="720"/>
      <c r="QBK24" s="720"/>
      <c r="QBL24" s="720"/>
      <c r="QBM24" s="720"/>
      <c r="QBN24" s="720"/>
      <c r="QBO24" s="720"/>
      <c r="QBP24" s="720"/>
      <c r="QBQ24" s="720"/>
      <c r="QBR24" s="720"/>
      <c r="QBS24" s="720"/>
      <c r="QBT24" s="720"/>
      <c r="QBU24" s="720"/>
      <c r="QBV24" s="720"/>
      <c r="QBW24" s="720"/>
      <c r="QBX24" s="720"/>
      <c r="QBY24" s="720"/>
      <c r="QBZ24" s="720"/>
      <c r="QCA24" s="720"/>
      <c r="QCB24" s="720"/>
      <c r="QCC24" s="720"/>
      <c r="QCD24" s="720"/>
      <c r="QCE24" s="720"/>
      <c r="QCF24" s="720"/>
      <c r="QCG24" s="720"/>
      <c r="QCH24" s="720"/>
      <c r="QCI24" s="720"/>
      <c r="QCJ24" s="720"/>
      <c r="QCK24" s="720"/>
      <c r="QCL24" s="720"/>
      <c r="QCM24" s="720"/>
      <c r="QCN24" s="720"/>
      <c r="QCO24" s="720"/>
      <c r="QCP24" s="720"/>
      <c r="QCQ24" s="720"/>
      <c r="QCR24" s="720"/>
      <c r="QCS24" s="720"/>
      <c r="QCT24" s="720"/>
      <c r="QCU24" s="720"/>
      <c r="QCV24" s="720"/>
      <c r="QCW24" s="720"/>
      <c r="QCX24" s="720"/>
      <c r="QCY24" s="720"/>
      <c r="QCZ24" s="720"/>
      <c r="QDA24" s="720"/>
      <c r="QDB24" s="720"/>
      <c r="QDC24" s="720"/>
      <c r="QDD24" s="720"/>
      <c r="QDE24" s="720"/>
      <c r="QDF24" s="720"/>
      <c r="QDG24" s="720"/>
      <c r="QDH24" s="720"/>
      <c r="QDI24" s="720"/>
      <c r="QDJ24" s="720"/>
      <c r="QDK24" s="720"/>
      <c r="QDL24" s="720"/>
      <c r="QDM24" s="720"/>
      <c r="QDN24" s="720"/>
      <c r="QDO24" s="720"/>
      <c r="QDP24" s="720"/>
      <c r="QDQ24" s="720"/>
      <c r="QDR24" s="720"/>
      <c r="QDS24" s="720"/>
      <c r="QDT24" s="720"/>
      <c r="QDU24" s="720"/>
      <c r="QDV24" s="720"/>
      <c r="QDW24" s="720"/>
      <c r="QDX24" s="720"/>
      <c r="QDY24" s="720"/>
      <c r="QDZ24" s="720"/>
      <c r="QEA24" s="720"/>
      <c r="QEB24" s="720"/>
      <c r="QEC24" s="720"/>
      <c r="QED24" s="720"/>
      <c r="QEE24" s="720"/>
      <c r="QEF24" s="720"/>
      <c r="QEG24" s="720"/>
      <c r="QEH24" s="720"/>
      <c r="QEI24" s="720"/>
      <c r="QEJ24" s="720"/>
      <c r="QEK24" s="720"/>
      <c r="QEL24" s="720"/>
      <c r="QEM24" s="720"/>
      <c r="QEN24" s="720"/>
      <c r="QEO24" s="720"/>
      <c r="QEP24" s="720"/>
      <c r="QEQ24" s="720"/>
      <c r="QER24" s="720"/>
      <c r="QES24" s="720"/>
      <c r="QET24" s="720"/>
      <c r="QEU24" s="720"/>
      <c r="QEV24" s="720"/>
      <c r="QEW24" s="720"/>
      <c r="QEX24" s="720"/>
      <c r="QEY24" s="720"/>
      <c r="QEZ24" s="720"/>
      <c r="QFA24" s="720"/>
      <c r="QFB24" s="720"/>
      <c r="QFC24" s="720"/>
      <c r="QFD24" s="720"/>
      <c r="QFE24" s="720"/>
      <c r="QFF24" s="720"/>
      <c r="QFG24" s="720"/>
      <c r="QFH24" s="720"/>
      <c r="QFI24" s="720"/>
      <c r="QFJ24" s="720"/>
      <c r="QFK24" s="720"/>
      <c r="QFL24" s="720"/>
      <c r="QFM24" s="720"/>
      <c r="QFN24" s="720"/>
      <c r="QFO24" s="720"/>
      <c r="QFP24" s="720"/>
      <c r="QFQ24" s="720"/>
      <c r="QFR24" s="720"/>
      <c r="QFS24" s="720"/>
      <c r="QFT24" s="720"/>
      <c r="QFU24" s="720"/>
      <c r="QFV24" s="720"/>
      <c r="QFW24" s="720"/>
      <c r="QFX24" s="720"/>
      <c r="QFY24" s="720"/>
      <c r="QFZ24" s="720"/>
      <c r="QGA24" s="720"/>
      <c r="QGB24" s="720"/>
      <c r="QGC24" s="720"/>
      <c r="QGD24" s="720"/>
      <c r="QGE24" s="720"/>
      <c r="QGF24" s="720"/>
      <c r="QGG24" s="720"/>
      <c r="QGH24" s="720"/>
      <c r="QGI24" s="720"/>
      <c r="QGJ24" s="720"/>
      <c r="QGK24" s="720"/>
      <c r="QGL24" s="720"/>
      <c r="QGM24" s="720"/>
      <c r="QGN24" s="720"/>
      <c r="QGO24" s="720"/>
      <c r="QGP24" s="720"/>
      <c r="QGQ24" s="720"/>
      <c r="QGR24" s="720"/>
      <c r="QGS24" s="720"/>
      <c r="QGT24" s="720"/>
      <c r="QGU24" s="720"/>
      <c r="QGV24" s="720"/>
      <c r="QGW24" s="720"/>
      <c r="QGX24" s="720"/>
      <c r="QGY24" s="720"/>
      <c r="QGZ24" s="720"/>
      <c r="QHA24" s="720"/>
      <c r="QHB24" s="720"/>
      <c r="QHC24" s="720"/>
      <c r="QHD24" s="720"/>
      <c r="QHE24" s="720"/>
      <c r="QHF24" s="720"/>
      <c r="QHG24" s="720"/>
      <c r="QHH24" s="720"/>
      <c r="QHI24" s="720"/>
      <c r="QHJ24" s="720"/>
      <c r="QHK24" s="720"/>
      <c r="QHL24" s="720"/>
      <c r="QHM24" s="720"/>
      <c r="QHN24" s="720"/>
      <c r="QHO24" s="720"/>
      <c r="QHP24" s="720"/>
      <c r="QHQ24" s="720"/>
      <c r="QHR24" s="720"/>
      <c r="QHS24" s="720"/>
      <c r="QHT24" s="720"/>
      <c r="QHU24" s="720"/>
      <c r="QHV24" s="720"/>
      <c r="QHW24" s="720"/>
      <c r="QHX24" s="720"/>
      <c r="QHY24" s="720"/>
      <c r="QHZ24" s="720"/>
      <c r="QIA24" s="720"/>
      <c r="QIB24" s="720"/>
      <c r="QIC24" s="720"/>
      <c r="QID24" s="720"/>
      <c r="QIE24" s="720"/>
      <c r="QIF24" s="720"/>
      <c r="QIG24" s="720"/>
      <c r="QIH24" s="720"/>
      <c r="QII24" s="720"/>
      <c r="QIJ24" s="720"/>
      <c r="QIK24" s="720"/>
      <c r="QIL24" s="720"/>
      <c r="QIM24" s="720"/>
      <c r="QIN24" s="720"/>
      <c r="QIO24" s="720"/>
      <c r="QIP24" s="720"/>
      <c r="QIQ24" s="720"/>
      <c r="QIR24" s="720"/>
      <c r="QIS24" s="720"/>
      <c r="QIT24" s="720"/>
      <c r="QIU24" s="720"/>
      <c r="QIV24" s="720"/>
      <c r="QIW24" s="720"/>
      <c r="QIX24" s="720"/>
      <c r="QIY24" s="720"/>
      <c r="QIZ24" s="720"/>
      <c r="QJA24" s="720"/>
      <c r="QJB24" s="720"/>
      <c r="QJC24" s="720"/>
      <c r="QJD24" s="720"/>
      <c r="QJE24" s="720"/>
      <c r="QJF24" s="720"/>
      <c r="QJG24" s="720"/>
      <c r="QJH24" s="720"/>
      <c r="QJI24" s="720"/>
      <c r="QJJ24" s="720"/>
      <c r="QJK24" s="720"/>
      <c r="QJL24" s="720"/>
      <c r="QJM24" s="720"/>
      <c r="QJN24" s="720"/>
      <c r="QJO24" s="720"/>
      <c r="QJP24" s="720"/>
      <c r="QJQ24" s="720"/>
      <c r="QJR24" s="720"/>
      <c r="QJS24" s="720"/>
      <c r="QJT24" s="720"/>
      <c r="QJU24" s="720"/>
      <c r="QJV24" s="720"/>
      <c r="QJW24" s="720"/>
      <c r="QJX24" s="720"/>
      <c r="QJY24" s="720"/>
      <c r="QJZ24" s="720"/>
      <c r="QKA24" s="720"/>
      <c r="QKB24" s="720"/>
      <c r="QKC24" s="720"/>
      <c r="QKD24" s="720"/>
      <c r="QKE24" s="720"/>
      <c r="QKF24" s="720"/>
      <c r="QKG24" s="720"/>
      <c r="QKH24" s="720"/>
      <c r="QKI24" s="720"/>
      <c r="QKJ24" s="720"/>
      <c r="QKK24" s="720"/>
      <c r="QKL24" s="720"/>
      <c r="QKM24" s="720"/>
      <c r="QKN24" s="720"/>
      <c r="QKO24" s="720"/>
      <c r="QKP24" s="720"/>
      <c r="QKQ24" s="720"/>
      <c r="QKR24" s="720"/>
      <c r="QKS24" s="720"/>
      <c r="QKT24" s="720"/>
      <c r="QKU24" s="720"/>
      <c r="QKV24" s="720"/>
      <c r="QKW24" s="720"/>
      <c r="QKX24" s="720"/>
      <c r="QKY24" s="720"/>
      <c r="QKZ24" s="720"/>
      <c r="QLA24" s="720"/>
      <c r="QLB24" s="720"/>
      <c r="QLC24" s="720"/>
      <c r="QLD24" s="720"/>
      <c r="QLE24" s="720"/>
      <c r="QLF24" s="720"/>
      <c r="QLG24" s="720"/>
      <c r="QLH24" s="720"/>
      <c r="QLI24" s="720"/>
      <c r="QLJ24" s="720"/>
      <c r="QLK24" s="720"/>
      <c r="QLL24" s="720"/>
      <c r="QLM24" s="720"/>
      <c r="QLN24" s="720"/>
      <c r="QLO24" s="720"/>
      <c r="QLP24" s="720"/>
      <c r="QLQ24" s="720"/>
      <c r="QLR24" s="720"/>
      <c r="QLS24" s="720"/>
      <c r="QLT24" s="720"/>
      <c r="QLU24" s="720"/>
      <c r="QLV24" s="720"/>
      <c r="QLW24" s="720"/>
      <c r="QLX24" s="720"/>
      <c r="QLY24" s="720"/>
      <c r="QLZ24" s="720"/>
      <c r="QMA24" s="720"/>
      <c r="QMB24" s="720"/>
      <c r="QMC24" s="720"/>
      <c r="QMD24" s="720"/>
      <c r="QME24" s="720"/>
      <c r="QMF24" s="720"/>
      <c r="QMG24" s="720"/>
      <c r="QMH24" s="720"/>
      <c r="QMI24" s="720"/>
      <c r="QMJ24" s="720"/>
      <c r="QMK24" s="720"/>
      <c r="QML24" s="720"/>
      <c r="QMM24" s="720"/>
      <c r="QMN24" s="720"/>
      <c r="QMO24" s="720"/>
      <c r="QMP24" s="720"/>
      <c r="QMQ24" s="720"/>
      <c r="QMR24" s="720"/>
      <c r="QMS24" s="720"/>
      <c r="QMT24" s="720"/>
      <c r="QMU24" s="720"/>
      <c r="QMV24" s="720"/>
      <c r="QMW24" s="720"/>
      <c r="QMX24" s="720"/>
      <c r="QMY24" s="720"/>
      <c r="QMZ24" s="720"/>
      <c r="QNA24" s="720"/>
      <c r="QNB24" s="720"/>
      <c r="QNC24" s="720"/>
      <c r="QND24" s="720"/>
      <c r="QNE24" s="720"/>
      <c r="QNF24" s="720"/>
      <c r="QNG24" s="720"/>
      <c r="QNH24" s="720"/>
      <c r="QNI24" s="720"/>
      <c r="QNJ24" s="720"/>
      <c r="QNK24" s="720"/>
      <c r="QNL24" s="720"/>
      <c r="QNM24" s="720"/>
      <c r="QNN24" s="720"/>
      <c r="QNO24" s="720"/>
      <c r="QNP24" s="720"/>
      <c r="QNQ24" s="720"/>
      <c r="QNR24" s="720"/>
      <c r="QNS24" s="720"/>
      <c r="QNT24" s="720"/>
      <c r="QNU24" s="720"/>
      <c r="QNV24" s="720"/>
      <c r="QNW24" s="720"/>
      <c r="QNX24" s="720"/>
      <c r="QNY24" s="720"/>
      <c r="QNZ24" s="720"/>
      <c r="QOA24" s="720"/>
      <c r="QOB24" s="720"/>
      <c r="QOC24" s="720"/>
      <c r="QOD24" s="720"/>
      <c r="QOE24" s="720"/>
      <c r="QOF24" s="720"/>
      <c r="QOG24" s="720"/>
      <c r="QOH24" s="720"/>
      <c r="QOI24" s="720"/>
      <c r="QOJ24" s="720"/>
      <c r="QOK24" s="720"/>
      <c r="QOL24" s="720"/>
      <c r="QOM24" s="720"/>
      <c r="QON24" s="720"/>
      <c r="QOO24" s="720"/>
      <c r="QOP24" s="720"/>
      <c r="QOQ24" s="720"/>
      <c r="QOR24" s="720"/>
      <c r="QOS24" s="720"/>
      <c r="QOT24" s="720"/>
      <c r="QOU24" s="720"/>
      <c r="QOV24" s="720"/>
      <c r="QOW24" s="720"/>
      <c r="QOX24" s="720"/>
      <c r="QOY24" s="720"/>
      <c r="QOZ24" s="720"/>
      <c r="QPA24" s="720"/>
      <c r="QPB24" s="720"/>
      <c r="QPC24" s="720"/>
      <c r="QPD24" s="720"/>
      <c r="QPE24" s="720"/>
      <c r="QPF24" s="720"/>
      <c r="QPG24" s="720"/>
      <c r="QPH24" s="720"/>
      <c r="QPI24" s="720"/>
      <c r="QPJ24" s="720"/>
      <c r="QPK24" s="720"/>
      <c r="QPL24" s="720"/>
      <c r="QPM24" s="720"/>
      <c r="QPN24" s="720"/>
      <c r="QPO24" s="720"/>
      <c r="QPP24" s="720"/>
      <c r="QPQ24" s="720"/>
      <c r="QPR24" s="720"/>
      <c r="QPS24" s="720"/>
      <c r="QPT24" s="720"/>
      <c r="QPU24" s="720"/>
      <c r="QPV24" s="720"/>
      <c r="QPW24" s="720"/>
      <c r="QPX24" s="720"/>
      <c r="QPY24" s="720"/>
      <c r="QPZ24" s="720"/>
      <c r="QQA24" s="720"/>
      <c r="QQB24" s="720"/>
      <c r="QQC24" s="720"/>
      <c r="QQD24" s="720"/>
      <c r="QQE24" s="720"/>
      <c r="QQF24" s="720"/>
      <c r="QQG24" s="720"/>
      <c r="QQH24" s="720"/>
      <c r="QQI24" s="720"/>
      <c r="QQJ24" s="720"/>
      <c r="QQK24" s="720"/>
      <c r="QQL24" s="720"/>
      <c r="QQM24" s="720"/>
      <c r="QQN24" s="720"/>
      <c r="QQO24" s="720"/>
      <c r="QQP24" s="720"/>
      <c r="QQQ24" s="720"/>
      <c r="QQR24" s="720"/>
      <c r="QQS24" s="720"/>
      <c r="QQT24" s="720"/>
      <c r="QQU24" s="720"/>
      <c r="QQV24" s="720"/>
      <c r="QQW24" s="720"/>
      <c r="QQX24" s="720"/>
      <c r="QQY24" s="720"/>
      <c r="QQZ24" s="720"/>
      <c r="QRA24" s="720"/>
      <c r="QRB24" s="720"/>
      <c r="QRC24" s="720"/>
      <c r="QRD24" s="720"/>
      <c r="QRE24" s="720"/>
      <c r="QRF24" s="720"/>
      <c r="QRG24" s="720"/>
      <c r="QRH24" s="720"/>
      <c r="QRI24" s="720"/>
      <c r="QRJ24" s="720"/>
      <c r="QRK24" s="720"/>
      <c r="QRL24" s="720"/>
      <c r="QRM24" s="720"/>
      <c r="QRN24" s="720"/>
      <c r="QRO24" s="720"/>
      <c r="QRP24" s="720"/>
      <c r="QRQ24" s="720"/>
      <c r="QRR24" s="720"/>
      <c r="QRS24" s="720"/>
      <c r="QRT24" s="720"/>
      <c r="QRU24" s="720"/>
      <c r="QRV24" s="720"/>
      <c r="QRW24" s="720"/>
      <c r="QRX24" s="720"/>
      <c r="QRY24" s="720"/>
      <c r="QRZ24" s="720"/>
      <c r="QSA24" s="720"/>
      <c r="QSB24" s="720"/>
      <c r="QSC24" s="720"/>
      <c r="QSD24" s="720"/>
      <c r="QSE24" s="720"/>
      <c r="QSF24" s="720"/>
      <c r="QSG24" s="720"/>
      <c r="QSH24" s="720"/>
      <c r="QSI24" s="720"/>
      <c r="QSJ24" s="720"/>
      <c r="QSK24" s="720"/>
      <c r="QSL24" s="720"/>
      <c r="QSM24" s="720"/>
      <c r="QSN24" s="720"/>
      <c r="QSO24" s="720"/>
      <c r="QSP24" s="720"/>
      <c r="QSQ24" s="720"/>
      <c r="QSR24" s="720"/>
      <c r="QSS24" s="720"/>
      <c r="QST24" s="720"/>
      <c r="QSU24" s="720"/>
      <c r="QSV24" s="720"/>
      <c r="QSW24" s="720"/>
      <c r="QSX24" s="720"/>
      <c r="QSY24" s="720"/>
      <c r="QSZ24" s="720"/>
      <c r="QTA24" s="720"/>
      <c r="QTB24" s="720"/>
      <c r="QTC24" s="720"/>
      <c r="QTD24" s="720"/>
      <c r="QTE24" s="720"/>
      <c r="QTF24" s="720"/>
      <c r="QTG24" s="720"/>
      <c r="QTH24" s="720"/>
      <c r="QTI24" s="720"/>
      <c r="QTJ24" s="720"/>
      <c r="QTK24" s="720"/>
      <c r="QTL24" s="720"/>
      <c r="QTM24" s="720"/>
      <c r="QTN24" s="720"/>
      <c r="QTO24" s="720"/>
      <c r="QTP24" s="720"/>
      <c r="QTQ24" s="720"/>
      <c r="QTR24" s="720"/>
      <c r="QTS24" s="720"/>
      <c r="QTT24" s="720"/>
      <c r="QTU24" s="720"/>
      <c r="QTV24" s="720"/>
      <c r="QTW24" s="720"/>
      <c r="QTX24" s="720"/>
      <c r="QTY24" s="720"/>
      <c r="QTZ24" s="720"/>
      <c r="QUA24" s="720"/>
      <c r="QUB24" s="720"/>
      <c r="QUC24" s="720"/>
      <c r="QUD24" s="720"/>
      <c r="QUE24" s="720"/>
      <c r="QUF24" s="720"/>
      <c r="QUG24" s="720"/>
      <c r="QUH24" s="720"/>
      <c r="QUI24" s="720"/>
      <c r="QUJ24" s="720"/>
      <c r="QUK24" s="720"/>
      <c r="QUL24" s="720"/>
      <c r="QUM24" s="720"/>
      <c r="QUN24" s="720"/>
      <c r="QUO24" s="720"/>
      <c r="QUP24" s="720"/>
      <c r="QUQ24" s="720"/>
      <c r="QUR24" s="720"/>
      <c r="QUS24" s="720"/>
      <c r="QUT24" s="720"/>
      <c r="QUU24" s="720"/>
      <c r="QUV24" s="720"/>
      <c r="QUW24" s="720"/>
      <c r="QUX24" s="720"/>
      <c r="QUY24" s="720"/>
      <c r="QUZ24" s="720"/>
      <c r="QVA24" s="720"/>
      <c r="QVB24" s="720"/>
      <c r="QVC24" s="720"/>
      <c r="QVD24" s="720"/>
      <c r="QVE24" s="720"/>
      <c r="QVF24" s="720"/>
      <c r="QVG24" s="720"/>
      <c r="QVH24" s="720"/>
      <c r="QVI24" s="720"/>
      <c r="QVJ24" s="720"/>
      <c r="QVK24" s="720"/>
      <c r="QVL24" s="720"/>
      <c r="QVM24" s="720"/>
      <c r="QVN24" s="720"/>
      <c r="QVO24" s="720"/>
      <c r="QVP24" s="720"/>
      <c r="QVQ24" s="720"/>
      <c r="QVR24" s="720"/>
      <c r="QVS24" s="720"/>
      <c r="QVT24" s="720"/>
      <c r="QVU24" s="720"/>
      <c r="QVV24" s="720"/>
      <c r="QVW24" s="720"/>
      <c r="QVX24" s="720"/>
      <c r="QVY24" s="720"/>
      <c r="QVZ24" s="720"/>
      <c r="QWA24" s="720"/>
      <c r="QWB24" s="720"/>
      <c r="QWC24" s="720"/>
      <c r="QWD24" s="720"/>
      <c r="QWE24" s="720"/>
      <c r="QWF24" s="720"/>
      <c r="QWG24" s="720"/>
      <c r="QWH24" s="720"/>
      <c r="QWI24" s="720"/>
      <c r="QWJ24" s="720"/>
      <c r="QWK24" s="720"/>
      <c r="QWL24" s="720"/>
      <c r="QWM24" s="720"/>
      <c r="QWN24" s="720"/>
      <c r="QWO24" s="720"/>
      <c r="QWP24" s="720"/>
      <c r="QWQ24" s="720"/>
      <c r="QWR24" s="720"/>
      <c r="QWS24" s="720"/>
      <c r="QWT24" s="720"/>
      <c r="QWU24" s="720"/>
      <c r="QWV24" s="720"/>
      <c r="QWW24" s="720"/>
      <c r="QWX24" s="720"/>
      <c r="QWY24" s="720"/>
      <c r="QWZ24" s="720"/>
      <c r="QXA24" s="720"/>
      <c r="QXB24" s="720"/>
      <c r="QXC24" s="720"/>
      <c r="QXD24" s="720"/>
      <c r="QXE24" s="720"/>
      <c r="QXF24" s="720"/>
      <c r="QXG24" s="720"/>
      <c r="QXH24" s="720"/>
      <c r="QXI24" s="720"/>
      <c r="QXJ24" s="720"/>
      <c r="QXK24" s="720"/>
      <c r="QXL24" s="720"/>
      <c r="QXM24" s="720"/>
      <c r="QXN24" s="720"/>
      <c r="QXO24" s="720"/>
      <c r="QXP24" s="720"/>
      <c r="QXQ24" s="720"/>
      <c r="QXR24" s="720"/>
      <c r="QXS24" s="720"/>
      <c r="QXT24" s="720"/>
      <c r="QXU24" s="720"/>
      <c r="QXV24" s="720"/>
      <c r="QXW24" s="720"/>
      <c r="QXX24" s="720"/>
      <c r="QXY24" s="720"/>
      <c r="QXZ24" s="720"/>
      <c r="QYA24" s="720"/>
      <c r="QYB24" s="720"/>
      <c r="QYC24" s="720"/>
      <c r="QYD24" s="720"/>
      <c r="QYE24" s="720"/>
      <c r="QYF24" s="720"/>
      <c r="QYG24" s="720"/>
      <c r="QYH24" s="720"/>
      <c r="QYI24" s="720"/>
      <c r="QYJ24" s="720"/>
      <c r="QYK24" s="720"/>
      <c r="QYL24" s="720"/>
      <c r="QYM24" s="720"/>
      <c r="QYN24" s="720"/>
      <c r="QYO24" s="720"/>
      <c r="QYP24" s="720"/>
      <c r="QYQ24" s="720"/>
      <c r="QYR24" s="720"/>
      <c r="QYS24" s="720"/>
      <c r="QYT24" s="720"/>
      <c r="QYU24" s="720"/>
      <c r="QYV24" s="720"/>
      <c r="QYW24" s="720"/>
      <c r="QYX24" s="720"/>
      <c r="QYY24" s="720"/>
      <c r="QYZ24" s="720"/>
      <c r="QZA24" s="720"/>
      <c r="QZB24" s="720"/>
      <c r="QZC24" s="720"/>
      <c r="QZD24" s="720"/>
      <c r="QZE24" s="720"/>
      <c r="QZF24" s="720"/>
      <c r="QZG24" s="720"/>
      <c r="QZH24" s="720"/>
      <c r="QZI24" s="720"/>
      <c r="QZJ24" s="720"/>
      <c r="QZK24" s="720"/>
      <c r="QZL24" s="720"/>
      <c r="QZM24" s="720"/>
      <c r="QZN24" s="720"/>
      <c r="QZO24" s="720"/>
      <c r="QZP24" s="720"/>
      <c r="QZQ24" s="720"/>
      <c r="QZR24" s="720"/>
      <c r="QZS24" s="720"/>
      <c r="QZT24" s="720"/>
      <c r="QZU24" s="720"/>
      <c r="QZV24" s="720"/>
      <c r="QZW24" s="720"/>
      <c r="QZX24" s="720"/>
      <c r="QZY24" s="720"/>
      <c r="QZZ24" s="720"/>
      <c r="RAA24" s="720"/>
      <c r="RAB24" s="720"/>
      <c r="RAC24" s="720"/>
      <c r="RAD24" s="720"/>
      <c r="RAE24" s="720"/>
      <c r="RAF24" s="720"/>
      <c r="RAG24" s="720"/>
      <c r="RAH24" s="720"/>
      <c r="RAI24" s="720"/>
      <c r="RAJ24" s="720"/>
      <c r="RAK24" s="720"/>
      <c r="RAL24" s="720"/>
      <c r="RAM24" s="720"/>
      <c r="RAN24" s="720"/>
      <c r="RAO24" s="720"/>
      <c r="RAP24" s="720"/>
      <c r="RAQ24" s="720"/>
      <c r="RAR24" s="720"/>
      <c r="RAS24" s="720"/>
      <c r="RAT24" s="720"/>
      <c r="RAU24" s="720"/>
      <c r="RAV24" s="720"/>
      <c r="RAW24" s="720"/>
      <c r="RAX24" s="720"/>
      <c r="RAY24" s="720"/>
      <c r="RAZ24" s="720"/>
      <c r="RBA24" s="720"/>
      <c r="RBB24" s="720"/>
      <c r="RBC24" s="720"/>
      <c r="RBD24" s="720"/>
      <c r="RBE24" s="720"/>
      <c r="RBF24" s="720"/>
      <c r="RBG24" s="720"/>
      <c r="RBH24" s="720"/>
      <c r="RBI24" s="720"/>
      <c r="RBJ24" s="720"/>
      <c r="RBK24" s="720"/>
      <c r="RBL24" s="720"/>
      <c r="RBM24" s="720"/>
      <c r="RBN24" s="720"/>
      <c r="RBO24" s="720"/>
      <c r="RBP24" s="720"/>
      <c r="RBQ24" s="720"/>
      <c r="RBR24" s="720"/>
      <c r="RBS24" s="720"/>
      <c r="RBT24" s="720"/>
      <c r="RBU24" s="720"/>
      <c r="RBV24" s="720"/>
      <c r="RBW24" s="720"/>
      <c r="RBX24" s="720"/>
      <c r="RBY24" s="720"/>
      <c r="RBZ24" s="720"/>
      <c r="RCA24" s="720"/>
      <c r="RCB24" s="720"/>
      <c r="RCC24" s="720"/>
      <c r="RCD24" s="720"/>
      <c r="RCE24" s="720"/>
      <c r="RCF24" s="720"/>
      <c r="RCG24" s="720"/>
      <c r="RCH24" s="720"/>
      <c r="RCI24" s="720"/>
      <c r="RCJ24" s="720"/>
      <c r="RCK24" s="720"/>
      <c r="RCL24" s="720"/>
      <c r="RCM24" s="720"/>
      <c r="RCN24" s="720"/>
      <c r="RCO24" s="720"/>
      <c r="RCP24" s="720"/>
      <c r="RCQ24" s="720"/>
      <c r="RCR24" s="720"/>
      <c r="RCS24" s="720"/>
      <c r="RCT24" s="720"/>
      <c r="RCU24" s="720"/>
      <c r="RCV24" s="720"/>
      <c r="RCW24" s="720"/>
      <c r="RCX24" s="720"/>
      <c r="RCY24" s="720"/>
      <c r="RCZ24" s="720"/>
      <c r="RDA24" s="720"/>
      <c r="RDB24" s="720"/>
      <c r="RDC24" s="720"/>
      <c r="RDD24" s="720"/>
      <c r="RDE24" s="720"/>
      <c r="RDF24" s="720"/>
      <c r="RDG24" s="720"/>
      <c r="RDH24" s="720"/>
      <c r="RDI24" s="720"/>
      <c r="RDJ24" s="720"/>
      <c r="RDK24" s="720"/>
      <c r="RDL24" s="720"/>
      <c r="RDM24" s="720"/>
      <c r="RDN24" s="720"/>
      <c r="RDO24" s="720"/>
      <c r="RDP24" s="720"/>
      <c r="RDQ24" s="720"/>
      <c r="RDR24" s="720"/>
      <c r="RDS24" s="720"/>
      <c r="RDT24" s="720"/>
      <c r="RDU24" s="720"/>
      <c r="RDV24" s="720"/>
      <c r="RDW24" s="720"/>
      <c r="RDX24" s="720"/>
      <c r="RDY24" s="720"/>
      <c r="RDZ24" s="720"/>
      <c r="REA24" s="720"/>
      <c r="REB24" s="720"/>
      <c r="REC24" s="720"/>
      <c r="RED24" s="720"/>
      <c r="REE24" s="720"/>
      <c r="REF24" s="720"/>
      <c r="REG24" s="720"/>
      <c r="REH24" s="720"/>
      <c r="REI24" s="720"/>
      <c r="REJ24" s="720"/>
      <c r="REK24" s="720"/>
      <c r="REL24" s="720"/>
      <c r="REM24" s="720"/>
      <c r="REN24" s="720"/>
      <c r="REO24" s="720"/>
      <c r="REP24" s="720"/>
      <c r="REQ24" s="720"/>
      <c r="RER24" s="720"/>
      <c r="RES24" s="720"/>
      <c r="RET24" s="720"/>
      <c r="REU24" s="720"/>
      <c r="REV24" s="720"/>
      <c r="REW24" s="720"/>
      <c r="REX24" s="720"/>
      <c r="REY24" s="720"/>
      <c r="REZ24" s="720"/>
      <c r="RFA24" s="720"/>
      <c r="RFB24" s="720"/>
      <c r="RFC24" s="720"/>
      <c r="RFD24" s="720"/>
      <c r="RFE24" s="720"/>
      <c r="RFF24" s="720"/>
      <c r="RFG24" s="720"/>
      <c r="RFH24" s="720"/>
      <c r="RFI24" s="720"/>
      <c r="RFJ24" s="720"/>
      <c r="RFK24" s="720"/>
      <c r="RFL24" s="720"/>
      <c r="RFM24" s="720"/>
      <c r="RFN24" s="720"/>
      <c r="RFO24" s="720"/>
      <c r="RFP24" s="720"/>
      <c r="RFQ24" s="720"/>
      <c r="RFR24" s="720"/>
      <c r="RFS24" s="720"/>
      <c r="RFT24" s="720"/>
      <c r="RFU24" s="720"/>
      <c r="RFV24" s="720"/>
      <c r="RFW24" s="720"/>
      <c r="RFX24" s="720"/>
      <c r="RFY24" s="720"/>
      <c r="RFZ24" s="720"/>
      <c r="RGA24" s="720"/>
      <c r="RGB24" s="720"/>
      <c r="RGC24" s="720"/>
      <c r="RGD24" s="720"/>
      <c r="RGE24" s="720"/>
      <c r="RGF24" s="720"/>
      <c r="RGG24" s="720"/>
      <c r="RGH24" s="720"/>
      <c r="RGI24" s="720"/>
      <c r="RGJ24" s="720"/>
      <c r="RGK24" s="720"/>
      <c r="RGL24" s="720"/>
      <c r="RGM24" s="720"/>
      <c r="RGN24" s="720"/>
      <c r="RGO24" s="720"/>
      <c r="RGP24" s="720"/>
      <c r="RGQ24" s="720"/>
      <c r="RGR24" s="720"/>
      <c r="RGS24" s="720"/>
      <c r="RGT24" s="720"/>
      <c r="RGU24" s="720"/>
      <c r="RGV24" s="720"/>
      <c r="RGW24" s="720"/>
      <c r="RGX24" s="720"/>
      <c r="RGY24" s="720"/>
      <c r="RGZ24" s="720"/>
      <c r="RHA24" s="720"/>
      <c r="RHB24" s="720"/>
      <c r="RHC24" s="720"/>
      <c r="RHD24" s="720"/>
      <c r="RHE24" s="720"/>
      <c r="RHF24" s="720"/>
      <c r="RHG24" s="720"/>
      <c r="RHH24" s="720"/>
      <c r="RHI24" s="720"/>
      <c r="RHJ24" s="720"/>
      <c r="RHK24" s="720"/>
      <c r="RHL24" s="720"/>
      <c r="RHM24" s="720"/>
      <c r="RHN24" s="720"/>
      <c r="RHO24" s="720"/>
      <c r="RHP24" s="720"/>
      <c r="RHQ24" s="720"/>
      <c r="RHR24" s="720"/>
      <c r="RHS24" s="720"/>
      <c r="RHT24" s="720"/>
      <c r="RHU24" s="720"/>
      <c r="RHV24" s="720"/>
      <c r="RHW24" s="720"/>
      <c r="RHX24" s="720"/>
      <c r="RHY24" s="720"/>
      <c r="RHZ24" s="720"/>
      <c r="RIA24" s="720"/>
      <c r="RIB24" s="720"/>
      <c r="RIC24" s="720"/>
      <c r="RID24" s="720"/>
      <c r="RIE24" s="720"/>
      <c r="RIF24" s="720"/>
      <c r="RIG24" s="720"/>
      <c r="RIH24" s="720"/>
      <c r="RII24" s="720"/>
      <c r="RIJ24" s="720"/>
      <c r="RIK24" s="720"/>
      <c r="RIL24" s="720"/>
      <c r="RIM24" s="720"/>
      <c r="RIN24" s="720"/>
      <c r="RIO24" s="720"/>
      <c r="RIP24" s="720"/>
      <c r="RIQ24" s="720"/>
      <c r="RIR24" s="720"/>
      <c r="RIS24" s="720"/>
      <c r="RIT24" s="720"/>
      <c r="RIU24" s="720"/>
      <c r="RIV24" s="720"/>
      <c r="RIW24" s="720"/>
      <c r="RIX24" s="720"/>
      <c r="RIY24" s="720"/>
      <c r="RIZ24" s="720"/>
      <c r="RJA24" s="720"/>
      <c r="RJB24" s="720"/>
      <c r="RJC24" s="720"/>
      <c r="RJD24" s="720"/>
      <c r="RJE24" s="720"/>
      <c r="RJF24" s="720"/>
      <c r="RJG24" s="720"/>
      <c r="RJH24" s="720"/>
      <c r="RJI24" s="720"/>
      <c r="RJJ24" s="720"/>
      <c r="RJK24" s="720"/>
      <c r="RJL24" s="720"/>
      <c r="RJM24" s="720"/>
      <c r="RJN24" s="720"/>
      <c r="RJO24" s="720"/>
      <c r="RJP24" s="720"/>
      <c r="RJQ24" s="720"/>
      <c r="RJR24" s="720"/>
      <c r="RJS24" s="720"/>
      <c r="RJT24" s="720"/>
      <c r="RJU24" s="720"/>
      <c r="RJV24" s="720"/>
      <c r="RJW24" s="720"/>
      <c r="RJX24" s="720"/>
      <c r="RJY24" s="720"/>
      <c r="RJZ24" s="720"/>
      <c r="RKA24" s="720"/>
      <c r="RKB24" s="720"/>
      <c r="RKC24" s="720"/>
      <c r="RKD24" s="720"/>
      <c r="RKE24" s="720"/>
      <c r="RKF24" s="720"/>
      <c r="RKG24" s="720"/>
      <c r="RKH24" s="720"/>
      <c r="RKI24" s="720"/>
      <c r="RKJ24" s="720"/>
      <c r="RKK24" s="720"/>
      <c r="RKL24" s="720"/>
      <c r="RKM24" s="720"/>
      <c r="RKN24" s="720"/>
      <c r="RKO24" s="720"/>
      <c r="RKP24" s="720"/>
      <c r="RKQ24" s="720"/>
      <c r="RKR24" s="720"/>
      <c r="RKS24" s="720"/>
      <c r="RKT24" s="720"/>
      <c r="RKU24" s="720"/>
      <c r="RKV24" s="720"/>
      <c r="RKW24" s="720"/>
      <c r="RKX24" s="720"/>
      <c r="RKY24" s="720"/>
      <c r="RKZ24" s="720"/>
      <c r="RLA24" s="720"/>
      <c r="RLB24" s="720"/>
      <c r="RLC24" s="720"/>
      <c r="RLD24" s="720"/>
      <c r="RLE24" s="720"/>
      <c r="RLF24" s="720"/>
      <c r="RLG24" s="720"/>
      <c r="RLH24" s="720"/>
      <c r="RLI24" s="720"/>
      <c r="RLJ24" s="720"/>
      <c r="RLK24" s="720"/>
      <c r="RLL24" s="720"/>
      <c r="RLM24" s="720"/>
      <c r="RLN24" s="720"/>
      <c r="RLO24" s="720"/>
      <c r="RLP24" s="720"/>
      <c r="RLQ24" s="720"/>
      <c r="RLR24" s="720"/>
      <c r="RLS24" s="720"/>
      <c r="RLT24" s="720"/>
      <c r="RLU24" s="720"/>
      <c r="RLV24" s="720"/>
      <c r="RLW24" s="720"/>
      <c r="RLX24" s="720"/>
      <c r="RLY24" s="720"/>
      <c r="RLZ24" s="720"/>
      <c r="RMA24" s="720"/>
      <c r="RMB24" s="720"/>
      <c r="RMC24" s="720"/>
      <c r="RMD24" s="720"/>
      <c r="RME24" s="720"/>
      <c r="RMF24" s="720"/>
      <c r="RMG24" s="720"/>
      <c r="RMH24" s="720"/>
      <c r="RMI24" s="720"/>
      <c r="RMJ24" s="720"/>
      <c r="RMK24" s="720"/>
      <c r="RML24" s="720"/>
      <c r="RMM24" s="720"/>
      <c r="RMN24" s="720"/>
      <c r="RMO24" s="720"/>
      <c r="RMP24" s="720"/>
      <c r="RMQ24" s="720"/>
      <c r="RMR24" s="720"/>
      <c r="RMS24" s="720"/>
      <c r="RMT24" s="720"/>
      <c r="RMU24" s="720"/>
      <c r="RMV24" s="720"/>
      <c r="RMW24" s="720"/>
      <c r="RMX24" s="720"/>
      <c r="RMY24" s="720"/>
      <c r="RMZ24" s="720"/>
      <c r="RNA24" s="720"/>
      <c r="RNB24" s="720"/>
      <c r="RNC24" s="720"/>
      <c r="RND24" s="720"/>
      <c r="RNE24" s="720"/>
      <c r="RNF24" s="720"/>
      <c r="RNG24" s="720"/>
      <c r="RNH24" s="720"/>
      <c r="RNI24" s="720"/>
      <c r="RNJ24" s="720"/>
      <c r="RNK24" s="720"/>
      <c r="RNL24" s="720"/>
      <c r="RNM24" s="720"/>
      <c r="RNN24" s="720"/>
      <c r="RNO24" s="720"/>
      <c r="RNP24" s="720"/>
      <c r="RNQ24" s="720"/>
      <c r="RNR24" s="720"/>
      <c r="RNS24" s="720"/>
      <c r="RNT24" s="720"/>
      <c r="RNU24" s="720"/>
      <c r="RNV24" s="720"/>
      <c r="RNW24" s="720"/>
      <c r="RNX24" s="720"/>
      <c r="RNY24" s="720"/>
      <c r="RNZ24" s="720"/>
      <c r="ROA24" s="720"/>
      <c r="ROB24" s="720"/>
      <c r="ROC24" s="720"/>
      <c r="ROD24" s="720"/>
      <c r="ROE24" s="720"/>
      <c r="ROF24" s="720"/>
      <c r="ROG24" s="720"/>
      <c r="ROH24" s="720"/>
      <c r="ROI24" s="720"/>
      <c r="ROJ24" s="720"/>
      <c r="ROK24" s="720"/>
      <c r="ROL24" s="720"/>
      <c r="ROM24" s="720"/>
      <c r="RON24" s="720"/>
      <c r="ROO24" s="720"/>
      <c r="ROP24" s="720"/>
      <c r="ROQ24" s="720"/>
      <c r="ROR24" s="720"/>
      <c r="ROS24" s="720"/>
      <c r="ROT24" s="720"/>
      <c r="ROU24" s="720"/>
      <c r="ROV24" s="720"/>
      <c r="ROW24" s="720"/>
      <c r="ROX24" s="720"/>
      <c r="ROY24" s="720"/>
      <c r="ROZ24" s="720"/>
      <c r="RPA24" s="720"/>
      <c r="RPB24" s="720"/>
      <c r="RPC24" s="720"/>
      <c r="RPD24" s="720"/>
      <c r="RPE24" s="720"/>
      <c r="RPF24" s="720"/>
      <c r="RPG24" s="720"/>
      <c r="RPH24" s="720"/>
      <c r="RPI24" s="720"/>
      <c r="RPJ24" s="720"/>
      <c r="RPK24" s="720"/>
      <c r="RPL24" s="720"/>
      <c r="RPM24" s="720"/>
      <c r="RPN24" s="720"/>
      <c r="RPO24" s="720"/>
      <c r="RPP24" s="720"/>
      <c r="RPQ24" s="720"/>
      <c r="RPR24" s="720"/>
      <c r="RPS24" s="720"/>
      <c r="RPT24" s="720"/>
      <c r="RPU24" s="720"/>
      <c r="RPV24" s="720"/>
      <c r="RPW24" s="720"/>
      <c r="RPX24" s="720"/>
      <c r="RPY24" s="720"/>
      <c r="RPZ24" s="720"/>
      <c r="RQA24" s="720"/>
      <c r="RQB24" s="720"/>
      <c r="RQC24" s="720"/>
      <c r="RQD24" s="720"/>
      <c r="RQE24" s="720"/>
      <c r="RQF24" s="720"/>
      <c r="RQG24" s="720"/>
      <c r="RQH24" s="720"/>
      <c r="RQI24" s="720"/>
      <c r="RQJ24" s="720"/>
      <c r="RQK24" s="720"/>
      <c r="RQL24" s="720"/>
      <c r="RQM24" s="720"/>
      <c r="RQN24" s="720"/>
      <c r="RQO24" s="720"/>
      <c r="RQP24" s="720"/>
      <c r="RQQ24" s="720"/>
      <c r="RQR24" s="720"/>
      <c r="RQS24" s="720"/>
      <c r="RQT24" s="720"/>
      <c r="RQU24" s="720"/>
      <c r="RQV24" s="720"/>
      <c r="RQW24" s="720"/>
      <c r="RQX24" s="720"/>
      <c r="RQY24" s="720"/>
      <c r="RQZ24" s="720"/>
      <c r="RRA24" s="720"/>
      <c r="RRB24" s="720"/>
      <c r="RRC24" s="720"/>
      <c r="RRD24" s="720"/>
      <c r="RRE24" s="720"/>
      <c r="RRF24" s="720"/>
      <c r="RRG24" s="720"/>
      <c r="RRH24" s="720"/>
      <c r="RRI24" s="720"/>
      <c r="RRJ24" s="720"/>
      <c r="RRK24" s="720"/>
      <c r="RRL24" s="720"/>
      <c r="RRM24" s="720"/>
      <c r="RRN24" s="720"/>
      <c r="RRO24" s="720"/>
      <c r="RRP24" s="720"/>
      <c r="RRQ24" s="720"/>
      <c r="RRR24" s="720"/>
      <c r="RRS24" s="720"/>
      <c r="RRT24" s="720"/>
      <c r="RRU24" s="720"/>
      <c r="RRV24" s="720"/>
      <c r="RRW24" s="720"/>
      <c r="RRX24" s="720"/>
      <c r="RRY24" s="720"/>
      <c r="RRZ24" s="720"/>
      <c r="RSA24" s="720"/>
      <c r="RSB24" s="720"/>
      <c r="RSC24" s="720"/>
      <c r="RSD24" s="720"/>
      <c r="RSE24" s="720"/>
      <c r="RSF24" s="720"/>
      <c r="RSG24" s="720"/>
      <c r="RSH24" s="720"/>
      <c r="RSI24" s="720"/>
      <c r="RSJ24" s="720"/>
      <c r="RSK24" s="720"/>
      <c r="RSL24" s="720"/>
      <c r="RSM24" s="720"/>
      <c r="RSN24" s="720"/>
      <c r="RSO24" s="720"/>
      <c r="RSP24" s="720"/>
      <c r="RSQ24" s="720"/>
      <c r="RSR24" s="720"/>
      <c r="RSS24" s="720"/>
      <c r="RST24" s="720"/>
      <c r="RSU24" s="720"/>
      <c r="RSV24" s="720"/>
      <c r="RSW24" s="720"/>
      <c r="RSX24" s="720"/>
      <c r="RSY24" s="720"/>
      <c r="RSZ24" s="720"/>
      <c r="RTA24" s="720"/>
      <c r="RTB24" s="720"/>
      <c r="RTC24" s="720"/>
      <c r="RTD24" s="720"/>
      <c r="RTE24" s="720"/>
      <c r="RTF24" s="720"/>
      <c r="RTG24" s="720"/>
      <c r="RTH24" s="720"/>
      <c r="RTI24" s="720"/>
      <c r="RTJ24" s="720"/>
      <c r="RTK24" s="720"/>
      <c r="RTL24" s="720"/>
      <c r="RTM24" s="720"/>
      <c r="RTN24" s="720"/>
      <c r="RTO24" s="720"/>
      <c r="RTP24" s="720"/>
      <c r="RTQ24" s="720"/>
      <c r="RTR24" s="720"/>
      <c r="RTS24" s="720"/>
      <c r="RTT24" s="720"/>
      <c r="RTU24" s="720"/>
      <c r="RTV24" s="720"/>
      <c r="RTW24" s="720"/>
      <c r="RTX24" s="720"/>
      <c r="RTY24" s="720"/>
      <c r="RTZ24" s="720"/>
      <c r="RUA24" s="720"/>
      <c r="RUB24" s="720"/>
      <c r="RUC24" s="720"/>
      <c r="RUD24" s="720"/>
      <c r="RUE24" s="720"/>
      <c r="RUF24" s="720"/>
      <c r="RUG24" s="720"/>
      <c r="RUH24" s="720"/>
      <c r="RUI24" s="720"/>
      <c r="RUJ24" s="720"/>
      <c r="RUK24" s="720"/>
      <c r="RUL24" s="720"/>
      <c r="RUM24" s="720"/>
      <c r="RUN24" s="720"/>
      <c r="RUO24" s="720"/>
      <c r="RUP24" s="720"/>
      <c r="RUQ24" s="720"/>
      <c r="RUR24" s="720"/>
      <c r="RUS24" s="720"/>
      <c r="RUT24" s="720"/>
      <c r="RUU24" s="720"/>
      <c r="RUV24" s="720"/>
      <c r="RUW24" s="720"/>
      <c r="RUX24" s="720"/>
      <c r="RUY24" s="720"/>
      <c r="RUZ24" s="720"/>
      <c r="RVA24" s="720"/>
      <c r="RVB24" s="720"/>
      <c r="RVC24" s="720"/>
      <c r="RVD24" s="720"/>
      <c r="RVE24" s="720"/>
      <c r="RVF24" s="720"/>
      <c r="RVG24" s="720"/>
      <c r="RVH24" s="720"/>
      <c r="RVI24" s="720"/>
      <c r="RVJ24" s="720"/>
      <c r="RVK24" s="720"/>
      <c r="RVL24" s="720"/>
      <c r="RVM24" s="720"/>
      <c r="RVN24" s="720"/>
      <c r="RVO24" s="720"/>
      <c r="RVP24" s="720"/>
      <c r="RVQ24" s="720"/>
      <c r="RVR24" s="720"/>
      <c r="RVS24" s="720"/>
      <c r="RVT24" s="720"/>
      <c r="RVU24" s="720"/>
      <c r="RVV24" s="720"/>
      <c r="RVW24" s="720"/>
      <c r="RVX24" s="720"/>
      <c r="RVY24" s="720"/>
      <c r="RVZ24" s="720"/>
      <c r="RWA24" s="720"/>
      <c r="RWB24" s="720"/>
      <c r="RWC24" s="720"/>
      <c r="RWD24" s="720"/>
      <c r="RWE24" s="720"/>
      <c r="RWF24" s="720"/>
      <c r="RWG24" s="720"/>
      <c r="RWH24" s="720"/>
      <c r="RWI24" s="720"/>
      <c r="RWJ24" s="720"/>
      <c r="RWK24" s="720"/>
      <c r="RWL24" s="720"/>
      <c r="RWM24" s="720"/>
      <c r="RWN24" s="720"/>
      <c r="RWO24" s="720"/>
      <c r="RWP24" s="720"/>
      <c r="RWQ24" s="720"/>
      <c r="RWR24" s="720"/>
      <c r="RWS24" s="720"/>
      <c r="RWT24" s="720"/>
      <c r="RWU24" s="720"/>
      <c r="RWV24" s="720"/>
      <c r="RWW24" s="720"/>
      <c r="RWX24" s="720"/>
      <c r="RWY24" s="720"/>
      <c r="RWZ24" s="720"/>
      <c r="RXA24" s="720"/>
      <c r="RXB24" s="720"/>
      <c r="RXC24" s="720"/>
      <c r="RXD24" s="720"/>
      <c r="RXE24" s="720"/>
      <c r="RXF24" s="720"/>
      <c r="RXG24" s="720"/>
      <c r="RXH24" s="720"/>
      <c r="RXI24" s="720"/>
      <c r="RXJ24" s="720"/>
      <c r="RXK24" s="720"/>
      <c r="RXL24" s="720"/>
      <c r="RXM24" s="720"/>
      <c r="RXN24" s="720"/>
      <c r="RXO24" s="720"/>
      <c r="RXP24" s="720"/>
      <c r="RXQ24" s="720"/>
      <c r="RXR24" s="720"/>
      <c r="RXS24" s="720"/>
      <c r="RXT24" s="720"/>
      <c r="RXU24" s="720"/>
      <c r="RXV24" s="720"/>
      <c r="RXW24" s="720"/>
      <c r="RXX24" s="720"/>
      <c r="RXY24" s="720"/>
      <c r="RXZ24" s="720"/>
      <c r="RYA24" s="720"/>
      <c r="RYB24" s="720"/>
      <c r="RYC24" s="720"/>
      <c r="RYD24" s="720"/>
      <c r="RYE24" s="720"/>
      <c r="RYF24" s="720"/>
      <c r="RYG24" s="720"/>
      <c r="RYH24" s="720"/>
      <c r="RYI24" s="720"/>
      <c r="RYJ24" s="720"/>
      <c r="RYK24" s="720"/>
      <c r="RYL24" s="720"/>
      <c r="RYM24" s="720"/>
      <c r="RYN24" s="720"/>
      <c r="RYO24" s="720"/>
      <c r="RYP24" s="720"/>
      <c r="RYQ24" s="720"/>
      <c r="RYR24" s="720"/>
      <c r="RYS24" s="720"/>
      <c r="RYT24" s="720"/>
      <c r="RYU24" s="720"/>
      <c r="RYV24" s="720"/>
      <c r="RYW24" s="720"/>
      <c r="RYX24" s="720"/>
      <c r="RYY24" s="720"/>
      <c r="RYZ24" s="720"/>
      <c r="RZA24" s="720"/>
      <c r="RZB24" s="720"/>
      <c r="RZC24" s="720"/>
      <c r="RZD24" s="720"/>
      <c r="RZE24" s="720"/>
      <c r="RZF24" s="720"/>
      <c r="RZG24" s="720"/>
      <c r="RZH24" s="720"/>
      <c r="RZI24" s="720"/>
      <c r="RZJ24" s="720"/>
      <c r="RZK24" s="720"/>
      <c r="RZL24" s="720"/>
      <c r="RZM24" s="720"/>
      <c r="RZN24" s="720"/>
      <c r="RZO24" s="720"/>
      <c r="RZP24" s="720"/>
      <c r="RZQ24" s="720"/>
      <c r="RZR24" s="720"/>
      <c r="RZS24" s="720"/>
      <c r="RZT24" s="720"/>
      <c r="RZU24" s="720"/>
      <c r="RZV24" s="720"/>
      <c r="RZW24" s="720"/>
      <c r="RZX24" s="720"/>
      <c r="RZY24" s="720"/>
      <c r="RZZ24" s="720"/>
      <c r="SAA24" s="720"/>
      <c r="SAB24" s="720"/>
      <c r="SAC24" s="720"/>
      <c r="SAD24" s="720"/>
      <c r="SAE24" s="720"/>
      <c r="SAF24" s="720"/>
      <c r="SAG24" s="720"/>
      <c r="SAH24" s="720"/>
      <c r="SAI24" s="720"/>
      <c r="SAJ24" s="720"/>
      <c r="SAK24" s="720"/>
      <c r="SAL24" s="720"/>
      <c r="SAM24" s="720"/>
      <c r="SAN24" s="720"/>
      <c r="SAO24" s="720"/>
      <c r="SAP24" s="720"/>
      <c r="SAQ24" s="720"/>
      <c r="SAR24" s="720"/>
      <c r="SAS24" s="720"/>
      <c r="SAT24" s="720"/>
      <c r="SAU24" s="720"/>
      <c r="SAV24" s="720"/>
      <c r="SAW24" s="720"/>
      <c r="SAX24" s="720"/>
      <c r="SAY24" s="720"/>
      <c r="SAZ24" s="720"/>
      <c r="SBA24" s="720"/>
      <c r="SBB24" s="720"/>
      <c r="SBC24" s="720"/>
      <c r="SBD24" s="720"/>
      <c r="SBE24" s="720"/>
      <c r="SBF24" s="720"/>
      <c r="SBG24" s="720"/>
      <c r="SBH24" s="720"/>
      <c r="SBI24" s="720"/>
      <c r="SBJ24" s="720"/>
      <c r="SBK24" s="720"/>
      <c r="SBL24" s="720"/>
      <c r="SBM24" s="720"/>
      <c r="SBN24" s="720"/>
      <c r="SBO24" s="720"/>
      <c r="SBP24" s="720"/>
      <c r="SBQ24" s="720"/>
      <c r="SBR24" s="720"/>
      <c r="SBS24" s="720"/>
      <c r="SBT24" s="720"/>
      <c r="SBU24" s="720"/>
      <c r="SBV24" s="720"/>
      <c r="SBW24" s="720"/>
      <c r="SBX24" s="720"/>
      <c r="SBY24" s="720"/>
      <c r="SBZ24" s="720"/>
      <c r="SCA24" s="720"/>
      <c r="SCB24" s="720"/>
      <c r="SCC24" s="720"/>
      <c r="SCD24" s="720"/>
      <c r="SCE24" s="720"/>
      <c r="SCF24" s="720"/>
      <c r="SCG24" s="720"/>
      <c r="SCH24" s="720"/>
      <c r="SCI24" s="720"/>
      <c r="SCJ24" s="720"/>
      <c r="SCK24" s="720"/>
      <c r="SCL24" s="720"/>
      <c r="SCM24" s="720"/>
      <c r="SCN24" s="720"/>
      <c r="SCO24" s="720"/>
      <c r="SCP24" s="720"/>
      <c r="SCQ24" s="720"/>
      <c r="SCR24" s="720"/>
      <c r="SCS24" s="720"/>
      <c r="SCT24" s="720"/>
      <c r="SCU24" s="720"/>
      <c r="SCV24" s="720"/>
      <c r="SCW24" s="720"/>
      <c r="SCX24" s="720"/>
      <c r="SCY24" s="720"/>
      <c r="SCZ24" s="720"/>
      <c r="SDA24" s="720"/>
      <c r="SDB24" s="720"/>
      <c r="SDC24" s="720"/>
      <c r="SDD24" s="720"/>
      <c r="SDE24" s="720"/>
      <c r="SDF24" s="720"/>
      <c r="SDG24" s="720"/>
      <c r="SDH24" s="720"/>
      <c r="SDI24" s="720"/>
      <c r="SDJ24" s="720"/>
      <c r="SDK24" s="720"/>
      <c r="SDL24" s="720"/>
      <c r="SDM24" s="720"/>
      <c r="SDN24" s="720"/>
      <c r="SDO24" s="720"/>
      <c r="SDP24" s="720"/>
      <c r="SDQ24" s="720"/>
      <c r="SDR24" s="720"/>
      <c r="SDS24" s="720"/>
      <c r="SDT24" s="720"/>
      <c r="SDU24" s="720"/>
      <c r="SDV24" s="720"/>
      <c r="SDW24" s="720"/>
      <c r="SDX24" s="720"/>
      <c r="SDY24" s="720"/>
      <c r="SDZ24" s="720"/>
      <c r="SEA24" s="720"/>
      <c r="SEB24" s="720"/>
      <c r="SEC24" s="720"/>
      <c r="SED24" s="720"/>
      <c r="SEE24" s="720"/>
      <c r="SEF24" s="720"/>
      <c r="SEG24" s="720"/>
      <c r="SEH24" s="720"/>
      <c r="SEI24" s="720"/>
      <c r="SEJ24" s="720"/>
      <c r="SEK24" s="720"/>
      <c r="SEL24" s="720"/>
      <c r="SEM24" s="720"/>
      <c r="SEN24" s="720"/>
      <c r="SEO24" s="720"/>
      <c r="SEP24" s="720"/>
      <c r="SEQ24" s="720"/>
      <c r="SER24" s="720"/>
      <c r="SES24" s="720"/>
      <c r="SET24" s="720"/>
      <c r="SEU24" s="720"/>
      <c r="SEV24" s="720"/>
      <c r="SEW24" s="720"/>
      <c r="SEX24" s="720"/>
      <c r="SEY24" s="720"/>
      <c r="SEZ24" s="720"/>
      <c r="SFA24" s="720"/>
      <c r="SFB24" s="720"/>
      <c r="SFC24" s="720"/>
      <c r="SFD24" s="720"/>
      <c r="SFE24" s="720"/>
      <c r="SFF24" s="720"/>
      <c r="SFG24" s="720"/>
      <c r="SFH24" s="720"/>
      <c r="SFI24" s="720"/>
      <c r="SFJ24" s="720"/>
      <c r="SFK24" s="720"/>
      <c r="SFL24" s="720"/>
      <c r="SFM24" s="720"/>
      <c r="SFN24" s="720"/>
      <c r="SFO24" s="720"/>
      <c r="SFP24" s="720"/>
      <c r="SFQ24" s="720"/>
      <c r="SFR24" s="720"/>
      <c r="SFS24" s="720"/>
      <c r="SFT24" s="720"/>
      <c r="SFU24" s="720"/>
      <c r="SFV24" s="720"/>
      <c r="SFW24" s="720"/>
      <c r="SFX24" s="720"/>
      <c r="SFY24" s="720"/>
      <c r="SFZ24" s="720"/>
      <c r="SGA24" s="720"/>
      <c r="SGB24" s="720"/>
      <c r="SGC24" s="720"/>
      <c r="SGD24" s="720"/>
      <c r="SGE24" s="720"/>
      <c r="SGF24" s="720"/>
      <c r="SGG24" s="720"/>
      <c r="SGH24" s="720"/>
      <c r="SGI24" s="720"/>
      <c r="SGJ24" s="720"/>
      <c r="SGK24" s="720"/>
      <c r="SGL24" s="720"/>
      <c r="SGM24" s="720"/>
      <c r="SGN24" s="720"/>
      <c r="SGO24" s="720"/>
      <c r="SGP24" s="720"/>
      <c r="SGQ24" s="720"/>
      <c r="SGR24" s="720"/>
      <c r="SGS24" s="720"/>
      <c r="SGT24" s="720"/>
      <c r="SGU24" s="720"/>
      <c r="SGV24" s="720"/>
      <c r="SGW24" s="720"/>
      <c r="SGX24" s="720"/>
      <c r="SGY24" s="720"/>
      <c r="SGZ24" s="720"/>
      <c r="SHA24" s="720"/>
      <c r="SHB24" s="720"/>
      <c r="SHC24" s="720"/>
      <c r="SHD24" s="720"/>
      <c r="SHE24" s="720"/>
      <c r="SHF24" s="720"/>
      <c r="SHG24" s="720"/>
      <c r="SHH24" s="720"/>
      <c r="SHI24" s="720"/>
      <c r="SHJ24" s="720"/>
      <c r="SHK24" s="720"/>
      <c r="SHL24" s="720"/>
      <c r="SHM24" s="720"/>
      <c r="SHN24" s="720"/>
      <c r="SHO24" s="720"/>
      <c r="SHP24" s="720"/>
      <c r="SHQ24" s="720"/>
      <c r="SHR24" s="720"/>
      <c r="SHS24" s="720"/>
      <c r="SHT24" s="720"/>
      <c r="SHU24" s="720"/>
      <c r="SHV24" s="720"/>
      <c r="SHW24" s="720"/>
      <c r="SHX24" s="720"/>
      <c r="SHY24" s="720"/>
      <c r="SHZ24" s="720"/>
      <c r="SIA24" s="720"/>
      <c r="SIB24" s="720"/>
      <c r="SIC24" s="720"/>
      <c r="SID24" s="720"/>
      <c r="SIE24" s="720"/>
      <c r="SIF24" s="720"/>
      <c r="SIG24" s="720"/>
      <c r="SIH24" s="720"/>
      <c r="SII24" s="720"/>
      <c r="SIJ24" s="720"/>
      <c r="SIK24" s="720"/>
      <c r="SIL24" s="720"/>
      <c r="SIM24" s="720"/>
      <c r="SIN24" s="720"/>
      <c r="SIO24" s="720"/>
      <c r="SIP24" s="720"/>
      <c r="SIQ24" s="720"/>
      <c r="SIR24" s="720"/>
      <c r="SIS24" s="720"/>
      <c r="SIT24" s="720"/>
      <c r="SIU24" s="720"/>
      <c r="SIV24" s="720"/>
      <c r="SIW24" s="720"/>
      <c r="SIX24" s="720"/>
      <c r="SIY24" s="720"/>
      <c r="SIZ24" s="720"/>
      <c r="SJA24" s="720"/>
      <c r="SJB24" s="720"/>
      <c r="SJC24" s="720"/>
      <c r="SJD24" s="720"/>
      <c r="SJE24" s="720"/>
      <c r="SJF24" s="720"/>
      <c r="SJG24" s="720"/>
      <c r="SJH24" s="720"/>
      <c r="SJI24" s="720"/>
      <c r="SJJ24" s="720"/>
      <c r="SJK24" s="720"/>
      <c r="SJL24" s="720"/>
      <c r="SJM24" s="720"/>
      <c r="SJN24" s="720"/>
      <c r="SJO24" s="720"/>
      <c r="SJP24" s="720"/>
      <c r="SJQ24" s="720"/>
      <c r="SJR24" s="720"/>
      <c r="SJS24" s="720"/>
      <c r="SJT24" s="720"/>
      <c r="SJU24" s="720"/>
      <c r="SJV24" s="720"/>
      <c r="SJW24" s="720"/>
      <c r="SJX24" s="720"/>
      <c r="SJY24" s="720"/>
      <c r="SJZ24" s="720"/>
      <c r="SKA24" s="720"/>
      <c r="SKB24" s="720"/>
      <c r="SKC24" s="720"/>
      <c r="SKD24" s="720"/>
      <c r="SKE24" s="720"/>
      <c r="SKF24" s="720"/>
      <c r="SKG24" s="720"/>
      <c r="SKH24" s="720"/>
      <c r="SKI24" s="720"/>
      <c r="SKJ24" s="720"/>
      <c r="SKK24" s="720"/>
      <c r="SKL24" s="720"/>
      <c r="SKM24" s="720"/>
      <c r="SKN24" s="720"/>
      <c r="SKO24" s="720"/>
      <c r="SKP24" s="720"/>
      <c r="SKQ24" s="720"/>
      <c r="SKR24" s="720"/>
      <c r="SKS24" s="720"/>
      <c r="SKT24" s="720"/>
      <c r="SKU24" s="720"/>
      <c r="SKV24" s="720"/>
      <c r="SKW24" s="720"/>
      <c r="SKX24" s="720"/>
      <c r="SKY24" s="720"/>
      <c r="SKZ24" s="720"/>
      <c r="SLA24" s="720"/>
      <c r="SLB24" s="720"/>
      <c r="SLC24" s="720"/>
      <c r="SLD24" s="720"/>
      <c r="SLE24" s="720"/>
      <c r="SLF24" s="720"/>
      <c r="SLG24" s="720"/>
      <c r="SLH24" s="720"/>
      <c r="SLI24" s="720"/>
      <c r="SLJ24" s="720"/>
      <c r="SLK24" s="720"/>
      <c r="SLL24" s="720"/>
      <c r="SLM24" s="720"/>
      <c r="SLN24" s="720"/>
      <c r="SLO24" s="720"/>
      <c r="SLP24" s="720"/>
      <c r="SLQ24" s="720"/>
      <c r="SLR24" s="720"/>
      <c r="SLS24" s="720"/>
      <c r="SLT24" s="720"/>
      <c r="SLU24" s="720"/>
      <c r="SLV24" s="720"/>
      <c r="SLW24" s="720"/>
      <c r="SLX24" s="720"/>
      <c r="SLY24" s="720"/>
      <c r="SLZ24" s="720"/>
      <c r="SMA24" s="720"/>
      <c r="SMB24" s="720"/>
      <c r="SMC24" s="720"/>
      <c r="SMD24" s="720"/>
      <c r="SME24" s="720"/>
      <c r="SMF24" s="720"/>
      <c r="SMG24" s="720"/>
      <c r="SMH24" s="720"/>
      <c r="SMI24" s="720"/>
      <c r="SMJ24" s="720"/>
      <c r="SMK24" s="720"/>
      <c r="SML24" s="720"/>
      <c r="SMM24" s="720"/>
      <c r="SMN24" s="720"/>
      <c r="SMO24" s="720"/>
      <c r="SMP24" s="720"/>
      <c r="SMQ24" s="720"/>
      <c r="SMR24" s="720"/>
      <c r="SMS24" s="720"/>
      <c r="SMT24" s="720"/>
      <c r="SMU24" s="720"/>
      <c r="SMV24" s="720"/>
      <c r="SMW24" s="720"/>
      <c r="SMX24" s="720"/>
      <c r="SMY24" s="720"/>
      <c r="SMZ24" s="720"/>
      <c r="SNA24" s="720"/>
      <c r="SNB24" s="720"/>
      <c r="SNC24" s="720"/>
      <c r="SND24" s="720"/>
      <c r="SNE24" s="720"/>
      <c r="SNF24" s="720"/>
      <c r="SNG24" s="720"/>
      <c r="SNH24" s="720"/>
      <c r="SNI24" s="720"/>
      <c r="SNJ24" s="720"/>
      <c r="SNK24" s="720"/>
      <c r="SNL24" s="720"/>
      <c r="SNM24" s="720"/>
      <c r="SNN24" s="720"/>
      <c r="SNO24" s="720"/>
      <c r="SNP24" s="720"/>
      <c r="SNQ24" s="720"/>
      <c r="SNR24" s="720"/>
      <c r="SNS24" s="720"/>
      <c r="SNT24" s="720"/>
      <c r="SNU24" s="720"/>
      <c r="SNV24" s="720"/>
      <c r="SNW24" s="720"/>
      <c r="SNX24" s="720"/>
      <c r="SNY24" s="720"/>
      <c r="SNZ24" s="720"/>
      <c r="SOA24" s="720"/>
      <c r="SOB24" s="720"/>
      <c r="SOC24" s="720"/>
      <c r="SOD24" s="720"/>
      <c r="SOE24" s="720"/>
      <c r="SOF24" s="720"/>
      <c r="SOG24" s="720"/>
      <c r="SOH24" s="720"/>
      <c r="SOI24" s="720"/>
      <c r="SOJ24" s="720"/>
      <c r="SOK24" s="720"/>
      <c r="SOL24" s="720"/>
      <c r="SOM24" s="720"/>
      <c r="SON24" s="720"/>
      <c r="SOO24" s="720"/>
      <c r="SOP24" s="720"/>
      <c r="SOQ24" s="720"/>
      <c r="SOR24" s="720"/>
      <c r="SOS24" s="720"/>
      <c r="SOT24" s="720"/>
      <c r="SOU24" s="720"/>
      <c r="SOV24" s="720"/>
      <c r="SOW24" s="720"/>
      <c r="SOX24" s="720"/>
      <c r="SOY24" s="720"/>
      <c r="SOZ24" s="720"/>
      <c r="SPA24" s="720"/>
      <c r="SPB24" s="720"/>
      <c r="SPC24" s="720"/>
      <c r="SPD24" s="720"/>
      <c r="SPE24" s="720"/>
      <c r="SPF24" s="720"/>
      <c r="SPG24" s="720"/>
      <c r="SPH24" s="720"/>
      <c r="SPI24" s="720"/>
      <c r="SPJ24" s="720"/>
      <c r="SPK24" s="720"/>
      <c r="SPL24" s="720"/>
      <c r="SPM24" s="720"/>
      <c r="SPN24" s="720"/>
      <c r="SPO24" s="720"/>
      <c r="SPP24" s="720"/>
      <c r="SPQ24" s="720"/>
      <c r="SPR24" s="720"/>
      <c r="SPS24" s="720"/>
      <c r="SPT24" s="720"/>
      <c r="SPU24" s="720"/>
      <c r="SPV24" s="720"/>
      <c r="SPW24" s="720"/>
      <c r="SPX24" s="720"/>
      <c r="SPY24" s="720"/>
      <c r="SPZ24" s="720"/>
      <c r="SQA24" s="720"/>
      <c r="SQB24" s="720"/>
      <c r="SQC24" s="720"/>
      <c r="SQD24" s="720"/>
      <c r="SQE24" s="720"/>
      <c r="SQF24" s="720"/>
      <c r="SQG24" s="720"/>
      <c r="SQH24" s="720"/>
      <c r="SQI24" s="720"/>
      <c r="SQJ24" s="720"/>
      <c r="SQK24" s="720"/>
      <c r="SQL24" s="720"/>
      <c r="SQM24" s="720"/>
      <c r="SQN24" s="720"/>
      <c r="SQO24" s="720"/>
      <c r="SQP24" s="720"/>
      <c r="SQQ24" s="720"/>
      <c r="SQR24" s="720"/>
      <c r="SQS24" s="720"/>
      <c r="SQT24" s="720"/>
      <c r="SQU24" s="720"/>
      <c r="SQV24" s="720"/>
      <c r="SQW24" s="720"/>
      <c r="SQX24" s="720"/>
      <c r="SQY24" s="720"/>
      <c r="SQZ24" s="720"/>
      <c r="SRA24" s="720"/>
      <c r="SRB24" s="720"/>
      <c r="SRC24" s="720"/>
      <c r="SRD24" s="720"/>
      <c r="SRE24" s="720"/>
      <c r="SRF24" s="720"/>
      <c r="SRG24" s="720"/>
      <c r="SRH24" s="720"/>
      <c r="SRI24" s="720"/>
      <c r="SRJ24" s="720"/>
      <c r="SRK24" s="720"/>
      <c r="SRL24" s="720"/>
      <c r="SRM24" s="720"/>
      <c r="SRN24" s="720"/>
      <c r="SRO24" s="720"/>
      <c r="SRP24" s="720"/>
      <c r="SRQ24" s="720"/>
      <c r="SRR24" s="720"/>
      <c r="SRS24" s="720"/>
      <c r="SRT24" s="720"/>
      <c r="SRU24" s="720"/>
      <c r="SRV24" s="720"/>
      <c r="SRW24" s="720"/>
      <c r="SRX24" s="720"/>
      <c r="SRY24" s="720"/>
      <c r="SRZ24" s="720"/>
      <c r="SSA24" s="720"/>
      <c r="SSB24" s="720"/>
      <c r="SSC24" s="720"/>
      <c r="SSD24" s="720"/>
      <c r="SSE24" s="720"/>
      <c r="SSF24" s="720"/>
      <c r="SSG24" s="720"/>
      <c r="SSH24" s="720"/>
      <c r="SSI24" s="720"/>
      <c r="SSJ24" s="720"/>
      <c r="SSK24" s="720"/>
      <c r="SSL24" s="720"/>
      <c r="SSM24" s="720"/>
      <c r="SSN24" s="720"/>
      <c r="SSO24" s="720"/>
      <c r="SSP24" s="720"/>
      <c r="SSQ24" s="720"/>
      <c r="SSR24" s="720"/>
      <c r="SSS24" s="720"/>
      <c r="SST24" s="720"/>
      <c r="SSU24" s="720"/>
      <c r="SSV24" s="720"/>
      <c r="SSW24" s="720"/>
      <c r="SSX24" s="720"/>
      <c r="SSY24" s="720"/>
      <c r="SSZ24" s="720"/>
      <c r="STA24" s="720"/>
      <c r="STB24" s="720"/>
      <c r="STC24" s="720"/>
      <c r="STD24" s="720"/>
      <c r="STE24" s="720"/>
      <c r="STF24" s="720"/>
      <c r="STG24" s="720"/>
      <c r="STH24" s="720"/>
      <c r="STI24" s="720"/>
      <c r="STJ24" s="720"/>
      <c r="STK24" s="720"/>
      <c r="STL24" s="720"/>
      <c r="STM24" s="720"/>
      <c r="STN24" s="720"/>
      <c r="STO24" s="720"/>
      <c r="STP24" s="720"/>
      <c r="STQ24" s="720"/>
      <c r="STR24" s="720"/>
      <c r="STS24" s="720"/>
      <c r="STT24" s="720"/>
      <c r="STU24" s="720"/>
      <c r="STV24" s="720"/>
      <c r="STW24" s="720"/>
      <c r="STX24" s="720"/>
      <c r="STY24" s="720"/>
      <c r="STZ24" s="720"/>
      <c r="SUA24" s="720"/>
      <c r="SUB24" s="720"/>
      <c r="SUC24" s="720"/>
      <c r="SUD24" s="720"/>
      <c r="SUE24" s="720"/>
      <c r="SUF24" s="720"/>
      <c r="SUG24" s="720"/>
      <c r="SUH24" s="720"/>
      <c r="SUI24" s="720"/>
      <c r="SUJ24" s="720"/>
      <c r="SUK24" s="720"/>
      <c r="SUL24" s="720"/>
      <c r="SUM24" s="720"/>
      <c r="SUN24" s="720"/>
      <c r="SUO24" s="720"/>
      <c r="SUP24" s="720"/>
      <c r="SUQ24" s="720"/>
      <c r="SUR24" s="720"/>
      <c r="SUS24" s="720"/>
      <c r="SUT24" s="720"/>
      <c r="SUU24" s="720"/>
      <c r="SUV24" s="720"/>
      <c r="SUW24" s="720"/>
      <c r="SUX24" s="720"/>
      <c r="SUY24" s="720"/>
      <c r="SUZ24" s="720"/>
      <c r="SVA24" s="720"/>
      <c r="SVB24" s="720"/>
      <c r="SVC24" s="720"/>
      <c r="SVD24" s="720"/>
      <c r="SVE24" s="720"/>
      <c r="SVF24" s="720"/>
      <c r="SVG24" s="720"/>
      <c r="SVH24" s="720"/>
      <c r="SVI24" s="720"/>
      <c r="SVJ24" s="720"/>
      <c r="SVK24" s="720"/>
      <c r="SVL24" s="720"/>
      <c r="SVM24" s="720"/>
      <c r="SVN24" s="720"/>
      <c r="SVO24" s="720"/>
      <c r="SVP24" s="720"/>
      <c r="SVQ24" s="720"/>
      <c r="SVR24" s="720"/>
      <c r="SVS24" s="720"/>
      <c r="SVT24" s="720"/>
      <c r="SVU24" s="720"/>
      <c r="SVV24" s="720"/>
      <c r="SVW24" s="720"/>
      <c r="SVX24" s="720"/>
      <c r="SVY24" s="720"/>
      <c r="SVZ24" s="720"/>
      <c r="SWA24" s="720"/>
      <c r="SWB24" s="720"/>
      <c r="SWC24" s="720"/>
      <c r="SWD24" s="720"/>
      <c r="SWE24" s="720"/>
      <c r="SWF24" s="720"/>
      <c r="SWG24" s="720"/>
      <c r="SWH24" s="720"/>
      <c r="SWI24" s="720"/>
      <c r="SWJ24" s="720"/>
      <c r="SWK24" s="720"/>
      <c r="SWL24" s="720"/>
      <c r="SWM24" s="720"/>
      <c r="SWN24" s="720"/>
      <c r="SWO24" s="720"/>
      <c r="SWP24" s="720"/>
      <c r="SWQ24" s="720"/>
      <c r="SWR24" s="720"/>
      <c r="SWS24" s="720"/>
      <c r="SWT24" s="720"/>
      <c r="SWU24" s="720"/>
      <c r="SWV24" s="720"/>
      <c r="SWW24" s="720"/>
      <c r="SWX24" s="720"/>
      <c r="SWY24" s="720"/>
      <c r="SWZ24" s="720"/>
      <c r="SXA24" s="720"/>
      <c r="SXB24" s="720"/>
      <c r="SXC24" s="720"/>
      <c r="SXD24" s="720"/>
      <c r="SXE24" s="720"/>
      <c r="SXF24" s="720"/>
      <c r="SXG24" s="720"/>
      <c r="SXH24" s="720"/>
      <c r="SXI24" s="720"/>
      <c r="SXJ24" s="720"/>
      <c r="SXK24" s="720"/>
      <c r="SXL24" s="720"/>
      <c r="SXM24" s="720"/>
      <c r="SXN24" s="720"/>
      <c r="SXO24" s="720"/>
      <c r="SXP24" s="720"/>
      <c r="SXQ24" s="720"/>
      <c r="SXR24" s="720"/>
      <c r="SXS24" s="720"/>
      <c r="SXT24" s="720"/>
      <c r="SXU24" s="720"/>
      <c r="SXV24" s="720"/>
      <c r="SXW24" s="720"/>
      <c r="SXX24" s="720"/>
      <c r="SXY24" s="720"/>
      <c r="SXZ24" s="720"/>
      <c r="SYA24" s="720"/>
      <c r="SYB24" s="720"/>
      <c r="SYC24" s="720"/>
      <c r="SYD24" s="720"/>
      <c r="SYE24" s="720"/>
      <c r="SYF24" s="720"/>
      <c r="SYG24" s="720"/>
      <c r="SYH24" s="720"/>
      <c r="SYI24" s="720"/>
      <c r="SYJ24" s="720"/>
      <c r="SYK24" s="720"/>
      <c r="SYL24" s="720"/>
      <c r="SYM24" s="720"/>
      <c r="SYN24" s="720"/>
      <c r="SYO24" s="720"/>
      <c r="SYP24" s="720"/>
      <c r="SYQ24" s="720"/>
      <c r="SYR24" s="720"/>
      <c r="SYS24" s="720"/>
      <c r="SYT24" s="720"/>
      <c r="SYU24" s="720"/>
      <c r="SYV24" s="720"/>
      <c r="SYW24" s="720"/>
      <c r="SYX24" s="720"/>
      <c r="SYY24" s="720"/>
      <c r="SYZ24" s="720"/>
      <c r="SZA24" s="720"/>
      <c r="SZB24" s="720"/>
      <c r="SZC24" s="720"/>
      <c r="SZD24" s="720"/>
      <c r="SZE24" s="720"/>
      <c r="SZF24" s="720"/>
      <c r="SZG24" s="720"/>
      <c r="SZH24" s="720"/>
      <c r="SZI24" s="720"/>
      <c r="SZJ24" s="720"/>
      <c r="SZK24" s="720"/>
      <c r="SZL24" s="720"/>
      <c r="SZM24" s="720"/>
      <c r="SZN24" s="720"/>
      <c r="SZO24" s="720"/>
      <c r="SZP24" s="720"/>
      <c r="SZQ24" s="720"/>
      <c r="SZR24" s="720"/>
      <c r="SZS24" s="720"/>
      <c r="SZT24" s="720"/>
      <c r="SZU24" s="720"/>
      <c r="SZV24" s="720"/>
      <c r="SZW24" s="720"/>
      <c r="SZX24" s="720"/>
      <c r="SZY24" s="720"/>
      <c r="SZZ24" s="720"/>
      <c r="TAA24" s="720"/>
      <c r="TAB24" s="720"/>
      <c r="TAC24" s="720"/>
      <c r="TAD24" s="720"/>
      <c r="TAE24" s="720"/>
      <c r="TAF24" s="720"/>
      <c r="TAG24" s="720"/>
      <c r="TAH24" s="720"/>
      <c r="TAI24" s="720"/>
      <c r="TAJ24" s="720"/>
      <c r="TAK24" s="720"/>
      <c r="TAL24" s="720"/>
      <c r="TAM24" s="720"/>
      <c r="TAN24" s="720"/>
      <c r="TAO24" s="720"/>
      <c r="TAP24" s="720"/>
      <c r="TAQ24" s="720"/>
      <c r="TAR24" s="720"/>
      <c r="TAS24" s="720"/>
      <c r="TAT24" s="720"/>
      <c r="TAU24" s="720"/>
      <c r="TAV24" s="720"/>
      <c r="TAW24" s="720"/>
      <c r="TAX24" s="720"/>
      <c r="TAY24" s="720"/>
      <c r="TAZ24" s="720"/>
      <c r="TBA24" s="720"/>
      <c r="TBB24" s="720"/>
      <c r="TBC24" s="720"/>
      <c r="TBD24" s="720"/>
      <c r="TBE24" s="720"/>
      <c r="TBF24" s="720"/>
      <c r="TBG24" s="720"/>
      <c r="TBH24" s="720"/>
      <c r="TBI24" s="720"/>
      <c r="TBJ24" s="720"/>
      <c r="TBK24" s="720"/>
      <c r="TBL24" s="720"/>
      <c r="TBM24" s="720"/>
      <c r="TBN24" s="720"/>
      <c r="TBO24" s="720"/>
      <c r="TBP24" s="720"/>
      <c r="TBQ24" s="720"/>
      <c r="TBR24" s="720"/>
      <c r="TBS24" s="720"/>
      <c r="TBT24" s="720"/>
      <c r="TBU24" s="720"/>
      <c r="TBV24" s="720"/>
      <c r="TBW24" s="720"/>
      <c r="TBX24" s="720"/>
      <c r="TBY24" s="720"/>
      <c r="TBZ24" s="720"/>
      <c r="TCA24" s="720"/>
      <c r="TCB24" s="720"/>
      <c r="TCC24" s="720"/>
      <c r="TCD24" s="720"/>
      <c r="TCE24" s="720"/>
      <c r="TCF24" s="720"/>
      <c r="TCG24" s="720"/>
      <c r="TCH24" s="720"/>
      <c r="TCI24" s="720"/>
      <c r="TCJ24" s="720"/>
      <c r="TCK24" s="720"/>
      <c r="TCL24" s="720"/>
      <c r="TCM24" s="720"/>
      <c r="TCN24" s="720"/>
      <c r="TCO24" s="720"/>
      <c r="TCP24" s="720"/>
      <c r="TCQ24" s="720"/>
      <c r="TCR24" s="720"/>
      <c r="TCS24" s="720"/>
      <c r="TCT24" s="720"/>
      <c r="TCU24" s="720"/>
      <c r="TCV24" s="720"/>
      <c r="TCW24" s="720"/>
      <c r="TCX24" s="720"/>
      <c r="TCY24" s="720"/>
      <c r="TCZ24" s="720"/>
      <c r="TDA24" s="720"/>
      <c r="TDB24" s="720"/>
      <c r="TDC24" s="720"/>
      <c r="TDD24" s="720"/>
      <c r="TDE24" s="720"/>
      <c r="TDF24" s="720"/>
      <c r="TDG24" s="720"/>
      <c r="TDH24" s="720"/>
      <c r="TDI24" s="720"/>
      <c r="TDJ24" s="720"/>
      <c r="TDK24" s="720"/>
      <c r="TDL24" s="720"/>
      <c r="TDM24" s="720"/>
      <c r="TDN24" s="720"/>
      <c r="TDO24" s="720"/>
      <c r="TDP24" s="720"/>
      <c r="TDQ24" s="720"/>
      <c r="TDR24" s="720"/>
      <c r="TDS24" s="720"/>
      <c r="TDT24" s="720"/>
      <c r="TDU24" s="720"/>
      <c r="TDV24" s="720"/>
      <c r="TDW24" s="720"/>
      <c r="TDX24" s="720"/>
      <c r="TDY24" s="720"/>
      <c r="TDZ24" s="720"/>
      <c r="TEA24" s="720"/>
      <c r="TEB24" s="720"/>
      <c r="TEC24" s="720"/>
      <c r="TED24" s="720"/>
      <c r="TEE24" s="720"/>
      <c r="TEF24" s="720"/>
      <c r="TEG24" s="720"/>
      <c r="TEH24" s="720"/>
      <c r="TEI24" s="720"/>
      <c r="TEJ24" s="720"/>
      <c r="TEK24" s="720"/>
      <c r="TEL24" s="720"/>
      <c r="TEM24" s="720"/>
      <c r="TEN24" s="720"/>
      <c r="TEO24" s="720"/>
      <c r="TEP24" s="720"/>
      <c r="TEQ24" s="720"/>
      <c r="TER24" s="720"/>
      <c r="TES24" s="720"/>
      <c r="TET24" s="720"/>
      <c r="TEU24" s="720"/>
      <c r="TEV24" s="720"/>
      <c r="TEW24" s="720"/>
      <c r="TEX24" s="720"/>
      <c r="TEY24" s="720"/>
      <c r="TEZ24" s="720"/>
      <c r="TFA24" s="720"/>
      <c r="TFB24" s="720"/>
      <c r="TFC24" s="720"/>
      <c r="TFD24" s="720"/>
      <c r="TFE24" s="720"/>
      <c r="TFF24" s="720"/>
      <c r="TFG24" s="720"/>
      <c r="TFH24" s="720"/>
      <c r="TFI24" s="720"/>
      <c r="TFJ24" s="720"/>
      <c r="TFK24" s="720"/>
      <c r="TFL24" s="720"/>
      <c r="TFM24" s="720"/>
      <c r="TFN24" s="720"/>
      <c r="TFO24" s="720"/>
      <c r="TFP24" s="720"/>
      <c r="TFQ24" s="720"/>
      <c r="TFR24" s="720"/>
      <c r="TFS24" s="720"/>
      <c r="TFT24" s="720"/>
      <c r="TFU24" s="720"/>
      <c r="TFV24" s="720"/>
      <c r="TFW24" s="720"/>
      <c r="TFX24" s="720"/>
      <c r="TFY24" s="720"/>
      <c r="TFZ24" s="720"/>
      <c r="TGA24" s="720"/>
      <c r="TGB24" s="720"/>
      <c r="TGC24" s="720"/>
      <c r="TGD24" s="720"/>
      <c r="TGE24" s="720"/>
      <c r="TGF24" s="720"/>
      <c r="TGG24" s="720"/>
      <c r="TGH24" s="720"/>
      <c r="TGI24" s="720"/>
      <c r="TGJ24" s="720"/>
      <c r="TGK24" s="720"/>
      <c r="TGL24" s="720"/>
      <c r="TGM24" s="720"/>
      <c r="TGN24" s="720"/>
      <c r="TGO24" s="720"/>
      <c r="TGP24" s="720"/>
      <c r="TGQ24" s="720"/>
      <c r="TGR24" s="720"/>
      <c r="TGS24" s="720"/>
      <c r="TGT24" s="720"/>
      <c r="TGU24" s="720"/>
      <c r="TGV24" s="720"/>
      <c r="TGW24" s="720"/>
      <c r="TGX24" s="720"/>
      <c r="TGY24" s="720"/>
      <c r="TGZ24" s="720"/>
      <c r="THA24" s="720"/>
      <c r="THB24" s="720"/>
      <c r="THC24" s="720"/>
      <c r="THD24" s="720"/>
      <c r="THE24" s="720"/>
      <c r="THF24" s="720"/>
      <c r="THG24" s="720"/>
      <c r="THH24" s="720"/>
      <c r="THI24" s="720"/>
      <c r="THJ24" s="720"/>
      <c r="THK24" s="720"/>
      <c r="THL24" s="720"/>
      <c r="THM24" s="720"/>
      <c r="THN24" s="720"/>
      <c r="THO24" s="720"/>
      <c r="THP24" s="720"/>
      <c r="THQ24" s="720"/>
      <c r="THR24" s="720"/>
      <c r="THS24" s="720"/>
      <c r="THT24" s="720"/>
      <c r="THU24" s="720"/>
      <c r="THV24" s="720"/>
      <c r="THW24" s="720"/>
      <c r="THX24" s="720"/>
      <c r="THY24" s="720"/>
      <c r="THZ24" s="720"/>
      <c r="TIA24" s="720"/>
      <c r="TIB24" s="720"/>
      <c r="TIC24" s="720"/>
      <c r="TID24" s="720"/>
      <c r="TIE24" s="720"/>
      <c r="TIF24" s="720"/>
      <c r="TIG24" s="720"/>
      <c r="TIH24" s="720"/>
      <c r="TII24" s="720"/>
      <c r="TIJ24" s="720"/>
      <c r="TIK24" s="720"/>
      <c r="TIL24" s="720"/>
      <c r="TIM24" s="720"/>
      <c r="TIN24" s="720"/>
      <c r="TIO24" s="720"/>
      <c r="TIP24" s="720"/>
      <c r="TIQ24" s="720"/>
      <c r="TIR24" s="720"/>
      <c r="TIS24" s="720"/>
      <c r="TIT24" s="720"/>
      <c r="TIU24" s="720"/>
      <c r="TIV24" s="720"/>
      <c r="TIW24" s="720"/>
      <c r="TIX24" s="720"/>
      <c r="TIY24" s="720"/>
      <c r="TIZ24" s="720"/>
      <c r="TJA24" s="720"/>
      <c r="TJB24" s="720"/>
      <c r="TJC24" s="720"/>
      <c r="TJD24" s="720"/>
      <c r="TJE24" s="720"/>
      <c r="TJF24" s="720"/>
      <c r="TJG24" s="720"/>
      <c r="TJH24" s="720"/>
      <c r="TJI24" s="720"/>
      <c r="TJJ24" s="720"/>
      <c r="TJK24" s="720"/>
      <c r="TJL24" s="720"/>
      <c r="TJM24" s="720"/>
      <c r="TJN24" s="720"/>
      <c r="TJO24" s="720"/>
      <c r="TJP24" s="720"/>
      <c r="TJQ24" s="720"/>
      <c r="TJR24" s="720"/>
      <c r="TJS24" s="720"/>
      <c r="TJT24" s="720"/>
      <c r="TJU24" s="720"/>
      <c r="TJV24" s="720"/>
      <c r="TJW24" s="720"/>
      <c r="TJX24" s="720"/>
      <c r="TJY24" s="720"/>
      <c r="TJZ24" s="720"/>
      <c r="TKA24" s="720"/>
      <c r="TKB24" s="720"/>
      <c r="TKC24" s="720"/>
      <c r="TKD24" s="720"/>
      <c r="TKE24" s="720"/>
      <c r="TKF24" s="720"/>
      <c r="TKG24" s="720"/>
      <c r="TKH24" s="720"/>
      <c r="TKI24" s="720"/>
      <c r="TKJ24" s="720"/>
      <c r="TKK24" s="720"/>
      <c r="TKL24" s="720"/>
      <c r="TKM24" s="720"/>
      <c r="TKN24" s="720"/>
      <c r="TKO24" s="720"/>
      <c r="TKP24" s="720"/>
      <c r="TKQ24" s="720"/>
      <c r="TKR24" s="720"/>
      <c r="TKS24" s="720"/>
      <c r="TKT24" s="720"/>
      <c r="TKU24" s="720"/>
      <c r="TKV24" s="720"/>
      <c r="TKW24" s="720"/>
      <c r="TKX24" s="720"/>
      <c r="TKY24" s="720"/>
      <c r="TKZ24" s="720"/>
      <c r="TLA24" s="720"/>
      <c r="TLB24" s="720"/>
      <c r="TLC24" s="720"/>
      <c r="TLD24" s="720"/>
      <c r="TLE24" s="720"/>
      <c r="TLF24" s="720"/>
      <c r="TLG24" s="720"/>
      <c r="TLH24" s="720"/>
      <c r="TLI24" s="720"/>
      <c r="TLJ24" s="720"/>
      <c r="TLK24" s="720"/>
      <c r="TLL24" s="720"/>
      <c r="TLM24" s="720"/>
      <c r="TLN24" s="720"/>
      <c r="TLO24" s="720"/>
      <c r="TLP24" s="720"/>
      <c r="TLQ24" s="720"/>
      <c r="TLR24" s="720"/>
      <c r="TLS24" s="720"/>
      <c r="TLT24" s="720"/>
      <c r="TLU24" s="720"/>
      <c r="TLV24" s="720"/>
      <c r="TLW24" s="720"/>
      <c r="TLX24" s="720"/>
      <c r="TLY24" s="720"/>
      <c r="TLZ24" s="720"/>
      <c r="TMA24" s="720"/>
      <c r="TMB24" s="720"/>
      <c r="TMC24" s="720"/>
      <c r="TMD24" s="720"/>
      <c r="TME24" s="720"/>
      <c r="TMF24" s="720"/>
      <c r="TMG24" s="720"/>
      <c r="TMH24" s="720"/>
      <c r="TMI24" s="720"/>
      <c r="TMJ24" s="720"/>
      <c r="TMK24" s="720"/>
      <c r="TML24" s="720"/>
      <c r="TMM24" s="720"/>
      <c r="TMN24" s="720"/>
      <c r="TMO24" s="720"/>
      <c r="TMP24" s="720"/>
      <c r="TMQ24" s="720"/>
      <c r="TMR24" s="720"/>
      <c r="TMS24" s="720"/>
      <c r="TMT24" s="720"/>
      <c r="TMU24" s="720"/>
      <c r="TMV24" s="720"/>
      <c r="TMW24" s="720"/>
      <c r="TMX24" s="720"/>
      <c r="TMY24" s="720"/>
      <c r="TMZ24" s="720"/>
      <c r="TNA24" s="720"/>
      <c r="TNB24" s="720"/>
      <c r="TNC24" s="720"/>
      <c r="TND24" s="720"/>
      <c r="TNE24" s="720"/>
      <c r="TNF24" s="720"/>
      <c r="TNG24" s="720"/>
      <c r="TNH24" s="720"/>
      <c r="TNI24" s="720"/>
      <c r="TNJ24" s="720"/>
      <c r="TNK24" s="720"/>
      <c r="TNL24" s="720"/>
      <c r="TNM24" s="720"/>
      <c r="TNN24" s="720"/>
      <c r="TNO24" s="720"/>
      <c r="TNP24" s="720"/>
      <c r="TNQ24" s="720"/>
      <c r="TNR24" s="720"/>
      <c r="TNS24" s="720"/>
      <c r="TNT24" s="720"/>
      <c r="TNU24" s="720"/>
      <c r="TNV24" s="720"/>
      <c r="TNW24" s="720"/>
      <c r="TNX24" s="720"/>
      <c r="TNY24" s="720"/>
      <c r="TNZ24" s="720"/>
      <c r="TOA24" s="720"/>
      <c r="TOB24" s="720"/>
      <c r="TOC24" s="720"/>
      <c r="TOD24" s="720"/>
      <c r="TOE24" s="720"/>
      <c r="TOF24" s="720"/>
      <c r="TOG24" s="720"/>
      <c r="TOH24" s="720"/>
      <c r="TOI24" s="720"/>
      <c r="TOJ24" s="720"/>
      <c r="TOK24" s="720"/>
      <c r="TOL24" s="720"/>
      <c r="TOM24" s="720"/>
      <c r="TON24" s="720"/>
      <c r="TOO24" s="720"/>
      <c r="TOP24" s="720"/>
      <c r="TOQ24" s="720"/>
      <c r="TOR24" s="720"/>
      <c r="TOS24" s="720"/>
      <c r="TOT24" s="720"/>
      <c r="TOU24" s="720"/>
      <c r="TOV24" s="720"/>
      <c r="TOW24" s="720"/>
      <c r="TOX24" s="720"/>
      <c r="TOY24" s="720"/>
      <c r="TOZ24" s="720"/>
      <c r="TPA24" s="720"/>
      <c r="TPB24" s="720"/>
      <c r="TPC24" s="720"/>
      <c r="TPD24" s="720"/>
      <c r="TPE24" s="720"/>
      <c r="TPF24" s="720"/>
      <c r="TPG24" s="720"/>
      <c r="TPH24" s="720"/>
      <c r="TPI24" s="720"/>
      <c r="TPJ24" s="720"/>
      <c r="TPK24" s="720"/>
      <c r="TPL24" s="720"/>
      <c r="TPM24" s="720"/>
      <c r="TPN24" s="720"/>
      <c r="TPO24" s="720"/>
      <c r="TPP24" s="720"/>
      <c r="TPQ24" s="720"/>
      <c r="TPR24" s="720"/>
      <c r="TPS24" s="720"/>
      <c r="TPT24" s="720"/>
      <c r="TPU24" s="720"/>
      <c r="TPV24" s="720"/>
      <c r="TPW24" s="720"/>
      <c r="TPX24" s="720"/>
      <c r="TPY24" s="720"/>
      <c r="TPZ24" s="720"/>
      <c r="TQA24" s="720"/>
      <c r="TQB24" s="720"/>
      <c r="TQC24" s="720"/>
      <c r="TQD24" s="720"/>
      <c r="TQE24" s="720"/>
      <c r="TQF24" s="720"/>
      <c r="TQG24" s="720"/>
      <c r="TQH24" s="720"/>
      <c r="TQI24" s="720"/>
      <c r="TQJ24" s="720"/>
      <c r="TQK24" s="720"/>
      <c r="TQL24" s="720"/>
      <c r="TQM24" s="720"/>
      <c r="TQN24" s="720"/>
      <c r="TQO24" s="720"/>
      <c r="TQP24" s="720"/>
      <c r="TQQ24" s="720"/>
      <c r="TQR24" s="720"/>
      <c r="TQS24" s="720"/>
      <c r="TQT24" s="720"/>
      <c r="TQU24" s="720"/>
      <c r="TQV24" s="720"/>
      <c r="TQW24" s="720"/>
      <c r="TQX24" s="720"/>
      <c r="TQY24" s="720"/>
      <c r="TQZ24" s="720"/>
      <c r="TRA24" s="720"/>
      <c r="TRB24" s="720"/>
      <c r="TRC24" s="720"/>
      <c r="TRD24" s="720"/>
      <c r="TRE24" s="720"/>
      <c r="TRF24" s="720"/>
      <c r="TRG24" s="720"/>
      <c r="TRH24" s="720"/>
      <c r="TRI24" s="720"/>
      <c r="TRJ24" s="720"/>
      <c r="TRK24" s="720"/>
      <c r="TRL24" s="720"/>
      <c r="TRM24" s="720"/>
      <c r="TRN24" s="720"/>
      <c r="TRO24" s="720"/>
      <c r="TRP24" s="720"/>
      <c r="TRQ24" s="720"/>
      <c r="TRR24" s="720"/>
      <c r="TRS24" s="720"/>
      <c r="TRT24" s="720"/>
      <c r="TRU24" s="720"/>
      <c r="TRV24" s="720"/>
      <c r="TRW24" s="720"/>
      <c r="TRX24" s="720"/>
      <c r="TRY24" s="720"/>
      <c r="TRZ24" s="720"/>
      <c r="TSA24" s="720"/>
      <c r="TSB24" s="720"/>
      <c r="TSC24" s="720"/>
      <c r="TSD24" s="720"/>
      <c r="TSE24" s="720"/>
      <c r="TSF24" s="720"/>
      <c r="TSG24" s="720"/>
      <c r="TSH24" s="720"/>
      <c r="TSI24" s="720"/>
      <c r="TSJ24" s="720"/>
      <c r="TSK24" s="720"/>
      <c r="TSL24" s="720"/>
      <c r="TSM24" s="720"/>
      <c r="TSN24" s="720"/>
      <c r="TSO24" s="720"/>
      <c r="TSP24" s="720"/>
      <c r="TSQ24" s="720"/>
      <c r="TSR24" s="720"/>
      <c r="TSS24" s="720"/>
      <c r="TST24" s="720"/>
      <c r="TSU24" s="720"/>
      <c r="TSV24" s="720"/>
      <c r="TSW24" s="720"/>
      <c r="TSX24" s="720"/>
      <c r="TSY24" s="720"/>
      <c r="TSZ24" s="720"/>
      <c r="TTA24" s="720"/>
      <c r="TTB24" s="720"/>
      <c r="TTC24" s="720"/>
      <c r="TTD24" s="720"/>
      <c r="TTE24" s="720"/>
      <c r="TTF24" s="720"/>
      <c r="TTG24" s="720"/>
      <c r="TTH24" s="720"/>
      <c r="TTI24" s="720"/>
      <c r="TTJ24" s="720"/>
      <c r="TTK24" s="720"/>
      <c r="TTL24" s="720"/>
      <c r="TTM24" s="720"/>
      <c r="TTN24" s="720"/>
      <c r="TTO24" s="720"/>
      <c r="TTP24" s="720"/>
      <c r="TTQ24" s="720"/>
      <c r="TTR24" s="720"/>
      <c r="TTS24" s="720"/>
      <c r="TTT24" s="720"/>
      <c r="TTU24" s="720"/>
      <c r="TTV24" s="720"/>
      <c r="TTW24" s="720"/>
      <c r="TTX24" s="720"/>
      <c r="TTY24" s="720"/>
      <c r="TTZ24" s="720"/>
      <c r="TUA24" s="720"/>
      <c r="TUB24" s="720"/>
      <c r="TUC24" s="720"/>
      <c r="TUD24" s="720"/>
      <c r="TUE24" s="720"/>
      <c r="TUF24" s="720"/>
      <c r="TUG24" s="720"/>
      <c r="TUH24" s="720"/>
      <c r="TUI24" s="720"/>
      <c r="TUJ24" s="720"/>
      <c r="TUK24" s="720"/>
      <c r="TUL24" s="720"/>
      <c r="TUM24" s="720"/>
      <c r="TUN24" s="720"/>
      <c r="TUO24" s="720"/>
      <c r="TUP24" s="720"/>
      <c r="TUQ24" s="720"/>
      <c r="TUR24" s="720"/>
      <c r="TUS24" s="720"/>
      <c r="TUT24" s="720"/>
      <c r="TUU24" s="720"/>
      <c r="TUV24" s="720"/>
      <c r="TUW24" s="720"/>
      <c r="TUX24" s="720"/>
      <c r="TUY24" s="720"/>
      <c r="TUZ24" s="720"/>
      <c r="TVA24" s="720"/>
      <c r="TVB24" s="720"/>
      <c r="TVC24" s="720"/>
      <c r="TVD24" s="720"/>
      <c r="TVE24" s="720"/>
      <c r="TVF24" s="720"/>
      <c r="TVG24" s="720"/>
      <c r="TVH24" s="720"/>
      <c r="TVI24" s="720"/>
      <c r="TVJ24" s="720"/>
      <c r="TVK24" s="720"/>
      <c r="TVL24" s="720"/>
      <c r="TVM24" s="720"/>
      <c r="TVN24" s="720"/>
      <c r="TVO24" s="720"/>
      <c r="TVP24" s="720"/>
      <c r="TVQ24" s="720"/>
      <c r="TVR24" s="720"/>
      <c r="TVS24" s="720"/>
      <c r="TVT24" s="720"/>
      <c r="TVU24" s="720"/>
      <c r="TVV24" s="720"/>
      <c r="TVW24" s="720"/>
      <c r="TVX24" s="720"/>
      <c r="TVY24" s="720"/>
      <c r="TVZ24" s="720"/>
      <c r="TWA24" s="720"/>
      <c r="TWB24" s="720"/>
      <c r="TWC24" s="720"/>
      <c r="TWD24" s="720"/>
      <c r="TWE24" s="720"/>
      <c r="TWF24" s="720"/>
      <c r="TWG24" s="720"/>
      <c r="TWH24" s="720"/>
      <c r="TWI24" s="720"/>
      <c r="TWJ24" s="720"/>
      <c r="TWK24" s="720"/>
      <c r="TWL24" s="720"/>
      <c r="TWM24" s="720"/>
      <c r="TWN24" s="720"/>
      <c r="TWO24" s="720"/>
      <c r="TWP24" s="720"/>
      <c r="TWQ24" s="720"/>
      <c r="TWR24" s="720"/>
      <c r="TWS24" s="720"/>
      <c r="TWT24" s="720"/>
      <c r="TWU24" s="720"/>
      <c r="TWV24" s="720"/>
      <c r="TWW24" s="720"/>
      <c r="TWX24" s="720"/>
      <c r="TWY24" s="720"/>
      <c r="TWZ24" s="720"/>
      <c r="TXA24" s="720"/>
      <c r="TXB24" s="720"/>
      <c r="TXC24" s="720"/>
      <c r="TXD24" s="720"/>
      <c r="TXE24" s="720"/>
      <c r="TXF24" s="720"/>
      <c r="TXG24" s="720"/>
      <c r="TXH24" s="720"/>
      <c r="TXI24" s="720"/>
      <c r="TXJ24" s="720"/>
      <c r="TXK24" s="720"/>
      <c r="TXL24" s="720"/>
      <c r="TXM24" s="720"/>
      <c r="TXN24" s="720"/>
      <c r="TXO24" s="720"/>
      <c r="TXP24" s="720"/>
      <c r="TXQ24" s="720"/>
      <c r="TXR24" s="720"/>
      <c r="TXS24" s="720"/>
      <c r="TXT24" s="720"/>
      <c r="TXU24" s="720"/>
      <c r="TXV24" s="720"/>
      <c r="TXW24" s="720"/>
      <c r="TXX24" s="720"/>
      <c r="TXY24" s="720"/>
      <c r="TXZ24" s="720"/>
      <c r="TYA24" s="720"/>
      <c r="TYB24" s="720"/>
      <c r="TYC24" s="720"/>
      <c r="TYD24" s="720"/>
      <c r="TYE24" s="720"/>
      <c r="TYF24" s="720"/>
      <c r="TYG24" s="720"/>
      <c r="TYH24" s="720"/>
      <c r="TYI24" s="720"/>
      <c r="TYJ24" s="720"/>
      <c r="TYK24" s="720"/>
      <c r="TYL24" s="720"/>
      <c r="TYM24" s="720"/>
      <c r="TYN24" s="720"/>
      <c r="TYO24" s="720"/>
      <c r="TYP24" s="720"/>
      <c r="TYQ24" s="720"/>
      <c r="TYR24" s="720"/>
      <c r="TYS24" s="720"/>
      <c r="TYT24" s="720"/>
      <c r="TYU24" s="720"/>
      <c r="TYV24" s="720"/>
      <c r="TYW24" s="720"/>
      <c r="TYX24" s="720"/>
      <c r="TYY24" s="720"/>
      <c r="TYZ24" s="720"/>
      <c r="TZA24" s="720"/>
      <c r="TZB24" s="720"/>
      <c r="TZC24" s="720"/>
      <c r="TZD24" s="720"/>
      <c r="TZE24" s="720"/>
      <c r="TZF24" s="720"/>
      <c r="TZG24" s="720"/>
      <c r="TZH24" s="720"/>
      <c r="TZI24" s="720"/>
      <c r="TZJ24" s="720"/>
      <c r="TZK24" s="720"/>
      <c r="TZL24" s="720"/>
      <c r="TZM24" s="720"/>
      <c r="TZN24" s="720"/>
      <c r="TZO24" s="720"/>
      <c r="TZP24" s="720"/>
      <c r="TZQ24" s="720"/>
      <c r="TZR24" s="720"/>
      <c r="TZS24" s="720"/>
      <c r="TZT24" s="720"/>
      <c r="TZU24" s="720"/>
      <c r="TZV24" s="720"/>
      <c r="TZW24" s="720"/>
      <c r="TZX24" s="720"/>
      <c r="TZY24" s="720"/>
      <c r="TZZ24" s="720"/>
      <c r="UAA24" s="720"/>
      <c r="UAB24" s="720"/>
      <c r="UAC24" s="720"/>
      <c r="UAD24" s="720"/>
      <c r="UAE24" s="720"/>
      <c r="UAF24" s="720"/>
      <c r="UAG24" s="720"/>
      <c r="UAH24" s="720"/>
      <c r="UAI24" s="720"/>
      <c r="UAJ24" s="720"/>
      <c r="UAK24" s="720"/>
      <c r="UAL24" s="720"/>
      <c r="UAM24" s="720"/>
      <c r="UAN24" s="720"/>
      <c r="UAO24" s="720"/>
      <c r="UAP24" s="720"/>
      <c r="UAQ24" s="720"/>
      <c r="UAR24" s="720"/>
      <c r="UAS24" s="720"/>
      <c r="UAT24" s="720"/>
      <c r="UAU24" s="720"/>
      <c r="UAV24" s="720"/>
      <c r="UAW24" s="720"/>
      <c r="UAX24" s="720"/>
      <c r="UAY24" s="720"/>
      <c r="UAZ24" s="720"/>
      <c r="UBA24" s="720"/>
      <c r="UBB24" s="720"/>
      <c r="UBC24" s="720"/>
      <c r="UBD24" s="720"/>
      <c r="UBE24" s="720"/>
      <c r="UBF24" s="720"/>
      <c r="UBG24" s="720"/>
      <c r="UBH24" s="720"/>
      <c r="UBI24" s="720"/>
      <c r="UBJ24" s="720"/>
      <c r="UBK24" s="720"/>
      <c r="UBL24" s="720"/>
      <c r="UBM24" s="720"/>
      <c r="UBN24" s="720"/>
      <c r="UBO24" s="720"/>
      <c r="UBP24" s="720"/>
      <c r="UBQ24" s="720"/>
      <c r="UBR24" s="720"/>
      <c r="UBS24" s="720"/>
      <c r="UBT24" s="720"/>
      <c r="UBU24" s="720"/>
      <c r="UBV24" s="720"/>
      <c r="UBW24" s="720"/>
      <c r="UBX24" s="720"/>
      <c r="UBY24" s="720"/>
      <c r="UBZ24" s="720"/>
      <c r="UCA24" s="720"/>
      <c r="UCB24" s="720"/>
      <c r="UCC24" s="720"/>
      <c r="UCD24" s="720"/>
      <c r="UCE24" s="720"/>
      <c r="UCF24" s="720"/>
      <c r="UCG24" s="720"/>
      <c r="UCH24" s="720"/>
      <c r="UCI24" s="720"/>
      <c r="UCJ24" s="720"/>
      <c r="UCK24" s="720"/>
      <c r="UCL24" s="720"/>
      <c r="UCM24" s="720"/>
      <c r="UCN24" s="720"/>
      <c r="UCO24" s="720"/>
      <c r="UCP24" s="720"/>
      <c r="UCQ24" s="720"/>
      <c r="UCR24" s="720"/>
      <c r="UCS24" s="720"/>
      <c r="UCT24" s="720"/>
      <c r="UCU24" s="720"/>
      <c r="UCV24" s="720"/>
      <c r="UCW24" s="720"/>
      <c r="UCX24" s="720"/>
      <c r="UCY24" s="720"/>
      <c r="UCZ24" s="720"/>
      <c r="UDA24" s="720"/>
      <c r="UDB24" s="720"/>
      <c r="UDC24" s="720"/>
      <c r="UDD24" s="720"/>
      <c r="UDE24" s="720"/>
      <c r="UDF24" s="720"/>
      <c r="UDG24" s="720"/>
      <c r="UDH24" s="720"/>
      <c r="UDI24" s="720"/>
      <c r="UDJ24" s="720"/>
      <c r="UDK24" s="720"/>
      <c r="UDL24" s="720"/>
      <c r="UDM24" s="720"/>
      <c r="UDN24" s="720"/>
      <c r="UDO24" s="720"/>
      <c r="UDP24" s="720"/>
      <c r="UDQ24" s="720"/>
      <c r="UDR24" s="720"/>
      <c r="UDS24" s="720"/>
      <c r="UDT24" s="720"/>
      <c r="UDU24" s="720"/>
      <c r="UDV24" s="720"/>
      <c r="UDW24" s="720"/>
      <c r="UDX24" s="720"/>
      <c r="UDY24" s="720"/>
      <c r="UDZ24" s="720"/>
      <c r="UEA24" s="720"/>
      <c r="UEB24" s="720"/>
      <c r="UEC24" s="720"/>
      <c r="UED24" s="720"/>
      <c r="UEE24" s="720"/>
      <c r="UEF24" s="720"/>
      <c r="UEG24" s="720"/>
      <c r="UEH24" s="720"/>
      <c r="UEI24" s="720"/>
      <c r="UEJ24" s="720"/>
      <c r="UEK24" s="720"/>
      <c r="UEL24" s="720"/>
      <c r="UEM24" s="720"/>
      <c r="UEN24" s="720"/>
      <c r="UEO24" s="720"/>
      <c r="UEP24" s="720"/>
      <c r="UEQ24" s="720"/>
      <c r="UER24" s="720"/>
      <c r="UES24" s="720"/>
      <c r="UET24" s="720"/>
      <c r="UEU24" s="720"/>
      <c r="UEV24" s="720"/>
      <c r="UEW24" s="720"/>
      <c r="UEX24" s="720"/>
      <c r="UEY24" s="720"/>
      <c r="UEZ24" s="720"/>
      <c r="UFA24" s="720"/>
      <c r="UFB24" s="720"/>
      <c r="UFC24" s="720"/>
      <c r="UFD24" s="720"/>
      <c r="UFE24" s="720"/>
      <c r="UFF24" s="720"/>
      <c r="UFG24" s="720"/>
      <c r="UFH24" s="720"/>
      <c r="UFI24" s="720"/>
      <c r="UFJ24" s="720"/>
      <c r="UFK24" s="720"/>
      <c r="UFL24" s="720"/>
      <c r="UFM24" s="720"/>
      <c r="UFN24" s="720"/>
      <c r="UFO24" s="720"/>
      <c r="UFP24" s="720"/>
      <c r="UFQ24" s="720"/>
      <c r="UFR24" s="720"/>
      <c r="UFS24" s="720"/>
      <c r="UFT24" s="720"/>
      <c r="UFU24" s="720"/>
      <c r="UFV24" s="720"/>
      <c r="UFW24" s="720"/>
      <c r="UFX24" s="720"/>
      <c r="UFY24" s="720"/>
      <c r="UFZ24" s="720"/>
      <c r="UGA24" s="720"/>
      <c r="UGB24" s="720"/>
      <c r="UGC24" s="720"/>
      <c r="UGD24" s="720"/>
      <c r="UGE24" s="720"/>
      <c r="UGF24" s="720"/>
      <c r="UGG24" s="720"/>
      <c r="UGH24" s="720"/>
      <c r="UGI24" s="720"/>
      <c r="UGJ24" s="720"/>
      <c r="UGK24" s="720"/>
      <c r="UGL24" s="720"/>
      <c r="UGM24" s="720"/>
      <c r="UGN24" s="720"/>
      <c r="UGO24" s="720"/>
      <c r="UGP24" s="720"/>
      <c r="UGQ24" s="720"/>
      <c r="UGR24" s="720"/>
      <c r="UGS24" s="720"/>
      <c r="UGT24" s="720"/>
      <c r="UGU24" s="720"/>
      <c r="UGV24" s="720"/>
      <c r="UGW24" s="720"/>
      <c r="UGX24" s="720"/>
      <c r="UGY24" s="720"/>
      <c r="UGZ24" s="720"/>
      <c r="UHA24" s="720"/>
      <c r="UHB24" s="720"/>
      <c r="UHC24" s="720"/>
      <c r="UHD24" s="720"/>
      <c r="UHE24" s="720"/>
      <c r="UHF24" s="720"/>
      <c r="UHG24" s="720"/>
      <c r="UHH24" s="720"/>
      <c r="UHI24" s="720"/>
      <c r="UHJ24" s="720"/>
      <c r="UHK24" s="720"/>
      <c r="UHL24" s="720"/>
      <c r="UHM24" s="720"/>
      <c r="UHN24" s="720"/>
      <c r="UHO24" s="720"/>
      <c r="UHP24" s="720"/>
      <c r="UHQ24" s="720"/>
      <c r="UHR24" s="720"/>
      <c r="UHS24" s="720"/>
      <c r="UHT24" s="720"/>
      <c r="UHU24" s="720"/>
      <c r="UHV24" s="720"/>
      <c r="UHW24" s="720"/>
      <c r="UHX24" s="720"/>
      <c r="UHY24" s="720"/>
      <c r="UHZ24" s="720"/>
      <c r="UIA24" s="720"/>
      <c r="UIB24" s="720"/>
      <c r="UIC24" s="720"/>
      <c r="UID24" s="720"/>
      <c r="UIE24" s="720"/>
      <c r="UIF24" s="720"/>
      <c r="UIG24" s="720"/>
      <c r="UIH24" s="720"/>
      <c r="UII24" s="720"/>
      <c r="UIJ24" s="720"/>
      <c r="UIK24" s="720"/>
      <c r="UIL24" s="720"/>
      <c r="UIM24" s="720"/>
      <c r="UIN24" s="720"/>
      <c r="UIO24" s="720"/>
      <c r="UIP24" s="720"/>
      <c r="UIQ24" s="720"/>
      <c r="UIR24" s="720"/>
      <c r="UIS24" s="720"/>
      <c r="UIT24" s="720"/>
      <c r="UIU24" s="720"/>
      <c r="UIV24" s="720"/>
      <c r="UIW24" s="720"/>
      <c r="UIX24" s="720"/>
      <c r="UIY24" s="720"/>
      <c r="UIZ24" s="720"/>
      <c r="UJA24" s="720"/>
      <c r="UJB24" s="720"/>
      <c r="UJC24" s="720"/>
      <c r="UJD24" s="720"/>
      <c r="UJE24" s="720"/>
      <c r="UJF24" s="720"/>
      <c r="UJG24" s="720"/>
      <c r="UJH24" s="720"/>
      <c r="UJI24" s="720"/>
      <c r="UJJ24" s="720"/>
      <c r="UJK24" s="720"/>
      <c r="UJL24" s="720"/>
      <c r="UJM24" s="720"/>
      <c r="UJN24" s="720"/>
      <c r="UJO24" s="720"/>
      <c r="UJP24" s="720"/>
      <c r="UJQ24" s="720"/>
      <c r="UJR24" s="720"/>
      <c r="UJS24" s="720"/>
      <c r="UJT24" s="720"/>
      <c r="UJU24" s="720"/>
      <c r="UJV24" s="720"/>
      <c r="UJW24" s="720"/>
      <c r="UJX24" s="720"/>
      <c r="UJY24" s="720"/>
      <c r="UJZ24" s="720"/>
      <c r="UKA24" s="720"/>
      <c r="UKB24" s="720"/>
      <c r="UKC24" s="720"/>
      <c r="UKD24" s="720"/>
      <c r="UKE24" s="720"/>
      <c r="UKF24" s="720"/>
      <c r="UKG24" s="720"/>
      <c r="UKH24" s="720"/>
      <c r="UKI24" s="720"/>
      <c r="UKJ24" s="720"/>
      <c r="UKK24" s="720"/>
      <c r="UKL24" s="720"/>
      <c r="UKM24" s="720"/>
      <c r="UKN24" s="720"/>
      <c r="UKO24" s="720"/>
      <c r="UKP24" s="720"/>
      <c r="UKQ24" s="720"/>
      <c r="UKR24" s="720"/>
      <c r="UKS24" s="720"/>
      <c r="UKT24" s="720"/>
      <c r="UKU24" s="720"/>
      <c r="UKV24" s="720"/>
      <c r="UKW24" s="720"/>
      <c r="UKX24" s="720"/>
      <c r="UKY24" s="720"/>
      <c r="UKZ24" s="720"/>
      <c r="ULA24" s="720"/>
      <c r="ULB24" s="720"/>
      <c r="ULC24" s="720"/>
      <c r="ULD24" s="720"/>
      <c r="ULE24" s="720"/>
      <c r="ULF24" s="720"/>
      <c r="ULG24" s="720"/>
      <c r="ULH24" s="720"/>
      <c r="ULI24" s="720"/>
      <c r="ULJ24" s="720"/>
      <c r="ULK24" s="720"/>
      <c r="ULL24" s="720"/>
      <c r="ULM24" s="720"/>
      <c r="ULN24" s="720"/>
      <c r="ULO24" s="720"/>
      <c r="ULP24" s="720"/>
      <c r="ULQ24" s="720"/>
      <c r="ULR24" s="720"/>
      <c r="ULS24" s="720"/>
      <c r="ULT24" s="720"/>
      <c r="ULU24" s="720"/>
      <c r="ULV24" s="720"/>
      <c r="ULW24" s="720"/>
      <c r="ULX24" s="720"/>
      <c r="ULY24" s="720"/>
      <c r="ULZ24" s="720"/>
      <c r="UMA24" s="720"/>
      <c r="UMB24" s="720"/>
      <c r="UMC24" s="720"/>
      <c r="UMD24" s="720"/>
      <c r="UME24" s="720"/>
      <c r="UMF24" s="720"/>
      <c r="UMG24" s="720"/>
      <c r="UMH24" s="720"/>
      <c r="UMI24" s="720"/>
      <c r="UMJ24" s="720"/>
      <c r="UMK24" s="720"/>
      <c r="UML24" s="720"/>
      <c r="UMM24" s="720"/>
      <c r="UMN24" s="720"/>
      <c r="UMO24" s="720"/>
      <c r="UMP24" s="720"/>
      <c r="UMQ24" s="720"/>
      <c r="UMR24" s="720"/>
      <c r="UMS24" s="720"/>
      <c r="UMT24" s="720"/>
      <c r="UMU24" s="720"/>
      <c r="UMV24" s="720"/>
      <c r="UMW24" s="720"/>
      <c r="UMX24" s="720"/>
      <c r="UMY24" s="720"/>
      <c r="UMZ24" s="720"/>
      <c r="UNA24" s="720"/>
      <c r="UNB24" s="720"/>
      <c r="UNC24" s="720"/>
      <c r="UND24" s="720"/>
      <c r="UNE24" s="720"/>
      <c r="UNF24" s="720"/>
      <c r="UNG24" s="720"/>
      <c r="UNH24" s="720"/>
      <c r="UNI24" s="720"/>
      <c r="UNJ24" s="720"/>
      <c r="UNK24" s="720"/>
      <c r="UNL24" s="720"/>
      <c r="UNM24" s="720"/>
      <c r="UNN24" s="720"/>
      <c r="UNO24" s="720"/>
      <c r="UNP24" s="720"/>
      <c r="UNQ24" s="720"/>
      <c r="UNR24" s="720"/>
      <c r="UNS24" s="720"/>
      <c r="UNT24" s="720"/>
      <c r="UNU24" s="720"/>
      <c r="UNV24" s="720"/>
      <c r="UNW24" s="720"/>
      <c r="UNX24" s="720"/>
      <c r="UNY24" s="720"/>
      <c r="UNZ24" s="720"/>
      <c r="UOA24" s="720"/>
      <c r="UOB24" s="720"/>
      <c r="UOC24" s="720"/>
      <c r="UOD24" s="720"/>
      <c r="UOE24" s="720"/>
      <c r="UOF24" s="720"/>
      <c r="UOG24" s="720"/>
      <c r="UOH24" s="720"/>
      <c r="UOI24" s="720"/>
      <c r="UOJ24" s="720"/>
      <c r="UOK24" s="720"/>
      <c r="UOL24" s="720"/>
      <c r="UOM24" s="720"/>
      <c r="UON24" s="720"/>
      <c r="UOO24" s="720"/>
      <c r="UOP24" s="720"/>
      <c r="UOQ24" s="720"/>
      <c r="UOR24" s="720"/>
      <c r="UOS24" s="720"/>
      <c r="UOT24" s="720"/>
      <c r="UOU24" s="720"/>
      <c r="UOV24" s="720"/>
      <c r="UOW24" s="720"/>
      <c r="UOX24" s="720"/>
      <c r="UOY24" s="720"/>
      <c r="UOZ24" s="720"/>
      <c r="UPA24" s="720"/>
      <c r="UPB24" s="720"/>
      <c r="UPC24" s="720"/>
      <c r="UPD24" s="720"/>
      <c r="UPE24" s="720"/>
      <c r="UPF24" s="720"/>
      <c r="UPG24" s="720"/>
      <c r="UPH24" s="720"/>
      <c r="UPI24" s="720"/>
      <c r="UPJ24" s="720"/>
      <c r="UPK24" s="720"/>
      <c r="UPL24" s="720"/>
      <c r="UPM24" s="720"/>
      <c r="UPN24" s="720"/>
      <c r="UPO24" s="720"/>
      <c r="UPP24" s="720"/>
      <c r="UPQ24" s="720"/>
      <c r="UPR24" s="720"/>
      <c r="UPS24" s="720"/>
      <c r="UPT24" s="720"/>
      <c r="UPU24" s="720"/>
      <c r="UPV24" s="720"/>
      <c r="UPW24" s="720"/>
      <c r="UPX24" s="720"/>
      <c r="UPY24" s="720"/>
      <c r="UPZ24" s="720"/>
      <c r="UQA24" s="720"/>
      <c r="UQB24" s="720"/>
      <c r="UQC24" s="720"/>
      <c r="UQD24" s="720"/>
      <c r="UQE24" s="720"/>
      <c r="UQF24" s="720"/>
      <c r="UQG24" s="720"/>
      <c r="UQH24" s="720"/>
      <c r="UQI24" s="720"/>
      <c r="UQJ24" s="720"/>
      <c r="UQK24" s="720"/>
      <c r="UQL24" s="720"/>
      <c r="UQM24" s="720"/>
      <c r="UQN24" s="720"/>
      <c r="UQO24" s="720"/>
      <c r="UQP24" s="720"/>
      <c r="UQQ24" s="720"/>
      <c r="UQR24" s="720"/>
      <c r="UQS24" s="720"/>
      <c r="UQT24" s="720"/>
      <c r="UQU24" s="720"/>
      <c r="UQV24" s="720"/>
      <c r="UQW24" s="720"/>
      <c r="UQX24" s="720"/>
      <c r="UQY24" s="720"/>
      <c r="UQZ24" s="720"/>
      <c r="URA24" s="720"/>
      <c r="URB24" s="720"/>
      <c r="URC24" s="720"/>
      <c r="URD24" s="720"/>
      <c r="URE24" s="720"/>
      <c r="URF24" s="720"/>
      <c r="URG24" s="720"/>
      <c r="URH24" s="720"/>
      <c r="URI24" s="720"/>
      <c r="URJ24" s="720"/>
      <c r="URK24" s="720"/>
      <c r="URL24" s="720"/>
      <c r="URM24" s="720"/>
      <c r="URN24" s="720"/>
      <c r="URO24" s="720"/>
      <c r="URP24" s="720"/>
      <c r="URQ24" s="720"/>
      <c r="URR24" s="720"/>
      <c r="URS24" s="720"/>
      <c r="URT24" s="720"/>
      <c r="URU24" s="720"/>
      <c r="URV24" s="720"/>
      <c r="URW24" s="720"/>
      <c r="URX24" s="720"/>
      <c r="URY24" s="720"/>
      <c r="URZ24" s="720"/>
      <c r="USA24" s="720"/>
      <c r="USB24" s="720"/>
      <c r="USC24" s="720"/>
      <c r="USD24" s="720"/>
      <c r="USE24" s="720"/>
      <c r="USF24" s="720"/>
      <c r="USG24" s="720"/>
      <c r="USH24" s="720"/>
      <c r="USI24" s="720"/>
      <c r="USJ24" s="720"/>
      <c r="USK24" s="720"/>
      <c r="USL24" s="720"/>
      <c r="USM24" s="720"/>
      <c r="USN24" s="720"/>
      <c r="USO24" s="720"/>
      <c r="USP24" s="720"/>
      <c r="USQ24" s="720"/>
      <c r="USR24" s="720"/>
      <c r="USS24" s="720"/>
      <c r="UST24" s="720"/>
      <c r="USU24" s="720"/>
      <c r="USV24" s="720"/>
      <c r="USW24" s="720"/>
      <c r="USX24" s="720"/>
      <c r="USY24" s="720"/>
      <c r="USZ24" s="720"/>
      <c r="UTA24" s="720"/>
      <c r="UTB24" s="720"/>
      <c r="UTC24" s="720"/>
      <c r="UTD24" s="720"/>
      <c r="UTE24" s="720"/>
      <c r="UTF24" s="720"/>
      <c r="UTG24" s="720"/>
      <c r="UTH24" s="720"/>
      <c r="UTI24" s="720"/>
      <c r="UTJ24" s="720"/>
      <c r="UTK24" s="720"/>
      <c r="UTL24" s="720"/>
      <c r="UTM24" s="720"/>
      <c r="UTN24" s="720"/>
      <c r="UTO24" s="720"/>
      <c r="UTP24" s="720"/>
      <c r="UTQ24" s="720"/>
      <c r="UTR24" s="720"/>
      <c r="UTS24" s="720"/>
      <c r="UTT24" s="720"/>
      <c r="UTU24" s="720"/>
      <c r="UTV24" s="720"/>
      <c r="UTW24" s="720"/>
      <c r="UTX24" s="720"/>
      <c r="UTY24" s="720"/>
      <c r="UTZ24" s="720"/>
      <c r="UUA24" s="720"/>
      <c r="UUB24" s="720"/>
      <c r="UUC24" s="720"/>
      <c r="UUD24" s="720"/>
      <c r="UUE24" s="720"/>
      <c r="UUF24" s="720"/>
      <c r="UUG24" s="720"/>
      <c r="UUH24" s="720"/>
      <c r="UUI24" s="720"/>
      <c r="UUJ24" s="720"/>
      <c r="UUK24" s="720"/>
      <c r="UUL24" s="720"/>
      <c r="UUM24" s="720"/>
      <c r="UUN24" s="720"/>
      <c r="UUO24" s="720"/>
      <c r="UUP24" s="720"/>
      <c r="UUQ24" s="720"/>
      <c r="UUR24" s="720"/>
      <c r="UUS24" s="720"/>
      <c r="UUT24" s="720"/>
      <c r="UUU24" s="720"/>
      <c r="UUV24" s="720"/>
      <c r="UUW24" s="720"/>
      <c r="UUX24" s="720"/>
      <c r="UUY24" s="720"/>
      <c r="UUZ24" s="720"/>
      <c r="UVA24" s="720"/>
      <c r="UVB24" s="720"/>
      <c r="UVC24" s="720"/>
      <c r="UVD24" s="720"/>
      <c r="UVE24" s="720"/>
      <c r="UVF24" s="720"/>
      <c r="UVG24" s="720"/>
      <c r="UVH24" s="720"/>
      <c r="UVI24" s="720"/>
      <c r="UVJ24" s="720"/>
      <c r="UVK24" s="720"/>
      <c r="UVL24" s="720"/>
      <c r="UVM24" s="720"/>
      <c r="UVN24" s="720"/>
      <c r="UVO24" s="720"/>
      <c r="UVP24" s="720"/>
      <c r="UVQ24" s="720"/>
      <c r="UVR24" s="720"/>
      <c r="UVS24" s="720"/>
      <c r="UVT24" s="720"/>
      <c r="UVU24" s="720"/>
      <c r="UVV24" s="720"/>
      <c r="UVW24" s="720"/>
      <c r="UVX24" s="720"/>
      <c r="UVY24" s="720"/>
      <c r="UVZ24" s="720"/>
      <c r="UWA24" s="720"/>
      <c r="UWB24" s="720"/>
      <c r="UWC24" s="720"/>
      <c r="UWD24" s="720"/>
      <c r="UWE24" s="720"/>
      <c r="UWF24" s="720"/>
      <c r="UWG24" s="720"/>
      <c r="UWH24" s="720"/>
      <c r="UWI24" s="720"/>
      <c r="UWJ24" s="720"/>
      <c r="UWK24" s="720"/>
      <c r="UWL24" s="720"/>
      <c r="UWM24" s="720"/>
      <c r="UWN24" s="720"/>
      <c r="UWO24" s="720"/>
      <c r="UWP24" s="720"/>
      <c r="UWQ24" s="720"/>
      <c r="UWR24" s="720"/>
      <c r="UWS24" s="720"/>
      <c r="UWT24" s="720"/>
      <c r="UWU24" s="720"/>
      <c r="UWV24" s="720"/>
      <c r="UWW24" s="720"/>
      <c r="UWX24" s="720"/>
      <c r="UWY24" s="720"/>
      <c r="UWZ24" s="720"/>
      <c r="UXA24" s="720"/>
      <c r="UXB24" s="720"/>
      <c r="UXC24" s="720"/>
      <c r="UXD24" s="720"/>
      <c r="UXE24" s="720"/>
      <c r="UXF24" s="720"/>
      <c r="UXG24" s="720"/>
      <c r="UXH24" s="720"/>
      <c r="UXI24" s="720"/>
      <c r="UXJ24" s="720"/>
      <c r="UXK24" s="720"/>
      <c r="UXL24" s="720"/>
      <c r="UXM24" s="720"/>
      <c r="UXN24" s="720"/>
      <c r="UXO24" s="720"/>
      <c r="UXP24" s="720"/>
      <c r="UXQ24" s="720"/>
      <c r="UXR24" s="720"/>
      <c r="UXS24" s="720"/>
      <c r="UXT24" s="720"/>
      <c r="UXU24" s="720"/>
      <c r="UXV24" s="720"/>
      <c r="UXW24" s="720"/>
      <c r="UXX24" s="720"/>
      <c r="UXY24" s="720"/>
      <c r="UXZ24" s="720"/>
      <c r="UYA24" s="720"/>
      <c r="UYB24" s="720"/>
      <c r="UYC24" s="720"/>
      <c r="UYD24" s="720"/>
      <c r="UYE24" s="720"/>
      <c r="UYF24" s="720"/>
      <c r="UYG24" s="720"/>
      <c r="UYH24" s="720"/>
      <c r="UYI24" s="720"/>
      <c r="UYJ24" s="720"/>
      <c r="UYK24" s="720"/>
      <c r="UYL24" s="720"/>
      <c r="UYM24" s="720"/>
      <c r="UYN24" s="720"/>
      <c r="UYO24" s="720"/>
      <c r="UYP24" s="720"/>
      <c r="UYQ24" s="720"/>
      <c r="UYR24" s="720"/>
      <c r="UYS24" s="720"/>
      <c r="UYT24" s="720"/>
      <c r="UYU24" s="720"/>
      <c r="UYV24" s="720"/>
      <c r="UYW24" s="720"/>
      <c r="UYX24" s="720"/>
      <c r="UYY24" s="720"/>
      <c r="UYZ24" s="720"/>
      <c r="UZA24" s="720"/>
      <c r="UZB24" s="720"/>
      <c r="UZC24" s="720"/>
      <c r="UZD24" s="720"/>
      <c r="UZE24" s="720"/>
      <c r="UZF24" s="720"/>
      <c r="UZG24" s="720"/>
      <c r="UZH24" s="720"/>
      <c r="UZI24" s="720"/>
      <c r="UZJ24" s="720"/>
      <c r="UZK24" s="720"/>
      <c r="UZL24" s="720"/>
      <c r="UZM24" s="720"/>
      <c r="UZN24" s="720"/>
      <c r="UZO24" s="720"/>
      <c r="UZP24" s="720"/>
      <c r="UZQ24" s="720"/>
      <c r="UZR24" s="720"/>
      <c r="UZS24" s="720"/>
      <c r="UZT24" s="720"/>
      <c r="UZU24" s="720"/>
      <c r="UZV24" s="720"/>
      <c r="UZW24" s="720"/>
      <c r="UZX24" s="720"/>
      <c r="UZY24" s="720"/>
      <c r="UZZ24" s="720"/>
      <c r="VAA24" s="720"/>
      <c r="VAB24" s="720"/>
      <c r="VAC24" s="720"/>
      <c r="VAD24" s="720"/>
      <c r="VAE24" s="720"/>
      <c r="VAF24" s="720"/>
      <c r="VAG24" s="720"/>
      <c r="VAH24" s="720"/>
      <c r="VAI24" s="720"/>
      <c r="VAJ24" s="720"/>
      <c r="VAK24" s="720"/>
      <c r="VAL24" s="720"/>
      <c r="VAM24" s="720"/>
      <c r="VAN24" s="720"/>
      <c r="VAO24" s="720"/>
      <c r="VAP24" s="720"/>
      <c r="VAQ24" s="720"/>
      <c r="VAR24" s="720"/>
      <c r="VAS24" s="720"/>
      <c r="VAT24" s="720"/>
      <c r="VAU24" s="720"/>
      <c r="VAV24" s="720"/>
      <c r="VAW24" s="720"/>
      <c r="VAX24" s="720"/>
      <c r="VAY24" s="720"/>
      <c r="VAZ24" s="720"/>
      <c r="VBA24" s="720"/>
      <c r="VBB24" s="720"/>
      <c r="VBC24" s="720"/>
      <c r="VBD24" s="720"/>
      <c r="VBE24" s="720"/>
      <c r="VBF24" s="720"/>
      <c r="VBG24" s="720"/>
      <c r="VBH24" s="720"/>
      <c r="VBI24" s="720"/>
      <c r="VBJ24" s="720"/>
      <c r="VBK24" s="720"/>
      <c r="VBL24" s="720"/>
      <c r="VBM24" s="720"/>
      <c r="VBN24" s="720"/>
      <c r="VBO24" s="720"/>
      <c r="VBP24" s="720"/>
      <c r="VBQ24" s="720"/>
      <c r="VBR24" s="720"/>
      <c r="VBS24" s="720"/>
      <c r="VBT24" s="720"/>
      <c r="VBU24" s="720"/>
      <c r="VBV24" s="720"/>
      <c r="VBW24" s="720"/>
      <c r="VBX24" s="720"/>
      <c r="VBY24" s="720"/>
      <c r="VBZ24" s="720"/>
      <c r="VCA24" s="720"/>
      <c r="VCB24" s="720"/>
      <c r="VCC24" s="720"/>
      <c r="VCD24" s="720"/>
      <c r="VCE24" s="720"/>
      <c r="VCF24" s="720"/>
      <c r="VCG24" s="720"/>
      <c r="VCH24" s="720"/>
      <c r="VCI24" s="720"/>
      <c r="VCJ24" s="720"/>
      <c r="VCK24" s="720"/>
      <c r="VCL24" s="720"/>
      <c r="VCM24" s="720"/>
      <c r="VCN24" s="720"/>
      <c r="VCO24" s="720"/>
      <c r="VCP24" s="720"/>
      <c r="VCQ24" s="720"/>
      <c r="VCR24" s="720"/>
      <c r="VCS24" s="720"/>
      <c r="VCT24" s="720"/>
      <c r="VCU24" s="720"/>
      <c r="VCV24" s="720"/>
      <c r="VCW24" s="720"/>
      <c r="VCX24" s="720"/>
      <c r="VCY24" s="720"/>
      <c r="VCZ24" s="720"/>
      <c r="VDA24" s="720"/>
      <c r="VDB24" s="720"/>
      <c r="VDC24" s="720"/>
      <c r="VDD24" s="720"/>
      <c r="VDE24" s="720"/>
      <c r="VDF24" s="720"/>
      <c r="VDG24" s="720"/>
      <c r="VDH24" s="720"/>
      <c r="VDI24" s="720"/>
      <c r="VDJ24" s="720"/>
      <c r="VDK24" s="720"/>
      <c r="VDL24" s="720"/>
      <c r="VDM24" s="720"/>
      <c r="VDN24" s="720"/>
      <c r="VDO24" s="720"/>
      <c r="VDP24" s="720"/>
      <c r="VDQ24" s="720"/>
      <c r="VDR24" s="720"/>
      <c r="VDS24" s="720"/>
      <c r="VDT24" s="720"/>
      <c r="VDU24" s="720"/>
      <c r="VDV24" s="720"/>
      <c r="VDW24" s="720"/>
      <c r="VDX24" s="720"/>
      <c r="VDY24" s="720"/>
      <c r="VDZ24" s="720"/>
      <c r="VEA24" s="720"/>
      <c r="VEB24" s="720"/>
      <c r="VEC24" s="720"/>
      <c r="VED24" s="720"/>
      <c r="VEE24" s="720"/>
      <c r="VEF24" s="720"/>
      <c r="VEG24" s="720"/>
      <c r="VEH24" s="720"/>
      <c r="VEI24" s="720"/>
      <c r="VEJ24" s="720"/>
      <c r="VEK24" s="720"/>
      <c r="VEL24" s="720"/>
      <c r="VEM24" s="720"/>
      <c r="VEN24" s="720"/>
      <c r="VEO24" s="720"/>
      <c r="VEP24" s="720"/>
      <c r="VEQ24" s="720"/>
      <c r="VER24" s="720"/>
      <c r="VES24" s="720"/>
      <c r="VET24" s="720"/>
      <c r="VEU24" s="720"/>
      <c r="VEV24" s="720"/>
      <c r="VEW24" s="720"/>
      <c r="VEX24" s="720"/>
      <c r="VEY24" s="720"/>
      <c r="VEZ24" s="720"/>
      <c r="VFA24" s="720"/>
      <c r="VFB24" s="720"/>
      <c r="VFC24" s="720"/>
      <c r="VFD24" s="720"/>
      <c r="VFE24" s="720"/>
      <c r="VFF24" s="720"/>
      <c r="VFG24" s="720"/>
      <c r="VFH24" s="720"/>
      <c r="VFI24" s="720"/>
      <c r="VFJ24" s="720"/>
      <c r="VFK24" s="720"/>
      <c r="VFL24" s="720"/>
      <c r="VFM24" s="720"/>
      <c r="VFN24" s="720"/>
      <c r="VFO24" s="720"/>
      <c r="VFP24" s="720"/>
      <c r="VFQ24" s="720"/>
      <c r="VFR24" s="720"/>
      <c r="VFS24" s="720"/>
      <c r="VFT24" s="720"/>
      <c r="VFU24" s="720"/>
      <c r="VFV24" s="720"/>
      <c r="VFW24" s="720"/>
      <c r="VFX24" s="720"/>
      <c r="VFY24" s="720"/>
      <c r="VFZ24" s="720"/>
      <c r="VGA24" s="720"/>
      <c r="VGB24" s="720"/>
      <c r="VGC24" s="720"/>
      <c r="VGD24" s="720"/>
      <c r="VGE24" s="720"/>
      <c r="VGF24" s="720"/>
      <c r="VGG24" s="720"/>
      <c r="VGH24" s="720"/>
      <c r="VGI24" s="720"/>
      <c r="VGJ24" s="720"/>
      <c r="VGK24" s="720"/>
      <c r="VGL24" s="720"/>
      <c r="VGM24" s="720"/>
      <c r="VGN24" s="720"/>
      <c r="VGO24" s="720"/>
      <c r="VGP24" s="720"/>
      <c r="VGQ24" s="720"/>
      <c r="VGR24" s="720"/>
      <c r="VGS24" s="720"/>
      <c r="VGT24" s="720"/>
      <c r="VGU24" s="720"/>
      <c r="VGV24" s="720"/>
      <c r="VGW24" s="720"/>
      <c r="VGX24" s="720"/>
      <c r="VGY24" s="720"/>
      <c r="VGZ24" s="720"/>
      <c r="VHA24" s="720"/>
      <c r="VHB24" s="720"/>
      <c r="VHC24" s="720"/>
      <c r="VHD24" s="720"/>
      <c r="VHE24" s="720"/>
      <c r="VHF24" s="720"/>
      <c r="VHG24" s="720"/>
      <c r="VHH24" s="720"/>
      <c r="VHI24" s="720"/>
      <c r="VHJ24" s="720"/>
      <c r="VHK24" s="720"/>
      <c r="VHL24" s="720"/>
      <c r="VHM24" s="720"/>
      <c r="VHN24" s="720"/>
      <c r="VHO24" s="720"/>
      <c r="VHP24" s="720"/>
      <c r="VHQ24" s="720"/>
      <c r="VHR24" s="720"/>
      <c r="VHS24" s="720"/>
      <c r="VHT24" s="720"/>
      <c r="VHU24" s="720"/>
      <c r="VHV24" s="720"/>
      <c r="VHW24" s="720"/>
      <c r="VHX24" s="720"/>
      <c r="VHY24" s="720"/>
      <c r="VHZ24" s="720"/>
      <c r="VIA24" s="720"/>
      <c r="VIB24" s="720"/>
      <c r="VIC24" s="720"/>
      <c r="VID24" s="720"/>
      <c r="VIE24" s="720"/>
      <c r="VIF24" s="720"/>
      <c r="VIG24" s="720"/>
      <c r="VIH24" s="720"/>
      <c r="VII24" s="720"/>
      <c r="VIJ24" s="720"/>
      <c r="VIK24" s="720"/>
      <c r="VIL24" s="720"/>
      <c r="VIM24" s="720"/>
      <c r="VIN24" s="720"/>
      <c r="VIO24" s="720"/>
      <c r="VIP24" s="720"/>
      <c r="VIQ24" s="720"/>
      <c r="VIR24" s="720"/>
      <c r="VIS24" s="720"/>
      <c r="VIT24" s="720"/>
      <c r="VIU24" s="720"/>
      <c r="VIV24" s="720"/>
      <c r="VIW24" s="720"/>
      <c r="VIX24" s="720"/>
      <c r="VIY24" s="720"/>
      <c r="VIZ24" s="720"/>
      <c r="VJA24" s="720"/>
      <c r="VJB24" s="720"/>
      <c r="VJC24" s="720"/>
      <c r="VJD24" s="720"/>
      <c r="VJE24" s="720"/>
      <c r="VJF24" s="720"/>
      <c r="VJG24" s="720"/>
      <c r="VJH24" s="720"/>
      <c r="VJI24" s="720"/>
      <c r="VJJ24" s="720"/>
      <c r="VJK24" s="720"/>
      <c r="VJL24" s="720"/>
      <c r="VJM24" s="720"/>
      <c r="VJN24" s="720"/>
      <c r="VJO24" s="720"/>
      <c r="VJP24" s="720"/>
      <c r="VJQ24" s="720"/>
      <c r="VJR24" s="720"/>
      <c r="VJS24" s="720"/>
      <c r="VJT24" s="720"/>
      <c r="VJU24" s="720"/>
      <c r="VJV24" s="720"/>
      <c r="VJW24" s="720"/>
      <c r="VJX24" s="720"/>
      <c r="VJY24" s="720"/>
      <c r="VJZ24" s="720"/>
      <c r="VKA24" s="720"/>
      <c r="VKB24" s="720"/>
      <c r="VKC24" s="720"/>
      <c r="VKD24" s="720"/>
      <c r="VKE24" s="720"/>
      <c r="VKF24" s="720"/>
      <c r="VKG24" s="720"/>
      <c r="VKH24" s="720"/>
      <c r="VKI24" s="720"/>
      <c r="VKJ24" s="720"/>
      <c r="VKK24" s="720"/>
      <c r="VKL24" s="720"/>
      <c r="VKM24" s="720"/>
      <c r="VKN24" s="720"/>
      <c r="VKO24" s="720"/>
      <c r="VKP24" s="720"/>
      <c r="VKQ24" s="720"/>
      <c r="VKR24" s="720"/>
      <c r="VKS24" s="720"/>
      <c r="VKT24" s="720"/>
      <c r="VKU24" s="720"/>
      <c r="VKV24" s="720"/>
      <c r="VKW24" s="720"/>
      <c r="VKX24" s="720"/>
      <c r="VKY24" s="720"/>
      <c r="VKZ24" s="720"/>
      <c r="VLA24" s="720"/>
      <c r="VLB24" s="720"/>
      <c r="VLC24" s="720"/>
      <c r="VLD24" s="720"/>
      <c r="VLE24" s="720"/>
      <c r="VLF24" s="720"/>
      <c r="VLG24" s="720"/>
      <c r="VLH24" s="720"/>
      <c r="VLI24" s="720"/>
      <c r="VLJ24" s="720"/>
      <c r="VLK24" s="720"/>
      <c r="VLL24" s="720"/>
      <c r="VLM24" s="720"/>
      <c r="VLN24" s="720"/>
      <c r="VLO24" s="720"/>
      <c r="VLP24" s="720"/>
      <c r="VLQ24" s="720"/>
      <c r="VLR24" s="720"/>
      <c r="VLS24" s="720"/>
      <c r="VLT24" s="720"/>
      <c r="VLU24" s="720"/>
      <c r="VLV24" s="720"/>
      <c r="VLW24" s="720"/>
      <c r="VLX24" s="720"/>
      <c r="VLY24" s="720"/>
      <c r="VLZ24" s="720"/>
      <c r="VMA24" s="720"/>
      <c r="VMB24" s="720"/>
      <c r="VMC24" s="720"/>
      <c r="VMD24" s="720"/>
      <c r="VME24" s="720"/>
      <c r="VMF24" s="720"/>
      <c r="VMG24" s="720"/>
      <c r="VMH24" s="720"/>
      <c r="VMI24" s="720"/>
      <c r="VMJ24" s="720"/>
      <c r="VMK24" s="720"/>
      <c r="VML24" s="720"/>
      <c r="VMM24" s="720"/>
      <c r="VMN24" s="720"/>
      <c r="VMO24" s="720"/>
      <c r="VMP24" s="720"/>
      <c r="VMQ24" s="720"/>
      <c r="VMR24" s="720"/>
      <c r="VMS24" s="720"/>
      <c r="VMT24" s="720"/>
      <c r="VMU24" s="720"/>
      <c r="VMV24" s="720"/>
      <c r="VMW24" s="720"/>
      <c r="VMX24" s="720"/>
      <c r="VMY24" s="720"/>
      <c r="VMZ24" s="720"/>
      <c r="VNA24" s="720"/>
      <c r="VNB24" s="720"/>
      <c r="VNC24" s="720"/>
      <c r="VND24" s="720"/>
      <c r="VNE24" s="720"/>
      <c r="VNF24" s="720"/>
      <c r="VNG24" s="720"/>
      <c r="VNH24" s="720"/>
      <c r="VNI24" s="720"/>
      <c r="VNJ24" s="720"/>
      <c r="VNK24" s="720"/>
      <c r="VNL24" s="720"/>
      <c r="VNM24" s="720"/>
      <c r="VNN24" s="720"/>
      <c r="VNO24" s="720"/>
      <c r="VNP24" s="720"/>
      <c r="VNQ24" s="720"/>
      <c r="VNR24" s="720"/>
      <c r="VNS24" s="720"/>
      <c r="VNT24" s="720"/>
      <c r="VNU24" s="720"/>
      <c r="VNV24" s="720"/>
      <c r="VNW24" s="720"/>
      <c r="VNX24" s="720"/>
      <c r="VNY24" s="720"/>
      <c r="VNZ24" s="720"/>
      <c r="VOA24" s="720"/>
      <c r="VOB24" s="720"/>
      <c r="VOC24" s="720"/>
      <c r="VOD24" s="720"/>
      <c r="VOE24" s="720"/>
      <c r="VOF24" s="720"/>
      <c r="VOG24" s="720"/>
      <c r="VOH24" s="720"/>
      <c r="VOI24" s="720"/>
      <c r="VOJ24" s="720"/>
      <c r="VOK24" s="720"/>
      <c r="VOL24" s="720"/>
      <c r="VOM24" s="720"/>
      <c r="VON24" s="720"/>
      <c r="VOO24" s="720"/>
      <c r="VOP24" s="720"/>
      <c r="VOQ24" s="720"/>
      <c r="VOR24" s="720"/>
      <c r="VOS24" s="720"/>
      <c r="VOT24" s="720"/>
      <c r="VOU24" s="720"/>
      <c r="VOV24" s="720"/>
      <c r="VOW24" s="720"/>
      <c r="VOX24" s="720"/>
      <c r="VOY24" s="720"/>
      <c r="VOZ24" s="720"/>
      <c r="VPA24" s="720"/>
      <c r="VPB24" s="720"/>
      <c r="VPC24" s="720"/>
      <c r="VPD24" s="720"/>
      <c r="VPE24" s="720"/>
      <c r="VPF24" s="720"/>
      <c r="VPG24" s="720"/>
      <c r="VPH24" s="720"/>
      <c r="VPI24" s="720"/>
      <c r="VPJ24" s="720"/>
      <c r="VPK24" s="720"/>
      <c r="VPL24" s="720"/>
      <c r="VPM24" s="720"/>
      <c r="VPN24" s="720"/>
      <c r="VPO24" s="720"/>
      <c r="VPP24" s="720"/>
      <c r="VPQ24" s="720"/>
      <c r="VPR24" s="720"/>
      <c r="VPS24" s="720"/>
      <c r="VPT24" s="720"/>
      <c r="VPU24" s="720"/>
      <c r="VPV24" s="720"/>
      <c r="VPW24" s="720"/>
      <c r="VPX24" s="720"/>
      <c r="VPY24" s="720"/>
      <c r="VPZ24" s="720"/>
      <c r="VQA24" s="720"/>
      <c r="VQB24" s="720"/>
      <c r="VQC24" s="720"/>
      <c r="VQD24" s="720"/>
      <c r="VQE24" s="720"/>
      <c r="VQF24" s="720"/>
      <c r="VQG24" s="720"/>
      <c r="VQH24" s="720"/>
      <c r="VQI24" s="720"/>
      <c r="VQJ24" s="720"/>
      <c r="VQK24" s="720"/>
      <c r="VQL24" s="720"/>
      <c r="VQM24" s="720"/>
      <c r="VQN24" s="720"/>
      <c r="VQO24" s="720"/>
      <c r="VQP24" s="720"/>
      <c r="VQQ24" s="720"/>
      <c r="VQR24" s="720"/>
      <c r="VQS24" s="720"/>
      <c r="VQT24" s="720"/>
      <c r="VQU24" s="720"/>
      <c r="VQV24" s="720"/>
      <c r="VQW24" s="720"/>
      <c r="VQX24" s="720"/>
      <c r="VQY24" s="720"/>
      <c r="VQZ24" s="720"/>
      <c r="VRA24" s="720"/>
      <c r="VRB24" s="720"/>
      <c r="VRC24" s="720"/>
      <c r="VRD24" s="720"/>
      <c r="VRE24" s="720"/>
      <c r="VRF24" s="720"/>
      <c r="VRG24" s="720"/>
      <c r="VRH24" s="720"/>
      <c r="VRI24" s="720"/>
      <c r="VRJ24" s="720"/>
      <c r="VRK24" s="720"/>
      <c r="VRL24" s="720"/>
      <c r="VRM24" s="720"/>
      <c r="VRN24" s="720"/>
      <c r="VRO24" s="720"/>
      <c r="VRP24" s="720"/>
      <c r="VRQ24" s="720"/>
      <c r="VRR24" s="720"/>
      <c r="VRS24" s="720"/>
      <c r="VRT24" s="720"/>
      <c r="VRU24" s="720"/>
      <c r="VRV24" s="720"/>
      <c r="VRW24" s="720"/>
      <c r="VRX24" s="720"/>
      <c r="VRY24" s="720"/>
      <c r="VRZ24" s="720"/>
      <c r="VSA24" s="720"/>
      <c r="VSB24" s="720"/>
      <c r="VSC24" s="720"/>
      <c r="VSD24" s="720"/>
      <c r="VSE24" s="720"/>
      <c r="VSF24" s="720"/>
      <c r="VSG24" s="720"/>
      <c r="VSH24" s="720"/>
      <c r="VSI24" s="720"/>
      <c r="VSJ24" s="720"/>
      <c r="VSK24" s="720"/>
      <c r="VSL24" s="720"/>
      <c r="VSM24" s="720"/>
      <c r="VSN24" s="720"/>
      <c r="VSO24" s="720"/>
      <c r="VSP24" s="720"/>
      <c r="VSQ24" s="720"/>
      <c r="VSR24" s="720"/>
      <c r="VSS24" s="720"/>
      <c r="VST24" s="720"/>
      <c r="VSU24" s="720"/>
      <c r="VSV24" s="720"/>
      <c r="VSW24" s="720"/>
      <c r="VSX24" s="720"/>
      <c r="VSY24" s="720"/>
      <c r="VSZ24" s="720"/>
      <c r="VTA24" s="720"/>
      <c r="VTB24" s="720"/>
      <c r="VTC24" s="720"/>
      <c r="VTD24" s="720"/>
      <c r="VTE24" s="720"/>
      <c r="VTF24" s="720"/>
      <c r="VTG24" s="720"/>
      <c r="VTH24" s="720"/>
      <c r="VTI24" s="720"/>
      <c r="VTJ24" s="720"/>
      <c r="VTK24" s="720"/>
      <c r="VTL24" s="720"/>
      <c r="VTM24" s="720"/>
      <c r="VTN24" s="720"/>
      <c r="VTO24" s="720"/>
      <c r="VTP24" s="720"/>
      <c r="VTQ24" s="720"/>
      <c r="VTR24" s="720"/>
      <c r="VTS24" s="720"/>
      <c r="VTT24" s="720"/>
      <c r="VTU24" s="720"/>
      <c r="VTV24" s="720"/>
      <c r="VTW24" s="720"/>
      <c r="VTX24" s="720"/>
      <c r="VTY24" s="720"/>
      <c r="VTZ24" s="720"/>
      <c r="VUA24" s="720"/>
      <c r="VUB24" s="720"/>
      <c r="VUC24" s="720"/>
      <c r="VUD24" s="720"/>
      <c r="VUE24" s="720"/>
      <c r="VUF24" s="720"/>
      <c r="VUG24" s="720"/>
      <c r="VUH24" s="720"/>
      <c r="VUI24" s="720"/>
      <c r="VUJ24" s="720"/>
      <c r="VUK24" s="720"/>
      <c r="VUL24" s="720"/>
      <c r="VUM24" s="720"/>
      <c r="VUN24" s="720"/>
      <c r="VUO24" s="720"/>
      <c r="VUP24" s="720"/>
      <c r="VUQ24" s="720"/>
      <c r="VUR24" s="720"/>
      <c r="VUS24" s="720"/>
      <c r="VUT24" s="720"/>
      <c r="VUU24" s="720"/>
      <c r="VUV24" s="720"/>
      <c r="VUW24" s="720"/>
      <c r="VUX24" s="720"/>
      <c r="VUY24" s="720"/>
      <c r="VUZ24" s="720"/>
      <c r="VVA24" s="720"/>
      <c r="VVB24" s="720"/>
      <c r="VVC24" s="720"/>
      <c r="VVD24" s="720"/>
      <c r="VVE24" s="720"/>
      <c r="VVF24" s="720"/>
      <c r="VVG24" s="720"/>
      <c r="VVH24" s="720"/>
      <c r="VVI24" s="720"/>
      <c r="VVJ24" s="720"/>
      <c r="VVK24" s="720"/>
      <c r="VVL24" s="720"/>
      <c r="VVM24" s="720"/>
      <c r="VVN24" s="720"/>
      <c r="VVO24" s="720"/>
      <c r="VVP24" s="720"/>
      <c r="VVQ24" s="720"/>
      <c r="VVR24" s="720"/>
      <c r="VVS24" s="720"/>
      <c r="VVT24" s="720"/>
      <c r="VVU24" s="720"/>
      <c r="VVV24" s="720"/>
      <c r="VVW24" s="720"/>
      <c r="VVX24" s="720"/>
      <c r="VVY24" s="720"/>
      <c r="VVZ24" s="720"/>
      <c r="VWA24" s="720"/>
      <c r="VWB24" s="720"/>
      <c r="VWC24" s="720"/>
      <c r="VWD24" s="720"/>
      <c r="VWE24" s="720"/>
      <c r="VWF24" s="720"/>
      <c r="VWG24" s="720"/>
      <c r="VWH24" s="720"/>
      <c r="VWI24" s="720"/>
      <c r="VWJ24" s="720"/>
      <c r="VWK24" s="720"/>
      <c r="VWL24" s="720"/>
      <c r="VWM24" s="720"/>
      <c r="VWN24" s="720"/>
      <c r="VWO24" s="720"/>
      <c r="VWP24" s="720"/>
      <c r="VWQ24" s="720"/>
      <c r="VWR24" s="720"/>
      <c r="VWS24" s="720"/>
      <c r="VWT24" s="720"/>
      <c r="VWU24" s="720"/>
      <c r="VWV24" s="720"/>
      <c r="VWW24" s="720"/>
      <c r="VWX24" s="720"/>
      <c r="VWY24" s="720"/>
      <c r="VWZ24" s="720"/>
      <c r="VXA24" s="720"/>
      <c r="VXB24" s="720"/>
      <c r="VXC24" s="720"/>
      <c r="VXD24" s="720"/>
      <c r="VXE24" s="720"/>
      <c r="VXF24" s="720"/>
      <c r="VXG24" s="720"/>
      <c r="VXH24" s="720"/>
      <c r="VXI24" s="720"/>
      <c r="VXJ24" s="720"/>
      <c r="VXK24" s="720"/>
      <c r="VXL24" s="720"/>
      <c r="VXM24" s="720"/>
      <c r="VXN24" s="720"/>
      <c r="VXO24" s="720"/>
      <c r="VXP24" s="720"/>
      <c r="VXQ24" s="720"/>
      <c r="VXR24" s="720"/>
      <c r="VXS24" s="720"/>
      <c r="VXT24" s="720"/>
      <c r="VXU24" s="720"/>
      <c r="VXV24" s="720"/>
      <c r="VXW24" s="720"/>
      <c r="VXX24" s="720"/>
      <c r="VXY24" s="720"/>
      <c r="VXZ24" s="720"/>
      <c r="VYA24" s="720"/>
      <c r="VYB24" s="720"/>
      <c r="VYC24" s="720"/>
      <c r="VYD24" s="720"/>
      <c r="VYE24" s="720"/>
      <c r="VYF24" s="720"/>
      <c r="VYG24" s="720"/>
      <c r="VYH24" s="720"/>
      <c r="VYI24" s="720"/>
      <c r="VYJ24" s="720"/>
      <c r="VYK24" s="720"/>
      <c r="VYL24" s="720"/>
      <c r="VYM24" s="720"/>
      <c r="VYN24" s="720"/>
      <c r="VYO24" s="720"/>
      <c r="VYP24" s="720"/>
      <c r="VYQ24" s="720"/>
      <c r="VYR24" s="720"/>
      <c r="VYS24" s="720"/>
      <c r="VYT24" s="720"/>
      <c r="VYU24" s="720"/>
      <c r="VYV24" s="720"/>
      <c r="VYW24" s="720"/>
      <c r="VYX24" s="720"/>
      <c r="VYY24" s="720"/>
      <c r="VYZ24" s="720"/>
      <c r="VZA24" s="720"/>
      <c r="VZB24" s="720"/>
      <c r="VZC24" s="720"/>
      <c r="VZD24" s="720"/>
      <c r="VZE24" s="720"/>
      <c r="VZF24" s="720"/>
      <c r="VZG24" s="720"/>
      <c r="VZH24" s="720"/>
      <c r="VZI24" s="720"/>
      <c r="VZJ24" s="720"/>
      <c r="VZK24" s="720"/>
      <c r="VZL24" s="720"/>
      <c r="VZM24" s="720"/>
      <c r="VZN24" s="720"/>
      <c r="VZO24" s="720"/>
      <c r="VZP24" s="720"/>
      <c r="VZQ24" s="720"/>
      <c r="VZR24" s="720"/>
      <c r="VZS24" s="720"/>
      <c r="VZT24" s="720"/>
      <c r="VZU24" s="720"/>
      <c r="VZV24" s="720"/>
      <c r="VZW24" s="720"/>
      <c r="VZX24" s="720"/>
      <c r="VZY24" s="720"/>
      <c r="VZZ24" s="720"/>
      <c r="WAA24" s="720"/>
      <c r="WAB24" s="720"/>
      <c r="WAC24" s="720"/>
      <c r="WAD24" s="720"/>
      <c r="WAE24" s="720"/>
      <c r="WAF24" s="720"/>
      <c r="WAG24" s="720"/>
      <c r="WAH24" s="720"/>
      <c r="WAI24" s="720"/>
      <c r="WAJ24" s="720"/>
      <c r="WAK24" s="720"/>
      <c r="WAL24" s="720"/>
      <c r="WAM24" s="720"/>
      <c r="WAN24" s="720"/>
      <c r="WAO24" s="720"/>
      <c r="WAP24" s="720"/>
      <c r="WAQ24" s="720"/>
      <c r="WAR24" s="720"/>
      <c r="WAS24" s="720"/>
      <c r="WAT24" s="720"/>
      <c r="WAU24" s="720"/>
      <c r="WAV24" s="720"/>
      <c r="WAW24" s="720"/>
      <c r="WAX24" s="720"/>
      <c r="WAY24" s="720"/>
      <c r="WAZ24" s="720"/>
      <c r="WBA24" s="720"/>
      <c r="WBB24" s="720"/>
      <c r="WBC24" s="720"/>
      <c r="WBD24" s="720"/>
      <c r="WBE24" s="720"/>
      <c r="WBF24" s="720"/>
      <c r="WBG24" s="720"/>
      <c r="WBH24" s="720"/>
      <c r="WBI24" s="720"/>
      <c r="WBJ24" s="720"/>
      <c r="WBK24" s="720"/>
      <c r="WBL24" s="720"/>
      <c r="WBM24" s="720"/>
      <c r="WBN24" s="720"/>
      <c r="WBO24" s="720"/>
      <c r="WBP24" s="720"/>
      <c r="WBQ24" s="720"/>
      <c r="WBR24" s="720"/>
      <c r="WBS24" s="720"/>
      <c r="WBT24" s="720"/>
      <c r="WBU24" s="720"/>
      <c r="WBV24" s="720"/>
      <c r="WBW24" s="720"/>
      <c r="WBX24" s="720"/>
      <c r="WBY24" s="720"/>
      <c r="WBZ24" s="720"/>
      <c r="WCA24" s="720"/>
      <c r="WCB24" s="720"/>
      <c r="WCC24" s="720"/>
      <c r="WCD24" s="720"/>
      <c r="WCE24" s="720"/>
      <c r="WCF24" s="720"/>
      <c r="WCG24" s="720"/>
      <c r="WCH24" s="720"/>
      <c r="WCI24" s="720"/>
      <c r="WCJ24" s="720"/>
      <c r="WCK24" s="720"/>
      <c r="WCL24" s="720"/>
      <c r="WCM24" s="720"/>
      <c r="WCN24" s="720"/>
      <c r="WCO24" s="720"/>
      <c r="WCP24" s="720"/>
      <c r="WCQ24" s="720"/>
      <c r="WCR24" s="720"/>
      <c r="WCS24" s="720"/>
      <c r="WCT24" s="720"/>
      <c r="WCU24" s="720"/>
      <c r="WCV24" s="720"/>
      <c r="WCW24" s="720"/>
      <c r="WCX24" s="720"/>
      <c r="WCY24" s="720"/>
      <c r="WCZ24" s="720"/>
      <c r="WDA24" s="720"/>
      <c r="WDB24" s="720"/>
      <c r="WDC24" s="720"/>
      <c r="WDD24" s="720"/>
      <c r="WDE24" s="720"/>
      <c r="WDF24" s="720"/>
      <c r="WDG24" s="720"/>
      <c r="WDH24" s="720"/>
      <c r="WDI24" s="720"/>
      <c r="WDJ24" s="720"/>
      <c r="WDK24" s="720"/>
      <c r="WDL24" s="720"/>
      <c r="WDM24" s="720"/>
      <c r="WDN24" s="720"/>
      <c r="WDO24" s="720"/>
      <c r="WDP24" s="720"/>
      <c r="WDQ24" s="720"/>
      <c r="WDR24" s="720"/>
      <c r="WDS24" s="720"/>
      <c r="WDT24" s="720"/>
      <c r="WDU24" s="720"/>
      <c r="WDV24" s="720"/>
      <c r="WDW24" s="720"/>
      <c r="WDX24" s="720"/>
      <c r="WDY24" s="720"/>
      <c r="WDZ24" s="720"/>
      <c r="WEA24" s="720"/>
      <c r="WEB24" s="720"/>
      <c r="WEC24" s="720"/>
      <c r="WED24" s="720"/>
      <c r="WEE24" s="720"/>
      <c r="WEF24" s="720"/>
      <c r="WEG24" s="720"/>
      <c r="WEH24" s="720"/>
      <c r="WEI24" s="720"/>
      <c r="WEJ24" s="720"/>
      <c r="WEK24" s="720"/>
      <c r="WEL24" s="720"/>
      <c r="WEM24" s="720"/>
      <c r="WEN24" s="720"/>
      <c r="WEO24" s="720"/>
      <c r="WEP24" s="720"/>
      <c r="WEQ24" s="720"/>
      <c r="WER24" s="720"/>
      <c r="WES24" s="720"/>
      <c r="WET24" s="720"/>
      <c r="WEU24" s="720"/>
      <c r="WEV24" s="720"/>
      <c r="WEW24" s="720"/>
      <c r="WEX24" s="720"/>
      <c r="WEY24" s="720"/>
      <c r="WEZ24" s="720"/>
      <c r="WFA24" s="720"/>
      <c r="WFB24" s="720"/>
      <c r="WFC24" s="720"/>
      <c r="WFD24" s="720"/>
      <c r="WFE24" s="720"/>
      <c r="WFF24" s="720"/>
      <c r="WFG24" s="720"/>
      <c r="WFH24" s="720"/>
      <c r="WFI24" s="720"/>
      <c r="WFJ24" s="720"/>
      <c r="WFK24" s="720"/>
      <c r="WFL24" s="720"/>
      <c r="WFM24" s="720"/>
      <c r="WFN24" s="720"/>
      <c r="WFO24" s="720"/>
      <c r="WFP24" s="720"/>
      <c r="WFQ24" s="720"/>
      <c r="WFR24" s="720"/>
      <c r="WFS24" s="720"/>
      <c r="WFT24" s="720"/>
      <c r="WFU24" s="720"/>
      <c r="WFV24" s="720"/>
      <c r="WFW24" s="720"/>
      <c r="WFX24" s="720"/>
      <c r="WFY24" s="720"/>
      <c r="WFZ24" s="720"/>
      <c r="WGA24" s="720"/>
      <c r="WGB24" s="720"/>
      <c r="WGC24" s="720"/>
      <c r="WGD24" s="720"/>
      <c r="WGE24" s="720"/>
      <c r="WGF24" s="720"/>
      <c r="WGG24" s="720"/>
      <c r="WGH24" s="720"/>
      <c r="WGI24" s="720"/>
      <c r="WGJ24" s="720"/>
      <c r="WGK24" s="720"/>
      <c r="WGL24" s="720"/>
      <c r="WGM24" s="720"/>
      <c r="WGN24" s="720"/>
      <c r="WGO24" s="720"/>
      <c r="WGP24" s="720"/>
      <c r="WGQ24" s="720"/>
      <c r="WGR24" s="720"/>
      <c r="WGS24" s="720"/>
      <c r="WGT24" s="720"/>
      <c r="WGU24" s="720"/>
      <c r="WGV24" s="720"/>
      <c r="WGW24" s="720"/>
      <c r="WGX24" s="720"/>
      <c r="WGY24" s="720"/>
      <c r="WGZ24" s="720"/>
      <c r="WHA24" s="720"/>
      <c r="WHB24" s="720"/>
      <c r="WHC24" s="720"/>
      <c r="WHD24" s="720"/>
      <c r="WHE24" s="720"/>
      <c r="WHF24" s="720"/>
      <c r="WHG24" s="720"/>
      <c r="WHH24" s="720"/>
      <c r="WHI24" s="720"/>
      <c r="WHJ24" s="720"/>
      <c r="WHK24" s="720"/>
      <c r="WHL24" s="720"/>
      <c r="WHM24" s="720"/>
      <c r="WHN24" s="720"/>
      <c r="WHO24" s="720"/>
      <c r="WHP24" s="720"/>
      <c r="WHQ24" s="720"/>
      <c r="WHR24" s="720"/>
      <c r="WHS24" s="720"/>
      <c r="WHT24" s="720"/>
      <c r="WHU24" s="720"/>
      <c r="WHV24" s="720"/>
      <c r="WHW24" s="720"/>
      <c r="WHX24" s="720"/>
      <c r="WHY24" s="720"/>
      <c r="WHZ24" s="720"/>
      <c r="WIA24" s="720"/>
      <c r="WIB24" s="720"/>
      <c r="WIC24" s="720"/>
      <c r="WID24" s="720"/>
      <c r="WIE24" s="720"/>
      <c r="WIF24" s="720"/>
      <c r="WIG24" s="720"/>
      <c r="WIH24" s="720"/>
      <c r="WII24" s="720"/>
      <c r="WIJ24" s="720"/>
      <c r="WIK24" s="720"/>
      <c r="WIL24" s="720"/>
      <c r="WIM24" s="720"/>
      <c r="WIN24" s="720"/>
      <c r="WIO24" s="720"/>
      <c r="WIP24" s="720"/>
      <c r="WIQ24" s="720"/>
      <c r="WIR24" s="720"/>
      <c r="WIS24" s="720"/>
      <c r="WIT24" s="720"/>
      <c r="WIU24" s="720"/>
      <c r="WIV24" s="720"/>
      <c r="WIW24" s="720"/>
      <c r="WIX24" s="720"/>
      <c r="WIY24" s="720"/>
      <c r="WIZ24" s="720"/>
      <c r="WJA24" s="720"/>
      <c r="WJB24" s="720"/>
      <c r="WJC24" s="720"/>
      <c r="WJD24" s="720"/>
      <c r="WJE24" s="720"/>
      <c r="WJF24" s="720"/>
      <c r="WJG24" s="720"/>
      <c r="WJH24" s="720"/>
      <c r="WJI24" s="720"/>
      <c r="WJJ24" s="720"/>
      <c r="WJK24" s="720"/>
      <c r="WJL24" s="720"/>
      <c r="WJM24" s="720"/>
      <c r="WJN24" s="720"/>
      <c r="WJO24" s="720"/>
      <c r="WJP24" s="720"/>
      <c r="WJQ24" s="720"/>
      <c r="WJR24" s="720"/>
      <c r="WJS24" s="720"/>
      <c r="WJT24" s="720"/>
      <c r="WJU24" s="720"/>
      <c r="WJV24" s="720"/>
      <c r="WJW24" s="720"/>
      <c r="WJX24" s="720"/>
      <c r="WJY24" s="720"/>
      <c r="WJZ24" s="720"/>
      <c r="WKA24" s="720"/>
      <c r="WKB24" s="720"/>
      <c r="WKC24" s="720"/>
      <c r="WKD24" s="720"/>
      <c r="WKE24" s="720"/>
      <c r="WKF24" s="720"/>
      <c r="WKG24" s="720"/>
      <c r="WKH24" s="720"/>
      <c r="WKI24" s="720"/>
      <c r="WKJ24" s="720"/>
      <c r="WKK24" s="720"/>
      <c r="WKL24" s="720"/>
      <c r="WKM24" s="720"/>
      <c r="WKN24" s="720"/>
      <c r="WKO24" s="720"/>
      <c r="WKP24" s="720"/>
      <c r="WKQ24" s="720"/>
      <c r="WKR24" s="720"/>
      <c r="WKS24" s="720"/>
      <c r="WKT24" s="720"/>
      <c r="WKU24" s="720"/>
      <c r="WKV24" s="720"/>
      <c r="WKW24" s="720"/>
      <c r="WKX24" s="720"/>
      <c r="WKY24" s="720"/>
      <c r="WKZ24" s="720"/>
      <c r="WLA24" s="720"/>
      <c r="WLB24" s="720"/>
      <c r="WLC24" s="720"/>
      <c r="WLD24" s="720"/>
      <c r="WLE24" s="720"/>
      <c r="WLF24" s="720"/>
      <c r="WLG24" s="720"/>
      <c r="WLH24" s="720"/>
      <c r="WLI24" s="720"/>
      <c r="WLJ24" s="720"/>
      <c r="WLK24" s="720"/>
      <c r="WLL24" s="720"/>
      <c r="WLM24" s="720"/>
      <c r="WLN24" s="720"/>
      <c r="WLO24" s="720"/>
      <c r="WLP24" s="720"/>
      <c r="WLQ24" s="720"/>
      <c r="WLR24" s="720"/>
      <c r="WLS24" s="720"/>
      <c r="WLT24" s="720"/>
      <c r="WLU24" s="720"/>
      <c r="WLV24" s="720"/>
      <c r="WLW24" s="720"/>
      <c r="WLX24" s="720"/>
      <c r="WLY24" s="720"/>
      <c r="WLZ24" s="720"/>
      <c r="WMA24" s="720"/>
      <c r="WMB24" s="720"/>
      <c r="WMC24" s="720"/>
      <c r="WMD24" s="720"/>
      <c r="WME24" s="720"/>
      <c r="WMF24" s="720"/>
      <c r="WMG24" s="720"/>
      <c r="WMH24" s="720"/>
      <c r="WMI24" s="720"/>
      <c r="WMJ24" s="720"/>
      <c r="WMK24" s="720"/>
      <c r="WML24" s="720"/>
      <c r="WMM24" s="720"/>
      <c r="WMN24" s="720"/>
      <c r="WMO24" s="720"/>
      <c r="WMP24" s="720"/>
      <c r="WMQ24" s="720"/>
      <c r="WMR24" s="720"/>
      <c r="WMS24" s="720"/>
      <c r="WMT24" s="720"/>
      <c r="WMU24" s="720"/>
      <c r="WMV24" s="720"/>
      <c r="WMW24" s="720"/>
      <c r="WMX24" s="720"/>
      <c r="WMY24" s="720"/>
      <c r="WMZ24" s="720"/>
      <c r="WNA24" s="720"/>
      <c r="WNB24" s="720"/>
      <c r="WNC24" s="720"/>
      <c r="WND24" s="720"/>
      <c r="WNE24" s="720"/>
      <c r="WNF24" s="720"/>
      <c r="WNG24" s="720"/>
      <c r="WNH24" s="720"/>
      <c r="WNI24" s="720"/>
      <c r="WNJ24" s="720"/>
      <c r="WNK24" s="720"/>
      <c r="WNL24" s="720"/>
      <c r="WNM24" s="720"/>
      <c r="WNN24" s="720"/>
      <c r="WNO24" s="720"/>
      <c r="WNP24" s="720"/>
      <c r="WNQ24" s="720"/>
      <c r="WNR24" s="720"/>
      <c r="WNS24" s="720"/>
      <c r="WNT24" s="720"/>
      <c r="WNU24" s="720"/>
      <c r="WNV24" s="720"/>
      <c r="WNW24" s="720"/>
      <c r="WNX24" s="720"/>
      <c r="WNY24" s="720"/>
      <c r="WNZ24" s="720"/>
      <c r="WOA24" s="720"/>
      <c r="WOB24" s="720"/>
      <c r="WOC24" s="720"/>
      <c r="WOD24" s="720"/>
      <c r="WOE24" s="720"/>
      <c r="WOF24" s="720"/>
      <c r="WOG24" s="720"/>
      <c r="WOH24" s="720"/>
      <c r="WOI24" s="720"/>
      <c r="WOJ24" s="720"/>
      <c r="WOK24" s="720"/>
      <c r="WOL24" s="720"/>
      <c r="WOM24" s="720"/>
      <c r="WON24" s="720"/>
      <c r="WOO24" s="720"/>
      <c r="WOP24" s="720"/>
      <c r="WOQ24" s="720"/>
      <c r="WOR24" s="720"/>
      <c r="WOS24" s="720"/>
      <c r="WOT24" s="720"/>
      <c r="WOU24" s="720"/>
      <c r="WOV24" s="720"/>
      <c r="WOW24" s="720"/>
      <c r="WOX24" s="720"/>
      <c r="WOY24" s="720"/>
      <c r="WOZ24" s="720"/>
      <c r="WPA24" s="720"/>
      <c r="WPB24" s="720"/>
      <c r="WPC24" s="720"/>
      <c r="WPD24" s="720"/>
      <c r="WPE24" s="720"/>
      <c r="WPF24" s="720"/>
      <c r="WPG24" s="720"/>
      <c r="WPH24" s="720"/>
      <c r="WPI24" s="720"/>
      <c r="WPJ24" s="720"/>
      <c r="WPK24" s="720"/>
      <c r="WPL24" s="720"/>
      <c r="WPM24" s="720"/>
      <c r="WPN24" s="720"/>
      <c r="WPO24" s="720"/>
      <c r="WPP24" s="720"/>
      <c r="WPQ24" s="720"/>
      <c r="WPR24" s="720"/>
      <c r="WPS24" s="720"/>
      <c r="WPT24" s="720"/>
      <c r="WPU24" s="720"/>
      <c r="WPV24" s="720"/>
      <c r="WPW24" s="720"/>
      <c r="WPX24" s="720"/>
      <c r="WPY24" s="720"/>
      <c r="WPZ24" s="720"/>
      <c r="WQA24" s="720"/>
      <c r="WQB24" s="720"/>
      <c r="WQC24" s="720"/>
      <c r="WQD24" s="720"/>
      <c r="WQE24" s="720"/>
      <c r="WQF24" s="720"/>
      <c r="WQG24" s="720"/>
      <c r="WQH24" s="720"/>
      <c r="WQI24" s="720"/>
      <c r="WQJ24" s="720"/>
      <c r="WQK24" s="720"/>
      <c r="WQL24" s="720"/>
      <c r="WQM24" s="720"/>
      <c r="WQN24" s="720"/>
      <c r="WQO24" s="720"/>
      <c r="WQP24" s="720"/>
      <c r="WQQ24" s="720"/>
      <c r="WQR24" s="720"/>
      <c r="WQS24" s="720"/>
      <c r="WQT24" s="720"/>
      <c r="WQU24" s="720"/>
      <c r="WQV24" s="720"/>
      <c r="WQW24" s="720"/>
      <c r="WQX24" s="720"/>
      <c r="WQY24" s="720"/>
      <c r="WQZ24" s="720"/>
      <c r="WRA24" s="720"/>
      <c r="WRB24" s="720"/>
      <c r="WRC24" s="720"/>
      <c r="WRD24" s="720"/>
      <c r="WRE24" s="720"/>
      <c r="WRF24" s="720"/>
      <c r="WRG24" s="720"/>
      <c r="WRH24" s="720"/>
      <c r="WRI24" s="720"/>
      <c r="WRJ24" s="720"/>
      <c r="WRK24" s="720"/>
      <c r="WRL24" s="720"/>
      <c r="WRM24" s="720"/>
      <c r="WRN24" s="720"/>
      <c r="WRO24" s="720"/>
      <c r="WRP24" s="720"/>
      <c r="WRQ24" s="720"/>
      <c r="WRR24" s="720"/>
      <c r="WRS24" s="720"/>
      <c r="WRT24" s="720"/>
      <c r="WRU24" s="720"/>
      <c r="WRV24" s="720"/>
      <c r="WRW24" s="720"/>
      <c r="WRX24" s="720"/>
      <c r="WRY24" s="720"/>
      <c r="WRZ24" s="720"/>
      <c r="WSA24" s="720"/>
      <c r="WSB24" s="720"/>
      <c r="WSC24" s="720"/>
      <c r="WSD24" s="720"/>
      <c r="WSE24" s="720"/>
      <c r="WSF24" s="720"/>
      <c r="WSG24" s="720"/>
      <c r="WSH24" s="720"/>
      <c r="WSI24" s="720"/>
      <c r="WSJ24" s="720"/>
      <c r="WSK24" s="720"/>
      <c r="WSL24" s="720"/>
      <c r="WSM24" s="720"/>
      <c r="WSN24" s="720"/>
      <c r="WSO24" s="720"/>
      <c r="WSP24" s="720"/>
      <c r="WSQ24" s="720"/>
      <c r="WSR24" s="720"/>
      <c r="WSS24" s="720"/>
      <c r="WST24" s="720"/>
      <c r="WSU24" s="720"/>
      <c r="WSV24" s="720"/>
      <c r="WSW24" s="720"/>
      <c r="WSX24" s="720"/>
      <c r="WSY24" s="720"/>
      <c r="WSZ24" s="720"/>
      <c r="WTA24" s="720"/>
      <c r="WTB24" s="720"/>
      <c r="WTC24" s="720"/>
      <c r="WTD24" s="720"/>
      <c r="WTE24" s="720"/>
      <c r="WTF24" s="720"/>
      <c r="WTG24" s="720"/>
      <c r="WTH24" s="720"/>
      <c r="WTI24" s="720"/>
      <c r="WTJ24" s="720"/>
      <c r="WTK24" s="720"/>
      <c r="WTL24" s="720"/>
      <c r="WTM24" s="720"/>
      <c r="WTN24" s="720"/>
      <c r="WTO24" s="720"/>
      <c r="WTP24" s="720"/>
      <c r="WTQ24" s="720"/>
      <c r="WTR24" s="720"/>
      <c r="WTS24" s="720"/>
      <c r="WTT24" s="720"/>
      <c r="WTU24" s="720"/>
      <c r="WTV24" s="720"/>
      <c r="WTW24" s="720"/>
      <c r="WTX24" s="720"/>
      <c r="WTY24" s="720"/>
      <c r="WTZ24" s="720"/>
      <c r="WUA24" s="720"/>
      <c r="WUB24" s="720"/>
      <c r="WUC24" s="720"/>
      <c r="WUD24" s="720"/>
      <c r="WUE24" s="720"/>
      <c r="WUF24" s="720"/>
      <c r="WUG24" s="720"/>
      <c r="WUH24" s="720"/>
      <c r="WUI24" s="720"/>
      <c r="WUJ24" s="720"/>
      <c r="WUK24" s="720"/>
      <c r="WUL24" s="720"/>
      <c r="WUM24" s="720"/>
      <c r="WUN24" s="720"/>
      <c r="WUO24" s="720"/>
      <c r="WUP24" s="720"/>
      <c r="WUQ24" s="720"/>
      <c r="WUR24" s="720"/>
      <c r="WUS24" s="720"/>
      <c r="WUT24" s="720"/>
      <c r="WUU24" s="720"/>
      <c r="WUV24" s="720"/>
      <c r="WUW24" s="720"/>
      <c r="WUX24" s="720"/>
      <c r="WUY24" s="720"/>
      <c r="WUZ24" s="720"/>
      <c r="WVA24" s="720"/>
      <c r="WVB24" s="720"/>
      <c r="WVC24" s="720"/>
      <c r="WVD24" s="720"/>
      <c r="WVE24" s="720"/>
      <c r="WVF24" s="720"/>
      <c r="WVG24" s="720"/>
      <c r="WVH24" s="720"/>
      <c r="WVI24" s="720"/>
      <c r="WVJ24" s="720"/>
      <c r="WVK24" s="720"/>
      <c r="WVL24" s="720"/>
      <c r="WVM24" s="720"/>
      <c r="WVN24" s="720"/>
      <c r="WVO24" s="720"/>
      <c r="WVP24" s="720"/>
      <c r="WVQ24" s="720"/>
      <c r="WVR24" s="720"/>
      <c r="WVS24" s="720"/>
      <c r="WVT24" s="720"/>
      <c r="WVU24" s="720"/>
      <c r="WVV24" s="720"/>
      <c r="WVW24" s="720"/>
      <c r="WVX24" s="720"/>
      <c r="WVY24" s="720"/>
      <c r="WVZ24" s="720"/>
      <c r="WWA24" s="720"/>
      <c r="WWB24" s="720"/>
      <c r="WWC24" s="720"/>
      <c r="WWD24" s="720"/>
      <c r="WWE24" s="720"/>
      <c r="WWF24" s="720"/>
      <c r="WWG24" s="720"/>
      <c r="WWH24" s="720"/>
      <c r="WWI24" s="720"/>
      <c r="WWJ24" s="720"/>
      <c r="WWK24" s="720"/>
      <c r="WWL24" s="720"/>
      <c r="WWM24" s="720"/>
      <c r="WWN24" s="720"/>
      <c r="WWO24" s="720"/>
      <c r="WWP24" s="720"/>
      <c r="WWQ24" s="720"/>
      <c r="WWR24" s="720"/>
      <c r="WWS24" s="720"/>
      <c r="WWT24" s="720"/>
      <c r="WWU24" s="720"/>
      <c r="WWV24" s="720"/>
      <c r="WWW24" s="720"/>
      <c r="WWX24" s="720"/>
      <c r="WWY24" s="720"/>
      <c r="WWZ24" s="720"/>
      <c r="WXA24" s="720"/>
      <c r="WXB24" s="720"/>
      <c r="WXC24" s="720"/>
      <c r="WXD24" s="720"/>
      <c r="WXE24" s="720"/>
      <c r="WXF24" s="720"/>
      <c r="WXG24" s="720"/>
      <c r="WXH24" s="720"/>
      <c r="WXI24" s="720"/>
      <c r="WXJ24" s="720"/>
      <c r="WXK24" s="720"/>
      <c r="WXL24" s="720"/>
      <c r="WXM24" s="720"/>
      <c r="WXN24" s="720"/>
      <c r="WXO24" s="720"/>
      <c r="WXP24" s="720"/>
      <c r="WXQ24" s="720"/>
      <c r="WXR24" s="720"/>
      <c r="WXS24" s="720"/>
      <c r="WXT24" s="720"/>
      <c r="WXU24" s="720"/>
      <c r="WXV24" s="720"/>
      <c r="WXW24" s="720"/>
      <c r="WXX24" s="720"/>
      <c r="WXY24" s="720"/>
      <c r="WXZ24" s="720"/>
      <c r="WYA24" s="720"/>
      <c r="WYB24" s="720"/>
      <c r="WYC24" s="720"/>
      <c r="WYD24" s="720"/>
      <c r="WYE24" s="720"/>
      <c r="WYF24" s="720"/>
      <c r="WYG24" s="720"/>
      <c r="WYH24" s="720"/>
      <c r="WYI24" s="720"/>
      <c r="WYJ24" s="720"/>
      <c r="WYK24" s="720"/>
      <c r="WYL24" s="720"/>
      <c r="WYM24" s="720"/>
      <c r="WYN24" s="720"/>
      <c r="WYO24" s="720"/>
      <c r="WYP24" s="720"/>
      <c r="WYQ24" s="720"/>
      <c r="WYR24" s="720"/>
      <c r="WYS24" s="720"/>
      <c r="WYT24" s="720"/>
      <c r="WYU24" s="720"/>
      <c r="WYV24" s="720"/>
      <c r="WYW24" s="720"/>
      <c r="WYX24" s="720"/>
      <c r="WYY24" s="720"/>
      <c r="WYZ24" s="720"/>
      <c r="WZA24" s="720"/>
      <c r="WZB24" s="720"/>
      <c r="WZC24" s="720"/>
      <c r="WZD24" s="720"/>
      <c r="WZE24" s="720"/>
      <c r="WZF24" s="720"/>
      <c r="WZG24" s="720"/>
      <c r="WZH24" s="720"/>
      <c r="WZI24" s="720"/>
      <c r="WZJ24" s="720"/>
      <c r="WZK24" s="720"/>
      <c r="WZL24" s="720"/>
      <c r="WZM24" s="720"/>
      <c r="WZN24" s="720"/>
      <c r="WZO24" s="720"/>
      <c r="WZP24" s="720"/>
      <c r="WZQ24" s="720"/>
      <c r="WZR24" s="720"/>
      <c r="WZS24" s="720"/>
      <c r="WZT24" s="720"/>
      <c r="WZU24" s="720"/>
      <c r="WZV24" s="720"/>
      <c r="WZW24" s="720"/>
      <c r="WZX24" s="720"/>
      <c r="WZY24" s="720"/>
      <c r="WZZ24" s="720"/>
      <c r="XAA24" s="720"/>
      <c r="XAB24" s="720"/>
      <c r="XAC24" s="720"/>
      <c r="XAD24" s="720"/>
      <c r="XAE24" s="720"/>
      <c r="XAF24" s="720"/>
      <c r="XAG24" s="720"/>
      <c r="XAH24" s="720"/>
      <c r="XAI24" s="720"/>
      <c r="XAJ24" s="720"/>
      <c r="XAK24" s="720"/>
      <c r="XAL24" s="720"/>
      <c r="XAM24" s="720"/>
      <c r="XAN24" s="720"/>
      <c r="XAO24" s="720"/>
      <c r="XAP24" s="720"/>
      <c r="XAQ24" s="720"/>
      <c r="XAR24" s="720"/>
      <c r="XAS24" s="720"/>
      <c r="XAT24" s="720"/>
      <c r="XAU24" s="720"/>
      <c r="XAV24" s="720"/>
      <c r="XAW24" s="720"/>
      <c r="XAX24" s="720"/>
      <c r="XAY24" s="720"/>
      <c r="XAZ24" s="720"/>
      <c r="XBA24" s="720"/>
      <c r="XBB24" s="720"/>
      <c r="XBC24" s="720"/>
      <c r="XBD24" s="720"/>
      <c r="XBE24" s="720"/>
      <c r="XBF24" s="720"/>
      <c r="XBG24" s="720"/>
      <c r="XBH24" s="720"/>
      <c r="XBI24" s="720"/>
      <c r="XBJ24" s="720"/>
      <c r="XBK24" s="720"/>
      <c r="XBL24" s="720"/>
      <c r="XBM24" s="720"/>
      <c r="XBN24" s="720"/>
      <c r="XBO24" s="720"/>
      <c r="XBP24" s="720"/>
      <c r="XBQ24" s="720"/>
      <c r="XBR24" s="720"/>
      <c r="XBS24" s="720"/>
      <c r="XBT24" s="720"/>
      <c r="XBU24" s="720"/>
      <c r="XBV24" s="720"/>
      <c r="XBW24" s="720"/>
      <c r="XBX24" s="720"/>
      <c r="XBY24" s="720"/>
      <c r="XBZ24" s="720"/>
      <c r="XCA24" s="720"/>
      <c r="XCB24" s="720"/>
      <c r="XCC24" s="720"/>
      <c r="XCD24" s="720"/>
      <c r="XCE24" s="720"/>
      <c r="XCF24" s="720"/>
      <c r="XCG24" s="720"/>
      <c r="XCH24" s="720"/>
      <c r="XCI24" s="720"/>
      <c r="XCJ24" s="720"/>
      <c r="XCK24" s="720"/>
      <c r="XCL24" s="720"/>
      <c r="XCM24" s="720"/>
      <c r="XCN24" s="720"/>
      <c r="XCO24" s="720"/>
      <c r="XCP24" s="720"/>
      <c r="XCQ24" s="720"/>
      <c r="XCR24" s="720"/>
      <c r="XCS24" s="720"/>
      <c r="XCT24" s="720"/>
      <c r="XCU24" s="720"/>
      <c r="XCV24" s="720"/>
      <c r="XCW24" s="720"/>
      <c r="XCX24" s="720"/>
      <c r="XCY24" s="720"/>
      <c r="XCZ24" s="720"/>
      <c r="XDA24" s="720"/>
      <c r="XDB24" s="720"/>
      <c r="XDC24" s="720"/>
      <c r="XDD24" s="720"/>
      <c r="XDE24" s="720"/>
      <c r="XDF24" s="720"/>
      <c r="XDG24" s="720"/>
      <c r="XDH24" s="720"/>
      <c r="XDI24" s="720"/>
      <c r="XDJ24" s="720"/>
      <c r="XDK24" s="720"/>
      <c r="XDL24" s="720"/>
      <c r="XDM24" s="720"/>
      <c r="XDN24" s="720"/>
      <c r="XDO24" s="720"/>
      <c r="XDP24" s="720"/>
      <c r="XDQ24" s="720"/>
      <c r="XDR24" s="720"/>
      <c r="XDS24" s="720"/>
      <c r="XDT24" s="720"/>
      <c r="XDU24" s="720"/>
      <c r="XDV24" s="720"/>
      <c r="XDW24" s="720"/>
      <c r="XDX24" s="720"/>
      <c r="XDY24" s="720"/>
      <c r="XDZ24" s="720"/>
      <c r="XEA24" s="720"/>
      <c r="XEB24" s="720"/>
      <c r="XEC24" s="720"/>
      <c r="XED24" s="720"/>
      <c r="XEE24" s="720"/>
      <c r="XEF24" s="720"/>
      <c r="XEG24" s="720"/>
      <c r="XEH24" s="720"/>
      <c r="XEI24" s="720"/>
      <c r="XEJ24" s="720"/>
      <c r="XEK24" s="720"/>
      <c r="XEL24" s="720"/>
      <c r="XEM24" s="720"/>
      <c r="XEN24" s="720"/>
      <c r="XEO24" s="720"/>
      <c r="XEP24" s="720"/>
      <c r="XEQ24" s="720"/>
      <c r="XER24" s="720"/>
      <c r="XES24" s="720"/>
      <c r="XET24" s="720"/>
      <c r="XEU24" s="720"/>
      <c r="XEV24" s="720"/>
      <c r="XEW24" s="720"/>
      <c r="XEX24" s="720"/>
      <c r="XEY24" s="720"/>
      <c r="XEZ24" s="720"/>
      <c r="XFA24" s="720"/>
      <c r="XFB24" s="720"/>
      <c r="XFC24" s="720"/>
    </row>
    <row r="25" spans="1:16383" ht="12.75" customHeight="1">
      <c r="C25" s="2239"/>
    </row>
    <row r="26" spans="1:16383">
      <c r="B26" s="2223" t="str">
        <f>"Development Milestone Payment "&amp;B12</f>
        <v>Development Milestone Payment Diabetes</v>
      </c>
      <c r="F26" s="2238">
        <f>SUMIF('rNPV Assumptions_Diabetes'!$C$33:$C$36,'rNPV Analysis_Diabetes'!F8,'rNPV Assumptions_Diabetes'!$D$33:$D$36)</f>
        <v>0</v>
      </c>
      <c r="G26" s="2238">
        <f>SUMIF('rNPV Assumptions_Diabetes'!$C$33:$C$36,'rNPV Analysis_Diabetes'!G8,'rNPV Assumptions_Diabetes'!$D$33:$D$36)</f>
        <v>0</v>
      </c>
      <c r="H26" s="2238">
        <f>SUMIF('rNPV Assumptions_Diabetes'!$C$33:$C$36,'rNPV Analysis_Diabetes'!H8,'rNPV Assumptions_Diabetes'!$D$33:$D$36)</f>
        <v>0</v>
      </c>
      <c r="I26" s="2238">
        <f>SUMIF('rNPV Assumptions_Diabetes'!$C$33:$C$36,'rNPV Analysis_Diabetes'!I8,'rNPV Assumptions_Diabetes'!$D$33:$D$36)</f>
        <v>0</v>
      </c>
      <c r="J26" s="2238">
        <f>SUMIF('rNPV Assumptions_Diabetes'!$C$33:$C$36,'rNPV Analysis_Diabetes'!J8,'rNPV Assumptions_Diabetes'!$D$33:$D$36)</f>
        <v>0</v>
      </c>
      <c r="K26" s="2238">
        <f>SUMIF('rNPV Assumptions_Diabetes'!$C$33:$C$36,'rNPV Analysis_Diabetes'!K8,'rNPV Assumptions_Diabetes'!$D$33:$D$36)</f>
        <v>0</v>
      </c>
      <c r="L26" s="2238">
        <f>SUMIF('rNPV Assumptions_Diabetes'!$C$33:$C$36,'rNPV Analysis_Diabetes'!L8,'rNPV Assumptions_Diabetes'!$D$33:$D$36)</f>
        <v>0</v>
      </c>
      <c r="M26" s="2238">
        <f>SUMIF('rNPV Assumptions_Diabetes'!$C$33:$C$36,'rNPV Analysis_Diabetes'!M8,'rNPV Assumptions_Diabetes'!$D$33:$D$36)</f>
        <v>5</v>
      </c>
      <c r="N26" s="2238">
        <f>SUMIF('rNPV Assumptions_Diabetes'!$C$33:$C$36,'rNPV Analysis_Diabetes'!N8,'rNPV Assumptions_Diabetes'!$D$33:$D$36)</f>
        <v>0</v>
      </c>
      <c r="O26" s="2238">
        <f>SUMIF('rNPV Assumptions_Diabetes'!$C$33:$C$36,'rNPV Analysis_Diabetes'!O8,'rNPV Assumptions_Diabetes'!$D$33:$D$36)</f>
        <v>7</v>
      </c>
      <c r="P26" s="2238">
        <f>SUMIF('rNPV Assumptions_Diabetes'!$C$33:$C$36,'rNPV Analysis_Diabetes'!P8,'rNPV Assumptions_Diabetes'!$D$33:$D$36)</f>
        <v>0</v>
      </c>
      <c r="Q26" s="2238">
        <f>SUMIF('rNPV Assumptions_Diabetes'!$C$33:$C$36,'rNPV Analysis_Diabetes'!Q8,'rNPV Assumptions_Diabetes'!$D$33:$D$36)</f>
        <v>9</v>
      </c>
      <c r="R26" s="2238">
        <f>SUMIF('rNPV Assumptions_Diabetes'!$C$33:$C$36,'rNPV Analysis_Diabetes'!R8,'rNPV Assumptions_Diabetes'!$D$33:$D$36)</f>
        <v>0</v>
      </c>
      <c r="S26" s="2238">
        <f>SUMIF('rNPV Assumptions_Diabetes'!$C$33:$C$36,'rNPV Analysis_Diabetes'!S8,'rNPV Assumptions_Diabetes'!$D$33:$D$36)</f>
        <v>0</v>
      </c>
      <c r="T26" s="2238">
        <f>SUMIF('rNPV Assumptions_Diabetes'!$C$33:$C$36,'rNPV Analysis_Diabetes'!T8,'rNPV Assumptions_Diabetes'!$D$33:$D$36)</f>
        <v>31</v>
      </c>
      <c r="U26" s="2238">
        <f>SUMIF('rNPV Assumptions_Diabetes'!$C$33:$C$36,'rNPV Analysis_Diabetes'!U8,'rNPV Assumptions_Diabetes'!$D$33:$D$36)</f>
        <v>0</v>
      </c>
      <c r="V26" s="2238">
        <f>SUMIF('rNPV Assumptions_Diabetes'!$C$33:$C$36,'rNPV Analysis_Diabetes'!V8,'rNPV Assumptions_Diabetes'!$D$33:$D$36)</f>
        <v>0</v>
      </c>
      <c r="W26" s="2238">
        <f>SUMIF('rNPV Assumptions_Diabetes'!$C$33:$C$36,'rNPV Analysis_Diabetes'!W8,'rNPV Assumptions_Diabetes'!$D$33:$D$36)</f>
        <v>0</v>
      </c>
      <c r="X26" s="2238">
        <f>SUMIF('rNPV Assumptions_Diabetes'!$C$33:$C$36,'rNPV Analysis_Diabetes'!X8,'rNPV Assumptions_Diabetes'!$D$33:$D$36)</f>
        <v>0</v>
      </c>
      <c r="Y26" s="2238">
        <f>SUMIF('rNPV Assumptions_Diabetes'!$C$33:$C$36,'rNPV Analysis_Diabetes'!Y8,'rNPV Assumptions_Diabetes'!$D$33:$D$36)</f>
        <v>0</v>
      </c>
      <c r="Z26" s="2238">
        <f>SUMIF('rNPV Assumptions_Diabetes'!$C$33:$C$36,'rNPV Analysis_Diabetes'!Z8,'rNPV Assumptions_Diabetes'!$D$33:$D$36)</f>
        <v>0</v>
      </c>
      <c r="AA26" s="2238">
        <f>SUMIF('rNPV Assumptions_Diabetes'!$C$33:$C$36,'rNPV Analysis_Diabetes'!AA8,'rNPV Assumptions_Diabetes'!$D$33:$D$36)</f>
        <v>0</v>
      </c>
      <c r="AB26" s="2238">
        <f>SUMIF('rNPV Assumptions_Diabetes'!$C$33:$C$36,'rNPV Analysis_Diabetes'!AB8,'rNPV Assumptions_Diabetes'!$D$33:$D$36)</f>
        <v>0</v>
      </c>
      <c r="AC26" s="2238">
        <f>SUMIF('rNPV Assumptions_Diabetes'!$C$33:$C$36,'rNPV Analysis_Diabetes'!AC8,'rNPV Assumptions_Diabetes'!$D$33:$D$36)</f>
        <v>0</v>
      </c>
      <c r="AD26" s="2238">
        <f>SUMIF('rNPV Assumptions_Diabetes'!$C$33:$C$36,'rNPV Analysis_Diabetes'!AD8,'rNPV Assumptions_Diabetes'!$D$33:$D$36)</f>
        <v>0</v>
      </c>
      <c r="AE26" s="2238">
        <f>SUMIF('rNPV Assumptions_Diabetes'!$C$33:$C$36,'rNPV Analysis_Diabetes'!AE8,'rNPV Assumptions_Diabetes'!$D$33:$D$36)</f>
        <v>0</v>
      </c>
      <c r="AF26" s="2238">
        <f>SUMIF('rNPV Assumptions_Diabetes'!$C$33:$C$36,'rNPV Analysis_Diabetes'!AF8,'rNPV Assumptions_Diabetes'!$D$33:$D$36)</f>
        <v>0</v>
      </c>
      <c r="AG26" s="2238">
        <f>SUMIF('rNPV Assumptions_Diabetes'!$C$33:$C$36,'rNPV Analysis_Diabetes'!AG8,'rNPV Assumptions_Diabetes'!$D$33:$D$36)</f>
        <v>0</v>
      </c>
    </row>
    <row r="27" spans="1:16383" s="1984" customFormat="1" ht="8.1" customHeight="1">
      <c r="A27" s="720"/>
      <c r="B27" s="2157"/>
      <c r="C27" s="1171"/>
      <c r="D27" s="720"/>
      <c r="E27" s="720"/>
      <c r="F27" s="720"/>
      <c r="G27" s="720"/>
      <c r="H27" s="720"/>
      <c r="I27" s="720"/>
      <c r="J27" s="720"/>
      <c r="K27" s="720"/>
      <c r="L27" s="720"/>
      <c r="M27" s="720"/>
      <c r="N27" s="720"/>
      <c r="O27" s="720"/>
      <c r="P27" s="720"/>
      <c r="Q27" s="720"/>
      <c r="R27" s="720"/>
      <c r="S27" s="720"/>
      <c r="T27" s="720"/>
      <c r="U27" s="720"/>
      <c r="V27" s="720"/>
      <c r="W27" s="720"/>
      <c r="X27" s="720"/>
      <c r="Y27" s="720"/>
      <c r="Z27" s="720"/>
      <c r="AA27" s="720"/>
      <c r="AB27" s="720"/>
      <c r="AC27" s="720"/>
      <c r="AD27" s="720"/>
      <c r="AE27" s="720"/>
      <c r="AF27" s="720"/>
      <c r="AG27" s="720"/>
      <c r="AI27" s="720"/>
      <c r="AJ27" s="720"/>
      <c r="AK27" s="720"/>
      <c r="AL27" s="720"/>
      <c r="AM27" s="720"/>
      <c r="AN27" s="720"/>
      <c r="AO27" s="720"/>
    </row>
    <row r="28" spans="1:16383" s="1984" customFormat="1">
      <c r="A28" s="720"/>
      <c r="B28" s="2232" t="s">
        <v>2843</v>
      </c>
      <c r="C28" s="720"/>
      <c r="D28" s="720"/>
      <c r="E28" s="720"/>
      <c r="F28" s="2235">
        <f>IFERROR(IF(VLOOKUP(F9,'rNPV Assumptions_Diabetes'!$B$21:$F$30,COLUMNS('rNPV Assumptions_Diabetes'!$B$21:$F$21),FALSE)="NA",0,VLOOKUP(F9,'rNPV Assumptions_Diabetes'!$B$21:$F$30,COLUMNS('rNPV Assumptions_Diabetes'!$B$21:$F$21),FALSE)),0%)</f>
        <v>0</v>
      </c>
      <c r="G28" s="2235">
        <f>IFERROR(IF(VLOOKUP(G9,'rNPV Assumptions_Diabetes'!$B$21:$F$30,COLUMNS('rNPV Assumptions_Diabetes'!$B$21:$F$21),FALSE)="NA",0,VLOOKUP(G9,'rNPV Assumptions_Diabetes'!$B$21:$F$30,COLUMNS('rNPV Assumptions_Diabetes'!$B$21:$F$21),FALSE)),0%)</f>
        <v>0</v>
      </c>
      <c r="H28" s="2235">
        <f>IFERROR(IF(VLOOKUP(H9,'rNPV Assumptions_Diabetes'!$B$21:$F$30,COLUMNS('rNPV Assumptions_Diabetes'!$B$21:$F$21),FALSE)="NA",0,VLOOKUP(H9,'rNPV Assumptions_Diabetes'!$B$21:$F$30,COLUMNS('rNPV Assumptions_Diabetes'!$B$21:$F$21),FALSE)),0%)</f>
        <v>0</v>
      </c>
      <c r="I28" s="2235">
        <f>IFERROR(IF(VLOOKUP(I9,'rNPV Assumptions_Diabetes'!$B$21:$F$30,COLUMNS('rNPV Assumptions_Diabetes'!$B$21:$F$21),FALSE)="NA",0,VLOOKUP(I9,'rNPV Assumptions_Diabetes'!$B$21:$F$30,COLUMNS('rNPV Assumptions_Diabetes'!$B$21:$F$21),FALSE)),0%)</f>
        <v>0</v>
      </c>
      <c r="J28" s="2235">
        <f>IFERROR(IF(VLOOKUP(J9,'rNPV Assumptions_Diabetes'!$B$21:$F$30,COLUMNS('rNPV Assumptions_Diabetes'!$B$21:$F$21),FALSE)="NA",0,VLOOKUP(J9,'rNPV Assumptions_Diabetes'!$B$21:$F$30,COLUMNS('rNPV Assumptions_Diabetes'!$B$21:$F$21),FALSE)),0%)</f>
        <v>0</v>
      </c>
      <c r="K28" s="2235">
        <f>IFERROR(IF(VLOOKUP(K9,'rNPV Assumptions_Diabetes'!$B$21:$F$30,COLUMNS('rNPV Assumptions_Diabetes'!$B$21:$F$21),FALSE)="NA",0,VLOOKUP(K9,'rNPV Assumptions_Diabetes'!$B$21:$F$30,COLUMNS('rNPV Assumptions_Diabetes'!$B$21:$F$21),FALSE)),0%)</f>
        <v>4.725E-2</v>
      </c>
      <c r="L28" s="2235">
        <f>IFERROR(IF(VLOOKUP(L9,'rNPV Assumptions_Diabetes'!$B$21:$F$30,COLUMNS('rNPV Assumptions_Diabetes'!$B$21:$F$21),FALSE)="NA",0,VLOOKUP(L9,'rNPV Assumptions_Diabetes'!$B$21:$F$30,COLUMNS('rNPV Assumptions_Diabetes'!$B$21:$F$21),FALSE)),0%)</f>
        <v>3.3075E-2</v>
      </c>
      <c r="M28" s="2235">
        <f>IFERROR(IF(VLOOKUP(M9,'rNPV Assumptions_Diabetes'!$B$21:$F$30,COLUMNS('rNPV Assumptions_Diabetes'!$B$21:$F$21),FALSE)="NA",0,VLOOKUP(M9,'rNPV Assumptions_Diabetes'!$B$21:$F$30,COLUMNS('rNPV Assumptions_Diabetes'!$B$21:$F$21),FALSE)),0%)</f>
        <v>1.2899250000000003E-2</v>
      </c>
      <c r="N28" s="2235">
        <f>IFERROR(IF(VLOOKUP(N9,'rNPV Assumptions_Diabetes'!$B$21:$F$30,COLUMNS('rNPV Assumptions_Diabetes'!$B$21:$F$21),FALSE)="NA",0,VLOOKUP(N9,'rNPV Assumptions_Diabetes'!$B$21:$F$30,COLUMNS('rNPV Assumptions_Diabetes'!$B$21:$F$21),FALSE)),0%)</f>
        <v>1.2899250000000003E-2</v>
      </c>
      <c r="O28" s="2235">
        <f>IFERROR(IF(VLOOKUP(O9,'rNPV Assumptions_Diabetes'!$B$21:$F$30,COLUMNS('rNPV Assumptions_Diabetes'!$B$21:$F$21),FALSE)="NA",0,VLOOKUP(O9,'rNPV Assumptions_Diabetes'!$B$21:$F$30,COLUMNS('rNPV Assumptions_Diabetes'!$B$21:$F$21),FALSE)),0%)</f>
        <v>5.804662500000001E-3</v>
      </c>
      <c r="P28" s="2235">
        <f>IFERROR(IF(VLOOKUP(P9,'rNPV Assumptions_Diabetes'!$B$21:$F$30,COLUMNS('rNPV Assumptions_Diabetes'!$B$21:$F$21),FALSE)="NA",0,VLOOKUP(P9,'rNPV Assumptions_Diabetes'!$B$21:$F$30,COLUMNS('rNPV Assumptions_Diabetes'!$B$21:$F$21),FALSE)),0%)</f>
        <v>5.804662500000001E-3</v>
      </c>
      <c r="Q28" s="2235">
        <f>IFERROR(IF(VLOOKUP(Q9,'rNPV Assumptions_Diabetes'!$B$21:$F$30,COLUMNS('rNPV Assumptions_Diabetes'!$B$21:$F$21),FALSE)="NA",0,VLOOKUP(Q9,'rNPV Assumptions_Diabetes'!$B$21:$F$30,COLUMNS('rNPV Assumptions_Diabetes'!$B$21:$F$21),FALSE)),0%)</f>
        <v>3.4827975000000003E-3</v>
      </c>
      <c r="R28" s="2235">
        <f>IFERROR(IF(VLOOKUP(R9,'rNPV Assumptions_Diabetes'!$B$21:$F$30,COLUMNS('rNPV Assumptions_Diabetes'!$B$21:$F$21),FALSE)="NA",0,VLOOKUP(R9,'rNPV Assumptions_Diabetes'!$B$21:$F$30,COLUMNS('rNPV Assumptions_Diabetes'!$B$21:$F$21),FALSE)),0%)</f>
        <v>3.4827975000000003E-3</v>
      </c>
      <c r="S28" s="2235">
        <f>IFERROR(IF(VLOOKUP(S9,'rNPV Assumptions_Diabetes'!$B$21:$F$30,COLUMNS('rNPV Assumptions_Diabetes'!$B$21:$F$21),FALSE)="NA",0,VLOOKUP(S9,'rNPV Assumptions_Diabetes'!$B$21:$F$30,COLUMNS('rNPV Assumptions_Diabetes'!$B$21:$F$21),FALSE)),0%)</f>
        <v>3.4827975000000003E-3</v>
      </c>
      <c r="T28" s="2235">
        <f>IFERROR(IF(VLOOKUP(T9,'rNPV Assumptions_Diabetes'!$B$21:$F$30,COLUMNS('rNPV Assumptions_Diabetes'!$B$21:$F$21),FALSE)="NA",0,VLOOKUP(T9,'rNPV Assumptions_Diabetes'!$B$21:$F$30,COLUMNS('rNPV Assumptions_Diabetes'!$B$21:$F$21),FALSE)),0%)</f>
        <v>2.6120981250000001E-3</v>
      </c>
      <c r="U28" s="2235">
        <f>IFERROR(IF(VLOOKUP(U9,'rNPV Assumptions_Diabetes'!$B$21:$F$30,COLUMNS('rNPV Assumptions_Diabetes'!$B$21:$F$21),FALSE)="NA",0,VLOOKUP(U9,'rNPV Assumptions_Diabetes'!$B$21:$F$30,COLUMNS('rNPV Assumptions_Diabetes'!$B$21:$F$21),FALSE)),0%)</f>
        <v>2.6120981250000001E-3</v>
      </c>
      <c r="V28" s="2235">
        <f>IFERROR(IF(VLOOKUP(V9,'rNPV Assumptions_Diabetes'!$B$21:$F$30,COLUMNS('rNPV Assumptions_Diabetes'!$B$21:$F$21),FALSE)="NA",0,VLOOKUP(V9,'rNPV Assumptions_Diabetes'!$B$21:$F$30,COLUMNS('rNPV Assumptions_Diabetes'!$B$21:$F$21),FALSE)),0%)</f>
        <v>2.6120981250000001E-3</v>
      </c>
      <c r="W28" s="2235">
        <f>IFERROR(IF(VLOOKUP(W9,'rNPV Assumptions_Diabetes'!$B$21:$F$30,COLUMNS('rNPV Assumptions_Diabetes'!$B$21:$F$21),FALSE)="NA",0,VLOOKUP(W9,'rNPV Assumptions_Diabetes'!$B$21:$F$30,COLUMNS('rNPV Assumptions_Diabetes'!$B$21:$F$21),FALSE)),0%)</f>
        <v>2.6120981250000001E-3</v>
      </c>
      <c r="X28" s="2235">
        <f>IFERROR(IF(VLOOKUP(X9,'rNPV Assumptions_Diabetes'!$B$21:$F$30,COLUMNS('rNPV Assumptions_Diabetes'!$B$21:$F$21),FALSE)="NA",0,VLOOKUP(X9,'rNPV Assumptions_Diabetes'!$B$21:$F$30,COLUMNS('rNPV Assumptions_Diabetes'!$B$21:$F$21),FALSE)),0%)</f>
        <v>2.6120981250000001E-3</v>
      </c>
      <c r="Y28" s="2235">
        <f>IFERROR(IF(VLOOKUP(Y9,'rNPV Assumptions_Diabetes'!$B$21:$F$30,COLUMNS('rNPV Assumptions_Diabetes'!$B$21:$F$21),FALSE)="NA",0,VLOOKUP(Y9,'rNPV Assumptions_Diabetes'!$B$21:$F$30,COLUMNS('rNPV Assumptions_Diabetes'!$B$21:$F$21),FALSE)),0%)</f>
        <v>2.6120981250000001E-3</v>
      </c>
      <c r="Z28" s="2235">
        <f>IFERROR(IF(VLOOKUP(Z9,'rNPV Assumptions_Diabetes'!$B$21:$F$30,COLUMNS('rNPV Assumptions_Diabetes'!$B$21:$F$21),FALSE)="NA",0,VLOOKUP(Z9,'rNPV Assumptions_Diabetes'!$B$21:$F$30,COLUMNS('rNPV Assumptions_Diabetes'!$B$21:$F$21),FALSE)),0%)</f>
        <v>2.6120981250000001E-3</v>
      </c>
      <c r="AA28" s="2235">
        <f>IFERROR(IF(VLOOKUP(AA9,'rNPV Assumptions_Diabetes'!$B$21:$F$30,COLUMNS('rNPV Assumptions_Diabetes'!$B$21:$F$21),FALSE)="NA",0,VLOOKUP(AA9,'rNPV Assumptions_Diabetes'!$B$21:$F$30,COLUMNS('rNPV Assumptions_Diabetes'!$B$21:$F$21),FALSE)),0%)</f>
        <v>2.6120981250000001E-3</v>
      </c>
      <c r="AB28" s="2235">
        <f>IFERROR(IF(VLOOKUP(AB9,'rNPV Assumptions_Diabetes'!$B$21:$F$30,COLUMNS('rNPV Assumptions_Diabetes'!$B$21:$F$21),FALSE)="NA",0,VLOOKUP(AB9,'rNPV Assumptions_Diabetes'!$B$21:$F$30,COLUMNS('rNPV Assumptions_Diabetes'!$B$21:$F$21),FALSE)),0%)</f>
        <v>2.6120981250000001E-3</v>
      </c>
      <c r="AC28" s="2235">
        <f>IFERROR(IF(VLOOKUP(AC9,'rNPV Assumptions_Diabetes'!$B$21:$F$30,COLUMNS('rNPV Assumptions_Diabetes'!$B$21:$F$21),FALSE)="NA",0,VLOOKUP(AC9,'rNPV Assumptions_Diabetes'!$B$21:$F$30,COLUMNS('rNPV Assumptions_Diabetes'!$B$21:$F$21),FALSE)),0%)</f>
        <v>2.6120981250000001E-3</v>
      </c>
      <c r="AD28" s="2235">
        <f>IFERROR(IF(VLOOKUP(AD9,'rNPV Assumptions_Diabetes'!$B$21:$F$30,COLUMNS('rNPV Assumptions_Diabetes'!$B$21:$F$21),FALSE)="NA",0,VLOOKUP(AD9,'rNPV Assumptions_Diabetes'!$B$21:$F$30,COLUMNS('rNPV Assumptions_Diabetes'!$B$21:$F$21),FALSE)),0%)</f>
        <v>2.6120981250000001E-3</v>
      </c>
      <c r="AE28" s="2235">
        <f>IFERROR(IF(VLOOKUP(AE9,'rNPV Assumptions_Diabetes'!$B$21:$F$30,COLUMNS('rNPV Assumptions_Diabetes'!$B$21:$F$21),FALSE)="NA",0,VLOOKUP(AE9,'rNPV Assumptions_Diabetes'!$B$21:$F$30,COLUMNS('rNPV Assumptions_Diabetes'!$B$21:$F$21),FALSE)),0%)</f>
        <v>0</v>
      </c>
      <c r="AF28" s="2235">
        <f>IFERROR(IF(VLOOKUP(AF9,'rNPV Assumptions_Diabetes'!$B$21:$F$30,COLUMNS('rNPV Assumptions_Diabetes'!$B$21:$F$21),FALSE)="NA",0,VLOOKUP(AF9,'rNPV Assumptions_Diabetes'!$B$21:$F$30,COLUMNS('rNPV Assumptions_Diabetes'!$B$21:$F$21),FALSE)),0%)</f>
        <v>0</v>
      </c>
      <c r="AG28" s="2235">
        <f>IFERROR(IF(VLOOKUP(AG9,'rNPV Assumptions_Diabetes'!$B$21:$F$30,COLUMNS('rNPV Assumptions_Diabetes'!$B$21:$F$21),FALSE)="NA",0,VLOOKUP(AG9,'rNPV Assumptions_Diabetes'!$B$21:$F$30,COLUMNS('rNPV Assumptions_Diabetes'!$B$21:$F$21),FALSE)),0%)</f>
        <v>0</v>
      </c>
      <c r="AI28" s="720"/>
      <c r="AJ28" s="720"/>
      <c r="AK28" s="720"/>
      <c r="AL28" s="720"/>
      <c r="AM28" s="720"/>
      <c r="AN28" s="720"/>
      <c r="AO28" s="720"/>
    </row>
    <row r="29" spans="1:16383" s="1984" customFormat="1">
      <c r="A29" s="720"/>
      <c r="B29" s="2223" t="str">
        <f>"Probability Adjusted Milestones "&amp;$B$12</f>
        <v>Probability Adjusted Milestones Diabetes</v>
      </c>
      <c r="C29" s="720"/>
      <c r="D29" s="720"/>
      <c r="E29" s="720"/>
      <c r="F29" s="2241">
        <f>SUM(F24:F26)*F28</f>
        <v>0</v>
      </c>
      <c r="G29" s="2241">
        <f t="shared" ref="G29:AE29" si="6">SUM(G24:G26)*G28</f>
        <v>0</v>
      </c>
      <c r="H29" s="2241">
        <f t="shared" si="6"/>
        <v>0</v>
      </c>
      <c r="I29" s="2241">
        <f t="shared" si="6"/>
        <v>0</v>
      </c>
      <c r="J29" s="2241">
        <f t="shared" si="6"/>
        <v>0</v>
      </c>
      <c r="K29" s="2241">
        <f t="shared" si="6"/>
        <v>0.30712499999999998</v>
      </c>
      <c r="L29" s="2241">
        <f t="shared" si="6"/>
        <v>9.9225000000000008E-2</v>
      </c>
      <c r="M29" s="2241">
        <f t="shared" si="6"/>
        <v>6.4496250000000019E-2</v>
      </c>
      <c r="N29" s="2241">
        <f t="shared" si="6"/>
        <v>0</v>
      </c>
      <c r="O29" s="2241">
        <f t="shared" si="6"/>
        <v>4.0632637500000006E-2</v>
      </c>
      <c r="P29" s="2241">
        <f t="shared" si="6"/>
        <v>0</v>
      </c>
      <c r="Q29" s="2241">
        <f t="shared" si="6"/>
        <v>3.1345177500000002E-2</v>
      </c>
      <c r="R29" s="2241">
        <f t="shared" si="6"/>
        <v>0</v>
      </c>
      <c r="S29" s="2241">
        <f t="shared" si="6"/>
        <v>0</v>
      </c>
      <c r="T29" s="2241">
        <f t="shared" si="6"/>
        <v>8.0975041875000001E-2</v>
      </c>
      <c r="U29" s="2241">
        <f t="shared" si="6"/>
        <v>0</v>
      </c>
      <c r="V29" s="2241">
        <f t="shared" si="6"/>
        <v>0</v>
      </c>
      <c r="W29" s="2241">
        <f t="shared" si="6"/>
        <v>0</v>
      </c>
      <c r="X29" s="2241">
        <f t="shared" si="6"/>
        <v>0</v>
      </c>
      <c r="Y29" s="2241">
        <f t="shared" si="6"/>
        <v>0</v>
      </c>
      <c r="Z29" s="2241">
        <f t="shared" si="6"/>
        <v>0</v>
      </c>
      <c r="AA29" s="2241">
        <f t="shared" si="6"/>
        <v>0</v>
      </c>
      <c r="AB29" s="2241">
        <f t="shared" si="6"/>
        <v>0</v>
      </c>
      <c r="AC29" s="2241">
        <f t="shared" si="6"/>
        <v>0</v>
      </c>
      <c r="AD29" s="2241">
        <f t="shared" si="6"/>
        <v>0</v>
      </c>
      <c r="AE29" s="2241">
        <f t="shared" si="6"/>
        <v>0</v>
      </c>
      <c r="AF29" s="2241">
        <f t="shared" ref="AF29:AG29" si="7">AF26*AF28</f>
        <v>0</v>
      </c>
      <c r="AG29" s="2241">
        <f t="shared" si="7"/>
        <v>0</v>
      </c>
      <c r="AI29" s="720"/>
      <c r="AJ29" s="720"/>
      <c r="AK29" s="720"/>
      <c r="AL29" s="720"/>
      <c r="AM29" s="720"/>
      <c r="AN29" s="720"/>
      <c r="AO29" s="720"/>
    </row>
    <row r="30" spans="1:16383">
      <c r="B30" s="2223"/>
      <c r="AH30" s="720"/>
    </row>
    <row r="31" spans="1:16383">
      <c r="B31" s="2223" t="str">
        <f>"Development Milestone Payment "&amp;B17</f>
        <v>Development Milestone Payment Indication #4</v>
      </c>
      <c r="F31" s="2238">
        <f>SUMIF('rNPV Assumptions_Diabetes'!$C$57:$C$60,'rNPV Analysis_Diabetes'!F8,'rNPV Assumptions_Diabetes'!$D$57:$D$60)*'rNPV Assumptions_Diabetes'!$D$42</f>
        <v>0</v>
      </c>
      <c r="G31" s="2238">
        <f>SUMIF('rNPV Assumptions_Diabetes'!$C$57:$C$60,'rNPV Analysis_Diabetes'!G8,'rNPV Assumptions_Diabetes'!$D$57:$D$60)*'rNPV Assumptions_Diabetes'!$D$42</f>
        <v>0</v>
      </c>
      <c r="H31" s="2238">
        <f>SUMIF('rNPV Assumptions_Diabetes'!$C$57:$C$60,'rNPV Analysis_Diabetes'!H8,'rNPV Assumptions_Diabetes'!$D$57:$D$60)*'rNPV Assumptions_Diabetes'!$D$42</f>
        <v>0</v>
      </c>
      <c r="I31" s="2238">
        <f>SUMIF('rNPV Assumptions_Diabetes'!$C$57:$C$60,'rNPV Analysis_Diabetes'!I8,'rNPV Assumptions_Diabetes'!$D$57:$D$60)*'rNPV Assumptions_Diabetes'!$D$42</f>
        <v>0</v>
      </c>
      <c r="J31" s="2238">
        <f>SUMIF('rNPV Assumptions_Diabetes'!$C$57:$C$60,'rNPV Analysis_Diabetes'!J8,'rNPV Assumptions_Diabetes'!$D$57:$D$60)*'rNPV Assumptions_Diabetes'!$D$42</f>
        <v>0</v>
      </c>
      <c r="K31" s="2238">
        <f>SUMIF('rNPV Assumptions_Diabetes'!$C$57:$C$60,'rNPV Analysis_Diabetes'!K8,'rNPV Assumptions_Diabetes'!$D$57:$D$60)*'rNPV Assumptions_Diabetes'!$D$42</f>
        <v>0</v>
      </c>
      <c r="L31" s="2238">
        <f>SUMIF('rNPV Assumptions_Diabetes'!$C$57:$C$60,'rNPV Analysis_Diabetes'!L8,'rNPV Assumptions_Diabetes'!$D$57:$D$60)*'rNPV Assumptions_Diabetes'!$D$42</f>
        <v>0</v>
      </c>
      <c r="M31" s="2238">
        <f>SUMIF('rNPV Assumptions_Diabetes'!$C$57:$C$60,'rNPV Analysis_Diabetes'!M8,'rNPV Assumptions_Diabetes'!$D$57:$D$60)*'rNPV Assumptions_Diabetes'!$D$42</f>
        <v>0</v>
      </c>
      <c r="N31" s="2238">
        <f>SUMIF('rNPV Assumptions_Diabetes'!$C$57:$C$60,'rNPV Analysis_Diabetes'!N8,'rNPV Assumptions_Diabetes'!$D$57:$D$60)*'rNPV Assumptions_Diabetes'!$D$42</f>
        <v>0</v>
      </c>
      <c r="O31" s="2238">
        <f>SUMIF('rNPV Assumptions_Diabetes'!$C$57:$C$60,'rNPV Analysis_Diabetes'!O8,'rNPV Assumptions_Diabetes'!$D$57:$D$60)*'rNPV Assumptions_Diabetes'!$D$42</f>
        <v>0</v>
      </c>
      <c r="P31" s="2238">
        <f>SUMIF('rNPV Assumptions_Diabetes'!$C$57:$C$60,'rNPV Analysis_Diabetes'!P8,'rNPV Assumptions_Diabetes'!$D$57:$D$60)*'rNPV Assumptions_Diabetes'!$D$42</f>
        <v>0</v>
      </c>
      <c r="Q31" s="2238">
        <f>SUMIF('rNPV Assumptions_Diabetes'!$C$57:$C$60,'rNPV Analysis_Diabetes'!Q8,'rNPV Assumptions_Diabetes'!$D$57:$D$60)*'rNPV Assumptions_Diabetes'!$D$42</f>
        <v>0</v>
      </c>
      <c r="R31" s="2238">
        <f>SUMIF('rNPV Assumptions_Diabetes'!$C$57:$C$60,'rNPV Analysis_Diabetes'!R8,'rNPV Assumptions_Diabetes'!$D$57:$D$60)*'rNPV Assumptions_Diabetes'!$D$42</f>
        <v>0</v>
      </c>
      <c r="S31" s="2238">
        <f>SUMIF('rNPV Assumptions_Diabetes'!$C$57:$C$60,'rNPV Analysis_Diabetes'!S8,'rNPV Assumptions_Diabetes'!$D$57:$D$60)*'rNPV Assumptions_Diabetes'!$D$42</f>
        <v>0</v>
      </c>
      <c r="T31" s="2238">
        <f>SUMIF('rNPV Assumptions_Diabetes'!$C$57:$C$60,'rNPV Analysis_Diabetes'!T8,'rNPV Assumptions_Diabetes'!$D$57:$D$60)*'rNPV Assumptions_Diabetes'!$D$42</f>
        <v>0</v>
      </c>
      <c r="U31" s="2238">
        <f>SUMIF('rNPV Assumptions_Diabetes'!$C$57:$C$60,'rNPV Analysis_Diabetes'!U8,'rNPV Assumptions_Diabetes'!$D$57:$D$60)*'rNPV Assumptions_Diabetes'!$D$42</f>
        <v>0</v>
      </c>
      <c r="V31" s="2238">
        <f>SUMIF('rNPV Assumptions_Diabetes'!$C$57:$C$60,'rNPV Analysis_Diabetes'!V8,'rNPV Assumptions_Diabetes'!$D$57:$D$60)*'rNPV Assumptions_Diabetes'!$D$42</f>
        <v>0</v>
      </c>
      <c r="W31" s="2238">
        <f>SUMIF('rNPV Assumptions_Diabetes'!$C$57:$C$60,'rNPV Analysis_Diabetes'!W8,'rNPV Assumptions_Diabetes'!$D$57:$D$60)*'rNPV Assumptions_Diabetes'!$D$42</f>
        <v>0</v>
      </c>
      <c r="X31" s="2238">
        <f>SUMIF('rNPV Assumptions_Diabetes'!$C$57:$C$60,'rNPV Analysis_Diabetes'!X8,'rNPV Assumptions_Diabetes'!$D$57:$D$60)*'rNPV Assumptions_Diabetes'!$D$42</f>
        <v>0</v>
      </c>
      <c r="Y31" s="2238">
        <f>SUMIF('rNPV Assumptions_Diabetes'!$C$57:$C$60,'rNPV Analysis_Diabetes'!Y8,'rNPV Assumptions_Diabetes'!$D$57:$D$60)*'rNPV Assumptions_Diabetes'!$D$42</f>
        <v>0</v>
      </c>
      <c r="Z31" s="2238">
        <f>SUMIF('rNPV Assumptions_Diabetes'!$C$57:$C$60,'rNPV Analysis_Diabetes'!Z8,'rNPV Assumptions_Diabetes'!$D$57:$D$60)*'rNPV Assumptions_Diabetes'!$D$42</f>
        <v>0</v>
      </c>
      <c r="AA31" s="2238">
        <f>SUMIF('rNPV Assumptions_Diabetes'!$C$57:$C$60,'rNPV Analysis_Diabetes'!AA8,'rNPV Assumptions_Diabetes'!$D$57:$D$60)*'rNPV Assumptions_Diabetes'!$D$42</f>
        <v>0</v>
      </c>
      <c r="AB31" s="2238">
        <f>SUMIF('rNPV Assumptions_Diabetes'!$C$57:$C$60,'rNPV Analysis_Diabetes'!AB8,'rNPV Assumptions_Diabetes'!$D$57:$D$60)*'rNPV Assumptions_Diabetes'!$D$42</f>
        <v>0</v>
      </c>
      <c r="AC31" s="2238">
        <f>SUMIF('rNPV Assumptions_Diabetes'!$C$57:$C$60,'rNPV Analysis_Diabetes'!AC8,'rNPV Assumptions_Diabetes'!$D$57:$D$60)*'rNPV Assumptions_Diabetes'!$D$42</f>
        <v>0</v>
      </c>
      <c r="AD31" s="2238">
        <f>SUMIF('rNPV Assumptions_Diabetes'!$C$57:$C$60,'rNPV Analysis_Diabetes'!AD8,'rNPV Assumptions_Diabetes'!$D$57:$D$60)*'rNPV Assumptions_Diabetes'!$D$42</f>
        <v>0</v>
      </c>
      <c r="AE31" s="2238">
        <f>SUMIF('rNPV Assumptions_Diabetes'!$C$57:$C$60,'rNPV Analysis_Diabetes'!AE8,'rNPV Assumptions_Diabetes'!$D$57:$D$60)*'rNPV Assumptions_Diabetes'!$D$42</f>
        <v>0</v>
      </c>
      <c r="AF31" s="2238">
        <f>SUMIF('rNPV Assumptions_Diabetes'!$C$57:$C$60,'rNPV Analysis_Diabetes'!AF8,'rNPV Assumptions_Diabetes'!$D$57:$D$60)*'rNPV Assumptions_Diabetes'!$D$42</f>
        <v>0</v>
      </c>
      <c r="AG31" s="2238">
        <f>SUMIF('rNPV Assumptions_Diabetes'!$C$57:$C$60,'rNPV Analysis_Diabetes'!AG8,'rNPV Assumptions_Diabetes'!$D$57:$D$60)*'rNPV Assumptions_Diabetes'!$D$42</f>
        <v>0</v>
      </c>
    </row>
    <row r="32" spans="1:16383" s="1984" customFormat="1" ht="8.1" customHeight="1">
      <c r="A32" s="720"/>
      <c r="B32" s="2157"/>
      <c r="C32" s="1171"/>
      <c r="D32" s="720"/>
      <c r="E32" s="720"/>
      <c r="F32" s="720"/>
      <c r="G32" s="720"/>
      <c r="H32" s="720"/>
      <c r="I32" s="720"/>
      <c r="J32" s="720"/>
      <c r="K32" s="720"/>
      <c r="L32" s="720"/>
      <c r="M32" s="720"/>
      <c r="N32" s="720"/>
      <c r="O32" s="720"/>
      <c r="P32" s="720"/>
      <c r="Q32" s="720"/>
      <c r="R32" s="720"/>
      <c r="S32" s="720"/>
      <c r="T32" s="720"/>
      <c r="U32" s="720"/>
      <c r="V32" s="720"/>
      <c r="W32" s="720"/>
      <c r="X32" s="720"/>
      <c r="Y32" s="720"/>
      <c r="Z32" s="720"/>
      <c r="AA32" s="720"/>
      <c r="AB32" s="720"/>
      <c r="AC32" s="720"/>
      <c r="AD32" s="720"/>
      <c r="AE32" s="720"/>
      <c r="AF32" s="720"/>
      <c r="AG32" s="720"/>
      <c r="AI32" s="720"/>
      <c r="AJ32" s="720"/>
      <c r="AK32" s="720"/>
      <c r="AL32" s="720"/>
      <c r="AM32" s="720"/>
      <c r="AN32" s="720"/>
      <c r="AO32" s="720"/>
    </row>
    <row r="33" spans="1:41" s="1984" customFormat="1">
      <c r="A33" s="720"/>
      <c r="B33" s="2232" t="s">
        <v>2843</v>
      </c>
      <c r="C33" s="720"/>
      <c r="D33" s="720"/>
      <c r="E33" s="720"/>
      <c r="F33" s="2235">
        <f>IFERROR(IF(VLOOKUP(F9,'rNPV Assumptions_Diabetes'!$B$45:$F$54,COLUMNS('rNPV Assumptions_Diabetes'!$B$45:$F$45),FALSE)="NA",0,VLOOKUP(F9,'rNPV Assumptions_Diabetes'!$B$45:$F$54,COLUMNS('rNPV Assumptions_Diabetes'!$B$45:$F$45),FALSE)),0%)</f>
        <v>0</v>
      </c>
      <c r="G33" s="2235">
        <f>IFERROR(IF(VLOOKUP(G9,'rNPV Assumptions_Diabetes'!$B$45:$F$54,COLUMNS('rNPV Assumptions_Diabetes'!$B$45:$F$45),FALSE)="NA",0,VLOOKUP(G9,'rNPV Assumptions_Diabetes'!$B$45:$F$54,COLUMNS('rNPV Assumptions_Diabetes'!$B$45:$F$45),FALSE)),0%)</f>
        <v>0</v>
      </c>
      <c r="H33" s="2235">
        <f>IFERROR(IF(VLOOKUP(H9,'rNPV Assumptions_Diabetes'!$B$45:$F$54,COLUMNS('rNPV Assumptions_Diabetes'!$B$45:$F$45),FALSE)="NA",0,VLOOKUP(H9,'rNPV Assumptions_Diabetes'!$B$45:$F$54,COLUMNS('rNPV Assumptions_Diabetes'!$B$45:$F$45),FALSE)),0%)</f>
        <v>0</v>
      </c>
      <c r="I33" s="2235">
        <f>IFERROR(IF(VLOOKUP(I9,'rNPV Assumptions_Diabetes'!$B$45:$F$54,COLUMNS('rNPV Assumptions_Diabetes'!$B$45:$F$45),FALSE)="NA",0,VLOOKUP(I9,'rNPV Assumptions_Diabetes'!$B$45:$F$54,COLUMNS('rNPV Assumptions_Diabetes'!$B$45:$F$45),FALSE)),0%)</f>
        <v>0</v>
      </c>
      <c r="J33" s="2235">
        <f>IFERROR(IF(VLOOKUP(J9,'rNPV Assumptions_Diabetes'!$B$45:$F$54,COLUMNS('rNPV Assumptions_Diabetes'!$B$45:$F$45),FALSE)="NA",0,VLOOKUP(J9,'rNPV Assumptions_Diabetes'!$B$45:$F$54,COLUMNS('rNPV Assumptions_Diabetes'!$B$45:$F$45),FALSE)),0%)</f>
        <v>0</v>
      </c>
      <c r="K33" s="2235">
        <f>IFERROR(IF(VLOOKUP(K9,'rNPV Assumptions_Diabetes'!$B$45:$F$54,COLUMNS('rNPV Assumptions_Diabetes'!$B$45:$F$45),FALSE)="NA",0,VLOOKUP(K9,'rNPV Assumptions_Diabetes'!$B$45:$F$54,COLUMNS('rNPV Assumptions_Diabetes'!$B$45:$F$45),FALSE)),0%)</f>
        <v>4.725E-2</v>
      </c>
      <c r="L33" s="2235">
        <f>IFERROR(IF(VLOOKUP(L9,'rNPV Assumptions_Diabetes'!$B$45:$F$54,COLUMNS('rNPV Assumptions_Diabetes'!$B$45:$F$45),FALSE)="NA",0,VLOOKUP(L9,'rNPV Assumptions_Diabetes'!$B$45:$F$54,COLUMNS('rNPV Assumptions_Diabetes'!$B$45:$F$45),FALSE)),0%)</f>
        <v>3.3075E-2</v>
      </c>
      <c r="M33" s="2235">
        <f>IFERROR(IF(VLOOKUP(M9,'rNPV Assumptions_Diabetes'!$B$45:$F$54,COLUMNS('rNPV Assumptions_Diabetes'!$B$45:$F$45),FALSE)="NA",0,VLOOKUP(M9,'rNPV Assumptions_Diabetes'!$B$45:$F$54,COLUMNS('rNPV Assumptions_Diabetes'!$B$45:$F$45),FALSE)),0%)</f>
        <v>1.2899250000000003E-2</v>
      </c>
      <c r="N33" s="2235">
        <f>IFERROR(IF(VLOOKUP(N9,'rNPV Assumptions_Diabetes'!$B$45:$F$54,COLUMNS('rNPV Assumptions_Diabetes'!$B$45:$F$45),FALSE)="NA",0,VLOOKUP(N9,'rNPV Assumptions_Diabetes'!$B$45:$F$54,COLUMNS('rNPV Assumptions_Diabetes'!$B$45:$F$45),FALSE)),0%)</f>
        <v>1.2899250000000003E-2</v>
      </c>
      <c r="O33" s="2235">
        <f>IFERROR(IF(VLOOKUP(O9,'rNPV Assumptions_Diabetes'!$B$45:$F$54,COLUMNS('rNPV Assumptions_Diabetes'!$B$45:$F$45),FALSE)="NA",0,VLOOKUP(O9,'rNPV Assumptions_Diabetes'!$B$45:$F$54,COLUMNS('rNPV Assumptions_Diabetes'!$B$45:$F$45),FALSE)),0%)</f>
        <v>5.804662500000001E-3</v>
      </c>
      <c r="P33" s="2235">
        <f>IFERROR(IF(VLOOKUP(P9,'rNPV Assumptions_Diabetes'!$B$45:$F$54,COLUMNS('rNPV Assumptions_Diabetes'!$B$45:$F$45),FALSE)="NA",0,VLOOKUP(P9,'rNPV Assumptions_Diabetes'!$B$45:$F$54,COLUMNS('rNPV Assumptions_Diabetes'!$B$45:$F$45),FALSE)),0%)</f>
        <v>5.804662500000001E-3</v>
      </c>
      <c r="Q33" s="2235">
        <f>IFERROR(IF(VLOOKUP(Q9,'rNPV Assumptions_Diabetes'!$B$45:$F$54,COLUMNS('rNPV Assumptions_Diabetes'!$B$45:$F$45),FALSE)="NA",0,VLOOKUP(Q9,'rNPV Assumptions_Diabetes'!$B$45:$F$54,COLUMNS('rNPV Assumptions_Diabetes'!$B$45:$F$45),FALSE)),0%)</f>
        <v>3.4827975000000003E-3</v>
      </c>
      <c r="R33" s="2235">
        <f>IFERROR(IF(VLOOKUP(R9,'rNPV Assumptions_Diabetes'!$B$45:$F$54,COLUMNS('rNPV Assumptions_Diabetes'!$B$45:$F$45),FALSE)="NA",0,VLOOKUP(R9,'rNPV Assumptions_Diabetes'!$B$45:$F$54,COLUMNS('rNPV Assumptions_Diabetes'!$B$45:$F$45),FALSE)),0%)</f>
        <v>3.4827975000000003E-3</v>
      </c>
      <c r="S33" s="2235">
        <f>IFERROR(IF(VLOOKUP(S9,'rNPV Assumptions_Diabetes'!$B$45:$F$54,COLUMNS('rNPV Assumptions_Diabetes'!$B$45:$F$45),FALSE)="NA",0,VLOOKUP(S9,'rNPV Assumptions_Diabetes'!$B$45:$F$54,COLUMNS('rNPV Assumptions_Diabetes'!$B$45:$F$45),FALSE)),0%)</f>
        <v>3.4827975000000003E-3</v>
      </c>
      <c r="T33" s="2235">
        <f>IFERROR(IF(VLOOKUP(T9,'rNPV Assumptions_Diabetes'!$B$45:$F$54,COLUMNS('rNPV Assumptions_Diabetes'!$B$45:$F$45),FALSE)="NA",0,VLOOKUP(T9,'rNPV Assumptions_Diabetes'!$B$45:$F$54,COLUMNS('rNPV Assumptions_Diabetes'!$B$45:$F$45),FALSE)),0%)</f>
        <v>2.6120981250000001E-3</v>
      </c>
      <c r="U33" s="2235">
        <f>IFERROR(IF(VLOOKUP(U9,'rNPV Assumptions_Diabetes'!$B$45:$F$54,COLUMNS('rNPV Assumptions_Diabetes'!$B$45:$F$45),FALSE)="NA",0,VLOOKUP(U9,'rNPV Assumptions_Diabetes'!$B$45:$F$54,COLUMNS('rNPV Assumptions_Diabetes'!$B$45:$F$45),FALSE)),0%)</f>
        <v>2.6120981250000001E-3</v>
      </c>
      <c r="V33" s="2235">
        <f>IFERROR(IF(VLOOKUP(V9,'rNPV Assumptions_Diabetes'!$B$45:$F$54,COLUMNS('rNPV Assumptions_Diabetes'!$B$45:$F$45),FALSE)="NA",0,VLOOKUP(V9,'rNPV Assumptions_Diabetes'!$B$45:$F$54,COLUMNS('rNPV Assumptions_Diabetes'!$B$45:$F$45),FALSE)),0%)</f>
        <v>2.6120981250000001E-3</v>
      </c>
      <c r="W33" s="2235">
        <f>IFERROR(IF(VLOOKUP(W9,'rNPV Assumptions_Diabetes'!$B$45:$F$54,COLUMNS('rNPV Assumptions_Diabetes'!$B$45:$F$45),FALSE)="NA",0,VLOOKUP(W9,'rNPV Assumptions_Diabetes'!$B$45:$F$54,COLUMNS('rNPV Assumptions_Diabetes'!$B$45:$F$45),FALSE)),0%)</f>
        <v>2.6120981250000001E-3</v>
      </c>
      <c r="X33" s="2235">
        <f>IFERROR(IF(VLOOKUP(X9,'rNPV Assumptions_Diabetes'!$B$45:$F$54,COLUMNS('rNPV Assumptions_Diabetes'!$B$45:$F$45),FALSE)="NA",0,VLOOKUP(X9,'rNPV Assumptions_Diabetes'!$B$45:$F$54,COLUMNS('rNPV Assumptions_Diabetes'!$B$45:$F$45),FALSE)),0%)</f>
        <v>2.6120981250000001E-3</v>
      </c>
      <c r="Y33" s="2235">
        <f>IFERROR(IF(VLOOKUP(Y9,'rNPV Assumptions_Diabetes'!$B$45:$F$54,COLUMNS('rNPV Assumptions_Diabetes'!$B$45:$F$45),FALSE)="NA",0,VLOOKUP(Y9,'rNPV Assumptions_Diabetes'!$B$45:$F$54,COLUMNS('rNPV Assumptions_Diabetes'!$B$45:$F$45),FALSE)),0%)</f>
        <v>2.6120981250000001E-3</v>
      </c>
      <c r="Z33" s="2235">
        <f>IFERROR(IF(VLOOKUP(Z9,'rNPV Assumptions_Diabetes'!$B$45:$F$54,COLUMNS('rNPV Assumptions_Diabetes'!$B$45:$F$45),FALSE)="NA",0,VLOOKUP(Z9,'rNPV Assumptions_Diabetes'!$B$45:$F$54,COLUMNS('rNPV Assumptions_Diabetes'!$B$45:$F$45),FALSE)),0%)</f>
        <v>2.6120981250000001E-3</v>
      </c>
      <c r="AA33" s="2235">
        <f>IFERROR(IF(VLOOKUP(AA9,'rNPV Assumptions_Diabetes'!$B$45:$F$54,COLUMNS('rNPV Assumptions_Diabetes'!$B$45:$F$45),FALSE)="NA",0,VLOOKUP(AA9,'rNPV Assumptions_Diabetes'!$B$45:$F$54,COLUMNS('rNPV Assumptions_Diabetes'!$B$45:$F$45),FALSE)),0%)</f>
        <v>2.6120981250000001E-3</v>
      </c>
      <c r="AB33" s="2235">
        <f>IFERROR(IF(VLOOKUP(AB9,'rNPV Assumptions_Diabetes'!$B$45:$F$54,COLUMNS('rNPV Assumptions_Diabetes'!$B$45:$F$45),FALSE)="NA",0,VLOOKUP(AB9,'rNPV Assumptions_Diabetes'!$B$45:$F$54,COLUMNS('rNPV Assumptions_Diabetes'!$B$45:$F$45),FALSE)),0%)</f>
        <v>2.6120981250000001E-3</v>
      </c>
      <c r="AC33" s="2235">
        <f>IFERROR(IF(VLOOKUP(AC9,'rNPV Assumptions_Diabetes'!$B$45:$F$54,COLUMNS('rNPV Assumptions_Diabetes'!$B$45:$F$45),FALSE)="NA",0,VLOOKUP(AC9,'rNPV Assumptions_Diabetes'!$B$45:$F$54,COLUMNS('rNPV Assumptions_Diabetes'!$B$45:$F$45),FALSE)),0%)</f>
        <v>2.6120981250000001E-3</v>
      </c>
      <c r="AD33" s="2235">
        <f>IFERROR(IF(VLOOKUP(AD9,'rNPV Assumptions_Diabetes'!$B$45:$F$54,COLUMNS('rNPV Assumptions_Diabetes'!$B$45:$F$45),FALSE)="NA",0,VLOOKUP(AD9,'rNPV Assumptions_Diabetes'!$B$45:$F$54,COLUMNS('rNPV Assumptions_Diabetes'!$B$45:$F$45),FALSE)),0%)</f>
        <v>2.6120981250000001E-3</v>
      </c>
      <c r="AE33" s="2235">
        <f>IFERROR(IF(VLOOKUP(AE9,'rNPV Assumptions_Diabetes'!$B$45:$F$54,COLUMNS('rNPV Assumptions_Diabetes'!$B$45:$F$45),FALSE)="NA",0,VLOOKUP(AE9,'rNPV Assumptions_Diabetes'!$B$45:$F$54,COLUMNS('rNPV Assumptions_Diabetes'!$B$45:$F$45),FALSE)),0%)</f>
        <v>0</v>
      </c>
      <c r="AF33" s="2235">
        <f>IFERROR(IF(VLOOKUP(AF14,'rNPV Assumptions_Diabetes'!$B$45:$F$54,COLUMNS('rNPV Assumptions_Diabetes'!$B$45:$F$45),FALSE)="NA",0,VLOOKUP(AF14,'rNPV Assumptions_Diabetes'!$B$45:$F$54,COLUMNS('rNPV Assumptions_Diabetes'!$B$45:$F$45),FALSE)),0%)</f>
        <v>0</v>
      </c>
      <c r="AG33" s="2235">
        <f>IFERROR(IF(VLOOKUP(AG14,'rNPV Assumptions_Diabetes'!$B$45:$F$54,COLUMNS('rNPV Assumptions_Diabetes'!$B$45:$F$45),FALSE)="NA",0,VLOOKUP(AG14,'rNPV Assumptions_Diabetes'!$B$45:$F$54,COLUMNS('rNPV Assumptions_Diabetes'!$B$45:$F$45),FALSE)),0%)</f>
        <v>0</v>
      </c>
      <c r="AI33" s="720"/>
      <c r="AJ33" s="720"/>
      <c r="AK33" s="720"/>
      <c r="AL33" s="720"/>
      <c r="AM33" s="720"/>
      <c r="AN33" s="720"/>
      <c r="AO33" s="720"/>
    </row>
    <row r="34" spans="1:41" s="1984" customFormat="1">
      <c r="A34" s="720"/>
      <c r="B34" s="2223" t="str">
        <f>"Probability Adjusted Milestones "&amp;$B$17</f>
        <v>Probability Adjusted Milestones Indication #4</v>
      </c>
      <c r="C34" s="720"/>
      <c r="D34" s="720"/>
      <c r="E34" s="720"/>
      <c r="F34" s="2241">
        <f>F31*F33</f>
        <v>0</v>
      </c>
      <c r="G34" s="2241">
        <f t="shared" ref="G34:AG34" si="8">G31*G33</f>
        <v>0</v>
      </c>
      <c r="H34" s="2241">
        <f t="shared" si="8"/>
        <v>0</v>
      </c>
      <c r="I34" s="2241">
        <f t="shared" si="8"/>
        <v>0</v>
      </c>
      <c r="J34" s="2241">
        <f t="shared" si="8"/>
        <v>0</v>
      </c>
      <c r="K34" s="2241">
        <f t="shared" si="8"/>
        <v>0</v>
      </c>
      <c r="L34" s="2241">
        <f t="shared" si="8"/>
        <v>0</v>
      </c>
      <c r="M34" s="2241">
        <f t="shared" si="8"/>
        <v>0</v>
      </c>
      <c r="N34" s="2241">
        <f t="shared" si="8"/>
        <v>0</v>
      </c>
      <c r="O34" s="2241">
        <f t="shared" si="8"/>
        <v>0</v>
      </c>
      <c r="P34" s="2241">
        <f t="shared" si="8"/>
        <v>0</v>
      </c>
      <c r="Q34" s="2241">
        <f t="shared" si="8"/>
        <v>0</v>
      </c>
      <c r="R34" s="2241">
        <f t="shared" si="8"/>
        <v>0</v>
      </c>
      <c r="S34" s="2241">
        <f t="shared" si="8"/>
        <v>0</v>
      </c>
      <c r="T34" s="2241">
        <f t="shared" si="8"/>
        <v>0</v>
      </c>
      <c r="U34" s="2241">
        <f t="shared" si="8"/>
        <v>0</v>
      </c>
      <c r="V34" s="2241">
        <f t="shared" si="8"/>
        <v>0</v>
      </c>
      <c r="W34" s="2241">
        <f t="shared" si="8"/>
        <v>0</v>
      </c>
      <c r="X34" s="2241">
        <f t="shared" si="8"/>
        <v>0</v>
      </c>
      <c r="Y34" s="2241">
        <f t="shared" si="8"/>
        <v>0</v>
      </c>
      <c r="Z34" s="2241">
        <f t="shared" si="8"/>
        <v>0</v>
      </c>
      <c r="AA34" s="2241">
        <f t="shared" si="8"/>
        <v>0</v>
      </c>
      <c r="AB34" s="2241">
        <f t="shared" si="8"/>
        <v>0</v>
      </c>
      <c r="AC34" s="2241">
        <f t="shared" si="8"/>
        <v>0</v>
      </c>
      <c r="AD34" s="2241">
        <f t="shared" si="8"/>
        <v>0</v>
      </c>
      <c r="AE34" s="2241">
        <f t="shared" si="8"/>
        <v>0</v>
      </c>
      <c r="AF34" s="2241">
        <f t="shared" si="8"/>
        <v>0</v>
      </c>
      <c r="AG34" s="2241">
        <f t="shared" si="8"/>
        <v>0</v>
      </c>
      <c r="AI34" s="720"/>
      <c r="AJ34" s="720"/>
      <c r="AK34" s="720"/>
      <c r="AL34" s="720"/>
      <c r="AM34" s="720"/>
      <c r="AN34" s="720"/>
      <c r="AO34" s="720"/>
    </row>
    <row r="35" spans="1:41">
      <c r="B35" s="2223"/>
      <c r="AH35" s="720"/>
    </row>
    <row r="36" spans="1:41">
      <c r="B36" s="2223" t="s">
        <v>4022</v>
      </c>
      <c r="F36" s="2238"/>
      <c r="G36" s="2238"/>
      <c r="H36" s="2238"/>
      <c r="I36" s="2238"/>
      <c r="J36" s="2238"/>
      <c r="K36" s="2238"/>
      <c r="L36" s="2238"/>
      <c r="M36" s="2238"/>
      <c r="N36" s="2238"/>
      <c r="O36" s="2238"/>
      <c r="P36" s="2238"/>
      <c r="Q36" s="2238"/>
      <c r="R36" s="2238"/>
      <c r="S36" s="2238"/>
      <c r="T36" s="2238"/>
      <c r="U36" s="2238"/>
      <c r="V36" s="2238"/>
      <c r="W36" s="2238"/>
      <c r="X36" s="2238"/>
      <c r="Y36" s="2238"/>
      <c r="Z36" s="2238"/>
      <c r="AA36" s="2238"/>
      <c r="AB36" s="2238"/>
      <c r="AC36" s="2238"/>
      <c r="AD36" s="2238"/>
      <c r="AE36" s="2238"/>
      <c r="AF36" s="2238"/>
      <c r="AG36" s="2238"/>
    </row>
    <row r="37" spans="1:41">
      <c r="B37" s="454">
        <f>'rNPV Assumptions_Diabetes'!B67</f>
        <v>500</v>
      </c>
      <c r="C37" s="2240">
        <f>'rNPV Assumptions_Diabetes'!C67</f>
        <v>10</v>
      </c>
      <c r="F37" s="2238">
        <f>IF(SUM($E37:E37)=0,IF(F$22&gt;=$B37,$C37,0),0)</f>
        <v>0</v>
      </c>
      <c r="G37" s="2238">
        <f>IF(SUM($E37:F37)=0,IF(G$22&gt;=$B37,$C37,0),0)</f>
        <v>0</v>
      </c>
      <c r="H37" s="2238">
        <f>IF(SUM($E37:G37)=0,IF(H$22&gt;=$B37,$C37,0),0)</f>
        <v>0</v>
      </c>
      <c r="I37" s="2238">
        <f>IF(SUM($E37:H37)=0,IF(I$22&gt;=$B37,$C37,0),0)</f>
        <v>0</v>
      </c>
      <c r="J37" s="2238">
        <f>IF(SUM($E37:I37)=0,IF(J$22&gt;=$B37,$C37,0),0)</f>
        <v>0</v>
      </c>
      <c r="K37" s="2238">
        <f>IF(SUM($E37:J37)=0,IF(K$22&gt;=$B37,$C37,0),0)</f>
        <v>0</v>
      </c>
      <c r="L37" s="2238">
        <f>IF(SUM($E37:K37)=0,IF(L$22&gt;=$B37,$C37,0),0)</f>
        <v>0</v>
      </c>
      <c r="M37" s="2238">
        <f>IF(SUM($E37:L37)=0,IF(M$22&gt;=$B37,$C37,0),0)</f>
        <v>0</v>
      </c>
      <c r="N37" s="2238">
        <f>IF(SUM($E37:M37)=0,IF(N$22&gt;=$B37,$C37,0),0)</f>
        <v>0</v>
      </c>
      <c r="O37" s="2238">
        <f>IF(SUM($E37:N37)=0,IF(O$22&gt;=$B37,$C37,0),0)</f>
        <v>0</v>
      </c>
      <c r="P37" s="2238">
        <f>IF(SUM($E37:O37)=0,IF(P$22&gt;=$B37,$C37,0),0)</f>
        <v>0</v>
      </c>
      <c r="Q37" s="2238">
        <f>IF(SUM($E37:P37)=0,IF(Q$22&gt;=$B37,$C37,0),0)</f>
        <v>0</v>
      </c>
      <c r="R37" s="2238">
        <f>IF(SUM($E37:Q37)=0,IF(R$22&gt;=$B37,$C37,0),0)</f>
        <v>0</v>
      </c>
      <c r="S37" s="2238">
        <f>IF(SUM($E37:R37)=0,IF(S$22&gt;=$B37,$C37,0),0)</f>
        <v>0</v>
      </c>
      <c r="T37" s="2238">
        <f>IF(SUM($E37:S37)=0,IF(T$22&gt;=$B37,$C37,0),0)</f>
        <v>0</v>
      </c>
      <c r="U37" s="2238">
        <f>IF(SUM($E37:T37)=0,IF(U$22&gt;=$B37,$C37,0),0)</f>
        <v>0</v>
      </c>
      <c r="V37" s="2238">
        <f>IF(SUM($E37:U37)=0,IF(V$22&gt;=$B37,$C37,0),0)</f>
        <v>0</v>
      </c>
      <c r="W37" s="2238">
        <f>IF(SUM($E37:V37)=0,IF(W$22&gt;=$B37,$C37,0),0)</f>
        <v>10</v>
      </c>
      <c r="X37" s="2238">
        <f>IF(SUM($E37:W37)=0,IF(X$22&gt;=$B37,$C37,0),0)</f>
        <v>0</v>
      </c>
      <c r="Y37" s="2238">
        <f>IF(SUM($E37:X37)=0,IF(Y$22&gt;=$B37,$C37,0),0)</f>
        <v>0</v>
      </c>
      <c r="Z37" s="2238">
        <f>IF(SUM($E37:Y37)=0,IF(Z$22&gt;=$B37,$C37,0),0)</f>
        <v>0</v>
      </c>
      <c r="AA37" s="2238">
        <f>IF(SUM($E37:Z37)=0,IF(AA$22&gt;=$B37,$C37,0),0)</f>
        <v>0</v>
      </c>
      <c r="AB37" s="2238">
        <f>IF(SUM($E37:AA37)=0,IF(AB$22&gt;=$B37,$C37,0),0)</f>
        <v>0</v>
      </c>
      <c r="AC37" s="2238">
        <f>IF(SUM($E37:AB37)=0,IF(AC$22&gt;=$B37,$C37,0),0)</f>
        <v>0</v>
      </c>
      <c r="AD37" s="2238">
        <f>IF(SUM($E37:AC37)=0,IF(AD$22&gt;=$B37,$C37,0),0)</f>
        <v>0</v>
      </c>
      <c r="AE37" s="2238">
        <f>IF(SUM($E37:AD37)=0,IF(AE$22&gt;=$B37,$C37,0),0)</f>
        <v>0</v>
      </c>
      <c r="AF37" s="2238">
        <f>IF(SUM($E37:AE37)=0,IF(AF$22&gt;=$B37,$C37,0),0)</f>
        <v>0</v>
      </c>
      <c r="AG37" s="2238">
        <f>IF(SUM($E37:AF37)=0,IF(AG$22&gt;=$B37,$C37,0),0)</f>
        <v>0</v>
      </c>
    </row>
    <row r="38" spans="1:41">
      <c r="B38" s="454">
        <f>'rNPV Assumptions_Diabetes'!B68</f>
        <v>1000</v>
      </c>
      <c r="C38" s="2240">
        <f>'rNPV Assumptions_Diabetes'!C68</f>
        <v>25</v>
      </c>
      <c r="F38" s="2238">
        <f>IF(SUM($E38:E38)=0,IF(F$22&gt;=$B38,$C38,0),0)</f>
        <v>0</v>
      </c>
      <c r="G38" s="2238">
        <f>IF(SUM($E38:F38)=0,IF(G$22&gt;=$B38,$C38,0),0)</f>
        <v>0</v>
      </c>
      <c r="H38" s="2238">
        <f>IF(SUM($E38:G38)=0,IF(H$22&gt;=$B38,$C38,0),0)</f>
        <v>0</v>
      </c>
      <c r="I38" s="2238">
        <f>IF(SUM($E38:H38)=0,IF(I$22&gt;=$B38,$C38,0),0)</f>
        <v>0</v>
      </c>
      <c r="J38" s="2238">
        <f>IF(SUM($E38:I38)=0,IF(J$22&gt;=$B38,$C38,0),0)</f>
        <v>0</v>
      </c>
      <c r="K38" s="2238">
        <f>IF(SUM($E38:J38)=0,IF(K$22&gt;=$B38,$C38,0),0)</f>
        <v>0</v>
      </c>
      <c r="L38" s="2238">
        <f>IF(SUM($E38:K38)=0,IF(L$22&gt;=$B38,$C38,0),0)</f>
        <v>0</v>
      </c>
      <c r="M38" s="2238">
        <f>IF(SUM($E38:L38)=0,IF(M$22&gt;=$B38,$C38,0),0)</f>
        <v>0</v>
      </c>
      <c r="N38" s="2238">
        <f>IF(SUM($E38:M38)=0,IF(N$22&gt;=$B38,$C38,0),0)</f>
        <v>0</v>
      </c>
      <c r="O38" s="2238">
        <f>IF(SUM($E38:N38)=0,IF(O$22&gt;=$B38,$C38,0),0)</f>
        <v>0</v>
      </c>
      <c r="P38" s="2238">
        <f>IF(SUM($E38:O38)=0,IF(P$22&gt;=$B38,$C38,0),0)</f>
        <v>0</v>
      </c>
      <c r="Q38" s="2238">
        <f>IF(SUM($E38:P38)=0,IF(Q$22&gt;=$B38,$C38,0),0)</f>
        <v>0</v>
      </c>
      <c r="R38" s="2238">
        <f>IF(SUM($E38:Q38)=0,IF(R$22&gt;=$B38,$C38,0),0)</f>
        <v>0</v>
      </c>
      <c r="S38" s="2238">
        <f>IF(SUM($E38:R38)=0,IF(S$22&gt;=$B38,$C38,0),0)</f>
        <v>0</v>
      </c>
      <c r="T38" s="2238">
        <f>IF(SUM($E38:S38)=0,IF(T$22&gt;=$B38,$C38,0),0)</f>
        <v>0</v>
      </c>
      <c r="U38" s="2238">
        <f>IF(SUM($E38:T38)=0,IF(U$22&gt;=$B38,$C38,0),0)</f>
        <v>0</v>
      </c>
      <c r="V38" s="2238">
        <f>IF(SUM($E38:U38)=0,IF(V$22&gt;=$B38,$C38,0),0)</f>
        <v>0</v>
      </c>
      <c r="W38" s="2238">
        <f>IF(SUM($E38:V38)=0,IF(W$22&gt;=$B38,$C38,0),0)</f>
        <v>0</v>
      </c>
      <c r="X38" s="2238">
        <f>IF(SUM($E38:W38)=0,IF(X$22&gt;=$B38,$C38,0),0)</f>
        <v>25</v>
      </c>
      <c r="Y38" s="2238">
        <f>IF(SUM($E38:X38)=0,IF(Y$22&gt;=$B38,$C38,0),0)</f>
        <v>0</v>
      </c>
      <c r="Z38" s="2238">
        <f>IF(SUM($E38:Y38)=0,IF(Z$22&gt;=$B38,$C38,0),0)</f>
        <v>0</v>
      </c>
      <c r="AA38" s="2238">
        <f>IF(SUM($E38:Z38)=0,IF(AA$22&gt;=$B38,$C38,0),0)</f>
        <v>0</v>
      </c>
      <c r="AB38" s="2238">
        <f>IF(SUM($E38:AA38)=0,IF(AB$22&gt;=$B38,$C38,0),0)</f>
        <v>0</v>
      </c>
      <c r="AC38" s="2238">
        <f>IF(SUM($E38:AB38)=0,IF(AC$22&gt;=$B38,$C38,0),0)</f>
        <v>0</v>
      </c>
      <c r="AD38" s="2238">
        <f>IF(SUM($E38:AC38)=0,IF(AD$22&gt;=$B38,$C38,0),0)</f>
        <v>0</v>
      </c>
      <c r="AE38" s="2238">
        <f>IF(SUM($E38:AD38)=0,IF(AE$22&gt;=$B38,$C38,0),0)</f>
        <v>0</v>
      </c>
      <c r="AF38" s="2238">
        <f>IF(SUM($E38:AE38)=0,IF(AF$22&gt;=$B38,$C38,0),0)</f>
        <v>0</v>
      </c>
      <c r="AG38" s="2238">
        <f>IF(SUM($E38:AF38)=0,IF(AG$22&gt;=$B38,$C38,0),0)</f>
        <v>0</v>
      </c>
    </row>
    <row r="39" spans="1:41">
      <c r="B39" s="454">
        <f>'rNPV Assumptions_Diabetes'!B69</f>
        <v>2000</v>
      </c>
      <c r="C39" s="2240">
        <f>'rNPV Assumptions_Diabetes'!C69</f>
        <v>35</v>
      </c>
      <c r="F39" s="2238">
        <f>IF(SUM($E39:E39)=0,IF(F$22&gt;=$B39,$C39,0),0)</f>
        <v>0</v>
      </c>
      <c r="G39" s="2238">
        <f>IF(SUM($E39:F39)=0,IF(G$22&gt;=$B39,$C39,0),0)</f>
        <v>0</v>
      </c>
      <c r="H39" s="2238">
        <f>IF(SUM($E39:G39)=0,IF(H$22&gt;=$B39,$C39,0),0)</f>
        <v>0</v>
      </c>
      <c r="I39" s="2238">
        <f>IF(SUM($E39:H39)=0,IF(I$22&gt;=$B39,$C39,0),0)</f>
        <v>0</v>
      </c>
      <c r="J39" s="2238">
        <f>IF(SUM($E39:I39)=0,IF(J$22&gt;=$B39,$C39,0),0)</f>
        <v>0</v>
      </c>
      <c r="K39" s="2238">
        <f>IF(SUM($E39:J39)=0,IF(K$22&gt;=$B39,$C39,0),0)</f>
        <v>0</v>
      </c>
      <c r="L39" s="2238">
        <f>IF(SUM($E39:K39)=0,IF(L$22&gt;=$B39,$C39,0),0)</f>
        <v>0</v>
      </c>
      <c r="M39" s="2238">
        <f>IF(SUM($E39:L39)=0,IF(M$22&gt;=$B39,$C39,0),0)</f>
        <v>0</v>
      </c>
      <c r="N39" s="2238">
        <f>IF(SUM($E39:M39)=0,IF(N$22&gt;=$B39,$C39,0),0)</f>
        <v>0</v>
      </c>
      <c r="O39" s="2238">
        <f>IF(SUM($E39:N39)=0,IF(O$22&gt;=$B39,$C39,0),0)</f>
        <v>0</v>
      </c>
      <c r="P39" s="2238">
        <f>IF(SUM($E39:O39)=0,IF(P$22&gt;=$B39,$C39,0),0)</f>
        <v>0</v>
      </c>
      <c r="Q39" s="2238">
        <f>IF(SUM($E39:P39)=0,IF(Q$22&gt;=$B39,$C39,0),0)</f>
        <v>0</v>
      </c>
      <c r="R39" s="2238">
        <f>IF(SUM($E39:Q39)=0,IF(R$22&gt;=$B39,$C39,0),0)</f>
        <v>0</v>
      </c>
      <c r="S39" s="2238">
        <f>IF(SUM($E39:R39)=0,IF(S$22&gt;=$B39,$C39,0),0)</f>
        <v>0</v>
      </c>
      <c r="T39" s="2238">
        <f>IF(SUM($E39:S39)=0,IF(T$22&gt;=$B39,$C39,0),0)</f>
        <v>0</v>
      </c>
      <c r="U39" s="2238">
        <f>IF(SUM($E39:T39)=0,IF(U$22&gt;=$B39,$C39,0),0)</f>
        <v>0</v>
      </c>
      <c r="V39" s="2238">
        <f>IF(SUM($E39:U39)=0,IF(V$22&gt;=$B39,$C39,0),0)</f>
        <v>0</v>
      </c>
      <c r="W39" s="2238">
        <f>IF(SUM($E39:V39)=0,IF(W$22&gt;=$B39,$C39,0),0)</f>
        <v>0</v>
      </c>
      <c r="X39" s="2238">
        <f>IF(SUM($E39:W39)=0,IF(X$22&gt;=$B39,$C39,0),0)</f>
        <v>0</v>
      </c>
      <c r="Y39" s="2238">
        <f>IF(SUM($E39:X39)=0,IF(Y$22&gt;=$B39,$C39,0),0)</f>
        <v>0</v>
      </c>
      <c r="Z39" s="2238">
        <f>IF(SUM($E39:Y39)=0,IF(Z$22&gt;=$B39,$C39,0),0)</f>
        <v>0</v>
      </c>
      <c r="AA39" s="2238">
        <f>IF(SUM($E39:Z39)=0,IF(AA$22&gt;=$B39,$C39,0),0)</f>
        <v>0</v>
      </c>
      <c r="AB39" s="2238">
        <f>IF(SUM($E39:AA39)=0,IF(AB$22&gt;=$B39,$C39,0),0)</f>
        <v>0</v>
      </c>
      <c r="AC39" s="2238">
        <f>IF(SUM($E39:AB39)=0,IF(AC$22&gt;=$B39,$C39,0),0)</f>
        <v>0</v>
      </c>
      <c r="AD39" s="2238">
        <f>IF(SUM($E39:AC39)=0,IF(AD$22&gt;=$B39,$C39,0),0)</f>
        <v>35</v>
      </c>
      <c r="AE39" s="2238">
        <f>IF(SUM($E39:AD39)=0,IF(AE$22&gt;=$B39,$C39,0),0)</f>
        <v>0</v>
      </c>
      <c r="AF39" s="2238">
        <f>IF(SUM($E39:AE39)=0,IF(AF$22&gt;=$B39,$C39,0),0)</f>
        <v>0</v>
      </c>
      <c r="AG39" s="2238">
        <f>IF(SUM($E39:AF39)=0,IF(AG$22&gt;=$B39,$C39,0),0)</f>
        <v>0</v>
      </c>
    </row>
    <row r="40" spans="1:41">
      <c r="B40" s="2223" t="s">
        <v>4023</v>
      </c>
      <c r="AH40" s="720"/>
    </row>
    <row r="41" spans="1:41">
      <c r="B41" s="2473">
        <f>'rNPV Assumptions_Diabetes'!C76</f>
        <v>500</v>
      </c>
      <c r="C41" s="2233">
        <f>'rNPV Assumptions_Diabetes'!D76</f>
        <v>0.04</v>
      </c>
      <c r="F41" s="2238">
        <f t="shared" ref="F41:AG41" si="9">IF(F$22&gt;0,MIN(F$22,$B41)*$C41,0)</f>
        <v>0</v>
      </c>
      <c r="G41" s="2238">
        <f t="shared" si="9"/>
        <v>0</v>
      </c>
      <c r="H41" s="2238">
        <f t="shared" si="9"/>
        <v>0</v>
      </c>
      <c r="I41" s="2238">
        <f t="shared" si="9"/>
        <v>0</v>
      </c>
      <c r="J41" s="2238">
        <f t="shared" si="9"/>
        <v>0</v>
      </c>
      <c r="K41" s="2238">
        <f t="shared" si="9"/>
        <v>0</v>
      </c>
      <c r="L41" s="2238">
        <f t="shared" si="9"/>
        <v>0</v>
      </c>
      <c r="M41" s="2238">
        <f t="shared" si="9"/>
        <v>0</v>
      </c>
      <c r="N41" s="2238">
        <f t="shared" si="9"/>
        <v>0</v>
      </c>
      <c r="O41" s="2238">
        <f t="shared" si="9"/>
        <v>0</v>
      </c>
      <c r="P41" s="2238">
        <f t="shared" si="9"/>
        <v>0</v>
      </c>
      <c r="Q41" s="2238">
        <f t="shared" si="9"/>
        <v>0</v>
      </c>
      <c r="R41" s="2238">
        <f t="shared" si="9"/>
        <v>0</v>
      </c>
      <c r="S41" s="2238">
        <f t="shared" si="9"/>
        <v>0</v>
      </c>
      <c r="T41" s="2238">
        <f t="shared" si="9"/>
        <v>0</v>
      </c>
      <c r="U41" s="2238">
        <f t="shared" si="9"/>
        <v>3.8232281818251761</v>
      </c>
      <c r="V41" s="2238">
        <f t="shared" si="9"/>
        <v>12.692420314516561</v>
      </c>
      <c r="W41" s="2238">
        <f t="shared" si="9"/>
        <v>20</v>
      </c>
      <c r="X41" s="2238">
        <f t="shared" si="9"/>
        <v>20</v>
      </c>
      <c r="Y41" s="2238">
        <f t="shared" si="9"/>
        <v>20</v>
      </c>
      <c r="Z41" s="2238">
        <f t="shared" si="9"/>
        <v>20</v>
      </c>
      <c r="AA41" s="2238">
        <f t="shared" si="9"/>
        <v>20</v>
      </c>
      <c r="AB41" s="2238">
        <f t="shared" si="9"/>
        <v>20</v>
      </c>
      <c r="AC41" s="2238">
        <f t="shared" si="9"/>
        <v>20</v>
      </c>
      <c r="AD41" s="2238">
        <f t="shared" si="9"/>
        <v>20</v>
      </c>
      <c r="AE41" s="2238">
        <f t="shared" si="9"/>
        <v>0</v>
      </c>
      <c r="AF41" s="2238">
        <f t="shared" si="9"/>
        <v>0</v>
      </c>
      <c r="AG41" s="2238">
        <f t="shared" si="9"/>
        <v>0</v>
      </c>
    </row>
    <row r="42" spans="1:41">
      <c r="B42" s="2473">
        <f>'rNPV Assumptions_Diabetes'!C77</f>
        <v>1500</v>
      </c>
      <c r="C42" s="2233">
        <f>'rNPV Assumptions_Diabetes'!D77</f>
        <v>0.05</v>
      </c>
      <c r="F42" s="2238">
        <f t="shared" ref="F42:AG43" si="10">IF(F$22&gt;$B41,MIN((F$22-$B41),($B42-$B41))*$C42,0)</f>
        <v>0</v>
      </c>
      <c r="G42" s="2238">
        <f t="shared" si="10"/>
        <v>0</v>
      </c>
      <c r="H42" s="2238">
        <f t="shared" si="10"/>
        <v>0</v>
      </c>
      <c r="I42" s="2238">
        <f t="shared" si="10"/>
        <v>0</v>
      </c>
      <c r="J42" s="2238">
        <f t="shared" si="10"/>
        <v>0</v>
      </c>
      <c r="K42" s="2238">
        <f t="shared" si="10"/>
        <v>0</v>
      </c>
      <c r="L42" s="2238">
        <f t="shared" si="10"/>
        <v>0</v>
      </c>
      <c r="M42" s="2238">
        <f t="shared" si="10"/>
        <v>0</v>
      </c>
      <c r="N42" s="2238">
        <f t="shared" si="10"/>
        <v>0</v>
      </c>
      <c r="O42" s="2238">
        <f t="shared" si="10"/>
        <v>0</v>
      </c>
      <c r="P42" s="2238">
        <f t="shared" si="10"/>
        <v>0</v>
      </c>
      <c r="Q42" s="2238">
        <f t="shared" si="10"/>
        <v>0</v>
      </c>
      <c r="R42" s="2238">
        <f t="shared" si="10"/>
        <v>0</v>
      </c>
      <c r="S42" s="2238">
        <f t="shared" si="10"/>
        <v>0</v>
      </c>
      <c r="T42" s="2238">
        <f t="shared" si="10"/>
        <v>0</v>
      </c>
      <c r="U42" s="2238">
        <f t="shared" si="10"/>
        <v>0</v>
      </c>
      <c r="V42" s="2238">
        <f t="shared" si="10"/>
        <v>0</v>
      </c>
      <c r="W42" s="2238">
        <f t="shared" si="10"/>
        <v>11.944134018176364</v>
      </c>
      <c r="X42" s="2238">
        <f t="shared" si="10"/>
        <v>38.055865981823651</v>
      </c>
      <c r="Y42" s="2238">
        <f t="shared" si="10"/>
        <v>50</v>
      </c>
      <c r="Z42" s="2238">
        <f t="shared" si="10"/>
        <v>50</v>
      </c>
      <c r="AA42" s="2238">
        <f t="shared" si="10"/>
        <v>50</v>
      </c>
      <c r="AB42" s="2238">
        <f t="shared" si="10"/>
        <v>50</v>
      </c>
      <c r="AC42" s="2238">
        <f t="shared" si="10"/>
        <v>50</v>
      </c>
      <c r="AD42" s="2238">
        <f t="shared" si="10"/>
        <v>50</v>
      </c>
      <c r="AE42" s="2238">
        <f t="shared" si="10"/>
        <v>0</v>
      </c>
      <c r="AF42" s="2238">
        <f t="shared" si="10"/>
        <v>0</v>
      </c>
      <c r="AG42" s="2238">
        <f t="shared" si="10"/>
        <v>0</v>
      </c>
    </row>
    <row r="43" spans="1:41">
      <c r="B43" s="2474">
        <f>B42</f>
        <v>1500</v>
      </c>
      <c r="C43" s="2233">
        <f>'rNPV Assumptions_Diabetes'!D78</f>
        <v>0.06</v>
      </c>
      <c r="F43" s="2238">
        <f t="shared" si="10"/>
        <v>0</v>
      </c>
      <c r="G43" s="2238">
        <f t="shared" si="10"/>
        <v>0</v>
      </c>
      <c r="H43" s="2238">
        <f t="shared" si="10"/>
        <v>0</v>
      </c>
      <c r="I43" s="2238">
        <f t="shared" si="10"/>
        <v>0</v>
      </c>
      <c r="J43" s="2238">
        <f t="shared" si="10"/>
        <v>0</v>
      </c>
      <c r="K43" s="2238">
        <f t="shared" si="10"/>
        <v>0</v>
      </c>
      <c r="L43" s="2238">
        <f t="shared" si="10"/>
        <v>0</v>
      </c>
      <c r="M43" s="2238">
        <f t="shared" si="10"/>
        <v>0</v>
      </c>
      <c r="N43" s="2238">
        <f t="shared" si="10"/>
        <v>0</v>
      </c>
      <c r="O43" s="2238">
        <f t="shared" si="10"/>
        <v>0</v>
      </c>
      <c r="P43" s="2238">
        <f t="shared" si="10"/>
        <v>0</v>
      </c>
      <c r="Q43" s="2238">
        <f t="shared" si="10"/>
        <v>0</v>
      </c>
      <c r="R43" s="2238">
        <f t="shared" si="10"/>
        <v>0</v>
      </c>
      <c r="S43" s="2238">
        <f>IF(S$22&gt;$B42,(S$22-$B42)*$C43,0)</f>
        <v>0</v>
      </c>
      <c r="T43" s="2238">
        <f t="shared" ref="T43:AG43" si="11">IF(T$22&gt;$B42,(T$22-$B42)*$C43,0)</f>
        <v>0</v>
      </c>
      <c r="U43" s="2238">
        <f t="shared" si="11"/>
        <v>0</v>
      </c>
      <c r="V43" s="2238">
        <f t="shared" si="11"/>
        <v>0</v>
      </c>
      <c r="W43" s="2238">
        <f t="shared" si="11"/>
        <v>0</v>
      </c>
      <c r="X43" s="2238">
        <f t="shared" si="11"/>
        <v>0</v>
      </c>
      <c r="Y43" s="2238">
        <f t="shared" si="11"/>
        <v>10.961369528225163</v>
      </c>
      <c r="Z43" s="2238">
        <f t="shared" si="11"/>
        <v>24.265157727262231</v>
      </c>
      <c r="AA43" s="2238">
        <f t="shared" si="11"/>
        <v>28.822160564562566</v>
      </c>
      <c r="AB43" s="2238">
        <f t="shared" si="11"/>
        <v>29.838012236204385</v>
      </c>
      <c r="AC43" s="2238">
        <f t="shared" si="11"/>
        <v>29.985256033204173</v>
      </c>
      <c r="AD43" s="2238">
        <f t="shared" si="11"/>
        <v>39.599048292270744</v>
      </c>
      <c r="AE43" s="2238">
        <f t="shared" si="11"/>
        <v>0</v>
      </c>
      <c r="AF43" s="2238">
        <f t="shared" si="11"/>
        <v>0</v>
      </c>
      <c r="AG43" s="2238">
        <f t="shared" si="11"/>
        <v>0</v>
      </c>
    </row>
    <row r="44" spans="1:41" s="1984" customFormat="1" ht="12.75" customHeight="1">
      <c r="A44" s="720"/>
      <c r="B44" s="3179" t="s">
        <v>4380</v>
      </c>
      <c r="C44" s="1171"/>
      <c r="D44" s="720"/>
      <c r="E44" s="720"/>
      <c r="F44" s="2289">
        <f>SUM(F37:F43)</f>
        <v>0</v>
      </c>
      <c r="G44" s="2289">
        <f t="shared" ref="G44:AG44" si="12">SUM(G37:G43)</f>
        <v>0</v>
      </c>
      <c r="H44" s="2289">
        <f t="shared" si="12"/>
        <v>0</v>
      </c>
      <c r="I44" s="2289">
        <f t="shared" si="12"/>
        <v>0</v>
      </c>
      <c r="J44" s="2289">
        <f t="shared" si="12"/>
        <v>0</v>
      </c>
      <c r="K44" s="2289">
        <f t="shared" si="12"/>
        <v>0</v>
      </c>
      <c r="L44" s="2289">
        <f t="shared" si="12"/>
        <v>0</v>
      </c>
      <c r="M44" s="2289">
        <f t="shared" si="12"/>
        <v>0</v>
      </c>
      <c r="N44" s="2289">
        <f t="shared" si="12"/>
        <v>0</v>
      </c>
      <c r="O44" s="2289">
        <f t="shared" si="12"/>
        <v>0</v>
      </c>
      <c r="P44" s="2289">
        <f t="shared" si="12"/>
        <v>0</v>
      </c>
      <c r="Q44" s="2289">
        <f t="shared" si="12"/>
        <v>0</v>
      </c>
      <c r="R44" s="2289">
        <f t="shared" si="12"/>
        <v>0</v>
      </c>
      <c r="S44" s="2289">
        <f t="shared" si="12"/>
        <v>0</v>
      </c>
      <c r="T44" s="2289">
        <f t="shared" si="12"/>
        <v>0</v>
      </c>
      <c r="U44" s="2289">
        <f t="shared" si="12"/>
        <v>3.8232281818251761</v>
      </c>
      <c r="V44" s="2289">
        <f t="shared" si="12"/>
        <v>12.692420314516561</v>
      </c>
      <c r="W44" s="2289">
        <f t="shared" si="12"/>
        <v>41.944134018176364</v>
      </c>
      <c r="X44" s="2289">
        <f t="shared" si="12"/>
        <v>83.055865981823644</v>
      </c>
      <c r="Y44" s="2289">
        <f t="shared" si="12"/>
        <v>80.961369528225163</v>
      </c>
      <c r="Z44" s="2289">
        <f t="shared" si="12"/>
        <v>94.265157727262235</v>
      </c>
      <c r="AA44" s="2289">
        <f t="shared" si="12"/>
        <v>98.822160564562566</v>
      </c>
      <c r="AB44" s="2289">
        <f t="shared" si="12"/>
        <v>99.838012236204378</v>
      </c>
      <c r="AC44" s="2289">
        <f t="shared" si="12"/>
        <v>99.985256033204166</v>
      </c>
      <c r="AD44" s="2289">
        <f t="shared" si="12"/>
        <v>144.59904829227074</v>
      </c>
      <c r="AE44" s="2289">
        <f t="shared" si="12"/>
        <v>0</v>
      </c>
      <c r="AF44" s="2289">
        <f t="shared" si="12"/>
        <v>0</v>
      </c>
      <c r="AG44" s="2289">
        <f t="shared" si="12"/>
        <v>0</v>
      </c>
      <c r="AI44" s="720"/>
      <c r="AJ44" s="720"/>
      <c r="AK44" s="720"/>
      <c r="AL44" s="720"/>
      <c r="AM44" s="720"/>
      <c r="AN44" s="720"/>
      <c r="AO44" s="720"/>
    </row>
    <row r="45" spans="1:41" s="1984" customFormat="1" ht="8.1" customHeight="1">
      <c r="A45" s="720"/>
      <c r="B45" s="2157"/>
      <c r="C45" s="1171"/>
      <c r="D45" s="720"/>
      <c r="E45" s="720"/>
      <c r="F45" s="720"/>
      <c r="G45" s="720"/>
      <c r="H45" s="720"/>
      <c r="I45" s="720"/>
      <c r="J45" s="720"/>
      <c r="K45" s="720"/>
      <c r="L45" s="720"/>
      <c r="M45" s="720"/>
      <c r="N45" s="720"/>
      <c r="O45" s="720"/>
      <c r="P45" s="720"/>
      <c r="Q45" s="720"/>
      <c r="R45" s="720"/>
      <c r="S45" s="720"/>
      <c r="T45" s="720"/>
      <c r="U45" s="720"/>
      <c r="V45" s="720"/>
      <c r="W45" s="720"/>
      <c r="X45" s="720"/>
      <c r="Y45" s="720"/>
      <c r="Z45" s="720"/>
      <c r="AA45" s="720"/>
      <c r="AB45" s="720"/>
      <c r="AC45" s="720"/>
      <c r="AD45" s="720"/>
      <c r="AE45" s="720"/>
      <c r="AF45" s="720"/>
      <c r="AG45" s="720"/>
      <c r="AI45" s="720"/>
      <c r="AJ45" s="720"/>
      <c r="AK45" s="720"/>
      <c r="AL45" s="720"/>
      <c r="AM45" s="720"/>
      <c r="AN45" s="720"/>
      <c r="AO45" s="720"/>
    </row>
    <row r="46" spans="1:41" s="1984" customFormat="1">
      <c r="A46" s="720"/>
      <c r="B46" s="2232" t="s">
        <v>2843</v>
      </c>
      <c r="C46" s="720"/>
      <c r="D46" s="720"/>
      <c r="E46" s="720"/>
      <c r="F46" s="2235">
        <f>IFERROR(IF(VLOOKUP(F9,'rNPV Assumptions_Diabetes'!$B$21:$F$30,COLUMNS('rNPV Assumptions_Diabetes'!$B$21:$F$21),FALSE)="NA",0,VLOOKUP(F9,'rNPV Assumptions_Diabetes'!$B$21:$F$30,COLUMNS('rNPV Assumptions_Diabetes'!$B$21:$F$21),FALSE)),0%)</f>
        <v>0</v>
      </c>
      <c r="G46" s="2235">
        <f>IFERROR(IF(VLOOKUP(G9,'rNPV Assumptions_Diabetes'!$B$21:$F$30,COLUMNS('rNPV Assumptions_Diabetes'!$B$21:$F$21),FALSE)="NA",0,VLOOKUP(G9,'rNPV Assumptions_Diabetes'!$B$21:$F$30,COLUMNS('rNPV Assumptions_Diabetes'!$B$21:$F$21),FALSE)),0%)</f>
        <v>0</v>
      </c>
      <c r="H46" s="2235">
        <f>IFERROR(IF(VLOOKUP(H9,'rNPV Assumptions_Diabetes'!$B$21:$F$30,COLUMNS('rNPV Assumptions_Diabetes'!$B$21:$F$21),FALSE)="NA",0,VLOOKUP(H9,'rNPV Assumptions_Diabetes'!$B$21:$F$30,COLUMNS('rNPV Assumptions_Diabetes'!$B$21:$F$21),FALSE)),0%)</f>
        <v>0</v>
      </c>
      <c r="I46" s="2235">
        <f>IFERROR(IF(VLOOKUP(I9,'rNPV Assumptions_Diabetes'!$B$21:$F$30,COLUMNS('rNPV Assumptions_Diabetes'!$B$21:$F$21),FALSE)="NA",0,VLOOKUP(I9,'rNPV Assumptions_Diabetes'!$B$21:$F$30,COLUMNS('rNPV Assumptions_Diabetes'!$B$21:$F$21),FALSE)),0%)</f>
        <v>0</v>
      </c>
      <c r="J46" s="2235">
        <f>IFERROR(IF(VLOOKUP(J9,'rNPV Assumptions_Diabetes'!$B$21:$F$30,COLUMNS('rNPV Assumptions_Diabetes'!$B$21:$F$21),FALSE)="NA",0,VLOOKUP(J9,'rNPV Assumptions_Diabetes'!$B$21:$F$30,COLUMNS('rNPV Assumptions_Diabetes'!$B$21:$F$21),FALSE)),0%)</f>
        <v>0</v>
      </c>
      <c r="K46" s="2235">
        <f>IFERROR(IF(VLOOKUP(K9,'rNPV Assumptions_Diabetes'!$B$21:$F$30,COLUMNS('rNPV Assumptions_Diabetes'!$B$21:$F$21),FALSE)="NA",0,VLOOKUP(K9,'rNPV Assumptions_Diabetes'!$B$21:$F$30,COLUMNS('rNPV Assumptions_Diabetes'!$B$21:$F$21),FALSE)),0%)</f>
        <v>4.725E-2</v>
      </c>
      <c r="L46" s="2235">
        <f>IFERROR(IF(VLOOKUP(L9,'rNPV Assumptions_Diabetes'!$B$21:$F$30,COLUMNS('rNPV Assumptions_Diabetes'!$B$21:$F$21),FALSE)="NA",0,VLOOKUP(L9,'rNPV Assumptions_Diabetes'!$B$21:$F$30,COLUMNS('rNPV Assumptions_Diabetes'!$B$21:$F$21),FALSE)),0%)</f>
        <v>3.3075E-2</v>
      </c>
      <c r="M46" s="2235">
        <f>IFERROR(IF(VLOOKUP(M9,'rNPV Assumptions_Diabetes'!$B$21:$F$30,COLUMNS('rNPV Assumptions_Diabetes'!$B$21:$F$21),FALSE)="NA",0,VLOOKUP(M9,'rNPV Assumptions_Diabetes'!$B$21:$F$30,COLUMNS('rNPV Assumptions_Diabetes'!$B$21:$F$21),FALSE)),0%)</f>
        <v>1.2899250000000003E-2</v>
      </c>
      <c r="N46" s="2235">
        <f>IFERROR(IF(VLOOKUP(N9,'rNPV Assumptions_Diabetes'!$B$21:$F$30,COLUMNS('rNPV Assumptions_Diabetes'!$B$21:$F$21),FALSE)="NA",0,VLOOKUP(N9,'rNPV Assumptions_Diabetes'!$B$21:$F$30,COLUMNS('rNPV Assumptions_Diabetes'!$B$21:$F$21),FALSE)),0%)</f>
        <v>1.2899250000000003E-2</v>
      </c>
      <c r="O46" s="2235">
        <f>IFERROR(IF(VLOOKUP(O9,'rNPV Assumptions_Diabetes'!$B$21:$F$30,COLUMNS('rNPV Assumptions_Diabetes'!$B$21:$F$21),FALSE)="NA",0,VLOOKUP(O9,'rNPV Assumptions_Diabetes'!$B$21:$F$30,COLUMNS('rNPV Assumptions_Diabetes'!$B$21:$F$21),FALSE)),0%)</f>
        <v>5.804662500000001E-3</v>
      </c>
      <c r="P46" s="2235">
        <f>IFERROR(IF(VLOOKUP(P9,'rNPV Assumptions_Diabetes'!$B$21:$F$30,COLUMNS('rNPV Assumptions_Diabetes'!$B$21:$F$21),FALSE)="NA",0,VLOOKUP(P9,'rNPV Assumptions_Diabetes'!$B$21:$F$30,COLUMNS('rNPV Assumptions_Diabetes'!$B$21:$F$21),FALSE)),0%)</f>
        <v>5.804662500000001E-3</v>
      </c>
      <c r="Q46" s="2235">
        <f>IFERROR(IF(VLOOKUP(Q9,'rNPV Assumptions_Diabetes'!$B$21:$F$30,COLUMNS('rNPV Assumptions_Diabetes'!$B$21:$F$21),FALSE)="NA",0,VLOOKUP(Q9,'rNPV Assumptions_Diabetes'!$B$21:$F$30,COLUMNS('rNPV Assumptions_Diabetes'!$B$21:$F$21),FALSE)),0%)</f>
        <v>3.4827975000000003E-3</v>
      </c>
      <c r="R46" s="2235">
        <f>IFERROR(IF(VLOOKUP(R9,'rNPV Assumptions_Diabetes'!$B$21:$F$30,COLUMNS('rNPV Assumptions_Diabetes'!$B$21:$F$21),FALSE)="NA",0,VLOOKUP(R9,'rNPV Assumptions_Diabetes'!$B$21:$F$30,COLUMNS('rNPV Assumptions_Diabetes'!$B$21:$F$21),FALSE)),0%)</f>
        <v>3.4827975000000003E-3</v>
      </c>
      <c r="S46" s="2235">
        <f>IFERROR(IF(VLOOKUP(S9,'rNPV Assumptions_Diabetes'!$B$21:$F$30,COLUMNS('rNPV Assumptions_Diabetes'!$B$21:$F$21),FALSE)="NA",0,VLOOKUP(S9,'rNPV Assumptions_Diabetes'!$B$21:$F$30,COLUMNS('rNPV Assumptions_Diabetes'!$B$21:$F$21),FALSE)),0%)</f>
        <v>3.4827975000000003E-3</v>
      </c>
      <c r="T46" s="2235">
        <f>IFERROR(IF(VLOOKUP(T9,'rNPV Assumptions_Diabetes'!$B$21:$F$30,COLUMNS('rNPV Assumptions_Diabetes'!$B$21:$F$21),FALSE)="NA",0,VLOOKUP(T9,'rNPV Assumptions_Diabetes'!$B$21:$F$30,COLUMNS('rNPV Assumptions_Diabetes'!$B$21:$F$21),FALSE)),0%)</f>
        <v>2.6120981250000001E-3</v>
      </c>
      <c r="U46" s="2235">
        <f>IFERROR(IF(VLOOKUP(U9,'rNPV Assumptions_Diabetes'!$B$21:$F$30,COLUMNS('rNPV Assumptions_Diabetes'!$B$21:$F$21),FALSE)="NA",0,VLOOKUP(U9,'rNPV Assumptions_Diabetes'!$B$21:$F$30,COLUMNS('rNPV Assumptions_Diabetes'!$B$21:$F$21),FALSE)),0%)</f>
        <v>2.6120981250000001E-3</v>
      </c>
      <c r="V46" s="2235">
        <f>IFERROR(IF(VLOOKUP(V9,'rNPV Assumptions_Diabetes'!$B$21:$F$30,COLUMNS('rNPV Assumptions_Diabetes'!$B$21:$F$21),FALSE)="NA",0,VLOOKUP(V9,'rNPV Assumptions_Diabetes'!$B$21:$F$30,COLUMNS('rNPV Assumptions_Diabetes'!$B$21:$F$21),FALSE)),0%)</f>
        <v>2.6120981250000001E-3</v>
      </c>
      <c r="W46" s="2235">
        <f>IFERROR(IF(VLOOKUP(W9,'rNPV Assumptions_Diabetes'!$B$21:$F$30,COLUMNS('rNPV Assumptions_Diabetes'!$B$21:$F$21),FALSE)="NA",0,VLOOKUP(W9,'rNPV Assumptions_Diabetes'!$B$21:$F$30,COLUMNS('rNPV Assumptions_Diabetes'!$B$21:$F$21),FALSE)),0%)</f>
        <v>2.6120981250000001E-3</v>
      </c>
      <c r="X46" s="2235">
        <f>IFERROR(IF(VLOOKUP(X9,'rNPV Assumptions_Diabetes'!$B$21:$F$30,COLUMNS('rNPV Assumptions_Diabetes'!$B$21:$F$21),FALSE)="NA",0,VLOOKUP(X9,'rNPV Assumptions_Diabetes'!$B$21:$F$30,COLUMNS('rNPV Assumptions_Diabetes'!$B$21:$F$21),FALSE)),0%)</f>
        <v>2.6120981250000001E-3</v>
      </c>
      <c r="Y46" s="2235">
        <f>IFERROR(IF(VLOOKUP(Y9,'rNPV Assumptions_Diabetes'!$B$21:$F$30,COLUMNS('rNPV Assumptions_Diabetes'!$B$21:$F$21),FALSE)="NA",0,VLOOKUP(Y9,'rNPV Assumptions_Diabetes'!$B$21:$F$30,COLUMNS('rNPV Assumptions_Diabetes'!$B$21:$F$21),FALSE)),0%)</f>
        <v>2.6120981250000001E-3</v>
      </c>
      <c r="Z46" s="2235">
        <f>IFERROR(IF(VLOOKUP(Z9,'rNPV Assumptions_Diabetes'!$B$21:$F$30,COLUMNS('rNPV Assumptions_Diabetes'!$B$21:$F$21),FALSE)="NA",0,VLOOKUP(Z9,'rNPV Assumptions_Diabetes'!$B$21:$F$30,COLUMNS('rNPV Assumptions_Diabetes'!$B$21:$F$21),FALSE)),0%)</f>
        <v>2.6120981250000001E-3</v>
      </c>
      <c r="AA46" s="2235">
        <f>IFERROR(IF(VLOOKUP(AA9,'rNPV Assumptions_Diabetes'!$B$21:$F$30,COLUMNS('rNPV Assumptions_Diabetes'!$B$21:$F$21),FALSE)="NA",0,VLOOKUP(AA9,'rNPV Assumptions_Diabetes'!$B$21:$F$30,COLUMNS('rNPV Assumptions_Diabetes'!$B$21:$F$21),FALSE)),0%)</f>
        <v>2.6120981250000001E-3</v>
      </c>
      <c r="AB46" s="2235">
        <f>IFERROR(IF(VLOOKUP(AB9,'rNPV Assumptions_Diabetes'!$B$21:$F$30,COLUMNS('rNPV Assumptions_Diabetes'!$B$21:$F$21),FALSE)="NA",0,VLOOKUP(AB9,'rNPV Assumptions_Diabetes'!$B$21:$F$30,COLUMNS('rNPV Assumptions_Diabetes'!$B$21:$F$21),FALSE)),0%)</f>
        <v>2.6120981250000001E-3</v>
      </c>
      <c r="AC46" s="2235">
        <f>IFERROR(IF(VLOOKUP(AC9,'rNPV Assumptions_Diabetes'!$B$21:$F$30,COLUMNS('rNPV Assumptions_Diabetes'!$B$21:$F$21),FALSE)="NA",0,VLOOKUP(AC9,'rNPV Assumptions_Diabetes'!$B$21:$F$30,COLUMNS('rNPV Assumptions_Diabetes'!$B$21:$F$21),FALSE)),0%)</f>
        <v>2.6120981250000001E-3</v>
      </c>
      <c r="AD46" s="2235">
        <f>IFERROR(IF(VLOOKUP(AD9,'rNPV Assumptions_Diabetes'!$B$21:$F$30,COLUMNS('rNPV Assumptions_Diabetes'!$B$21:$F$21),FALSE)="NA",0,VLOOKUP(AD9,'rNPV Assumptions_Diabetes'!$B$21:$F$30,COLUMNS('rNPV Assumptions_Diabetes'!$B$21:$F$21),FALSE)),0%)</f>
        <v>2.6120981250000001E-3</v>
      </c>
      <c r="AE46" s="2235">
        <f>IFERROR(IF(VLOOKUP(AE9,'rNPV Assumptions_Diabetes'!$B$21:$F$30,COLUMNS('rNPV Assumptions_Diabetes'!$B$21:$F$21),FALSE)="NA",0,VLOOKUP(AE9,'rNPV Assumptions_Diabetes'!$B$21:$F$30,COLUMNS('rNPV Assumptions_Diabetes'!$B$21:$F$21),FALSE)),0%)</f>
        <v>0</v>
      </c>
      <c r="AF46" s="2235">
        <f>IFERROR(IF(VLOOKUP(AF9,'rNPV Assumptions_Diabetes'!$B$21:$F$30,COLUMNS('rNPV Assumptions_Diabetes'!$B$21:$F$21),FALSE)="NA",0,VLOOKUP(AF9,'rNPV Assumptions_Diabetes'!$B$21:$F$30,COLUMNS('rNPV Assumptions_Diabetes'!$B$21:$F$21),FALSE)),0%)</f>
        <v>0</v>
      </c>
      <c r="AG46" s="2235">
        <f>IFERROR(IF(VLOOKUP(AG9,'rNPV Assumptions_Diabetes'!$B$21:$F$30,COLUMNS('rNPV Assumptions_Diabetes'!$B$21:$F$21),FALSE)="NA",0,VLOOKUP(AG9,'rNPV Assumptions_Diabetes'!$B$21:$F$30,COLUMNS('rNPV Assumptions_Diabetes'!$B$21:$F$21),FALSE)),0%)</f>
        <v>0</v>
      </c>
      <c r="AI46" s="720"/>
      <c r="AJ46" s="720"/>
      <c r="AK46" s="720"/>
      <c r="AL46" s="720"/>
      <c r="AM46" s="720"/>
      <c r="AN46" s="720"/>
      <c r="AO46" s="720"/>
    </row>
    <row r="47" spans="1:41" s="1984" customFormat="1">
      <c r="A47" s="720"/>
      <c r="B47" s="2223" t="s">
        <v>2844</v>
      </c>
      <c r="C47" s="720"/>
      <c r="D47" s="720"/>
      <c r="E47" s="720"/>
      <c r="F47" s="2241">
        <f t="shared" ref="F47:AG47" si="13">F44*F46</f>
        <v>0</v>
      </c>
      <c r="G47" s="2241">
        <f t="shared" si="13"/>
        <v>0</v>
      </c>
      <c r="H47" s="2241">
        <f t="shared" si="13"/>
        <v>0</v>
      </c>
      <c r="I47" s="2241">
        <f t="shared" si="13"/>
        <v>0</v>
      </c>
      <c r="J47" s="2241">
        <f t="shared" si="13"/>
        <v>0</v>
      </c>
      <c r="K47" s="2241">
        <f t="shared" si="13"/>
        <v>0</v>
      </c>
      <c r="L47" s="2241">
        <f t="shared" si="13"/>
        <v>0</v>
      </c>
      <c r="M47" s="2241">
        <f t="shared" si="13"/>
        <v>0</v>
      </c>
      <c r="N47" s="2241">
        <f t="shared" si="13"/>
        <v>0</v>
      </c>
      <c r="O47" s="2241">
        <f t="shared" si="13"/>
        <v>0</v>
      </c>
      <c r="P47" s="2241">
        <f t="shared" si="13"/>
        <v>0</v>
      </c>
      <c r="Q47" s="2241">
        <f t="shared" si="13"/>
        <v>0</v>
      </c>
      <c r="R47" s="2241">
        <f t="shared" si="13"/>
        <v>0</v>
      </c>
      <c r="S47" s="2241">
        <f t="shared" si="13"/>
        <v>0</v>
      </c>
      <c r="T47" s="2241">
        <f t="shared" si="13"/>
        <v>0</v>
      </c>
      <c r="U47" s="2241">
        <f t="shared" si="13"/>
        <v>9.9866471651927028E-3</v>
      </c>
      <c r="V47" s="2241">
        <f t="shared" si="13"/>
        <v>3.3153847305260623E-2</v>
      </c>
      <c r="W47" s="2241">
        <f t="shared" si="13"/>
        <v>0.1095621938236272</v>
      </c>
      <c r="X47" s="2241">
        <f t="shared" si="13"/>
        <v>0.21695007180137282</v>
      </c>
      <c r="Y47" s="2241">
        <f t="shared" si="13"/>
        <v>0.21147904154210909</v>
      </c>
      <c r="Z47" s="2241">
        <f t="shared" si="13"/>
        <v>0.24622984175221097</v>
      </c>
      <c r="AA47" s="2241">
        <f t="shared" si="13"/>
        <v>0.25813318031914284</v>
      </c>
      <c r="AB47" s="2241">
        <f t="shared" si="13"/>
        <v>0.26078668456591653</v>
      </c>
      <c r="AC47" s="2241">
        <f t="shared" si="13"/>
        <v>0.26117129981197756</v>
      </c>
      <c r="AD47" s="2241">
        <f t="shared" si="13"/>
        <v>0.37770690292102488</v>
      </c>
      <c r="AE47" s="2241">
        <f t="shared" si="13"/>
        <v>0</v>
      </c>
      <c r="AF47" s="2241">
        <f t="shared" si="13"/>
        <v>0</v>
      </c>
      <c r="AG47" s="2241">
        <f t="shared" si="13"/>
        <v>0</v>
      </c>
      <c r="AI47" s="720"/>
      <c r="AJ47" s="720"/>
      <c r="AK47" s="720"/>
      <c r="AL47" s="720"/>
      <c r="AM47" s="720"/>
      <c r="AN47" s="720"/>
      <c r="AO47" s="720"/>
    </row>
    <row r="48" spans="1:41" s="1984" customFormat="1" ht="8.1" customHeight="1">
      <c r="A48" s="720"/>
      <c r="B48" s="720"/>
      <c r="C48" s="720"/>
      <c r="D48" s="720"/>
      <c r="E48" s="720"/>
      <c r="F48" s="720"/>
      <c r="G48" s="720"/>
      <c r="H48" s="720"/>
      <c r="I48" s="720"/>
      <c r="J48" s="720"/>
      <c r="K48" s="720"/>
      <c r="L48" s="720"/>
      <c r="M48" s="720"/>
      <c r="N48" s="720"/>
      <c r="O48" s="720"/>
      <c r="P48" s="720"/>
      <c r="Q48" s="720"/>
      <c r="R48" s="720"/>
      <c r="S48" s="720"/>
      <c r="T48" s="720"/>
      <c r="U48" s="720"/>
      <c r="V48" s="720"/>
      <c r="W48" s="720"/>
      <c r="X48" s="720"/>
      <c r="Y48" s="720"/>
      <c r="Z48" s="720"/>
      <c r="AA48" s="720"/>
      <c r="AB48" s="720"/>
      <c r="AC48" s="720"/>
      <c r="AD48" s="720"/>
      <c r="AE48" s="720"/>
      <c r="AF48" s="720"/>
      <c r="AG48" s="720"/>
      <c r="AI48" s="720"/>
      <c r="AJ48" s="720"/>
      <c r="AK48" s="720"/>
      <c r="AL48" s="720"/>
      <c r="AM48" s="720"/>
      <c r="AN48" s="720"/>
      <c r="AO48" s="720"/>
    </row>
    <row r="49" spans="1:68" s="1984" customFormat="1">
      <c r="A49" s="720"/>
      <c r="B49" s="2223" t="s">
        <v>4374</v>
      </c>
      <c r="C49" s="720"/>
      <c r="D49" s="720"/>
      <c r="E49" s="720"/>
      <c r="F49" s="2245">
        <f>+F29+F34+F47</f>
        <v>0</v>
      </c>
      <c r="G49" s="2245">
        <f t="shared" ref="G49:AG49" si="14">+G29+G34+G47</f>
        <v>0</v>
      </c>
      <c r="H49" s="2245">
        <f t="shared" si="14"/>
        <v>0</v>
      </c>
      <c r="I49" s="2245">
        <f t="shared" si="14"/>
        <v>0</v>
      </c>
      <c r="J49" s="2245">
        <f t="shared" si="14"/>
        <v>0</v>
      </c>
      <c r="K49" s="2245">
        <f t="shared" si="14"/>
        <v>0.30712499999999998</v>
      </c>
      <c r="L49" s="2245">
        <f t="shared" si="14"/>
        <v>9.9225000000000008E-2</v>
      </c>
      <c r="M49" s="2245">
        <f t="shared" si="14"/>
        <v>6.4496250000000019E-2</v>
      </c>
      <c r="N49" s="2245">
        <f t="shared" si="14"/>
        <v>0</v>
      </c>
      <c r="O49" s="2245">
        <f t="shared" si="14"/>
        <v>4.0632637500000006E-2</v>
      </c>
      <c r="P49" s="2245">
        <f t="shared" si="14"/>
        <v>0</v>
      </c>
      <c r="Q49" s="2245">
        <f t="shared" si="14"/>
        <v>3.1345177500000002E-2</v>
      </c>
      <c r="R49" s="2245">
        <f t="shared" si="14"/>
        <v>0</v>
      </c>
      <c r="S49" s="2245">
        <f t="shared" si="14"/>
        <v>0</v>
      </c>
      <c r="T49" s="2245">
        <f t="shared" si="14"/>
        <v>8.0975041875000001E-2</v>
      </c>
      <c r="U49" s="2245">
        <f t="shared" si="14"/>
        <v>9.9866471651927028E-3</v>
      </c>
      <c r="V49" s="2245">
        <f t="shared" si="14"/>
        <v>3.3153847305260623E-2</v>
      </c>
      <c r="W49" s="2245">
        <f t="shared" si="14"/>
        <v>0.1095621938236272</v>
      </c>
      <c r="X49" s="2245">
        <f t="shared" si="14"/>
        <v>0.21695007180137282</v>
      </c>
      <c r="Y49" s="2245">
        <f t="shared" si="14"/>
        <v>0.21147904154210909</v>
      </c>
      <c r="Z49" s="2245">
        <f t="shared" si="14"/>
        <v>0.24622984175221097</v>
      </c>
      <c r="AA49" s="2245">
        <f t="shared" si="14"/>
        <v>0.25813318031914284</v>
      </c>
      <c r="AB49" s="2245">
        <f t="shared" si="14"/>
        <v>0.26078668456591653</v>
      </c>
      <c r="AC49" s="2245">
        <f t="shared" si="14"/>
        <v>0.26117129981197756</v>
      </c>
      <c r="AD49" s="2245">
        <f t="shared" si="14"/>
        <v>0.37770690292102488</v>
      </c>
      <c r="AE49" s="2245">
        <f t="shared" si="14"/>
        <v>0</v>
      </c>
      <c r="AF49" s="2245">
        <f t="shared" si="14"/>
        <v>0</v>
      </c>
      <c r="AG49" s="2245">
        <f t="shared" si="14"/>
        <v>0</v>
      </c>
      <c r="AI49" s="720"/>
      <c r="AJ49" s="720"/>
      <c r="AK49" s="720"/>
      <c r="AL49" s="720"/>
      <c r="AM49" s="720"/>
      <c r="AN49" s="720"/>
      <c r="AO49" s="720"/>
    </row>
    <row r="50" spans="1:68" s="1984" customFormat="1" ht="8.1" customHeight="1">
      <c r="A50" s="720"/>
      <c r="B50" s="720"/>
      <c r="C50" s="720"/>
      <c r="D50" s="720"/>
      <c r="E50" s="720"/>
      <c r="F50" s="720"/>
      <c r="G50" s="720"/>
      <c r="H50" s="720"/>
      <c r="I50" s="720"/>
      <c r="J50" s="720"/>
      <c r="K50" s="720"/>
      <c r="L50" s="720"/>
      <c r="M50" s="720"/>
      <c r="N50" s="720"/>
      <c r="O50" s="720"/>
      <c r="P50" s="720"/>
      <c r="Q50" s="720"/>
      <c r="R50" s="720"/>
      <c r="S50" s="720"/>
      <c r="T50" s="720"/>
      <c r="U50" s="720"/>
      <c r="V50" s="720"/>
      <c r="W50" s="720"/>
      <c r="X50" s="720"/>
      <c r="Y50" s="720"/>
      <c r="Z50" s="720"/>
      <c r="AA50" s="720"/>
      <c r="AB50" s="720"/>
      <c r="AC50" s="720"/>
      <c r="AD50" s="720"/>
      <c r="AE50" s="720"/>
      <c r="AF50" s="720"/>
      <c r="AG50" s="720"/>
      <c r="AI50" s="720"/>
      <c r="AJ50" s="720"/>
      <c r="AK50" s="720"/>
      <c r="AL50" s="720"/>
      <c r="AM50" s="720"/>
      <c r="AN50" s="720"/>
      <c r="AO50" s="720"/>
    </row>
    <row r="51" spans="1:68" s="1984" customFormat="1">
      <c r="A51" s="720"/>
      <c r="B51" s="2157" t="s">
        <v>2845</v>
      </c>
      <c r="C51" s="720"/>
      <c r="D51" s="720"/>
      <c r="E51" s="720"/>
      <c r="F51" s="2242">
        <f>+F8-0.5</f>
        <v>0.5</v>
      </c>
      <c r="G51" s="2242">
        <f>+F51*2+0.5</f>
        <v>1.5</v>
      </c>
      <c r="H51" s="2242">
        <f>+G51+1</f>
        <v>2.5</v>
      </c>
      <c r="I51" s="2242">
        <f t="shared" ref="I51:AG51" si="15">+H51+1</f>
        <v>3.5</v>
      </c>
      <c r="J51" s="2242">
        <f t="shared" si="15"/>
        <v>4.5</v>
      </c>
      <c r="K51" s="2242">
        <f t="shared" si="15"/>
        <v>5.5</v>
      </c>
      <c r="L51" s="2242">
        <f t="shared" si="15"/>
        <v>6.5</v>
      </c>
      <c r="M51" s="2242">
        <f t="shared" si="15"/>
        <v>7.5</v>
      </c>
      <c r="N51" s="2242">
        <f t="shared" si="15"/>
        <v>8.5</v>
      </c>
      <c r="O51" s="2242">
        <f t="shared" si="15"/>
        <v>9.5</v>
      </c>
      <c r="P51" s="2242">
        <f t="shared" si="15"/>
        <v>10.5</v>
      </c>
      <c r="Q51" s="2242">
        <f t="shared" si="15"/>
        <v>11.5</v>
      </c>
      <c r="R51" s="2242">
        <f t="shared" si="15"/>
        <v>12.5</v>
      </c>
      <c r="S51" s="2242">
        <f t="shared" si="15"/>
        <v>13.5</v>
      </c>
      <c r="T51" s="2242">
        <f t="shared" si="15"/>
        <v>14.5</v>
      </c>
      <c r="U51" s="2242">
        <f t="shared" si="15"/>
        <v>15.5</v>
      </c>
      <c r="V51" s="2242">
        <f t="shared" si="15"/>
        <v>16.5</v>
      </c>
      <c r="W51" s="2242">
        <f t="shared" si="15"/>
        <v>17.5</v>
      </c>
      <c r="X51" s="2242">
        <f t="shared" si="15"/>
        <v>18.5</v>
      </c>
      <c r="Y51" s="2242">
        <f t="shared" si="15"/>
        <v>19.5</v>
      </c>
      <c r="Z51" s="2242">
        <f t="shared" si="15"/>
        <v>20.5</v>
      </c>
      <c r="AA51" s="2242">
        <f t="shared" si="15"/>
        <v>21.5</v>
      </c>
      <c r="AB51" s="2242">
        <f t="shared" si="15"/>
        <v>22.5</v>
      </c>
      <c r="AC51" s="2242">
        <f t="shared" si="15"/>
        <v>23.5</v>
      </c>
      <c r="AD51" s="2242">
        <f t="shared" si="15"/>
        <v>24.5</v>
      </c>
      <c r="AE51" s="2242">
        <f t="shared" si="15"/>
        <v>25.5</v>
      </c>
      <c r="AF51" s="2242">
        <f t="shared" si="15"/>
        <v>26.5</v>
      </c>
      <c r="AG51" s="2242">
        <f t="shared" si="15"/>
        <v>27.5</v>
      </c>
      <c r="AI51" s="720"/>
      <c r="AJ51" s="720"/>
      <c r="AK51" s="720"/>
      <c r="AL51" s="720"/>
      <c r="AM51" s="720"/>
      <c r="AN51" s="720"/>
      <c r="AO51" s="720"/>
    </row>
    <row r="52" spans="1:68" s="1984" customFormat="1">
      <c r="A52" s="720"/>
      <c r="B52" s="2157" t="s">
        <v>2846</v>
      </c>
      <c r="C52" s="1144">
        <f>'rNPV Assumptions_Diabetes'!D7</f>
        <v>0.2</v>
      </c>
      <c r="D52" s="1144"/>
      <c r="E52" s="1144"/>
      <c r="F52" s="2243">
        <f t="shared" ref="F52:AG52" si="16">1/(1+$C$52)^F51</f>
        <v>0.9128709291752769</v>
      </c>
      <c r="G52" s="2243">
        <f t="shared" si="16"/>
        <v>0.7607257743127307</v>
      </c>
      <c r="H52" s="2243">
        <f t="shared" si="16"/>
        <v>0.63393814526060899</v>
      </c>
      <c r="I52" s="2243">
        <f t="shared" si="16"/>
        <v>0.52828178771717416</v>
      </c>
      <c r="J52" s="2243">
        <f t="shared" si="16"/>
        <v>0.44023482309764517</v>
      </c>
      <c r="K52" s="2243">
        <f t="shared" si="16"/>
        <v>0.36686235258137107</v>
      </c>
      <c r="L52" s="2243">
        <f t="shared" si="16"/>
        <v>0.30571862715114251</v>
      </c>
      <c r="M52" s="2243">
        <f t="shared" si="16"/>
        <v>0.25476552262595203</v>
      </c>
      <c r="N52" s="2243">
        <f t="shared" si="16"/>
        <v>0.21230460218829345</v>
      </c>
      <c r="O52" s="2243">
        <f t="shared" si="16"/>
        <v>0.17692050182357785</v>
      </c>
      <c r="P52" s="2243">
        <f t="shared" si="16"/>
        <v>0.14743375151964822</v>
      </c>
      <c r="Q52" s="2243">
        <f t="shared" si="16"/>
        <v>0.12286145959970685</v>
      </c>
      <c r="R52" s="2243">
        <f t="shared" si="16"/>
        <v>0.10238454966642239</v>
      </c>
      <c r="S52" s="2243">
        <f t="shared" si="16"/>
        <v>8.5320458055351975E-2</v>
      </c>
      <c r="T52" s="2243">
        <f t="shared" si="16"/>
        <v>7.1100381712793329E-2</v>
      </c>
      <c r="U52" s="2243">
        <f t="shared" si="16"/>
        <v>5.9250318093994447E-2</v>
      </c>
      <c r="V52" s="2243">
        <f t="shared" si="16"/>
        <v>4.9375265078328692E-2</v>
      </c>
      <c r="W52" s="2243">
        <f t="shared" si="16"/>
        <v>4.1146054231940586E-2</v>
      </c>
      <c r="X52" s="2243">
        <f t="shared" si="16"/>
        <v>3.4288378526617161E-2</v>
      </c>
      <c r="Y52" s="2243">
        <f t="shared" si="16"/>
        <v>2.8573648772180955E-2</v>
      </c>
      <c r="Z52" s="2243">
        <f t="shared" si="16"/>
        <v>2.3811373976817471E-2</v>
      </c>
      <c r="AA52" s="2243">
        <f t="shared" si="16"/>
        <v>1.9842811647347896E-2</v>
      </c>
      <c r="AB52" s="2243">
        <f t="shared" si="16"/>
        <v>1.6535676372789913E-2</v>
      </c>
      <c r="AC52" s="2243">
        <f t="shared" si="16"/>
        <v>1.377973031065826E-2</v>
      </c>
      <c r="AD52" s="2243">
        <f t="shared" si="16"/>
        <v>1.1483108592215211E-2</v>
      </c>
      <c r="AE52" s="2243">
        <f t="shared" si="16"/>
        <v>9.5692571601793501E-3</v>
      </c>
      <c r="AF52" s="2243">
        <f t="shared" si="16"/>
        <v>7.9743809668161216E-3</v>
      </c>
      <c r="AG52" s="2243">
        <f t="shared" si="16"/>
        <v>6.6453174723467663E-3</v>
      </c>
      <c r="AI52" s="720"/>
      <c r="AJ52" s="720"/>
      <c r="AK52" s="720"/>
      <c r="AL52" s="720"/>
      <c r="AM52" s="720"/>
      <c r="AN52" s="720"/>
      <c r="AO52" s="720"/>
    </row>
    <row r="53" spans="1:68" s="1984" customFormat="1" ht="8.1" customHeight="1">
      <c r="A53" s="720"/>
      <c r="B53" s="720"/>
      <c r="C53" s="720"/>
      <c r="D53" s="720"/>
      <c r="E53" s="720"/>
      <c r="F53" s="720"/>
      <c r="G53" s="720"/>
      <c r="H53" s="720"/>
      <c r="I53" s="720"/>
      <c r="J53" s="720"/>
      <c r="K53" s="720"/>
      <c r="L53" s="720"/>
      <c r="M53" s="720"/>
      <c r="N53" s="720"/>
      <c r="O53" s="720"/>
      <c r="P53" s="720"/>
      <c r="Q53" s="720"/>
      <c r="R53" s="720"/>
      <c r="S53" s="720"/>
      <c r="T53" s="720"/>
      <c r="U53" s="720"/>
      <c r="V53" s="720"/>
      <c r="W53" s="720"/>
      <c r="X53" s="720"/>
      <c r="Y53" s="720"/>
      <c r="Z53" s="720"/>
      <c r="AA53" s="720"/>
      <c r="AB53" s="720"/>
      <c r="AC53" s="720"/>
      <c r="AD53" s="720"/>
      <c r="AE53" s="720"/>
      <c r="AF53" s="720"/>
      <c r="AG53" s="720"/>
      <c r="AI53" s="720"/>
      <c r="AJ53" s="720"/>
      <c r="AK53" s="720"/>
      <c r="AL53" s="720"/>
      <c r="AM53" s="720"/>
      <c r="AN53" s="720"/>
      <c r="AO53" s="720"/>
    </row>
    <row r="54" spans="1:68" s="1984" customFormat="1">
      <c r="A54" s="720"/>
      <c r="B54" s="2223" t="s">
        <v>2847</v>
      </c>
      <c r="C54" s="720"/>
      <c r="D54" s="720"/>
      <c r="E54" s="720"/>
      <c r="F54" s="2237">
        <f>F49*F52</f>
        <v>0</v>
      </c>
      <c r="G54" s="2237">
        <f t="shared" ref="G54:AG54" si="17">G49*G52</f>
        <v>0</v>
      </c>
      <c r="H54" s="2237">
        <f t="shared" si="17"/>
        <v>0</v>
      </c>
      <c r="I54" s="2237">
        <f t="shared" si="17"/>
        <v>0</v>
      </c>
      <c r="J54" s="2237">
        <f t="shared" si="17"/>
        <v>0</v>
      </c>
      <c r="K54" s="2237">
        <f t="shared" si="17"/>
        <v>0.11267260003655358</v>
      </c>
      <c r="L54" s="2237">
        <f t="shared" si="17"/>
        <v>3.0334930779072119E-2</v>
      </c>
      <c r="M54" s="2237">
        <f t="shared" si="17"/>
        <v>1.6431420838664064E-2</v>
      </c>
      <c r="N54" s="2237">
        <f t="shared" si="17"/>
        <v>0</v>
      </c>
      <c r="O54" s="2237">
        <f t="shared" si="17"/>
        <v>7.1887466169155293E-3</v>
      </c>
      <c r="P54" s="2237">
        <f t="shared" si="17"/>
        <v>0</v>
      </c>
      <c r="Q54" s="2237">
        <f t="shared" si="17"/>
        <v>3.8511142590618901E-3</v>
      </c>
      <c r="R54" s="2237">
        <f t="shared" si="17"/>
        <v>0</v>
      </c>
      <c r="S54" s="2237">
        <f t="shared" si="17"/>
        <v>0</v>
      </c>
      <c r="T54" s="2237">
        <f t="shared" si="17"/>
        <v>5.7573563865219238E-3</v>
      </c>
      <c r="U54" s="2237">
        <f t="shared" si="17"/>
        <v>5.9171202123015553E-4</v>
      </c>
      <c r="V54" s="2237">
        <f t="shared" si="17"/>
        <v>1.6369799990636766E-3</v>
      </c>
      <c r="W54" s="2237">
        <f t="shared" si="17"/>
        <v>4.5080519688373505E-3</v>
      </c>
      <c r="X54" s="2237">
        <f t="shared" si="17"/>
        <v>7.4388661833022429E-3</v>
      </c>
      <c r="Y54" s="2237">
        <f t="shared" si="17"/>
        <v>6.0427278557016904E-3</v>
      </c>
      <c r="Z54" s="2237">
        <f t="shared" si="17"/>
        <v>5.8630708462144802E-3</v>
      </c>
      <c r="AA54" s="2237">
        <f t="shared" si="17"/>
        <v>5.1220880770036425E-3</v>
      </c>
      <c r="AB54" s="2237">
        <f t="shared" si="17"/>
        <v>4.3122842183148415E-3</v>
      </c>
      <c r="AC54" s="2237">
        <f t="shared" si="17"/>
        <v>3.598870076293123E-3</v>
      </c>
      <c r="AD54" s="2237">
        <f t="shared" si="17"/>
        <v>4.3372493822714173E-3</v>
      </c>
      <c r="AE54" s="2237">
        <f t="shared" si="17"/>
        <v>0</v>
      </c>
      <c r="AF54" s="2237">
        <f t="shared" si="17"/>
        <v>0</v>
      </c>
      <c r="AG54" s="2237">
        <f t="shared" si="17"/>
        <v>0</v>
      </c>
      <c r="AI54" s="720"/>
      <c r="AJ54" s="720"/>
      <c r="AK54" s="720"/>
      <c r="AL54" s="720"/>
      <c r="AM54" s="720"/>
      <c r="AN54" s="720"/>
      <c r="AO54" s="720"/>
    </row>
    <row r="56" spans="1:68" s="1984" customFormat="1">
      <c r="A56" s="720"/>
      <c r="B56" s="3144" t="s">
        <v>2847</v>
      </c>
      <c r="C56" s="2244">
        <f>SUM(F54:AG54)</f>
        <v>0.21968806954502176</v>
      </c>
      <c r="D56" s="2245"/>
      <c r="E56" s="2245"/>
      <c r="F56" s="2245"/>
      <c r="G56" s="2245"/>
      <c r="H56" s="2245"/>
      <c r="I56" s="2245"/>
      <c r="J56" s="2245"/>
      <c r="K56" s="2245"/>
      <c r="L56" s="2245"/>
      <c r="M56" s="2245"/>
      <c r="N56" s="725"/>
      <c r="O56" s="725"/>
      <c r="P56" s="725"/>
      <c r="Q56" s="725"/>
      <c r="R56" s="2246"/>
      <c r="S56" s="726"/>
      <c r="T56" s="2246"/>
      <c r="U56" s="725"/>
      <c r="V56" s="2202"/>
      <c r="W56" s="725"/>
      <c r="X56" s="725"/>
      <c r="Y56" s="725"/>
      <c r="Z56" s="2246"/>
      <c r="AA56" s="726"/>
      <c r="AB56" s="2246"/>
      <c r="AC56" s="725"/>
      <c r="AD56" s="2202"/>
      <c r="AE56" s="725"/>
      <c r="AF56" s="725"/>
      <c r="AG56" s="725"/>
      <c r="AH56" s="2202"/>
      <c r="AI56" s="2202"/>
      <c r="AJ56" s="2202"/>
      <c r="AK56" s="2202"/>
      <c r="AL56" s="2202"/>
      <c r="AM56" s="2202"/>
      <c r="AN56" s="2202"/>
      <c r="AO56" s="2202"/>
      <c r="AP56" s="2202"/>
      <c r="AQ56" s="2202"/>
      <c r="AR56" s="2202"/>
    </row>
    <row r="57" spans="1:68">
      <c r="D57" s="2247"/>
      <c r="E57" s="2247"/>
      <c r="F57" s="2247"/>
      <c r="G57" s="2247"/>
      <c r="H57" s="2247"/>
      <c r="I57" s="2247"/>
      <c r="J57" s="2247"/>
      <c r="K57" s="2247"/>
      <c r="L57" s="2247"/>
      <c r="M57" s="2247"/>
      <c r="N57" s="2248"/>
      <c r="O57" s="2248"/>
      <c r="P57" s="2248"/>
      <c r="Q57" s="2248"/>
      <c r="R57" s="2202"/>
      <c r="S57" s="2202"/>
      <c r="T57" s="2202"/>
      <c r="U57" s="2202"/>
      <c r="V57" s="2202"/>
      <c r="W57" s="2202"/>
      <c r="X57" s="2202"/>
      <c r="Y57" s="2202"/>
      <c r="Z57" s="2202"/>
      <c r="AA57" s="2202"/>
      <c r="AB57" s="2202"/>
      <c r="AC57" s="2202"/>
      <c r="AD57" s="2202"/>
      <c r="AE57" s="2202"/>
      <c r="AF57" s="2202"/>
      <c r="AG57" s="2202"/>
      <c r="AH57" s="2202"/>
      <c r="AI57" s="2202"/>
      <c r="AJ57" s="2202"/>
      <c r="AK57" s="2202"/>
      <c r="AL57" s="2202"/>
      <c r="AM57" s="2202"/>
      <c r="AN57" s="2202"/>
      <c r="AO57" s="2202"/>
      <c r="AP57" s="2202"/>
      <c r="AQ57" s="2202"/>
      <c r="AR57" s="2202"/>
    </row>
    <row r="58" spans="1:68">
      <c r="A58" s="1984"/>
      <c r="B58" s="2250" t="s">
        <v>86</v>
      </c>
      <c r="C58" s="1984"/>
      <c r="D58" s="1984"/>
      <c r="H58" s="1984"/>
      <c r="I58" s="1984"/>
      <c r="J58" s="1984"/>
      <c r="K58" s="1984"/>
      <c r="L58" s="1984"/>
      <c r="M58" s="1984"/>
      <c r="N58" s="2250"/>
      <c r="P58" s="1984"/>
      <c r="R58" s="1984"/>
      <c r="S58" s="1984"/>
      <c r="T58" s="1984"/>
      <c r="V58" s="2250"/>
      <c r="W58" s="1984"/>
      <c r="X58" s="1984"/>
      <c r="Y58" s="1984"/>
      <c r="Z58" s="1984"/>
      <c r="AA58" s="2250"/>
      <c r="AB58" s="1984"/>
      <c r="AC58" s="1984"/>
      <c r="AD58" s="1984"/>
      <c r="AE58" s="1984"/>
      <c r="AF58" s="1984"/>
      <c r="AG58" s="1984"/>
      <c r="AI58" s="1984"/>
      <c r="AJ58" s="1984"/>
      <c r="AK58" s="1984"/>
      <c r="AL58" s="1984"/>
      <c r="AM58" s="1984"/>
      <c r="AN58" s="1984"/>
      <c r="AO58" s="1984"/>
      <c r="AP58" s="1984"/>
      <c r="AQ58" s="1984"/>
      <c r="AR58" s="1984"/>
      <c r="AS58" s="1984"/>
      <c r="AT58" s="1984"/>
      <c r="AU58" s="1984"/>
      <c r="AV58" s="1984"/>
      <c r="AW58" s="1984"/>
      <c r="AX58" s="1984"/>
      <c r="AY58" s="1984"/>
      <c r="AZ58" s="1984"/>
      <c r="BA58" s="1984"/>
      <c r="BB58" s="1984"/>
      <c r="BC58" s="1984"/>
      <c r="BD58" s="1984"/>
      <c r="BE58" s="1984"/>
      <c r="BF58" s="1984"/>
      <c r="BG58" s="1984"/>
      <c r="BH58" s="1984"/>
      <c r="BI58" s="1984"/>
      <c r="BJ58" s="1984"/>
      <c r="BK58" s="1984"/>
      <c r="BL58" s="1984"/>
      <c r="BM58" s="1984"/>
      <c r="BN58" s="1984"/>
      <c r="BO58" s="1984"/>
      <c r="BP58" s="1984"/>
    </row>
    <row r="59" spans="1:68">
      <c r="A59" s="2167" t="s">
        <v>210</v>
      </c>
      <c r="B59" s="3145" t="str">
        <f>"Refer to "&amp;'rNPV Assumptions_Diabetes'!$B$3&amp;"."</f>
        <v>Refer to Workpaper #6.</v>
      </c>
      <c r="C59" s="2167"/>
      <c r="D59" s="2167"/>
      <c r="H59" s="2167"/>
      <c r="I59" s="2167"/>
      <c r="J59" s="2167"/>
      <c r="K59" s="2167"/>
      <c r="L59" s="2167"/>
      <c r="M59" s="2167"/>
      <c r="N59" s="1984"/>
      <c r="P59" s="1984"/>
      <c r="R59" s="1984"/>
      <c r="S59" s="1984"/>
      <c r="T59" s="1984"/>
      <c r="V59" s="1984"/>
      <c r="W59" s="1984"/>
      <c r="X59" s="1984"/>
      <c r="Y59" s="1984"/>
      <c r="Z59" s="1984"/>
      <c r="AA59" s="1984"/>
      <c r="AB59" s="1984"/>
      <c r="AC59" s="1984"/>
      <c r="AD59" s="1984"/>
      <c r="AE59" s="1984"/>
      <c r="AF59" s="1984"/>
      <c r="AG59" s="1984"/>
      <c r="AI59" s="1984"/>
      <c r="AJ59" s="1984"/>
      <c r="AK59" s="1984"/>
      <c r="AL59" s="1984"/>
      <c r="AM59" s="1984"/>
      <c r="AN59" s="1984"/>
      <c r="AO59" s="1984"/>
      <c r="AP59" s="1984"/>
      <c r="AQ59" s="1984"/>
      <c r="AR59" s="1984"/>
      <c r="AS59" s="1984"/>
      <c r="AT59" s="1984"/>
      <c r="AU59" s="1984"/>
      <c r="AV59" s="1984"/>
      <c r="AW59" s="1984"/>
      <c r="AX59" s="1984"/>
      <c r="AY59" s="1984"/>
      <c r="AZ59" s="1984"/>
      <c r="BA59" s="1984"/>
      <c r="BB59" s="1984"/>
      <c r="BC59" s="1984"/>
      <c r="BD59" s="1984"/>
      <c r="BE59" s="1984"/>
      <c r="BF59" s="1984"/>
      <c r="BG59" s="1984"/>
      <c r="BH59" s="1984"/>
      <c r="BI59" s="1984"/>
      <c r="BJ59" s="1984"/>
      <c r="BK59" s="1984"/>
      <c r="BL59" s="1984"/>
      <c r="BM59" s="1984"/>
      <c r="BN59" s="1984"/>
      <c r="BO59" s="1984"/>
      <c r="BP59" s="1984"/>
    </row>
    <row r="60" spans="1:68">
      <c r="A60" s="2167" t="s">
        <v>209</v>
      </c>
      <c r="B60" s="3145" t="str">
        <f>"Refer to "&amp;'Penetration Curves'!B3&amp;"."</f>
        <v>Refer to Workpaper #10.</v>
      </c>
      <c r="C60" s="2167"/>
      <c r="D60" s="2167"/>
      <c r="H60" s="2167"/>
      <c r="I60" s="2167"/>
      <c r="J60" s="2167"/>
      <c r="K60" s="2167"/>
      <c r="L60" s="2167"/>
      <c r="M60" s="2167"/>
      <c r="N60" s="1984"/>
      <c r="P60" s="1984"/>
      <c r="R60" s="1984"/>
      <c r="S60" s="1984"/>
      <c r="T60" s="1984"/>
      <c r="V60" s="1984"/>
      <c r="W60" s="1984"/>
      <c r="X60" s="1984"/>
      <c r="Y60" s="1984"/>
      <c r="Z60" s="1984"/>
      <c r="AA60" s="1984"/>
      <c r="AB60" s="1984"/>
      <c r="AC60" s="1984"/>
      <c r="AD60" s="1984"/>
      <c r="AE60" s="1984"/>
      <c r="AF60" s="1984"/>
      <c r="AG60" s="1984"/>
      <c r="AI60" s="1984"/>
      <c r="AJ60" s="1984"/>
      <c r="AK60" s="1984"/>
      <c r="AL60" s="1984"/>
      <c r="AM60" s="1984"/>
      <c r="AN60" s="1984"/>
      <c r="AO60" s="1984"/>
      <c r="AP60" s="1984"/>
      <c r="AQ60" s="1984"/>
      <c r="AR60" s="1984"/>
      <c r="AS60" s="1984"/>
      <c r="AT60" s="1984"/>
      <c r="AU60" s="1984"/>
      <c r="AV60" s="1984"/>
      <c r="AW60" s="1984"/>
      <c r="AX60" s="1984"/>
      <c r="AY60" s="1984"/>
      <c r="AZ60" s="1984"/>
      <c r="BA60" s="1984"/>
      <c r="BB60" s="1984"/>
      <c r="BC60" s="1984"/>
      <c r="BD60" s="1984"/>
      <c r="BE60" s="1984"/>
      <c r="BF60" s="1984"/>
      <c r="BG60" s="1984"/>
      <c r="BH60" s="1984"/>
      <c r="BI60" s="1984"/>
      <c r="BJ60" s="1984"/>
      <c r="BK60" s="1984"/>
      <c r="BL60" s="1984"/>
      <c r="BM60" s="1984"/>
      <c r="BN60" s="1984"/>
      <c r="BO60" s="1984"/>
      <c r="BP60" s="1984"/>
    </row>
    <row r="61" spans="1:68">
      <c r="A61" s="2167" t="s">
        <v>246</v>
      </c>
      <c r="B61" s="2219" t="s">
        <v>2848</v>
      </c>
      <c r="C61" s="2167"/>
      <c r="D61" s="2167"/>
      <c r="H61" s="2167"/>
      <c r="I61" s="2167"/>
      <c r="J61" s="2167"/>
      <c r="K61" s="2167"/>
      <c r="L61" s="2167"/>
      <c r="M61" s="2167"/>
      <c r="N61" s="1984"/>
      <c r="P61" s="2251"/>
      <c r="R61" s="2251"/>
      <c r="S61" s="2251"/>
      <c r="T61" s="2251"/>
      <c r="V61" s="1984"/>
      <c r="W61" s="2219"/>
      <c r="X61" s="2251"/>
      <c r="Y61" s="2251"/>
      <c r="Z61" s="2251"/>
      <c r="AA61" s="3255"/>
      <c r="AB61" s="3255"/>
      <c r="AC61" s="3255"/>
      <c r="AD61" s="1984"/>
      <c r="AE61" s="1984"/>
      <c r="AF61" s="1984"/>
      <c r="AG61" s="1984"/>
      <c r="AI61" s="1984"/>
      <c r="AJ61" s="1984"/>
      <c r="AK61" s="1984"/>
      <c r="AL61" s="1984"/>
      <c r="AM61" s="1984"/>
      <c r="AN61" s="1984"/>
      <c r="AO61" s="1984"/>
      <c r="AP61" s="1984"/>
      <c r="AQ61" s="1984"/>
      <c r="AR61" s="1984"/>
      <c r="AS61" s="1984"/>
      <c r="AT61" s="1984"/>
      <c r="AU61" s="1984"/>
      <c r="AV61" s="1984"/>
      <c r="AW61" s="1984"/>
      <c r="AX61" s="1984"/>
      <c r="AY61" s="1984"/>
      <c r="AZ61" s="1984"/>
      <c r="BA61" s="1984"/>
      <c r="BB61" s="1984"/>
      <c r="BC61" s="1984"/>
      <c r="BD61" s="1984"/>
      <c r="BE61" s="1984"/>
      <c r="BF61" s="1984"/>
      <c r="BG61" s="1984"/>
      <c r="BH61" s="1984"/>
      <c r="BI61" s="1984"/>
      <c r="BJ61" s="1984"/>
      <c r="BK61" s="1984"/>
      <c r="BL61" s="1984"/>
      <c r="BM61" s="1984"/>
      <c r="BN61" s="1984"/>
      <c r="BO61" s="1984"/>
      <c r="BP61" s="1984"/>
    </row>
    <row r="62" spans="1:68">
      <c r="A62" s="762"/>
      <c r="B62" s="1984"/>
      <c r="C62" s="1984"/>
      <c r="D62" s="1984"/>
      <c r="E62" s="1984"/>
      <c r="F62" s="1984"/>
      <c r="G62" s="1984"/>
      <c r="H62" s="1984"/>
      <c r="I62" s="1984"/>
      <c r="J62" s="1984"/>
      <c r="K62" s="1984"/>
      <c r="L62" s="1984"/>
      <c r="M62" s="1984"/>
      <c r="N62" s="1984"/>
      <c r="O62" s="1984"/>
      <c r="P62" s="1984"/>
      <c r="Q62" s="1984"/>
      <c r="R62" s="3146"/>
      <c r="S62" s="3146"/>
      <c r="T62" s="1984"/>
      <c r="U62" s="1984"/>
      <c r="V62" s="1984"/>
      <c r="W62" s="1984"/>
      <c r="X62" s="1984"/>
      <c r="Y62" s="1984"/>
      <c r="Z62" s="1984"/>
      <c r="AA62" s="1984"/>
      <c r="AB62" s="1984"/>
      <c r="AC62" s="1984"/>
      <c r="AD62" s="1984"/>
      <c r="AE62" s="1984"/>
      <c r="AF62" s="1984"/>
      <c r="AG62" s="1984"/>
      <c r="AI62" s="1984"/>
      <c r="AJ62" s="1984"/>
      <c r="AK62" s="1984"/>
      <c r="AL62" s="1984"/>
      <c r="AM62" s="1984"/>
      <c r="AN62" s="1984"/>
      <c r="AO62" s="1984"/>
      <c r="AP62" s="1984"/>
      <c r="AQ62" s="1984"/>
      <c r="AR62" s="1984"/>
      <c r="AS62" s="1984"/>
      <c r="AT62" s="1984"/>
      <c r="AU62" s="1984"/>
      <c r="AV62" s="1984"/>
      <c r="AW62" s="1984"/>
      <c r="AX62" s="1984"/>
      <c r="AY62" s="1984"/>
      <c r="AZ62" s="1984"/>
      <c r="BA62" s="1984"/>
      <c r="BB62" s="1984"/>
      <c r="BC62" s="1984"/>
      <c r="BD62" s="1984"/>
      <c r="BE62" s="1984"/>
      <c r="BF62" s="1984"/>
      <c r="BG62" s="1984"/>
      <c r="BH62" s="1984"/>
      <c r="BI62" s="1984"/>
      <c r="BJ62" s="1984"/>
      <c r="BK62" s="1984"/>
      <c r="BL62" s="1984"/>
      <c r="BM62" s="1984"/>
      <c r="BN62" s="1984"/>
      <c r="BO62" s="1984"/>
      <c r="BP62" s="1984"/>
    </row>
    <row r="63" spans="1:68">
      <c r="C63" s="3147"/>
      <c r="D63" s="3147"/>
      <c r="E63" s="3147"/>
      <c r="F63" s="3147"/>
      <c r="G63" s="3147"/>
      <c r="H63" s="3147"/>
      <c r="I63" s="3147"/>
      <c r="J63" s="3147"/>
      <c r="K63" s="3147"/>
      <c r="L63" s="3147"/>
      <c r="M63" s="3147"/>
      <c r="N63" s="3147"/>
      <c r="O63" s="3147"/>
      <c r="P63" s="3147"/>
      <c r="Q63" s="3147"/>
      <c r="R63" s="3147"/>
      <c r="S63" s="3147"/>
      <c r="T63" s="3147"/>
      <c r="U63" s="3147"/>
      <c r="V63" s="3147"/>
      <c r="W63" s="3147"/>
      <c r="X63" s="3147"/>
      <c r="Y63" s="3147"/>
      <c r="Z63" s="3147"/>
      <c r="AA63" s="3147"/>
      <c r="AB63" s="3147"/>
      <c r="AC63" s="3147"/>
      <c r="AD63" s="3147"/>
      <c r="AE63" s="3147"/>
      <c r="AF63" s="3147"/>
      <c r="AG63" s="3147"/>
      <c r="AI63" s="1984"/>
      <c r="AJ63" s="1984"/>
      <c r="AK63" s="1984"/>
      <c r="AL63" s="1984"/>
      <c r="AM63" s="1984"/>
      <c r="AN63" s="1984"/>
      <c r="AO63" s="1984"/>
      <c r="AP63" s="1984"/>
      <c r="AQ63" s="1984"/>
      <c r="AR63" s="1984"/>
      <c r="AS63" s="1984"/>
      <c r="AT63" s="1984"/>
      <c r="AU63" s="1984"/>
      <c r="AV63" s="1984"/>
      <c r="AW63" s="1984"/>
      <c r="AX63" s="1984"/>
      <c r="AY63" s="1984"/>
      <c r="AZ63" s="1984"/>
      <c r="BA63" s="1984"/>
      <c r="BB63" s="1984"/>
      <c r="BC63" s="1984"/>
      <c r="BD63" s="1984"/>
      <c r="BE63" s="1984"/>
      <c r="BF63" s="1984"/>
      <c r="BG63" s="1984"/>
      <c r="BH63" s="1984"/>
      <c r="BI63" s="1984"/>
      <c r="BJ63" s="1984"/>
      <c r="BK63" s="1984"/>
      <c r="BL63" s="1984"/>
      <c r="BM63" s="1984"/>
      <c r="BN63" s="1984"/>
      <c r="BO63" s="1984"/>
      <c r="BP63" s="1984"/>
    </row>
    <row r="64" spans="1:68">
      <c r="C64" s="1984"/>
      <c r="D64" s="1984"/>
      <c r="E64" s="1984"/>
      <c r="F64" s="1984"/>
      <c r="G64" s="1984"/>
      <c r="H64" s="1984"/>
      <c r="I64" s="1984"/>
      <c r="J64" s="1984"/>
      <c r="K64" s="1984"/>
      <c r="L64" s="1984"/>
      <c r="M64" s="1984"/>
      <c r="N64" s="1984"/>
      <c r="O64" s="1984"/>
      <c r="P64" s="1984"/>
      <c r="Q64" s="1984"/>
      <c r="R64" s="1984"/>
      <c r="S64" s="1984"/>
      <c r="T64" s="1984"/>
      <c r="U64" s="1984"/>
      <c r="V64" s="1984"/>
      <c r="W64" s="1984"/>
      <c r="X64" s="1984"/>
      <c r="Y64" s="1984"/>
      <c r="Z64" s="1984"/>
      <c r="AA64" s="1984"/>
      <c r="AB64" s="1984"/>
      <c r="AC64" s="1984"/>
      <c r="AD64" s="1984"/>
      <c r="AE64" s="1984"/>
      <c r="AF64" s="1984"/>
      <c r="AG64" s="1984"/>
      <c r="AI64" s="1984"/>
      <c r="AJ64" s="1984"/>
      <c r="AK64" s="1984"/>
      <c r="AL64" s="1984"/>
      <c r="AM64" s="1984"/>
      <c r="AN64" s="1984"/>
      <c r="AO64" s="1984"/>
      <c r="AP64" s="1984"/>
      <c r="AQ64" s="1984"/>
      <c r="AR64" s="1984"/>
      <c r="AS64" s="1984"/>
      <c r="AT64" s="1984"/>
      <c r="AU64" s="1984"/>
      <c r="AV64" s="1984"/>
      <c r="AW64" s="1984"/>
      <c r="AX64" s="1984"/>
      <c r="AY64" s="1984"/>
      <c r="AZ64" s="1984"/>
      <c r="BA64" s="1984"/>
      <c r="BB64" s="1984"/>
      <c r="BC64" s="1984"/>
      <c r="BD64" s="1984"/>
      <c r="BE64" s="1984"/>
      <c r="BF64" s="1984"/>
      <c r="BG64" s="1984"/>
      <c r="BH64" s="1984"/>
      <c r="BI64" s="1984"/>
      <c r="BJ64" s="1984"/>
      <c r="BK64" s="1984"/>
      <c r="BL64" s="1984"/>
      <c r="BM64" s="1984"/>
      <c r="BN64" s="1984"/>
      <c r="BO64" s="1984"/>
      <c r="BP64" s="1984"/>
    </row>
    <row r="65" spans="3:68">
      <c r="C65" s="1984"/>
      <c r="D65" s="1984"/>
      <c r="E65" s="1984"/>
      <c r="F65" s="1984"/>
      <c r="G65" s="1984"/>
      <c r="H65" s="1984"/>
      <c r="I65" s="1984"/>
      <c r="J65" s="1984"/>
      <c r="K65" s="1984"/>
      <c r="L65" s="1984"/>
      <c r="M65" s="1984"/>
      <c r="N65" s="1984"/>
      <c r="O65" s="1984"/>
      <c r="P65" s="1984"/>
      <c r="Q65" s="1984"/>
      <c r="R65" s="1984"/>
      <c r="S65" s="1984"/>
      <c r="T65" s="1984"/>
      <c r="U65" s="1984"/>
      <c r="V65" s="1984"/>
      <c r="W65" s="1984"/>
      <c r="X65" s="1984"/>
      <c r="Y65" s="1984"/>
      <c r="Z65" s="1984"/>
      <c r="AA65" s="1984"/>
      <c r="AB65" s="1984"/>
      <c r="AC65" s="1984"/>
      <c r="AD65" s="1984"/>
      <c r="AE65" s="1984"/>
      <c r="AF65" s="1984"/>
      <c r="AG65" s="1984"/>
      <c r="AI65" s="1984"/>
      <c r="AJ65" s="1984"/>
      <c r="AK65" s="1984"/>
      <c r="AL65" s="1984"/>
      <c r="AM65" s="1984"/>
      <c r="AN65" s="1984"/>
      <c r="AO65" s="1984"/>
      <c r="AP65" s="1984"/>
      <c r="AQ65" s="1984"/>
      <c r="AR65" s="1984"/>
      <c r="AS65" s="1984"/>
      <c r="AT65" s="1984"/>
      <c r="AU65" s="1984"/>
      <c r="AV65" s="1984"/>
      <c r="AW65" s="1984"/>
      <c r="AX65" s="1984"/>
      <c r="AY65" s="1984"/>
      <c r="AZ65" s="1984"/>
      <c r="BA65" s="1984"/>
      <c r="BB65" s="1984"/>
      <c r="BC65" s="1984"/>
      <c r="BD65" s="1984"/>
      <c r="BE65" s="1984"/>
      <c r="BF65" s="1984"/>
      <c r="BG65" s="1984"/>
      <c r="BH65" s="1984"/>
      <c r="BI65" s="1984"/>
      <c r="BJ65" s="1984"/>
      <c r="BK65" s="1984"/>
      <c r="BL65" s="1984"/>
      <c r="BM65" s="1984"/>
      <c r="BN65" s="1984"/>
      <c r="BO65" s="1984"/>
      <c r="BP65" s="1984"/>
    </row>
    <row r="66" spans="3:68">
      <c r="C66" s="1984"/>
      <c r="D66" s="1984"/>
      <c r="E66" s="1984"/>
      <c r="F66" s="1984"/>
      <c r="G66" s="1984"/>
      <c r="H66" s="1984"/>
      <c r="I66" s="1984"/>
      <c r="J66" s="1984"/>
      <c r="K66" s="1984"/>
      <c r="L66" s="1984"/>
      <c r="M66" s="1984"/>
      <c r="N66" s="1984"/>
      <c r="O66" s="1984"/>
      <c r="P66" s="1984"/>
      <c r="Q66" s="1984"/>
      <c r="R66" s="1984"/>
      <c r="S66" s="1984"/>
      <c r="T66" s="1984"/>
      <c r="U66" s="1984"/>
      <c r="V66" s="1984"/>
      <c r="W66" s="1984"/>
      <c r="X66" s="1984"/>
      <c r="Y66" s="1984"/>
      <c r="Z66" s="1984"/>
      <c r="AA66" s="1984"/>
      <c r="AB66" s="1984"/>
      <c r="AC66" s="1984"/>
      <c r="AD66" s="1984"/>
      <c r="AE66" s="1984"/>
      <c r="AF66" s="1984"/>
      <c r="AG66" s="1984"/>
      <c r="AI66" s="1984"/>
      <c r="AJ66" s="1984"/>
      <c r="AK66" s="1984"/>
      <c r="AL66" s="1984"/>
      <c r="AM66" s="1984"/>
      <c r="AN66" s="1984"/>
      <c r="AO66" s="1984"/>
      <c r="AP66" s="1984"/>
      <c r="AQ66" s="1984"/>
      <c r="AR66" s="1984"/>
      <c r="AS66" s="1984"/>
      <c r="AT66" s="1984"/>
      <c r="AU66" s="1984"/>
      <c r="AV66" s="1984"/>
      <c r="AW66" s="1984"/>
      <c r="AX66" s="1984"/>
      <c r="AY66" s="1984"/>
      <c r="AZ66" s="1984"/>
      <c r="BA66" s="1984"/>
      <c r="BB66" s="1984"/>
      <c r="BC66" s="1984"/>
      <c r="BD66" s="1984"/>
      <c r="BE66" s="1984"/>
      <c r="BF66" s="1984"/>
      <c r="BG66" s="1984"/>
      <c r="BH66" s="1984"/>
      <c r="BI66" s="1984"/>
      <c r="BJ66" s="1984"/>
      <c r="BK66" s="1984"/>
      <c r="BL66" s="1984"/>
      <c r="BM66" s="1984"/>
      <c r="BN66" s="1984"/>
      <c r="BO66" s="1984"/>
      <c r="BP66" s="1984"/>
    </row>
    <row r="67" spans="3:68">
      <c r="C67" s="1984"/>
      <c r="D67" s="1984"/>
      <c r="E67" s="1984"/>
      <c r="F67" s="1984"/>
      <c r="G67" s="1984"/>
      <c r="H67" s="1984"/>
      <c r="I67" s="1984"/>
      <c r="J67" s="1984"/>
      <c r="K67" s="1984"/>
      <c r="L67" s="1984"/>
      <c r="M67" s="1984"/>
      <c r="N67" s="1984"/>
      <c r="O67" s="1984"/>
      <c r="P67" s="1984"/>
      <c r="Q67" s="1984"/>
      <c r="R67" s="1984"/>
      <c r="S67" s="1984"/>
      <c r="T67" s="1984"/>
      <c r="U67" s="1984"/>
      <c r="V67" s="1984"/>
      <c r="W67" s="1984"/>
      <c r="X67" s="1984"/>
      <c r="Y67" s="1984"/>
      <c r="Z67" s="1984"/>
      <c r="AA67" s="1984"/>
      <c r="AB67" s="1984"/>
      <c r="AC67" s="1984"/>
      <c r="AD67" s="1984"/>
      <c r="AE67" s="1984"/>
      <c r="AF67" s="1984"/>
      <c r="AG67" s="1984"/>
      <c r="AI67" s="1984"/>
      <c r="AJ67" s="1984"/>
      <c r="AK67" s="1984"/>
      <c r="AL67" s="1984"/>
      <c r="AM67" s="1984"/>
      <c r="AN67" s="1984"/>
      <c r="AO67" s="1984"/>
      <c r="AP67" s="1984"/>
      <c r="AQ67" s="1984"/>
      <c r="AR67" s="1984"/>
      <c r="AS67" s="1984"/>
      <c r="AT67" s="1984"/>
      <c r="AU67" s="1984"/>
      <c r="AV67" s="1984"/>
      <c r="AW67" s="1984"/>
      <c r="AX67" s="1984"/>
      <c r="AY67" s="1984"/>
      <c r="AZ67" s="1984"/>
      <c r="BA67" s="1984"/>
      <c r="BB67" s="1984"/>
      <c r="BC67" s="1984"/>
      <c r="BD67" s="1984"/>
      <c r="BE67" s="1984"/>
      <c r="BF67" s="1984"/>
      <c r="BG67" s="1984"/>
      <c r="BH67" s="1984"/>
      <c r="BI67" s="1984"/>
      <c r="BJ67" s="1984"/>
      <c r="BK67" s="1984"/>
      <c r="BL67" s="1984"/>
      <c r="BM67" s="1984"/>
      <c r="BN67" s="1984"/>
      <c r="BO67" s="1984"/>
      <c r="BP67" s="1984"/>
    </row>
    <row r="68" spans="3:68">
      <c r="C68" s="1984"/>
      <c r="D68" s="1984"/>
      <c r="E68" s="1984"/>
      <c r="F68" s="1984"/>
      <c r="G68" s="1984"/>
      <c r="H68" s="1984"/>
      <c r="I68" s="1984"/>
      <c r="J68" s="1984"/>
      <c r="K68" s="1984"/>
      <c r="L68" s="1984"/>
      <c r="M68" s="1984"/>
      <c r="N68" s="1984"/>
      <c r="O68" s="1984"/>
      <c r="P68" s="1984"/>
      <c r="Q68" s="1984"/>
      <c r="R68" s="1984"/>
      <c r="S68" s="1984"/>
      <c r="T68" s="1984"/>
      <c r="U68" s="1984"/>
      <c r="V68" s="1984"/>
      <c r="W68" s="1984"/>
      <c r="X68" s="1984"/>
      <c r="Y68" s="1984"/>
      <c r="Z68" s="1984"/>
      <c r="AA68" s="1984"/>
      <c r="AB68" s="1984"/>
      <c r="AC68" s="1984"/>
      <c r="AD68" s="1984"/>
      <c r="AE68" s="1984"/>
      <c r="AF68" s="1984"/>
      <c r="AG68" s="1984"/>
      <c r="AI68" s="1984"/>
      <c r="AJ68" s="1984"/>
      <c r="AK68" s="1984"/>
      <c r="AL68" s="1984"/>
      <c r="AM68" s="1984"/>
      <c r="AN68" s="1984"/>
      <c r="AO68" s="1984"/>
      <c r="AP68" s="1984"/>
      <c r="AQ68" s="1984"/>
      <c r="AR68" s="1984"/>
      <c r="AS68" s="1984"/>
      <c r="AT68" s="1984"/>
      <c r="AU68" s="1984"/>
      <c r="AV68" s="1984"/>
      <c r="AW68" s="1984"/>
      <c r="AX68" s="1984"/>
      <c r="AY68" s="1984"/>
      <c r="AZ68" s="1984"/>
      <c r="BA68" s="1984"/>
      <c r="BB68" s="1984"/>
      <c r="BC68" s="1984"/>
      <c r="BD68" s="1984"/>
      <c r="BE68" s="1984"/>
      <c r="BF68" s="1984"/>
      <c r="BG68" s="1984"/>
      <c r="BH68" s="1984"/>
      <c r="BI68" s="1984"/>
      <c r="BJ68" s="1984"/>
      <c r="BK68" s="1984"/>
      <c r="BL68" s="1984"/>
      <c r="BM68" s="1984"/>
      <c r="BN68" s="1984"/>
      <c r="BO68" s="1984"/>
      <c r="BP68" s="1984"/>
    </row>
    <row r="69" spans="3:68">
      <c r="C69" s="1984"/>
      <c r="D69" s="1984"/>
      <c r="E69" s="1984"/>
      <c r="F69" s="1984"/>
      <c r="G69" s="1984"/>
      <c r="H69" s="1984"/>
      <c r="I69" s="1984"/>
      <c r="J69" s="1984"/>
      <c r="K69" s="1984"/>
      <c r="L69" s="1984"/>
      <c r="M69" s="1984"/>
      <c r="N69" s="1984"/>
      <c r="O69" s="1984"/>
      <c r="P69" s="1984"/>
      <c r="Q69" s="1984"/>
      <c r="R69" s="1984"/>
      <c r="S69" s="1984"/>
      <c r="T69" s="1984"/>
      <c r="U69" s="1984"/>
      <c r="V69" s="1984"/>
      <c r="W69" s="1984"/>
      <c r="X69" s="1984"/>
      <c r="Y69" s="1984"/>
      <c r="Z69" s="1984"/>
      <c r="AA69" s="1984"/>
      <c r="AB69" s="1984"/>
      <c r="AC69" s="1984"/>
      <c r="AD69" s="1984"/>
      <c r="AE69" s="1984"/>
      <c r="AF69" s="1984"/>
      <c r="AG69" s="1984"/>
      <c r="AI69" s="1984"/>
      <c r="AJ69" s="1984"/>
      <c r="AK69" s="1984"/>
      <c r="AL69" s="1984"/>
      <c r="AM69" s="1984"/>
      <c r="AN69" s="1984"/>
      <c r="AO69" s="1984"/>
      <c r="AP69" s="1984"/>
      <c r="AQ69" s="1984"/>
      <c r="AR69" s="1984"/>
      <c r="AS69" s="1984"/>
      <c r="AT69" s="1984"/>
      <c r="AU69" s="1984"/>
      <c r="AV69" s="1984"/>
      <c r="AW69" s="1984"/>
      <c r="AX69" s="1984"/>
      <c r="AY69" s="1984"/>
      <c r="AZ69" s="1984"/>
      <c r="BA69" s="1984"/>
      <c r="BB69" s="1984"/>
      <c r="BC69" s="1984"/>
      <c r="BD69" s="1984"/>
      <c r="BE69" s="1984"/>
      <c r="BF69" s="1984"/>
      <c r="BG69" s="1984"/>
      <c r="BH69" s="1984"/>
      <c r="BI69" s="1984"/>
      <c r="BJ69" s="1984"/>
      <c r="BK69" s="1984"/>
      <c r="BL69" s="1984"/>
      <c r="BM69" s="1984"/>
      <c r="BN69" s="1984"/>
      <c r="BO69" s="1984"/>
      <c r="BP69" s="1984"/>
    </row>
  </sheetData>
  <mergeCells count="1">
    <mergeCell ref="AA61:AC61"/>
  </mergeCells>
  <conditionalFormatting sqref="B4:H4 N4:Q4 AF4 V4:X4 S4 Z4:AD4">
    <cfRule type="cellIs" dxfId="376" priority="87" stopIfTrue="1" operator="equal">
      <formula>"input"</formula>
    </cfRule>
  </conditionalFormatting>
  <conditionalFormatting sqref="R52:AG52 R47:AG47 R26:AG26 AF15:AG15 R22:AG22 R41:AG43 S13:AG13">
    <cfRule type="cellIs" dxfId="375" priority="86" operator="equal">
      <formula>0</formula>
    </cfRule>
  </conditionalFormatting>
  <conditionalFormatting sqref="R26:AG26">
    <cfRule type="cellIs" dxfId="374" priority="84" operator="equal">
      <formula>0</formula>
    </cfRule>
  </conditionalFormatting>
  <conditionalFormatting sqref="AG4">
    <cfRule type="cellIs" dxfId="373" priority="81" stopIfTrue="1" operator="equal">
      <formula>"input"</formula>
    </cfRule>
  </conditionalFormatting>
  <conditionalFormatting sqref="R20:AG20">
    <cfRule type="cellIs" dxfId="372" priority="80" operator="equal">
      <formula>0</formula>
    </cfRule>
  </conditionalFormatting>
  <conditionalFormatting sqref="R22:AG22">
    <cfRule type="cellIs" dxfId="371" priority="79" operator="equal">
      <formula>0</formula>
    </cfRule>
  </conditionalFormatting>
  <conditionalFormatting sqref="R41:AG43">
    <cfRule type="cellIs" dxfId="370" priority="78" operator="equal">
      <formula>0</formula>
    </cfRule>
  </conditionalFormatting>
  <conditionalFormatting sqref="J4">
    <cfRule type="cellIs" dxfId="369" priority="77" stopIfTrue="1" operator="equal">
      <formula>"input"</formula>
    </cfRule>
  </conditionalFormatting>
  <conditionalFormatting sqref="I4">
    <cfRule type="cellIs" dxfId="368" priority="76" stopIfTrue="1" operator="equal">
      <formula>"input"</formula>
    </cfRule>
  </conditionalFormatting>
  <conditionalFormatting sqref="I52:Q52 I47:Q47 I26:Q26 I22:Q22 I41:Q43">
    <cfRule type="cellIs" dxfId="367" priority="74" operator="equal">
      <formula>0</formula>
    </cfRule>
  </conditionalFormatting>
  <conditionalFormatting sqref="R13">
    <cfRule type="cellIs" dxfId="366" priority="75" operator="equal">
      <formula>0</formula>
    </cfRule>
  </conditionalFormatting>
  <conditionalFormatting sqref="I22:Q22">
    <cfRule type="cellIs" dxfId="365" priority="71" operator="equal">
      <formula>0</formula>
    </cfRule>
  </conditionalFormatting>
  <conditionalFormatting sqref="H20">
    <cfRule type="cellIs" dxfId="364" priority="62" operator="equal">
      <formula>0</formula>
    </cfRule>
  </conditionalFormatting>
  <conditionalFormatting sqref="I24:AG24">
    <cfRule type="cellIs" dxfId="363" priority="67" operator="equal">
      <formula>0</formula>
    </cfRule>
  </conditionalFormatting>
  <conditionalFormatting sqref="I26:Q26">
    <cfRule type="cellIs" dxfId="362" priority="73" operator="equal">
      <formula>0</formula>
    </cfRule>
  </conditionalFormatting>
  <conditionalFormatting sqref="I20:Q20">
    <cfRule type="cellIs" dxfId="361" priority="72" operator="equal">
      <formula>0</formula>
    </cfRule>
  </conditionalFormatting>
  <conditionalFormatting sqref="I41:Q43">
    <cfRule type="cellIs" dxfId="360" priority="70" operator="equal">
      <formula>0</formula>
    </cfRule>
  </conditionalFormatting>
  <conditionalFormatting sqref="I13:Q13">
    <cfRule type="cellIs" dxfId="359" priority="69" operator="equal">
      <formula>0</formula>
    </cfRule>
  </conditionalFormatting>
  <conditionalFormatting sqref="I24:AG24">
    <cfRule type="cellIs" dxfId="358" priority="68" operator="equal">
      <formula>0</formula>
    </cfRule>
  </conditionalFormatting>
  <conditionalFormatting sqref="F9:L9 AF9:AG9 N9:T9 V9:AD9">
    <cfRule type="cellIs" dxfId="357" priority="66" operator="equal">
      <formula>0</formula>
    </cfRule>
  </conditionalFormatting>
  <conditionalFormatting sqref="H52 H47 H26 H22 H41:H43">
    <cfRule type="cellIs" dxfId="356" priority="65" operator="equal">
      <formula>0</formula>
    </cfRule>
  </conditionalFormatting>
  <conditionalFormatting sqref="H22">
    <cfRule type="cellIs" dxfId="355" priority="61" operator="equal">
      <formula>0</formula>
    </cfRule>
  </conditionalFormatting>
  <conditionalFormatting sqref="G22">
    <cfRule type="cellIs" dxfId="354" priority="52" operator="equal">
      <formula>0</formula>
    </cfRule>
  </conditionalFormatting>
  <conditionalFormatting sqref="H24">
    <cfRule type="cellIs" dxfId="353" priority="57" operator="equal">
      <formula>0</formula>
    </cfRule>
  </conditionalFormatting>
  <conditionalFormatting sqref="H51:AG51">
    <cfRule type="cellIs" dxfId="352" priority="64" operator="equal">
      <formula>0</formula>
    </cfRule>
  </conditionalFormatting>
  <conditionalFormatting sqref="G52 G47 G26 G22 G41:G43">
    <cfRule type="cellIs" dxfId="351" priority="56" operator="equal">
      <formula>0</formula>
    </cfRule>
  </conditionalFormatting>
  <conditionalFormatting sqref="H26">
    <cfRule type="cellIs" dxfId="350" priority="63" operator="equal">
      <formula>0</formula>
    </cfRule>
  </conditionalFormatting>
  <conditionalFormatting sqref="H41:H43">
    <cfRule type="cellIs" dxfId="349" priority="60" operator="equal">
      <formula>0</formula>
    </cfRule>
  </conditionalFormatting>
  <conditionalFormatting sqref="H13">
    <cfRule type="cellIs" dxfId="348" priority="59" operator="equal">
      <formula>0</formula>
    </cfRule>
  </conditionalFormatting>
  <conditionalFormatting sqref="H24">
    <cfRule type="cellIs" dxfId="347" priority="58" operator="equal">
      <formula>0</formula>
    </cfRule>
  </conditionalFormatting>
  <conditionalFormatting sqref="F22 F31:AG31">
    <cfRule type="cellIs" dxfId="346" priority="42" operator="equal">
      <formula>0</formula>
    </cfRule>
  </conditionalFormatting>
  <conditionalFormatting sqref="G24">
    <cfRule type="cellIs" dxfId="345" priority="48" operator="equal">
      <formula>0</formula>
    </cfRule>
  </conditionalFormatting>
  <conditionalFormatting sqref="G51">
    <cfRule type="cellIs" dxfId="344" priority="55" operator="equal">
      <formula>0</formula>
    </cfRule>
  </conditionalFormatting>
  <conditionalFormatting sqref="F52 F47 F26 F14:F15 F22 F41:F43 F37:AG39 F31:AG31 G14:AG14 F54:AG54 G15:AE15">
    <cfRule type="cellIs" dxfId="343" priority="47" operator="equal">
      <formula>0</formula>
    </cfRule>
  </conditionalFormatting>
  <conditionalFormatting sqref="G26">
    <cfRule type="cellIs" dxfId="342" priority="54" operator="equal">
      <formula>0</formula>
    </cfRule>
  </conditionalFormatting>
  <conditionalFormatting sqref="G20">
    <cfRule type="cellIs" dxfId="341" priority="53" operator="equal">
      <formula>0</formula>
    </cfRule>
  </conditionalFormatting>
  <conditionalFormatting sqref="G41:G43">
    <cfRule type="cellIs" dxfId="340" priority="51" operator="equal">
      <formula>0</formula>
    </cfRule>
  </conditionalFormatting>
  <conditionalFormatting sqref="G13">
    <cfRule type="cellIs" dxfId="339" priority="50" operator="equal">
      <formula>0</formula>
    </cfRule>
  </conditionalFormatting>
  <conditionalFormatting sqref="G24">
    <cfRule type="cellIs" dxfId="338" priority="49" operator="equal">
      <formula>0</formula>
    </cfRule>
  </conditionalFormatting>
  <conditionalFormatting sqref="F37:AG39">
    <cfRule type="cellIs" dxfId="337" priority="40" operator="equal">
      <formula>0</formula>
    </cfRule>
  </conditionalFormatting>
  <conditionalFormatting sqref="F46:AG46">
    <cfRule type="cellIs" dxfId="336" priority="46" operator="equal">
      <formula>0</formula>
    </cfRule>
  </conditionalFormatting>
  <conditionalFormatting sqref="F51">
    <cfRule type="cellIs" dxfId="335" priority="45" operator="equal">
      <formula>0</formula>
    </cfRule>
  </conditionalFormatting>
  <conditionalFormatting sqref="F26 F31:AG31">
    <cfRule type="cellIs" dxfId="334" priority="44" operator="equal">
      <formula>0</formula>
    </cfRule>
  </conditionalFormatting>
  <conditionalFormatting sqref="F20">
    <cfRule type="cellIs" dxfId="333" priority="43" operator="equal">
      <formula>0</formula>
    </cfRule>
  </conditionalFormatting>
  <conditionalFormatting sqref="F31:AG31">
    <cfRule type="cellIs" dxfId="332" priority="41" operator="equal">
      <formula>0</formula>
    </cfRule>
  </conditionalFormatting>
  <conditionalFormatting sqref="F41:F43">
    <cfRule type="cellIs" dxfId="331" priority="39" operator="equal">
      <formula>0</formula>
    </cfRule>
  </conditionalFormatting>
  <conditionalFormatting sqref="F13">
    <cfRule type="cellIs" dxfId="330" priority="38" operator="equal">
      <formula>0</formula>
    </cfRule>
  </conditionalFormatting>
  <conditionalFormatting sqref="F24">
    <cfRule type="cellIs" dxfId="329" priority="36" operator="equal">
      <formula>0</formula>
    </cfRule>
  </conditionalFormatting>
  <conditionalFormatting sqref="F24">
    <cfRule type="cellIs" dxfId="328" priority="37" operator="equal">
      <formula>0</formula>
    </cfRule>
  </conditionalFormatting>
  <conditionalFormatting sqref="F18">
    <cfRule type="cellIs" dxfId="327" priority="29" operator="equal">
      <formula>0</formula>
    </cfRule>
  </conditionalFormatting>
  <conditionalFormatting sqref="S18:AG18">
    <cfRule type="cellIs" dxfId="326" priority="35" operator="equal">
      <formula>0</formula>
    </cfRule>
  </conditionalFormatting>
  <conditionalFormatting sqref="R18">
    <cfRule type="cellIs" dxfId="325" priority="34" operator="equal">
      <formula>0</formula>
    </cfRule>
  </conditionalFormatting>
  <conditionalFormatting sqref="I18:Q18">
    <cfRule type="cellIs" dxfId="324" priority="33" operator="equal">
      <formula>0</formula>
    </cfRule>
  </conditionalFormatting>
  <conditionalFormatting sqref="H18">
    <cfRule type="cellIs" dxfId="323" priority="32" operator="equal">
      <formula>0</formula>
    </cfRule>
  </conditionalFormatting>
  <conditionalFormatting sqref="G18">
    <cfRule type="cellIs" dxfId="322" priority="31" operator="equal">
      <formula>0</formula>
    </cfRule>
  </conditionalFormatting>
  <conditionalFormatting sqref="F19:AG19">
    <cfRule type="cellIs" dxfId="321" priority="30" operator="equal">
      <formula>0</formula>
    </cfRule>
  </conditionalFormatting>
  <conditionalFormatting sqref="L4">
    <cfRule type="cellIs" dxfId="320" priority="27" stopIfTrue="1" operator="equal">
      <formula>"input"</formula>
    </cfRule>
  </conditionalFormatting>
  <conditionalFormatting sqref="K4">
    <cfRule type="cellIs" dxfId="319" priority="26" stopIfTrue="1" operator="equal">
      <formula>"input"</formula>
    </cfRule>
  </conditionalFormatting>
  <conditionalFormatting sqref="AE4">
    <cfRule type="cellIs" dxfId="318" priority="25" stopIfTrue="1" operator="equal">
      <formula>"input"</formula>
    </cfRule>
  </conditionalFormatting>
  <conditionalFormatting sqref="AE9">
    <cfRule type="cellIs" dxfId="317" priority="24" operator="equal">
      <formula>0</formula>
    </cfRule>
  </conditionalFormatting>
  <conditionalFormatting sqref="M4">
    <cfRule type="cellIs" dxfId="316" priority="23" stopIfTrue="1" operator="equal">
      <formula>"input"</formula>
    </cfRule>
  </conditionalFormatting>
  <conditionalFormatting sqref="T4">
    <cfRule type="cellIs" dxfId="315" priority="21" stopIfTrue="1" operator="equal">
      <formula>"input"</formula>
    </cfRule>
  </conditionalFormatting>
  <conditionalFormatting sqref="U4">
    <cfRule type="cellIs" dxfId="314" priority="20" stopIfTrue="1" operator="equal">
      <formula>"input"</formula>
    </cfRule>
  </conditionalFormatting>
  <conditionalFormatting sqref="AF29:AG29">
    <cfRule type="cellIs" dxfId="313" priority="19" operator="equal">
      <formula>0</formula>
    </cfRule>
  </conditionalFormatting>
  <conditionalFormatting sqref="F28:AG28">
    <cfRule type="cellIs" dxfId="312" priority="14" operator="equal">
      <formula>0</formula>
    </cfRule>
  </conditionalFormatting>
  <conditionalFormatting sqref="F29:AE29">
    <cfRule type="cellIs" dxfId="311" priority="13" operator="equal">
      <formula>0</formula>
    </cfRule>
  </conditionalFormatting>
  <conditionalFormatting sqref="F34:AG34">
    <cfRule type="cellIs" dxfId="310" priority="6" operator="equal">
      <formula>0</formula>
    </cfRule>
  </conditionalFormatting>
  <conditionalFormatting sqref="F33:AG33">
    <cfRule type="cellIs" dxfId="309" priority="8" operator="equal">
      <formula>0</formula>
    </cfRule>
  </conditionalFormatting>
  <conditionalFormatting sqref="F49:AG49">
    <cfRule type="cellIs" dxfId="308" priority="5" operator="equal">
      <formula>0</formula>
    </cfRule>
  </conditionalFormatting>
  <conditionalFormatting sqref="R4">
    <cfRule type="cellIs" dxfId="307" priority="4" stopIfTrue="1" operator="equal">
      <formula>"input"</formula>
    </cfRule>
  </conditionalFormatting>
  <conditionalFormatting sqref="M9">
    <cfRule type="cellIs" dxfId="306" priority="3" operator="equal">
      <formula>0</formula>
    </cfRule>
  </conditionalFormatting>
  <conditionalFormatting sqref="U9">
    <cfRule type="cellIs" dxfId="305" priority="2" operator="equal">
      <formula>0</formula>
    </cfRule>
  </conditionalFormatting>
  <conditionalFormatting sqref="Y4">
    <cfRule type="cellIs" dxfId="304" priority="1" stopIfTrue="1" operator="equal">
      <formula>"input"</formula>
    </cfRule>
  </conditionalFormatting>
  <pageMargins left="0.5" right="0.5" top="0.5" bottom="0.5" header="0.5" footer="0.5"/>
  <pageSetup scale="60" fitToWidth="0" fitToHeight="0" pageOrder="overThenDown" orientation="landscape" r:id="rId1"/>
  <colBreaks count="2" manualBreakCount="2">
    <brk id="18" max="60" man="1"/>
    <brk id="25" max="60" man="1"/>
  </colBreak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S253"/>
  <sheetViews>
    <sheetView showGridLines="0" view="pageBreakPreview" topLeftCell="A3" zoomScale="70" zoomScaleNormal="100" zoomScaleSheetLayoutView="70" workbookViewId="0">
      <selection activeCell="D31" sqref="D31"/>
    </sheetView>
  </sheetViews>
  <sheetFormatPr defaultRowHeight="12.75"/>
  <cols>
    <col min="1" max="1" width="4.5" style="2168" customWidth="1"/>
    <col min="2" max="2" width="36.1640625" style="2168" customWidth="1"/>
    <col min="3" max="3" width="18.5" style="2168" customWidth="1"/>
    <col min="4" max="4" width="17" style="2168" customWidth="1"/>
    <col min="5" max="5" width="15" style="2168" customWidth="1"/>
    <col min="6" max="7" width="14.1640625" style="2168" customWidth="1"/>
    <col min="8" max="8" width="23.33203125" style="2168" customWidth="1"/>
    <col min="9" max="9" width="23.1640625" style="2168" customWidth="1"/>
    <col min="10" max="10" width="4.5" style="2168" customWidth="1"/>
    <col min="11" max="11" width="12" style="2168" customWidth="1"/>
    <col min="12" max="12" width="15.5" style="2168" bestFit="1" customWidth="1"/>
    <col min="13" max="13" width="16.83203125" style="2168" bestFit="1" customWidth="1"/>
    <col min="14" max="16384" width="9.33203125" style="2168"/>
  </cols>
  <sheetData>
    <row r="1" spans="2:12" ht="13.5" thickBot="1"/>
    <row r="2" spans="2:12" ht="16.5" thickTop="1">
      <c r="B2" s="10" t="str">
        <f>'MASTER PubCo Inputs'!$C$5</f>
        <v>Kallyope, Inc.</v>
      </c>
      <c r="C2" s="10"/>
      <c r="D2" s="10"/>
      <c r="E2" s="10"/>
      <c r="F2" s="10"/>
      <c r="G2" s="10"/>
      <c r="H2" s="10"/>
      <c r="I2" s="10"/>
    </row>
    <row r="3" spans="2:12" ht="15.75">
      <c r="B3" s="11" t="str">
        <f>VLOOKUP(B4,Outline!$E$8:$G$69,COLUMNS(Outline!$E$8:$G$8),FALSE)</f>
        <v>Workpaper #8</v>
      </c>
      <c r="C3" s="11"/>
      <c r="D3" s="11"/>
      <c r="E3" s="11"/>
      <c r="F3" s="11"/>
      <c r="G3" s="11"/>
      <c r="H3" s="11"/>
      <c r="I3" s="11"/>
    </row>
    <row r="4" spans="2:12" ht="16.5" thickBot="1">
      <c r="B4" s="12" t="s">
        <v>3862</v>
      </c>
      <c r="C4" s="12"/>
      <c r="D4" s="12"/>
      <c r="E4" s="12"/>
      <c r="F4" s="12"/>
      <c r="G4" s="12"/>
      <c r="H4" s="12"/>
      <c r="I4" s="12" t="str">
        <f>'MASTER PubCo Inputs'!$C$24</f>
        <v>(in millions of USD)</v>
      </c>
    </row>
    <row r="5" spans="2:12" s="720" customFormat="1" ht="7.5" customHeight="1" thickTop="1"/>
    <row r="6" spans="2:12" s="720" customFormat="1">
      <c r="B6" s="2171" t="s">
        <v>2825</v>
      </c>
      <c r="C6" s="2172"/>
      <c r="D6" s="2173"/>
      <c r="E6" s="1171"/>
    </row>
    <row r="7" spans="2:12" s="720" customFormat="1">
      <c r="B7" s="3160" t="s">
        <v>2826</v>
      </c>
      <c r="C7" s="3139"/>
      <c r="D7" s="3164">
        <f>'Milestone Calcs'!D7</f>
        <v>0.2</v>
      </c>
      <c r="E7" s="2174" t="s">
        <v>210</v>
      </c>
      <c r="F7" s="2175"/>
      <c r="G7" s="2175"/>
      <c r="K7" s="2169" t="s">
        <v>2902</v>
      </c>
      <c r="L7" s="2456">
        <v>0</v>
      </c>
    </row>
    <row r="8" spans="2:12" s="720" customFormat="1">
      <c r="B8" s="1171"/>
      <c r="C8" s="1171"/>
      <c r="D8" s="2430"/>
      <c r="E8" s="2174"/>
      <c r="F8" s="2175"/>
      <c r="G8" s="2175"/>
    </row>
    <row r="9" spans="2:12" s="720" customFormat="1">
      <c r="B9" s="1171"/>
      <c r="C9" s="1171"/>
      <c r="D9" s="2430"/>
      <c r="E9" s="2174"/>
      <c r="F9" s="2175"/>
      <c r="G9" s="2175"/>
    </row>
    <row r="10" spans="2:12" s="720" customFormat="1">
      <c r="B10" s="2313" t="s">
        <v>2900</v>
      </c>
      <c r="C10" s="2314"/>
      <c r="D10" s="2315"/>
      <c r="E10" s="2174"/>
      <c r="F10" s="2175"/>
      <c r="G10" s="2175"/>
    </row>
    <row r="11" spans="2:12" s="720" customFormat="1">
      <c r="B11" s="1171"/>
      <c r="C11" s="1171"/>
      <c r="D11" s="1171"/>
      <c r="E11" s="2174"/>
      <c r="F11" s="2175"/>
      <c r="G11" s="2175"/>
    </row>
    <row r="12" spans="2:12" s="720" customFormat="1">
      <c r="B12" s="2487" t="s">
        <v>2910</v>
      </c>
      <c r="C12" s="2285" t="s">
        <v>4372</v>
      </c>
      <c r="D12" s="2488" t="s">
        <v>4019</v>
      </c>
      <c r="E12" s="2181"/>
      <c r="F12" s="2181"/>
      <c r="G12" s="2181"/>
      <c r="H12" s="2181"/>
      <c r="I12" s="2181"/>
    </row>
    <row r="13" spans="2:12" s="720" customFormat="1">
      <c r="B13" s="2485" t="s">
        <v>2862</v>
      </c>
      <c r="C13" s="2484">
        <v>6</v>
      </c>
      <c r="D13" s="2489">
        <v>5</v>
      </c>
      <c r="E13" s="2423"/>
      <c r="F13" s="2480"/>
      <c r="G13" s="2481"/>
      <c r="H13" s="2482"/>
      <c r="I13" s="2481"/>
    </row>
    <row r="14" spans="2:12" s="720" customFormat="1">
      <c r="B14" s="2296" t="s">
        <v>2857</v>
      </c>
      <c r="C14" s="2533">
        <f>C13</f>
        <v>6</v>
      </c>
      <c r="D14" s="2490">
        <v>1.5</v>
      </c>
      <c r="E14" s="2423"/>
      <c r="F14" s="2480"/>
      <c r="G14" s="2481"/>
      <c r="H14" s="2482"/>
      <c r="I14" s="2481"/>
    </row>
    <row r="15" spans="2:12" s="720" customFormat="1">
      <c r="B15" s="2300" t="s">
        <v>2853</v>
      </c>
      <c r="C15" s="2534">
        <f>D23</f>
        <v>7</v>
      </c>
      <c r="D15" s="2486">
        <v>3</v>
      </c>
      <c r="E15" s="2423"/>
      <c r="F15" s="2480"/>
      <c r="G15" s="2481"/>
      <c r="H15" s="2482"/>
      <c r="I15" s="2483"/>
    </row>
    <row r="16" spans="2:12" s="720" customFormat="1">
      <c r="B16" s="2476"/>
      <c r="C16" s="1171"/>
      <c r="D16" s="2422"/>
      <c r="E16" s="2423"/>
      <c r="F16" s="2424"/>
      <c r="G16" s="2425"/>
      <c r="H16" s="2426"/>
      <c r="I16" s="2477"/>
    </row>
    <row r="17" spans="2:14" s="720" customFormat="1">
      <c r="B17" s="1171"/>
      <c r="C17" s="1171"/>
      <c r="D17" s="2430"/>
      <c r="E17" s="2174"/>
      <c r="F17" s="2175"/>
      <c r="G17" s="2175"/>
    </row>
    <row r="18" spans="2:14" s="720" customFormat="1" ht="15" customHeight="1">
      <c r="B18" s="2429" t="s">
        <v>3861</v>
      </c>
      <c r="C18" s="2433" t="s">
        <v>2354</v>
      </c>
      <c r="D18" s="2433"/>
      <c r="E18" s="2431"/>
      <c r="F18" s="2459"/>
      <c r="G18" s="1171"/>
      <c r="L18" s="2178"/>
      <c r="M18" s="1171"/>
      <c r="N18" s="1171"/>
    </row>
    <row r="19" spans="2:14" s="720" customFormat="1" ht="5.0999999999999996" customHeight="1">
      <c r="B19" s="2176"/>
      <c r="D19" s="2177"/>
      <c r="E19" s="2177"/>
      <c r="F19" s="2432"/>
      <c r="G19" s="1171"/>
      <c r="L19" s="2178"/>
      <c r="M19" s="1171"/>
      <c r="N19" s="1171"/>
    </row>
    <row r="20" spans="2:14" s="720" customFormat="1" ht="38.25">
      <c r="B20" s="2310" t="s">
        <v>514</v>
      </c>
      <c r="C20" s="2311" t="s">
        <v>2827</v>
      </c>
      <c r="D20" s="2285" t="s">
        <v>4372</v>
      </c>
      <c r="E20" s="2286" t="s">
        <v>4373</v>
      </c>
      <c r="F20" s="2286" t="s">
        <v>2805</v>
      </c>
      <c r="H20" s="2181"/>
      <c r="L20" s="2182"/>
      <c r="M20" s="2182"/>
      <c r="N20" s="1171"/>
    </row>
    <row r="21" spans="2:14" s="720" customFormat="1">
      <c r="B21" s="2296" t="s">
        <v>2862</v>
      </c>
      <c r="C21" s="2535">
        <v>0</v>
      </c>
      <c r="D21" s="2531">
        <f>C13</f>
        <v>6</v>
      </c>
      <c r="E21" s="2291">
        <v>0.15</v>
      </c>
      <c r="F21" s="2298">
        <f>'Milestone Calcs'!F15*E21</f>
        <v>4.725E-2</v>
      </c>
      <c r="H21" s="2181"/>
      <c r="L21" s="2182"/>
      <c r="M21" s="2182"/>
      <c r="N21" s="1171"/>
    </row>
    <row r="22" spans="2:14" s="720" customFormat="1">
      <c r="B22" s="2443" t="s">
        <v>2857</v>
      </c>
      <c r="C22" s="2184">
        <v>1</v>
      </c>
      <c r="D22" s="2531">
        <f>C14</f>
        <v>6</v>
      </c>
      <c r="E22" s="3185">
        <v>1</v>
      </c>
      <c r="F22" s="2294">
        <f>F21*E22</f>
        <v>4.725E-2</v>
      </c>
      <c r="H22" s="2181"/>
      <c r="I22"/>
      <c r="L22" s="2182"/>
      <c r="M22" s="2182"/>
      <c r="N22" s="1171"/>
    </row>
    <row r="23" spans="2:14" s="720" customFormat="1">
      <c r="B23" s="2444" t="s">
        <v>2853</v>
      </c>
      <c r="C23" s="2184">
        <v>1</v>
      </c>
      <c r="D23" s="2531">
        <f>D22+C22</f>
        <v>7</v>
      </c>
      <c r="E23" s="2185">
        <f>'PoTS _rNPV'!B83</f>
        <v>0.7</v>
      </c>
      <c r="F23" s="2294">
        <f>F22*E23</f>
        <v>3.3075E-2</v>
      </c>
      <c r="H23" s="2181"/>
      <c r="K23" s="2254"/>
      <c r="L23" s="2182"/>
      <c r="M23" s="2182"/>
      <c r="N23" s="1171"/>
    </row>
    <row r="24" spans="2:14" s="720" customFormat="1">
      <c r="B24" s="2183" t="s">
        <v>781</v>
      </c>
      <c r="C24" s="2184">
        <v>1</v>
      </c>
      <c r="D24" s="2531">
        <f t="shared" ref="D24:D30" si="0">D23+C23</f>
        <v>8</v>
      </c>
      <c r="E24" s="2185">
        <f>'PoTS _rNPV'!C97</f>
        <v>0.65</v>
      </c>
      <c r="F24" s="2294">
        <f>F23*E24</f>
        <v>2.149875E-2</v>
      </c>
      <c r="H24" s="2292" t="s">
        <v>2828</v>
      </c>
      <c r="I24" s="2293"/>
      <c r="K24" s="2254"/>
      <c r="L24" s="1171"/>
      <c r="M24" s="1171"/>
      <c r="N24" s="1171"/>
    </row>
    <row r="25" spans="2:14" s="720" customFormat="1">
      <c r="B25" s="2183" t="s">
        <v>517</v>
      </c>
      <c r="C25" s="2184">
        <v>2</v>
      </c>
      <c r="D25" s="2531">
        <f t="shared" si="0"/>
        <v>9</v>
      </c>
      <c r="E25" s="2185">
        <f>'PoTS _rNPV'!D97</f>
        <v>0.60000000000000009</v>
      </c>
      <c r="F25" s="2186">
        <f>E25*F24</f>
        <v>1.2899250000000003E-2</v>
      </c>
      <c r="H25" s="2187" t="s">
        <v>2829</v>
      </c>
      <c r="I25" s="2188">
        <v>1000</v>
      </c>
      <c r="J25" s="2003" t="s">
        <v>248</v>
      </c>
      <c r="L25" s="1171"/>
      <c r="M25" s="1171"/>
      <c r="N25" s="1171"/>
    </row>
    <row r="26" spans="2:14" s="720" customFormat="1">
      <c r="B26" s="2183" t="s">
        <v>510</v>
      </c>
      <c r="C26" s="2184">
        <v>2</v>
      </c>
      <c r="D26" s="2531">
        <f t="shared" si="0"/>
        <v>11</v>
      </c>
      <c r="E26" s="2185">
        <f>'PoTS _rNPV'!E97</f>
        <v>0.45</v>
      </c>
      <c r="F26" s="2186">
        <f>E26*F25</f>
        <v>5.804662500000001E-3</v>
      </c>
      <c r="H26" s="2189" t="s">
        <v>2830</v>
      </c>
      <c r="I26" s="2190">
        <v>0.08</v>
      </c>
      <c r="J26" s="2003" t="s">
        <v>273</v>
      </c>
      <c r="L26" s="1171"/>
      <c r="M26" s="1171"/>
      <c r="N26" s="1171"/>
    </row>
    <row r="27" spans="2:14" s="720" customFormat="1">
      <c r="B27" s="2183" t="s">
        <v>518</v>
      </c>
      <c r="C27" s="2184">
        <v>3</v>
      </c>
      <c r="D27" s="2531">
        <f t="shared" si="0"/>
        <v>13</v>
      </c>
      <c r="E27" s="2185">
        <f>'PoTS _rNPV'!F97</f>
        <v>0.6</v>
      </c>
      <c r="F27" s="2186">
        <f>E27*F26</f>
        <v>3.4827975000000003E-3</v>
      </c>
      <c r="H27" s="2191" t="s">
        <v>2810</v>
      </c>
      <c r="I27" s="2192">
        <v>6</v>
      </c>
      <c r="J27" s="2003" t="s">
        <v>274</v>
      </c>
      <c r="L27" s="1171"/>
      <c r="M27" s="1171"/>
      <c r="N27" s="1171"/>
    </row>
    <row r="28" spans="2:14" s="720" customFormat="1">
      <c r="B28" s="2183" t="s">
        <v>3659</v>
      </c>
      <c r="C28" s="2184">
        <v>1</v>
      </c>
      <c r="D28" s="2531">
        <f t="shared" si="0"/>
        <v>16</v>
      </c>
      <c r="E28" s="2185">
        <f>'PoTS _rNPV'!B100</f>
        <v>0.75</v>
      </c>
      <c r="F28" s="2186">
        <f>E28*F27</f>
        <v>2.6120981250000001E-3</v>
      </c>
      <c r="H28" s="2191" t="s">
        <v>2831</v>
      </c>
      <c r="I28" s="2193" t="s">
        <v>2832</v>
      </c>
      <c r="J28" s="2003"/>
      <c r="L28" s="1171"/>
      <c r="M28" s="1171"/>
      <c r="N28" s="1171"/>
    </row>
    <row r="29" spans="2:14" s="720" customFormat="1">
      <c r="B29" s="2194" t="s">
        <v>2806</v>
      </c>
      <c r="C29" s="2184">
        <v>10</v>
      </c>
      <c r="D29" s="2531">
        <f t="shared" si="0"/>
        <v>17</v>
      </c>
      <c r="E29" s="2185">
        <f>'PoTS _rNPV'!C100</f>
        <v>1</v>
      </c>
      <c r="F29" s="2186">
        <f>E29*F28</f>
        <v>2.6120981250000001E-3</v>
      </c>
      <c r="H29" s="2195" t="s">
        <v>2833</v>
      </c>
      <c r="I29" s="2196">
        <v>10</v>
      </c>
      <c r="L29" s="1171"/>
      <c r="M29" s="1171"/>
      <c r="N29" s="1171"/>
    </row>
    <row r="30" spans="2:14" s="720" customFormat="1">
      <c r="B30" s="2197" t="s">
        <v>2808</v>
      </c>
      <c r="C30" s="2198"/>
      <c r="D30" s="2532">
        <f t="shared" si="0"/>
        <v>27</v>
      </c>
      <c r="E30" s="2199" t="s">
        <v>2807</v>
      </c>
      <c r="F30" s="2199" t="s">
        <v>2807</v>
      </c>
      <c r="L30" s="1171"/>
      <c r="M30" s="1171"/>
      <c r="N30" s="1171"/>
    </row>
    <row r="31" spans="2:14" s="720" customFormat="1">
      <c r="B31" s="2282"/>
      <c r="C31" s="2284"/>
      <c r="D31" s="2221"/>
      <c r="E31" s="2283"/>
      <c r="F31" s="2283"/>
      <c r="G31" s="2283"/>
      <c r="L31" s="1171"/>
      <c r="M31" s="1171"/>
      <c r="N31" s="1171"/>
    </row>
    <row r="32" spans="2:14" s="720" customFormat="1">
      <c r="B32" s="2478" t="s">
        <v>2854</v>
      </c>
      <c r="C32" s="2285" t="s">
        <v>4372</v>
      </c>
      <c r="D32" s="2479" t="s">
        <v>4019</v>
      </c>
      <c r="E32" s="2283"/>
      <c r="F32" s="2283"/>
      <c r="G32" s="2283"/>
      <c r="L32" s="1171"/>
      <c r="M32" s="1171"/>
      <c r="N32" s="1171"/>
    </row>
    <row r="33" spans="1:14" s="720" customFormat="1">
      <c r="B33" s="2445" t="s">
        <v>2849</v>
      </c>
      <c r="C33" s="2446">
        <f>D25</f>
        <v>9</v>
      </c>
      <c r="D33" s="2447">
        <v>5</v>
      </c>
      <c r="E33" s="2283"/>
      <c r="F33" s="2283"/>
      <c r="G33" s="2283"/>
      <c r="L33" s="1171"/>
      <c r="M33" s="1171"/>
      <c r="N33" s="1171"/>
    </row>
    <row r="34" spans="1:14" s="720" customFormat="1">
      <c r="B34" s="2444" t="s">
        <v>2850</v>
      </c>
      <c r="C34" s="2448">
        <f>D26</f>
        <v>11</v>
      </c>
      <c r="D34" s="2449">
        <v>7</v>
      </c>
      <c r="E34" s="2283"/>
      <c r="F34" s="2283"/>
      <c r="G34" s="2283"/>
      <c r="L34" s="1171"/>
      <c r="M34" s="1171"/>
      <c r="N34" s="1171"/>
    </row>
    <row r="35" spans="1:14" s="720" customFormat="1">
      <c r="B35" s="2444" t="s">
        <v>2851</v>
      </c>
      <c r="C35" s="2448">
        <f>D27</f>
        <v>13</v>
      </c>
      <c r="D35" s="2449">
        <v>9</v>
      </c>
      <c r="E35" s="2283"/>
      <c r="F35" s="2283"/>
      <c r="G35" s="2283"/>
      <c r="L35" s="1171"/>
      <c r="M35" s="1171"/>
      <c r="N35" s="1171"/>
    </row>
    <row r="36" spans="1:14" s="720" customFormat="1">
      <c r="B36" s="2444" t="s">
        <v>3659</v>
      </c>
      <c r="C36" s="2448">
        <f>D28</f>
        <v>16</v>
      </c>
      <c r="D36" s="2449">
        <f>15+10+6</f>
        <v>31</v>
      </c>
      <c r="E36" s="2283"/>
      <c r="F36" s="2283"/>
      <c r="G36" s="2283"/>
      <c r="L36" s="1171"/>
      <c r="M36" s="1171"/>
      <c r="N36" s="1171"/>
    </row>
    <row r="37" spans="1:14" s="720" customFormat="1">
      <c r="B37" s="2434" t="s">
        <v>160</v>
      </c>
      <c r="C37" s="2435"/>
      <c r="D37" s="2436">
        <f>SUM(D33:D36)</f>
        <v>52</v>
      </c>
      <c r="E37" s="2283"/>
      <c r="F37" s="2283"/>
      <c r="G37" s="2283"/>
      <c r="L37" s="1171"/>
      <c r="M37" s="1171"/>
      <c r="N37" s="1171"/>
    </row>
    <row r="38" spans="1:14" s="720" customFormat="1">
      <c r="B38" s="2428"/>
      <c r="C38" s="2213"/>
      <c r="D38" s="2206"/>
      <c r="E38" s="2283"/>
      <c r="F38" s="2283"/>
      <c r="G38" s="2283"/>
      <c r="L38" s="2502" t="s">
        <v>579</v>
      </c>
      <c r="M38" s="2459"/>
      <c r="N38" s="1171"/>
    </row>
    <row r="39" spans="1:14" s="720" customFormat="1">
      <c r="B39" s="2282"/>
      <c r="C39" s="2284"/>
      <c r="D39" s="2221"/>
      <c r="E39" s="2283"/>
      <c r="F39" s="2283"/>
      <c r="G39" s="2283"/>
      <c r="L39" s="2439">
        <v>1</v>
      </c>
      <c r="M39" s="2440"/>
      <c r="N39" s="1171"/>
    </row>
    <row r="40" spans="1:14" s="720" customFormat="1">
      <c r="B40" s="2182" t="s">
        <v>3864</v>
      </c>
      <c r="L40" s="2176">
        <v>0</v>
      </c>
      <c r="M40" s="2432"/>
      <c r="N40" s="1171"/>
    </row>
    <row r="41" spans="1:14" s="720" customFormat="1">
      <c r="B41" s="2182"/>
      <c r="L41" s="1171"/>
      <c r="M41" s="1171"/>
      <c r="N41" s="1171"/>
    </row>
    <row r="42" spans="1:14" s="720" customFormat="1">
      <c r="B42" s="1171" t="s">
        <v>2909</v>
      </c>
      <c r="C42" s="1171"/>
      <c r="D42" s="2524">
        <v>0</v>
      </c>
      <c r="F42"/>
      <c r="L42" s="1171"/>
      <c r="M42" s="1171"/>
      <c r="N42" s="1171"/>
    </row>
    <row r="43" spans="1:14" s="720" customFormat="1">
      <c r="A43" s="1171"/>
      <c r="B43" s="2177"/>
      <c r="C43" s="2177"/>
      <c r="D43" s="2177"/>
      <c r="E43" s="2177"/>
      <c r="F43" s="2177"/>
      <c r="G43" s="1171"/>
      <c r="L43" s="1171"/>
      <c r="M43" s="1171"/>
      <c r="N43" s="1171"/>
    </row>
    <row r="44" spans="1:14" s="720" customFormat="1" ht="38.25">
      <c r="B44" s="2310" t="s">
        <v>2901</v>
      </c>
      <c r="C44" s="2311" t="s">
        <v>2827</v>
      </c>
      <c r="D44" s="2285" t="s">
        <v>4372</v>
      </c>
      <c r="E44" s="2286" t="s">
        <v>4377</v>
      </c>
      <c r="F44" s="2286" t="s">
        <v>4379</v>
      </c>
      <c r="G44" s="2181"/>
      <c r="L44" s="1171"/>
      <c r="M44" s="1171"/>
      <c r="N44" s="1171"/>
    </row>
    <row r="45" spans="1:14" s="720" customFormat="1">
      <c r="B45" s="2296" t="s">
        <v>2862</v>
      </c>
      <c r="C45" s="2297">
        <f>C21</f>
        <v>0</v>
      </c>
      <c r="D45" s="2492">
        <f>D21</f>
        <v>6</v>
      </c>
      <c r="E45" s="2291">
        <v>1</v>
      </c>
      <c r="F45" s="2298">
        <f>F21*E45</f>
        <v>4.725E-2</v>
      </c>
      <c r="G45" s="2295"/>
      <c r="L45" s="1171"/>
      <c r="M45" s="1171"/>
      <c r="N45" s="1171"/>
    </row>
    <row r="46" spans="1:14" s="720" customFormat="1">
      <c r="B46" s="2443" t="s">
        <v>2857</v>
      </c>
      <c r="C46" s="2297">
        <f t="shared" ref="C46:E54" si="1">C22</f>
        <v>1</v>
      </c>
      <c r="D46" s="2493">
        <f t="shared" si="1"/>
        <v>6</v>
      </c>
      <c r="E46" s="2298">
        <f>E45</f>
        <v>1</v>
      </c>
      <c r="F46" s="2294">
        <f>E22*E46*F45</f>
        <v>4.725E-2</v>
      </c>
      <c r="G46" s="2295"/>
      <c r="H46"/>
      <c r="I46"/>
      <c r="L46" s="1171"/>
      <c r="M46" s="1171"/>
      <c r="N46" s="1171"/>
    </row>
    <row r="47" spans="1:14" s="720" customFormat="1">
      <c r="B47" s="2444" t="s">
        <v>2853</v>
      </c>
      <c r="C47" s="2297">
        <f t="shared" si="1"/>
        <v>1</v>
      </c>
      <c r="D47" s="2493">
        <f t="shared" si="1"/>
        <v>7</v>
      </c>
      <c r="E47" s="2298">
        <f>E46</f>
        <v>1</v>
      </c>
      <c r="F47" s="2294">
        <f t="shared" ref="F47:F50" si="2">E23*E47*F46</f>
        <v>3.3075E-2</v>
      </c>
      <c r="G47" s="2295"/>
      <c r="L47" s="1171"/>
      <c r="M47" s="1171"/>
      <c r="N47" s="1171"/>
    </row>
    <row r="48" spans="1:14" s="720" customFormat="1">
      <c r="B48" s="2183" t="s">
        <v>781</v>
      </c>
      <c r="C48" s="2297">
        <f t="shared" si="1"/>
        <v>1</v>
      </c>
      <c r="D48" s="2493">
        <f t="shared" si="1"/>
        <v>8</v>
      </c>
      <c r="E48" s="2298">
        <f>E47</f>
        <v>1</v>
      </c>
      <c r="F48" s="2294">
        <f t="shared" si="2"/>
        <v>2.149875E-2</v>
      </c>
      <c r="G48" s="2295"/>
      <c r="H48" s="2292" t="s">
        <v>2828</v>
      </c>
      <c r="I48" s="2293"/>
      <c r="L48" s="1171"/>
      <c r="M48" s="1171"/>
      <c r="N48" s="1171"/>
    </row>
    <row r="49" spans="1:19" s="720" customFormat="1">
      <c r="B49" s="2183" t="s">
        <v>517</v>
      </c>
      <c r="C49" s="2297">
        <f t="shared" si="1"/>
        <v>2</v>
      </c>
      <c r="D49" s="2493">
        <f t="shared" si="1"/>
        <v>9</v>
      </c>
      <c r="E49" s="2298">
        <f>E48</f>
        <v>1</v>
      </c>
      <c r="F49" s="2294">
        <f t="shared" si="2"/>
        <v>1.2899250000000003E-2</v>
      </c>
      <c r="G49" s="2299"/>
      <c r="H49" s="2187" t="s">
        <v>2829</v>
      </c>
      <c r="I49" s="3141">
        <f>I25</f>
        <v>1000</v>
      </c>
      <c r="J49" s="2003" t="s">
        <v>248</v>
      </c>
      <c r="L49" s="1171"/>
      <c r="M49" s="1171"/>
      <c r="N49" s="1171"/>
    </row>
    <row r="50" spans="1:19" s="720" customFormat="1">
      <c r="B50" s="3175" t="s">
        <v>510</v>
      </c>
      <c r="C50" s="3176">
        <f t="shared" si="1"/>
        <v>2</v>
      </c>
      <c r="D50" s="2494">
        <f t="shared" si="1"/>
        <v>11</v>
      </c>
      <c r="E50" s="3177">
        <f>E49</f>
        <v>1</v>
      </c>
      <c r="F50" s="3178">
        <f t="shared" si="2"/>
        <v>5.804662500000001E-3</v>
      </c>
      <c r="G50" s="2299"/>
      <c r="H50" s="2189" t="s">
        <v>2830</v>
      </c>
      <c r="I50" s="2190">
        <v>0.08</v>
      </c>
      <c r="J50" s="2003" t="s">
        <v>273</v>
      </c>
      <c r="L50" s="1171"/>
      <c r="M50" s="1171"/>
      <c r="N50" s="1171"/>
    </row>
    <row r="51" spans="1:19" s="720" customFormat="1">
      <c r="B51" s="2183" t="s">
        <v>518</v>
      </c>
      <c r="C51" s="2297">
        <f t="shared" si="1"/>
        <v>3</v>
      </c>
      <c r="D51" s="2493">
        <f t="shared" si="1"/>
        <v>13</v>
      </c>
      <c r="E51" s="2185">
        <f t="shared" si="1"/>
        <v>0.6</v>
      </c>
      <c r="F51" s="2186">
        <f>E51*F50</f>
        <v>3.4827975000000003E-3</v>
      </c>
      <c r="G51" s="2299"/>
      <c r="H51" s="2191" t="s">
        <v>2810</v>
      </c>
      <c r="I51" s="2192">
        <v>6</v>
      </c>
      <c r="J51" s="2003" t="s">
        <v>274</v>
      </c>
      <c r="L51" s="1171"/>
      <c r="M51" s="1171"/>
      <c r="N51" s="1171"/>
    </row>
    <row r="52" spans="1:19" s="720" customFormat="1">
      <c r="B52" s="2183" t="s">
        <v>3659</v>
      </c>
      <c r="C52" s="2297">
        <f t="shared" si="1"/>
        <v>1</v>
      </c>
      <c r="D52" s="2493">
        <f t="shared" si="1"/>
        <v>16</v>
      </c>
      <c r="E52" s="2185">
        <f t="shared" si="1"/>
        <v>0.75</v>
      </c>
      <c r="F52" s="2186">
        <f>E52*F51</f>
        <v>2.6120981250000001E-3</v>
      </c>
      <c r="G52" s="2299"/>
      <c r="H52" s="2191" t="s">
        <v>2831</v>
      </c>
      <c r="I52" s="2193" t="s">
        <v>2832</v>
      </c>
      <c r="L52" s="1171"/>
      <c r="M52" s="1171"/>
      <c r="N52" s="1171"/>
    </row>
    <row r="53" spans="1:19" s="720" customFormat="1">
      <c r="B53" s="2194" t="s">
        <v>2806</v>
      </c>
      <c r="C53" s="2297">
        <f t="shared" si="1"/>
        <v>10</v>
      </c>
      <c r="D53" s="2493">
        <f t="shared" si="1"/>
        <v>17</v>
      </c>
      <c r="E53" s="2185">
        <f t="shared" si="1"/>
        <v>1</v>
      </c>
      <c r="F53" s="2186">
        <f>E53*F52</f>
        <v>2.6120981250000001E-3</v>
      </c>
      <c r="G53" s="2299"/>
      <c r="H53" s="2195" t="s">
        <v>2833</v>
      </c>
      <c r="I53" s="2196">
        <v>10</v>
      </c>
      <c r="L53" s="1171"/>
      <c r="M53" s="1171"/>
      <c r="N53" s="1171"/>
    </row>
    <row r="54" spans="1:19" s="720" customFormat="1">
      <c r="B54" s="2197" t="s">
        <v>2808</v>
      </c>
      <c r="C54" s="2491"/>
      <c r="D54" s="2494">
        <f t="shared" si="1"/>
        <v>27</v>
      </c>
      <c r="E54" s="2199" t="s">
        <v>2807</v>
      </c>
      <c r="F54" s="2199" t="s">
        <v>2807</v>
      </c>
      <c r="G54" s="2283"/>
      <c r="L54" s="1171"/>
      <c r="M54" s="1171"/>
      <c r="N54" s="1171"/>
    </row>
    <row r="55" spans="1:19" s="720" customFormat="1">
      <c r="B55" s="2282"/>
      <c r="C55" s="2284"/>
      <c r="D55" s="2221"/>
      <c r="E55" s="2283"/>
      <c r="F55" s="2283"/>
      <c r="G55" s="2283"/>
      <c r="L55" s="1171"/>
      <c r="M55" s="1171"/>
      <c r="N55" s="1171"/>
    </row>
    <row r="56" spans="1:19" s="720" customFormat="1">
      <c r="B56" s="2478" t="s">
        <v>2854</v>
      </c>
      <c r="C56" s="2285" t="s">
        <v>4372</v>
      </c>
      <c r="D56" s="2479" t="s">
        <v>4019</v>
      </c>
      <c r="E56" s="2283"/>
      <c r="F56" s="2283"/>
      <c r="G56" s="2283"/>
      <c r="L56" s="1171"/>
      <c r="M56" s="1171"/>
      <c r="N56" s="1171"/>
    </row>
    <row r="57" spans="1:19" s="720" customFormat="1">
      <c r="B57" s="2445" t="s">
        <v>2849</v>
      </c>
      <c r="C57" s="2446">
        <f>D49</f>
        <v>9</v>
      </c>
      <c r="D57" s="2447">
        <v>0</v>
      </c>
      <c r="E57" s="2283"/>
      <c r="F57" s="2283"/>
      <c r="G57" s="2283"/>
      <c r="H57" s="1197"/>
      <c r="L57" s="1171"/>
      <c r="M57" s="1171"/>
      <c r="N57" s="1171"/>
    </row>
    <row r="58" spans="1:19" s="720" customFormat="1">
      <c r="B58" s="2444" t="s">
        <v>2850</v>
      </c>
      <c r="C58" s="2448">
        <f>D50</f>
        <v>11</v>
      </c>
      <c r="D58" s="2449">
        <v>3.5</v>
      </c>
      <c r="H58" s="1197"/>
      <c r="L58" s="1171"/>
      <c r="M58" s="1171"/>
      <c r="N58" s="1171"/>
    </row>
    <row r="59" spans="1:19" s="720" customFormat="1">
      <c r="B59" s="2444" t="s">
        <v>2851</v>
      </c>
      <c r="C59" s="2448">
        <f>D51</f>
        <v>13</v>
      </c>
      <c r="D59" s="2449">
        <v>4.5</v>
      </c>
      <c r="E59" s="2283"/>
      <c r="F59" s="2283"/>
      <c r="G59" s="2283"/>
      <c r="H59" s="1197"/>
      <c r="L59" s="1171"/>
      <c r="M59" s="1171"/>
      <c r="N59" s="1171"/>
    </row>
    <row r="60" spans="1:19" s="720" customFormat="1" ht="12.75" customHeight="1">
      <c r="B60" s="2444" t="s">
        <v>3659</v>
      </c>
      <c r="C60" s="2448">
        <f>D52</f>
        <v>16</v>
      </c>
      <c r="D60" s="2449">
        <f>7.5+5+3</f>
        <v>15.5</v>
      </c>
      <c r="E60" s="2200"/>
    </row>
    <row r="61" spans="1:19" s="720" customFormat="1">
      <c r="A61" s="1171"/>
      <c r="B61" s="2434" t="s">
        <v>160</v>
      </c>
      <c r="C61" s="2435"/>
      <c r="D61" s="2436">
        <f>SUM(D57:D60)</f>
        <v>23.5</v>
      </c>
      <c r="E61" s="2312"/>
      <c r="F61" s="2312"/>
      <c r="G61" s="2312"/>
      <c r="L61" s="1171"/>
      <c r="M61" s="1171"/>
      <c r="N61" s="1171"/>
      <c r="O61" s="1171"/>
      <c r="P61" s="1171"/>
      <c r="Q61" s="1171"/>
      <c r="R61" s="1171"/>
      <c r="S61" s="1171"/>
    </row>
    <row r="62" spans="1:19" s="720" customFormat="1" ht="12.75" customHeight="1">
      <c r="A62" s="1171"/>
      <c r="L62" s="1171"/>
      <c r="M62" s="2178"/>
      <c r="N62" s="1171"/>
      <c r="O62" s="1171"/>
      <c r="P62" s="1171"/>
      <c r="Q62" s="1171"/>
      <c r="R62" s="1171"/>
      <c r="S62" s="1171"/>
    </row>
    <row r="63" spans="1:19" s="2203" customFormat="1" ht="13.5" customHeight="1">
      <c r="E63"/>
      <c r="F63"/>
      <c r="G63" s="2201"/>
      <c r="H63" s="2201"/>
    </row>
    <row r="64" spans="1:19" s="2203" customFormat="1" ht="16.5" customHeight="1">
      <c r="B64" s="2438" t="s">
        <v>4020</v>
      </c>
      <c r="C64" s="2437"/>
      <c r="E64"/>
      <c r="F64"/>
      <c r="G64" s="2205"/>
      <c r="H64" s="2201"/>
    </row>
    <row r="65" spans="2:8" s="2203" customFormat="1" ht="12.75" customHeight="1">
      <c r="B65" s="2439"/>
      <c r="C65" s="2440"/>
      <c r="E65"/>
      <c r="F65"/>
      <c r="G65" s="2205"/>
      <c r="H65" s="2205"/>
    </row>
    <row r="66" spans="2:8" s="2203" customFormat="1" ht="12.75" customHeight="1">
      <c r="B66" s="2441" t="s">
        <v>2834</v>
      </c>
      <c r="C66" s="2442" t="s">
        <v>583</v>
      </c>
      <c r="E66"/>
      <c r="F66"/>
      <c r="G66" s="2205"/>
      <c r="H66" s="2205"/>
    </row>
    <row r="67" spans="2:8" s="2203" customFormat="1" ht="12.75" customHeight="1">
      <c r="B67" s="2204">
        <v>500</v>
      </c>
      <c r="C67" s="2204">
        <v>10</v>
      </c>
      <c r="E67"/>
      <c r="F67"/>
      <c r="G67" s="2205"/>
      <c r="H67" s="2205"/>
    </row>
    <row r="68" spans="2:8" s="2203" customFormat="1" ht="12.75" customHeight="1">
      <c r="B68" s="2204">
        <v>1000</v>
      </c>
      <c r="C68" s="2204">
        <v>25</v>
      </c>
      <c r="E68"/>
      <c r="F68"/>
      <c r="G68" s="2205"/>
      <c r="H68" s="2205"/>
    </row>
    <row r="69" spans="2:8" s="2203" customFormat="1" ht="12.75" customHeight="1">
      <c r="B69" s="2204">
        <v>2000</v>
      </c>
      <c r="C69" s="2204">
        <v>35</v>
      </c>
      <c r="E69"/>
      <c r="F69"/>
      <c r="G69" s="2205"/>
      <c r="H69" s="2205"/>
    </row>
    <row r="70" spans="2:8" s="2203" customFormat="1" ht="12.75" customHeight="1">
      <c r="B70" s="2434" t="s">
        <v>160</v>
      </c>
      <c r="C70" s="2436">
        <f>SUM(C67:C69)</f>
        <v>70</v>
      </c>
      <c r="E70"/>
      <c r="F70"/>
      <c r="G70" s="2205"/>
      <c r="H70" s="2205"/>
    </row>
    <row r="71" spans="2:8" s="2203" customFormat="1" ht="12.75" customHeight="1">
      <c r="B71" s="2428"/>
      <c r="C71" s="2213"/>
      <c r="D71" s="2206"/>
      <c r="E71"/>
      <c r="F71"/>
      <c r="G71" s="2205"/>
      <c r="H71" s="2205"/>
    </row>
    <row r="72" spans="2:8" s="2203" customFormat="1" ht="12.75" customHeight="1">
      <c r="B72" s="2438" t="s">
        <v>4021</v>
      </c>
      <c r="C72" s="2450"/>
      <c r="D72" s="2437"/>
      <c r="E72"/>
      <c r="F72"/>
      <c r="G72" s="2205"/>
      <c r="H72" s="2205"/>
    </row>
    <row r="73" spans="2:8" s="2203" customFormat="1" ht="12.75" customHeight="1">
      <c r="B73" s="2439"/>
      <c r="C73" s="1171"/>
      <c r="D73" s="2440"/>
      <c r="E73"/>
      <c r="F73"/>
      <c r="G73" s="2205"/>
      <c r="H73" s="2205"/>
    </row>
    <row r="74" spans="2:8" s="2203" customFormat="1" ht="12.75" customHeight="1">
      <c r="B74" s="2451" t="s">
        <v>2835</v>
      </c>
      <c r="C74" s="2452"/>
      <c r="D74" s="2453" t="s">
        <v>2836</v>
      </c>
      <c r="E74"/>
      <c r="F74"/>
      <c r="G74" s="2205"/>
      <c r="H74" s="2205"/>
    </row>
    <row r="75" spans="2:8" s="2203" customFormat="1" ht="12.75" customHeight="1">
      <c r="B75" s="2434" t="s">
        <v>2837</v>
      </c>
      <c r="C75" s="2454" t="s">
        <v>2838</v>
      </c>
      <c r="D75" s="2442" t="str">
        <f>C66</f>
        <v>Amount</v>
      </c>
      <c r="E75"/>
      <c r="F75"/>
      <c r="G75" s="2205"/>
      <c r="H75" s="2205"/>
    </row>
    <row r="76" spans="2:8" s="2203" customFormat="1" ht="12.75" customHeight="1">
      <c r="B76" s="2207">
        <v>0</v>
      </c>
      <c r="C76" s="2208">
        <v>500</v>
      </c>
      <c r="D76" s="2455">
        <v>0.04</v>
      </c>
      <c r="E76"/>
      <c r="F76"/>
      <c r="G76" s="2205"/>
      <c r="H76" s="2205"/>
    </row>
    <row r="77" spans="2:8" s="2203" customFormat="1" ht="12.75" customHeight="1">
      <c r="B77" s="2207">
        <f>C76</f>
        <v>500</v>
      </c>
      <c r="C77" s="2208">
        <v>1500</v>
      </c>
      <c r="D77" s="2209">
        <v>0.05</v>
      </c>
      <c r="E77"/>
      <c r="F77"/>
      <c r="G77" s="2205"/>
      <c r="H77" s="2205"/>
    </row>
    <row r="78" spans="2:8" s="2203" customFormat="1" ht="12.75" customHeight="1">
      <c r="B78" s="2210">
        <v>1500</v>
      </c>
      <c r="C78" s="2211" t="s">
        <v>13</v>
      </c>
      <c r="D78" s="2212">
        <v>0.06</v>
      </c>
      <c r="E78"/>
      <c r="F78"/>
      <c r="G78" s="2205"/>
      <c r="H78" s="2205"/>
    </row>
    <row r="79" spans="2:8" s="2203" customFormat="1" ht="12.75" customHeight="1">
      <c r="B79" s="2428"/>
      <c r="C79" s="2213"/>
      <c r="D79" s="2206"/>
      <c r="E79"/>
      <c r="F79"/>
      <c r="G79" s="2205"/>
      <c r="H79" s="2205"/>
    </row>
    <row r="80" spans="2:8" s="720" customFormat="1">
      <c r="B80" s="2166" t="s">
        <v>86</v>
      </c>
    </row>
    <row r="81" spans="1:9" s="720" customFormat="1" ht="12.75" customHeight="1">
      <c r="A81" s="2167" t="s">
        <v>210</v>
      </c>
      <c r="B81" s="2219" t="str">
        <f>"Refer to "&amp;'WACC CAPM_rNPV'!B3&amp;"."</f>
        <v>Refer to Workpaper #12.</v>
      </c>
      <c r="C81" s="2219"/>
      <c r="D81" s="2219"/>
      <c r="E81" s="2219"/>
      <c r="F81" s="2219"/>
      <c r="G81" s="2219"/>
      <c r="H81" s="2219"/>
      <c r="I81" s="2219"/>
    </row>
    <row r="82" spans="1:9" s="720" customFormat="1" ht="12.75" customHeight="1">
      <c r="A82" s="2167" t="s">
        <v>209</v>
      </c>
      <c r="B82" s="2219" t="s">
        <v>2839</v>
      </c>
      <c r="C82" s="2219"/>
      <c r="D82" s="2219"/>
      <c r="E82" s="2219"/>
      <c r="F82" s="2219"/>
      <c r="G82" s="2219"/>
      <c r="H82" s="2219"/>
      <c r="I82" s="2219"/>
    </row>
    <row r="83" spans="1:9" s="720" customFormat="1" ht="12.75" customHeight="1">
      <c r="A83" s="2167" t="s">
        <v>246</v>
      </c>
      <c r="B83" s="3142" t="s">
        <v>2935</v>
      </c>
      <c r="C83" s="2219"/>
      <c r="D83" s="2219"/>
      <c r="E83" s="2219"/>
      <c r="F83" s="2219"/>
      <c r="G83" s="2219"/>
      <c r="H83" s="2219"/>
      <c r="I83" s="2219"/>
    </row>
    <row r="84" spans="1:9" s="720" customFormat="1" ht="12.75" customHeight="1">
      <c r="A84" s="763" t="s">
        <v>247</v>
      </c>
      <c r="B84" s="2219" t="str">
        <f>"Based on the published studies and discussions with Management. Refer to"&amp;'PoTS _rNPV'!B3&amp;"."</f>
        <v>Based on the published studies and discussions with Management. Refer toWorkpaper #19.</v>
      </c>
      <c r="C84" s="2219"/>
      <c r="D84" s="2219"/>
      <c r="E84" s="2219"/>
      <c r="F84" s="2219"/>
      <c r="G84" s="2219"/>
      <c r="H84" s="2219"/>
      <c r="I84" s="2219"/>
    </row>
    <row r="85" spans="1:9" s="720" customFormat="1" ht="25.5" customHeight="1">
      <c r="A85" s="763" t="s">
        <v>248</v>
      </c>
      <c r="B85" s="3253" t="str">
        <f>"Refer to "&amp;'NASH_WW Summary'!B3&amp;" for peak sales of drugs in "&amp;C18&amp;". Given the very early stage of the Agreement, we considered lower peak sales for the product candidates. Assumed similar peak sales for "&amp;B40&amp;", considering the indication will be complementary to "&amp;C18&amp;"."</f>
        <v>Refer to Workpaper #16 for peak sales of drugs in NASH. Given the very early stage of the Agreement, we considered lower peak sales for the product candidates. Assumed similar peak sales for Indication #6, considering the indication will be complementary to NASH.</v>
      </c>
      <c r="C85" s="3253"/>
      <c r="D85" s="3253"/>
      <c r="E85" s="3253"/>
      <c r="F85" s="3253"/>
      <c r="G85" s="3253"/>
      <c r="H85" s="3253"/>
      <c r="I85" s="3253"/>
    </row>
    <row r="86" spans="1:9" s="720" customFormat="1">
      <c r="A86" s="763" t="s">
        <v>273</v>
      </c>
      <c r="B86" s="2219" t="s">
        <v>2804</v>
      </c>
      <c r="C86" s="2219"/>
      <c r="D86" s="2219"/>
      <c r="E86" s="2219"/>
      <c r="F86" s="2219"/>
      <c r="G86" s="2219"/>
      <c r="H86" s="2219"/>
      <c r="I86" s="2219"/>
    </row>
    <row r="87" spans="1:9" s="720" customFormat="1" ht="12.75" customHeight="1">
      <c r="A87" s="763" t="s">
        <v>274</v>
      </c>
      <c r="B87" s="2219" t="str">
        <f>"Refer to "&amp;'Penetration Curves'!B3&amp;" and "&amp;'Timeline and Cost Research'!B3&amp;"."</f>
        <v>Refer to Workpaper #10 and Workpaper #17.</v>
      </c>
      <c r="C87" s="2219"/>
      <c r="D87" s="2219"/>
      <c r="E87" s="2219"/>
      <c r="F87" s="2219"/>
      <c r="G87" s="2219"/>
      <c r="H87" s="2219"/>
      <c r="I87" s="2219"/>
    </row>
    <row r="88" spans="1:9" s="720" customFormat="1" ht="28.5" customHeight="1">
      <c r="A88" s="763" t="s">
        <v>275</v>
      </c>
      <c r="B88" s="3253" t="str">
        <f>"The individual success probabilities for "&amp;B40&amp;" are "&amp;TEXT(E45,"0.0%")&amp;" up to Phase II, depending on the cumulative success probabilities of "&amp;C18&amp;". The individual success probabilies for Phase III onwards would be dependent on the respective trials for "&amp;B40&amp;" and are assumed to be same as "&amp;C18&amp;" for the purpose of our analysis."</f>
        <v>The individual success probabilities for Indication #6 are 100.0% up to Phase II, depending on the cumulative success probabilities of NASH. The individual success probabilies for Phase III onwards would be dependent on the respective trials for Indication #6 and are assumed to be same as NASH for the purpose of our analysis.</v>
      </c>
      <c r="C88" s="3253"/>
      <c r="D88" s="3253"/>
      <c r="E88" s="3253"/>
      <c r="F88" s="3253"/>
      <c r="G88" s="3253"/>
      <c r="H88" s="3253"/>
      <c r="I88" s="3253"/>
    </row>
    <row r="89" spans="1:9" s="720" customFormat="1"/>
    <row r="90" spans="1:9" s="720" customFormat="1"/>
    <row r="91" spans="1:9" s="720" customFormat="1"/>
    <row r="92" spans="1:9" s="720" customFormat="1"/>
    <row r="93" spans="1:9" s="720" customFormat="1"/>
    <row r="94" spans="1:9" s="720" customFormat="1"/>
    <row r="95" spans="1:9" s="720" customFormat="1"/>
    <row r="96" spans="1:9" s="720" customFormat="1"/>
    <row r="97" s="720" customFormat="1"/>
    <row r="98" s="720" customFormat="1"/>
    <row r="99" s="720" customFormat="1"/>
    <row r="100" s="720" customFormat="1"/>
    <row r="101" s="720" customFormat="1"/>
    <row r="102" s="720" customFormat="1"/>
    <row r="103" s="720" customFormat="1"/>
    <row r="104" s="720" customFormat="1"/>
    <row r="105" s="720" customFormat="1"/>
    <row r="106" s="720" customFormat="1"/>
    <row r="107" s="720" customFormat="1"/>
    <row r="108" s="720" customFormat="1"/>
    <row r="109" s="720" customFormat="1"/>
    <row r="110" s="720" customFormat="1"/>
    <row r="111" s="720" customFormat="1"/>
    <row r="112" s="720" customFormat="1"/>
    <row r="113" s="720" customFormat="1"/>
    <row r="114" s="720" customFormat="1"/>
    <row r="115" s="720" customFormat="1"/>
    <row r="116" s="720" customFormat="1"/>
    <row r="117" s="720" customFormat="1"/>
    <row r="118" s="720" customFormat="1"/>
    <row r="119" s="720" customFormat="1"/>
    <row r="120" s="720" customFormat="1"/>
    <row r="121" s="720" customFormat="1"/>
    <row r="122" s="720" customFormat="1"/>
    <row r="123" s="720" customFormat="1"/>
    <row r="124" s="720" customFormat="1"/>
    <row r="125" s="720" customFormat="1"/>
    <row r="126" s="720" customFormat="1"/>
    <row r="127" s="720" customFormat="1"/>
    <row r="128" s="720" customFormat="1"/>
    <row r="129" s="720" customFormat="1"/>
    <row r="130" s="720" customFormat="1"/>
    <row r="131" s="720" customFormat="1"/>
    <row r="132" s="720" customFormat="1"/>
    <row r="133" s="720" customFormat="1"/>
    <row r="134" s="720" customFormat="1"/>
    <row r="135" s="720" customFormat="1"/>
    <row r="136" s="720" customFormat="1"/>
    <row r="137" s="720" customFormat="1"/>
    <row r="138" s="720" customFormat="1"/>
    <row r="139" s="720" customFormat="1"/>
    <row r="140" s="720" customFormat="1"/>
    <row r="141" s="720" customFormat="1"/>
    <row r="142" s="720" customFormat="1"/>
    <row r="143" s="720" customFormat="1"/>
    <row r="144" s="720" customFormat="1"/>
    <row r="145" s="720" customFormat="1"/>
    <row r="146" s="720" customFormat="1"/>
    <row r="147" s="720" customFormat="1"/>
    <row r="148" s="720" customFormat="1"/>
    <row r="149" s="720" customFormat="1"/>
    <row r="150" s="720" customFormat="1"/>
    <row r="151" s="720" customFormat="1"/>
    <row r="152" s="720" customFormat="1"/>
    <row r="153" s="720" customFormat="1"/>
    <row r="154" s="720" customFormat="1"/>
    <row r="155" s="720" customFormat="1"/>
    <row r="156" s="720" customFormat="1"/>
    <row r="157" s="720" customFormat="1"/>
    <row r="158" s="720" customFormat="1"/>
    <row r="159" s="720" customFormat="1"/>
    <row r="160" s="720" customFormat="1"/>
    <row r="161" s="720" customFormat="1"/>
    <row r="162" s="720" customFormat="1"/>
    <row r="163" s="720" customFormat="1"/>
    <row r="164" s="720" customFormat="1"/>
    <row r="165" s="720" customFormat="1"/>
    <row r="166" s="720" customFormat="1"/>
    <row r="167" s="720" customFormat="1"/>
    <row r="168" s="720" customFormat="1"/>
    <row r="169" s="720" customFormat="1"/>
    <row r="170" s="720" customFormat="1"/>
    <row r="171" s="720" customFormat="1"/>
    <row r="172" s="720" customFormat="1"/>
    <row r="173" s="720" customFormat="1"/>
    <row r="174" s="720" customFormat="1"/>
    <row r="175" s="720" customFormat="1"/>
    <row r="176" s="720" customFormat="1"/>
    <row r="177" s="720" customFormat="1"/>
    <row r="178" s="720" customFormat="1"/>
    <row r="179" s="720" customFormat="1"/>
    <row r="180" s="720" customFormat="1"/>
    <row r="181" s="720" customFormat="1"/>
    <row r="182" s="720" customFormat="1"/>
    <row r="183" s="720" customFormat="1"/>
    <row r="184" s="720" customFormat="1"/>
    <row r="185" s="720" customFormat="1"/>
    <row r="186" s="720" customFormat="1"/>
    <row r="187" s="720" customFormat="1"/>
    <row r="188" s="720" customFormat="1"/>
    <row r="189" s="720" customFormat="1"/>
    <row r="190" s="720" customFormat="1"/>
    <row r="191" s="720" customFormat="1"/>
    <row r="192" s="720" customFormat="1"/>
    <row r="193" s="720" customFormat="1"/>
    <row r="194" s="720" customFormat="1"/>
    <row r="195" s="720" customFormat="1"/>
    <row r="196" s="720" customFormat="1"/>
    <row r="197" s="720" customFormat="1"/>
    <row r="198" s="720" customFormat="1"/>
    <row r="199" s="720" customFormat="1"/>
    <row r="200" s="720" customFormat="1"/>
    <row r="201" s="720" customFormat="1"/>
    <row r="202" s="720" customFormat="1"/>
    <row r="203" s="720" customFormat="1"/>
    <row r="204" s="720" customFormat="1"/>
    <row r="205" s="720" customFormat="1"/>
    <row r="206" s="720" customFormat="1"/>
    <row r="207" s="720" customFormat="1"/>
    <row r="208" s="720" customFormat="1"/>
    <row r="209" s="720" customFormat="1"/>
    <row r="210" s="720" customFormat="1"/>
    <row r="211" s="720" customFormat="1"/>
    <row r="212" s="720" customFormat="1"/>
    <row r="213" s="720" customFormat="1"/>
    <row r="214" s="720" customFormat="1"/>
    <row r="215" s="720" customFormat="1"/>
    <row r="216" s="720" customFormat="1"/>
    <row r="217" s="720" customFormat="1"/>
    <row r="218" s="720" customFormat="1"/>
    <row r="219" s="720" customFormat="1"/>
    <row r="220" s="720" customFormat="1"/>
    <row r="221" s="720" customFormat="1"/>
    <row r="222" s="720" customFormat="1"/>
    <row r="223" s="720" customFormat="1"/>
    <row r="224" s="720" customFormat="1"/>
    <row r="225" s="720" customFormat="1"/>
    <row r="226" s="720" customFormat="1"/>
    <row r="227" s="720" customFormat="1"/>
    <row r="228" s="720" customFormat="1"/>
    <row r="229" s="720" customFormat="1"/>
    <row r="230" s="720" customFormat="1"/>
    <row r="231" s="720" customFormat="1"/>
    <row r="232" s="720" customFormat="1"/>
    <row r="233" s="720" customFormat="1"/>
    <row r="234" s="720" customFormat="1"/>
    <row r="235" s="720" customFormat="1"/>
    <row r="236" s="720" customFormat="1"/>
    <row r="237" s="720" customFormat="1"/>
    <row r="238" s="720" customFormat="1"/>
    <row r="239" s="720" customFormat="1"/>
    <row r="240" s="720" customFormat="1"/>
    <row r="241" s="720" customFormat="1"/>
    <row r="242" s="720" customFormat="1"/>
    <row r="243" s="720" customFormat="1"/>
    <row r="244" s="720" customFormat="1"/>
    <row r="245" s="720" customFormat="1"/>
    <row r="246" s="720" customFormat="1"/>
    <row r="247" s="720" customFormat="1"/>
    <row r="248" s="720" customFormat="1"/>
    <row r="249" s="720" customFormat="1"/>
    <row r="250" s="720" customFormat="1"/>
    <row r="251" s="720" customFormat="1"/>
    <row r="252" s="720" customFormat="1"/>
    <row r="253" s="720" customFormat="1"/>
  </sheetData>
  <mergeCells count="2">
    <mergeCell ref="B85:I85"/>
    <mergeCell ref="B88:I88"/>
  </mergeCells>
  <conditionalFormatting sqref="B4:H4">
    <cfRule type="cellIs" dxfId="303" priority="2" stopIfTrue="1" operator="equal">
      <formula>"input"</formula>
    </cfRule>
  </conditionalFormatting>
  <conditionalFormatting sqref="I4">
    <cfRule type="cellIs" dxfId="302" priority="1" stopIfTrue="1" operator="equal">
      <formula>"input"</formula>
    </cfRule>
  </conditionalFormatting>
  <dataValidations count="1">
    <dataValidation type="list" allowBlank="1" showInputMessage="1" showErrorMessage="1" sqref="D42">
      <formula1>$L$39:$L$40</formula1>
    </dataValidation>
  </dataValidations>
  <pageMargins left="0.5" right="0.5" top="0.5" bottom="0.5" header="0.5" footer="0.5"/>
  <pageSetup scale="90" orientation="landscape" r:id="rId1"/>
  <rowBreaks count="2" manualBreakCount="2">
    <brk id="39" max="9" man="1"/>
    <brk id="62" max="9" man="1"/>
  </rowBreaks>
  <legacy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FC63"/>
  <sheetViews>
    <sheetView showGridLines="0" view="pageBreakPreview" topLeftCell="A17" zoomScale="70" zoomScaleNormal="100" zoomScaleSheetLayoutView="70" workbookViewId="0">
      <selection activeCell="D31" sqref="D31"/>
    </sheetView>
  </sheetViews>
  <sheetFormatPr defaultColWidth="9.33203125" defaultRowHeight="12.75" outlineLevelRow="1" outlineLevelCol="1"/>
  <cols>
    <col min="1" max="1" width="4.5" style="720" customWidth="1"/>
    <col min="2" max="2" width="41.5" style="720" customWidth="1"/>
    <col min="3" max="3" width="12.83203125" style="720" customWidth="1"/>
    <col min="4" max="5" width="4.1640625" style="720" customWidth="1"/>
    <col min="6" max="10" width="18.83203125" style="720" hidden="1" customWidth="1" outlineLevel="1"/>
    <col min="11" max="11" width="18.5" style="720" customWidth="1" collapsed="1"/>
    <col min="12" max="18" width="18.5" style="720" customWidth="1"/>
    <col min="19" max="32" width="21.1640625" style="720" customWidth="1"/>
    <col min="33" max="33" width="13.83203125" style="720" hidden="1" customWidth="1" outlineLevel="1"/>
    <col min="34" max="34" width="4.5" style="1984" customWidth="1" collapsed="1"/>
    <col min="35" max="16384" width="9.33203125" style="720"/>
  </cols>
  <sheetData>
    <row r="1" spans="1:41" s="2168" customFormat="1" ht="13.5" thickBot="1">
      <c r="AH1" s="2222"/>
    </row>
    <row r="2" spans="1:41" s="2168" customFormat="1" ht="16.5"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2222"/>
      <c r="AJ2" s="720"/>
      <c r="AK2" s="720"/>
      <c r="AL2" s="720"/>
      <c r="AM2" s="720"/>
      <c r="AN2" s="720"/>
      <c r="AO2" s="720"/>
    </row>
    <row r="3" spans="1:41" s="2168" customFormat="1" ht="15.75">
      <c r="B3" s="11" t="str">
        <f>VLOOKUP(B4,Outline!$E$8:$G$69,COLUMNS(Outline!$E$8:$G$8),FALSE)</f>
        <v>Workpaper #9</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2222"/>
      <c r="AJ3" s="720"/>
      <c r="AK3" s="720"/>
      <c r="AL3" s="720"/>
      <c r="AM3" s="720"/>
      <c r="AN3" s="720"/>
      <c r="AO3" s="720"/>
    </row>
    <row r="4" spans="1:41" s="2168" customFormat="1" ht="15.75" customHeight="1" thickBot="1">
      <c r="B4" s="12" t="s">
        <v>3863</v>
      </c>
      <c r="C4" s="12"/>
      <c r="D4" s="12"/>
      <c r="E4" s="12"/>
      <c r="F4" s="12"/>
      <c r="G4" s="12"/>
      <c r="H4" s="12"/>
      <c r="I4" s="12"/>
      <c r="J4" s="12"/>
      <c r="K4" s="12"/>
      <c r="L4" s="12"/>
      <c r="M4" s="13"/>
      <c r="N4" s="12"/>
      <c r="O4" s="12"/>
      <c r="P4" s="12"/>
      <c r="Q4" s="12"/>
      <c r="R4" s="13" t="str">
        <f>'MASTER PubCo Inputs'!$C$24</f>
        <v>(in millions of USD)</v>
      </c>
      <c r="S4" s="12"/>
      <c r="T4" s="12"/>
      <c r="U4" s="13"/>
      <c r="V4" s="13"/>
      <c r="W4" s="12"/>
      <c r="X4" s="12"/>
      <c r="Y4" s="13" t="str">
        <f>'MASTER PubCo Inputs'!$C$24</f>
        <v>(in millions of USD)</v>
      </c>
      <c r="Z4" s="12"/>
      <c r="AA4" s="12"/>
      <c r="AB4" s="12"/>
      <c r="AC4" s="13"/>
      <c r="AD4" s="13"/>
      <c r="AE4" s="12"/>
      <c r="AF4" s="13" t="str">
        <f>'MASTER PubCo Inputs'!$C$24</f>
        <v>(in millions of USD)</v>
      </c>
      <c r="AG4" s="13" t="str">
        <f>'MASTER PubCo Inputs'!$C$24</f>
        <v>(in millions of USD)</v>
      </c>
      <c r="AH4" s="2222"/>
      <c r="AI4" s="720"/>
      <c r="AJ4" s="720"/>
      <c r="AK4" s="720"/>
      <c r="AL4" s="720"/>
      <c r="AM4" s="720"/>
      <c r="AN4" s="720"/>
      <c r="AO4" s="720"/>
    </row>
    <row r="5" spans="1:41" ht="13.5" thickTop="1"/>
    <row r="6" spans="1:41">
      <c r="B6" s="2223" t="s">
        <v>2354</v>
      </c>
    </row>
    <row r="8" spans="1:41">
      <c r="A8" s="1171"/>
      <c r="B8" s="2224" t="s">
        <v>2840</v>
      </c>
      <c r="C8" s="2225"/>
      <c r="D8" s="2225"/>
      <c r="E8" s="2475"/>
      <c r="F8" s="2290">
        <v>1</v>
      </c>
      <c r="G8" s="2290">
        <f>+F8+1</f>
        <v>2</v>
      </c>
      <c r="H8" s="2290">
        <f t="shared" ref="H8:AG8" si="0">+G8+1</f>
        <v>3</v>
      </c>
      <c r="I8" s="2290">
        <f t="shared" si="0"/>
        <v>4</v>
      </c>
      <c r="J8" s="2290">
        <f t="shared" si="0"/>
        <v>5</v>
      </c>
      <c r="K8" s="2290">
        <f t="shared" si="0"/>
        <v>6</v>
      </c>
      <c r="L8" s="2290">
        <f t="shared" si="0"/>
        <v>7</v>
      </c>
      <c r="M8" s="2290">
        <f t="shared" si="0"/>
        <v>8</v>
      </c>
      <c r="N8" s="2290">
        <f t="shared" si="0"/>
        <v>9</v>
      </c>
      <c r="O8" s="2290">
        <f t="shared" si="0"/>
        <v>10</v>
      </c>
      <c r="P8" s="2290">
        <f t="shared" si="0"/>
        <v>11</v>
      </c>
      <c r="Q8" s="2290">
        <f t="shared" si="0"/>
        <v>12</v>
      </c>
      <c r="R8" s="3170">
        <f t="shared" si="0"/>
        <v>13</v>
      </c>
      <c r="S8" s="2290">
        <f t="shared" si="0"/>
        <v>14</v>
      </c>
      <c r="T8" s="2290">
        <f t="shared" si="0"/>
        <v>15</v>
      </c>
      <c r="U8" s="2290">
        <f t="shared" si="0"/>
        <v>16</v>
      </c>
      <c r="V8" s="2290">
        <f t="shared" si="0"/>
        <v>17</v>
      </c>
      <c r="W8" s="2290">
        <f t="shared" si="0"/>
        <v>18</v>
      </c>
      <c r="X8" s="2290">
        <f t="shared" si="0"/>
        <v>19</v>
      </c>
      <c r="Y8" s="3170">
        <f t="shared" si="0"/>
        <v>20</v>
      </c>
      <c r="Z8" s="2290">
        <f t="shared" si="0"/>
        <v>21</v>
      </c>
      <c r="AA8" s="2290">
        <f t="shared" si="0"/>
        <v>22</v>
      </c>
      <c r="AB8" s="2290">
        <f t="shared" si="0"/>
        <v>23</v>
      </c>
      <c r="AC8" s="2290">
        <f t="shared" si="0"/>
        <v>24</v>
      </c>
      <c r="AD8" s="2290">
        <f t="shared" si="0"/>
        <v>25</v>
      </c>
      <c r="AE8" s="2290">
        <f t="shared" si="0"/>
        <v>26</v>
      </c>
      <c r="AF8" s="3005">
        <f t="shared" si="0"/>
        <v>27</v>
      </c>
      <c r="AG8" s="3005">
        <f t="shared" si="0"/>
        <v>28</v>
      </c>
    </row>
    <row r="9" spans="1:41" ht="47.25" customHeight="1">
      <c r="A9" s="1171"/>
      <c r="B9" s="2226" t="s">
        <v>514</v>
      </c>
      <c r="C9" s="2227"/>
      <c r="D9" s="2227"/>
      <c r="E9" s="2529"/>
      <c r="F9" s="2227">
        <f>IFERROR(INDEX('rNPV Assumptions_NASH'!$B$21:$D$30,MATCH(F$8,'rNPV Assumptions_NASH'!$D$21:$D$30,0),1),E9)</f>
        <v>0</v>
      </c>
      <c r="G9" s="2227">
        <f>IFERROR(INDEX('rNPV Assumptions_NASH'!$B$21:$D$30,MATCH(G$8,'rNPV Assumptions_NASH'!$D$21:$D$30,0),1),F9)</f>
        <v>0</v>
      </c>
      <c r="H9" s="2227">
        <f>IFERROR(INDEX('rNPV Assumptions_NASH'!$B$21:$D$30,MATCH(H$8,'rNPV Assumptions_NASH'!$D$21:$D$30,0),1),G9)</f>
        <v>0</v>
      </c>
      <c r="I9" s="2227">
        <f>IFERROR(INDEX('rNPV Assumptions_NASH'!$B$21:$D$30,MATCH(I$8,'rNPV Assumptions_NASH'!$D$21:$D$30,0),1),H9)</f>
        <v>0</v>
      </c>
      <c r="J9" s="2227">
        <f>IFERROR(INDEX('rNPV Assumptions_NASH'!$B$21:$D$30,MATCH(J$8,'rNPV Assumptions_NASH'!$D$21:$D$30,0),1),I9)</f>
        <v>0</v>
      </c>
      <c r="K9" s="2227" t="str">
        <f>IFERROR(INDEX('rNPV Assumptions_NASH'!$B$21:$D$30,MATCH(K$8,'rNPV Assumptions_NASH'!$D$21:$D$30,0),1),J9)</f>
        <v>Ligand Option Exercise</v>
      </c>
      <c r="L9" s="2227" t="str">
        <f>IFERROR(INDEX('rNPV Assumptions_NASH'!$B$21:$D$30,MATCH(L$8,'rNPV Assumptions_NASH'!$D$21:$D$30,0),1),K9)</f>
        <v>Development Lead Selection</v>
      </c>
      <c r="M9" s="2227" t="str">
        <f>IFERROR(INDEX('rNPV Assumptions_NASH'!$B$21:$D$30,MATCH(M$8,'rNPV Assumptions_NASH'!$D$21:$D$30,0),1),L9)</f>
        <v>Preclinical</v>
      </c>
      <c r="N9" s="2227" t="str">
        <f>IFERROR(INDEX('rNPV Assumptions_NASH'!$B$21:$D$30,MATCH(N$8,'rNPV Assumptions_NASH'!$D$21:$D$30,0),1),M9)</f>
        <v>Phase I</v>
      </c>
      <c r="O9" s="2227" t="str">
        <f>IFERROR(INDEX('rNPV Assumptions_NASH'!$B$21:$D$30,MATCH(O$8,'rNPV Assumptions_NASH'!$D$21:$D$30,0),1),N9)</f>
        <v>Phase I</v>
      </c>
      <c r="P9" s="2227" t="str">
        <f>IFERROR(INDEX('rNPV Assumptions_NASH'!$B$21:$D$30,MATCH(P$8,'rNPV Assumptions_NASH'!$D$21:$D$30,0),1),O9)</f>
        <v>Phase II</v>
      </c>
      <c r="Q9" s="2227" t="str">
        <f>IFERROR(INDEX('rNPV Assumptions_NASH'!$B$21:$D$30,MATCH(Q$8,'rNPV Assumptions_NASH'!$D$21:$D$30,0),1),P9)</f>
        <v>Phase II</v>
      </c>
      <c r="R9" s="2501" t="str">
        <f>IFERROR(INDEX('rNPV Assumptions_NASH'!$B$21:$D$30,MATCH(R$8,'rNPV Assumptions_NASH'!$D$21:$D$30,0),1),Q9)</f>
        <v>Phase III</v>
      </c>
      <c r="S9" s="2227" t="str">
        <f>IFERROR(INDEX('rNPV Assumptions_NASH'!$B$21:$D$30,MATCH(S$8,'rNPV Assumptions_NASH'!$D$21:$D$30,0),1),R9)</f>
        <v>Phase III</v>
      </c>
      <c r="T9" s="2227" t="str">
        <f>IFERROR(INDEX('rNPV Assumptions_NASH'!$B$21:$D$30,MATCH(T$8,'rNPV Assumptions_NASH'!$D$21:$D$30,0),1),S9)</f>
        <v>Phase III</v>
      </c>
      <c r="U9" s="2227" t="str">
        <f>IFERROR(INDEX('rNPV Assumptions_NASH'!$B$21:$D$30,MATCH(U$8,'rNPV Assumptions_NASH'!$D$21:$D$30,0),1),T9)</f>
        <v>Regulatory Approval FDA/EMA/JP</v>
      </c>
      <c r="V9" s="2227" t="str">
        <f>IFERROR(INDEX('rNPV Assumptions_NASH'!$B$21:$D$30,MATCH(V$8,'rNPV Assumptions_NASH'!$D$21:$D$30,0),1),U9)</f>
        <v>Commercial</v>
      </c>
      <c r="W9" s="2227" t="str">
        <f>IFERROR(INDEX('rNPV Assumptions_NASH'!$B$21:$D$30,MATCH(W$8,'rNPV Assumptions_NASH'!$D$21:$D$30,0),1),V9)</f>
        <v>Commercial</v>
      </c>
      <c r="X9" s="2227" t="str">
        <f>IFERROR(INDEX('rNPV Assumptions_NASH'!$B$21:$D$30,MATCH(X$8,'rNPV Assumptions_NASH'!$D$21:$D$30,0),1),W9)</f>
        <v>Commercial</v>
      </c>
      <c r="Y9" s="2501" t="str">
        <f>IFERROR(INDEX('rNPV Assumptions_NASH'!$B$21:$D$30,MATCH(Y$8,'rNPV Assumptions_NASH'!$D$21:$D$30,0),1),X9)</f>
        <v>Commercial</v>
      </c>
      <c r="Z9" s="2227" t="str">
        <f>IFERROR(INDEX('rNPV Assumptions_NASH'!$B$21:$D$30,MATCH(Z$8,'rNPV Assumptions_NASH'!$D$21:$D$30,0),1),Y9)</f>
        <v>Commercial</v>
      </c>
      <c r="AA9" s="2227" t="str">
        <f>IFERROR(INDEX('rNPV Assumptions_NASH'!$B$21:$D$30,MATCH(AA$8,'rNPV Assumptions_NASH'!$D$21:$D$30,0),1),Z9)</f>
        <v>Commercial</v>
      </c>
      <c r="AB9" s="2227" t="str">
        <f>IFERROR(INDEX('rNPV Assumptions_NASH'!$B$21:$D$30,MATCH(AB$8,'rNPV Assumptions_NASH'!$D$21:$D$30,0),1),AA9)</f>
        <v>Commercial</v>
      </c>
      <c r="AC9" s="2227" t="str">
        <f>IFERROR(INDEX('rNPV Assumptions_NASH'!$B$21:$D$30,MATCH(AC$8,'rNPV Assumptions_NASH'!$D$21:$D$30,0),1),AB9)</f>
        <v>Commercial</v>
      </c>
      <c r="AD9" s="2227" t="str">
        <f>IFERROR(INDEX('rNPV Assumptions_NASH'!$B$21:$D$30,MATCH(AD$8,'rNPV Assumptions_NASH'!$D$21:$D$30,0),1),AC9)</f>
        <v>Commercial</v>
      </c>
      <c r="AE9" s="2227" t="str">
        <f>IFERROR(INDEX('rNPV Assumptions_NASH'!$B$21:$D$30,MATCH(AE$8,'rNPV Assumptions_NASH'!$D$21:$D$30,0),1),AD9)</f>
        <v>Commercial</v>
      </c>
      <c r="AF9" s="2501" t="str">
        <f>IFERROR(INDEX('rNPV Assumptions_NASH'!$B$21:$D$30,MATCH(AF$8,'rNPV Assumptions_NASH'!$D$21:$D$30,0),1),AE9)</f>
        <v>Loss of Exclusivity</v>
      </c>
      <c r="AG9" s="2501" t="str">
        <f>IFERROR(INDEX('rNPV Assumptions_NASH'!$B$21:$D$30,MATCH(AG$8,'rNPV Assumptions_NASH'!$D$21:$D$30,0),1),AF9)</f>
        <v>Loss of Exclusivity</v>
      </c>
    </row>
    <row r="10" spans="1:41" s="1984" customFormat="1" ht="37.5" hidden="1" customHeight="1" outlineLevel="1">
      <c r="A10" s="2202"/>
      <c r="B10" s="2228" t="s">
        <v>2841</v>
      </c>
      <c r="C10" s="2229"/>
      <c r="D10" s="2229"/>
      <c r="E10" s="2229"/>
      <c r="F10" s="2230">
        <f>IF(F9='rNPV Assumptions_NASH'!$B$29,COUNTIF(F$9:$O9,'rNPV Assumptions_NASH'!$B$29),0)</f>
        <v>0</v>
      </c>
      <c r="G10" s="2230">
        <f>IF(G9='rNPV Assumptions_NASH'!$B$29,COUNTIF(G$9:$O9,'rNPV Assumptions_NASH'!$B$29),0)</f>
        <v>0</v>
      </c>
      <c r="H10" s="2230">
        <f>IF(H9='rNPV Assumptions_NASH'!$B$29,COUNTIF(H$9:$O9,'rNPV Assumptions_NASH'!$B$29),0)</f>
        <v>0</v>
      </c>
      <c r="I10" s="2230">
        <f>IF(I9='rNPV Assumptions_NASH'!$B$29,COUNTIF(I$9:$O9,'rNPV Assumptions_NASH'!$B$29),0)</f>
        <v>0</v>
      </c>
      <c r="J10" s="2230">
        <f>IF(J9='rNPV Assumptions_NASH'!$B$29,COUNTIF(J$9:$O9,'rNPV Assumptions_NASH'!$B$29),0)</f>
        <v>0</v>
      </c>
      <c r="K10" s="2230">
        <f>IF(K9='rNPV Assumptions_NASH'!$B$29,COUNTIF(K$9:$O9,'rNPV Assumptions_NASH'!$B$29),0)</f>
        <v>0</v>
      </c>
      <c r="L10" s="2230">
        <f>IF(L9='rNPV Assumptions_NASH'!$B$29,COUNTIF(L$9:$O9,'rNPV Assumptions_NASH'!$B$29),0)</f>
        <v>0</v>
      </c>
      <c r="M10" s="2230">
        <f>IF(M9='rNPV Assumptions_NASH'!$B$29,COUNTIF(M$9:$O9,'rNPV Assumptions_NASH'!$B$29),0)</f>
        <v>0</v>
      </c>
      <c r="N10" s="2230">
        <f>IF(N9='rNPV Assumptions_NASH'!$B$29,COUNTIF(N$9:$O9,'rNPV Assumptions_NASH'!$B$29),0)</f>
        <v>0</v>
      </c>
      <c r="O10" s="2230">
        <f>IF(O9='rNPV Assumptions_NASH'!$B$29,COUNTIF($O$9:O9,'rNPV Assumptions_NASH'!$B$29),0)</f>
        <v>0</v>
      </c>
      <c r="P10" s="2230">
        <f>IF(P9='rNPV Assumptions_NASH'!$B$29,COUNTIF($O$9:P9,'rNPV Assumptions_NASH'!$B$29),0)</f>
        <v>0</v>
      </c>
      <c r="Q10" s="2230">
        <f>IF(Q9='rNPV Assumptions_NASH'!$B$29,COUNTIF($O$9:Q9,'rNPV Assumptions_NASH'!$B$29),0)</f>
        <v>0</v>
      </c>
      <c r="R10" s="2230">
        <f>IF(R9='rNPV Assumptions_NASH'!$B$29,COUNTIF($O$9:R9,'rNPV Assumptions_NASH'!$B$29),0)</f>
        <v>0</v>
      </c>
      <c r="S10" s="2230">
        <f>IF(S9='rNPV Assumptions_NASH'!$B$29,COUNTIF($O$9:S9,'rNPV Assumptions_NASH'!$B$29),0)</f>
        <v>0</v>
      </c>
      <c r="T10" s="2230">
        <f>IF(T9='rNPV Assumptions_NASH'!$B$29,COUNTIF($O$9:T9,'rNPV Assumptions_NASH'!$B$29),0)</f>
        <v>0</v>
      </c>
      <c r="U10" s="2230">
        <f>IF(U9='rNPV Assumptions_NASH'!$B$29,COUNTIF($O$9:U9,'rNPV Assumptions_NASH'!$B$29),0)</f>
        <v>0</v>
      </c>
      <c r="V10" s="2230">
        <f>IF(V9='rNPV Assumptions_NASH'!$B$29,COUNTIF($O$9:V9,'rNPV Assumptions_NASH'!$B$29),0)</f>
        <v>1</v>
      </c>
      <c r="W10" s="2230">
        <f>IF(W9='rNPV Assumptions_NASH'!$B$29,COUNTIF($O$9:W9,'rNPV Assumptions_NASH'!$B$29),0)</f>
        <v>2</v>
      </c>
      <c r="X10" s="2230">
        <f>IF(X9='rNPV Assumptions_NASH'!$B$29,COUNTIF($O$9:X9,'rNPV Assumptions_NASH'!$B$29),0)</f>
        <v>3</v>
      </c>
      <c r="Y10" s="2230">
        <f>IF(Y9='rNPV Assumptions_NASH'!$B$29,COUNTIF($O$9:Y9,'rNPV Assumptions_NASH'!$B$29),0)</f>
        <v>4</v>
      </c>
      <c r="Z10" s="2230">
        <f>IF(Z9='rNPV Assumptions_NASH'!$B$29,COUNTIF($O$9:Z9,'rNPV Assumptions_NASH'!$B$29),0)</f>
        <v>5</v>
      </c>
      <c r="AA10" s="2230">
        <f>IF(AA9='rNPV Assumptions_NASH'!$B$29,COUNTIF($O$9:AA9,'rNPV Assumptions_NASH'!$B$29),0)</f>
        <v>6</v>
      </c>
      <c r="AB10" s="2230">
        <f>IF(AB9='rNPV Assumptions_NASH'!$B$29,COUNTIF($O$9:AB9,'rNPV Assumptions_NASH'!$B$29),0)</f>
        <v>7</v>
      </c>
      <c r="AC10" s="2230">
        <f>IF(AC9='rNPV Assumptions_NASH'!$B$29,COUNTIF($O$9:AC9,'rNPV Assumptions_NASH'!$B$29),0)</f>
        <v>8</v>
      </c>
      <c r="AD10" s="2230">
        <f>IF(AD9='rNPV Assumptions_NASH'!$B$29,COUNTIF($O$9:AD9,'rNPV Assumptions_NASH'!$B$29),0)</f>
        <v>9</v>
      </c>
      <c r="AE10" s="2230">
        <f>IF(AE9='rNPV Assumptions_NASH'!$B$29,COUNTIF($O$9:AE9,'rNPV Assumptions_NASH'!$B$29),0)</f>
        <v>10</v>
      </c>
      <c r="AF10" s="2230">
        <f>IF(AF9='rNPV Assumptions_NASH'!$B$29,COUNTIF($O$9:AF9,'rNPV Assumptions_NASH'!$B$29),0)</f>
        <v>0</v>
      </c>
      <c r="AG10" s="2230">
        <f>IF(AG9='rNPV Assumptions_NASH'!$B$29,COUNTIF($O$9:AG9,'rNPV Assumptions_NASH'!$B$29),0)</f>
        <v>0</v>
      </c>
    </row>
    <row r="11" spans="1:41" collapsed="1"/>
    <row r="12" spans="1:41">
      <c r="B12" s="2223" t="str">
        <f>'rNPV Assumptions_NASH'!C18</f>
        <v>NASH</v>
      </c>
    </row>
    <row r="13" spans="1:41">
      <c r="B13" s="720" t="s">
        <v>2803</v>
      </c>
      <c r="C13" s="2160">
        <f>'rNPV Assumptions_NASH'!I25</f>
        <v>1000</v>
      </c>
      <c r="D13" s="2160"/>
      <c r="E13" s="2160"/>
      <c r="F13" s="2231">
        <f>IF(F$10=0,0,IF(ROUND(E14,3)=100%,$C13*(1+$C14),$C13))</f>
        <v>0</v>
      </c>
      <c r="G13" s="2231">
        <f t="shared" ref="G13:AG13" si="1">IF(G$10=0,0,IF(ROUND(F14,3)=100%,$C13*(1+$C14),$C13))</f>
        <v>0</v>
      </c>
      <c r="H13" s="2231">
        <f t="shared" si="1"/>
        <v>0</v>
      </c>
      <c r="I13" s="2231">
        <f t="shared" si="1"/>
        <v>0</v>
      </c>
      <c r="J13" s="2231">
        <f t="shared" si="1"/>
        <v>0</v>
      </c>
      <c r="K13" s="2231">
        <f t="shared" si="1"/>
        <v>0</v>
      </c>
      <c r="L13" s="2231">
        <f t="shared" si="1"/>
        <v>0</v>
      </c>
      <c r="M13" s="2231">
        <f t="shared" si="1"/>
        <v>0</v>
      </c>
      <c r="N13" s="2231">
        <f t="shared" si="1"/>
        <v>0</v>
      </c>
      <c r="O13" s="2231">
        <f t="shared" si="1"/>
        <v>0</v>
      </c>
      <c r="P13" s="2231">
        <f t="shared" si="1"/>
        <v>0</v>
      </c>
      <c r="Q13" s="2231">
        <f t="shared" si="1"/>
        <v>0</v>
      </c>
      <c r="R13" s="2231">
        <f t="shared" si="1"/>
        <v>0</v>
      </c>
      <c r="S13" s="2231">
        <f t="shared" si="1"/>
        <v>0</v>
      </c>
      <c r="T13" s="2231">
        <f t="shared" si="1"/>
        <v>0</v>
      </c>
      <c r="U13" s="2231">
        <f t="shared" si="1"/>
        <v>0</v>
      </c>
      <c r="V13" s="2231">
        <f t="shared" si="1"/>
        <v>1000</v>
      </c>
      <c r="W13" s="2231">
        <f t="shared" si="1"/>
        <v>1000</v>
      </c>
      <c r="X13" s="2231">
        <f t="shared" si="1"/>
        <v>1000</v>
      </c>
      <c r="Y13" s="2231">
        <f t="shared" si="1"/>
        <v>1000</v>
      </c>
      <c r="Z13" s="2231">
        <f t="shared" si="1"/>
        <v>1000</v>
      </c>
      <c r="AA13" s="2231">
        <f t="shared" si="1"/>
        <v>1000</v>
      </c>
      <c r="AB13" s="2231">
        <f t="shared" si="1"/>
        <v>1000</v>
      </c>
      <c r="AC13" s="2231">
        <f t="shared" si="1"/>
        <v>1000</v>
      </c>
      <c r="AD13" s="2231">
        <f t="shared" si="1"/>
        <v>1000</v>
      </c>
      <c r="AE13" s="2231">
        <f t="shared" si="1"/>
        <v>1080</v>
      </c>
      <c r="AF13" s="2231">
        <f t="shared" si="1"/>
        <v>0</v>
      </c>
      <c r="AG13" s="2231">
        <f t="shared" si="1"/>
        <v>0</v>
      </c>
    </row>
    <row r="14" spans="1:41">
      <c r="B14" s="2232" t="s">
        <v>2842</v>
      </c>
      <c r="C14" s="2233">
        <f>'rNPV Assumptions_NASH'!I26</f>
        <v>0.08</v>
      </c>
      <c r="D14" s="2234"/>
      <c r="E14" s="2234"/>
      <c r="F14" s="2235">
        <f>IF(F$10=0,0,IFERROR(HLOOKUP(F$10,'Penetration Curves'!$F$71:$O$79,ROWS('Penetration Curves'!$F$71:$F$79),FALSE),1))</f>
        <v>0</v>
      </c>
      <c r="G14" s="2235">
        <f>IF(G$10=0,0,IFERROR(HLOOKUP(G$10,'Penetration Curves'!$F$71:$O$79,ROWS('Penetration Curves'!$F$71:$F$79),FALSE),1))</f>
        <v>0</v>
      </c>
      <c r="H14" s="2235">
        <f>IF(H$10=0,0,IFERROR(HLOOKUP(H$10,'Penetration Curves'!$F$71:$O$79,ROWS('Penetration Curves'!$F$71:$F$79),FALSE),1))</f>
        <v>0</v>
      </c>
      <c r="I14" s="2235">
        <f>IF(I$10=0,0,IFERROR(HLOOKUP(I$10,'Penetration Curves'!$F$71:$O$79,ROWS('Penetration Curves'!$F$71:$F$79),FALSE),1))</f>
        <v>0</v>
      </c>
      <c r="J14" s="2235">
        <f>IF(J$10=0,0,IFERROR(HLOOKUP(J$10,'Penetration Curves'!$F$71:$O$79,ROWS('Penetration Curves'!$F$71:$F$79),FALSE),1))</f>
        <v>0</v>
      </c>
      <c r="K14" s="2235">
        <f>IF(K$10=0,0,IFERROR(HLOOKUP(K$10,'Penetration Curves'!$F$71:$O$79,ROWS('Penetration Curves'!$F$71:$F$79),FALSE),1))</f>
        <v>0</v>
      </c>
      <c r="L14" s="2235">
        <f>IF(L$10=0,0,IFERROR(HLOOKUP(L$10,'Penetration Curves'!$F$71:$O$79,ROWS('Penetration Curves'!$F$71:$F$79),FALSE),1))</f>
        <v>0</v>
      </c>
      <c r="M14" s="2235">
        <f>IF(M$10=0,0,IFERROR(HLOOKUP(M$10,'Penetration Curves'!$F$71:$O$79,ROWS('Penetration Curves'!$F$71:$F$79),FALSE),1))</f>
        <v>0</v>
      </c>
      <c r="N14" s="2235">
        <f>IF(N$10=0,0,IFERROR(HLOOKUP(N$10,'Penetration Curves'!$F$71:$O$79,ROWS('Penetration Curves'!$F$71:$F$79),FALSE),1))</f>
        <v>0</v>
      </c>
      <c r="O14" s="2235">
        <f>IF(O$10=0,0,IFERROR(HLOOKUP(O$10,'Penetration Curves'!$F$71:$O$79,ROWS('Penetration Curves'!$F$71:$F$79),FALSE),1))</f>
        <v>0</v>
      </c>
      <c r="P14" s="2235">
        <f>IF(P$10=0,0,IFERROR(HLOOKUP(P$10,'Penetration Curves'!$F$71:$O$79,ROWS('Penetration Curves'!$F$71:$F$79),FALSE),1))</f>
        <v>0</v>
      </c>
      <c r="Q14" s="2235">
        <f>IF(Q$10=0,0,IFERROR(HLOOKUP(Q$10,'Penetration Curves'!$F$71:$O$79,ROWS('Penetration Curves'!$F$71:$F$79),FALSE),1))</f>
        <v>0</v>
      </c>
      <c r="R14" s="2235">
        <f>IF(R$10=0,0,IFERROR(HLOOKUP(R$10,'Penetration Curves'!$F$71:$O$79,ROWS('Penetration Curves'!$F$71:$F$79),FALSE),1))</f>
        <v>0</v>
      </c>
      <c r="S14" s="2235">
        <f>IF(S$10=0,0,IFERROR(HLOOKUP(S$10,'Penetration Curves'!$F$71:$O$79,ROWS('Penetration Curves'!$F$71:$F$79),FALSE),1))</f>
        <v>0</v>
      </c>
      <c r="T14" s="2235">
        <f>IF(T$10=0,0,IFERROR(HLOOKUP(T$10,'Penetration Curves'!$F$71:$O$79,ROWS('Penetration Curves'!$F$71:$F$79),FALSE),1))</f>
        <v>0</v>
      </c>
      <c r="U14" s="2235">
        <f>IF(U$10=0,0,IFERROR(HLOOKUP(U$10,'Penetration Curves'!$F$71:$O$79,ROWS('Penetration Curves'!$F$71:$F$79),FALSE),1))</f>
        <v>0</v>
      </c>
      <c r="V14" s="2235">
        <f>IF(V$10=0,0,IFERROR(HLOOKUP(V$10,'Penetration Curves'!$F$71:$O$79,ROWS('Penetration Curves'!$F$71:$F$79),FALSE),1))</f>
        <v>4.7790352272814703E-2</v>
      </c>
      <c r="W14" s="2235">
        <f>IF(W$10=0,0,IFERROR(HLOOKUP(W$10,'Penetration Curves'!$F$71:$O$79,ROWS('Penetration Curves'!$F$71:$F$79),FALSE),1))</f>
        <v>0.15865525393145699</v>
      </c>
      <c r="X14" s="2235">
        <f>IF(X$10=0,0,IFERROR(HLOOKUP(X$10,'Penetration Curves'!$F$71:$O$79,ROWS('Penetration Curves'!$F$71:$F$79),FALSE),1))</f>
        <v>0.36944134018176361</v>
      </c>
      <c r="Y14" s="2235">
        <f>IF(Y$10=0,0,IFERROR(HLOOKUP(Y$10,'Penetration Curves'!$F$71:$O$79,ROWS('Penetration Curves'!$F$71:$F$79),FALSE),1))</f>
        <v>0.63055865981823644</v>
      </c>
      <c r="Z14" s="2235">
        <f>IF(Z$10=0,0,IFERROR(HLOOKUP(Z$10,'Penetration Curves'!$F$71:$O$79,ROWS('Penetration Curves'!$F$71:$F$79),FALSE),1))</f>
        <v>0.84134474606854304</v>
      </c>
      <c r="AA14" s="2235">
        <f>IF(AA$10=0,0,IFERROR(HLOOKUP(AA$10,'Penetration Curves'!$F$71:$O$79,ROWS('Penetration Curves'!$F$71:$F$79),FALSE),1))</f>
        <v>0.9522096477271853</v>
      </c>
      <c r="AB14" s="2235">
        <f>IF(AB$10=0,0,IFERROR(HLOOKUP(AB$10,'Penetration Curves'!$F$71:$O$79,ROWS('Penetration Curves'!$F$71:$F$79),FALSE),1))</f>
        <v>0.99018467137135469</v>
      </c>
      <c r="AC14" s="2235">
        <f>IF(AC$10=0,0,IFERROR(HLOOKUP(AC$10,'Penetration Curves'!$F$71:$O$79,ROWS('Penetration Curves'!$F$71:$F$79),FALSE),1))</f>
        <v>0.9986501019683699</v>
      </c>
      <c r="AD14" s="2235">
        <f>IF(AD$10=0,0,IFERROR(HLOOKUP(AD$10,'Penetration Curves'!$F$71:$O$79,ROWS('Penetration Curves'!$F$71:$F$79),FALSE),1))</f>
        <v>0.99987713361003483</v>
      </c>
      <c r="AE14" s="2235">
        <f>IF(AE$10=0,0,IFERROR(HLOOKUP(AE$10,'Penetration Curves'!$F$71:$O$79,ROWS('Penetration Curves'!$F$71:$F$79),FALSE),1))</f>
        <v>0.9999926565761631</v>
      </c>
      <c r="AF14" s="2235">
        <f>IF(AF$10=0,0,IFERROR(HLOOKUP(AF$10,'Penetration Curves'!$F$71:$O$79,ROWS('Penetration Curves'!$F$71:$F$79),FALSE),1))</f>
        <v>0</v>
      </c>
      <c r="AG14" s="2235">
        <f>IF(AG$10=0,0,IFERROR(HLOOKUP(AG$10,'Penetration Curves'!$F$71:$O$79,ROWS('Penetration Curves'!$F$71:$F$79),FALSE),1))</f>
        <v>0</v>
      </c>
    </row>
    <row r="15" spans="1:41" ht="12.75" customHeight="1">
      <c r="B15" s="2236" t="str">
        <f>"Net Sales "&amp;B12</f>
        <v>Net Sales NASH</v>
      </c>
      <c r="C15" s="2239"/>
      <c r="F15" s="2289">
        <f t="shared" ref="F15:T15" si="2">F13*F14</f>
        <v>0</v>
      </c>
      <c r="G15" s="2289">
        <f t="shared" si="2"/>
        <v>0</v>
      </c>
      <c r="H15" s="2289">
        <f t="shared" si="2"/>
        <v>0</v>
      </c>
      <c r="I15" s="2289">
        <f t="shared" si="2"/>
        <v>0</v>
      </c>
      <c r="J15" s="2289">
        <f t="shared" si="2"/>
        <v>0</v>
      </c>
      <c r="K15" s="2289">
        <f t="shared" si="2"/>
        <v>0</v>
      </c>
      <c r="L15" s="2289">
        <f t="shared" si="2"/>
        <v>0</v>
      </c>
      <c r="M15" s="2289">
        <f t="shared" si="2"/>
        <v>0</v>
      </c>
      <c r="N15" s="2289">
        <f t="shared" si="2"/>
        <v>0</v>
      </c>
      <c r="O15" s="2289">
        <f t="shared" si="2"/>
        <v>0</v>
      </c>
      <c r="P15" s="2289">
        <f t="shared" si="2"/>
        <v>0</v>
      </c>
      <c r="Q15" s="2289">
        <f t="shared" si="2"/>
        <v>0</v>
      </c>
      <c r="R15" s="2289">
        <f t="shared" si="2"/>
        <v>0</v>
      </c>
      <c r="S15" s="2289">
        <f t="shared" si="2"/>
        <v>0</v>
      </c>
      <c r="T15" s="2289">
        <f t="shared" si="2"/>
        <v>0</v>
      </c>
      <c r="U15" s="2289">
        <f>U13*U14</f>
        <v>0</v>
      </c>
      <c r="V15" s="2289">
        <f t="shared" ref="V15:AG15" si="3">V13*V14</f>
        <v>47.790352272814701</v>
      </c>
      <c r="W15" s="2289">
        <f t="shared" si="3"/>
        <v>158.655253931457</v>
      </c>
      <c r="X15" s="2289">
        <f t="shared" si="3"/>
        <v>369.44134018176362</v>
      </c>
      <c r="Y15" s="2289">
        <f t="shared" si="3"/>
        <v>630.55865981823649</v>
      </c>
      <c r="Z15" s="2289">
        <f t="shared" si="3"/>
        <v>841.34474606854303</v>
      </c>
      <c r="AA15" s="2289">
        <f t="shared" si="3"/>
        <v>952.20964772718526</v>
      </c>
      <c r="AB15" s="2289">
        <f t="shared" si="3"/>
        <v>990.18467137135474</v>
      </c>
      <c r="AC15" s="2289">
        <f t="shared" si="3"/>
        <v>998.65010196836988</v>
      </c>
      <c r="AD15" s="2289">
        <f t="shared" si="3"/>
        <v>999.87713361003478</v>
      </c>
      <c r="AE15" s="2289">
        <f t="shared" si="3"/>
        <v>1079.9920691022562</v>
      </c>
      <c r="AF15" s="2289">
        <f t="shared" si="3"/>
        <v>0</v>
      </c>
      <c r="AG15" s="2289">
        <f t="shared" si="3"/>
        <v>0</v>
      </c>
    </row>
    <row r="16" spans="1:41" ht="12.75" customHeight="1">
      <c r="C16" s="2239"/>
      <c r="F16" s="2206"/>
      <c r="G16" s="2206"/>
      <c r="H16" s="2206"/>
      <c r="I16" s="2206"/>
      <c r="J16" s="2206"/>
      <c r="K16" s="2206"/>
      <c r="L16" s="2206"/>
      <c r="M16" s="2206"/>
      <c r="N16" s="2206"/>
      <c r="O16" s="2206"/>
      <c r="P16" s="2206"/>
      <c r="Q16" s="2206"/>
      <c r="R16" s="2206"/>
      <c r="S16" s="2206"/>
      <c r="T16" s="2206"/>
      <c r="U16" s="2206"/>
      <c r="V16" s="2206"/>
      <c r="W16" s="2206"/>
      <c r="X16" s="2206"/>
      <c r="Y16" s="2206"/>
      <c r="Z16" s="2206"/>
      <c r="AA16" s="2206"/>
      <c r="AB16" s="2206"/>
      <c r="AC16" s="2206"/>
      <c r="AD16" s="2206"/>
      <c r="AE16" s="2206"/>
      <c r="AF16" s="2206"/>
      <c r="AG16" s="2206"/>
    </row>
    <row r="17" spans="1:16383" ht="12.75" customHeight="1">
      <c r="B17" s="2236" t="str">
        <f>'rNPV Assumptions_NASH'!B40</f>
        <v>Indication #6</v>
      </c>
      <c r="C17" s="2239"/>
      <c r="F17" s="2206"/>
      <c r="G17" s="2206"/>
      <c r="H17" s="2206"/>
      <c r="I17" s="2206"/>
      <c r="J17" s="2206"/>
      <c r="K17" s="2206"/>
      <c r="L17" s="2206"/>
      <c r="M17" s="2206"/>
      <c r="N17" s="2206"/>
      <c r="O17" s="2206"/>
      <c r="P17" s="2206"/>
      <c r="Q17" s="2206"/>
      <c r="R17" s="2206"/>
      <c r="S17" s="2206"/>
      <c r="T17" s="2206"/>
      <c r="U17" s="2206"/>
      <c r="V17" s="2206"/>
      <c r="W17" s="2206"/>
      <c r="X17" s="2206"/>
      <c r="Y17" s="2206"/>
      <c r="Z17" s="2206"/>
      <c r="AA17" s="2206"/>
      <c r="AB17" s="2206"/>
      <c r="AC17" s="2206"/>
      <c r="AD17" s="2206"/>
      <c r="AE17" s="2206"/>
      <c r="AF17" s="2206"/>
      <c r="AG17" s="2206"/>
    </row>
    <row r="18" spans="1:16383" ht="12.75" customHeight="1">
      <c r="B18" s="720" t="s">
        <v>2803</v>
      </c>
      <c r="C18" s="2160">
        <f>'rNPV Assumptions_NASH'!I49</f>
        <v>1000</v>
      </c>
      <c r="D18" s="2160"/>
      <c r="E18" s="2160"/>
      <c r="F18" s="2231">
        <f>IF(F$10=0,0,IF(ROUND(E19,3)=100%,$C18*(1+$C19),$C18))*'rNPV Assumptions_NASH'!$D$42</f>
        <v>0</v>
      </c>
      <c r="G18" s="2231">
        <f>IF(G$10=0,0,IF(ROUND(F19,3)=100%,$C18*(1+$C19),$C18))*'rNPV Assumptions_NASH'!$D$42</f>
        <v>0</v>
      </c>
      <c r="H18" s="2231">
        <f>IF(H$10=0,0,IF(ROUND(G19,3)=100%,$C18*(1+$C19),$C18))*'rNPV Assumptions_NASH'!$D$42</f>
        <v>0</v>
      </c>
      <c r="I18" s="2231">
        <f>IF(I$10=0,0,IF(ROUND(H19,3)=100%,$C18*(1+$C19),$C18))*'rNPV Assumptions_NASH'!$D$42</f>
        <v>0</v>
      </c>
      <c r="J18" s="2231">
        <f>IF(J$10=0,0,IF(ROUND(I19,3)=100%,$C18*(1+$C19),$C18))*'rNPV Assumptions_NASH'!$D$42</f>
        <v>0</v>
      </c>
      <c r="K18" s="2231">
        <f>IF(K$10=0,0,IF(ROUND(J19,3)=100%,$C18*(1+$C19),$C18))*'rNPV Assumptions_NASH'!$D$42</f>
        <v>0</v>
      </c>
      <c r="L18" s="2231">
        <f>IF(L$10=0,0,IF(ROUND(K19,3)=100%,$C18*(1+$C19),$C18))*'rNPV Assumptions_NASH'!$D$42</f>
        <v>0</v>
      </c>
      <c r="M18" s="2231">
        <f>IF(M$10=0,0,IF(ROUND(L19,3)=100%,$C18*(1+$C19),$C18))*'rNPV Assumptions_NASH'!$D$42</f>
        <v>0</v>
      </c>
      <c r="N18" s="2231">
        <f>IF(N$10=0,0,IF(ROUND(M19,3)=100%,$C18*(1+$C19),$C18))*'rNPV Assumptions_NASH'!$D$42</f>
        <v>0</v>
      </c>
      <c r="O18" s="2231">
        <f>IF(O$10=0,0,IF(ROUND(N19,3)=100%,$C18*(1+$C19),$C18))*'rNPV Assumptions_NASH'!$D$42</f>
        <v>0</v>
      </c>
      <c r="P18" s="2231">
        <f>IF(P$10=0,0,IF(ROUND(O19,3)=100%,$C18*(1+$C19),$C18))*'rNPV Assumptions_NASH'!$D$42</f>
        <v>0</v>
      </c>
      <c r="Q18" s="2231">
        <f>IF(Q$10=0,0,IF(ROUND(P19,3)=100%,$C18*(1+$C19),$C18))*'rNPV Assumptions_NASH'!$D$42</f>
        <v>0</v>
      </c>
      <c r="R18" s="2231">
        <f>IF(R$10=0,0,IF(ROUND(Q19,3)=100%,$C18*(1+$C19),$C18))*'rNPV Assumptions_NASH'!$D$42</f>
        <v>0</v>
      </c>
      <c r="S18" s="2231">
        <f>IF(S$10=0,0,IF(ROUND(R19,3)=100%,$C18*(1+$C19),$C18))*'rNPV Assumptions_NASH'!$D$42</f>
        <v>0</v>
      </c>
      <c r="T18" s="2231">
        <f>IF(T$10=0,0,IF(ROUND(S19,3)=100%,$C18*(1+$C19),$C18))*'rNPV Assumptions_NASH'!$D$42</f>
        <v>0</v>
      </c>
      <c r="U18" s="2231">
        <f>IF(U$10=0,0,IF(ROUND(T19,3)=100%,$C18*(1+$C19),$C18))*'rNPV Assumptions_NASH'!$D$42</f>
        <v>0</v>
      </c>
      <c r="V18" s="2231">
        <f>IF(V$10=0,0,IF(ROUND(U19,3)=100%,$C18*(1+$C19),$C18))*'rNPV Assumptions_NASH'!$D$42</f>
        <v>0</v>
      </c>
      <c r="W18" s="2231">
        <f>IF(W$10=0,0,IF(ROUND(V19,3)=100%,$C18*(1+$C19),$C18))*'rNPV Assumptions_NASH'!$D$42</f>
        <v>0</v>
      </c>
      <c r="X18" s="2231">
        <f>IF(X$10=0,0,IF(ROUND(W19,3)=100%,$C18*(1+$C19),$C18))*'rNPV Assumptions_NASH'!$D$42</f>
        <v>0</v>
      </c>
      <c r="Y18" s="2231">
        <f>IF(Y$10=0,0,IF(ROUND(X19,3)=100%,$C18*(1+$C19),$C18))*'rNPV Assumptions_NASH'!$D$42</f>
        <v>0</v>
      </c>
      <c r="Z18" s="2231">
        <f>IF(Z$10=0,0,IF(ROUND(Y19,3)=100%,$C18*(1+$C19),$C18))*'rNPV Assumptions_NASH'!$D$42</f>
        <v>0</v>
      </c>
      <c r="AA18" s="2231">
        <f>IF(AA$10=0,0,IF(ROUND(Z19,3)=100%,$C18*(1+$C19),$C18))*'rNPV Assumptions_NASH'!$D$42</f>
        <v>0</v>
      </c>
      <c r="AB18" s="2231">
        <f>IF(AB$10=0,0,IF(ROUND(AA19,3)=100%,$C18*(1+$C19),$C18))*'rNPV Assumptions_NASH'!$D$42</f>
        <v>0</v>
      </c>
      <c r="AC18" s="2231">
        <f>IF(AC$10=0,0,IF(ROUND(AB19,3)=100%,$C18*(1+$C19),$C18))*'rNPV Assumptions_NASH'!$D$42</f>
        <v>0</v>
      </c>
      <c r="AD18" s="2231">
        <f>IF(AD$10=0,0,IF(ROUND(AC19,3)=100%,$C18*(1+$C19),$C18))*'rNPV Assumptions_NASH'!$D$42</f>
        <v>0</v>
      </c>
      <c r="AE18" s="2231">
        <f>IF(AE$10=0,0,IF(ROUND(AD19,3)=100%,$C18*(1+$C19),$C18))*'rNPV Assumptions_NASH'!$D$42</f>
        <v>0</v>
      </c>
      <c r="AF18" s="2231">
        <f>IF(AF$10=0,0,IF(ROUND(AE19,3)=100%,$C18*(1+$C19),$C18))*'rNPV Assumptions_NASH'!$D$42</f>
        <v>0</v>
      </c>
      <c r="AG18" s="2231">
        <f>IF(AG$10=0,0,IF(ROUND(AF19,3)=100%,$C18*(1+$C19),$C18))*'rNPV Assumptions_NASH'!$D$42</f>
        <v>0</v>
      </c>
    </row>
    <row r="19" spans="1:16383" ht="12.75" customHeight="1">
      <c r="B19" s="2232" t="s">
        <v>2842</v>
      </c>
      <c r="C19" s="2233">
        <f>'rNPV Assumptions_NASH'!I50</f>
        <v>0.08</v>
      </c>
      <c r="D19" s="2234"/>
      <c r="E19" s="2234"/>
      <c r="F19" s="2235">
        <f>IF(F$10=0,0,IFERROR(HLOOKUP(F$10,'Penetration Curves'!$F$86:$O$94,ROWS('Penetration Curves'!$F$86:$F$94),FALSE),1))</f>
        <v>0</v>
      </c>
      <c r="G19" s="2235">
        <f>IF(G$10=0,0,IFERROR(HLOOKUP(G$10,'Penetration Curves'!$F$86:$O$94,ROWS('Penetration Curves'!$F$86:$F$94),FALSE),1))</f>
        <v>0</v>
      </c>
      <c r="H19" s="2235">
        <f>IF(H$10=0,0,IFERROR(HLOOKUP(H$10,'Penetration Curves'!$F$86:$O$94,ROWS('Penetration Curves'!$F$86:$F$94),FALSE),1))</f>
        <v>0</v>
      </c>
      <c r="I19" s="2235">
        <f>IF(I$10=0,0,IFERROR(HLOOKUP(I$10,'Penetration Curves'!$F$86:$O$94,ROWS('Penetration Curves'!$F$86:$F$94),FALSE),1))</f>
        <v>0</v>
      </c>
      <c r="J19" s="2235">
        <f>IF(J$10=0,0,IFERROR(HLOOKUP(J$10,'Penetration Curves'!$F$86:$O$94,ROWS('Penetration Curves'!$F$86:$F$94),FALSE),1))</f>
        <v>0</v>
      </c>
      <c r="K19" s="2235">
        <f>IF(K$10=0,0,IFERROR(HLOOKUP(K$10,'Penetration Curves'!$F$86:$O$94,ROWS('Penetration Curves'!$F$86:$F$94),FALSE),1))</f>
        <v>0</v>
      </c>
      <c r="L19" s="2235">
        <f>IF(L$10=0,0,IFERROR(HLOOKUP(L$10,'Penetration Curves'!$F$86:$O$94,ROWS('Penetration Curves'!$F$86:$F$94),FALSE),1))</f>
        <v>0</v>
      </c>
      <c r="M19" s="2235">
        <f>IF(M$10=0,0,IFERROR(HLOOKUP(M$10,'Penetration Curves'!$F$86:$O$94,ROWS('Penetration Curves'!$F$86:$F$94),FALSE),1))</f>
        <v>0</v>
      </c>
      <c r="N19" s="2235">
        <f>IF(N$10=0,0,IFERROR(HLOOKUP(N$10,'Penetration Curves'!$F$86:$O$94,ROWS('Penetration Curves'!$F$86:$F$94),FALSE),1))</f>
        <v>0</v>
      </c>
      <c r="O19" s="2235">
        <f>IF(O$10=0,0,IFERROR(HLOOKUP(O$10,'Penetration Curves'!$F$86:$O$94,ROWS('Penetration Curves'!$F$86:$F$94),FALSE),1))</f>
        <v>0</v>
      </c>
      <c r="P19" s="2235">
        <f>IF(P$10=0,0,IFERROR(HLOOKUP(P$10,'Penetration Curves'!$F$86:$O$94,ROWS('Penetration Curves'!$F$86:$F$94),FALSE),1))</f>
        <v>0</v>
      </c>
      <c r="Q19" s="2235">
        <f>IF(Q$10=0,0,IFERROR(HLOOKUP(Q$10,'Penetration Curves'!$F$86:$O$94,ROWS('Penetration Curves'!$F$86:$F$94),FALSE),1))</f>
        <v>0</v>
      </c>
      <c r="R19" s="2235">
        <f>IF(R$10=0,0,IFERROR(HLOOKUP(R$10,'Penetration Curves'!$F$86:$O$94,ROWS('Penetration Curves'!$F$86:$F$94),FALSE),1))</f>
        <v>0</v>
      </c>
      <c r="S19" s="2235">
        <f>IF(S$10=0,0,IFERROR(HLOOKUP(S$10,'Penetration Curves'!$F$86:$O$94,ROWS('Penetration Curves'!$F$86:$F$94),FALSE),1))</f>
        <v>0</v>
      </c>
      <c r="T19" s="2235">
        <f>IF(T$10=0,0,IFERROR(HLOOKUP(T$10,'Penetration Curves'!$F$86:$O$94,ROWS('Penetration Curves'!$F$86:$F$94),FALSE),1))</f>
        <v>0</v>
      </c>
      <c r="U19" s="2235">
        <f>IF(U$10=0,0,IFERROR(HLOOKUP(U$10,'Penetration Curves'!$F$86:$O$94,ROWS('Penetration Curves'!$F$86:$F$94),FALSE),1))</f>
        <v>0</v>
      </c>
      <c r="V19" s="2235">
        <f>IF(V$10=0,0,IFERROR(HLOOKUP(V$10,'Penetration Curves'!$F$86:$O$94,ROWS('Penetration Curves'!$F$86:$F$94),FALSE),1))</f>
        <v>4.7790352272814703E-2</v>
      </c>
      <c r="W19" s="2235">
        <f>IF(W$10=0,0,IFERROR(HLOOKUP(W$10,'Penetration Curves'!$F$86:$O$94,ROWS('Penetration Curves'!$F$86:$F$94),FALSE),1))</f>
        <v>0.15865525393145699</v>
      </c>
      <c r="X19" s="2235">
        <f>IF(X$10=0,0,IFERROR(HLOOKUP(X$10,'Penetration Curves'!$F$86:$O$94,ROWS('Penetration Curves'!$F$86:$F$94),FALSE),1))</f>
        <v>0.36944134018176361</v>
      </c>
      <c r="Y19" s="2235">
        <f>IF(Y$10=0,0,IFERROR(HLOOKUP(Y$10,'Penetration Curves'!$F$86:$O$94,ROWS('Penetration Curves'!$F$86:$F$94),FALSE),1))</f>
        <v>0.63055865981823644</v>
      </c>
      <c r="Z19" s="2235">
        <f>IF(Z$10=0,0,IFERROR(HLOOKUP(Z$10,'Penetration Curves'!$F$86:$O$94,ROWS('Penetration Curves'!$F$86:$F$94),FALSE),1))</f>
        <v>0.84134474606854304</v>
      </c>
      <c r="AA19" s="2235">
        <f>IF(AA$10=0,0,IFERROR(HLOOKUP(AA$10,'Penetration Curves'!$F$86:$O$94,ROWS('Penetration Curves'!$F$86:$F$94),FALSE),1))</f>
        <v>0.9522096477271853</v>
      </c>
      <c r="AB19" s="2235">
        <f>IF(AB$10=0,0,IFERROR(HLOOKUP(AB$10,'Penetration Curves'!$F$86:$O$94,ROWS('Penetration Curves'!$F$86:$F$94),FALSE),1))</f>
        <v>0.99018467137135469</v>
      </c>
      <c r="AC19" s="2235">
        <f>IF(AC$10=0,0,IFERROR(HLOOKUP(AC$10,'Penetration Curves'!$F$86:$O$94,ROWS('Penetration Curves'!$F$86:$F$94),FALSE),1))</f>
        <v>0.9986501019683699</v>
      </c>
      <c r="AD19" s="2235">
        <f>IF(AD$10=0,0,IFERROR(HLOOKUP(AD$10,'Penetration Curves'!$F$86:$O$94,ROWS('Penetration Curves'!$F$86:$F$94),FALSE),1))</f>
        <v>0.99987713361003483</v>
      </c>
      <c r="AE19" s="2235">
        <f>IF(AE$10=0,0,IFERROR(HLOOKUP(AE$10,'Penetration Curves'!$F$86:$O$94,ROWS('Penetration Curves'!$F$86:$F$94),FALSE),1))</f>
        <v>0.9999926565761631</v>
      </c>
      <c r="AF19" s="2235">
        <f>IF(AF$10=0,0,IFERROR(HLOOKUP(AF$10,'Penetration Curves'!$F$86:$O$94,ROWS('Penetration Curves'!$F$86:$F$94),FALSE),1))</f>
        <v>0</v>
      </c>
      <c r="AG19" s="2235">
        <f>IF(AG$10=0,0,IFERROR(HLOOKUP(AG$10,'Penetration Curves'!$F$86:$O$94,ROWS('Penetration Curves'!$F$86:$F$94),FALSE),1))</f>
        <v>0</v>
      </c>
    </row>
    <row r="20" spans="1:16383" ht="12.75" customHeight="1">
      <c r="B20" s="2236" t="str">
        <f>"Net Sales "&amp;B17</f>
        <v>Net Sales Indication #6</v>
      </c>
      <c r="C20" s="2239"/>
      <c r="F20" s="2237">
        <f t="shared" ref="F20:AG20" si="4">F18*F19</f>
        <v>0</v>
      </c>
      <c r="G20" s="2237">
        <f t="shared" si="4"/>
        <v>0</v>
      </c>
      <c r="H20" s="2237">
        <f t="shared" si="4"/>
        <v>0</v>
      </c>
      <c r="I20" s="2237">
        <f t="shared" si="4"/>
        <v>0</v>
      </c>
      <c r="J20" s="2237">
        <f t="shared" si="4"/>
        <v>0</v>
      </c>
      <c r="K20" s="2237">
        <f t="shared" si="4"/>
        <v>0</v>
      </c>
      <c r="L20" s="2237">
        <f t="shared" si="4"/>
        <v>0</v>
      </c>
      <c r="M20" s="2237">
        <f t="shared" si="4"/>
        <v>0</v>
      </c>
      <c r="N20" s="2237">
        <f t="shared" si="4"/>
        <v>0</v>
      </c>
      <c r="O20" s="2237">
        <f t="shared" si="4"/>
        <v>0</v>
      </c>
      <c r="P20" s="2237">
        <f t="shared" si="4"/>
        <v>0</v>
      </c>
      <c r="Q20" s="2237">
        <f t="shared" si="4"/>
        <v>0</v>
      </c>
      <c r="R20" s="2237">
        <f t="shared" si="4"/>
        <v>0</v>
      </c>
      <c r="S20" s="2237">
        <f t="shared" si="4"/>
        <v>0</v>
      </c>
      <c r="T20" s="2237">
        <f t="shared" si="4"/>
        <v>0</v>
      </c>
      <c r="U20" s="2237">
        <f t="shared" si="4"/>
        <v>0</v>
      </c>
      <c r="V20" s="2237">
        <f t="shared" si="4"/>
        <v>0</v>
      </c>
      <c r="W20" s="2237">
        <f t="shared" si="4"/>
        <v>0</v>
      </c>
      <c r="X20" s="2237">
        <f t="shared" si="4"/>
        <v>0</v>
      </c>
      <c r="Y20" s="2237">
        <f t="shared" si="4"/>
        <v>0</v>
      </c>
      <c r="Z20" s="2237">
        <f t="shared" si="4"/>
        <v>0</v>
      </c>
      <c r="AA20" s="2237">
        <f t="shared" si="4"/>
        <v>0</v>
      </c>
      <c r="AB20" s="2237">
        <f t="shared" si="4"/>
        <v>0</v>
      </c>
      <c r="AC20" s="2237">
        <f t="shared" si="4"/>
        <v>0</v>
      </c>
      <c r="AD20" s="2237">
        <f t="shared" si="4"/>
        <v>0</v>
      </c>
      <c r="AE20" s="2237">
        <f t="shared" si="4"/>
        <v>0</v>
      </c>
      <c r="AF20" s="2237">
        <f t="shared" si="4"/>
        <v>0</v>
      </c>
      <c r="AG20" s="2237">
        <f t="shared" si="4"/>
        <v>0</v>
      </c>
    </row>
    <row r="21" spans="1:16383" ht="12.75" customHeight="1">
      <c r="B21" s="2236"/>
      <c r="C21" s="2239"/>
      <c r="F21" s="2206"/>
      <c r="G21" s="2206"/>
      <c r="H21" s="2206"/>
      <c r="I21" s="2206"/>
      <c r="J21" s="2206"/>
      <c r="K21" s="2206"/>
      <c r="L21" s="2206"/>
      <c r="M21" s="2206"/>
      <c r="N21" s="2206"/>
      <c r="O21" s="2206"/>
      <c r="P21" s="2206"/>
      <c r="Q21" s="2206"/>
      <c r="R21" s="2206"/>
      <c r="S21" s="2206"/>
      <c r="T21" s="2206"/>
      <c r="U21" s="2206"/>
      <c r="V21" s="2206"/>
      <c r="W21" s="2206"/>
      <c r="X21" s="2206"/>
      <c r="Y21" s="2206"/>
      <c r="Z21" s="2206"/>
      <c r="AA21" s="2206"/>
      <c r="AB21" s="2206"/>
      <c r="AC21" s="2206"/>
      <c r="AD21" s="2206"/>
      <c r="AE21" s="2206"/>
      <c r="AF21" s="2206"/>
      <c r="AG21" s="2206"/>
    </row>
    <row r="22" spans="1:16383" ht="12.75" customHeight="1">
      <c r="B22" s="2236" t="s">
        <v>2905</v>
      </c>
      <c r="C22" s="2239"/>
      <c r="F22" s="2206">
        <f t="shared" ref="F22:AG22" si="5">F20+F15</f>
        <v>0</v>
      </c>
      <c r="G22" s="2206">
        <f t="shared" si="5"/>
        <v>0</v>
      </c>
      <c r="H22" s="2206">
        <f t="shared" si="5"/>
        <v>0</v>
      </c>
      <c r="I22" s="2206">
        <f t="shared" si="5"/>
        <v>0</v>
      </c>
      <c r="J22" s="2206">
        <f t="shared" si="5"/>
        <v>0</v>
      </c>
      <c r="K22" s="2206">
        <f t="shared" si="5"/>
        <v>0</v>
      </c>
      <c r="L22" s="2206">
        <f t="shared" si="5"/>
        <v>0</v>
      </c>
      <c r="M22" s="2206">
        <f t="shared" si="5"/>
        <v>0</v>
      </c>
      <c r="N22" s="2206">
        <f t="shared" si="5"/>
        <v>0</v>
      </c>
      <c r="O22" s="2206">
        <f t="shared" si="5"/>
        <v>0</v>
      </c>
      <c r="P22" s="2206">
        <f t="shared" si="5"/>
        <v>0</v>
      </c>
      <c r="Q22" s="2206">
        <f t="shared" si="5"/>
        <v>0</v>
      </c>
      <c r="R22" s="2206">
        <f t="shared" si="5"/>
        <v>0</v>
      </c>
      <c r="S22" s="2206">
        <f t="shared" si="5"/>
        <v>0</v>
      </c>
      <c r="T22" s="2206">
        <f t="shared" si="5"/>
        <v>0</v>
      </c>
      <c r="U22" s="2206">
        <f t="shared" si="5"/>
        <v>0</v>
      </c>
      <c r="V22" s="2206">
        <f t="shared" si="5"/>
        <v>47.790352272814701</v>
      </c>
      <c r="W22" s="2206">
        <f t="shared" si="5"/>
        <v>158.655253931457</v>
      </c>
      <c r="X22" s="2206">
        <f t="shared" si="5"/>
        <v>369.44134018176362</v>
      </c>
      <c r="Y22" s="2206">
        <f t="shared" si="5"/>
        <v>630.55865981823649</v>
      </c>
      <c r="Z22" s="2206">
        <f t="shared" si="5"/>
        <v>841.34474606854303</v>
      </c>
      <c r="AA22" s="2206">
        <f t="shared" si="5"/>
        <v>952.20964772718526</v>
      </c>
      <c r="AB22" s="2206">
        <f t="shared" si="5"/>
        <v>990.18467137135474</v>
      </c>
      <c r="AC22" s="2206">
        <f t="shared" si="5"/>
        <v>998.65010196836988</v>
      </c>
      <c r="AD22" s="2206">
        <f t="shared" si="5"/>
        <v>999.87713361003478</v>
      </c>
      <c r="AE22" s="2206">
        <f t="shared" si="5"/>
        <v>1079.9920691022562</v>
      </c>
      <c r="AF22" s="2206">
        <f t="shared" si="5"/>
        <v>0</v>
      </c>
      <c r="AG22" s="2206">
        <f t="shared" si="5"/>
        <v>0</v>
      </c>
    </row>
    <row r="23" spans="1:16383" ht="12.75" customHeight="1">
      <c r="B23" s="2236"/>
      <c r="C23" s="2239"/>
      <c r="F23" s="2206"/>
      <c r="G23" s="2206"/>
      <c r="H23" s="2206"/>
      <c r="I23" s="2206"/>
      <c r="J23" s="2206"/>
      <c r="K23" s="2206"/>
      <c r="L23" s="2206"/>
      <c r="M23" s="2206"/>
      <c r="N23" s="2206"/>
      <c r="O23" s="2206"/>
      <c r="P23" s="2206"/>
      <c r="Q23" s="2206"/>
      <c r="R23" s="2206"/>
      <c r="S23" s="2206"/>
      <c r="T23" s="2206"/>
      <c r="U23" s="2206"/>
      <c r="V23" s="2206"/>
      <c r="W23" s="2206"/>
      <c r="X23" s="2206"/>
      <c r="Y23" s="2206"/>
      <c r="Z23" s="2206"/>
      <c r="AA23" s="2206"/>
      <c r="AB23" s="2206"/>
      <c r="AC23" s="2206"/>
      <c r="AD23" s="2206"/>
      <c r="AE23" s="2206"/>
      <c r="AF23" s="2206"/>
      <c r="AG23" s="2206"/>
    </row>
    <row r="24" spans="1:16383" s="1984" customFormat="1" ht="12.75" customHeight="1">
      <c r="A24" s="720"/>
      <c r="B24" s="2236" t="s">
        <v>2930</v>
      </c>
      <c r="C24" s="2239"/>
      <c r="D24" s="720"/>
      <c r="E24" s="720"/>
      <c r="F24" s="2238">
        <f>SUMIF('rNPV Assumptions_NASH'!$C$13:$C$15,'rNPV Analysis_NASH'!F8,'rNPV Assumptions_NASH'!$D$13:$D$15)</f>
        <v>0</v>
      </c>
      <c r="G24" s="2238">
        <f>SUMIF('rNPV Assumptions_NASH'!$C$13:$C$15,'rNPV Analysis_NASH'!G8,'rNPV Assumptions_NASH'!$D$13:$D$15)</f>
        <v>0</v>
      </c>
      <c r="H24" s="2238">
        <f>SUMIF('rNPV Assumptions_NASH'!$C$13:$C$15,'rNPV Analysis_NASH'!H8,'rNPV Assumptions_NASH'!$D$13:$D$15)</f>
        <v>0</v>
      </c>
      <c r="I24" s="2238">
        <f>SUMIF('rNPV Assumptions_NASH'!$C$13:$C$15,'rNPV Analysis_NASH'!I8,'rNPV Assumptions_NASH'!$D$13:$D$15)</f>
        <v>0</v>
      </c>
      <c r="J24" s="2238">
        <f>SUMIF('rNPV Assumptions_NASH'!$C$13:$C$15,'rNPV Analysis_NASH'!J8,'rNPV Assumptions_NASH'!$D$13:$D$15)</f>
        <v>0</v>
      </c>
      <c r="K24" s="2238">
        <f>SUMIF('rNPV Assumptions_NASH'!$C$13:$C$15,'rNPV Analysis_NASH'!K8,'rNPV Assumptions_NASH'!$D$13:$D$15)</f>
        <v>6.5</v>
      </c>
      <c r="L24" s="2238">
        <f>SUMIF('rNPV Assumptions_NASH'!$C$13:$C$15,'rNPV Analysis_NASH'!L8,'rNPV Assumptions_NASH'!$D$13:$D$15)</f>
        <v>3</v>
      </c>
      <c r="M24" s="2238">
        <f>SUMIF('rNPV Assumptions_NASH'!$C$13:$C$15,'rNPV Analysis_NASH'!M8,'rNPV Assumptions_NASH'!$D$13:$D$15)</f>
        <v>0</v>
      </c>
      <c r="N24" s="2238">
        <f>SUMIF('rNPV Assumptions_NASH'!$C$13:$C$15,'rNPV Analysis_NASH'!N8,'rNPV Assumptions_NASH'!$D$13:$D$15)</f>
        <v>0</v>
      </c>
      <c r="O24" s="2238">
        <f>SUMIF('rNPV Assumptions_NASH'!$C$13:$C$15,'rNPV Analysis_NASH'!O8,'rNPV Assumptions_NASH'!$D$13:$D$15)</f>
        <v>0</v>
      </c>
      <c r="P24" s="2238">
        <f>SUMIF('rNPV Assumptions_NASH'!$C$13:$C$15,'rNPV Analysis_NASH'!P8,'rNPV Assumptions_NASH'!$D$13:$D$15)</f>
        <v>0</v>
      </c>
      <c r="Q24" s="2238">
        <f>SUMIF('rNPV Assumptions_NASH'!$C$13:$C$15,'rNPV Analysis_NASH'!Q8,'rNPV Assumptions_NASH'!$D$13:$D$15)</f>
        <v>0</v>
      </c>
      <c r="R24" s="2238">
        <f>SUMIF('rNPV Assumptions_NASH'!$C$13:$C$15,'rNPV Analysis_NASH'!R8,'rNPV Assumptions_NASH'!$D$13:$D$15)</f>
        <v>0</v>
      </c>
      <c r="S24" s="2238">
        <f>SUMIF('rNPV Assumptions_NASH'!$C$13:$C$15,'rNPV Analysis_NASH'!S8,'rNPV Assumptions_NASH'!$D$13:$D$15)</f>
        <v>0</v>
      </c>
      <c r="T24" s="2238">
        <f>SUMIF('rNPV Assumptions_NASH'!$C$13:$C$15,'rNPV Analysis_NASH'!T8,'rNPV Assumptions_NASH'!$D$13:$D$15)</f>
        <v>0</v>
      </c>
      <c r="U24" s="2238">
        <f>SUMIF('rNPV Assumptions_NASH'!$C$13:$C$15,'rNPV Analysis_NASH'!U8,'rNPV Assumptions_NASH'!$D$13:$D$15)</f>
        <v>0</v>
      </c>
      <c r="V24" s="2238">
        <f>SUMIF('rNPV Assumptions_NASH'!$C$13:$C$15,'rNPV Analysis_NASH'!V8,'rNPV Assumptions_NASH'!$D$13:$D$15)</f>
        <v>0</v>
      </c>
      <c r="W24" s="2238">
        <f>SUMIF('rNPV Assumptions_NASH'!$C$13:$C$15,'rNPV Analysis_NASH'!W8,'rNPV Assumptions_NASH'!$D$13:$D$15)</f>
        <v>0</v>
      </c>
      <c r="X24" s="2238">
        <f>SUMIF('rNPV Assumptions_NASH'!$C$13:$C$15,'rNPV Analysis_NASH'!X8,'rNPV Assumptions_NASH'!$D$13:$D$15)</f>
        <v>0</v>
      </c>
      <c r="Y24" s="2238">
        <f>SUMIF('rNPV Assumptions_NASH'!$C$13:$C$15,'rNPV Analysis_NASH'!Y8,'rNPV Assumptions_NASH'!$D$13:$D$15)</f>
        <v>0</v>
      </c>
      <c r="Z24" s="2238">
        <f>SUMIF('rNPV Assumptions_NASH'!$C$13:$C$15,'rNPV Analysis_NASH'!Z8,'rNPV Assumptions_NASH'!$D$13:$D$15)</f>
        <v>0</v>
      </c>
      <c r="AA24" s="2238">
        <f>SUMIF('rNPV Assumptions_NASH'!$C$13:$C$15,'rNPV Analysis_NASH'!AA8,'rNPV Assumptions_NASH'!$D$13:$D$15)</f>
        <v>0</v>
      </c>
      <c r="AB24" s="2238">
        <f>SUMIF('rNPV Assumptions_NASH'!$C$13:$C$15,'rNPV Analysis_NASH'!AB8,'rNPV Assumptions_NASH'!$D$13:$D$15)</f>
        <v>0</v>
      </c>
      <c r="AC24" s="2238">
        <f>SUMIF('rNPV Assumptions_NASH'!$C$13:$C$15,'rNPV Analysis_NASH'!AC8,'rNPV Assumptions_NASH'!$D$13:$D$15)</f>
        <v>0</v>
      </c>
      <c r="AD24" s="2238">
        <f>SUMIF('rNPV Assumptions_NASH'!$C$13:$C$15,'rNPV Analysis_NASH'!AD8,'rNPV Assumptions_NASH'!$D$13:$D$15)</f>
        <v>0</v>
      </c>
      <c r="AE24" s="2238">
        <f>SUMIF('rNPV Assumptions_NASH'!$C$13:$C$15,'rNPV Analysis_NASH'!AE8,'rNPV Assumptions_NASH'!$D$13:$D$15)</f>
        <v>0</v>
      </c>
      <c r="AF24" s="2238">
        <f>SUMIF('rNPV Assumptions_NASH'!$C$13:$C$15,'rNPV Analysis_NASH'!AF8,'rNPV Assumptions_NASH'!$D$13:$D$15)</f>
        <v>0</v>
      </c>
      <c r="AG24" s="2238">
        <f>SUMIF('rNPV Assumptions_NASH'!$C$13:$C$15,'rNPV Analysis_NASH'!AG8,'rNPV Assumptions_NASH'!$D$13:$D$15)</f>
        <v>0</v>
      </c>
      <c r="AH24" s="720"/>
      <c r="AI24" s="720"/>
      <c r="AJ24" s="720"/>
      <c r="AK24" s="720"/>
      <c r="AL24" s="720"/>
      <c r="AM24" s="720"/>
      <c r="AN24" s="720"/>
      <c r="AO24" s="720"/>
      <c r="AP24" s="720"/>
      <c r="AQ24" s="720"/>
      <c r="AR24" s="720"/>
      <c r="AS24" s="720"/>
      <c r="AT24" s="720"/>
      <c r="AU24" s="720"/>
      <c r="AV24" s="720"/>
      <c r="AW24" s="720"/>
      <c r="AX24" s="720"/>
      <c r="AY24" s="720"/>
      <c r="AZ24" s="720"/>
      <c r="BA24" s="720"/>
      <c r="BB24" s="720"/>
      <c r="BC24" s="720"/>
      <c r="BD24" s="720"/>
      <c r="BE24" s="720"/>
      <c r="BF24" s="720"/>
      <c r="BG24" s="720"/>
      <c r="BH24" s="720"/>
      <c r="BI24" s="720"/>
      <c r="BJ24" s="720"/>
      <c r="BK24" s="720"/>
      <c r="BL24" s="720"/>
      <c r="BM24" s="720"/>
      <c r="BN24" s="720"/>
      <c r="BO24" s="720"/>
      <c r="BP24" s="720"/>
      <c r="BQ24" s="720"/>
      <c r="BR24" s="720"/>
      <c r="BS24" s="720"/>
      <c r="BT24" s="720"/>
      <c r="BU24" s="720"/>
      <c r="BV24" s="720"/>
      <c r="BW24" s="720"/>
      <c r="BX24" s="720"/>
      <c r="BY24" s="720"/>
      <c r="BZ24" s="720"/>
      <c r="CA24" s="720"/>
      <c r="CB24" s="720"/>
      <c r="CC24" s="720"/>
      <c r="CD24" s="720"/>
      <c r="CE24" s="720"/>
      <c r="CF24" s="720"/>
      <c r="CG24" s="720"/>
      <c r="CH24" s="720"/>
      <c r="CI24" s="720"/>
      <c r="CJ24" s="720"/>
      <c r="CK24" s="720"/>
      <c r="CL24" s="720"/>
      <c r="CM24" s="720"/>
      <c r="CN24" s="720"/>
      <c r="CO24" s="720"/>
      <c r="CP24" s="720"/>
      <c r="CQ24" s="720"/>
      <c r="CR24" s="720"/>
      <c r="CS24" s="720"/>
      <c r="CT24" s="720"/>
      <c r="CU24" s="720"/>
      <c r="CV24" s="720"/>
      <c r="CW24" s="720"/>
      <c r="CX24" s="720"/>
      <c r="CY24" s="720"/>
      <c r="CZ24" s="720"/>
      <c r="DA24" s="720"/>
      <c r="DB24" s="720"/>
      <c r="DC24" s="720"/>
      <c r="DD24" s="720"/>
      <c r="DE24" s="720"/>
      <c r="DF24" s="720"/>
      <c r="DG24" s="720"/>
      <c r="DH24" s="720"/>
      <c r="DI24" s="720"/>
      <c r="DJ24" s="720"/>
      <c r="DK24" s="720"/>
      <c r="DL24" s="720"/>
      <c r="DM24" s="720"/>
      <c r="DN24" s="720"/>
      <c r="DO24" s="720"/>
      <c r="DP24" s="720"/>
      <c r="DQ24" s="720"/>
      <c r="DR24" s="720"/>
      <c r="DS24" s="720"/>
      <c r="DT24" s="720"/>
      <c r="DU24" s="720"/>
      <c r="DV24" s="720"/>
      <c r="DW24" s="720"/>
      <c r="DX24" s="720"/>
      <c r="DY24" s="720"/>
      <c r="DZ24" s="720"/>
      <c r="EA24" s="720"/>
      <c r="EB24" s="720"/>
      <c r="EC24" s="720"/>
      <c r="ED24" s="720"/>
      <c r="EE24" s="720"/>
      <c r="EF24" s="720"/>
      <c r="EG24" s="720"/>
      <c r="EH24" s="720"/>
      <c r="EI24" s="720"/>
      <c r="EJ24" s="720"/>
      <c r="EK24" s="720"/>
      <c r="EL24" s="720"/>
      <c r="EM24" s="720"/>
      <c r="EN24" s="720"/>
      <c r="EO24" s="720"/>
      <c r="EP24" s="720"/>
      <c r="EQ24" s="720"/>
      <c r="ER24" s="720"/>
      <c r="ES24" s="720"/>
      <c r="ET24" s="720"/>
      <c r="EU24" s="720"/>
      <c r="EV24" s="720"/>
      <c r="EW24" s="720"/>
      <c r="EX24" s="720"/>
      <c r="EY24" s="720"/>
      <c r="EZ24" s="720"/>
      <c r="FA24" s="720"/>
      <c r="FB24" s="720"/>
      <c r="FC24" s="720"/>
      <c r="FD24" s="720"/>
      <c r="FE24" s="720"/>
      <c r="FF24" s="720"/>
      <c r="FG24" s="720"/>
      <c r="FH24" s="720"/>
      <c r="FI24" s="720"/>
      <c r="FJ24" s="720"/>
      <c r="FK24" s="720"/>
      <c r="FL24" s="720"/>
      <c r="FM24" s="720"/>
      <c r="FN24" s="720"/>
      <c r="FO24" s="720"/>
      <c r="FP24" s="720"/>
      <c r="FQ24" s="720"/>
      <c r="FR24" s="720"/>
      <c r="FS24" s="720"/>
      <c r="FT24" s="720"/>
      <c r="FU24" s="720"/>
      <c r="FV24" s="720"/>
      <c r="FW24" s="720"/>
      <c r="FX24" s="720"/>
      <c r="FY24" s="720"/>
      <c r="FZ24" s="720"/>
      <c r="GA24" s="720"/>
      <c r="GB24" s="720"/>
      <c r="GC24" s="720"/>
      <c r="GD24" s="720"/>
      <c r="GE24" s="720"/>
      <c r="GF24" s="720"/>
      <c r="GG24" s="720"/>
      <c r="GH24" s="720"/>
      <c r="GI24" s="720"/>
      <c r="GJ24" s="720"/>
      <c r="GK24" s="720"/>
      <c r="GL24" s="720"/>
      <c r="GM24" s="720"/>
      <c r="GN24" s="720"/>
      <c r="GO24" s="720"/>
      <c r="GP24" s="720"/>
      <c r="GQ24" s="720"/>
      <c r="GR24" s="720"/>
      <c r="GS24" s="720"/>
      <c r="GT24" s="720"/>
      <c r="GU24" s="720"/>
      <c r="GV24" s="720"/>
      <c r="GW24" s="720"/>
      <c r="GX24" s="720"/>
      <c r="GY24" s="720"/>
      <c r="GZ24" s="720"/>
      <c r="HA24" s="720"/>
      <c r="HB24" s="720"/>
      <c r="HC24" s="720"/>
      <c r="HD24" s="720"/>
      <c r="HE24" s="720"/>
      <c r="HF24" s="720"/>
      <c r="HG24" s="720"/>
      <c r="HH24" s="720"/>
      <c r="HI24" s="720"/>
      <c r="HJ24" s="720"/>
      <c r="HK24" s="720"/>
      <c r="HL24" s="720"/>
      <c r="HM24" s="720"/>
      <c r="HN24" s="720"/>
      <c r="HO24" s="720"/>
      <c r="HP24" s="720"/>
      <c r="HQ24" s="720"/>
      <c r="HR24" s="720"/>
      <c r="HS24" s="720"/>
      <c r="HT24" s="720"/>
      <c r="HU24" s="720"/>
      <c r="HV24" s="720"/>
      <c r="HW24" s="720"/>
      <c r="HX24" s="720"/>
      <c r="HY24" s="720"/>
      <c r="HZ24" s="720"/>
      <c r="IA24" s="720"/>
      <c r="IB24" s="720"/>
      <c r="IC24" s="720"/>
      <c r="ID24" s="720"/>
      <c r="IE24" s="720"/>
      <c r="IF24" s="720"/>
      <c r="IG24" s="720"/>
      <c r="IH24" s="720"/>
      <c r="II24" s="720"/>
      <c r="IJ24" s="720"/>
      <c r="IK24" s="720"/>
      <c r="IL24" s="720"/>
      <c r="IM24" s="720"/>
      <c r="IN24" s="720"/>
      <c r="IO24" s="720"/>
      <c r="IP24" s="720"/>
      <c r="IQ24" s="720"/>
      <c r="IR24" s="720"/>
      <c r="IS24" s="720"/>
      <c r="IT24" s="720"/>
      <c r="IU24" s="720"/>
      <c r="IV24" s="720"/>
      <c r="IW24" s="720"/>
      <c r="IX24" s="720"/>
      <c r="IY24" s="720"/>
      <c r="IZ24" s="720"/>
      <c r="JA24" s="720"/>
      <c r="JB24" s="720"/>
      <c r="JC24" s="720"/>
      <c r="JD24" s="720"/>
      <c r="JE24" s="720"/>
      <c r="JF24" s="720"/>
      <c r="JG24" s="720"/>
      <c r="JH24" s="720"/>
      <c r="JI24" s="720"/>
      <c r="JJ24" s="720"/>
      <c r="JK24" s="720"/>
      <c r="JL24" s="720"/>
      <c r="JM24" s="720"/>
      <c r="JN24" s="720"/>
      <c r="JO24" s="720"/>
      <c r="JP24" s="720"/>
      <c r="JQ24" s="720"/>
      <c r="JR24" s="720"/>
      <c r="JS24" s="720"/>
      <c r="JT24" s="720"/>
      <c r="JU24" s="720"/>
      <c r="JV24" s="720"/>
      <c r="JW24" s="720"/>
      <c r="JX24" s="720"/>
      <c r="JY24" s="720"/>
      <c r="JZ24" s="720"/>
      <c r="KA24" s="720"/>
      <c r="KB24" s="720"/>
      <c r="KC24" s="720"/>
      <c r="KD24" s="720"/>
      <c r="KE24" s="720"/>
      <c r="KF24" s="720"/>
      <c r="KG24" s="720"/>
      <c r="KH24" s="720"/>
      <c r="KI24" s="720"/>
      <c r="KJ24" s="720"/>
      <c r="KK24" s="720"/>
      <c r="KL24" s="720"/>
      <c r="KM24" s="720"/>
      <c r="KN24" s="720"/>
      <c r="KO24" s="720"/>
      <c r="KP24" s="720"/>
      <c r="KQ24" s="720"/>
      <c r="KR24" s="720"/>
      <c r="KS24" s="720"/>
      <c r="KT24" s="720"/>
      <c r="KU24" s="720"/>
      <c r="KV24" s="720"/>
      <c r="KW24" s="720"/>
      <c r="KX24" s="720"/>
      <c r="KY24" s="720"/>
      <c r="KZ24" s="720"/>
      <c r="LA24" s="720"/>
      <c r="LB24" s="720"/>
      <c r="LC24" s="720"/>
      <c r="LD24" s="720"/>
      <c r="LE24" s="720"/>
      <c r="LF24" s="720"/>
      <c r="LG24" s="720"/>
      <c r="LH24" s="720"/>
      <c r="LI24" s="720"/>
      <c r="LJ24" s="720"/>
      <c r="LK24" s="720"/>
      <c r="LL24" s="720"/>
      <c r="LM24" s="720"/>
      <c r="LN24" s="720"/>
      <c r="LO24" s="720"/>
      <c r="LP24" s="720"/>
      <c r="LQ24" s="720"/>
      <c r="LR24" s="720"/>
      <c r="LS24" s="720"/>
      <c r="LT24" s="720"/>
      <c r="LU24" s="720"/>
      <c r="LV24" s="720"/>
      <c r="LW24" s="720"/>
      <c r="LX24" s="720"/>
      <c r="LY24" s="720"/>
      <c r="LZ24" s="720"/>
      <c r="MA24" s="720"/>
      <c r="MB24" s="720"/>
      <c r="MC24" s="720"/>
      <c r="MD24" s="720"/>
      <c r="ME24" s="720"/>
      <c r="MF24" s="720"/>
      <c r="MG24" s="720"/>
      <c r="MH24" s="720"/>
      <c r="MI24" s="720"/>
      <c r="MJ24" s="720"/>
      <c r="MK24" s="720"/>
      <c r="ML24" s="720"/>
      <c r="MM24" s="720"/>
      <c r="MN24" s="720"/>
      <c r="MO24" s="720"/>
      <c r="MP24" s="720"/>
      <c r="MQ24" s="720"/>
      <c r="MR24" s="720"/>
      <c r="MS24" s="720"/>
      <c r="MT24" s="720"/>
      <c r="MU24" s="720"/>
      <c r="MV24" s="720"/>
      <c r="MW24" s="720"/>
      <c r="MX24" s="720"/>
      <c r="MY24" s="720"/>
      <c r="MZ24" s="720"/>
      <c r="NA24" s="720"/>
      <c r="NB24" s="720"/>
      <c r="NC24" s="720"/>
      <c r="ND24" s="720"/>
      <c r="NE24" s="720"/>
      <c r="NF24" s="720"/>
      <c r="NG24" s="720"/>
      <c r="NH24" s="720"/>
      <c r="NI24" s="720"/>
      <c r="NJ24" s="720"/>
      <c r="NK24" s="720"/>
      <c r="NL24" s="720"/>
      <c r="NM24" s="720"/>
      <c r="NN24" s="720"/>
      <c r="NO24" s="720"/>
      <c r="NP24" s="720"/>
      <c r="NQ24" s="720"/>
      <c r="NR24" s="720"/>
      <c r="NS24" s="720"/>
      <c r="NT24" s="720"/>
      <c r="NU24" s="720"/>
      <c r="NV24" s="720"/>
      <c r="NW24" s="720"/>
      <c r="NX24" s="720"/>
      <c r="NY24" s="720"/>
      <c r="NZ24" s="720"/>
      <c r="OA24" s="720"/>
      <c r="OB24" s="720"/>
      <c r="OC24" s="720"/>
      <c r="OD24" s="720"/>
      <c r="OE24" s="720"/>
      <c r="OF24" s="720"/>
      <c r="OG24" s="720"/>
      <c r="OH24" s="720"/>
      <c r="OI24" s="720"/>
      <c r="OJ24" s="720"/>
      <c r="OK24" s="720"/>
      <c r="OL24" s="720"/>
      <c r="OM24" s="720"/>
      <c r="ON24" s="720"/>
      <c r="OO24" s="720"/>
      <c r="OP24" s="720"/>
      <c r="OQ24" s="720"/>
      <c r="OR24" s="720"/>
      <c r="OS24" s="720"/>
      <c r="OT24" s="720"/>
      <c r="OU24" s="720"/>
      <c r="OV24" s="720"/>
      <c r="OW24" s="720"/>
      <c r="OX24" s="720"/>
      <c r="OY24" s="720"/>
      <c r="OZ24" s="720"/>
      <c r="PA24" s="720"/>
      <c r="PB24" s="720"/>
      <c r="PC24" s="720"/>
      <c r="PD24" s="720"/>
      <c r="PE24" s="720"/>
      <c r="PF24" s="720"/>
      <c r="PG24" s="720"/>
      <c r="PH24" s="720"/>
      <c r="PI24" s="720"/>
      <c r="PJ24" s="720"/>
      <c r="PK24" s="720"/>
      <c r="PL24" s="720"/>
      <c r="PM24" s="720"/>
      <c r="PN24" s="720"/>
      <c r="PO24" s="720"/>
      <c r="PP24" s="720"/>
      <c r="PQ24" s="720"/>
      <c r="PR24" s="720"/>
      <c r="PS24" s="720"/>
      <c r="PT24" s="720"/>
      <c r="PU24" s="720"/>
      <c r="PV24" s="720"/>
      <c r="PW24" s="720"/>
      <c r="PX24" s="720"/>
      <c r="PY24" s="720"/>
      <c r="PZ24" s="720"/>
      <c r="QA24" s="720"/>
      <c r="QB24" s="720"/>
      <c r="QC24" s="720"/>
      <c r="QD24" s="720"/>
      <c r="QE24" s="720"/>
      <c r="QF24" s="720"/>
      <c r="QG24" s="720"/>
      <c r="QH24" s="720"/>
      <c r="QI24" s="720"/>
      <c r="QJ24" s="720"/>
      <c r="QK24" s="720"/>
      <c r="QL24" s="720"/>
      <c r="QM24" s="720"/>
      <c r="QN24" s="720"/>
      <c r="QO24" s="720"/>
      <c r="QP24" s="720"/>
      <c r="QQ24" s="720"/>
      <c r="QR24" s="720"/>
      <c r="QS24" s="720"/>
      <c r="QT24" s="720"/>
      <c r="QU24" s="720"/>
      <c r="QV24" s="720"/>
      <c r="QW24" s="720"/>
      <c r="QX24" s="720"/>
      <c r="QY24" s="720"/>
      <c r="QZ24" s="720"/>
      <c r="RA24" s="720"/>
      <c r="RB24" s="720"/>
      <c r="RC24" s="720"/>
      <c r="RD24" s="720"/>
      <c r="RE24" s="720"/>
      <c r="RF24" s="720"/>
      <c r="RG24" s="720"/>
      <c r="RH24" s="720"/>
      <c r="RI24" s="720"/>
      <c r="RJ24" s="720"/>
      <c r="RK24" s="720"/>
      <c r="RL24" s="720"/>
      <c r="RM24" s="720"/>
      <c r="RN24" s="720"/>
      <c r="RO24" s="720"/>
      <c r="RP24" s="720"/>
      <c r="RQ24" s="720"/>
      <c r="RR24" s="720"/>
      <c r="RS24" s="720"/>
      <c r="RT24" s="720"/>
      <c r="RU24" s="720"/>
      <c r="RV24" s="720"/>
      <c r="RW24" s="720"/>
      <c r="RX24" s="720"/>
      <c r="RY24" s="720"/>
      <c r="RZ24" s="720"/>
      <c r="SA24" s="720"/>
      <c r="SB24" s="720"/>
      <c r="SC24" s="720"/>
      <c r="SD24" s="720"/>
      <c r="SE24" s="720"/>
      <c r="SF24" s="720"/>
      <c r="SG24" s="720"/>
      <c r="SH24" s="720"/>
      <c r="SI24" s="720"/>
      <c r="SJ24" s="720"/>
      <c r="SK24" s="720"/>
      <c r="SL24" s="720"/>
      <c r="SM24" s="720"/>
      <c r="SN24" s="720"/>
      <c r="SO24" s="720"/>
      <c r="SP24" s="720"/>
      <c r="SQ24" s="720"/>
      <c r="SR24" s="720"/>
      <c r="SS24" s="720"/>
      <c r="ST24" s="720"/>
      <c r="SU24" s="720"/>
      <c r="SV24" s="720"/>
      <c r="SW24" s="720"/>
      <c r="SX24" s="720"/>
      <c r="SY24" s="720"/>
      <c r="SZ24" s="720"/>
      <c r="TA24" s="720"/>
      <c r="TB24" s="720"/>
      <c r="TC24" s="720"/>
      <c r="TD24" s="720"/>
      <c r="TE24" s="720"/>
      <c r="TF24" s="720"/>
      <c r="TG24" s="720"/>
      <c r="TH24" s="720"/>
      <c r="TI24" s="720"/>
      <c r="TJ24" s="720"/>
      <c r="TK24" s="720"/>
      <c r="TL24" s="720"/>
      <c r="TM24" s="720"/>
      <c r="TN24" s="720"/>
      <c r="TO24" s="720"/>
      <c r="TP24" s="720"/>
      <c r="TQ24" s="720"/>
      <c r="TR24" s="720"/>
      <c r="TS24" s="720"/>
      <c r="TT24" s="720"/>
      <c r="TU24" s="720"/>
      <c r="TV24" s="720"/>
      <c r="TW24" s="720"/>
      <c r="TX24" s="720"/>
      <c r="TY24" s="720"/>
      <c r="TZ24" s="720"/>
      <c r="UA24" s="720"/>
      <c r="UB24" s="720"/>
      <c r="UC24" s="720"/>
      <c r="UD24" s="720"/>
      <c r="UE24" s="720"/>
      <c r="UF24" s="720"/>
      <c r="UG24" s="720"/>
      <c r="UH24" s="720"/>
      <c r="UI24" s="720"/>
      <c r="UJ24" s="720"/>
      <c r="UK24" s="720"/>
      <c r="UL24" s="720"/>
      <c r="UM24" s="720"/>
      <c r="UN24" s="720"/>
      <c r="UO24" s="720"/>
      <c r="UP24" s="720"/>
      <c r="UQ24" s="720"/>
      <c r="UR24" s="720"/>
      <c r="US24" s="720"/>
      <c r="UT24" s="720"/>
      <c r="UU24" s="720"/>
      <c r="UV24" s="720"/>
      <c r="UW24" s="720"/>
      <c r="UX24" s="720"/>
      <c r="UY24" s="720"/>
      <c r="UZ24" s="720"/>
      <c r="VA24" s="720"/>
      <c r="VB24" s="720"/>
      <c r="VC24" s="720"/>
      <c r="VD24" s="720"/>
      <c r="VE24" s="720"/>
      <c r="VF24" s="720"/>
      <c r="VG24" s="720"/>
      <c r="VH24" s="720"/>
      <c r="VI24" s="720"/>
      <c r="VJ24" s="720"/>
      <c r="VK24" s="720"/>
      <c r="VL24" s="720"/>
      <c r="VM24" s="720"/>
      <c r="VN24" s="720"/>
      <c r="VO24" s="720"/>
      <c r="VP24" s="720"/>
      <c r="VQ24" s="720"/>
      <c r="VR24" s="720"/>
      <c r="VS24" s="720"/>
      <c r="VT24" s="720"/>
      <c r="VU24" s="720"/>
      <c r="VV24" s="720"/>
      <c r="VW24" s="720"/>
      <c r="VX24" s="720"/>
      <c r="VY24" s="720"/>
      <c r="VZ24" s="720"/>
      <c r="WA24" s="720"/>
      <c r="WB24" s="720"/>
      <c r="WC24" s="720"/>
      <c r="WD24" s="720"/>
      <c r="WE24" s="720"/>
      <c r="WF24" s="720"/>
      <c r="WG24" s="720"/>
      <c r="WH24" s="720"/>
      <c r="WI24" s="720"/>
      <c r="WJ24" s="720"/>
      <c r="WK24" s="720"/>
      <c r="WL24" s="720"/>
      <c r="WM24" s="720"/>
      <c r="WN24" s="720"/>
      <c r="WO24" s="720"/>
      <c r="WP24" s="720"/>
      <c r="WQ24" s="720"/>
      <c r="WR24" s="720"/>
      <c r="WS24" s="720"/>
      <c r="WT24" s="720"/>
      <c r="WU24" s="720"/>
      <c r="WV24" s="720"/>
      <c r="WW24" s="720"/>
      <c r="WX24" s="720"/>
      <c r="WY24" s="720"/>
      <c r="WZ24" s="720"/>
      <c r="XA24" s="720"/>
      <c r="XB24" s="720"/>
      <c r="XC24" s="720"/>
      <c r="XD24" s="720"/>
      <c r="XE24" s="720"/>
      <c r="XF24" s="720"/>
      <c r="XG24" s="720"/>
      <c r="XH24" s="720"/>
      <c r="XI24" s="720"/>
      <c r="XJ24" s="720"/>
      <c r="XK24" s="720"/>
      <c r="XL24" s="720"/>
      <c r="XM24" s="720"/>
      <c r="XN24" s="720"/>
      <c r="XO24" s="720"/>
      <c r="XP24" s="720"/>
      <c r="XQ24" s="720"/>
      <c r="XR24" s="720"/>
      <c r="XS24" s="720"/>
      <c r="XT24" s="720"/>
      <c r="XU24" s="720"/>
      <c r="XV24" s="720"/>
      <c r="XW24" s="720"/>
      <c r="XX24" s="720"/>
      <c r="XY24" s="720"/>
      <c r="XZ24" s="720"/>
      <c r="YA24" s="720"/>
      <c r="YB24" s="720"/>
      <c r="YC24" s="720"/>
      <c r="YD24" s="720"/>
      <c r="YE24" s="720"/>
      <c r="YF24" s="720"/>
      <c r="YG24" s="720"/>
      <c r="YH24" s="720"/>
      <c r="YI24" s="720"/>
      <c r="YJ24" s="720"/>
      <c r="YK24" s="720"/>
      <c r="YL24" s="720"/>
      <c r="YM24" s="720"/>
      <c r="YN24" s="720"/>
      <c r="YO24" s="720"/>
      <c r="YP24" s="720"/>
      <c r="YQ24" s="720"/>
      <c r="YR24" s="720"/>
      <c r="YS24" s="720"/>
      <c r="YT24" s="720"/>
      <c r="YU24" s="720"/>
      <c r="YV24" s="720"/>
      <c r="YW24" s="720"/>
      <c r="YX24" s="720"/>
      <c r="YY24" s="720"/>
      <c r="YZ24" s="720"/>
      <c r="ZA24" s="720"/>
      <c r="ZB24" s="720"/>
      <c r="ZC24" s="720"/>
      <c r="ZD24" s="720"/>
      <c r="ZE24" s="720"/>
      <c r="ZF24" s="720"/>
      <c r="ZG24" s="720"/>
      <c r="ZH24" s="720"/>
      <c r="ZI24" s="720"/>
      <c r="ZJ24" s="720"/>
      <c r="ZK24" s="720"/>
      <c r="ZL24" s="720"/>
      <c r="ZM24" s="720"/>
      <c r="ZN24" s="720"/>
      <c r="ZO24" s="720"/>
      <c r="ZP24" s="720"/>
      <c r="ZQ24" s="720"/>
      <c r="ZR24" s="720"/>
      <c r="ZS24" s="720"/>
      <c r="ZT24" s="720"/>
      <c r="ZU24" s="720"/>
      <c r="ZV24" s="720"/>
      <c r="ZW24" s="720"/>
      <c r="ZX24" s="720"/>
      <c r="ZY24" s="720"/>
      <c r="ZZ24" s="720"/>
      <c r="AAA24" s="720"/>
      <c r="AAB24" s="720"/>
      <c r="AAC24" s="720"/>
      <c r="AAD24" s="720"/>
      <c r="AAE24" s="720"/>
      <c r="AAF24" s="720"/>
      <c r="AAG24" s="720"/>
      <c r="AAH24" s="720"/>
      <c r="AAI24" s="720"/>
      <c r="AAJ24" s="720"/>
      <c r="AAK24" s="720"/>
      <c r="AAL24" s="720"/>
      <c r="AAM24" s="720"/>
      <c r="AAN24" s="720"/>
      <c r="AAO24" s="720"/>
      <c r="AAP24" s="720"/>
      <c r="AAQ24" s="720"/>
      <c r="AAR24" s="720"/>
      <c r="AAS24" s="720"/>
      <c r="AAT24" s="720"/>
      <c r="AAU24" s="720"/>
      <c r="AAV24" s="720"/>
      <c r="AAW24" s="720"/>
      <c r="AAX24" s="720"/>
      <c r="AAY24" s="720"/>
      <c r="AAZ24" s="720"/>
      <c r="ABA24" s="720"/>
      <c r="ABB24" s="720"/>
      <c r="ABC24" s="720"/>
      <c r="ABD24" s="720"/>
      <c r="ABE24" s="720"/>
      <c r="ABF24" s="720"/>
      <c r="ABG24" s="720"/>
      <c r="ABH24" s="720"/>
      <c r="ABI24" s="720"/>
      <c r="ABJ24" s="720"/>
      <c r="ABK24" s="720"/>
      <c r="ABL24" s="720"/>
      <c r="ABM24" s="720"/>
      <c r="ABN24" s="720"/>
      <c r="ABO24" s="720"/>
      <c r="ABP24" s="720"/>
      <c r="ABQ24" s="720"/>
      <c r="ABR24" s="720"/>
      <c r="ABS24" s="720"/>
      <c r="ABT24" s="720"/>
      <c r="ABU24" s="720"/>
      <c r="ABV24" s="720"/>
      <c r="ABW24" s="720"/>
      <c r="ABX24" s="720"/>
      <c r="ABY24" s="720"/>
      <c r="ABZ24" s="720"/>
      <c r="ACA24" s="720"/>
      <c r="ACB24" s="720"/>
      <c r="ACC24" s="720"/>
      <c r="ACD24" s="720"/>
      <c r="ACE24" s="720"/>
      <c r="ACF24" s="720"/>
      <c r="ACG24" s="720"/>
      <c r="ACH24" s="720"/>
      <c r="ACI24" s="720"/>
      <c r="ACJ24" s="720"/>
      <c r="ACK24" s="720"/>
      <c r="ACL24" s="720"/>
      <c r="ACM24" s="720"/>
      <c r="ACN24" s="720"/>
      <c r="ACO24" s="720"/>
      <c r="ACP24" s="720"/>
      <c r="ACQ24" s="720"/>
      <c r="ACR24" s="720"/>
      <c r="ACS24" s="720"/>
      <c r="ACT24" s="720"/>
      <c r="ACU24" s="720"/>
      <c r="ACV24" s="720"/>
      <c r="ACW24" s="720"/>
      <c r="ACX24" s="720"/>
      <c r="ACY24" s="720"/>
      <c r="ACZ24" s="720"/>
      <c r="ADA24" s="720"/>
      <c r="ADB24" s="720"/>
      <c r="ADC24" s="720"/>
      <c r="ADD24" s="720"/>
      <c r="ADE24" s="720"/>
      <c r="ADF24" s="720"/>
      <c r="ADG24" s="720"/>
      <c r="ADH24" s="720"/>
      <c r="ADI24" s="720"/>
      <c r="ADJ24" s="720"/>
      <c r="ADK24" s="720"/>
      <c r="ADL24" s="720"/>
      <c r="ADM24" s="720"/>
      <c r="ADN24" s="720"/>
      <c r="ADO24" s="720"/>
      <c r="ADP24" s="720"/>
      <c r="ADQ24" s="720"/>
      <c r="ADR24" s="720"/>
      <c r="ADS24" s="720"/>
      <c r="ADT24" s="720"/>
      <c r="ADU24" s="720"/>
      <c r="ADV24" s="720"/>
      <c r="ADW24" s="720"/>
      <c r="ADX24" s="720"/>
      <c r="ADY24" s="720"/>
      <c r="ADZ24" s="720"/>
      <c r="AEA24" s="720"/>
      <c r="AEB24" s="720"/>
      <c r="AEC24" s="720"/>
      <c r="AED24" s="720"/>
      <c r="AEE24" s="720"/>
      <c r="AEF24" s="720"/>
      <c r="AEG24" s="720"/>
      <c r="AEH24" s="720"/>
      <c r="AEI24" s="720"/>
      <c r="AEJ24" s="720"/>
      <c r="AEK24" s="720"/>
      <c r="AEL24" s="720"/>
      <c r="AEM24" s="720"/>
      <c r="AEN24" s="720"/>
      <c r="AEO24" s="720"/>
      <c r="AEP24" s="720"/>
      <c r="AEQ24" s="720"/>
      <c r="AER24" s="720"/>
      <c r="AES24" s="720"/>
      <c r="AET24" s="720"/>
      <c r="AEU24" s="720"/>
      <c r="AEV24" s="720"/>
      <c r="AEW24" s="720"/>
      <c r="AEX24" s="720"/>
      <c r="AEY24" s="720"/>
      <c r="AEZ24" s="720"/>
      <c r="AFA24" s="720"/>
      <c r="AFB24" s="720"/>
      <c r="AFC24" s="720"/>
      <c r="AFD24" s="720"/>
      <c r="AFE24" s="720"/>
      <c r="AFF24" s="720"/>
      <c r="AFG24" s="720"/>
      <c r="AFH24" s="720"/>
      <c r="AFI24" s="720"/>
      <c r="AFJ24" s="720"/>
      <c r="AFK24" s="720"/>
      <c r="AFL24" s="720"/>
      <c r="AFM24" s="720"/>
      <c r="AFN24" s="720"/>
      <c r="AFO24" s="720"/>
      <c r="AFP24" s="720"/>
      <c r="AFQ24" s="720"/>
      <c r="AFR24" s="720"/>
      <c r="AFS24" s="720"/>
      <c r="AFT24" s="720"/>
      <c r="AFU24" s="720"/>
      <c r="AFV24" s="720"/>
      <c r="AFW24" s="720"/>
      <c r="AFX24" s="720"/>
      <c r="AFY24" s="720"/>
      <c r="AFZ24" s="720"/>
      <c r="AGA24" s="720"/>
      <c r="AGB24" s="720"/>
      <c r="AGC24" s="720"/>
      <c r="AGD24" s="720"/>
      <c r="AGE24" s="720"/>
      <c r="AGF24" s="720"/>
      <c r="AGG24" s="720"/>
      <c r="AGH24" s="720"/>
      <c r="AGI24" s="720"/>
      <c r="AGJ24" s="720"/>
      <c r="AGK24" s="720"/>
      <c r="AGL24" s="720"/>
      <c r="AGM24" s="720"/>
      <c r="AGN24" s="720"/>
      <c r="AGO24" s="720"/>
      <c r="AGP24" s="720"/>
      <c r="AGQ24" s="720"/>
      <c r="AGR24" s="720"/>
      <c r="AGS24" s="720"/>
      <c r="AGT24" s="720"/>
      <c r="AGU24" s="720"/>
      <c r="AGV24" s="720"/>
      <c r="AGW24" s="720"/>
      <c r="AGX24" s="720"/>
      <c r="AGY24" s="720"/>
      <c r="AGZ24" s="720"/>
      <c r="AHA24" s="720"/>
      <c r="AHB24" s="720"/>
      <c r="AHC24" s="720"/>
      <c r="AHD24" s="720"/>
      <c r="AHE24" s="720"/>
      <c r="AHF24" s="720"/>
      <c r="AHG24" s="720"/>
      <c r="AHH24" s="720"/>
      <c r="AHI24" s="720"/>
      <c r="AHJ24" s="720"/>
      <c r="AHK24" s="720"/>
      <c r="AHL24" s="720"/>
      <c r="AHM24" s="720"/>
      <c r="AHN24" s="720"/>
      <c r="AHO24" s="720"/>
      <c r="AHP24" s="720"/>
      <c r="AHQ24" s="720"/>
      <c r="AHR24" s="720"/>
      <c r="AHS24" s="720"/>
      <c r="AHT24" s="720"/>
      <c r="AHU24" s="720"/>
      <c r="AHV24" s="720"/>
      <c r="AHW24" s="720"/>
      <c r="AHX24" s="720"/>
      <c r="AHY24" s="720"/>
      <c r="AHZ24" s="720"/>
      <c r="AIA24" s="720"/>
      <c r="AIB24" s="720"/>
      <c r="AIC24" s="720"/>
      <c r="AID24" s="720"/>
      <c r="AIE24" s="720"/>
      <c r="AIF24" s="720"/>
      <c r="AIG24" s="720"/>
      <c r="AIH24" s="720"/>
      <c r="AII24" s="720"/>
      <c r="AIJ24" s="720"/>
      <c r="AIK24" s="720"/>
      <c r="AIL24" s="720"/>
      <c r="AIM24" s="720"/>
      <c r="AIN24" s="720"/>
      <c r="AIO24" s="720"/>
      <c r="AIP24" s="720"/>
      <c r="AIQ24" s="720"/>
      <c r="AIR24" s="720"/>
      <c r="AIS24" s="720"/>
      <c r="AIT24" s="720"/>
      <c r="AIU24" s="720"/>
      <c r="AIV24" s="720"/>
      <c r="AIW24" s="720"/>
      <c r="AIX24" s="720"/>
      <c r="AIY24" s="720"/>
      <c r="AIZ24" s="720"/>
      <c r="AJA24" s="720"/>
      <c r="AJB24" s="720"/>
      <c r="AJC24" s="720"/>
      <c r="AJD24" s="720"/>
      <c r="AJE24" s="720"/>
      <c r="AJF24" s="720"/>
      <c r="AJG24" s="720"/>
      <c r="AJH24" s="720"/>
      <c r="AJI24" s="720"/>
      <c r="AJJ24" s="720"/>
      <c r="AJK24" s="720"/>
      <c r="AJL24" s="720"/>
      <c r="AJM24" s="720"/>
      <c r="AJN24" s="720"/>
      <c r="AJO24" s="720"/>
      <c r="AJP24" s="720"/>
      <c r="AJQ24" s="720"/>
      <c r="AJR24" s="720"/>
      <c r="AJS24" s="720"/>
      <c r="AJT24" s="720"/>
      <c r="AJU24" s="720"/>
      <c r="AJV24" s="720"/>
      <c r="AJW24" s="720"/>
      <c r="AJX24" s="720"/>
      <c r="AJY24" s="720"/>
      <c r="AJZ24" s="720"/>
      <c r="AKA24" s="720"/>
      <c r="AKB24" s="720"/>
      <c r="AKC24" s="720"/>
      <c r="AKD24" s="720"/>
      <c r="AKE24" s="720"/>
      <c r="AKF24" s="720"/>
      <c r="AKG24" s="720"/>
      <c r="AKH24" s="720"/>
      <c r="AKI24" s="720"/>
      <c r="AKJ24" s="720"/>
      <c r="AKK24" s="720"/>
      <c r="AKL24" s="720"/>
      <c r="AKM24" s="720"/>
      <c r="AKN24" s="720"/>
      <c r="AKO24" s="720"/>
      <c r="AKP24" s="720"/>
      <c r="AKQ24" s="720"/>
      <c r="AKR24" s="720"/>
      <c r="AKS24" s="720"/>
      <c r="AKT24" s="720"/>
      <c r="AKU24" s="720"/>
      <c r="AKV24" s="720"/>
      <c r="AKW24" s="720"/>
      <c r="AKX24" s="720"/>
      <c r="AKY24" s="720"/>
      <c r="AKZ24" s="720"/>
      <c r="ALA24" s="720"/>
      <c r="ALB24" s="720"/>
      <c r="ALC24" s="720"/>
      <c r="ALD24" s="720"/>
      <c r="ALE24" s="720"/>
      <c r="ALF24" s="720"/>
      <c r="ALG24" s="720"/>
      <c r="ALH24" s="720"/>
      <c r="ALI24" s="720"/>
      <c r="ALJ24" s="720"/>
      <c r="ALK24" s="720"/>
      <c r="ALL24" s="720"/>
      <c r="ALM24" s="720"/>
      <c r="ALN24" s="720"/>
      <c r="ALO24" s="720"/>
      <c r="ALP24" s="720"/>
      <c r="ALQ24" s="720"/>
      <c r="ALR24" s="720"/>
      <c r="ALS24" s="720"/>
      <c r="ALT24" s="720"/>
      <c r="ALU24" s="720"/>
      <c r="ALV24" s="720"/>
      <c r="ALW24" s="720"/>
      <c r="ALX24" s="720"/>
      <c r="ALY24" s="720"/>
      <c r="ALZ24" s="720"/>
      <c r="AMA24" s="720"/>
      <c r="AMB24" s="720"/>
      <c r="AMC24" s="720"/>
      <c r="AMD24" s="720"/>
      <c r="AME24" s="720"/>
      <c r="AMF24" s="720"/>
      <c r="AMG24" s="720"/>
      <c r="AMH24" s="720"/>
      <c r="AMI24" s="720"/>
      <c r="AMJ24" s="720"/>
      <c r="AMK24" s="720"/>
      <c r="AML24" s="720"/>
      <c r="AMM24" s="720"/>
      <c r="AMN24" s="720"/>
      <c r="AMO24" s="720"/>
      <c r="AMP24" s="720"/>
      <c r="AMQ24" s="720"/>
      <c r="AMR24" s="720"/>
      <c r="AMS24" s="720"/>
      <c r="AMT24" s="720"/>
      <c r="AMU24" s="720"/>
      <c r="AMV24" s="720"/>
      <c r="AMW24" s="720"/>
      <c r="AMX24" s="720"/>
      <c r="AMY24" s="720"/>
      <c r="AMZ24" s="720"/>
      <c r="ANA24" s="720"/>
      <c r="ANB24" s="720"/>
      <c r="ANC24" s="720"/>
      <c r="AND24" s="720"/>
      <c r="ANE24" s="720"/>
      <c r="ANF24" s="720"/>
      <c r="ANG24" s="720"/>
      <c r="ANH24" s="720"/>
      <c r="ANI24" s="720"/>
      <c r="ANJ24" s="720"/>
      <c r="ANK24" s="720"/>
      <c r="ANL24" s="720"/>
      <c r="ANM24" s="720"/>
      <c r="ANN24" s="720"/>
      <c r="ANO24" s="720"/>
      <c r="ANP24" s="720"/>
      <c r="ANQ24" s="720"/>
      <c r="ANR24" s="720"/>
      <c r="ANS24" s="720"/>
      <c r="ANT24" s="720"/>
      <c r="ANU24" s="720"/>
      <c r="ANV24" s="720"/>
      <c r="ANW24" s="720"/>
      <c r="ANX24" s="720"/>
      <c r="ANY24" s="720"/>
      <c r="ANZ24" s="720"/>
      <c r="AOA24" s="720"/>
      <c r="AOB24" s="720"/>
      <c r="AOC24" s="720"/>
      <c r="AOD24" s="720"/>
      <c r="AOE24" s="720"/>
      <c r="AOF24" s="720"/>
      <c r="AOG24" s="720"/>
      <c r="AOH24" s="720"/>
      <c r="AOI24" s="720"/>
      <c r="AOJ24" s="720"/>
      <c r="AOK24" s="720"/>
      <c r="AOL24" s="720"/>
      <c r="AOM24" s="720"/>
      <c r="AON24" s="720"/>
      <c r="AOO24" s="720"/>
      <c r="AOP24" s="720"/>
      <c r="AOQ24" s="720"/>
      <c r="AOR24" s="720"/>
      <c r="AOS24" s="720"/>
      <c r="AOT24" s="720"/>
      <c r="AOU24" s="720"/>
      <c r="AOV24" s="720"/>
      <c r="AOW24" s="720"/>
      <c r="AOX24" s="720"/>
      <c r="AOY24" s="720"/>
      <c r="AOZ24" s="720"/>
      <c r="APA24" s="720"/>
      <c r="APB24" s="720"/>
      <c r="APC24" s="720"/>
      <c r="APD24" s="720"/>
      <c r="APE24" s="720"/>
      <c r="APF24" s="720"/>
      <c r="APG24" s="720"/>
      <c r="APH24" s="720"/>
      <c r="API24" s="720"/>
      <c r="APJ24" s="720"/>
      <c r="APK24" s="720"/>
      <c r="APL24" s="720"/>
      <c r="APM24" s="720"/>
      <c r="APN24" s="720"/>
      <c r="APO24" s="720"/>
      <c r="APP24" s="720"/>
      <c r="APQ24" s="720"/>
      <c r="APR24" s="720"/>
      <c r="APS24" s="720"/>
      <c r="APT24" s="720"/>
      <c r="APU24" s="720"/>
      <c r="APV24" s="720"/>
      <c r="APW24" s="720"/>
      <c r="APX24" s="720"/>
      <c r="APY24" s="720"/>
      <c r="APZ24" s="720"/>
      <c r="AQA24" s="720"/>
      <c r="AQB24" s="720"/>
      <c r="AQC24" s="720"/>
      <c r="AQD24" s="720"/>
      <c r="AQE24" s="720"/>
      <c r="AQF24" s="720"/>
      <c r="AQG24" s="720"/>
      <c r="AQH24" s="720"/>
      <c r="AQI24" s="720"/>
      <c r="AQJ24" s="720"/>
      <c r="AQK24" s="720"/>
      <c r="AQL24" s="720"/>
      <c r="AQM24" s="720"/>
      <c r="AQN24" s="720"/>
      <c r="AQO24" s="720"/>
      <c r="AQP24" s="720"/>
      <c r="AQQ24" s="720"/>
      <c r="AQR24" s="720"/>
      <c r="AQS24" s="720"/>
      <c r="AQT24" s="720"/>
      <c r="AQU24" s="720"/>
      <c r="AQV24" s="720"/>
      <c r="AQW24" s="720"/>
      <c r="AQX24" s="720"/>
      <c r="AQY24" s="720"/>
      <c r="AQZ24" s="720"/>
      <c r="ARA24" s="720"/>
      <c r="ARB24" s="720"/>
      <c r="ARC24" s="720"/>
      <c r="ARD24" s="720"/>
      <c r="ARE24" s="720"/>
      <c r="ARF24" s="720"/>
      <c r="ARG24" s="720"/>
      <c r="ARH24" s="720"/>
      <c r="ARI24" s="720"/>
      <c r="ARJ24" s="720"/>
      <c r="ARK24" s="720"/>
      <c r="ARL24" s="720"/>
      <c r="ARM24" s="720"/>
      <c r="ARN24" s="720"/>
      <c r="ARO24" s="720"/>
      <c r="ARP24" s="720"/>
      <c r="ARQ24" s="720"/>
      <c r="ARR24" s="720"/>
      <c r="ARS24" s="720"/>
      <c r="ART24" s="720"/>
      <c r="ARU24" s="720"/>
      <c r="ARV24" s="720"/>
      <c r="ARW24" s="720"/>
      <c r="ARX24" s="720"/>
      <c r="ARY24" s="720"/>
      <c r="ARZ24" s="720"/>
      <c r="ASA24" s="720"/>
      <c r="ASB24" s="720"/>
      <c r="ASC24" s="720"/>
      <c r="ASD24" s="720"/>
      <c r="ASE24" s="720"/>
      <c r="ASF24" s="720"/>
      <c r="ASG24" s="720"/>
      <c r="ASH24" s="720"/>
      <c r="ASI24" s="720"/>
      <c r="ASJ24" s="720"/>
      <c r="ASK24" s="720"/>
      <c r="ASL24" s="720"/>
      <c r="ASM24" s="720"/>
      <c r="ASN24" s="720"/>
      <c r="ASO24" s="720"/>
      <c r="ASP24" s="720"/>
      <c r="ASQ24" s="720"/>
      <c r="ASR24" s="720"/>
      <c r="ASS24" s="720"/>
      <c r="AST24" s="720"/>
      <c r="ASU24" s="720"/>
      <c r="ASV24" s="720"/>
      <c r="ASW24" s="720"/>
      <c r="ASX24" s="720"/>
      <c r="ASY24" s="720"/>
      <c r="ASZ24" s="720"/>
      <c r="ATA24" s="720"/>
      <c r="ATB24" s="720"/>
      <c r="ATC24" s="720"/>
      <c r="ATD24" s="720"/>
      <c r="ATE24" s="720"/>
      <c r="ATF24" s="720"/>
      <c r="ATG24" s="720"/>
      <c r="ATH24" s="720"/>
      <c r="ATI24" s="720"/>
      <c r="ATJ24" s="720"/>
      <c r="ATK24" s="720"/>
      <c r="ATL24" s="720"/>
      <c r="ATM24" s="720"/>
      <c r="ATN24" s="720"/>
      <c r="ATO24" s="720"/>
      <c r="ATP24" s="720"/>
      <c r="ATQ24" s="720"/>
      <c r="ATR24" s="720"/>
      <c r="ATS24" s="720"/>
      <c r="ATT24" s="720"/>
      <c r="ATU24" s="720"/>
      <c r="ATV24" s="720"/>
      <c r="ATW24" s="720"/>
      <c r="ATX24" s="720"/>
      <c r="ATY24" s="720"/>
      <c r="ATZ24" s="720"/>
      <c r="AUA24" s="720"/>
      <c r="AUB24" s="720"/>
      <c r="AUC24" s="720"/>
      <c r="AUD24" s="720"/>
      <c r="AUE24" s="720"/>
      <c r="AUF24" s="720"/>
      <c r="AUG24" s="720"/>
      <c r="AUH24" s="720"/>
      <c r="AUI24" s="720"/>
      <c r="AUJ24" s="720"/>
      <c r="AUK24" s="720"/>
      <c r="AUL24" s="720"/>
      <c r="AUM24" s="720"/>
      <c r="AUN24" s="720"/>
      <c r="AUO24" s="720"/>
      <c r="AUP24" s="720"/>
      <c r="AUQ24" s="720"/>
      <c r="AUR24" s="720"/>
      <c r="AUS24" s="720"/>
      <c r="AUT24" s="720"/>
      <c r="AUU24" s="720"/>
      <c r="AUV24" s="720"/>
      <c r="AUW24" s="720"/>
      <c r="AUX24" s="720"/>
      <c r="AUY24" s="720"/>
      <c r="AUZ24" s="720"/>
      <c r="AVA24" s="720"/>
      <c r="AVB24" s="720"/>
      <c r="AVC24" s="720"/>
      <c r="AVD24" s="720"/>
      <c r="AVE24" s="720"/>
      <c r="AVF24" s="720"/>
      <c r="AVG24" s="720"/>
      <c r="AVH24" s="720"/>
      <c r="AVI24" s="720"/>
      <c r="AVJ24" s="720"/>
      <c r="AVK24" s="720"/>
      <c r="AVL24" s="720"/>
      <c r="AVM24" s="720"/>
      <c r="AVN24" s="720"/>
      <c r="AVO24" s="720"/>
      <c r="AVP24" s="720"/>
      <c r="AVQ24" s="720"/>
      <c r="AVR24" s="720"/>
      <c r="AVS24" s="720"/>
      <c r="AVT24" s="720"/>
      <c r="AVU24" s="720"/>
      <c r="AVV24" s="720"/>
      <c r="AVW24" s="720"/>
      <c r="AVX24" s="720"/>
      <c r="AVY24" s="720"/>
      <c r="AVZ24" s="720"/>
      <c r="AWA24" s="720"/>
      <c r="AWB24" s="720"/>
      <c r="AWC24" s="720"/>
      <c r="AWD24" s="720"/>
      <c r="AWE24" s="720"/>
      <c r="AWF24" s="720"/>
      <c r="AWG24" s="720"/>
      <c r="AWH24" s="720"/>
      <c r="AWI24" s="720"/>
      <c r="AWJ24" s="720"/>
      <c r="AWK24" s="720"/>
      <c r="AWL24" s="720"/>
      <c r="AWM24" s="720"/>
      <c r="AWN24" s="720"/>
      <c r="AWO24" s="720"/>
      <c r="AWP24" s="720"/>
      <c r="AWQ24" s="720"/>
      <c r="AWR24" s="720"/>
      <c r="AWS24" s="720"/>
      <c r="AWT24" s="720"/>
      <c r="AWU24" s="720"/>
      <c r="AWV24" s="720"/>
      <c r="AWW24" s="720"/>
      <c r="AWX24" s="720"/>
      <c r="AWY24" s="720"/>
      <c r="AWZ24" s="720"/>
      <c r="AXA24" s="720"/>
      <c r="AXB24" s="720"/>
      <c r="AXC24" s="720"/>
      <c r="AXD24" s="720"/>
      <c r="AXE24" s="720"/>
      <c r="AXF24" s="720"/>
      <c r="AXG24" s="720"/>
      <c r="AXH24" s="720"/>
      <c r="AXI24" s="720"/>
      <c r="AXJ24" s="720"/>
      <c r="AXK24" s="720"/>
      <c r="AXL24" s="720"/>
      <c r="AXM24" s="720"/>
      <c r="AXN24" s="720"/>
      <c r="AXO24" s="720"/>
      <c r="AXP24" s="720"/>
      <c r="AXQ24" s="720"/>
      <c r="AXR24" s="720"/>
      <c r="AXS24" s="720"/>
      <c r="AXT24" s="720"/>
      <c r="AXU24" s="720"/>
      <c r="AXV24" s="720"/>
      <c r="AXW24" s="720"/>
      <c r="AXX24" s="720"/>
      <c r="AXY24" s="720"/>
      <c r="AXZ24" s="720"/>
      <c r="AYA24" s="720"/>
      <c r="AYB24" s="720"/>
      <c r="AYC24" s="720"/>
      <c r="AYD24" s="720"/>
      <c r="AYE24" s="720"/>
      <c r="AYF24" s="720"/>
      <c r="AYG24" s="720"/>
      <c r="AYH24" s="720"/>
      <c r="AYI24" s="720"/>
      <c r="AYJ24" s="720"/>
      <c r="AYK24" s="720"/>
      <c r="AYL24" s="720"/>
      <c r="AYM24" s="720"/>
      <c r="AYN24" s="720"/>
      <c r="AYO24" s="720"/>
      <c r="AYP24" s="720"/>
      <c r="AYQ24" s="720"/>
      <c r="AYR24" s="720"/>
      <c r="AYS24" s="720"/>
      <c r="AYT24" s="720"/>
      <c r="AYU24" s="720"/>
      <c r="AYV24" s="720"/>
      <c r="AYW24" s="720"/>
      <c r="AYX24" s="720"/>
      <c r="AYY24" s="720"/>
      <c r="AYZ24" s="720"/>
      <c r="AZA24" s="720"/>
      <c r="AZB24" s="720"/>
      <c r="AZC24" s="720"/>
      <c r="AZD24" s="720"/>
      <c r="AZE24" s="720"/>
      <c r="AZF24" s="720"/>
      <c r="AZG24" s="720"/>
      <c r="AZH24" s="720"/>
      <c r="AZI24" s="720"/>
      <c r="AZJ24" s="720"/>
      <c r="AZK24" s="720"/>
      <c r="AZL24" s="720"/>
      <c r="AZM24" s="720"/>
      <c r="AZN24" s="720"/>
      <c r="AZO24" s="720"/>
      <c r="AZP24" s="720"/>
      <c r="AZQ24" s="720"/>
      <c r="AZR24" s="720"/>
      <c r="AZS24" s="720"/>
      <c r="AZT24" s="720"/>
      <c r="AZU24" s="720"/>
      <c r="AZV24" s="720"/>
      <c r="AZW24" s="720"/>
      <c r="AZX24" s="720"/>
      <c r="AZY24" s="720"/>
      <c r="AZZ24" s="720"/>
      <c r="BAA24" s="720"/>
      <c r="BAB24" s="720"/>
      <c r="BAC24" s="720"/>
      <c r="BAD24" s="720"/>
      <c r="BAE24" s="720"/>
      <c r="BAF24" s="720"/>
      <c r="BAG24" s="720"/>
      <c r="BAH24" s="720"/>
      <c r="BAI24" s="720"/>
      <c r="BAJ24" s="720"/>
      <c r="BAK24" s="720"/>
      <c r="BAL24" s="720"/>
      <c r="BAM24" s="720"/>
      <c r="BAN24" s="720"/>
      <c r="BAO24" s="720"/>
      <c r="BAP24" s="720"/>
      <c r="BAQ24" s="720"/>
      <c r="BAR24" s="720"/>
      <c r="BAS24" s="720"/>
      <c r="BAT24" s="720"/>
      <c r="BAU24" s="720"/>
      <c r="BAV24" s="720"/>
      <c r="BAW24" s="720"/>
      <c r="BAX24" s="720"/>
      <c r="BAY24" s="720"/>
      <c r="BAZ24" s="720"/>
      <c r="BBA24" s="720"/>
      <c r="BBB24" s="720"/>
      <c r="BBC24" s="720"/>
      <c r="BBD24" s="720"/>
      <c r="BBE24" s="720"/>
      <c r="BBF24" s="720"/>
      <c r="BBG24" s="720"/>
      <c r="BBH24" s="720"/>
      <c r="BBI24" s="720"/>
      <c r="BBJ24" s="720"/>
      <c r="BBK24" s="720"/>
      <c r="BBL24" s="720"/>
      <c r="BBM24" s="720"/>
      <c r="BBN24" s="720"/>
      <c r="BBO24" s="720"/>
      <c r="BBP24" s="720"/>
      <c r="BBQ24" s="720"/>
      <c r="BBR24" s="720"/>
      <c r="BBS24" s="720"/>
      <c r="BBT24" s="720"/>
      <c r="BBU24" s="720"/>
      <c r="BBV24" s="720"/>
      <c r="BBW24" s="720"/>
      <c r="BBX24" s="720"/>
      <c r="BBY24" s="720"/>
      <c r="BBZ24" s="720"/>
      <c r="BCA24" s="720"/>
      <c r="BCB24" s="720"/>
      <c r="BCC24" s="720"/>
      <c r="BCD24" s="720"/>
      <c r="BCE24" s="720"/>
      <c r="BCF24" s="720"/>
      <c r="BCG24" s="720"/>
      <c r="BCH24" s="720"/>
      <c r="BCI24" s="720"/>
      <c r="BCJ24" s="720"/>
      <c r="BCK24" s="720"/>
      <c r="BCL24" s="720"/>
      <c r="BCM24" s="720"/>
      <c r="BCN24" s="720"/>
      <c r="BCO24" s="720"/>
      <c r="BCP24" s="720"/>
      <c r="BCQ24" s="720"/>
      <c r="BCR24" s="720"/>
      <c r="BCS24" s="720"/>
      <c r="BCT24" s="720"/>
      <c r="BCU24" s="720"/>
      <c r="BCV24" s="720"/>
      <c r="BCW24" s="720"/>
      <c r="BCX24" s="720"/>
      <c r="BCY24" s="720"/>
      <c r="BCZ24" s="720"/>
      <c r="BDA24" s="720"/>
      <c r="BDB24" s="720"/>
      <c r="BDC24" s="720"/>
      <c r="BDD24" s="720"/>
      <c r="BDE24" s="720"/>
      <c r="BDF24" s="720"/>
      <c r="BDG24" s="720"/>
      <c r="BDH24" s="720"/>
      <c r="BDI24" s="720"/>
      <c r="BDJ24" s="720"/>
      <c r="BDK24" s="720"/>
      <c r="BDL24" s="720"/>
      <c r="BDM24" s="720"/>
      <c r="BDN24" s="720"/>
      <c r="BDO24" s="720"/>
      <c r="BDP24" s="720"/>
      <c r="BDQ24" s="720"/>
      <c r="BDR24" s="720"/>
      <c r="BDS24" s="720"/>
      <c r="BDT24" s="720"/>
      <c r="BDU24" s="720"/>
      <c r="BDV24" s="720"/>
      <c r="BDW24" s="720"/>
      <c r="BDX24" s="720"/>
      <c r="BDY24" s="720"/>
      <c r="BDZ24" s="720"/>
      <c r="BEA24" s="720"/>
      <c r="BEB24" s="720"/>
      <c r="BEC24" s="720"/>
      <c r="BED24" s="720"/>
      <c r="BEE24" s="720"/>
      <c r="BEF24" s="720"/>
      <c r="BEG24" s="720"/>
      <c r="BEH24" s="720"/>
      <c r="BEI24" s="720"/>
      <c r="BEJ24" s="720"/>
      <c r="BEK24" s="720"/>
      <c r="BEL24" s="720"/>
      <c r="BEM24" s="720"/>
      <c r="BEN24" s="720"/>
      <c r="BEO24" s="720"/>
      <c r="BEP24" s="720"/>
      <c r="BEQ24" s="720"/>
      <c r="BER24" s="720"/>
      <c r="BES24" s="720"/>
      <c r="BET24" s="720"/>
      <c r="BEU24" s="720"/>
      <c r="BEV24" s="720"/>
      <c r="BEW24" s="720"/>
      <c r="BEX24" s="720"/>
      <c r="BEY24" s="720"/>
      <c r="BEZ24" s="720"/>
      <c r="BFA24" s="720"/>
      <c r="BFB24" s="720"/>
      <c r="BFC24" s="720"/>
      <c r="BFD24" s="720"/>
      <c r="BFE24" s="720"/>
      <c r="BFF24" s="720"/>
      <c r="BFG24" s="720"/>
      <c r="BFH24" s="720"/>
      <c r="BFI24" s="720"/>
      <c r="BFJ24" s="720"/>
      <c r="BFK24" s="720"/>
      <c r="BFL24" s="720"/>
      <c r="BFM24" s="720"/>
      <c r="BFN24" s="720"/>
      <c r="BFO24" s="720"/>
      <c r="BFP24" s="720"/>
      <c r="BFQ24" s="720"/>
      <c r="BFR24" s="720"/>
      <c r="BFS24" s="720"/>
      <c r="BFT24" s="720"/>
      <c r="BFU24" s="720"/>
      <c r="BFV24" s="720"/>
      <c r="BFW24" s="720"/>
      <c r="BFX24" s="720"/>
      <c r="BFY24" s="720"/>
      <c r="BFZ24" s="720"/>
      <c r="BGA24" s="720"/>
      <c r="BGB24" s="720"/>
      <c r="BGC24" s="720"/>
      <c r="BGD24" s="720"/>
      <c r="BGE24" s="720"/>
      <c r="BGF24" s="720"/>
      <c r="BGG24" s="720"/>
      <c r="BGH24" s="720"/>
      <c r="BGI24" s="720"/>
      <c r="BGJ24" s="720"/>
      <c r="BGK24" s="720"/>
      <c r="BGL24" s="720"/>
      <c r="BGM24" s="720"/>
      <c r="BGN24" s="720"/>
      <c r="BGO24" s="720"/>
      <c r="BGP24" s="720"/>
      <c r="BGQ24" s="720"/>
      <c r="BGR24" s="720"/>
      <c r="BGS24" s="720"/>
      <c r="BGT24" s="720"/>
      <c r="BGU24" s="720"/>
      <c r="BGV24" s="720"/>
      <c r="BGW24" s="720"/>
      <c r="BGX24" s="720"/>
      <c r="BGY24" s="720"/>
      <c r="BGZ24" s="720"/>
      <c r="BHA24" s="720"/>
      <c r="BHB24" s="720"/>
      <c r="BHC24" s="720"/>
      <c r="BHD24" s="720"/>
      <c r="BHE24" s="720"/>
      <c r="BHF24" s="720"/>
      <c r="BHG24" s="720"/>
      <c r="BHH24" s="720"/>
      <c r="BHI24" s="720"/>
      <c r="BHJ24" s="720"/>
      <c r="BHK24" s="720"/>
      <c r="BHL24" s="720"/>
      <c r="BHM24" s="720"/>
      <c r="BHN24" s="720"/>
      <c r="BHO24" s="720"/>
      <c r="BHP24" s="720"/>
      <c r="BHQ24" s="720"/>
      <c r="BHR24" s="720"/>
      <c r="BHS24" s="720"/>
      <c r="BHT24" s="720"/>
      <c r="BHU24" s="720"/>
      <c r="BHV24" s="720"/>
      <c r="BHW24" s="720"/>
      <c r="BHX24" s="720"/>
      <c r="BHY24" s="720"/>
      <c r="BHZ24" s="720"/>
      <c r="BIA24" s="720"/>
      <c r="BIB24" s="720"/>
      <c r="BIC24" s="720"/>
      <c r="BID24" s="720"/>
      <c r="BIE24" s="720"/>
      <c r="BIF24" s="720"/>
      <c r="BIG24" s="720"/>
      <c r="BIH24" s="720"/>
      <c r="BII24" s="720"/>
      <c r="BIJ24" s="720"/>
      <c r="BIK24" s="720"/>
      <c r="BIL24" s="720"/>
      <c r="BIM24" s="720"/>
      <c r="BIN24" s="720"/>
      <c r="BIO24" s="720"/>
      <c r="BIP24" s="720"/>
      <c r="BIQ24" s="720"/>
      <c r="BIR24" s="720"/>
      <c r="BIS24" s="720"/>
      <c r="BIT24" s="720"/>
      <c r="BIU24" s="720"/>
      <c r="BIV24" s="720"/>
      <c r="BIW24" s="720"/>
      <c r="BIX24" s="720"/>
      <c r="BIY24" s="720"/>
      <c r="BIZ24" s="720"/>
      <c r="BJA24" s="720"/>
      <c r="BJB24" s="720"/>
      <c r="BJC24" s="720"/>
      <c r="BJD24" s="720"/>
      <c r="BJE24" s="720"/>
      <c r="BJF24" s="720"/>
      <c r="BJG24" s="720"/>
      <c r="BJH24" s="720"/>
      <c r="BJI24" s="720"/>
      <c r="BJJ24" s="720"/>
      <c r="BJK24" s="720"/>
      <c r="BJL24" s="720"/>
      <c r="BJM24" s="720"/>
      <c r="BJN24" s="720"/>
      <c r="BJO24" s="720"/>
      <c r="BJP24" s="720"/>
      <c r="BJQ24" s="720"/>
      <c r="BJR24" s="720"/>
      <c r="BJS24" s="720"/>
      <c r="BJT24" s="720"/>
      <c r="BJU24" s="720"/>
      <c r="BJV24" s="720"/>
      <c r="BJW24" s="720"/>
      <c r="BJX24" s="720"/>
      <c r="BJY24" s="720"/>
      <c r="BJZ24" s="720"/>
      <c r="BKA24" s="720"/>
      <c r="BKB24" s="720"/>
      <c r="BKC24" s="720"/>
      <c r="BKD24" s="720"/>
      <c r="BKE24" s="720"/>
      <c r="BKF24" s="720"/>
      <c r="BKG24" s="720"/>
      <c r="BKH24" s="720"/>
      <c r="BKI24" s="720"/>
      <c r="BKJ24" s="720"/>
      <c r="BKK24" s="720"/>
      <c r="BKL24" s="720"/>
      <c r="BKM24" s="720"/>
      <c r="BKN24" s="720"/>
      <c r="BKO24" s="720"/>
      <c r="BKP24" s="720"/>
      <c r="BKQ24" s="720"/>
      <c r="BKR24" s="720"/>
      <c r="BKS24" s="720"/>
      <c r="BKT24" s="720"/>
      <c r="BKU24" s="720"/>
      <c r="BKV24" s="720"/>
      <c r="BKW24" s="720"/>
      <c r="BKX24" s="720"/>
      <c r="BKY24" s="720"/>
      <c r="BKZ24" s="720"/>
      <c r="BLA24" s="720"/>
      <c r="BLB24" s="720"/>
      <c r="BLC24" s="720"/>
      <c r="BLD24" s="720"/>
      <c r="BLE24" s="720"/>
      <c r="BLF24" s="720"/>
      <c r="BLG24" s="720"/>
      <c r="BLH24" s="720"/>
      <c r="BLI24" s="720"/>
      <c r="BLJ24" s="720"/>
      <c r="BLK24" s="720"/>
      <c r="BLL24" s="720"/>
      <c r="BLM24" s="720"/>
      <c r="BLN24" s="720"/>
      <c r="BLO24" s="720"/>
      <c r="BLP24" s="720"/>
      <c r="BLQ24" s="720"/>
      <c r="BLR24" s="720"/>
      <c r="BLS24" s="720"/>
      <c r="BLT24" s="720"/>
      <c r="BLU24" s="720"/>
      <c r="BLV24" s="720"/>
      <c r="BLW24" s="720"/>
      <c r="BLX24" s="720"/>
      <c r="BLY24" s="720"/>
      <c r="BLZ24" s="720"/>
      <c r="BMA24" s="720"/>
      <c r="BMB24" s="720"/>
      <c r="BMC24" s="720"/>
      <c r="BMD24" s="720"/>
      <c r="BME24" s="720"/>
      <c r="BMF24" s="720"/>
      <c r="BMG24" s="720"/>
      <c r="BMH24" s="720"/>
      <c r="BMI24" s="720"/>
      <c r="BMJ24" s="720"/>
      <c r="BMK24" s="720"/>
      <c r="BML24" s="720"/>
      <c r="BMM24" s="720"/>
      <c r="BMN24" s="720"/>
      <c r="BMO24" s="720"/>
      <c r="BMP24" s="720"/>
      <c r="BMQ24" s="720"/>
      <c r="BMR24" s="720"/>
      <c r="BMS24" s="720"/>
      <c r="BMT24" s="720"/>
      <c r="BMU24" s="720"/>
      <c r="BMV24" s="720"/>
      <c r="BMW24" s="720"/>
      <c r="BMX24" s="720"/>
      <c r="BMY24" s="720"/>
      <c r="BMZ24" s="720"/>
      <c r="BNA24" s="720"/>
      <c r="BNB24" s="720"/>
      <c r="BNC24" s="720"/>
      <c r="BND24" s="720"/>
      <c r="BNE24" s="720"/>
      <c r="BNF24" s="720"/>
      <c r="BNG24" s="720"/>
      <c r="BNH24" s="720"/>
      <c r="BNI24" s="720"/>
      <c r="BNJ24" s="720"/>
      <c r="BNK24" s="720"/>
      <c r="BNL24" s="720"/>
      <c r="BNM24" s="720"/>
      <c r="BNN24" s="720"/>
      <c r="BNO24" s="720"/>
      <c r="BNP24" s="720"/>
      <c r="BNQ24" s="720"/>
      <c r="BNR24" s="720"/>
      <c r="BNS24" s="720"/>
      <c r="BNT24" s="720"/>
      <c r="BNU24" s="720"/>
      <c r="BNV24" s="720"/>
      <c r="BNW24" s="720"/>
      <c r="BNX24" s="720"/>
      <c r="BNY24" s="720"/>
      <c r="BNZ24" s="720"/>
      <c r="BOA24" s="720"/>
      <c r="BOB24" s="720"/>
      <c r="BOC24" s="720"/>
      <c r="BOD24" s="720"/>
      <c r="BOE24" s="720"/>
      <c r="BOF24" s="720"/>
      <c r="BOG24" s="720"/>
      <c r="BOH24" s="720"/>
      <c r="BOI24" s="720"/>
      <c r="BOJ24" s="720"/>
      <c r="BOK24" s="720"/>
      <c r="BOL24" s="720"/>
      <c r="BOM24" s="720"/>
      <c r="BON24" s="720"/>
      <c r="BOO24" s="720"/>
      <c r="BOP24" s="720"/>
      <c r="BOQ24" s="720"/>
      <c r="BOR24" s="720"/>
      <c r="BOS24" s="720"/>
      <c r="BOT24" s="720"/>
      <c r="BOU24" s="720"/>
      <c r="BOV24" s="720"/>
      <c r="BOW24" s="720"/>
      <c r="BOX24" s="720"/>
      <c r="BOY24" s="720"/>
      <c r="BOZ24" s="720"/>
      <c r="BPA24" s="720"/>
      <c r="BPB24" s="720"/>
      <c r="BPC24" s="720"/>
      <c r="BPD24" s="720"/>
      <c r="BPE24" s="720"/>
      <c r="BPF24" s="720"/>
      <c r="BPG24" s="720"/>
      <c r="BPH24" s="720"/>
      <c r="BPI24" s="720"/>
      <c r="BPJ24" s="720"/>
      <c r="BPK24" s="720"/>
      <c r="BPL24" s="720"/>
      <c r="BPM24" s="720"/>
      <c r="BPN24" s="720"/>
      <c r="BPO24" s="720"/>
      <c r="BPP24" s="720"/>
      <c r="BPQ24" s="720"/>
      <c r="BPR24" s="720"/>
      <c r="BPS24" s="720"/>
      <c r="BPT24" s="720"/>
      <c r="BPU24" s="720"/>
      <c r="BPV24" s="720"/>
      <c r="BPW24" s="720"/>
      <c r="BPX24" s="720"/>
      <c r="BPY24" s="720"/>
      <c r="BPZ24" s="720"/>
      <c r="BQA24" s="720"/>
      <c r="BQB24" s="720"/>
      <c r="BQC24" s="720"/>
      <c r="BQD24" s="720"/>
      <c r="BQE24" s="720"/>
      <c r="BQF24" s="720"/>
      <c r="BQG24" s="720"/>
      <c r="BQH24" s="720"/>
      <c r="BQI24" s="720"/>
      <c r="BQJ24" s="720"/>
      <c r="BQK24" s="720"/>
      <c r="BQL24" s="720"/>
      <c r="BQM24" s="720"/>
      <c r="BQN24" s="720"/>
      <c r="BQO24" s="720"/>
      <c r="BQP24" s="720"/>
      <c r="BQQ24" s="720"/>
      <c r="BQR24" s="720"/>
      <c r="BQS24" s="720"/>
      <c r="BQT24" s="720"/>
      <c r="BQU24" s="720"/>
      <c r="BQV24" s="720"/>
      <c r="BQW24" s="720"/>
      <c r="BQX24" s="720"/>
      <c r="BQY24" s="720"/>
      <c r="BQZ24" s="720"/>
      <c r="BRA24" s="720"/>
      <c r="BRB24" s="720"/>
      <c r="BRC24" s="720"/>
      <c r="BRD24" s="720"/>
      <c r="BRE24" s="720"/>
      <c r="BRF24" s="720"/>
      <c r="BRG24" s="720"/>
      <c r="BRH24" s="720"/>
      <c r="BRI24" s="720"/>
      <c r="BRJ24" s="720"/>
      <c r="BRK24" s="720"/>
      <c r="BRL24" s="720"/>
      <c r="BRM24" s="720"/>
      <c r="BRN24" s="720"/>
      <c r="BRO24" s="720"/>
      <c r="BRP24" s="720"/>
      <c r="BRQ24" s="720"/>
      <c r="BRR24" s="720"/>
      <c r="BRS24" s="720"/>
      <c r="BRT24" s="720"/>
      <c r="BRU24" s="720"/>
      <c r="BRV24" s="720"/>
      <c r="BRW24" s="720"/>
      <c r="BRX24" s="720"/>
      <c r="BRY24" s="720"/>
      <c r="BRZ24" s="720"/>
      <c r="BSA24" s="720"/>
      <c r="BSB24" s="720"/>
      <c r="BSC24" s="720"/>
      <c r="BSD24" s="720"/>
      <c r="BSE24" s="720"/>
      <c r="BSF24" s="720"/>
      <c r="BSG24" s="720"/>
      <c r="BSH24" s="720"/>
      <c r="BSI24" s="720"/>
      <c r="BSJ24" s="720"/>
      <c r="BSK24" s="720"/>
      <c r="BSL24" s="720"/>
      <c r="BSM24" s="720"/>
      <c r="BSN24" s="720"/>
      <c r="BSO24" s="720"/>
      <c r="BSP24" s="720"/>
      <c r="BSQ24" s="720"/>
      <c r="BSR24" s="720"/>
      <c r="BSS24" s="720"/>
      <c r="BST24" s="720"/>
      <c r="BSU24" s="720"/>
      <c r="BSV24" s="720"/>
      <c r="BSW24" s="720"/>
      <c r="BSX24" s="720"/>
      <c r="BSY24" s="720"/>
      <c r="BSZ24" s="720"/>
      <c r="BTA24" s="720"/>
      <c r="BTB24" s="720"/>
      <c r="BTC24" s="720"/>
      <c r="BTD24" s="720"/>
      <c r="BTE24" s="720"/>
      <c r="BTF24" s="720"/>
      <c r="BTG24" s="720"/>
      <c r="BTH24" s="720"/>
      <c r="BTI24" s="720"/>
      <c r="BTJ24" s="720"/>
      <c r="BTK24" s="720"/>
      <c r="BTL24" s="720"/>
      <c r="BTM24" s="720"/>
      <c r="BTN24" s="720"/>
      <c r="BTO24" s="720"/>
      <c r="BTP24" s="720"/>
      <c r="BTQ24" s="720"/>
      <c r="BTR24" s="720"/>
      <c r="BTS24" s="720"/>
      <c r="BTT24" s="720"/>
      <c r="BTU24" s="720"/>
      <c r="BTV24" s="720"/>
      <c r="BTW24" s="720"/>
      <c r="BTX24" s="720"/>
      <c r="BTY24" s="720"/>
      <c r="BTZ24" s="720"/>
      <c r="BUA24" s="720"/>
      <c r="BUB24" s="720"/>
      <c r="BUC24" s="720"/>
      <c r="BUD24" s="720"/>
      <c r="BUE24" s="720"/>
      <c r="BUF24" s="720"/>
      <c r="BUG24" s="720"/>
      <c r="BUH24" s="720"/>
      <c r="BUI24" s="720"/>
      <c r="BUJ24" s="720"/>
      <c r="BUK24" s="720"/>
      <c r="BUL24" s="720"/>
      <c r="BUM24" s="720"/>
      <c r="BUN24" s="720"/>
      <c r="BUO24" s="720"/>
      <c r="BUP24" s="720"/>
      <c r="BUQ24" s="720"/>
      <c r="BUR24" s="720"/>
      <c r="BUS24" s="720"/>
      <c r="BUT24" s="720"/>
      <c r="BUU24" s="720"/>
      <c r="BUV24" s="720"/>
      <c r="BUW24" s="720"/>
      <c r="BUX24" s="720"/>
      <c r="BUY24" s="720"/>
      <c r="BUZ24" s="720"/>
      <c r="BVA24" s="720"/>
      <c r="BVB24" s="720"/>
      <c r="BVC24" s="720"/>
      <c r="BVD24" s="720"/>
      <c r="BVE24" s="720"/>
      <c r="BVF24" s="720"/>
      <c r="BVG24" s="720"/>
      <c r="BVH24" s="720"/>
      <c r="BVI24" s="720"/>
      <c r="BVJ24" s="720"/>
      <c r="BVK24" s="720"/>
      <c r="BVL24" s="720"/>
      <c r="BVM24" s="720"/>
      <c r="BVN24" s="720"/>
      <c r="BVO24" s="720"/>
      <c r="BVP24" s="720"/>
      <c r="BVQ24" s="720"/>
      <c r="BVR24" s="720"/>
      <c r="BVS24" s="720"/>
      <c r="BVT24" s="720"/>
      <c r="BVU24" s="720"/>
      <c r="BVV24" s="720"/>
      <c r="BVW24" s="720"/>
      <c r="BVX24" s="720"/>
      <c r="BVY24" s="720"/>
      <c r="BVZ24" s="720"/>
      <c r="BWA24" s="720"/>
      <c r="BWB24" s="720"/>
      <c r="BWC24" s="720"/>
      <c r="BWD24" s="720"/>
      <c r="BWE24" s="720"/>
      <c r="BWF24" s="720"/>
      <c r="BWG24" s="720"/>
      <c r="BWH24" s="720"/>
      <c r="BWI24" s="720"/>
      <c r="BWJ24" s="720"/>
      <c r="BWK24" s="720"/>
      <c r="BWL24" s="720"/>
      <c r="BWM24" s="720"/>
      <c r="BWN24" s="720"/>
      <c r="BWO24" s="720"/>
      <c r="BWP24" s="720"/>
      <c r="BWQ24" s="720"/>
      <c r="BWR24" s="720"/>
      <c r="BWS24" s="720"/>
      <c r="BWT24" s="720"/>
      <c r="BWU24" s="720"/>
      <c r="BWV24" s="720"/>
      <c r="BWW24" s="720"/>
      <c r="BWX24" s="720"/>
      <c r="BWY24" s="720"/>
      <c r="BWZ24" s="720"/>
      <c r="BXA24" s="720"/>
      <c r="BXB24" s="720"/>
      <c r="BXC24" s="720"/>
      <c r="BXD24" s="720"/>
      <c r="BXE24" s="720"/>
      <c r="BXF24" s="720"/>
      <c r="BXG24" s="720"/>
      <c r="BXH24" s="720"/>
      <c r="BXI24" s="720"/>
      <c r="BXJ24" s="720"/>
      <c r="BXK24" s="720"/>
      <c r="BXL24" s="720"/>
      <c r="BXM24" s="720"/>
      <c r="BXN24" s="720"/>
      <c r="BXO24" s="720"/>
      <c r="BXP24" s="720"/>
      <c r="BXQ24" s="720"/>
      <c r="BXR24" s="720"/>
      <c r="BXS24" s="720"/>
      <c r="BXT24" s="720"/>
      <c r="BXU24" s="720"/>
      <c r="BXV24" s="720"/>
      <c r="BXW24" s="720"/>
      <c r="BXX24" s="720"/>
      <c r="BXY24" s="720"/>
      <c r="BXZ24" s="720"/>
      <c r="BYA24" s="720"/>
      <c r="BYB24" s="720"/>
      <c r="BYC24" s="720"/>
      <c r="BYD24" s="720"/>
      <c r="BYE24" s="720"/>
      <c r="BYF24" s="720"/>
      <c r="BYG24" s="720"/>
      <c r="BYH24" s="720"/>
      <c r="BYI24" s="720"/>
      <c r="BYJ24" s="720"/>
      <c r="BYK24" s="720"/>
      <c r="BYL24" s="720"/>
      <c r="BYM24" s="720"/>
      <c r="BYN24" s="720"/>
      <c r="BYO24" s="720"/>
      <c r="BYP24" s="720"/>
      <c r="BYQ24" s="720"/>
      <c r="BYR24" s="720"/>
      <c r="BYS24" s="720"/>
      <c r="BYT24" s="720"/>
      <c r="BYU24" s="720"/>
      <c r="BYV24" s="720"/>
      <c r="BYW24" s="720"/>
      <c r="BYX24" s="720"/>
      <c r="BYY24" s="720"/>
      <c r="BYZ24" s="720"/>
      <c r="BZA24" s="720"/>
      <c r="BZB24" s="720"/>
      <c r="BZC24" s="720"/>
      <c r="BZD24" s="720"/>
      <c r="BZE24" s="720"/>
      <c r="BZF24" s="720"/>
      <c r="BZG24" s="720"/>
      <c r="BZH24" s="720"/>
      <c r="BZI24" s="720"/>
      <c r="BZJ24" s="720"/>
      <c r="BZK24" s="720"/>
      <c r="BZL24" s="720"/>
      <c r="BZM24" s="720"/>
      <c r="BZN24" s="720"/>
      <c r="BZO24" s="720"/>
      <c r="BZP24" s="720"/>
      <c r="BZQ24" s="720"/>
      <c r="BZR24" s="720"/>
      <c r="BZS24" s="720"/>
      <c r="BZT24" s="720"/>
      <c r="BZU24" s="720"/>
      <c r="BZV24" s="720"/>
      <c r="BZW24" s="720"/>
      <c r="BZX24" s="720"/>
      <c r="BZY24" s="720"/>
      <c r="BZZ24" s="720"/>
      <c r="CAA24" s="720"/>
      <c r="CAB24" s="720"/>
      <c r="CAC24" s="720"/>
      <c r="CAD24" s="720"/>
      <c r="CAE24" s="720"/>
      <c r="CAF24" s="720"/>
      <c r="CAG24" s="720"/>
      <c r="CAH24" s="720"/>
      <c r="CAI24" s="720"/>
      <c r="CAJ24" s="720"/>
      <c r="CAK24" s="720"/>
      <c r="CAL24" s="720"/>
      <c r="CAM24" s="720"/>
      <c r="CAN24" s="720"/>
      <c r="CAO24" s="720"/>
      <c r="CAP24" s="720"/>
      <c r="CAQ24" s="720"/>
      <c r="CAR24" s="720"/>
      <c r="CAS24" s="720"/>
      <c r="CAT24" s="720"/>
      <c r="CAU24" s="720"/>
      <c r="CAV24" s="720"/>
      <c r="CAW24" s="720"/>
      <c r="CAX24" s="720"/>
      <c r="CAY24" s="720"/>
      <c r="CAZ24" s="720"/>
      <c r="CBA24" s="720"/>
      <c r="CBB24" s="720"/>
      <c r="CBC24" s="720"/>
      <c r="CBD24" s="720"/>
      <c r="CBE24" s="720"/>
      <c r="CBF24" s="720"/>
      <c r="CBG24" s="720"/>
      <c r="CBH24" s="720"/>
      <c r="CBI24" s="720"/>
      <c r="CBJ24" s="720"/>
      <c r="CBK24" s="720"/>
      <c r="CBL24" s="720"/>
      <c r="CBM24" s="720"/>
      <c r="CBN24" s="720"/>
      <c r="CBO24" s="720"/>
      <c r="CBP24" s="720"/>
      <c r="CBQ24" s="720"/>
      <c r="CBR24" s="720"/>
      <c r="CBS24" s="720"/>
      <c r="CBT24" s="720"/>
      <c r="CBU24" s="720"/>
      <c r="CBV24" s="720"/>
      <c r="CBW24" s="720"/>
      <c r="CBX24" s="720"/>
      <c r="CBY24" s="720"/>
      <c r="CBZ24" s="720"/>
      <c r="CCA24" s="720"/>
      <c r="CCB24" s="720"/>
      <c r="CCC24" s="720"/>
      <c r="CCD24" s="720"/>
      <c r="CCE24" s="720"/>
      <c r="CCF24" s="720"/>
      <c r="CCG24" s="720"/>
      <c r="CCH24" s="720"/>
      <c r="CCI24" s="720"/>
      <c r="CCJ24" s="720"/>
      <c r="CCK24" s="720"/>
      <c r="CCL24" s="720"/>
      <c r="CCM24" s="720"/>
      <c r="CCN24" s="720"/>
      <c r="CCO24" s="720"/>
      <c r="CCP24" s="720"/>
      <c r="CCQ24" s="720"/>
      <c r="CCR24" s="720"/>
      <c r="CCS24" s="720"/>
      <c r="CCT24" s="720"/>
      <c r="CCU24" s="720"/>
      <c r="CCV24" s="720"/>
      <c r="CCW24" s="720"/>
      <c r="CCX24" s="720"/>
      <c r="CCY24" s="720"/>
      <c r="CCZ24" s="720"/>
      <c r="CDA24" s="720"/>
      <c r="CDB24" s="720"/>
      <c r="CDC24" s="720"/>
      <c r="CDD24" s="720"/>
      <c r="CDE24" s="720"/>
      <c r="CDF24" s="720"/>
      <c r="CDG24" s="720"/>
      <c r="CDH24" s="720"/>
      <c r="CDI24" s="720"/>
      <c r="CDJ24" s="720"/>
      <c r="CDK24" s="720"/>
      <c r="CDL24" s="720"/>
      <c r="CDM24" s="720"/>
      <c r="CDN24" s="720"/>
      <c r="CDO24" s="720"/>
      <c r="CDP24" s="720"/>
      <c r="CDQ24" s="720"/>
      <c r="CDR24" s="720"/>
      <c r="CDS24" s="720"/>
      <c r="CDT24" s="720"/>
      <c r="CDU24" s="720"/>
      <c r="CDV24" s="720"/>
      <c r="CDW24" s="720"/>
      <c r="CDX24" s="720"/>
      <c r="CDY24" s="720"/>
      <c r="CDZ24" s="720"/>
      <c r="CEA24" s="720"/>
      <c r="CEB24" s="720"/>
      <c r="CEC24" s="720"/>
      <c r="CED24" s="720"/>
      <c r="CEE24" s="720"/>
      <c r="CEF24" s="720"/>
      <c r="CEG24" s="720"/>
      <c r="CEH24" s="720"/>
      <c r="CEI24" s="720"/>
      <c r="CEJ24" s="720"/>
      <c r="CEK24" s="720"/>
      <c r="CEL24" s="720"/>
      <c r="CEM24" s="720"/>
      <c r="CEN24" s="720"/>
      <c r="CEO24" s="720"/>
      <c r="CEP24" s="720"/>
      <c r="CEQ24" s="720"/>
      <c r="CER24" s="720"/>
      <c r="CES24" s="720"/>
      <c r="CET24" s="720"/>
      <c r="CEU24" s="720"/>
      <c r="CEV24" s="720"/>
      <c r="CEW24" s="720"/>
      <c r="CEX24" s="720"/>
      <c r="CEY24" s="720"/>
      <c r="CEZ24" s="720"/>
      <c r="CFA24" s="720"/>
      <c r="CFB24" s="720"/>
      <c r="CFC24" s="720"/>
      <c r="CFD24" s="720"/>
      <c r="CFE24" s="720"/>
      <c r="CFF24" s="720"/>
      <c r="CFG24" s="720"/>
      <c r="CFH24" s="720"/>
      <c r="CFI24" s="720"/>
      <c r="CFJ24" s="720"/>
      <c r="CFK24" s="720"/>
      <c r="CFL24" s="720"/>
      <c r="CFM24" s="720"/>
      <c r="CFN24" s="720"/>
      <c r="CFO24" s="720"/>
      <c r="CFP24" s="720"/>
      <c r="CFQ24" s="720"/>
      <c r="CFR24" s="720"/>
      <c r="CFS24" s="720"/>
      <c r="CFT24" s="720"/>
      <c r="CFU24" s="720"/>
      <c r="CFV24" s="720"/>
      <c r="CFW24" s="720"/>
      <c r="CFX24" s="720"/>
      <c r="CFY24" s="720"/>
      <c r="CFZ24" s="720"/>
      <c r="CGA24" s="720"/>
      <c r="CGB24" s="720"/>
      <c r="CGC24" s="720"/>
      <c r="CGD24" s="720"/>
      <c r="CGE24" s="720"/>
      <c r="CGF24" s="720"/>
      <c r="CGG24" s="720"/>
      <c r="CGH24" s="720"/>
      <c r="CGI24" s="720"/>
      <c r="CGJ24" s="720"/>
      <c r="CGK24" s="720"/>
      <c r="CGL24" s="720"/>
      <c r="CGM24" s="720"/>
      <c r="CGN24" s="720"/>
      <c r="CGO24" s="720"/>
      <c r="CGP24" s="720"/>
      <c r="CGQ24" s="720"/>
      <c r="CGR24" s="720"/>
      <c r="CGS24" s="720"/>
      <c r="CGT24" s="720"/>
      <c r="CGU24" s="720"/>
      <c r="CGV24" s="720"/>
      <c r="CGW24" s="720"/>
      <c r="CGX24" s="720"/>
      <c r="CGY24" s="720"/>
      <c r="CGZ24" s="720"/>
      <c r="CHA24" s="720"/>
      <c r="CHB24" s="720"/>
      <c r="CHC24" s="720"/>
      <c r="CHD24" s="720"/>
      <c r="CHE24" s="720"/>
      <c r="CHF24" s="720"/>
      <c r="CHG24" s="720"/>
      <c r="CHH24" s="720"/>
      <c r="CHI24" s="720"/>
      <c r="CHJ24" s="720"/>
      <c r="CHK24" s="720"/>
      <c r="CHL24" s="720"/>
      <c r="CHM24" s="720"/>
      <c r="CHN24" s="720"/>
      <c r="CHO24" s="720"/>
      <c r="CHP24" s="720"/>
      <c r="CHQ24" s="720"/>
      <c r="CHR24" s="720"/>
      <c r="CHS24" s="720"/>
      <c r="CHT24" s="720"/>
      <c r="CHU24" s="720"/>
      <c r="CHV24" s="720"/>
      <c r="CHW24" s="720"/>
      <c r="CHX24" s="720"/>
      <c r="CHY24" s="720"/>
      <c r="CHZ24" s="720"/>
      <c r="CIA24" s="720"/>
      <c r="CIB24" s="720"/>
      <c r="CIC24" s="720"/>
      <c r="CID24" s="720"/>
      <c r="CIE24" s="720"/>
      <c r="CIF24" s="720"/>
      <c r="CIG24" s="720"/>
      <c r="CIH24" s="720"/>
      <c r="CII24" s="720"/>
      <c r="CIJ24" s="720"/>
      <c r="CIK24" s="720"/>
      <c r="CIL24" s="720"/>
      <c r="CIM24" s="720"/>
      <c r="CIN24" s="720"/>
      <c r="CIO24" s="720"/>
      <c r="CIP24" s="720"/>
      <c r="CIQ24" s="720"/>
      <c r="CIR24" s="720"/>
      <c r="CIS24" s="720"/>
      <c r="CIT24" s="720"/>
      <c r="CIU24" s="720"/>
      <c r="CIV24" s="720"/>
      <c r="CIW24" s="720"/>
      <c r="CIX24" s="720"/>
      <c r="CIY24" s="720"/>
      <c r="CIZ24" s="720"/>
      <c r="CJA24" s="720"/>
      <c r="CJB24" s="720"/>
      <c r="CJC24" s="720"/>
      <c r="CJD24" s="720"/>
      <c r="CJE24" s="720"/>
      <c r="CJF24" s="720"/>
      <c r="CJG24" s="720"/>
      <c r="CJH24" s="720"/>
      <c r="CJI24" s="720"/>
      <c r="CJJ24" s="720"/>
      <c r="CJK24" s="720"/>
      <c r="CJL24" s="720"/>
      <c r="CJM24" s="720"/>
      <c r="CJN24" s="720"/>
      <c r="CJO24" s="720"/>
      <c r="CJP24" s="720"/>
      <c r="CJQ24" s="720"/>
      <c r="CJR24" s="720"/>
      <c r="CJS24" s="720"/>
      <c r="CJT24" s="720"/>
      <c r="CJU24" s="720"/>
      <c r="CJV24" s="720"/>
      <c r="CJW24" s="720"/>
      <c r="CJX24" s="720"/>
      <c r="CJY24" s="720"/>
      <c r="CJZ24" s="720"/>
      <c r="CKA24" s="720"/>
      <c r="CKB24" s="720"/>
      <c r="CKC24" s="720"/>
      <c r="CKD24" s="720"/>
      <c r="CKE24" s="720"/>
      <c r="CKF24" s="720"/>
      <c r="CKG24" s="720"/>
      <c r="CKH24" s="720"/>
      <c r="CKI24" s="720"/>
      <c r="CKJ24" s="720"/>
      <c r="CKK24" s="720"/>
      <c r="CKL24" s="720"/>
      <c r="CKM24" s="720"/>
      <c r="CKN24" s="720"/>
      <c r="CKO24" s="720"/>
      <c r="CKP24" s="720"/>
      <c r="CKQ24" s="720"/>
      <c r="CKR24" s="720"/>
      <c r="CKS24" s="720"/>
      <c r="CKT24" s="720"/>
      <c r="CKU24" s="720"/>
      <c r="CKV24" s="720"/>
      <c r="CKW24" s="720"/>
      <c r="CKX24" s="720"/>
      <c r="CKY24" s="720"/>
      <c r="CKZ24" s="720"/>
      <c r="CLA24" s="720"/>
      <c r="CLB24" s="720"/>
      <c r="CLC24" s="720"/>
      <c r="CLD24" s="720"/>
      <c r="CLE24" s="720"/>
      <c r="CLF24" s="720"/>
      <c r="CLG24" s="720"/>
      <c r="CLH24" s="720"/>
      <c r="CLI24" s="720"/>
      <c r="CLJ24" s="720"/>
      <c r="CLK24" s="720"/>
      <c r="CLL24" s="720"/>
      <c r="CLM24" s="720"/>
      <c r="CLN24" s="720"/>
      <c r="CLO24" s="720"/>
      <c r="CLP24" s="720"/>
      <c r="CLQ24" s="720"/>
      <c r="CLR24" s="720"/>
      <c r="CLS24" s="720"/>
      <c r="CLT24" s="720"/>
      <c r="CLU24" s="720"/>
      <c r="CLV24" s="720"/>
      <c r="CLW24" s="720"/>
      <c r="CLX24" s="720"/>
      <c r="CLY24" s="720"/>
      <c r="CLZ24" s="720"/>
      <c r="CMA24" s="720"/>
      <c r="CMB24" s="720"/>
      <c r="CMC24" s="720"/>
      <c r="CMD24" s="720"/>
      <c r="CME24" s="720"/>
      <c r="CMF24" s="720"/>
      <c r="CMG24" s="720"/>
      <c r="CMH24" s="720"/>
      <c r="CMI24" s="720"/>
      <c r="CMJ24" s="720"/>
      <c r="CMK24" s="720"/>
      <c r="CML24" s="720"/>
      <c r="CMM24" s="720"/>
      <c r="CMN24" s="720"/>
      <c r="CMO24" s="720"/>
      <c r="CMP24" s="720"/>
      <c r="CMQ24" s="720"/>
      <c r="CMR24" s="720"/>
      <c r="CMS24" s="720"/>
      <c r="CMT24" s="720"/>
      <c r="CMU24" s="720"/>
      <c r="CMV24" s="720"/>
      <c r="CMW24" s="720"/>
      <c r="CMX24" s="720"/>
      <c r="CMY24" s="720"/>
      <c r="CMZ24" s="720"/>
      <c r="CNA24" s="720"/>
      <c r="CNB24" s="720"/>
      <c r="CNC24" s="720"/>
      <c r="CND24" s="720"/>
      <c r="CNE24" s="720"/>
      <c r="CNF24" s="720"/>
      <c r="CNG24" s="720"/>
      <c r="CNH24" s="720"/>
      <c r="CNI24" s="720"/>
      <c r="CNJ24" s="720"/>
      <c r="CNK24" s="720"/>
      <c r="CNL24" s="720"/>
      <c r="CNM24" s="720"/>
      <c r="CNN24" s="720"/>
      <c r="CNO24" s="720"/>
      <c r="CNP24" s="720"/>
      <c r="CNQ24" s="720"/>
      <c r="CNR24" s="720"/>
      <c r="CNS24" s="720"/>
      <c r="CNT24" s="720"/>
      <c r="CNU24" s="720"/>
      <c r="CNV24" s="720"/>
      <c r="CNW24" s="720"/>
      <c r="CNX24" s="720"/>
      <c r="CNY24" s="720"/>
      <c r="CNZ24" s="720"/>
      <c r="COA24" s="720"/>
      <c r="COB24" s="720"/>
      <c r="COC24" s="720"/>
      <c r="COD24" s="720"/>
      <c r="COE24" s="720"/>
      <c r="COF24" s="720"/>
      <c r="COG24" s="720"/>
      <c r="COH24" s="720"/>
      <c r="COI24" s="720"/>
      <c r="COJ24" s="720"/>
      <c r="COK24" s="720"/>
      <c r="COL24" s="720"/>
      <c r="COM24" s="720"/>
      <c r="CON24" s="720"/>
      <c r="COO24" s="720"/>
      <c r="COP24" s="720"/>
      <c r="COQ24" s="720"/>
      <c r="COR24" s="720"/>
      <c r="COS24" s="720"/>
      <c r="COT24" s="720"/>
      <c r="COU24" s="720"/>
      <c r="COV24" s="720"/>
      <c r="COW24" s="720"/>
      <c r="COX24" s="720"/>
      <c r="COY24" s="720"/>
      <c r="COZ24" s="720"/>
      <c r="CPA24" s="720"/>
      <c r="CPB24" s="720"/>
      <c r="CPC24" s="720"/>
      <c r="CPD24" s="720"/>
      <c r="CPE24" s="720"/>
      <c r="CPF24" s="720"/>
      <c r="CPG24" s="720"/>
      <c r="CPH24" s="720"/>
      <c r="CPI24" s="720"/>
      <c r="CPJ24" s="720"/>
      <c r="CPK24" s="720"/>
      <c r="CPL24" s="720"/>
      <c r="CPM24" s="720"/>
      <c r="CPN24" s="720"/>
      <c r="CPO24" s="720"/>
      <c r="CPP24" s="720"/>
      <c r="CPQ24" s="720"/>
      <c r="CPR24" s="720"/>
      <c r="CPS24" s="720"/>
      <c r="CPT24" s="720"/>
      <c r="CPU24" s="720"/>
      <c r="CPV24" s="720"/>
      <c r="CPW24" s="720"/>
      <c r="CPX24" s="720"/>
      <c r="CPY24" s="720"/>
      <c r="CPZ24" s="720"/>
      <c r="CQA24" s="720"/>
      <c r="CQB24" s="720"/>
      <c r="CQC24" s="720"/>
      <c r="CQD24" s="720"/>
      <c r="CQE24" s="720"/>
      <c r="CQF24" s="720"/>
      <c r="CQG24" s="720"/>
      <c r="CQH24" s="720"/>
      <c r="CQI24" s="720"/>
      <c r="CQJ24" s="720"/>
      <c r="CQK24" s="720"/>
      <c r="CQL24" s="720"/>
      <c r="CQM24" s="720"/>
      <c r="CQN24" s="720"/>
      <c r="CQO24" s="720"/>
      <c r="CQP24" s="720"/>
      <c r="CQQ24" s="720"/>
      <c r="CQR24" s="720"/>
      <c r="CQS24" s="720"/>
      <c r="CQT24" s="720"/>
      <c r="CQU24" s="720"/>
      <c r="CQV24" s="720"/>
      <c r="CQW24" s="720"/>
      <c r="CQX24" s="720"/>
      <c r="CQY24" s="720"/>
      <c r="CQZ24" s="720"/>
      <c r="CRA24" s="720"/>
      <c r="CRB24" s="720"/>
      <c r="CRC24" s="720"/>
      <c r="CRD24" s="720"/>
      <c r="CRE24" s="720"/>
      <c r="CRF24" s="720"/>
      <c r="CRG24" s="720"/>
      <c r="CRH24" s="720"/>
      <c r="CRI24" s="720"/>
      <c r="CRJ24" s="720"/>
      <c r="CRK24" s="720"/>
      <c r="CRL24" s="720"/>
      <c r="CRM24" s="720"/>
      <c r="CRN24" s="720"/>
      <c r="CRO24" s="720"/>
      <c r="CRP24" s="720"/>
      <c r="CRQ24" s="720"/>
      <c r="CRR24" s="720"/>
      <c r="CRS24" s="720"/>
      <c r="CRT24" s="720"/>
      <c r="CRU24" s="720"/>
      <c r="CRV24" s="720"/>
      <c r="CRW24" s="720"/>
      <c r="CRX24" s="720"/>
      <c r="CRY24" s="720"/>
      <c r="CRZ24" s="720"/>
      <c r="CSA24" s="720"/>
      <c r="CSB24" s="720"/>
      <c r="CSC24" s="720"/>
      <c r="CSD24" s="720"/>
      <c r="CSE24" s="720"/>
      <c r="CSF24" s="720"/>
      <c r="CSG24" s="720"/>
      <c r="CSH24" s="720"/>
      <c r="CSI24" s="720"/>
      <c r="CSJ24" s="720"/>
      <c r="CSK24" s="720"/>
      <c r="CSL24" s="720"/>
      <c r="CSM24" s="720"/>
      <c r="CSN24" s="720"/>
      <c r="CSO24" s="720"/>
      <c r="CSP24" s="720"/>
      <c r="CSQ24" s="720"/>
      <c r="CSR24" s="720"/>
      <c r="CSS24" s="720"/>
      <c r="CST24" s="720"/>
      <c r="CSU24" s="720"/>
      <c r="CSV24" s="720"/>
      <c r="CSW24" s="720"/>
      <c r="CSX24" s="720"/>
      <c r="CSY24" s="720"/>
      <c r="CSZ24" s="720"/>
      <c r="CTA24" s="720"/>
      <c r="CTB24" s="720"/>
      <c r="CTC24" s="720"/>
      <c r="CTD24" s="720"/>
      <c r="CTE24" s="720"/>
      <c r="CTF24" s="720"/>
      <c r="CTG24" s="720"/>
      <c r="CTH24" s="720"/>
      <c r="CTI24" s="720"/>
      <c r="CTJ24" s="720"/>
      <c r="CTK24" s="720"/>
      <c r="CTL24" s="720"/>
      <c r="CTM24" s="720"/>
      <c r="CTN24" s="720"/>
      <c r="CTO24" s="720"/>
      <c r="CTP24" s="720"/>
      <c r="CTQ24" s="720"/>
      <c r="CTR24" s="720"/>
      <c r="CTS24" s="720"/>
      <c r="CTT24" s="720"/>
      <c r="CTU24" s="720"/>
      <c r="CTV24" s="720"/>
      <c r="CTW24" s="720"/>
      <c r="CTX24" s="720"/>
      <c r="CTY24" s="720"/>
      <c r="CTZ24" s="720"/>
      <c r="CUA24" s="720"/>
      <c r="CUB24" s="720"/>
      <c r="CUC24" s="720"/>
      <c r="CUD24" s="720"/>
      <c r="CUE24" s="720"/>
      <c r="CUF24" s="720"/>
      <c r="CUG24" s="720"/>
      <c r="CUH24" s="720"/>
      <c r="CUI24" s="720"/>
      <c r="CUJ24" s="720"/>
      <c r="CUK24" s="720"/>
      <c r="CUL24" s="720"/>
      <c r="CUM24" s="720"/>
      <c r="CUN24" s="720"/>
      <c r="CUO24" s="720"/>
      <c r="CUP24" s="720"/>
      <c r="CUQ24" s="720"/>
      <c r="CUR24" s="720"/>
      <c r="CUS24" s="720"/>
      <c r="CUT24" s="720"/>
      <c r="CUU24" s="720"/>
      <c r="CUV24" s="720"/>
      <c r="CUW24" s="720"/>
      <c r="CUX24" s="720"/>
      <c r="CUY24" s="720"/>
      <c r="CUZ24" s="720"/>
      <c r="CVA24" s="720"/>
      <c r="CVB24" s="720"/>
      <c r="CVC24" s="720"/>
      <c r="CVD24" s="720"/>
      <c r="CVE24" s="720"/>
      <c r="CVF24" s="720"/>
      <c r="CVG24" s="720"/>
      <c r="CVH24" s="720"/>
      <c r="CVI24" s="720"/>
      <c r="CVJ24" s="720"/>
      <c r="CVK24" s="720"/>
      <c r="CVL24" s="720"/>
      <c r="CVM24" s="720"/>
      <c r="CVN24" s="720"/>
      <c r="CVO24" s="720"/>
      <c r="CVP24" s="720"/>
      <c r="CVQ24" s="720"/>
      <c r="CVR24" s="720"/>
      <c r="CVS24" s="720"/>
      <c r="CVT24" s="720"/>
      <c r="CVU24" s="720"/>
      <c r="CVV24" s="720"/>
      <c r="CVW24" s="720"/>
      <c r="CVX24" s="720"/>
      <c r="CVY24" s="720"/>
      <c r="CVZ24" s="720"/>
      <c r="CWA24" s="720"/>
      <c r="CWB24" s="720"/>
      <c r="CWC24" s="720"/>
      <c r="CWD24" s="720"/>
      <c r="CWE24" s="720"/>
      <c r="CWF24" s="720"/>
      <c r="CWG24" s="720"/>
      <c r="CWH24" s="720"/>
      <c r="CWI24" s="720"/>
      <c r="CWJ24" s="720"/>
      <c r="CWK24" s="720"/>
      <c r="CWL24" s="720"/>
      <c r="CWM24" s="720"/>
      <c r="CWN24" s="720"/>
      <c r="CWO24" s="720"/>
      <c r="CWP24" s="720"/>
      <c r="CWQ24" s="720"/>
      <c r="CWR24" s="720"/>
      <c r="CWS24" s="720"/>
      <c r="CWT24" s="720"/>
      <c r="CWU24" s="720"/>
      <c r="CWV24" s="720"/>
      <c r="CWW24" s="720"/>
      <c r="CWX24" s="720"/>
      <c r="CWY24" s="720"/>
      <c r="CWZ24" s="720"/>
      <c r="CXA24" s="720"/>
      <c r="CXB24" s="720"/>
      <c r="CXC24" s="720"/>
      <c r="CXD24" s="720"/>
      <c r="CXE24" s="720"/>
      <c r="CXF24" s="720"/>
      <c r="CXG24" s="720"/>
      <c r="CXH24" s="720"/>
      <c r="CXI24" s="720"/>
      <c r="CXJ24" s="720"/>
      <c r="CXK24" s="720"/>
      <c r="CXL24" s="720"/>
      <c r="CXM24" s="720"/>
      <c r="CXN24" s="720"/>
      <c r="CXO24" s="720"/>
      <c r="CXP24" s="720"/>
      <c r="CXQ24" s="720"/>
      <c r="CXR24" s="720"/>
      <c r="CXS24" s="720"/>
      <c r="CXT24" s="720"/>
      <c r="CXU24" s="720"/>
      <c r="CXV24" s="720"/>
      <c r="CXW24" s="720"/>
      <c r="CXX24" s="720"/>
      <c r="CXY24" s="720"/>
      <c r="CXZ24" s="720"/>
      <c r="CYA24" s="720"/>
      <c r="CYB24" s="720"/>
      <c r="CYC24" s="720"/>
      <c r="CYD24" s="720"/>
      <c r="CYE24" s="720"/>
      <c r="CYF24" s="720"/>
      <c r="CYG24" s="720"/>
      <c r="CYH24" s="720"/>
      <c r="CYI24" s="720"/>
      <c r="CYJ24" s="720"/>
      <c r="CYK24" s="720"/>
      <c r="CYL24" s="720"/>
      <c r="CYM24" s="720"/>
      <c r="CYN24" s="720"/>
      <c r="CYO24" s="720"/>
      <c r="CYP24" s="720"/>
      <c r="CYQ24" s="720"/>
      <c r="CYR24" s="720"/>
      <c r="CYS24" s="720"/>
      <c r="CYT24" s="720"/>
      <c r="CYU24" s="720"/>
      <c r="CYV24" s="720"/>
      <c r="CYW24" s="720"/>
      <c r="CYX24" s="720"/>
      <c r="CYY24" s="720"/>
      <c r="CYZ24" s="720"/>
      <c r="CZA24" s="720"/>
      <c r="CZB24" s="720"/>
      <c r="CZC24" s="720"/>
      <c r="CZD24" s="720"/>
      <c r="CZE24" s="720"/>
      <c r="CZF24" s="720"/>
      <c r="CZG24" s="720"/>
      <c r="CZH24" s="720"/>
      <c r="CZI24" s="720"/>
      <c r="CZJ24" s="720"/>
      <c r="CZK24" s="720"/>
      <c r="CZL24" s="720"/>
      <c r="CZM24" s="720"/>
      <c r="CZN24" s="720"/>
      <c r="CZO24" s="720"/>
      <c r="CZP24" s="720"/>
      <c r="CZQ24" s="720"/>
      <c r="CZR24" s="720"/>
      <c r="CZS24" s="720"/>
      <c r="CZT24" s="720"/>
      <c r="CZU24" s="720"/>
      <c r="CZV24" s="720"/>
      <c r="CZW24" s="720"/>
      <c r="CZX24" s="720"/>
      <c r="CZY24" s="720"/>
      <c r="CZZ24" s="720"/>
      <c r="DAA24" s="720"/>
      <c r="DAB24" s="720"/>
      <c r="DAC24" s="720"/>
      <c r="DAD24" s="720"/>
      <c r="DAE24" s="720"/>
      <c r="DAF24" s="720"/>
      <c r="DAG24" s="720"/>
      <c r="DAH24" s="720"/>
      <c r="DAI24" s="720"/>
      <c r="DAJ24" s="720"/>
      <c r="DAK24" s="720"/>
      <c r="DAL24" s="720"/>
      <c r="DAM24" s="720"/>
      <c r="DAN24" s="720"/>
      <c r="DAO24" s="720"/>
      <c r="DAP24" s="720"/>
      <c r="DAQ24" s="720"/>
      <c r="DAR24" s="720"/>
      <c r="DAS24" s="720"/>
      <c r="DAT24" s="720"/>
      <c r="DAU24" s="720"/>
      <c r="DAV24" s="720"/>
      <c r="DAW24" s="720"/>
      <c r="DAX24" s="720"/>
      <c r="DAY24" s="720"/>
      <c r="DAZ24" s="720"/>
      <c r="DBA24" s="720"/>
      <c r="DBB24" s="720"/>
      <c r="DBC24" s="720"/>
      <c r="DBD24" s="720"/>
      <c r="DBE24" s="720"/>
      <c r="DBF24" s="720"/>
      <c r="DBG24" s="720"/>
      <c r="DBH24" s="720"/>
      <c r="DBI24" s="720"/>
      <c r="DBJ24" s="720"/>
      <c r="DBK24" s="720"/>
      <c r="DBL24" s="720"/>
      <c r="DBM24" s="720"/>
      <c r="DBN24" s="720"/>
      <c r="DBO24" s="720"/>
      <c r="DBP24" s="720"/>
      <c r="DBQ24" s="720"/>
      <c r="DBR24" s="720"/>
      <c r="DBS24" s="720"/>
      <c r="DBT24" s="720"/>
      <c r="DBU24" s="720"/>
      <c r="DBV24" s="720"/>
      <c r="DBW24" s="720"/>
      <c r="DBX24" s="720"/>
      <c r="DBY24" s="720"/>
      <c r="DBZ24" s="720"/>
      <c r="DCA24" s="720"/>
      <c r="DCB24" s="720"/>
      <c r="DCC24" s="720"/>
      <c r="DCD24" s="720"/>
      <c r="DCE24" s="720"/>
      <c r="DCF24" s="720"/>
      <c r="DCG24" s="720"/>
      <c r="DCH24" s="720"/>
      <c r="DCI24" s="720"/>
      <c r="DCJ24" s="720"/>
      <c r="DCK24" s="720"/>
      <c r="DCL24" s="720"/>
      <c r="DCM24" s="720"/>
      <c r="DCN24" s="720"/>
      <c r="DCO24" s="720"/>
      <c r="DCP24" s="720"/>
      <c r="DCQ24" s="720"/>
      <c r="DCR24" s="720"/>
      <c r="DCS24" s="720"/>
      <c r="DCT24" s="720"/>
      <c r="DCU24" s="720"/>
      <c r="DCV24" s="720"/>
      <c r="DCW24" s="720"/>
      <c r="DCX24" s="720"/>
      <c r="DCY24" s="720"/>
      <c r="DCZ24" s="720"/>
      <c r="DDA24" s="720"/>
      <c r="DDB24" s="720"/>
      <c r="DDC24" s="720"/>
      <c r="DDD24" s="720"/>
      <c r="DDE24" s="720"/>
      <c r="DDF24" s="720"/>
      <c r="DDG24" s="720"/>
      <c r="DDH24" s="720"/>
      <c r="DDI24" s="720"/>
      <c r="DDJ24" s="720"/>
      <c r="DDK24" s="720"/>
      <c r="DDL24" s="720"/>
      <c r="DDM24" s="720"/>
      <c r="DDN24" s="720"/>
      <c r="DDO24" s="720"/>
      <c r="DDP24" s="720"/>
      <c r="DDQ24" s="720"/>
      <c r="DDR24" s="720"/>
      <c r="DDS24" s="720"/>
      <c r="DDT24" s="720"/>
      <c r="DDU24" s="720"/>
      <c r="DDV24" s="720"/>
      <c r="DDW24" s="720"/>
      <c r="DDX24" s="720"/>
      <c r="DDY24" s="720"/>
      <c r="DDZ24" s="720"/>
      <c r="DEA24" s="720"/>
      <c r="DEB24" s="720"/>
      <c r="DEC24" s="720"/>
      <c r="DED24" s="720"/>
      <c r="DEE24" s="720"/>
      <c r="DEF24" s="720"/>
      <c r="DEG24" s="720"/>
      <c r="DEH24" s="720"/>
      <c r="DEI24" s="720"/>
      <c r="DEJ24" s="720"/>
      <c r="DEK24" s="720"/>
      <c r="DEL24" s="720"/>
      <c r="DEM24" s="720"/>
      <c r="DEN24" s="720"/>
      <c r="DEO24" s="720"/>
      <c r="DEP24" s="720"/>
      <c r="DEQ24" s="720"/>
      <c r="DER24" s="720"/>
      <c r="DES24" s="720"/>
      <c r="DET24" s="720"/>
      <c r="DEU24" s="720"/>
      <c r="DEV24" s="720"/>
      <c r="DEW24" s="720"/>
      <c r="DEX24" s="720"/>
      <c r="DEY24" s="720"/>
      <c r="DEZ24" s="720"/>
      <c r="DFA24" s="720"/>
      <c r="DFB24" s="720"/>
      <c r="DFC24" s="720"/>
      <c r="DFD24" s="720"/>
      <c r="DFE24" s="720"/>
      <c r="DFF24" s="720"/>
      <c r="DFG24" s="720"/>
      <c r="DFH24" s="720"/>
      <c r="DFI24" s="720"/>
      <c r="DFJ24" s="720"/>
      <c r="DFK24" s="720"/>
      <c r="DFL24" s="720"/>
      <c r="DFM24" s="720"/>
      <c r="DFN24" s="720"/>
      <c r="DFO24" s="720"/>
      <c r="DFP24" s="720"/>
      <c r="DFQ24" s="720"/>
      <c r="DFR24" s="720"/>
      <c r="DFS24" s="720"/>
      <c r="DFT24" s="720"/>
      <c r="DFU24" s="720"/>
      <c r="DFV24" s="720"/>
      <c r="DFW24" s="720"/>
      <c r="DFX24" s="720"/>
      <c r="DFY24" s="720"/>
      <c r="DFZ24" s="720"/>
      <c r="DGA24" s="720"/>
      <c r="DGB24" s="720"/>
      <c r="DGC24" s="720"/>
      <c r="DGD24" s="720"/>
      <c r="DGE24" s="720"/>
      <c r="DGF24" s="720"/>
      <c r="DGG24" s="720"/>
      <c r="DGH24" s="720"/>
      <c r="DGI24" s="720"/>
      <c r="DGJ24" s="720"/>
      <c r="DGK24" s="720"/>
      <c r="DGL24" s="720"/>
      <c r="DGM24" s="720"/>
      <c r="DGN24" s="720"/>
      <c r="DGO24" s="720"/>
      <c r="DGP24" s="720"/>
      <c r="DGQ24" s="720"/>
      <c r="DGR24" s="720"/>
      <c r="DGS24" s="720"/>
      <c r="DGT24" s="720"/>
      <c r="DGU24" s="720"/>
      <c r="DGV24" s="720"/>
      <c r="DGW24" s="720"/>
      <c r="DGX24" s="720"/>
      <c r="DGY24" s="720"/>
      <c r="DGZ24" s="720"/>
      <c r="DHA24" s="720"/>
      <c r="DHB24" s="720"/>
      <c r="DHC24" s="720"/>
      <c r="DHD24" s="720"/>
      <c r="DHE24" s="720"/>
      <c r="DHF24" s="720"/>
      <c r="DHG24" s="720"/>
      <c r="DHH24" s="720"/>
      <c r="DHI24" s="720"/>
      <c r="DHJ24" s="720"/>
      <c r="DHK24" s="720"/>
      <c r="DHL24" s="720"/>
      <c r="DHM24" s="720"/>
      <c r="DHN24" s="720"/>
      <c r="DHO24" s="720"/>
      <c r="DHP24" s="720"/>
      <c r="DHQ24" s="720"/>
      <c r="DHR24" s="720"/>
      <c r="DHS24" s="720"/>
      <c r="DHT24" s="720"/>
      <c r="DHU24" s="720"/>
      <c r="DHV24" s="720"/>
      <c r="DHW24" s="720"/>
      <c r="DHX24" s="720"/>
      <c r="DHY24" s="720"/>
      <c r="DHZ24" s="720"/>
      <c r="DIA24" s="720"/>
      <c r="DIB24" s="720"/>
      <c r="DIC24" s="720"/>
      <c r="DID24" s="720"/>
      <c r="DIE24" s="720"/>
      <c r="DIF24" s="720"/>
      <c r="DIG24" s="720"/>
      <c r="DIH24" s="720"/>
      <c r="DII24" s="720"/>
      <c r="DIJ24" s="720"/>
      <c r="DIK24" s="720"/>
      <c r="DIL24" s="720"/>
      <c r="DIM24" s="720"/>
      <c r="DIN24" s="720"/>
      <c r="DIO24" s="720"/>
      <c r="DIP24" s="720"/>
      <c r="DIQ24" s="720"/>
      <c r="DIR24" s="720"/>
      <c r="DIS24" s="720"/>
      <c r="DIT24" s="720"/>
      <c r="DIU24" s="720"/>
      <c r="DIV24" s="720"/>
      <c r="DIW24" s="720"/>
      <c r="DIX24" s="720"/>
      <c r="DIY24" s="720"/>
      <c r="DIZ24" s="720"/>
      <c r="DJA24" s="720"/>
      <c r="DJB24" s="720"/>
      <c r="DJC24" s="720"/>
      <c r="DJD24" s="720"/>
      <c r="DJE24" s="720"/>
      <c r="DJF24" s="720"/>
      <c r="DJG24" s="720"/>
      <c r="DJH24" s="720"/>
      <c r="DJI24" s="720"/>
      <c r="DJJ24" s="720"/>
      <c r="DJK24" s="720"/>
      <c r="DJL24" s="720"/>
      <c r="DJM24" s="720"/>
      <c r="DJN24" s="720"/>
      <c r="DJO24" s="720"/>
      <c r="DJP24" s="720"/>
      <c r="DJQ24" s="720"/>
      <c r="DJR24" s="720"/>
      <c r="DJS24" s="720"/>
      <c r="DJT24" s="720"/>
      <c r="DJU24" s="720"/>
      <c r="DJV24" s="720"/>
      <c r="DJW24" s="720"/>
      <c r="DJX24" s="720"/>
      <c r="DJY24" s="720"/>
      <c r="DJZ24" s="720"/>
      <c r="DKA24" s="720"/>
      <c r="DKB24" s="720"/>
      <c r="DKC24" s="720"/>
      <c r="DKD24" s="720"/>
      <c r="DKE24" s="720"/>
      <c r="DKF24" s="720"/>
      <c r="DKG24" s="720"/>
      <c r="DKH24" s="720"/>
      <c r="DKI24" s="720"/>
      <c r="DKJ24" s="720"/>
      <c r="DKK24" s="720"/>
      <c r="DKL24" s="720"/>
      <c r="DKM24" s="720"/>
      <c r="DKN24" s="720"/>
      <c r="DKO24" s="720"/>
      <c r="DKP24" s="720"/>
      <c r="DKQ24" s="720"/>
      <c r="DKR24" s="720"/>
      <c r="DKS24" s="720"/>
      <c r="DKT24" s="720"/>
      <c r="DKU24" s="720"/>
      <c r="DKV24" s="720"/>
      <c r="DKW24" s="720"/>
      <c r="DKX24" s="720"/>
      <c r="DKY24" s="720"/>
      <c r="DKZ24" s="720"/>
      <c r="DLA24" s="720"/>
      <c r="DLB24" s="720"/>
      <c r="DLC24" s="720"/>
      <c r="DLD24" s="720"/>
      <c r="DLE24" s="720"/>
      <c r="DLF24" s="720"/>
      <c r="DLG24" s="720"/>
      <c r="DLH24" s="720"/>
      <c r="DLI24" s="720"/>
      <c r="DLJ24" s="720"/>
      <c r="DLK24" s="720"/>
      <c r="DLL24" s="720"/>
      <c r="DLM24" s="720"/>
      <c r="DLN24" s="720"/>
      <c r="DLO24" s="720"/>
      <c r="DLP24" s="720"/>
      <c r="DLQ24" s="720"/>
      <c r="DLR24" s="720"/>
      <c r="DLS24" s="720"/>
      <c r="DLT24" s="720"/>
      <c r="DLU24" s="720"/>
      <c r="DLV24" s="720"/>
      <c r="DLW24" s="720"/>
      <c r="DLX24" s="720"/>
      <c r="DLY24" s="720"/>
      <c r="DLZ24" s="720"/>
      <c r="DMA24" s="720"/>
      <c r="DMB24" s="720"/>
      <c r="DMC24" s="720"/>
      <c r="DMD24" s="720"/>
      <c r="DME24" s="720"/>
      <c r="DMF24" s="720"/>
      <c r="DMG24" s="720"/>
      <c r="DMH24" s="720"/>
      <c r="DMI24" s="720"/>
      <c r="DMJ24" s="720"/>
      <c r="DMK24" s="720"/>
      <c r="DML24" s="720"/>
      <c r="DMM24" s="720"/>
      <c r="DMN24" s="720"/>
      <c r="DMO24" s="720"/>
      <c r="DMP24" s="720"/>
      <c r="DMQ24" s="720"/>
      <c r="DMR24" s="720"/>
      <c r="DMS24" s="720"/>
      <c r="DMT24" s="720"/>
      <c r="DMU24" s="720"/>
      <c r="DMV24" s="720"/>
      <c r="DMW24" s="720"/>
      <c r="DMX24" s="720"/>
      <c r="DMY24" s="720"/>
      <c r="DMZ24" s="720"/>
      <c r="DNA24" s="720"/>
      <c r="DNB24" s="720"/>
      <c r="DNC24" s="720"/>
      <c r="DND24" s="720"/>
      <c r="DNE24" s="720"/>
      <c r="DNF24" s="720"/>
      <c r="DNG24" s="720"/>
      <c r="DNH24" s="720"/>
      <c r="DNI24" s="720"/>
      <c r="DNJ24" s="720"/>
      <c r="DNK24" s="720"/>
      <c r="DNL24" s="720"/>
      <c r="DNM24" s="720"/>
      <c r="DNN24" s="720"/>
      <c r="DNO24" s="720"/>
      <c r="DNP24" s="720"/>
      <c r="DNQ24" s="720"/>
      <c r="DNR24" s="720"/>
      <c r="DNS24" s="720"/>
      <c r="DNT24" s="720"/>
      <c r="DNU24" s="720"/>
      <c r="DNV24" s="720"/>
      <c r="DNW24" s="720"/>
      <c r="DNX24" s="720"/>
      <c r="DNY24" s="720"/>
      <c r="DNZ24" s="720"/>
      <c r="DOA24" s="720"/>
      <c r="DOB24" s="720"/>
      <c r="DOC24" s="720"/>
      <c r="DOD24" s="720"/>
      <c r="DOE24" s="720"/>
      <c r="DOF24" s="720"/>
      <c r="DOG24" s="720"/>
      <c r="DOH24" s="720"/>
      <c r="DOI24" s="720"/>
      <c r="DOJ24" s="720"/>
      <c r="DOK24" s="720"/>
      <c r="DOL24" s="720"/>
      <c r="DOM24" s="720"/>
      <c r="DON24" s="720"/>
      <c r="DOO24" s="720"/>
      <c r="DOP24" s="720"/>
      <c r="DOQ24" s="720"/>
      <c r="DOR24" s="720"/>
      <c r="DOS24" s="720"/>
      <c r="DOT24" s="720"/>
      <c r="DOU24" s="720"/>
      <c r="DOV24" s="720"/>
      <c r="DOW24" s="720"/>
      <c r="DOX24" s="720"/>
      <c r="DOY24" s="720"/>
      <c r="DOZ24" s="720"/>
      <c r="DPA24" s="720"/>
      <c r="DPB24" s="720"/>
      <c r="DPC24" s="720"/>
      <c r="DPD24" s="720"/>
      <c r="DPE24" s="720"/>
      <c r="DPF24" s="720"/>
      <c r="DPG24" s="720"/>
      <c r="DPH24" s="720"/>
      <c r="DPI24" s="720"/>
      <c r="DPJ24" s="720"/>
      <c r="DPK24" s="720"/>
      <c r="DPL24" s="720"/>
      <c r="DPM24" s="720"/>
      <c r="DPN24" s="720"/>
      <c r="DPO24" s="720"/>
      <c r="DPP24" s="720"/>
      <c r="DPQ24" s="720"/>
      <c r="DPR24" s="720"/>
      <c r="DPS24" s="720"/>
      <c r="DPT24" s="720"/>
      <c r="DPU24" s="720"/>
      <c r="DPV24" s="720"/>
      <c r="DPW24" s="720"/>
      <c r="DPX24" s="720"/>
      <c r="DPY24" s="720"/>
      <c r="DPZ24" s="720"/>
      <c r="DQA24" s="720"/>
      <c r="DQB24" s="720"/>
      <c r="DQC24" s="720"/>
      <c r="DQD24" s="720"/>
      <c r="DQE24" s="720"/>
      <c r="DQF24" s="720"/>
      <c r="DQG24" s="720"/>
      <c r="DQH24" s="720"/>
      <c r="DQI24" s="720"/>
      <c r="DQJ24" s="720"/>
      <c r="DQK24" s="720"/>
      <c r="DQL24" s="720"/>
      <c r="DQM24" s="720"/>
      <c r="DQN24" s="720"/>
      <c r="DQO24" s="720"/>
      <c r="DQP24" s="720"/>
      <c r="DQQ24" s="720"/>
      <c r="DQR24" s="720"/>
      <c r="DQS24" s="720"/>
      <c r="DQT24" s="720"/>
      <c r="DQU24" s="720"/>
      <c r="DQV24" s="720"/>
      <c r="DQW24" s="720"/>
      <c r="DQX24" s="720"/>
      <c r="DQY24" s="720"/>
      <c r="DQZ24" s="720"/>
      <c r="DRA24" s="720"/>
      <c r="DRB24" s="720"/>
      <c r="DRC24" s="720"/>
      <c r="DRD24" s="720"/>
      <c r="DRE24" s="720"/>
      <c r="DRF24" s="720"/>
      <c r="DRG24" s="720"/>
      <c r="DRH24" s="720"/>
      <c r="DRI24" s="720"/>
      <c r="DRJ24" s="720"/>
      <c r="DRK24" s="720"/>
      <c r="DRL24" s="720"/>
      <c r="DRM24" s="720"/>
      <c r="DRN24" s="720"/>
      <c r="DRO24" s="720"/>
      <c r="DRP24" s="720"/>
      <c r="DRQ24" s="720"/>
      <c r="DRR24" s="720"/>
      <c r="DRS24" s="720"/>
      <c r="DRT24" s="720"/>
      <c r="DRU24" s="720"/>
      <c r="DRV24" s="720"/>
      <c r="DRW24" s="720"/>
      <c r="DRX24" s="720"/>
      <c r="DRY24" s="720"/>
      <c r="DRZ24" s="720"/>
      <c r="DSA24" s="720"/>
      <c r="DSB24" s="720"/>
      <c r="DSC24" s="720"/>
      <c r="DSD24" s="720"/>
      <c r="DSE24" s="720"/>
      <c r="DSF24" s="720"/>
      <c r="DSG24" s="720"/>
      <c r="DSH24" s="720"/>
      <c r="DSI24" s="720"/>
      <c r="DSJ24" s="720"/>
      <c r="DSK24" s="720"/>
      <c r="DSL24" s="720"/>
      <c r="DSM24" s="720"/>
      <c r="DSN24" s="720"/>
      <c r="DSO24" s="720"/>
      <c r="DSP24" s="720"/>
      <c r="DSQ24" s="720"/>
      <c r="DSR24" s="720"/>
      <c r="DSS24" s="720"/>
      <c r="DST24" s="720"/>
      <c r="DSU24" s="720"/>
      <c r="DSV24" s="720"/>
      <c r="DSW24" s="720"/>
      <c r="DSX24" s="720"/>
      <c r="DSY24" s="720"/>
      <c r="DSZ24" s="720"/>
      <c r="DTA24" s="720"/>
      <c r="DTB24" s="720"/>
      <c r="DTC24" s="720"/>
      <c r="DTD24" s="720"/>
      <c r="DTE24" s="720"/>
      <c r="DTF24" s="720"/>
      <c r="DTG24" s="720"/>
      <c r="DTH24" s="720"/>
      <c r="DTI24" s="720"/>
      <c r="DTJ24" s="720"/>
      <c r="DTK24" s="720"/>
      <c r="DTL24" s="720"/>
      <c r="DTM24" s="720"/>
      <c r="DTN24" s="720"/>
      <c r="DTO24" s="720"/>
      <c r="DTP24" s="720"/>
      <c r="DTQ24" s="720"/>
      <c r="DTR24" s="720"/>
      <c r="DTS24" s="720"/>
      <c r="DTT24" s="720"/>
      <c r="DTU24" s="720"/>
      <c r="DTV24" s="720"/>
      <c r="DTW24" s="720"/>
      <c r="DTX24" s="720"/>
      <c r="DTY24" s="720"/>
      <c r="DTZ24" s="720"/>
      <c r="DUA24" s="720"/>
      <c r="DUB24" s="720"/>
      <c r="DUC24" s="720"/>
      <c r="DUD24" s="720"/>
      <c r="DUE24" s="720"/>
      <c r="DUF24" s="720"/>
      <c r="DUG24" s="720"/>
      <c r="DUH24" s="720"/>
      <c r="DUI24" s="720"/>
      <c r="DUJ24" s="720"/>
      <c r="DUK24" s="720"/>
      <c r="DUL24" s="720"/>
      <c r="DUM24" s="720"/>
      <c r="DUN24" s="720"/>
      <c r="DUO24" s="720"/>
      <c r="DUP24" s="720"/>
      <c r="DUQ24" s="720"/>
      <c r="DUR24" s="720"/>
      <c r="DUS24" s="720"/>
      <c r="DUT24" s="720"/>
      <c r="DUU24" s="720"/>
      <c r="DUV24" s="720"/>
      <c r="DUW24" s="720"/>
      <c r="DUX24" s="720"/>
      <c r="DUY24" s="720"/>
      <c r="DUZ24" s="720"/>
      <c r="DVA24" s="720"/>
      <c r="DVB24" s="720"/>
      <c r="DVC24" s="720"/>
      <c r="DVD24" s="720"/>
      <c r="DVE24" s="720"/>
      <c r="DVF24" s="720"/>
      <c r="DVG24" s="720"/>
      <c r="DVH24" s="720"/>
      <c r="DVI24" s="720"/>
      <c r="DVJ24" s="720"/>
      <c r="DVK24" s="720"/>
      <c r="DVL24" s="720"/>
      <c r="DVM24" s="720"/>
      <c r="DVN24" s="720"/>
      <c r="DVO24" s="720"/>
      <c r="DVP24" s="720"/>
      <c r="DVQ24" s="720"/>
      <c r="DVR24" s="720"/>
      <c r="DVS24" s="720"/>
      <c r="DVT24" s="720"/>
      <c r="DVU24" s="720"/>
      <c r="DVV24" s="720"/>
      <c r="DVW24" s="720"/>
      <c r="DVX24" s="720"/>
      <c r="DVY24" s="720"/>
      <c r="DVZ24" s="720"/>
      <c r="DWA24" s="720"/>
      <c r="DWB24" s="720"/>
      <c r="DWC24" s="720"/>
      <c r="DWD24" s="720"/>
      <c r="DWE24" s="720"/>
      <c r="DWF24" s="720"/>
      <c r="DWG24" s="720"/>
      <c r="DWH24" s="720"/>
      <c r="DWI24" s="720"/>
      <c r="DWJ24" s="720"/>
      <c r="DWK24" s="720"/>
      <c r="DWL24" s="720"/>
      <c r="DWM24" s="720"/>
      <c r="DWN24" s="720"/>
      <c r="DWO24" s="720"/>
      <c r="DWP24" s="720"/>
      <c r="DWQ24" s="720"/>
      <c r="DWR24" s="720"/>
      <c r="DWS24" s="720"/>
      <c r="DWT24" s="720"/>
      <c r="DWU24" s="720"/>
      <c r="DWV24" s="720"/>
      <c r="DWW24" s="720"/>
      <c r="DWX24" s="720"/>
      <c r="DWY24" s="720"/>
      <c r="DWZ24" s="720"/>
      <c r="DXA24" s="720"/>
      <c r="DXB24" s="720"/>
      <c r="DXC24" s="720"/>
      <c r="DXD24" s="720"/>
      <c r="DXE24" s="720"/>
      <c r="DXF24" s="720"/>
      <c r="DXG24" s="720"/>
      <c r="DXH24" s="720"/>
      <c r="DXI24" s="720"/>
      <c r="DXJ24" s="720"/>
      <c r="DXK24" s="720"/>
      <c r="DXL24" s="720"/>
      <c r="DXM24" s="720"/>
      <c r="DXN24" s="720"/>
      <c r="DXO24" s="720"/>
      <c r="DXP24" s="720"/>
      <c r="DXQ24" s="720"/>
      <c r="DXR24" s="720"/>
      <c r="DXS24" s="720"/>
      <c r="DXT24" s="720"/>
      <c r="DXU24" s="720"/>
      <c r="DXV24" s="720"/>
      <c r="DXW24" s="720"/>
      <c r="DXX24" s="720"/>
      <c r="DXY24" s="720"/>
      <c r="DXZ24" s="720"/>
      <c r="DYA24" s="720"/>
      <c r="DYB24" s="720"/>
      <c r="DYC24" s="720"/>
      <c r="DYD24" s="720"/>
      <c r="DYE24" s="720"/>
      <c r="DYF24" s="720"/>
      <c r="DYG24" s="720"/>
      <c r="DYH24" s="720"/>
      <c r="DYI24" s="720"/>
      <c r="DYJ24" s="720"/>
      <c r="DYK24" s="720"/>
      <c r="DYL24" s="720"/>
      <c r="DYM24" s="720"/>
      <c r="DYN24" s="720"/>
      <c r="DYO24" s="720"/>
      <c r="DYP24" s="720"/>
      <c r="DYQ24" s="720"/>
      <c r="DYR24" s="720"/>
      <c r="DYS24" s="720"/>
      <c r="DYT24" s="720"/>
      <c r="DYU24" s="720"/>
      <c r="DYV24" s="720"/>
      <c r="DYW24" s="720"/>
      <c r="DYX24" s="720"/>
      <c r="DYY24" s="720"/>
      <c r="DYZ24" s="720"/>
      <c r="DZA24" s="720"/>
      <c r="DZB24" s="720"/>
      <c r="DZC24" s="720"/>
      <c r="DZD24" s="720"/>
      <c r="DZE24" s="720"/>
      <c r="DZF24" s="720"/>
      <c r="DZG24" s="720"/>
      <c r="DZH24" s="720"/>
      <c r="DZI24" s="720"/>
      <c r="DZJ24" s="720"/>
      <c r="DZK24" s="720"/>
      <c r="DZL24" s="720"/>
      <c r="DZM24" s="720"/>
      <c r="DZN24" s="720"/>
      <c r="DZO24" s="720"/>
      <c r="DZP24" s="720"/>
      <c r="DZQ24" s="720"/>
      <c r="DZR24" s="720"/>
      <c r="DZS24" s="720"/>
      <c r="DZT24" s="720"/>
      <c r="DZU24" s="720"/>
      <c r="DZV24" s="720"/>
      <c r="DZW24" s="720"/>
      <c r="DZX24" s="720"/>
      <c r="DZY24" s="720"/>
      <c r="DZZ24" s="720"/>
      <c r="EAA24" s="720"/>
      <c r="EAB24" s="720"/>
      <c r="EAC24" s="720"/>
      <c r="EAD24" s="720"/>
      <c r="EAE24" s="720"/>
      <c r="EAF24" s="720"/>
      <c r="EAG24" s="720"/>
      <c r="EAH24" s="720"/>
      <c r="EAI24" s="720"/>
      <c r="EAJ24" s="720"/>
      <c r="EAK24" s="720"/>
      <c r="EAL24" s="720"/>
      <c r="EAM24" s="720"/>
      <c r="EAN24" s="720"/>
      <c r="EAO24" s="720"/>
      <c r="EAP24" s="720"/>
      <c r="EAQ24" s="720"/>
      <c r="EAR24" s="720"/>
      <c r="EAS24" s="720"/>
      <c r="EAT24" s="720"/>
      <c r="EAU24" s="720"/>
      <c r="EAV24" s="720"/>
      <c r="EAW24" s="720"/>
      <c r="EAX24" s="720"/>
      <c r="EAY24" s="720"/>
      <c r="EAZ24" s="720"/>
      <c r="EBA24" s="720"/>
      <c r="EBB24" s="720"/>
      <c r="EBC24" s="720"/>
      <c r="EBD24" s="720"/>
      <c r="EBE24" s="720"/>
      <c r="EBF24" s="720"/>
      <c r="EBG24" s="720"/>
      <c r="EBH24" s="720"/>
      <c r="EBI24" s="720"/>
      <c r="EBJ24" s="720"/>
      <c r="EBK24" s="720"/>
      <c r="EBL24" s="720"/>
      <c r="EBM24" s="720"/>
      <c r="EBN24" s="720"/>
      <c r="EBO24" s="720"/>
      <c r="EBP24" s="720"/>
      <c r="EBQ24" s="720"/>
      <c r="EBR24" s="720"/>
      <c r="EBS24" s="720"/>
      <c r="EBT24" s="720"/>
      <c r="EBU24" s="720"/>
      <c r="EBV24" s="720"/>
      <c r="EBW24" s="720"/>
      <c r="EBX24" s="720"/>
      <c r="EBY24" s="720"/>
      <c r="EBZ24" s="720"/>
      <c r="ECA24" s="720"/>
      <c r="ECB24" s="720"/>
      <c r="ECC24" s="720"/>
      <c r="ECD24" s="720"/>
      <c r="ECE24" s="720"/>
      <c r="ECF24" s="720"/>
      <c r="ECG24" s="720"/>
      <c r="ECH24" s="720"/>
      <c r="ECI24" s="720"/>
      <c r="ECJ24" s="720"/>
      <c r="ECK24" s="720"/>
      <c r="ECL24" s="720"/>
      <c r="ECM24" s="720"/>
      <c r="ECN24" s="720"/>
      <c r="ECO24" s="720"/>
      <c r="ECP24" s="720"/>
      <c r="ECQ24" s="720"/>
      <c r="ECR24" s="720"/>
      <c r="ECS24" s="720"/>
      <c r="ECT24" s="720"/>
      <c r="ECU24" s="720"/>
      <c r="ECV24" s="720"/>
      <c r="ECW24" s="720"/>
      <c r="ECX24" s="720"/>
      <c r="ECY24" s="720"/>
      <c r="ECZ24" s="720"/>
      <c r="EDA24" s="720"/>
      <c r="EDB24" s="720"/>
      <c r="EDC24" s="720"/>
      <c r="EDD24" s="720"/>
      <c r="EDE24" s="720"/>
      <c r="EDF24" s="720"/>
      <c r="EDG24" s="720"/>
      <c r="EDH24" s="720"/>
      <c r="EDI24" s="720"/>
      <c r="EDJ24" s="720"/>
      <c r="EDK24" s="720"/>
      <c r="EDL24" s="720"/>
      <c r="EDM24" s="720"/>
      <c r="EDN24" s="720"/>
      <c r="EDO24" s="720"/>
      <c r="EDP24" s="720"/>
      <c r="EDQ24" s="720"/>
      <c r="EDR24" s="720"/>
      <c r="EDS24" s="720"/>
      <c r="EDT24" s="720"/>
      <c r="EDU24" s="720"/>
      <c r="EDV24" s="720"/>
      <c r="EDW24" s="720"/>
      <c r="EDX24" s="720"/>
      <c r="EDY24" s="720"/>
      <c r="EDZ24" s="720"/>
      <c r="EEA24" s="720"/>
      <c r="EEB24" s="720"/>
      <c r="EEC24" s="720"/>
      <c r="EED24" s="720"/>
      <c r="EEE24" s="720"/>
      <c r="EEF24" s="720"/>
      <c r="EEG24" s="720"/>
      <c r="EEH24" s="720"/>
      <c r="EEI24" s="720"/>
      <c r="EEJ24" s="720"/>
      <c r="EEK24" s="720"/>
      <c r="EEL24" s="720"/>
      <c r="EEM24" s="720"/>
      <c r="EEN24" s="720"/>
      <c r="EEO24" s="720"/>
      <c r="EEP24" s="720"/>
      <c r="EEQ24" s="720"/>
      <c r="EER24" s="720"/>
      <c r="EES24" s="720"/>
      <c r="EET24" s="720"/>
      <c r="EEU24" s="720"/>
      <c r="EEV24" s="720"/>
      <c r="EEW24" s="720"/>
      <c r="EEX24" s="720"/>
      <c r="EEY24" s="720"/>
      <c r="EEZ24" s="720"/>
      <c r="EFA24" s="720"/>
      <c r="EFB24" s="720"/>
      <c r="EFC24" s="720"/>
      <c r="EFD24" s="720"/>
      <c r="EFE24" s="720"/>
      <c r="EFF24" s="720"/>
      <c r="EFG24" s="720"/>
      <c r="EFH24" s="720"/>
      <c r="EFI24" s="720"/>
      <c r="EFJ24" s="720"/>
      <c r="EFK24" s="720"/>
      <c r="EFL24" s="720"/>
      <c r="EFM24" s="720"/>
      <c r="EFN24" s="720"/>
      <c r="EFO24" s="720"/>
      <c r="EFP24" s="720"/>
      <c r="EFQ24" s="720"/>
      <c r="EFR24" s="720"/>
      <c r="EFS24" s="720"/>
      <c r="EFT24" s="720"/>
      <c r="EFU24" s="720"/>
      <c r="EFV24" s="720"/>
      <c r="EFW24" s="720"/>
      <c r="EFX24" s="720"/>
      <c r="EFY24" s="720"/>
      <c r="EFZ24" s="720"/>
      <c r="EGA24" s="720"/>
      <c r="EGB24" s="720"/>
      <c r="EGC24" s="720"/>
      <c r="EGD24" s="720"/>
      <c r="EGE24" s="720"/>
      <c r="EGF24" s="720"/>
      <c r="EGG24" s="720"/>
      <c r="EGH24" s="720"/>
      <c r="EGI24" s="720"/>
      <c r="EGJ24" s="720"/>
      <c r="EGK24" s="720"/>
      <c r="EGL24" s="720"/>
      <c r="EGM24" s="720"/>
      <c r="EGN24" s="720"/>
      <c r="EGO24" s="720"/>
      <c r="EGP24" s="720"/>
      <c r="EGQ24" s="720"/>
      <c r="EGR24" s="720"/>
      <c r="EGS24" s="720"/>
      <c r="EGT24" s="720"/>
      <c r="EGU24" s="720"/>
      <c r="EGV24" s="720"/>
      <c r="EGW24" s="720"/>
      <c r="EGX24" s="720"/>
      <c r="EGY24" s="720"/>
      <c r="EGZ24" s="720"/>
      <c r="EHA24" s="720"/>
      <c r="EHB24" s="720"/>
      <c r="EHC24" s="720"/>
      <c r="EHD24" s="720"/>
      <c r="EHE24" s="720"/>
      <c r="EHF24" s="720"/>
      <c r="EHG24" s="720"/>
      <c r="EHH24" s="720"/>
      <c r="EHI24" s="720"/>
      <c r="EHJ24" s="720"/>
      <c r="EHK24" s="720"/>
      <c r="EHL24" s="720"/>
      <c r="EHM24" s="720"/>
      <c r="EHN24" s="720"/>
      <c r="EHO24" s="720"/>
      <c r="EHP24" s="720"/>
      <c r="EHQ24" s="720"/>
      <c r="EHR24" s="720"/>
      <c r="EHS24" s="720"/>
      <c r="EHT24" s="720"/>
      <c r="EHU24" s="720"/>
      <c r="EHV24" s="720"/>
      <c r="EHW24" s="720"/>
      <c r="EHX24" s="720"/>
      <c r="EHY24" s="720"/>
      <c r="EHZ24" s="720"/>
      <c r="EIA24" s="720"/>
      <c r="EIB24" s="720"/>
      <c r="EIC24" s="720"/>
      <c r="EID24" s="720"/>
      <c r="EIE24" s="720"/>
      <c r="EIF24" s="720"/>
      <c r="EIG24" s="720"/>
      <c r="EIH24" s="720"/>
      <c r="EII24" s="720"/>
      <c r="EIJ24" s="720"/>
      <c r="EIK24" s="720"/>
      <c r="EIL24" s="720"/>
      <c r="EIM24" s="720"/>
      <c r="EIN24" s="720"/>
      <c r="EIO24" s="720"/>
      <c r="EIP24" s="720"/>
      <c r="EIQ24" s="720"/>
      <c r="EIR24" s="720"/>
      <c r="EIS24" s="720"/>
      <c r="EIT24" s="720"/>
      <c r="EIU24" s="720"/>
      <c r="EIV24" s="720"/>
      <c r="EIW24" s="720"/>
      <c r="EIX24" s="720"/>
      <c r="EIY24" s="720"/>
      <c r="EIZ24" s="720"/>
      <c r="EJA24" s="720"/>
      <c r="EJB24" s="720"/>
      <c r="EJC24" s="720"/>
      <c r="EJD24" s="720"/>
      <c r="EJE24" s="720"/>
      <c r="EJF24" s="720"/>
      <c r="EJG24" s="720"/>
      <c r="EJH24" s="720"/>
      <c r="EJI24" s="720"/>
      <c r="EJJ24" s="720"/>
      <c r="EJK24" s="720"/>
      <c r="EJL24" s="720"/>
      <c r="EJM24" s="720"/>
      <c r="EJN24" s="720"/>
      <c r="EJO24" s="720"/>
      <c r="EJP24" s="720"/>
      <c r="EJQ24" s="720"/>
      <c r="EJR24" s="720"/>
      <c r="EJS24" s="720"/>
      <c r="EJT24" s="720"/>
      <c r="EJU24" s="720"/>
      <c r="EJV24" s="720"/>
      <c r="EJW24" s="720"/>
      <c r="EJX24" s="720"/>
      <c r="EJY24" s="720"/>
      <c r="EJZ24" s="720"/>
      <c r="EKA24" s="720"/>
      <c r="EKB24" s="720"/>
      <c r="EKC24" s="720"/>
      <c r="EKD24" s="720"/>
      <c r="EKE24" s="720"/>
      <c r="EKF24" s="720"/>
      <c r="EKG24" s="720"/>
      <c r="EKH24" s="720"/>
      <c r="EKI24" s="720"/>
      <c r="EKJ24" s="720"/>
      <c r="EKK24" s="720"/>
      <c r="EKL24" s="720"/>
      <c r="EKM24" s="720"/>
      <c r="EKN24" s="720"/>
      <c r="EKO24" s="720"/>
      <c r="EKP24" s="720"/>
      <c r="EKQ24" s="720"/>
      <c r="EKR24" s="720"/>
      <c r="EKS24" s="720"/>
      <c r="EKT24" s="720"/>
      <c r="EKU24" s="720"/>
      <c r="EKV24" s="720"/>
      <c r="EKW24" s="720"/>
      <c r="EKX24" s="720"/>
      <c r="EKY24" s="720"/>
      <c r="EKZ24" s="720"/>
      <c r="ELA24" s="720"/>
      <c r="ELB24" s="720"/>
      <c r="ELC24" s="720"/>
      <c r="ELD24" s="720"/>
      <c r="ELE24" s="720"/>
      <c r="ELF24" s="720"/>
      <c r="ELG24" s="720"/>
      <c r="ELH24" s="720"/>
      <c r="ELI24" s="720"/>
      <c r="ELJ24" s="720"/>
      <c r="ELK24" s="720"/>
      <c r="ELL24" s="720"/>
      <c r="ELM24" s="720"/>
      <c r="ELN24" s="720"/>
      <c r="ELO24" s="720"/>
      <c r="ELP24" s="720"/>
      <c r="ELQ24" s="720"/>
      <c r="ELR24" s="720"/>
      <c r="ELS24" s="720"/>
      <c r="ELT24" s="720"/>
      <c r="ELU24" s="720"/>
      <c r="ELV24" s="720"/>
      <c r="ELW24" s="720"/>
      <c r="ELX24" s="720"/>
      <c r="ELY24" s="720"/>
      <c r="ELZ24" s="720"/>
      <c r="EMA24" s="720"/>
      <c r="EMB24" s="720"/>
      <c r="EMC24" s="720"/>
      <c r="EMD24" s="720"/>
      <c r="EME24" s="720"/>
      <c r="EMF24" s="720"/>
      <c r="EMG24" s="720"/>
      <c r="EMH24" s="720"/>
      <c r="EMI24" s="720"/>
      <c r="EMJ24" s="720"/>
      <c r="EMK24" s="720"/>
      <c r="EML24" s="720"/>
      <c r="EMM24" s="720"/>
      <c r="EMN24" s="720"/>
      <c r="EMO24" s="720"/>
      <c r="EMP24" s="720"/>
      <c r="EMQ24" s="720"/>
      <c r="EMR24" s="720"/>
      <c r="EMS24" s="720"/>
      <c r="EMT24" s="720"/>
      <c r="EMU24" s="720"/>
      <c r="EMV24" s="720"/>
      <c r="EMW24" s="720"/>
      <c r="EMX24" s="720"/>
      <c r="EMY24" s="720"/>
      <c r="EMZ24" s="720"/>
      <c r="ENA24" s="720"/>
      <c r="ENB24" s="720"/>
      <c r="ENC24" s="720"/>
      <c r="END24" s="720"/>
      <c r="ENE24" s="720"/>
      <c r="ENF24" s="720"/>
      <c r="ENG24" s="720"/>
      <c r="ENH24" s="720"/>
      <c r="ENI24" s="720"/>
      <c r="ENJ24" s="720"/>
      <c r="ENK24" s="720"/>
      <c r="ENL24" s="720"/>
      <c r="ENM24" s="720"/>
      <c r="ENN24" s="720"/>
      <c r="ENO24" s="720"/>
      <c r="ENP24" s="720"/>
      <c r="ENQ24" s="720"/>
      <c r="ENR24" s="720"/>
      <c r="ENS24" s="720"/>
      <c r="ENT24" s="720"/>
      <c r="ENU24" s="720"/>
      <c r="ENV24" s="720"/>
      <c r="ENW24" s="720"/>
      <c r="ENX24" s="720"/>
      <c r="ENY24" s="720"/>
      <c r="ENZ24" s="720"/>
      <c r="EOA24" s="720"/>
      <c r="EOB24" s="720"/>
      <c r="EOC24" s="720"/>
      <c r="EOD24" s="720"/>
      <c r="EOE24" s="720"/>
      <c r="EOF24" s="720"/>
      <c r="EOG24" s="720"/>
      <c r="EOH24" s="720"/>
      <c r="EOI24" s="720"/>
      <c r="EOJ24" s="720"/>
      <c r="EOK24" s="720"/>
      <c r="EOL24" s="720"/>
      <c r="EOM24" s="720"/>
      <c r="EON24" s="720"/>
      <c r="EOO24" s="720"/>
      <c r="EOP24" s="720"/>
      <c r="EOQ24" s="720"/>
      <c r="EOR24" s="720"/>
      <c r="EOS24" s="720"/>
      <c r="EOT24" s="720"/>
      <c r="EOU24" s="720"/>
      <c r="EOV24" s="720"/>
      <c r="EOW24" s="720"/>
      <c r="EOX24" s="720"/>
      <c r="EOY24" s="720"/>
      <c r="EOZ24" s="720"/>
      <c r="EPA24" s="720"/>
      <c r="EPB24" s="720"/>
      <c r="EPC24" s="720"/>
      <c r="EPD24" s="720"/>
      <c r="EPE24" s="720"/>
      <c r="EPF24" s="720"/>
      <c r="EPG24" s="720"/>
      <c r="EPH24" s="720"/>
      <c r="EPI24" s="720"/>
      <c r="EPJ24" s="720"/>
      <c r="EPK24" s="720"/>
      <c r="EPL24" s="720"/>
      <c r="EPM24" s="720"/>
      <c r="EPN24" s="720"/>
      <c r="EPO24" s="720"/>
      <c r="EPP24" s="720"/>
      <c r="EPQ24" s="720"/>
      <c r="EPR24" s="720"/>
      <c r="EPS24" s="720"/>
      <c r="EPT24" s="720"/>
      <c r="EPU24" s="720"/>
      <c r="EPV24" s="720"/>
      <c r="EPW24" s="720"/>
      <c r="EPX24" s="720"/>
      <c r="EPY24" s="720"/>
      <c r="EPZ24" s="720"/>
      <c r="EQA24" s="720"/>
      <c r="EQB24" s="720"/>
      <c r="EQC24" s="720"/>
      <c r="EQD24" s="720"/>
      <c r="EQE24" s="720"/>
      <c r="EQF24" s="720"/>
      <c r="EQG24" s="720"/>
      <c r="EQH24" s="720"/>
      <c r="EQI24" s="720"/>
      <c r="EQJ24" s="720"/>
      <c r="EQK24" s="720"/>
      <c r="EQL24" s="720"/>
      <c r="EQM24" s="720"/>
      <c r="EQN24" s="720"/>
      <c r="EQO24" s="720"/>
      <c r="EQP24" s="720"/>
      <c r="EQQ24" s="720"/>
      <c r="EQR24" s="720"/>
      <c r="EQS24" s="720"/>
      <c r="EQT24" s="720"/>
      <c r="EQU24" s="720"/>
      <c r="EQV24" s="720"/>
      <c r="EQW24" s="720"/>
      <c r="EQX24" s="720"/>
      <c r="EQY24" s="720"/>
      <c r="EQZ24" s="720"/>
      <c r="ERA24" s="720"/>
      <c r="ERB24" s="720"/>
      <c r="ERC24" s="720"/>
      <c r="ERD24" s="720"/>
      <c r="ERE24" s="720"/>
      <c r="ERF24" s="720"/>
      <c r="ERG24" s="720"/>
      <c r="ERH24" s="720"/>
      <c r="ERI24" s="720"/>
      <c r="ERJ24" s="720"/>
      <c r="ERK24" s="720"/>
      <c r="ERL24" s="720"/>
      <c r="ERM24" s="720"/>
      <c r="ERN24" s="720"/>
      <c r="ERO24" s="720"/>
      <c r="ERP24" s="720"/>
      <c r="ERQ24" s="720"/>
      <c r="ERR24" s="720"/>
      <c r="ERS24" s="720"/>
      <c r="ERT24" s="720"/>
      <c r="ERU24" s="720"/>
      <c r="ERV24" s="720"/>
      <c r="ERW24" s="720"/>
      <c r="ERX24" s="720"/>
      <c r="ERY24" s="720"/>
      <c r="ERZ24" s="720"/>
      <c r="ESA24" s="720"/>
      <c r="ESB24" s="720"/>
      <c r="ESC24" s="720"/>
      <c r="ESD24" s="720"/>
      <c r="ESE24" s="720"/>
      <c r="ESF24" s="720"/>
      <c r="ESG24" s="720"/>
      <c r="ESH24" s="720"/>
      <c r="ESI24" s="720"/>
      <c r="ESJ24" s="720"/>
      <c r="ESK24" s="720"/>
      <c r="ESL24" s="720"/>
      <c r="ESM24" s="720"/>
      <c r="ESN24" s="720"/>
      <c r="ESO24" s="720"/>
      <c r="ESP24" s="720"/>
      <c r="ESQ24" s="720"/>
      <c r="ESR24" s="720"/>
      <c r="ESS24" s="720"/>
      <c r="EST24" s="720"/>
      <c r="ESU24" s="720"/>
      <c r="ESV24" s="720"/>
      <c r="ESW24" s="720"/>
      <c r="ESX24" s="720"/>
      <c r="ESY24" s="720"/>
      <c r="ESZ24" s="720"/>
      <c r="ETA24" s="720"/>
      <c r="ETB24" s="720"/>
      <c r="ETC24" s="720"/>
      <c r="ETD24" s="720"/>
      <c r="ETE24" s="720"/>
      <c r="ETF24" s="720"/>
      <c r="ETG24" s="720"/>
      <c r="ETH24" s="720"/>
      <c r="ETI24" s="720"/>
      <c r="ETJ24" s="720"/>
      <c r="ETK24" s="720"/>
      <c r="ETL24" s="720"/>
      <c r="ETM24" s="720"/>
      <c r="ETN24" s="720"/>
      <c r="ETO24" s="720"/>
      <c r="ETP24" s="720"/>
      <c r="ETQ24" s="720"/>
      <c r="ETR24" s="720"/>
      <c r="ETS24" s="720"/>
      <c r="ETT24" s="720"/>
      <c r="ETU24" s="720"/>
      <c r="ETV24" s="720"/>
      <c r="ETW24" s="720"/>
      <c r="ETX24" s="720"/>
      <c r="ETY24" s="720"/>
      <c r="ETZ24" s="720"/>
      <c r="EUA24" s="720"/>
      <c r="EUB24" s="720"/>
      <c r="EUC24" s="720"/>
      <c r="EUD24" s="720"/>
      <c r="EUE24" s="720"/>
      <c r="EUF24" s="720"/>
      <c r="EUG24" s="720"/>
      <c r="EUH24" s="720"/>
      <c r="EUI24" s="720"/>
      <c r="EUJ24" s="720"/>
      <c r="EUK24" s="720"/>
      <c r="EUL24" s="720"/>
      <c r="EUM24" s="720"/>
      <c r="EUN24" s="720"/>
      <c r="EUO24" s="720"/>
      <c r="EUP24" s="720"/>
      <c r="EUQ24" s="720"/>
      <c r="EUR24" s="720"/>
      <c r="EUS24" s="720"/>
      <c r="EUT24" s="720"/>
      <c r="EUU24" s="720"/>
      <c r="EUV24" s="720"/>
      <c r="EUW24" s="720"/>
      <c r="EUX24" s="720"/>
      <c r="EUY24" s="720"/>
      <c r="EUZ24" s="720"/>
      <c r="EVA24" s="720"/>
      <c r="EVB24" s="720"/>
      <c r="EVC24" s="720"/>
      <c r="EVD24" s="720"/>
      <c r="EVE24" s="720"/>
      <c r="EVF24" s="720"/>
      <c r="EVG24" s="720"/>
      <c r="EVH24" s="720"/>
      <c r="EVI24" s="720"/>
      <c r="EVJ24" s="720"/>
      <c r="EVK24" s="720"/>
      <c r="EVL24" s="720"/>
      <c r="EVM24" s="720"/>
      <c r="EVN24" s="720"/>
      <c r="EVO24" s="720"/>
      <c r="EVP24" s="720"/>
      <c r="EVQ24" s="720"/>
      <c r="EVR24" s="720"/>
      <c r="EVS24" s="720"/>
      <c r="EVT24" s="720"/>
      <c r="EVU24" s="720"/>
      <c r="EVV24" s="720"/>
      <c r="EVW24" s="720"/>
      <c r="EVX24" s="720"/>
      <c r="EVY24" s="720"/>
      <c r="EVZ24" s="720"/>
      <c r="EWA24" s="720"/>
      <c r="EWB24" s="720"/>
      <c r="EWC24" s="720"/>
      <c r="EWD24" s="720"/>
      <c r="EWE24" s="720"/>
      <c r="EWF24" s="720"/>
      <c r="EWG24" s="720"/>
      <c r="EWH24" s="720"/>
      <c r="EWI24" s="720"/>
      <c r="EWJ24" s="720"/>
      <c r="EWK24" s="720"/>
      <c r="EWL24" s="720"/>
      <c r="EWM24" s="720"/>
      <c r="EWN24" s="720"/>
      <c r="EWO24" s="720"/>
      <c r="EWP24" s="720"/>
      <c r="EWQ24" s="720"/>
      <c r="EWR24" s="720"/>
      <c r="EWS24" s="720"/>
      <c r="EWT24" s="720"/>
      <c r="EWU24" s="720"/>
      <c r="EWV24" s="720"/>
      <c r="EWW24" s="720"/>
      <c r="EWX24" s="720"/>
      <c r="EWY24" s="720"/>
      <c r="EWZ24" s="720"/>
      <c r="EXA24" s="720"/>
      <c r="EXB24" s="720"/>
      <c r="EXC24" s="720"/>
      <c r="EXD24" s="720"/>
      <c r="EXE24" s="720"/>
      <c r="EXF24" s="720"/>
      <c r="EXG24" s="720"/>
      <c r="EXH24" s="720"/>
      <c r="EXI24" s="720"/>
      <c r="EXJ24" s="720"/>
      <c r="EXK24" s="720"/>
      <c r="EXL24" s="720"/>
      <c r="EXM24" s="720"/>
      <c r="EXN24" s="720"/>
      <c r="EXO24" s="720"/>
      <c r="EXP24" s="720"/>
      <c r="EXQ24" s="720"/>
      <c r="EXR24" s="720"/>
      <c r="EXS24" s="720"/>
      <c r="EXT24" s="720"/>
      <c r="EXU24" s="720"/>
      <c r="EXV24" s="720"/>
      <c r="EXW24" s="720"/>
      <c r="EXX24" s="720"/>
      <c r="EXY24" s="720"/>
      <c r="EXZ24" s="720"/>
      <c r="EYA24" s="720"/>
      <c r="EYB24" s="720"/>
      <c r="EYC24" s="720"/>
      <c r="EYD24" s="720"/>
      <c r="EYE24" s="720"/>
      <c r="EYF24" s="720"/>
      <c r="EYG24" s="720"/>
      <c r="EYH24" s="720"/>
      <c r="EYI24" s="720"/>
      <c r="EYJ24" s="720"/>
      <c r="EYK24" s="720"/>
      <c r="EYL24" s="720"/>
      <c r="EYM24" s="720"/>
      <c r="EYN24" s="720"/>
      <c r="EYO24" s="720"/>
      <c r="EYP24" s="720"/>
      <c r="EYQ24" s="720"/>
      <c r="EYR24" s="720"/>
      <c r="EYS24" s="720"/>
      <c r="EYT24" s="720"/>
      <c r="EYU24" s="720"/>
      <c r="EYV24" s="720"/>
      <c r="EYW24" s="720"/>
      <c r="EYX24" s="720"/>
      <c r="EYY24" s="720"/>
      <c r="EYZ24" s="720"/>
      <c r="EZA24" s="720"/>
      <c r="EZB24" s="720"/>
      <c r="EZC24" s="720"/>
      <c r="EZD24" s="720"/>
      <c r="EZE24" s="720"/>
      <c r="EZF24" s="720"/>
      <c r="EZG24" s="720"/>
      <c r="EZH24" s="720"/>
      <c r="EZI24" s="720"/>
      <c r="EZJ24" s="720"/>
      <c r="EZK24" s="720"/>
      <c r="EZL24" s="720"/>
      <c r="EZM24" s="720"/>
      <c r="EZN24" s="720"/>
      <c r="EZO24" s="720"/>
      <c r="EZP24" s="720"/>
      <c r="EZQ24" s="720"/>
      <c r="EZR24" s="720"/>
      <c r="EZS24" s="720"/>
      <c r="EZT24" s="720"/>
      <c r="EZU24" s="720"/>
      <c r="EZV24" s="720"/>
      <c r="EZW24" s="720"/>
      <c r="EZX24" s="720"/>
      <c r="EZY24" s="720"/>
      <c r="EZZ24" s="720"/>
      <c r="FAA24" s="720"/>
      <c r="FAB24" s="720"/>
      <c r="FAC24" s="720"/>
      <c r="FAD24" s="720"/>
      <c r="FAE24" s="720"/>
      <c r="FAF24" s="720"/>
      <c r="FAG24" s="720"/>
      <c r="FAH24" s="720"/>
      <c r="FAI24" s="720"/>
      <c r="FAJ24" s="720"/>
      <c r="FAK24" s="720"/>
      <c r="FAL24" s="720"/>
      <c r="FAM24" s="720"/>
      <c r="FAN24" s="720"/>
      <c r="FAO24" s="720"/>
      <c r="FAP24" s="720"/>
      <c r="FAQ24" s="720"/>
      <c r="FAR24" s="720"/>
      <c r="FAS24" s="720"/>
      <c r="FAT24" s="720"/>
      <c r="FAU24" s="720"/>
      <c r="FAV24" s="720"/>
      <c r="FAW24" s="720"/>
      <c r="FAX24" s="720"/>
      <c r="FAY24" s="720"/>
      <c r="FAZ24" s="720"/>
      <c r="FBA24" s="720"/>
      <c r="FBB24" s="720"/>
      <c r="FBC24" s="720"/>
      <c r="FBD24" s="720"/>
      <c r="FBE24" s="720"/>
      <c r="FBF24" s="720"/>
      <c r="FBG24" s="720"/>
      <c r="FBH24" s="720"/>
      <c r="FBI24" s="720"/>
      <c r="FBJ24" s="720"/>
      <c r="FBK24" s="720"/>
      <c r="FBL24" s="720"/>
      <c r="FBM24" s="720"/>
      <c r="FBN24" s="720"/>
      <c r="FBO24" s="720"/>
      <c r="FBP24" s="720"/>
      <c r="FBQ24" s="720"/>
      <c r="FBR24" s="720"/>
      <c r="FBS24" s="720"/>
      <c r="FBT24" s="720"/>
      <c r="FBU24" s="720"/>
      <c r="FBV24" s="720"/>
      <c r="FBW24" s="720"/>
      <c r="FBX24" s="720"/>
      <c r="FBY24" s="720"/>
      <c r="FBZ24" s="720"/>
      <c r="FCA24" s="720"/>
      <c r="FCB24" s="720"/>
      <c r="FCC24" s="720"/>
      <c r="FCD24" s="720"/>
      <c r="FCE24" s="720"/>
      <c r="FCF24" s="720"/>
      <c r="FCG24" s="720"/>
      <c r="FCH24" s="720"/>
      <c r="FCI24" s="720"/>
      <c r="FCJ24" s="720"/>
      <c r="FCK24" s="720"/>
      <c r="FCL24" s="720"/>
      <c r="FCM24" s="720"/>
      <c r="FCN24" s="720"/>
      <c r="FCO24" s="720"/>
      <c r="FCP24" s="720"/>
      <c r="FCQ24" s="720"/>
      <c r="FCR24" s="720"/>
      <c r="FCS24" s="720"/>
      <c r="FCT24" s="720"/>
      <c r="FCU24" s="720"/>
      <c r="FCV24" s="720"/>
      <c r="FCW24" s="720"/>
      <c r="FCX24" s="720"/>
      <c r="FCY24" s="720"/>
      <c r="FCZ24" s="720"/>
      <c r="FDA24" s="720"/>
      <c r="FDB24" s="720"/>
      <c r="FDC24" s="720"/>
      <c r="FDD24" s="720"/>
      <c r="FDE24" s="720"/>
      <c r="FDF24" s="720"/>
      <c r="FDG24" s="720"/>
      <c r="FDH24" s="720"/>
      <c r="FDI24" s="720"/>
      <c r="FDJ24" s="720"/>
      <c r="FDK24" s="720"/>
      <c r="FDL24" s="720"/>
      <c r="FDM24" s="720"/>
      <c r="FDN24" s="720"/>
      <c r="FDO24" s="720"/>
      <c r="FDP24" s="720"/>
      <c r="FDQ24" s="720"/>
      <c r="FDR24" s="720"/>
      <c r="FDS24" s="720"/>
      <c r="FDT24" s="720"/>
      <c r="FDU24" s="720"/>
      <c r="FDV24" s="720"/>
      <c r="FDW24" s="720"/>
      <c r="FDX24" s="720"/>
      <c r="FDY24" s="720"/>
      <c r="FDZ24" s="720"/>
      <c r="FEA24" s="720"/>
      <c r="FEB24" s="720"/>
      <c r="FEC24" s="720"/>
      <c r="FED24" s="720"/>
      <c r="FEE24" s="720"/>
      <c r="FEF24" s="720"/>
      <c r="FEG24" s="720"/>
      <c r="FEH24" s="720"/>
      <c r="FEI24" s="720"/>
      <c r="FEJ24" s="720"/>
      <c r="FEK24" s="720"/>
      <c r="FEL24" s="720"/>
      <c r="FEM24" s="720"/>
      <c r="FEN24" s="720"/>
      <c r="FEO24" s="720"/>
      <c r="FEP24" s="720"/>
      <c r="FEQ24" s="720"/>
      <c r="FER24" s="720"/>
      <c r="FES24" s="720"/>
      <c r="FET24" s="720"/>
      <c r="FEU24" s="720"/>
      <c r="FEV24" s="720"/>
      <c r="FEW24" s="720"/>
      <c r="FEX24" s="720"/>
      <c r="FEY24" s="720"/>
      <c r="FEZ24" s="720"/>
      <c r="FFA24" s="720"/>
      <c r="FFB24" s="720"/>
      <c r="FFC24" s="720"/>
      <c r="FFD24" s="720"/>
      <c r="FFE24" s="720"/>
      <c r="FFF24" s="720"/>
      <c r="FFG24" s="720"/>
      <c r="FFH24" s="720"/>
      <c r="FFI24" s="720"/>
      <c r="FFJ24" s="720"/>
      <c r="FFK24" s="720"/>
      <c r="FFL24" s="720"/>
      <c r="FFM24" s="720"/>
      <c r="FFN24" s="720"/>
      <c r="FFO24" s="720"/>
      <c r="FFP24" s="720"/>
      <c r="FFQ24" s="720"/>
      <c r="FFR24" s="720"/>
      <c r="FFS24" s="720"/>
      <c r="FFT24" s="720"/>
      <c r="FFU24" s="720"/>
      <c r="FFV24" s="720"/>
      <c r="FFW24" s="720"/>
      <c r="FFX24" s="720"/>
      <c r="FFY24" s="720"/>
      <c r="FFZ24" s="720"/>
      <c r="FGA24" s="720"/>
      <c r="FGB24" s="720"/>
      <c r="FGC24" s="720"/>
      <c r="FGD24" s="720"/>
      <c r="FGE24" s="720"/>
      <c r="FGF24" s="720"/>
      <c r="FGG24" s="720"/>
      <c r="FGH24" s="720"/>
      <c r="FGI24" s="720"/>
      <c r="FGJ24" s="720"/>
      <c r="FGK24" s="720"/>
      <c r="FGL24" s="720"/>
      <c r="FGM24" s="720"/>
      <c r="FGN24" s="720"/>
      <c r="FGO24" s="720"/>
      <c r="FGP24" s="720"/>
      <c r="FGQ24" s="720"/>
      <c r="FGR24" s="720"/>
      <c r="FGS24" s="720"/>
      <c r="FGT24" s="720"/>
      <c r="FGU24" s="720"/>
      <c r="FGV24" s="720"/>
      <c r="FGW24" s="720"/>
      <c r="FGX24" s="720"/>
      <c r="FGY24" s="720"/>
      <c r="FGZ24" s="720"/>
      <c r="FHA24" s="720"/>
      <c r="FHB24" s="720"/>
      <c r="FHC24" s="720"/>
      <c r="FHD24" s="720"/>
      <c r="FHE24" s="720"/>
      <c r="FHF24" s="720"/>
      <c r="FHG24" s="720"/>
      <c r="FHH24" s="720"/>
      <c r="FHI24" s="720"/>
      <c r="FHJ24" s="720"/>
      <c r="FHK24" s="720"/>
      <c r="FHL24" s="720"/>
      <c r="FHM24" s="720"/>
      <c r="FHN24" s="720"/>
      <c r="FHO24" s="720"/>
      <c r="FHP24" s="720"/>
      <c r="FHQ24" s="720"/>
      <c r="FHR24" s="720"/>
      <c r="FHS24" s="720"/>
      <c r="FHT24" s="720"/>
      <c r="FHU24" s="720"/>
      <c r="FHV24" s="720"/>
      <c r="FHW24" s="720"/>
      <c r="FHX24" s="720"/>
      <c r="FHY24" s="720"/>
      <c r="FHZ24" s="720"/>
      <c r="FIA24" s="720"/>
      <c r="FIB24" s="720"/>
      <c r="FIC24" s="720"/>
      <c r="FID24" s="720"/>
      <c r="FIE24" s="720"/>
      <c r="FIF24" s="720"/>
      <c r="FIG24" s="720"/>
      <c r="FIH24" s="720"/>
      <c r="FII24" s="720"/>
      <c r="FIJ24" s="720"/>
      <c r="FIK24" s="720"/>
      <c r="FIL24" s="720"/>
      <c r="FIM24" s="720"/>
      <c r="FIN24" s="720"/>
      <c r="FIO24" s="720"/>
      <c r="FIP24" s="720"/>
      <c r="FIQ24" s="720"/>
      <c r="FIR24" s="720"/>
      <c r="FIS24" s="720"/>
      <c r="FIT24" s="720"/>
      <c r="FIU24" s="720"/>
      <c r="FIV24" s="720"/>
      <c r="FIW24" s="720"/>
      <c r="FIX24" s="720"/>
      <c r="FIY24" s="720"/>
      <c r="FIZ24" s="720"/>
      <c r="FJA24" s="720"/>
      <c r="FJB24" s="720"/>
      <c r="FJC24" s="720"/>
      <c r="FJD24" s="720"/>
      <c r="FJE24" s="720"/>
      <c r="FJF24" s="720"/>
      <c r="FJG24" s="720"/>
      <c r="FJH24" s="720"/>
      <c r="FJI24" s="720"/>
      <c r="FJJ24" s="720"/>
      <c r="FJK24" s="720"/>
      <c r="FJL24" s="720"/>
      <c r="FJM24" s="720"/>
      <c r="FJN24" s="720"/>
      <c r="FJO24" s="720"/>
      <c r="FJP24" s="720"/>
      <c r="FJQ24" s="720"/>
      <c r="FJR24" s="720"/>
      <c r="FJS24" s="720"/>
      <c r="FJT24" s="720"/>
      <c r="FJU24" s="720"/>
      <c r="FJV24" s="720"/>
      <c r="FJW24" s="720"/>
      <c r="FJX24" s="720"/>
      <c r="FJY24" s="720"/>
      <c r="FJZ24" s="720"/>
      <c r="FKA24" s="720"/>
      <c r="FKB24" s="720"/>
      <c r="FKC24" s="720"/>
      <c r="FKD24" s="720"/>
      <c r="FKE24" s="720"/>
      <c r="FKF24" s="720"/>
      <c r="FKG24" s="720"/>
      <c r="FKH24" s="720"/>
      <c r="FKI24" s="720"/>
      <c r="FKJ24" s="720"/>
      <c r="FKK24" s="720"/>
      <c r="FKL24" s="720"/>
      <c r="FKM24" s="720"/>
      <c r="FKN24" s="720"/>
      <c r="FKO24" s="720"/>
      <c r="FKP24" s="720"/>
      <c r="FKQ24" s="720"/>
      <c r="FKR24" s="720"/>
      <c r="FKS24" s="720"/>
      <c r="FKT24" s="720"/>
      <c r="FKU24" s="720"/>
      <c r="FKV24" s="720"/>
      <c r="FKW24" s="720"/>
      <c r="FKX24" s="720"/>
      <c r="FKY24" s="720"/>
      <c r="FKZ24" s="720"/>
      <c r="FLA24" s="720"/>
      <c r="FLB24" s="720"/>
      <c r="FLC24" s="720"/>
      <c r="FLD24" s="720"/>
      <c r="FLE24" s="720"/>
      <c r="FLF24" s="720"/>
      <c r="FLG24" s="720"/>
      <c r="FLH24" s="720"/>
      <c r="FLI24" s="720"/>
      <c r="FLJ24" s="720"/>
      <c r="FLK24" s="720"/>
      <c r="FLL24" s="720"/>
      <c r="FLM24" s="720"/>
      <c r="FLN24" s="720"/>
      <c r="FLO24" s="720"/>
      <c r="FLP24" s="720"/>
      <c r="FLQ24" s="720"/>
      <c r="FLR24" s="720"/>
      <c r="FLS24" s="720"/>
      <c r="FLT24" s="720"/>
      <c r="FLU24" s="720"/>
      <c r="FLV24" s="720"/>
      <c r="FLW24" s="720"/>
      <c r="FLX24" s="720"/>
      <c r="FLY24" s="720"/>
      <c r="FLZ24" s="720"/>
      <c r="FMA24" s="720"/>
      <c r="FMB24" s="720"/>
      <c r="FMC24" s="720"/>
      <c r="FMD24" s="720"/>
      <c r="FME24" s="720"/>
      <c r="FMF24" s="720"/>
      <c r="FMG24" s="720"/>
      <c r="FMH24" s="720"/>
      <c r="FMI24" s="720"/>
      <c r="FMJ24" s="720"/>
      <c r="FMK24" s="720"/>
      <c r="FML24" s="720"/>
      <c r="FMM24" s="720"/>
      <c r="FMN24" s="720"/>
      <c r="FMO24" s="720"/>
      <c r="FMP24" s="720"/>
      <c r="FMQ24" s="720"/>
      <c r="FMR24" s="720"/>
      <c r="FMS24" s="720"/>
      <c r="FMT24" s="720"/>
      <c r="FMU24" s="720"/>
      <c r="FMV24" s="720"/>
      <c r="FMW24" s="720"/>
      <c r="FMX24" s="720"/>
      <c r="FMY24" s="720"/>
      <c r="FMZ24" s="720"/>
      <c r="FNA24" s="720"/>
      <c r="FNB24" s="720"/>
      <c r="FNC24" s="720"/>
      <c r="FND24" s="720"/>
      <c r="FNE24" s="720"/>
      <c r="FNF24" s="720"/>
      <c r="FNG24" s="720"/>
      <c r="FNH24" s="720"/>
      <c r="FNI24" s="720"/>
      <c r="FNJ24" s="720"/>
      <c r="FNK24" s="720"/>
      <c r="FNL24" s="720"/>
      <c r="FNM24" s="720"/>
      <c r="FNN24" s="720"/>
      <c r="FNO24" s="720"/>
      <c r="FNP24" s="720"/>
      <c r="FNQ24" s="720"/>
      <c r="FNR24" s="720"/>
      <c r="FNS24" s="720"/>
      <c r="FNT24" s="720"/>
      <c r="FNU24" s="720"/>
      <c r="FNV24" s="720"/>
      <c r="FNW24" s="720"/>
      <c r="FNX24" s="720"/>
      <c r="FNY24" s="720"/>
      <c r="FNZ24" s="720"/>
      <c r="FOA24" s="720"/>
      <c r="FOB24" s="720"/>
      <c r="FOC24" s="720"/>
      <c r="FOD24" s="720"/>
      <c r="FOE24" s="720"/>
      <c r="FOF24" s="720"/>
      <c r="FOG24" s="720"/>
      <c r="FOH24" s="720"/>
      <c r="FOI24" s="720"/>
      <c r="FOJ24" s="720"/>
      <c r="FOK24" s="720"/>
      <c r="FOL24" s="720"/>
      <c r="FOM24" s="720"/>
      <c r="FON24" s="720"/>
      <c r="FOO24" s="720"/>
      <c r="FOP24" s="720"/>
      <c r="FOQ24" s="720"/>
      <c r="FOR24" s="720"/>
      <c r="FOS24" s="720"/>
      <c r="FOT24" s="720"/>
      <c r="FOU24" s="720"/>
      <c r="FOV24" s="720"/>
      <c r="FOW24" s="720"/>
      <c r="FOX24" s="720"/>
      <c r="FOY24" s="720"/>
      <c r="FOZ24" s="720"/>
      <c r="FPA24" s="720"/>
      <c r="FPB24" s="720"/>
      <c r="FPC24" s="720"/>
      <c r="FPD24" s="720"/>
      <c r="FPE24" s="720"/>
      <c r="FPF24" s="720"/>
      <c r="FPG24" s="720"/>
      <c r="FPH24" s="720"/>
      <c r="FPI24" s="720"/>
      <c r="FPJ24" s="720"/>
      <c r="FPK24" s="720"/>
      <c r="FPL24" s="720"/>
      <c r="FPM24" s="720"/>
      <c r="FPN24" s="720"/>
      <c r="FPO24" s="720"/>
      <c r="FPP24" s="720"/>
      <c r="FPQ24" s="720"/>
      <c r="FPR24" s="720"/>
      <c r="FPS24" s="720"/>
      <c r="FPT24" s="720"/>
      <c r="FPU24" s="720"/>
      <c r="FPV24" s="720"/>
      <c r="FPW24" s="720"/>
      <c r="FPX24" s="720"/>
      <c r="FPY24" s="720"/>
      <c r="FPZ24" s="720"/>
      <c r="FQA24" s="720"/>
      <c r="FQB24" s="720"/>
      <c r="FQC24" s="720"/>
      <c r="FQD24" s="720"/>
      <c r="FQE24" s="720"/>
      <c r="FQF24" s="720"/>
      <c r="FQG24" s="720"/>
      <c r="FQH24" s="720"/>
      <c r="FQI24" s="720"/>
      <c r="FQJ24" s="720"/>
      <c r="FQK24" s="720"/>
      <c r="FQL24" s="720"/>
      <c r="FQM24" s="720"/>
      <c r="FQN24" s="720"/>
      <c r="FQO24" s="720"/>
      <c r="FQP24" s="720"/>
      <c r="FQQ24" s="720"/>
      <c r="FQR24" s="720"/>
      <c r="FQS24" s="720"/>
      <c r="FQT24" s="720"/>
      <c r="FQU24" s="720"/>
      <c r="FQV24" s="720"/>
      <c r="FQW24" s="720"/>
      <c r="FQX24" s="720"/>
      <c r="FQY24" s="720"/>
      <c r="FQZ24" s="720"/>
      <c r="FRA24" s="720"/>
      <c r="FRB24" s="720"/>
      <c r="FRC24" s="720"/>
      <c r="FRD24" s="720"/>
      <c r="FRE24" s="720"/>
      <c r="FRF24" s="720"/>
      <c r="FRG24" s="720"/>
      <c r="FRH24" s="720"/>
      <c r="FRI24" s="720"/>
      <c r="FRJ24" s="720"/>
      <c r="FRK24" s="720"/>
      <c r="FRL24" s="720"/>
      <c r="FRM24" s="720"/>
      <c r="FRN24" s="720"/>
      <c r="FRO24" s="720"/>
      <c r="FRP24" s="720"/>
      <c r="FRQ24" s="720"/>
      <c r="FRR24" s="720"/>
      <c r="FRS24" s="720"/>
      <c r="FRT24" s="720"/>
      <c r="FRU24" s="720"/>
      <c r="FRV24" s="720"/>
      <c r="FRW24" s="720"/>
      <c r="FRX24" s="720"/>
      <c r="FRY24" s="720"/>
      <c r="FRZ24" s="720"/>
      <c r="FSA24" s="720"/>
      <c r="FSB24" s="720"/>
      <c r="FSC24" s="720"/>
      <c r="FSD24" s="720"/>
      <c r="FSE24" s="720"/>
      <c r="FSF24" s="720"/>
      <c r="FSG24" s="720"/>
      <c r="FSH24" s="720"/>
      <c r="FSI24" s="720"/>
      <c r="FSJ24" s="720"/>
      <c r="FSK24" s="720"/>
      <c r="FSL24" s="720"/>
      <c r="FSM24" s="720"/>
      <c r="FSN24" s="720"/>
      <c r="FSO24" s="720"/>
      <c r="FSP24" s="720"/>
      <c r="FSQ24" s="720"/>
      <c r="FSR24" s="720"/>
      <c r="FSS24" s="720"/>
      <c r="FST24" s="720"/>
      <c r="FSU24" s="720"/>
      <c r="FSV24" s="720"/>
      <c r="FSW24" s="720"/>
      <c r="FSX24" s="720"/>
      <c r="FSY24" s="720"/>
      <c r="FSZ24" s="720"/>
      <c r="FTA24" s="720"/>
      <c r="FTB24" s="720"/>
      <c r="FTC24" s="720"/>
      <c r="FTD24" s="720"/>
      <c r="FTE24" s="720"/>
      <c r="FTF24" s="720"/>
      <c r="FTG24" s="720"/>
      <c r="FTH24" s="720"/>
      <c r="FTI24" s="720"/>
      <c r="FTJ24" s="720"/>
      <c r="FTK24" s="720"/>
      <c r="FTL24" s="720"/>
      <c r="FTM24" s="720"/>
      <c r="FTN24" s="720"/>
      <c r="FTO24" s="720"/>
      <c r="FTP24" s="720"/>
      <c r="FTQ24" s="720"/>
      <c r="FTR24" s="720"/>
      <c r="FTS24" s="720"/>
      <c r="FTT24" s="720"/>
      <c r="FTU24" s="720"/>
      <c r="FTV24" s="720"/>
      <c r="FTW24" s="720"/>
      <c r="FTX24" s="720"/>
      <c r="FTY24" s="720"/>
      <c r="FTZ24" s="720"/>
      <c r="FUA24" s="720"/>
      <c r="FUB24" s="720"/>
      <c r="FUC24" s="720"/>
      <c r="FUD24" s="720"/>
      <c r="FUE24" s="720"/>
      <c r="FUF24" s="720"/>
      <c r="FUG24" s="720"/>
      <c r="FUH24" s="720"/>
      <c r="FUI24" s="720"/>
      <c r="FUJ24" s="720"/>
      <c r="FUK24" s="720"/>
      <c r="FUL24" s="720"/>
      <c r="FUM24" s="720"/>
      <c r="FUN24" s="720"/>
      <c r="FUO24" s="720"/>
      <c r="FUP24" s="720"/>
      <c r="FUQ24" s="720"/>
      <c r="FUR24" s="720"/>
      <c r="FUS24" s="720"/>
      <c r="FUT24" s="720"/>
      <c r="FUU24" s="720"/>
      <c r="FUV24" s="720"/>
      <c r="FUW24" s="720"/>
      <c r="FUX24" s="720"/>
      <c r="FUY24" s="720"/>
      <c r="FUZ24" s="720"/>
      <c r="FVA24" s="720"/>
      <c r="FVB24" s="720"/>
      <c r="FVC24" s="720"/>
      <c r="FVD24" s="720"/>
      <c r="FVE24" s="720"/>
      <c r="FVF24" s="720"/>
      <c r="FVG24" s="720"/>
      <c r="FVH24" s="720"/>
      <c r="FVI24" s="720"/>
      <c r="FVJ24" s="720"/>
      <c r="FVK24" s="720"/>
      <c r="FVL24" s="720"/>
      <c r="FVM24" s="720"/>
      <c r="FVN24" s="720"/>
      <c r="FVO24" s="720"/>
      <c r="FVP24" s="720"/>
      <c r="FVQ24" s="720"/>
      <c r="FVR24" s="720"/>
      <c r="FVS24" s="720"/>
      <c r="FVT24" s="720"/>
      <c r="FVU24" s="720"/>
      <c r="FVV24" s="720"/>
      <c r="FVW24" s="720"/>
      <c r="FVX24" s="720"/>
      <c r="FVY24" s="720"/>
      <c r="FVZ24" s="720"/>
      <c r="FWA24" s="720"/>
      <c r="FWB24" s="720"/>
      <c r="FWC24" s="720"/>
      <c r="FWD24" s="720"/>
      <c r="FWE24" s="720"/>
      <c r="FWF24" s="720"/>
      <c r="FWG24" s="720"/>
      <c r="FWH24" s="720"/>
      <c r="FWI24" s="720"/>
      <c r="FWJ24" s="720"/>
      <c r="FWK24" s="720"/>
      <c r="FWL24" s="720"/>
      <c r="FWM24" s="720"/>
      <c r="FWN24" s="720"/>
      <c r="FWO24" s="720"/>
      <c r="FWP24" s="720"/>
      <c r="FWQ24" s="720"/>
      <c r="FWR24" s="720"/>
      <c r="FWS24" s="720"/>
      <c r="FWT24" s="720"/>
      <c r="FWU24" s="720"/>
      <c r="FWV24" s="720"/>
      <c r="FWW24" s="720"/>
      <c r="FWX24" s="720"/>
      <c r="FWY24" s="720"/>
      <c r="FWZ24" s="720"/>
      <c r="FXA24" s="720"/>
      <c r="FXB24" s="720"/>
      <c r="FXC24" s="720"/>
      <c r="FXD24" s="720"/>
      <c r="FXE24" s="720"/>
      <c r="FXF24" s="720"/>
      <c r="FXG24" s="720"/>
      <c r="FXH24" s="720"/>
      <c r="FXI24" s="720"/>
      <c r="FXJ24" s="720"/>
      <c r="FXK24" s="720"/>
      <c r="FXL24" s="720"/>
      <c r="FXM24" s="720"/>
      <c r="FXN24" s="720"/>
      <c r="FXO24" s="720"/>
      <c r="FXP24" s="720"/>
      <c r="FXQ24" s="720"/>
      <c r="FXR24" s="720"/>
      <c r="FXS24" s="720"/>
      <c r="FXT24" s="720"/>
      <c r="FXU24" s="720"/>
      <c r="FXV24" s="720"/>
      <c r="FXW24" s="720"/>
      <c r="FXX24" s="720"/>
      <c r="FXY24" s="720"/>
      <c r="FXZ24" s="720"/>
      <c r="FYA24" s="720"/>
      <c r="FYB24" s="720"/>
      <c r="FYC24" s="720"/>
      <c r="FYD24" s="720"/>
      <c r="FYE24" s="720"/>
      <c r="FYF24" s="720"/>
      <c r="FYG24" s="720"/>
      <c r="FYH24" s="720"/>
      <c r="FYI24" s="720"/>
      <c r="FYJ24" s="720"/>
      <c r="FYK24" s="720"/>
      <c r="FYL24" s="720"/>
      <c r="FYM24" s="720"/>
      <c r="FYN24" s="720"/>
      <c r="FYO24" s="720"/>
      <c r="FYP24" s="720"/>
      <c r="FYQ24" s="720"/>
      <c r="FYR24" s="720"/>
      <c r="FYS24" s="720"/>
      <c r="FYT24" s="720"/>
      <c r="FYU24" s="720"/>
      <c r="FYV24" s="720"/>
      <c r="FYW24" s="720"/>
      <c r="FYX24" s="720"/>
      <c r="FYY24" s="720"/>
      <c r="FYZ24" s="720"/>
      <c r="FZA24" s="720"/>
      <c r="FZB24" s="720"/>
      <c r="FZC24" s="720"/>
      <c r="FZD24" s="720"/>
      <c r="FZE24" s="720"/>
      <c r="FZF24" s="720"/>
      <c r="FZG24" s="720"/>
      <c r="FZH24" s="720"/>
      <c r="FZI24" s="720"/>
      <c r="FZJ24" s="720"/>
      <c r="FZK24" s="720"/>
      <c r="FZL24" s="720"/>
      <c r="FZM24" s="720"/>
      <c r="FZN24" s="720"/>
      <c r="FZO24" s="720"/>
      <c r="FZP24" s="720"/>
      <c r="FZQ24" s="720"/>
      <c r="FZR24" s="720"/>
      <c r="FZS24" s="720"/>
      <c r="FZT24" s="720"/>
      <c r="FZU24" s="720"/>
      <c r="FZV24" s="720"/>
      <c r="FZW24" s="720"/>
      <c r="FZX24" s="720"/>
      <c r="FZY24" s="720"/>
      <c r="FZZ24" s="720"/>
      <c r="GAA24" s="720"/>
      <c r="GAB24" s="720"/>
      <c r="GAC24" s="720"/>
      <c r="GAD24" s="720"/>
      <c r="GAE24" s="720"/>
      <c r="GAF24" s="720"/>
      <c r="GAG24" s="720"/>
      <c r="GAH24" s="720"/>
      <c r="GAI24" s="720"/>
      <c r="GAJ24" s="720"/>
      <c r="GAK24" s="720"/>
      <c r="GAL24" s="720"/>
      <c r="GAM24" s="720"/>
      <c r="GAN24" s="720"/>
      <c r="GAO24" s="720"/>
      <c r="GAP24" s="720"/>
      <c r="GAQ24" s="720"/>
      <c r="GAR24" s="720"/>
      <c r="GAS24" s="720"/>
      <c r="GAT24" s="720"/>
      <c r="GAU24" s="720"/>
      <c r="GAV24" s="720"/>
      <c r="GAW24" s="720"/>
      <c r="GAX24" s="720"/>
      <c r="GAY24" s="720"/>
      <c r="GAZ24" s="720"/>
      <c r="GBA24" s="720"/>
      <c r="GBB24" s="720"/>
      <c r="GBC24" s="720"/>
      <c r="GBD24" s="720"/>
      <c r="GBE24" s="720"/>
      <c r="GBF24" s="720"/>
      <c r="GBG24" s="720"/>
      <c r="GBH24" s="720"/>
      <c r="GBI24" s="720"/>
      <c r="GBJ24" s="720"/>
      <c r="GBK24" s="720"/>
      <c r="GBL24" s="720"/>
      <c r="GBM24" s="720"/>
      <c r="GBN24" s="720"/>
      <c r="GBO24" s="720"/>
      <c r="GBP24" s="720"/>
      <c r="GBQ24" s="720"/>
      <c r="GBR24" s="720"/>
      <c r="GBS24" s="720"/>
      <c r="GBT24" s="720"/>
      <c r="GBU24" s="720"/>
      <c r="GBV24" s="720"/>
      <c r="GBW24" s="720"/>
      <c r="GBX24" s="720"/>
      <c r="GBY24" s="720"/>
      <c r="GBZ24" s="720"/>
      <c r="GCA24" s="720"/>
      <c r="GCB24" s="720"/>
      <c r="GCC24" s="720"/>
      <c r="GCD24" s="720"/>
      <c r="GCE24" s="720"/>
      <c r="GCF24" s="720"/>
      <c r="GCG24" s="720"/>
      <c r="GCH24" s="720"/>
      <c r="GCI24" s="720"/>
      <c r="GCJ24" s="720"/>
      <c r="GCK24" s="720"/>
      <c r="GCL24" s="720"/>
      <c r="GCM24" s="720"/>
      <c r="GCN24" s="720"/>
      <c r="GCO24" s="720"/>
      <c r="GCP24" s="720"/>
      <c r="GCQ24" s="720"/>
      <c r="GCR24" s="720"/>
      <c r="GCS24" s="720"/>
      <c r="GCT24" s="720"/>
      <c r="GCU24" s="720"/>
      <c r="GCV24" s="720"/>
      <c r="GCW24" s="720"/>
      <c r="GCX24" s="720"/>
      <c r="GCY24" s="720"/>
      <c r="GCZ24" s="720"/>
      <c r="GDA24" s="720"/>
      <c r="GDB24" s="720"/>
      <c r="GDC24" s="720"/>
      <c r="GDD24" s="720"/>
      <c r="GDE24" s="720"/>
      <c r="GDF24" s="720"/>
      <c r="GDG24" s="720"/>
      <c r="GDH24" s="720"/>
      <c r="GDI24" s="720"/>
      <c r="GDJ24" s="720"/>
      <c r="GDK24" s="720"/>
      <c r="GDL24" s="720"/>
      <c r="GDM24" s="720"/>
      <c r="GDN24" s="720"/>
      <c r="GDO24" s="720"/>
      <c r="GDP24" s="720"/>
      <c r="GDQ24" s="720"/>
      <c r="GDR24" s="720"/>
      <c r="GDS24" s="720"/>
      <c r="GDT24" s="720"/>
      <c r="GDU24" s="720"/>
      <c r="GDV24" s="720"/>
      <c r="GDW24" s="720"/>
      <c r="GDX24" s="720"/>
      <c r="GDY24" s="720"/>
      <c r="GDZ24" s="720"/>
      <c r="GEA24" s="720"/>
      <c r="GEB24" s="720"/>
      <c r="GEC24" s="720"/>
      <c r="GED24" s="720"/>
      <c r="GEE24" s="720"/>
      <c r="GEF24" s="720"/>
      <c r="GEG24" s="720"/>
      <c r="GEH24" s="720"/>
      <c r="GEI24" s="720"/>
      <c r="GEJ24" s="720"/>
      <c r="GEK24" s="720"/>
      <c r="GEL24" s="720"/>
      <c r="GEM24" s="720"/>
      <c r="GEN24" s="720"/>
      <c r="GEO24" s="720"/>
      <c r="GEP24" s="720"/>
      <c r="GEQ24" s="720"/>
      <c r="GER24" s="720"/>
      <c r="GES24" s="720"/>
      <c r="GET24" s="720"/>
      <c r="GEU24" s="720"/>
      <c r="GEV24" s="720"/>
      <c r="GEW24" s="720"/>
      <c r="GEX24" s="720"/>
      <c r="GEY24" s="720"/>
      <c r="GEZ24" s="720"/>
      <c r="GFA24" s="720"/>
      <c r="GFB24" s="720"/>
      <c r="GFC24" s="720"/>
      <c r="GFD24" s="720"/>
      <c r="GFE24" s="720"/>
      <c r="GFF24" s="720"/>
      <c r="GFG24" s="720"/>
      <c r="GFH24" s="720"/>
      <c r="GFI24" s="720"/>
      <c r="GFJ24" s="720"/>
      <c r="GFK24" s="720"/>
      <c r="GFL24" s="720"/>
      <c r="GFM24" s="720"/>
      <c r="GFN24" s="720"/>
      <c r="GFO24" s="720"/>
      <c r="GFP24" s="720"/>
      <c r="GFQ24" s="720"/>
      <c r="GFR24" s="720"/>
      <c r="GFS24" s="720"/>
      <c r="GFT24" s="720"/>
      <c r="GFU24" s="720"/>
      <c r="GFV24" s="720"/>
      <c r="GFW24" s="720"/>
      <c r="GFX24" s="720"/>
      <c r="GFY24" s="720"/>
      <c r="GFZ24" s="720"/>
      <c r="GGA24" s="720"/>
      <c r="GGB24" s="720"/>
      <c r="GGC24" s="720"/>
      <c r="GGD24" s="720"/>
      <c r="GGE24" s="720"/>
      <c r="GGF24" s="720"/>
      <c r="GGG24" s="720"/>
      <c r="GGH24" s="720"/>
      <c r="GGI24" s="720"/>
      <c r="GGJ24" s="720"/>
      <c r="GGK24" s="720"/>
      <c r="GGL24" s="720"/>
      <c r="GGM24" s="720"/>
      <c r="GGN24" s="720"/>
      <c r="GGO24" s="720"/>
      <c r="GGP24" s="720"/>
      <c r="GGQ24" s="720"/>
      <c r="GGR24" s="720"/>
      <c r="GGS24" s="720"/>
      <c r="GGT24" s="720"/>
      <c r="GGU24" s="720"/>
      <c r="GGV24" s="720"/>
      <c r="GGW24" s="720"/>
      <c r="GGX24" s="720"/>
      <c r="GGY24" s="720"/>
      <c r="GGZ24" s="720"/>
      <c r="GHA24" s="720"/>
      <c r="GHB24" s="720"/>
      <c r="GHC24" s="720"/>
      <c r="GHD24" s="720"/>
      <c r="GHE24" s="720"/>
      <c r="GHF24" s="720"/>
      <c r="GHG24" s="720"/>
      <c r="GHH24" s="720"/>
      <c r="GHI24" s="720"/>
      <c r="GHJ24" s="720"/>
      <c r="GHK24" s="720"/>
      <c r="GHL24" s="720"/>
      <c r="GHM24" s="720"/>
      <c r="GHN24" s="720"/>
      <c r="GHO24" s="720"/>
      <c r="GHP24" s="720"/>
      <c r="GHQ24" s="720"/>
      <c r="GHR24" s="720"/>
      <c r="GHS24" s="720"/>
      <c r="GHT24" s="720"/>
      <c r="GHU24" s="720"/>
      <c r="GHV24" s="720"/>
      <c r="GHW24" s="720"/>
      <c r="GHX24" s="720"/>
      <c r="GHY24" s="720"/>
      <c r="GHZ24" s="720"/>
      <c r="GIA24" s="720"/>
      <c r="GIB24" s="720"/>
      <c r="GIC24" s="720"/>
      <c r="GID24" s="720"/>
      <c r="GIE24" s="720"/>
      <c r="GIF24" s="720"/>
      <c r="GIG24" s="720"/>
      <c r="GIH24" s="720"/>
      <c r="GII24" s="720"/>
      <c r="GIJ24" s="720"/>
      <c r="GIK24" s="720"/>
      <c r="GIL24" s="720"/>
      <c r="GIM24" s="720"/>
      <c r="GIN24" s="720"/>
      <c r="GIO24" s="720"/>
      <c r="GIP24" s="720"/>
      <c r="GIQ24" s="720"/>
      <c r="GIR24" s="720"/>
      <c r="GIS24" s="720"/>
      <c r="GIT24" s="720"/>
      <c r="GIU24" s="720"/>
      <c r="GIV24" s="720"/>
      <c r="GIW24" s="720"/>
      <c r="GIX24" s="720"/>
      <c r="GIY24" s="720"/>
      <c r="GIZ24" s="720"/>
      <c r="GJA24" s="720"/>
      <c r="GJB24" s="720"/>
      <c r="GJC24" s="720"/>
      <c r="GJD24" s="720"/>
      <c r="GJE24" s="720"/>
      <c r="GJF24" s="720"/>
      <c r="GJG24" s="720"/>
      <c r="GJH24" s="720"/>
      <c r="GJI24" s="720"/>
      <c r="GJJ24" s="720"/>
      <c r="GJK24" s="720"/>
      <c r="GJL24" s="720"/>
      <c r="GJM24" s="720"/>
      <c r="GJN24" s="720"/>
      <c r="GJO24" s="720"/>
      <c r="GJP24" s="720"/>
      <c r="GJQ24" s="720"/>
      <c r="GJR24" s="720"/>
      <c r="GJS24" s="720"/>
      <c r="GJT24" s="720"/>
      <c r="GJU24" s="720"/>
      <c r="GJV24" s="720"/>
      <c r="GJW24" s="720"/>
      <c r="GJX24" s="720"/>
      <c r="GJY24" s="720"/>
      <c r="GJZ24" s="720"/>
      <c r="GKA24" s="720"/>
      <c r="GKB24" s="720"/>
      <c r="GKC24" s="720"/>
      <c r="GKD24" s="720"/>
      <c r="GKE24" s="720"/>
      <c r="GKF24" s="720"/>
      <c r="GKG24" s="720"/>
      <c r="GKH24" s="720"/>
      <c r="GKI24" s="720"/>
      <c r="GKJ24" s="720"/>
      <c r="GKK24" s="720"/>
      <c r="GKL24" s="720"/>
      <c r="GKM24" s="720"/>
      <c r="GKN24" s="720"/>
      <c r="GKO24" s="720"/>
      <c r="GKP24" s="720"/>
      <c r="GKQ24" s="720"/>
      <c r="GKR24" s="720"/>
      <c r="GKS24" s="720"/>
      <c r="GKT24" s="720"/>
      <c r="GKU24" s="720"/>
      <c r="GKV24" s="720"/>
      <c r="GKW24" s="720"/>
      <c r="GKX24" s="720"/>
      <c r="GKY24" s="720"/>
      <c r="GKZ24" s="720"/>
      <c r="GLA24" s="720"/>
      <c r="GLB24" s="720"/>
      <c r="GLC24" s="720"/>
      <c r="GLD24" s="720"/>
      <c r="GLE24" s="720"/>
      <c r="GLF24" s="720"/>
      <c r="GLG24" s="720"/>
      <c r="GLH24" s="720"/>
      <c r="GLI24" s="720"/>
      <c r="GLJ24" s="720"/>
      <c r="GLK24" s="720"/>
      <c r="GLL24" s="720"/>
      <c r="GLM24" s="720"/>
      <c r="GLN24" s="720"/>
      <c r="GLO24" s="720"/>
      <c r="GLP24" s="720"/>
      <c r="GLQ24" s="720"/>
      <c r="GLR24" s="720"/>
      <c r="GLS24" s="720"/>
      <c r="GLT24" s="720"/>
      <c r="GLU24" s="720"/>
      <c r="GLV24" s="720"/>
      <c r="GLW24" s="720"/>
      <c r="GLX24" s="720"/>
      <c r="GLY24" s="720"/>
      <c r="GLZ24" s="720"/>
      <c r="GMA24" s="720"/>
      <c r="GMB24" s="720"/>
      <c r="GMC24" s="720"/>
      <c r="GMD24" s="720"/>
      <c r="GME24" s="720"/>
      <c r="GMF24" s="720"/>
      <c r="GMG24" s="720"/>
      <c r="GMH24" s="720"/>
      <c r="GMI24" s="720"/>
      <c r="GMJ24" s="720"/>
      <c r="GMK24" s="720"/>
      <c r="GML24" s="720"/>
      <c r="GMM24" s="720"/>
      <c r="GMN24" s="720"/>
      <c r="GMO24" s="720"/>
      <c r="GMP24" s="720"/>
      <c r="GMQ24" s="720"/>
      <c r="GMR24" s="720"/>
      <c r="GMS24" s="720"/>
      <c r="GMT24" s="720"/>
      <c r="GMU24" s="720"/>
      <c r="GMV24" s="720"/>
      <c r="GMW24" s="720"/>
      <c r="GMX24" s="720"/>
      <c r="GMY24" s="720"/>
      <c r="GMZ24" s="720"/>
      <c r="GNA24" s="720"/>
      <c r="GNB24" s="720"/>
      <c r="GNC24" s="720"/>
      <c r="GND24" s="720"/>
      <c r="GNE24" s="720"/>
      <c r="GNF24" s="720"/>
      <c r="GNG24" s="720"/>
      <c r="GNH24" s="720"/>
      <c r="GNI24" s="720"/>
      <c r="GNJ24" s="720"/>
      <c r="GNK24" s="720"/>
      <c r="GNL24" s="720"/>
      <c r="GNM24" s="720"/>
      <c r="GNN24" s="720"/>
      <c r="GNO24" s="720"/>
      <c r="GNP24" s="720"/>
      <c r="GNQ24" s="720"/>
      <c r="GNR24" s="720"/>
      <c r="GNS24" s="720"/>
      <c r="GNT24" s="720"/>
      <c r="GNU24" s="720"/>
      <c r="GNV24" s="720"/>
      <c r="GNW24" s="720"/>
      <c r="GNX24" s="720"/>
      <c r="GNY24" s="720"/>
      <c r="GNZ24" s="720"/>
      <c r="GOA24" s="720"/>
      <c r="GOB24" s="720"/>
      <c r="GOC24" s="720"/>
      <c r="GOD24" s="720"/>
      <c r="GOE24" s="720"/>
      <c r="GOF24" s="720"/>
      <c r="GOG24" s="720"/>
      <c r="GOH24" s="720"/>
      <c r="GOI24" s="720"/>
      <c r="GOJ24" s="720"/>
      <c r="GOK24" s="720"/>
      <c r="GOL24" s="720"/>
      <c r="GOM24" s="720"/>
      <c r="GON24" s="720"/>
      <c r="GOO24" s="720"/>
      <c r="GOP24" s="720"/>
      <c r="GOQ24" s="720"/>
      <c r="GOR24" s="720"/>
      <c r="GOS24" s="720"/>
      <c r="GOT24" s="720"/>
      <c r="GOU24" s="720"/>
      <c r="GOV24" s="720"/>
      <c r="GOW24" s="720"/>
      <c r="GOX24" s="720"/>
      <c r="GOY24" s="720"/>
      <c r="GOZ24" s="720"/>
      <c r="GPA24" s="720"/>
      <c r="GPB24" s="720"/>
      <c r="GPC24" s="720"/>
      <c r="GPD24" s="720"/>
      <c r="GPE24" s="720"/>
      <c r="GPF24" s="720"/>
      <c r="GPG24" s="720"/>
      <c r="GPH24" s="720"/>
      <c r="GPI24" s="720"/>
      <c r="GPJ24" s="720"/>
      <c r="GPK24" s="720"/>
      <c r="GPL24" s="720"/>
      <c r="GPM24" s="720"/>
      <c r="GPN24" s="720"/>
      <c r="GPO24" s="720"/>
      <c r="GPP24" s="720"/>
      <c r="GPQ24" s="720"/>
      <c r="GPR24" s="720"/>
      <c r="GPS24" s="720"/>
      <c r="GPT24" s="720"/>
      <c r="GPU24" s="720"/>
      <c r="GPV24" s="720"/>
      <c r="GPW24" s="720"/>
      <c r="GPX24" s="720"/>
      <c r="GPY24" s="720"/>
      <c r="GPZ24" s="720"/>
      <c r="GQA24" s="720"/>
      <c r="GQB24" s="720"/>
      <c r="GQC24" s="720"/>
      <c r="GQD24" s="720"/>
      <c r="GQE24" s="720"/>
      <c r="GQF24" s="720"/>
      <c r="GQG24" s="720"/>
      <c r="GQH24" s="720"/>
      <c r="GQI24" s="720"/>
      <c r="GQJ24" s="720"/>
      <c r="GQK24" s="720"/>
      <c r="GQL24" s="720"/>
      <c r="GQM24" s="720"/>
      <c r="GQN24" s="720"/>
      <c r="GQO24" s="720"/>
      <c r="GQP24" s="720"/>
      <c r="GQQ24" s="720"/>
      <c r="GQR24" s="720"/>
      <c r="GQS24" s="720"/>
      <c r="GQT24" s="720"/>
      <c r="GQU24" s="720"/>
      <c r="GQV24" s="720"/>
      <c r="GQW24" s="720"/>
      <c r="GQX24" s="720"/>
      <c r="GQY24" s="720"/>
      <c r="GQZ24" s="720"/>
      <c r="GRA24" s="720"/>
      <c r="GRB24" s="720"/>
      <c r="GRC24" s="720"/>
      <c r="GRD24" s="720"/>
      <c r="GRE24" s="720"/>
      <c r="GRF24" s="720"/>
      <c r="GRG24" s="720"/>
      <c r="GRH24" s="720"/>
      <c r="GRI24" s="720"/>
      <c r="GRJ24" s="720"/>
      <c r="GRK24" s="720"/>
      <c r="GRL24" s="720"/>
      <c r="GRM24" s="720"/>
      <c r="GRN24" s="720"/>
      <c r="GRO24" s="720"/>
      <c r="GRP24" s="720"/>
      <c r="GRQ24" s="720"/>
      <c r="GRR24" s="720"/>
      <c r="GRS24" s="720"/>
      <c r="GRT24" s="720"/>
      <c r="GRU24" s="720"/>
      <c r="GRV24" s="720"/>
      <c r="GRW24" s="720"/>
      <c r="GRX24" s="720"/>
      <c r="GRY24" s="720"/>
      <c r="GRZ24" s="720"/>
      <c r="GSA24" s="720"/>
      <c r="GSB24" s="720"/>
      <c r="GSC24" s="720"/>
      <c r="GSD24" s="720"/>
      <c r="GSE24" s="720"/>
      <c r="GSF24" s="720"/>
      <c r="GSG24" s="720"/>
      <c r="GSH24" s="720"/>
      <c r="GSI24" s="720"/>
      <c r="GSJ24" s="720"/>
      <c r="GSK24" s="720"/>
      <c r="GSL24" s="720"/>
      <c r="GSM24" s="720"/>
      <c r="GSN24" s="720"/>
      <c r="GSO24" s="720"/>
      <c r="GSP24" s="720"/>
      <c r="GSQ24" s="720"/>
      <c r="GSR24" s="720"/>
      <c r="GSS24" s="720"/>
      <c r="GST24" s="720"/>
      <c r="GSU24" s="720"/>
      <c r="GSV24" s="720"/>
      <c r="GSW24" s="720"/>
      <c r="GSX24" s="720"/>
      <c r="GSY24" s="720"/>
      <c r="GSZ24" s="720"/>
      <c r="GTA24" s="720"/>
      <c r="GTB24" s="720"/>
      <c r="GTC24" s="720"/>
      <c r="GTD24" s="720"/>
      <c r="GTE24" s="720"/>
      <c r="GTF24" s="720"/>
      <c r="GTG24" s="720"/>
      <c r="GTH24" s="720"/>
      <c r="GTI24" s="720"/>
      <c r="GTJ24" s="720"/>
      <c r="GTK24" s="720"/>
      <c r="GTL24" s="720"/>
      <c r="GTM24" s="720"/>
      <c r="GTN24" s="720"/>
      <c r="GTO24" s="720"/>
      <c r="GTP24" s="720"/>
      <c r="GTQ24" s="720"/>
      <c r="GTR24" s="720"/>
      <c r="GTS24" s="720"/>
      <c r="GTT24" s="720"/>
      <c r="GTU24" s="720"/>
      <c r="GTV24" s="720"/>
      <c r="GTW24" s="720"/>
      <c r="GTX24" s="720"/>
      <c r="GTY24" s="720"/>
      <c r="GTZ24" s="720"/>
      <c r="GUA24" s="720"/>
      <c r="GUB24" s="720"/>
      <c r="GUC24" s="720"/>
      <c r="GUD24" s="720"/>
      <c r="GUE24" s="720"/>
      <c r="GUF24" s="720"/>
      <c r="GUG24" s="720"/>
      <c r="GUH24" s="720"/>
      <c r="GUI24" s="720"/>
      <c r="GUJ24" s="720"/>
      <c r="GUK24" s="720"/>
      <c r="GUL24" s="720"/>
      <c r="GUM24" s="720"/>
      <c r="GUN24" s="720"/>
      <c r="GUO24" s="720"/>
      <c r="GUP24" s="720"/>
      <c r="GUQ24" s="720"/>
      <c r="GUR24" s="720"/>
      <c r="GUS24" s="720"/>
      <c r="GUT24" s="720"/>
      <c r="GUU24" s="720"/>
      <c r="GUV24" s="720"/>
      <c r="GUW24" s="720"/>
      <c r="GUX24" s="720"/>
      <c r="GUY24" s="720"/>
      <c r="GUZ24" s="720"/>
      <c r="GVA24" s="720"/>
      <c r="GVB24" s="720"/>
      <c r="GVC24" s="720"/>
      <c r="GVD24" s="720"/>
      <c r="GVE24" s="720"/>
      <c r="GVF24" s="720"/>
      <c r="GVG24" s="720"/>
      <c r="GVH24" s="720"/>
      <c r="GVI24" s="720"/>
      <c r="GVJ24" s="720"/>
      <c r="GVK24" s="720"/>
      <c r="GVL24" s="720"/>
      <c r="GVM24" s="720"/>
      <c r="GVN24" s="720"/>
      <c r="GVO24" s="720"/>
      <c r="GVP24" s="720"/>
      <c r="GVQ24" s="720"/>
      <c r="GVR24" s="720"/>
      <c r="GVS24" s="720"/>
      <c r="GVT24" s="720"/>
      <c r="GVU24" s="720"/>
      <c r="GVV24" s="720"/>
      <c r="GVW24" s="720"/>
      <c r="GVX24" s="720"/>
      <c r="GVY24" s="720"/>
      <c r="GVZ24" s="720"/>
      <c r="GWA24" s="720"/>
      <c r="GWB24" s="720"/>
      <c r="GWC24" s="720"/>
      <c r="GWD24" s="720"/>
      <c r="GWE24" s="720"/>
      <c r="GWF24" s="720"/>
      <c r="GWG24" s="720"/>
      <c r="GWH24" s="720"/>
      <c r="GWI24" s="720"/>
      <c r="GWJ24" s="720"/>
      <c r="GWK24" s="720"/>
      <c r="GWL24" s="720"/>
      <c r="GWM24" s="720"/>
      <c r="GWN24" s="720"/>
      <c r="GWO24" s="720"/>
      <c r="GWP24" s="720"/>
      <c r="GWQ24" s="720"/>
      <c r="GWR24" s="720"/>
      <c r="GWS24" s="720"/>
      <c r="GWT24" s="720"/>
      <c r="GWU24" s="720"/>
      <c r="GWV24" s="720"/>
      <c r="GWW24" s="720"/>
      <c r="GWX24" s="720"/>
      <c r="GWY24" s="720"/>
      <c r="GWZ24" s="720"/>
      <c r="GXA24" s="720"/>
      <c r="GXB24" s="720"/>
      <c r="GXC24" s="720"/>
      <c r="GXD24" s="720"/>
      <c r="GXE24" s="720"/>
      <c r="GXF24" s="720"/>
      <c r="GXG24" s="720"/>
      <c r="GXH24" s="720"/>
      <c r="GXI24" s="720"/>
      <c r="GXJ24" s="720"/>
      <c r="GXK24" s="720"/>
      <c r="GXL24" s="720"/>
      <c r="GXM24" s="720"/>
      <c r="GXN24" s="720"/>
      <c r="GXO24" s="720"/>
      <c r="GXP24" s="720"/>
      <c r="GXQ24" s="720"/>
      <c r="GXR24" s="720"/>
      <c r="GXS24" s="720"/>
      <c r="GXT24" s="720"/>
      <c r="GXU24" s="720"/>
      <c r="GXV24" s="720"/>
      <c r="GXW24" s="720"/>
      <c r="GXX24" s="720"/>
      <c r="GXY24" s="720"/>
      <c r="GXZ24" s="720"/>
      <c r="GYA24" s="720"/>
      <c r="GYB24" s="720"/>
      <c r="GYC24" s="720"/>
      <c r="GYD24" s="720"/>
      <c r="GYE24" s="720"/>
      <c r="GYF24" s="720"/>
      <c r="GYG24" s="720"/>
      <c r="GYH24" s="720"/>
      <c r="GYI24" s="720"/>
      <c r="GYJ24" s="720"/>
      <c r="GYK24" s="720"/>
      <c r="GYL24" s="720"/>
      <c r="GYM24" s="720"/>
      <c r="GYN24" s="720"/>
      <c r="GYO24" s="720"/>
      <c r="GYP24" s="720"/>
      <c r="GYQ24" s="720"/>
      <c r="GYR24" s="720"/>
      <c r="GYS24" s="720"/>
      <c r="GYT24" s="720"/>
      <c r="GYU24" s="720"/>
      <c r="GYV24" s="720"/>
      <c r="GYW24" s="720"/>
      <c r="GYX24" s="720"/>
      <c r="GYY24" s="720"/>
      <c r="GYZ24" s="720"/>
      <c r="GZA24" s="720"/>
      <c r="GZB24" s="720"/>
      <c r="GZC24" s="720"/>
      <c r="GZD24" s="720"/>
      <c r="GZE24" s="720"/>
      <c r="GZF24" s="720"/>
      <c r="GZG24" s="720"/>
      <c r="GZH24" s="720"/>
      <c r="GZI24" s="720"/>
      <c r="GZJ24" s="720"/>
      <c r="GZK24" s="720"/>
      <c r="GZL24" s="720"/>
      <c r="GZM24" s="720"/>
      <c r="GZN24" s="720"/>
      <c r="GZO24" s="720"/>
      <c r="GZP24" s="720"/>
      <c r="GZQ24" s="720"/>
      <c r="GZR24" s="720"/>
      <c r="GZS24" s="720"/>
      <c r="GZT24" s="720"/>
      <c r="GZU24" s="720"/>
      <c r="GZV24" s="720"/>
      <c r="GZW24" s="720"/>
      <c r="GZX24" s="720"/>
      <c r="GZY24" s="720"/>
      <c r="GZZ24" s="720"/>
      <c r="HAA24" s="720"/>
      <c r="HAB24" s="720"/>
      <c r="HAC24" s="720"/>
      <c r="HAD24" s="720"/>
      <c r="HAE24" s="720"/>
      <c r="HAF24" s="720"/>
      <c r="HAG24" s="720"/>
      <c r="HAH24" s="720"/>
      <c r="HAI24" s="720"/>
      <c r="HAJ24" s="720"/>
      <c r="HAK24" s="720"/>
      <c r="HAL24" s="720"/>
      <c r="HAM24" s="720"/>
      <c r="HAN24" s="720"/>
      <c r="HAO24" s="720"/>
      <c r="HAP24" s="720"/>
      <c r="HAQ24" s="720"/>
      <c r="HAR24" s="720"/>
      <c r="HAS24" s="720"/>
      <c r="HAT24" s="720"/>
      <c r="HAU24" s="720"/>
      <c r="HAV24" s="720"/>
      <c r="HAW24" s="720"/>
      <c r="HAX24" s="720"/>
      <c r="HAY24" s="720"/>
      <c r="HAZ24" s="720"/>
      <c r="HBA24" s="720"/>
      <c r="HBB24" s="720"/>
      <c r="HBC24" s="720"/>
      <c r="HBD24" s="720"/>
      <c r="HBE24" s="720"/>
      <c r="HBF24" s="720"/>
      <c r="HBG24" s="720"/>
      <c r="HBH24" s="720"/>
      <c r="HBI24" s="720"/>
      <c r="HBJ24" s="720"/>
      <c r="HBK24" s="720"/>
      <c r="HBL24" s="720"/>
      <c r="HBM24" s="720"/>
      <c r="HBN24" s="720"/>
      <c r="HBO24" s="720"/>
      <c r="HBP24" s="720"/>
      <c r="HBQ24" s="720"/>
      <c r="HBR24" s="720"/>
      <c r="HBS24" s="720"/>
      <c r="HBT24" s="720"/>
      <c r="HBU24" s="720"/>
      <c r="HBV24" s="720"/>
      <c r="HBW24" s="720"/>
      <c r="HBX24" s="720"/>
      <c r="HBY24" s="720"/>
      <c r="HBZ24" s="720"/>
      <c r="HCA24" s="720"/>
      <c r="HCB24" s="720"/>
      <c r="HCC24" s="720"/>
      <c r="HCD24" s="720"/>
      <c r="HCE24" s="720"/>
      <c r="HCF24" s="720"/>
      <c r="HCG24" s="720"/>
      <c r="HCH24" s="720"/>
      <c r="HCI24" s="720"/>
      <c r="HCJ24" s="720"/>
      <c r="HCK24" s="720"/>
      <c r="HCL24" s="720"/>
      <c r="HCM24" s="720"/>
      <c r="HCN24" s="720"/>
      <c r="HCO24" s="720"/>
      <c r="HCP24" s="720"/>
      <c r="HCQ24" s="720"/>
      <c r="HCR24" s="720"/>
      <c r="HCS24" s="720"/>
      <c r="HCT24" s="720"/>
      <c r="HCU24" s="720"/>
      <c r="HCV24" s="720"/>
      <c r="HCW24" s="720"/>
      <c r="HCX24" s="720"/>
      <c r="HCY24" s="720"/>
      <c r="HCZ24" s="720"/>
      <c r="HDA24" s="720"/>
      <c r="HDB24" s="720"/>
      <c r="HDC24" s="720"/>
      <c r="HDD24" s="720"/>
      <c r="HDE24" s="720"/>
      <c r="HDF24" s="720"/>
      <c r="HDG24" s="720"/>
      <c r="HDH24" s="720"/>
      <c r="HDI24" s="720"/>
      <c r="HDJ24" s="720"/>
      <c r="HDK24" s="720"/>
      <c r="HDL24" s="720"/>
      <c r="HDM24" s="720"/>
      <c r="HDN24" s="720"/>
      <c r="HDO24" s="720"/>
      <c r="HDP24" s="720"/>
      <c r="HDQ24" s="720"/>
      <c r="HDR24" s="720"/>
      <c r="HDS24" s="720"/>
      <c r="HDT24" s="720"/>
      <c r="HDU24" s="720"/>
      <c r="HDV24" s="720"/>
      <c r="HDW24" s="720"/>
      <c r="HDX24" s="720"/>
      <c r="HDY24" s="720"/>
      <c r="HDZ24" s="720"/>
      <c r="HEA24" s="720"/>
      <c r="HEB24" s="720"/>
      <c r="HEC24" s="720"/>
      <c r="HED24" s="720"/>
      <c r="HEE24" s="720"/>
      <c r="HEF24" s="720"/>
      <c r="HEG24" s="720"/>
      <c r="HEH24" s="720"/>
      <c r="HEI24" s="720"/>
      <c r="HEJ24" s="720"/>
      <c r="HEK24" s="720"/>
      <c r="HEL24" s="720"/>
      <c r="HEM24" s="720"/>
      <c r="HEN24" s="720"/>
      <c r="HEO24" s="720"/>
      <c r="HEP24" s="720"/>
      <c r="HEQ24" s="720"/>
      <c r="HER24" s="720"/>
      <c r="HES24" s="720"/>
      <c r="HET24" s="720"/>
      <c r="HEU24" s="720"/>
      <c r="HEV24" s="720"/>
      <c r="HEW24" s="720"/>
      <c r="HEX24" s="720"/>
      <c r="HEY24" s="720"/>
      <c r="HEZ24" s="720"/>
      <c r="HFA24" s="720"/>
      <c r="HFB24" s="720"/>
      <c r="HFC24" s="720"/>
      <c r="HFD24" s="720"/>
      <c r="HFE24" s="720"/>
      <c r="HFF24" s="720"/>
      <c r="HFG24" s="720"/>
      <c r="HFH24" s="720"/>
      <c r="HFI24" s="720"/>
      <c r="HFJ24" s="720"/>
      <c r="HFK24" s="720"/>
      <c r="HFL24" s="720"/>
      <c r="HFM24" s="720"/>
      <c r="HFN24" s="720"/>
      <c r="HFO24" s="720"/>
      <c r="HFP24" s="720"/>
      <c r="HFQ24" s="720"/>
      <c r="HFR24" s="720"/>
      <c r="HFS24" s="720"/>
      <c r="HFT24" s="720"/>
      <c r="HFU24" s="720"/>
      <c r="HFV24" s="720"/>
      <c r="HFW24" s="720"/>
      <c r="HFX24" s="720"/>
      <c r="HFY24" s="720"/>
      <c r="HFZ24" s="720"/>
      <c r="HGA24" s="720"/>
      <c r="HGB24" s="720"/>
      <c r="HGC24" s="720"/>
      <c r="HGD24" s="720"/>
      <c r="HGE24" s="720"/>
      <c r="HGF24" s="720"/>
      <c r="HGG24" s="720"/>
      <c r="HGH24" s="720"/>
      <c r="HGI24" s="720"/>
      <c r="HGJ24" s="720"/>
      <c r="HGK24" s="720"/>
      <c r="HGL24" s="720"/>
      <c r="HGM24" s="720"/>
      <c r="HGN24" s="720"/>
      <c r="HGO24" s="720"/>
      <c r="HGP24" s="720"/>
      <c r="HGQ24" s="720"/>
      <c r="HGR24" s="720"/>
      <c r="HGS24" s="720"/>
      <c r="HGT24" s="720"/>
      <c r="HGU24" s="720"/>
      <c r="HGV24" s="720"/>
      <c r="HGW24" s="720"/>
      <c r="HGX24" s="720"/>
      <c r="HGY24" s="720"/>
      <c r="HGZ24" s="720"/>
      <c r="HHA24" s="720"/>
      <c r="HHB24" s="720"/>
      <c r="HHC24" s="720"/>
      <c r="HHD24" s="720"/>
      <c r="HHE24" s="720"/>
      <c r="HHF24" s="720"/>
      <c r="HHG24" s="720"/>
      <c r="HHH24" s="720"/>
      <c r="HHI24" s="720"/>
      <c r="HHJ24" s="720"/>
      <c r="HHK24" s="720"/>
      <c r="HHL24" s="720"/>
      <c r="HHM24" s="720"/>
      <c r="HHN24" s="720"/>
      <c r="HHO24" s="720"/>
      <c r="HHP24" s="720"/>
      <c r="HHQ24" s="720"/>
      <c r="HHR24" s="720"/>
      <c r="HHS24" s="720"/>
      <c r="HHT24" s="720"/>
      <c r="HHU24" s="720"/>
      <c r="HHV24" s="720"/>
      <c r="HHW24" s="720"/>
      <c r="HHX24" s="720"/>
      <c r="HHY24" s="720"/>
      <c r="HHZ24" s="720"/>
      <c r="HIA24" s="720"/>
      <c r="HIB24" s="720"/>
      <c r="HIC24" s="720"/>
      <c r="HID24" s="720"/>
      <c r="HIE24" s="720"/>
      <c r="HIF24" s="720"/>
      <c r="HIG24" s="720"/>
      <c r="HIH24" s="720"/>
      <c r="HII24" s="720"/>
      <c r="HIJ24" s="720"/>
      <c r="HIK24" s="720"/>
      <c r="HIL24" s="720"/>
      <c r="HIM24" s="720"/>
      <c r="HIN24" s="720"/>
      <c r="HIO24" s="720"/>
      <c r="HIP24" s="720"/>
      <c r="HIQ24" s="720"/>
      <c r="HIR24" s="720"/>
      <c r="HIS24" s="720"/>
      <c r="HIT24" s="720"/>
      <c r="HIU24" s="720"/>
      <c r="HIV24" s="720"/>
      <c r="HIW24" s="720"/>
      <c r="HIX24" s="720"/>
      <c r="HIY24" s="720"/>
      <c r="HIZ24" s="720"/>
      <c r="HJA24" s="720"/>
      <c r="HJB24" s="720"/>
      <c r="HJC24" s="720"/>
      <c r="HJD24" s="720"/>
      <c r="HJE24" s="720"/>
      <c r="HJF24" s="720"/>
      <c r="HJG24" s="720"/>
      <c r="HJH24" s="720"/>
      <c r="HJI24" s="720"/>
      <c r="HJJ24" s="720"/>
      <c r="HJK24" s="720"/>
      <c r="HJL24" s="720"/>
      <c r="HJM24" s="720"/>
      <c r="HJN24" s="720"/>
      <c r="HJO24" s="720"/>
      <c r="HJP24" s="720"/>
      <c r="HJQ24" s="720"/>
      <c r="HJR24" s="720"/>
      <c r="HJS24" s="720"/>
      <c r="HJT24" s="720"/>
      <c r="HJU24" s="720"/>
      <c r="HJV24" s="720"/>
      <c r="HJW24" s="720"/>
      <c r="HJX24" s="720"/>
      <c r="HJY24" s="720"/>
      <c r="HJZ24" s="720"/>
      <c r="HKA24" s="720"/>
      <c r="HKB24" s="720"/>
      <c r="HKC24" s="720"/>
      <c r="HKD24" s="720"/>
      <c r="HKE24" s="720"/>
      <c r="HKF24" s="720"/>
      <c r="HKG24" s="720"/>
      <c r="HKH24" s="720"/>
      <c r="HKI24" s="720"/>
      <c r="HKJ24" s="720"/>
      <c r="HKK24" s="720"/>
      <c r="HKL24" s="720"/>
      <c r="HKM24" s="720"/>
      <c r="HKN24" s="720"/>
      <c r="HKO24" s="720"/>
      <c r="HKP24" s="720"/>
      <c r="HKQ24" s="720"/>
      <c r="HKR24" s="720"/>
      <c r="HKS24" s="720"/>
      <c r="HKT24" s="720"/>
      <c r="HKU24" s="720"/>
      <c r="HKV24" s="720"/>
      <c r="HKW24" s="720"/>
      <c r="HKX24" s="720"/>
      <c r="HKY24" s="720"/>
      <c r="HKZ24" s="720"/>
      <c r="HLA24" s="720"/>
      <c r="HLB24" s="720"/>
      <c r="HLC24" s="720"/>
      <c r="HLD24" s="720"/>
      <c r="HLE24" s="720"/>
      <c r="HLF24" s="720"/>
      <c r="HLG24" s="720"/>
      <c r="HLH24" s="720"/>
      <c r="HLI24" s="720"/>
      <c r="HLJ24" s="720"/>
      <c r="HLK24" s="720"/>
      <c r="HLL24" s="720"/>
      <c r="HLM24" s="720"/>
      <c r="HLN24" s="720"/>
      <c r="HLO24" s="720"/>
      <c r="HLP24" s="720"/>
      <c r="HLQ24" s="720"/>
      <c r="HLR24" s="720"/>
      <c r="HLS24" s="720"/>
      <c r="HLT24" s="720"/>
      <c r="HLU24" s="720"/>
      <c r="HLV24" s="720"/>
      <c r="HLW24" s="720"/>
      <c r="HLX24" s="720"/>
      <c r="HLY24" s="720"/>
      <c r="HLZ24" s="720"/>
      <c r="HMA24" s="720"/>
      <c r="HMB24" s="720"/>
      <c r="HMC24" s="720"/>
      <c r="HMD24" s="720"/>
      <c r="HME24" s="720"/>
      <c r="HMF24" s="720"/>
      <c r="HMG24" s="720"/>
      <c r="HMH24" s="720"/>
      <c r="HMI24" s="720"/>
      <c r="HMJ24" s="720"/>
      <c r="HMK24" s="720"/>
      <c r="HML24" s="720"/>
      <c r="HMM24" s="720"/>
      <c r="HMN24" s="720"/>
      <c r="HMO24" s="720"/>
      <c r="HMP24" s="720"/>
      <c r="HMQ24" s="720"/>
      <c r="HMR24" s="720"/>
      <c r="HMS24" s="720"/>
      <c r="HMT24" s="720"/>
      <c r="HMU24" s="720"/>
      <c r="HMV24" s="720"/>
      <c r="HMW24" s="720"/>
      <c r="HMX24" s="720"/>
      <c r="HMY24" s="720"/>
      <c r="HMZ24" s="720"/>
      <c r="HNA24" s="720"/>
      <c r="HNB24" s="720"/>
      <c r="HNC24" s="720"/>
      <c r="HND24" s="720"/>
      <c r="HNE24" s="720"/>
      <c r="HNF24" s="720"/>
      <c r="HNG24" s="720"/>
      <c r="HNH24" s="720"/>
      <c r="HNI24" s="720"/>
      <c r="HNJ24" s="720"/>
      <c r="HNK24" s="720"/>
      <c r="HNL24" s="720"/>
      <c r="HNM24" s="720"/>
      <c r="HNN24" s="720"/>
      <c r="HNO24" s="720"/>
      <c r="HNP24" s="720"/>
      <c r="HNQ24" s="720"/>
      <c r="HNR24" s="720"/>
      <c r="HNS24" s="720"/>
      <c r="HNT24" s="720"/>
      <c r="HNU24" s="720"/>
      <c r="HNV24" s="720"/>
      <c r="HNW24" s="720"/>
      <c r="HNX24" s="720"/>
      <c r="HNY24" s="720"/>
      <c r="HNZ24" s="720"/>
      <c r="HOA24" s="720"/>
      <c r="HOB24" s="720"/>
      <c r="HOC24" s="720"/>
      <c r="HOD24" s="720"/>
      <c r="HOE24" s="720"/>
      <c r="HOF24" s="720"/>
      <c r="HOG24" s="720"/>
      <c r="HOH24" s="720"/>
      <c r="HOI24" s="720"/>
      <c r="HOJ24" s="720"/>
      <c r="HOK24" s="720"/>
      <c r="HOL24" s="720"/>
      <c r="HOM24" s="720"/>
      <c r="HON24" s="720"/>
      <c r="HOO24" s="720"/>
      <c r="HOP24" s="720"/>
      <c r="HOQ24" s="720"/>
      <c r="HOR24" s="720"/>
      <c r="HOS24" s="720"/>
      <c r="HOT24" s="720"/>
      <c r="HOU24" s="720"/>
      <c r="HOV24" s="720"/>
      <c r="HOW24" s="720"/>
      <c r="HOX24" s="720"/>
      <c r="HOY24" s="720"/>
      <c r="HOZ24" s="720"/>
      <c r="HPA24" s="720"/>
      <c r="HPB24" s="720"/>
      <c r="HPC24" s="720"/>
      <c r="HPD24" s="720"/>
      <c r="HPE24" s="720"/>
      <c r="HPF24" s="720"/>
      <c r="HPG24" s="720"/>
      <c r="HPH24" s="720"/>
      <c r="HPI24" s="720"/>
      <c r="HPJ24" s="720"/>
      <c r="HPK24" s="720"/>
      <c r="HPL24" s="720"/>
      <c r="HPM24" s="720"/>
      <c r="HPN24" s="720"/>
      <c r="HPO24" s="720"/>
      <c r="HPP24" s="720"/>
      <c r="HPQ24" s="720"/>
      <c r="HPR24" s="720"/>
      <c r="HPS24" s="720"/>
      <c r="HPT24" s="720"/>
      <c r="HPU24" s="720"/>
      <c r="HPV24" s="720"/>
      <c r="HPW24" s="720"/>
      <c r="HPX24" s="720"/>
      <c r="HPY24" s="720"/>
      <c r="HPZ24" s="720"/>
      <c r="HQA24" s="720"/>
      <c r="HQB24" s="720"/>
      <c r="HQC24" s="720"/>
      <c r="HQD24" s="720"/>
      <c r="HQE24" s="720"/>
      <c r="HQF24" s="720"/>
      <c r="HQG24" s="720"/>
      <c r="HQH24" s="720"/>
      <c r="HQI24" s="720"/>
      <c r="HQJ24" s="720"/>
      <c r="HQK24" s="720"/>
      <c r="HQL24" s="720"/>
      <c r="HQM24" s="720"/>
      <c r="HQN24" s="720"/>
      <c r="HQO24" s="720"/>
      <c r="HQP24" s="720"/>
      <c r="HQQ24" s="720"/>
      <c r="HQR24" s="720"/>
      <c r="HQS24" s="720"/>
      <c r="HQT24" s="720"/>
      <c r="HQU24" s="720"/>
      <c r="HQV24" s="720"/>
      <c r="HQW24" s="720"/>
      <c r="HQX24" s="720"/>
      <c r="HQY24" s="720"/>
      <c r="HQZ24" s="720"/>
      <c r="HRA24" s="720"/>
      <c r="HRB24" s="720"/>
      <c r="HRC24" s="720"/>
      <c r="HRD24" s="720"/>
      <c r="HRE24" s="720"/>
      <c r="HRF24" s="720"/>
      <c r="HRG24" s="720"/>
      <c r="HRH24" s="720"/>
      <c r="HRI24" s="720"/>
      <c r="HRJ24" s="720"/>
      <c r="HRK24" s="720"/>
      <c r="HRL24" s="720"/>
      <c r="HRM24" s="720"/>
      <c r="HRN24" s="720"/>
      <c r="HRO24" s="720"/>
      <c r="HRP24" s="720"/>
      <c r="HRQ24" s="720"/>
      <c r="HRR24" s="720"/>
      <c r="HRS24" s="720"/>
      <c r="HRT24" s="720"/>
      <c r="HRU24" s="720"/>
      <c r="HRV24" s="720"/>
      <c r="HRW24" s="720"/>
      <c r="HRX24" s="720"/>
      <c r="HRY24" s="720"/>
      <c r="HRZ24" s="720"/>
      <c r="HSA24" s="720"/>
      <c r="HSB24" s="720"/>
      <c r="HSC24" s="720"/>
      <c r="HSD24" s="720"/>
      <c r="HSE24" s="720"/>
      <c r="HSF24" s="720"/>
      <c r="HSG24" s="720"/>
      <c r="HSH24" s="720"/>
      <c r="HSI24" s="720"/>
      <c r="HSJ24" s="720"/>
      <c r="HSK24" s="720"/>
      <c r="HSL24" s="720"/>
      <c r="HSM24" s="720"/>
      <c r="HSN24" s="720"/>
      <c r="HSO24" s="720"/>
      <c r="HSP24" s="720"/>
      <c r="HSQ24" s="720"/>
      <c r="HSR24" s="720"/>
      <c r="HSS24" s="720"/>
      <c r="HST24" s="720"/>
      <c r="HSU24" s="720"/>
      <c r="HSV24" s="720"/>
      <c r="HSW24" s="720"/>
      <c r="HSX24" s="720"/>
      <c r="HSY24" s="720"/>
      <c r="HSZ24" s="720"/>
      <c r="HTA24" s="720"/>
      <c r="HTB24" s="720"/>
      <c r="HTC24" s="720"/>
      <c r="HTD24" s="720"/>
      <c r="HTE24" s="720"/>
      <c r="HTF24" s="720"/>
      <c r="HTG24" s="720"/>
      <c r="HTH24" s="720"/>
      <c r="HTI24" s="720"/>
      <c r="HTJ24" s="720"/>
      <c r="HTK24" s="720"/>
      <c r="HTL24" s="720"/>
      <c r="HTM24" s="720"/>
      <c r="HTN24" s="720"/>
      <c r="HTO24" s="720"/>
      <c r="HTP24" s="720"/>
      <c r="HTQ24" s="720"/>
      <c r="HTR24" s="720"/>
      <c r="HTS24" s="720"/>
      <c r="HTT24" s="720"/>
      <c r="HTU24" s="720"/>
      <c r="HTV24" s="720"/>
      <c r="HTW24" s="720"/>
      <c r="HTX24" s="720"/>
      <c r="HTY24" s="720"/>
      <c r="HTZ24" s="720"/>
      <c r="HUA24" s="720"/>
      <c r="HUB24" s="720"/>
      <c r="HUC24" s="720"/>
      <c r="HUD24" s="720"/>
      <c r="HUE24" s="720"/>
      <c r="HUF24" s="720"/>
      <c r="HUG24" s="720"/>
      <c r="HUH24" s="720"/>
      <c r="HUI24" s="720"/>
      <c r="HUJ24" s="720"/>
      <c r="HUK24" s="720"/>
      <c r="HUL24" s="720"/>
      <c r="HUM24" s="720"/>
      <c r="HUN24" s="720"/>
      <c r="HUO24" s="720"/>
      <c r="HUP24" s="720"/>
      <c r="HUQ24" s="720"/>
      <c r="HUR24" s="720"/>
      <c r="HUS24" s="720"/>
      <c r="HUT24" s="720"/>
      <c r="HUU24" s="720"/>
      <c r="HUV24" s="720"/>
      <c r="HUW24" s="720"/>
      <c r="HUX24" s="720"/>
      <c r="HUY24" s="720"/>
      <c r="HUZ24" s="720"/>
      <c r="HVA24" s="720"/>
      <c r="HVB24" s="720"/>
      <c r="HVC24" s="720"/>
      <c r="HVD24" s="720"/>
      <c r="HVE24" s="720"/>
      <c r="HVF24" s="720"/>
      <c r="HVG24" s="720"/>
      <c r="HVH24" s="720"/>
      <c r="HVI24" s="720"/>
      <c r="HVJ24" s="720"/>
      <c r="HVK24" s="720"/>
      <c r="HVL24" s="720"/>
      <c r="HVM24" s="720"/>
      <c r="HVN24" s="720"/>
      <c r="HVO24" s="720"/>
      <c r="HVP24" s="720"/>
      <c r="HVQ24" s="720"/>
      <c r="HVR24" s="720"/>
      <c r="HVS24" s="720"/>
      <c r="HVT24" s="720"/>
      <c r="HVU24" s="720"/>
      <c r="HVV24" s="720"/>
      <c r="HVW24" s="720"/>
      <c r="HVX24" s="720"/>
      <c r="HVY24" s="720"/>
      <c r="HVZ24" s="720"/>
      <c r="HWA24" s="720"/>
      <c r="HWB24" s="720"/>
      <c r="HWC24" s="720"/>
      <c r="HWD24" s="720"/>
      <c r="HWE24" s="720"/>
      <c r="HWF24" s="720"/>
      <c r="HWG24" s="720"/>
      <c r="HWH24" s="720"/>
      <c r="HWI24" s="720"/>
      <c r="HWJ24" s="720"/>
      <c r="HWK24" s="720"/>
      <c r="HWL24" s="720"/>
      <c r="HWM24" s="720"/>
      <c r="HWN24" s="720"/>
      <c r="HWO24" s="720"/>
      <c r="HWP24" s="720"/>
      <c r="HWQ24" s="720"/>
      <c r="HWR24" s="720"/>
      <c r="HWS24" s="720"/>
      <c r="HWT24" s="720"/>
      <c r="HWU24" s="720"/>
      <c r="HWV24" s="720"/>
      <c r="HWW24" s="720"/>
      <c r="HWX24" s="720"/>
      <c r="HWY24" s="720"/>
      <c r="HWZ24" s="720"/>
      <c r="HXA24" s="720"/>
      <c r="HXB24" s="720"/>
      <c r="HXC24" s="720"/>
      <c r="HXD24" s="720"/>
      <c r="HXE24" s="720"/>
      <c r="HXF24" s="720"/>
      <c r="HXG24" s="720"/>
      <c r="HXH24" s="720"/>
      <c r="HXI24" s="720"/>
      <c r="HXJ24" s="720"/>
      <c r="HXK24" s="720"/>
      <c r="HXL24" s="720"/>
      <c r="HXM24" s="720"/>
      <c r="HXN24" s="720"/>
      <c r="HXO24" s="720"/>
      <c r="HXP24" s="720"/>
      <c r="HXQ24" s="720"/>
      <c r="HXR24" s="720"/>
      <c r="HXS24" s="720"/>
      <c r="HXT24" s="720"/>
      <c r="HXU24" s="720"/>
      <c r="HXV24" s="720"/>
      <c r="HXW24" s="720"/>
      <c r="HXX24" s="720"/>
      <c r="HXY24" s="720"/>
      <c r="HXZ24" s="720"/>
      <c r="HYA24" s="720"/>
      <c r="HYB24" s="720"/>
      <c r="HYC24" s="720"/>
      <c r="HYD24" s="720"/>
      <c r="HYE24" s="720"/>
      <c r="HYF24" s="720"/>
      <c r="HYG24" s="720"/>
      <c r="HYH24" s="720"/>
      <c r="HYI24" s="720"/>
      <c r="HYJ24" s="720"/>
      <c r="HYK24" s="720"/>
      <c r="HYL24" s="720"/>
      <c r="HYM24" s="720"/>
      <c r="HYN24" s="720"/>
      <c r="HYO24" s="720"/>
      <c r="HYP24" s="720"/>
      <c r="HYQ24" s="720"/>
      <c r="HYR24" s="720"/>
      <c r="HYS24" s="720"/>
      <c r="HYT24" s="720"/>
      <c r="HYU24" s="720"/>
      <c r="HYV24" s="720"/>
      <c r="HYW24" s="720"/>
      <c r="HYX24" s="720"/>
      <c r="HYY24" s="720"/>
      <c r="HYZ24" s="720"/>
      <c r="HZA24" s="720"/>
      <c r="HZB24" s="720"/>
      <c r="HZC24" s="720"/>
      <c r="HZD24" s="720"/>
      <c r="HZE24" s="720"/>
      <c r="HZF24" s="720"/>
      <c r="HZG24" s="720"/>
      <c r="HZH24" s="720"/>
      <c r="HZI24" s="720"/>
      <c r="HZJ24" s="720"/>
      <c r="HZK24" s="720"/>
      <c r="HZL24" s="720"/>
      <c r="HZM24" s="720"/>
      <c r="HZN24" s="720"/>
      <c r="HZO24" s="720"/>
      <c r="HZP24" s="720"/>
      <c r="HZQ24" s="720"/>
      <c r="HZR24" s="720"/>
      <c r="HZS24" s="720"/>
      <c r="HZT24" s="720"/>
      <c r="HZU24" s="720"/>
      <c r="HZV24" s="720"/>
      <c r="HZW24" s="720"/>
      <c r="HZX24" s="720"/>
      <c r="HZY24" s="720"/>
      <c r="HZZ24" s="720"/>
      <c r="IAA24" s="720"/>
      <c r="IAB24" s="720"/>
      <c r="IAC24" s="720"/>
      <c r="IAD24" s="720"/>
      <c r="IAE24" s="720"/>
      <c r="IAF24" s="720"/>
      <c r="IAG24" s="720"/>
      <c r="IAH24" s="720"/>
      <c r="IAI24" s="720"/>
      <c r="IAJ24" s="720"/>
      <c r="IAK24" s="720"/>
      <c r="IAL24" s="720"/>
      <c r="IAM24" s="720"/>
      <c r="IAN24" s="720"/>
      <c r="IAO24" s="720"/>
      <c r="IAP24" s="720"/>
      <c r="IAQ24" s="720"/>
      <c r="IAR24" s="720"/>
      <c r="IAS24" s="720"/>
      <c r="IAT24" s="720"/>
      <c r="IAU24" s="720"/>
      <c r="IAV24" s="720"/>
      <c r="IAW24" s="720"/>
      <c r="IAX24" s="720"/>
      <c r="IAY24" s="720"/>
      <c r="IAZ24" s="720"/>
      <c r="IBA24" s="720"/>
      <c r="IBB24" s="720"/>
      <c r="IBC24" s="720"/>
      <c r="IBD24" s="720"/>
      <c r="IBE24" s="720"/>
      <c r="IBF24" s="720"/>
      <c r="IBG24" s="720"/>
      <c r="IBH24" s="720"/>
      <c r="IBI24" s="720"/>
      <c r="IBJ24" s="720"/>
      <c r="IBK24" s="720"/>
      <c r="IBL24" s="720"/>
      <c r="IBM24" s="720"/>
      <c r="IBN24" s="720"/>
      <c r="IBO24" s="720"/>
      <c r="IBP24" s="720"/>
      <c r="IBQ24" s="720"/>
      <c r="IBR24" s="720"/>
      <c r="IBS24" s="720"/>
      <c r="IBT24" s="720"/>
      <c r="IBU24" s="720"/>
      <c r="IBV24" s="720"/>
      <c r="IBW24" s="720"/>
      <c r="IBX24" s="720"/>
      <c r="IBY24" s="720"/>
      <c r="IBZ24" s="720"/>
      <c r="ICA24" s="720"/>
      <c r="ICB24" s="720"/>
      <c r="ICC24" s="720"/>
      <c r="ICD24" s="720"/>
      <c r="ICE24" s="720"/>
      <c r="ICF24" s="720"/>
      <c r="ICG24" s="720"/>
      <c r="ICH24" s="720"/>
      <c r="ICI24" s="720"/>
      <c r="ICJ24" s="720"/>
      <c r="ICK24" s="720"/>
      <c r="ICL24" s="720"/>
      <c r="ICM24" s="720"/>
      <c r="ICN24" s="720"/>
      <c r="ICO24" s="720"/>
      <c r="ICP24" s="720"/>
      <c r="ICQ24" s="720"/>
      <c r="ICR24" s="720"/>
      <c r="ICS24" s="720"/>
      <c r="ICT24" s="720"/>
      <c r="ICU24" s="720"/>
      <c r="ICV24" s="720"/>
      <c r="ICW24" s="720"/>
      <c r="ICX24" s="720"/>
      <c r="ICY24" s="720"/>
      <c r="ICZ24" s="720"/>
      <c r="IDA24" s="720"/>
      <c r="IDB24" s="720"/>
      <c r="IDC24" s="720"/>
      <c r="IDD24" s="720"/>
      <c r="IDE24" s="720"/>
      <c r="IDF24" s="720"/>
      <c r="IDG24" s="720"/>
      <c r="IDH24" s="720"/>
      <c r="IDI24" s="720"/>
      <c r="IDJ24" s="720"/>
      <c r="IDK24" s="720"/>
      <c r="IDL24" s="720"/>
      <c r="IDM24" s="720"/>
      <c r="IDN24" s="720"/>
      <c r="IDO24" s="720"/>
      <c r="IDP24" s="720"/>
      <c r="IDQ24" s="720"/>
      <c r="IDR24" s="720"/>
      <c r="IDS24" s="720"/>
      <c r="IDT24" s="720"/>
      <c r="IDU24" s="720"/>
      <c r="IDV24" s="720"/>
      <c r="IDW24" s="720"/>
      <c r="IDX24" s="720"/>
      <c r="IDY24" s="720"/>
      <c r="IDZ24" s="720"/>
      <c r="IEA24" s="720"/>
      <c r="IEB24" s="720"/>
      <c r="IEC24" s="720"/>
      <c r="IED24" s="720"/>
      <c r="IEE24" s="720"/>
      <c r="IEF24" s="720"/>
      <c r="IEG24" s="720"/>
      <c r="IEH24" s="720"/>
      <c r="IEI24" s="720"/>
      <c r="IEJ24" s="720"/>
      <c r="IEK24" s="720"/>
      <c r="IEL24" s="720"/>
      <c r="IEM24" s="720"/>
      <c r="IEN24" s="720"/>
      <c r="IEO24" s="720"/>
      <c r="IEP24" s="720"/>
      <c r="IEQ24" s="720"/>
      <c r="IER24" s="720"/>
      <c r="IES24" s="720"/>
      <c r="IET24" s="720"/>
      <c r="IEU24" s="720"/>
      <c r="IEV24" s="720"/>
      <c r="IEW24" s="720"/>
      <c r="IEX24" s="720"/>
      <c r="IEY24" s="720"/>
      <c r="IEZ24" s="720"/>
      <c r="IFA24" s="720"/>
      <c r="IFB24" s="720"/>
      <c r="IFC24" s="720"/>
      <c r="IFD24" s="720"/>
      <c r="IFE24" s="720"/>
      <c r="IFF24" s="720"/>
      <c r="IFG24" s="720"/>
      <c r="IFH24" s="720"/>
      <c r="IFI24" s="720"/>
      <c r="IFJ24" s="720"/>
      <c r="IFK24" s="720"/>
      <c r="IFL24" s="720"/>
      <c r="IFM24" s="720"/>
      <c r="IFN24" s="720"/>
      <c r="IFO24" s="720"/>
      <c r="IFP24" s="720"/>
      <c r="IFQ24" s="720"/>
      <c r="IFR24" s="720"/>
      <c r="IFS24" s="720"/>
      <c r="IFT24" s="720"/>
      <c r="IFU24" s="720"/>
      <c r="IFV24" s="720"/>
      <c r="IFW24" s="720"/>
      <c r="IFX24" s="720"/>
      <c r="IFY24" s="720"/>
      <c r="IFZ24" s="720"/>
      <c r="IGA24" s="720"/>
      <c r="IGB24" s="720"/>
      <c r="IGC24" s="720"/>
      <c r="IGD24" s="720"/>
      <c r="IGE24" s="720"/>
      <c r="IGF24" s="720"/>
      <c r="IGG24" s="720"/>
      <c r="IGH24" s="720"/>
      <c r="IGI24" s="720"/>
      <c r="IGJ24" s="720"/>
      <c r="IGK24" s="720"/>
      <c r="IGL24" s="720"/>
      <c r="IGM24" s="720"/>
      <c r="IGN24" s="720"/>
      <c r="IGO24" s="720"/>
      <c r="IGP24" s="720"/>
      <c r="IGQ24" s="720"/>
      <c r="IGR24" s="720"/>
      <c r="IGS24" s="720"/>
      <c r="IGT24" s="720"/>
      <c r="IGU24" s="720"/>
      <c r="IGV24" s="720"/>
      <c r="IGW24" s="720"/>
      <c r="IGX24" s="720"/>
      <c r="IGY24" s="720"/>
      <c r="IGZ24" s="720"/>
      <c r="IHA24" s="720"/>
      <c r="IHB24" s="720"/>
      <c r="IHC24" s="720"/>
      <c r="IHD24" s="720"/>
      <c r="IHE24" s="720"/>
      <c r="IHF24" s="720"/>
      <c r="IHG24" s="720"/>
      <c r="IHH24" s="720"/>
      <c r="IHI24" s="720"/>
      <c r="IHJ24" s="720"/>
      <c r="IHK24" s="720"/>
      <c r="IHL24" s="720"/>
      <c r="IHM24" s="720"/>
      <c r="IHN24" s="720"/>
      <c r="IHO24" s="720"/>
      <c r="IHP24" s="720"/>
      <c r="IHQ24" s="720"/>
      <c r="IHR24" s="720"/>
      <c r="IHS24" s="720"/>
      <c r="IHT24" s="720"/>
      <c r="IHU24" s="720"/>
      <c r="IHV24" s="720"/>
      <c r="IHW24" s="720"/>
      <c r="IHX24" s="720"/>
      <c r="IHY24" s="720"/>
      <c r="IHZ24" s="720"/>
      <c r="IIA24" s="720"/>
      <c r="IIB24" s="720"/>
      <c r="IIC24" s="720"/>
      <c r="IID24" s="720"/>
      <c r="IIE24" s="720"/>
      <c r="IIF24" s="720"/>
      <c r="IIG24" s="720"/>
      <c r="IIH24" s="720"/>
      <c r="III24" s="720"/>
      <c r="IIJ24" s="720"/>
      <c r="IIK24" s="720"/>
      <c r="IIL24" s="720"/>
      <c r="IIM24" s="720"/>
      <c r="IIN24" s="720"/>
      <c r="IIO24" s="720"/>
      <c r="IIP24" s="720"/>
      <c r="IIQ24" s="720"/>
      <c r="IIR24" s="720"/>
      <c r="IIS24" s="720"/>
      <c r="IIT24" s="720"/>
      <c r="IIU24" s="720"/>
      <c r="IIV24" s="720"/>
      <c r="IIW24" s="720"/>
      <c r="IIX24" s="720"/>
      <c r="IIY24" s="720"/>
      <c r="IIZ24" s="720"/>
      <c r="IJA24" s="720"/>
      <c r="IJB24" s="720"/>
      <c r="IJC24" s="720"/>
      <c r="IJD24" s="720"/>
      <c r="IJE24" s="720"/>
      <c r="IJF24" s="720"/>
      <c r="IJG24" s="720"/>
      <c r="IJH24" s="720"/>
      <c r="IJI24" s="720"/>
      <c r="IJJ24" s="720"/>
      <c r="IJK24" s="720"/>
      <c r="IJL24" s="720"/>
      <c r="IJM24" s="720"/>
      <c r="IJN24" s="720"/>
      <c r="IJO24" s="720"/>
      <c r="IJP24" s="720"/>
      <c r="IJQ24" s="720"/>
      <c r="IJR24" s="720"/>
      <c r="IJS24" s="720"/>
      <c r="IJT24" s="720"/>
      <c r="IJU24" s="720"/>
      <c r="IJV24" s="720"/>
      <c r="IJW24" s="720"/>
      <c r="IJX24" s="720"/>
      <c r="IJY24" s="720"/>
      <c r="IJZ24" s="720"/>
      <c r="IKA24" s="720"/>
      <c r="IKB24" s="720"/>
      <c r="IKC24" s="720"/>
      <c r="IKD24" s="720"/>
      <c r="IKE24" s="720"/>
      <c r="IKF24" s="720"/>
      <c r="IKG24" s="720"/>
      <c r="IKH24" s="720"/>
      <c r="IKI24" s="720"/>
      <c r="IKJ24" s="720"/>
      <c r="IKK24" s="720"/>
      <c r="IKL24" s="720"/>
      <c r="IKM24" s="720"/>
      <c r="IKN24" s="720"/>
      <c r="IKO24" s="720"/>
      <c r="IKP24" s="720"/>
      <c r="IKQ24" s="720"/>
      <c r="IKR24" s="720"/>
      <c r="IKS24" s="720"/>
      <c r="IKT24" s="720"/>
      <c r="IKU24" s="720"/>
      <c r="IKV24" s="720"/>
      <c r="IKW24" s="720"/>
      <c r="IKX24" s="720"/>
      <c r="IKY24" s="720"/>
      <c r="IKZ24" s="720"/>
      <c r="ILA24" s="720"/>
      <c r="ILB24" s="720"/>
      <c r="ILC24" s="720"/>
      <c r="ILD24" s="720"/>
      <c r="ILE24" s="720"/>
      <c r="ILF24" s="720"/>
      <c r="ILG24" s="720"/>
      <c r="ILH24" s="720"/>
      <c r="ILI24" s="720"/>
      <c r="ILJ24" s="720"/>
      <c r="ILK24" s="720"/>
      <c r="ILL24" s="720"/>
      <c r="ILM24" s="720"/>
      <c r="ILN24" s="720"/>
      <c r="ILO24" s="720"/>
      <c r="ILP24" s="720"/>
      <c r="ILQ24" s="720"/>
      <c r="ILR24" s="720"/>
      <c r="ILS24" s="720"/>
      <c r="ILT24" s="720"/>
      <c r="ILU24" s="720"/>
      <c r="ILV24" s="720"/>
      <c r="ILW24" s="720"/>
      <c r="ILX24" s="720"/>
      <c r="ILY24" s="720"/>
      <c r="ILZ24" s="720"/>
      <c r="IMA24" s="720"/>
      <c r="IMB24" s="720"/>
      <c r="IMC24" s="720"/>
      <c r="IMD24" s="720"/>
      <c r="IME24" s="720"/>
      <c r="IMF24" s="720"/>
      <c r="IMG24" s="720"/>
      <c r="IMH24" s="720"/>
      <c r="IMI24" s="720"/>
      <c r="IMJ24" s="720"/>
      <c r="IMK24" s="720"/>
      <c r="IML24" s="720"/>
      <c r="IMM24" s="720"/>
      <c r="IMN24" s="720"/>
      <c r="IMO24" s="720"/>
      <c r="IMP24" s="720"/>
      <c r="IMQ24" s="720"/>
      <c r="IMR24" s="720"/>
      <c r="IMS24" s="720"/>
      <c r="IMT24" s="720"/>
      <c r="IMU24" s="720"/>
      <c r="IMV24" s="720"/>
      <c r="IMW24" s="720"/>
      <c r="IMX24" s="720"/>
      <c r="IMY24" s="720"/>
      <c r="IMZ24" s="720"/>
      <c r="INA24" s="720"/>
      <c r="INB24" s="720"/>
      <c r="INC24" s="720"/>
      <c r="IND24" s="720"/>
      <c r="INE24" s="720"/>
      <c r="INF24" s="720"/>
      <c r="ING24" s="720"/>
      <c r="INH24" s="720"/>
      <c r="INI24" s="720"/>
      <c r="INJ24" s="720"/>
      <c r="INK24" s="720"/>
      <c r="INL24" s="720"/>
      <c r="INM24" s="720"/>
      <c r="INN24" s="720"/>
      <c r="INO24" s="720"/>
      <c r="INP24" s="720"/>
      <c r="INQ24" s="720"/>
      <c r="INR24" s="720"/>
      <c r="INS24" s="720"/>
      <c r="INT24" s="720"/>
      <c r="INU24" s="720"/>
      <c r="INV24" s="720"/>
      <c r="INW24" s="720"/>
      <c r="INX24" s="720"/>
      <c r="INY24" s="720"/>
      <c r="INZ24" s="720"/>
      <c r="IOA24" s="720"/>
      <c r="IOB24" s="720"/>
      <c r="IOC24" s="720"/>
      <c r="IOD24" s="720"/>
      <c r="IOE24" s="720"/>
      <c r="IOF24" s="720"/>
      <c r="IOG24" s="720"/>
      <c r="IOH24" s="720"/>
      <c r="IOI24" s="720"/>
      <c r="IOJ24" s="720"/>
      <c r="IOK24" s="720"/>
      <c r="IOL24" s="720"/>
      <c r="IOM24" s="720"/>
      <c r="ION24" s="720"/>
      <c r="IOO24" s="720"/>
      <c r="IOP24" s="720"/>
      <c r="IOQ24" s="720"/>
      <c r="IOR24" s="720"/>
      <c r="IOS24" s="720"/>
      <c r="IOT24" s="720"/>
      <c r="IOU24" s="720"/>
      <c r="IOV24" s="720"/>
      <c r="IOW24" s="720"/>
      <c r="IOX24" s="720"/>
      <c r="IOY24" s="720"/>
      <c r="IOZ24" s="720"/>
      <c r="IPA24" s="720"/>
      <c r="IPB24" s="720"/>
      <c r="IPC24" s="720"/>
      <c r="IPD24" s="720"/>
      <c r="IPE24" s="720"/>
      <c r="IPF24" s="720"/>
      <c r="IPG24" s="720"/>
      <c r="IPH24" s="720"/>
      <c r="IPI24" s="720"/>
      <c r="IPJ24" s="720"/>
      <c r="IPK24" s="720"/>
      <c r="IPL24" s="720"/>
      <c r="IPM24" s="720"/>
      <c r="IPN24" s="720"/>
      <c r="IPO24" s="720"/>
      <c r="IPP24" s="720"/>
      <c r="IPQ24" s="720"/>
      <c r="IPR24" s="720"/>
      <c r="IPS24" s="720"/>
      <c r="IPT24" s="720"/>
      <c r="IPU24" s="720"/>
      <c r="IPV24" s="720"/>
      <c r="IPW24" s="720"/>
      <c r="IPX24" s="720"/>
      <c r="IPY24" s="720"/>
      <c r="IPZ24" s="720"/>
      <c r="IQA24" s="720"/>
      <c r="IQB24" s="720"/>
      <c r="IQC24" s="720"/>
      <c r="IQD24" s="720"/>
      <c r="IQE24" s="720"/>
      <c r="IQF24" s="720"/>
      <c r="IQG24" s="720"/>
      <c r="IQH24" s="720"/>
      <c r="IQI24" s="720"/>
      <c r="IQJ24" s="720"/>
      <c r="IQK24" s="720"/>
      <c r="IQL24" s="720"/>
      <c r="IQM24" s="720"/>
      <c r="IQN24" s="720"/>
      <c r="IQO24" s="720"/>
      <c r="IQP24" s="720"/>
      <c r="IQQ24" s="720"/>
      <c r="IQR24" s="720"/>
      <c r="IQS24" s="720"/>
      <c r="IQT24" s="720"/>
      <c r="IQU24" s="720"/>
      <c r="IQV24" s="720"/>
      <c r="IQW24" s="720"/>
      <c r="IQX24" s="720"/>
      <c r="IQY24" s="720"/>
      <c r="IQZ24" s="720"/>
      <c r="IRA24" s="720"/>
      <c r="IRB24" s="720"/>
      <c r="IRC24" s="720"/>
      <c r="IRD24" s="720"/>
      <c r="IRE24" s="720"/>
      <c r="IRF24" s="720"/>
      <c r="IRG24" s="720"/>
      <c r="IRH24" s="720"/>
      <c r="IRI24" s="720"/>
      <c r="IRJ24" s="720"/>
      <c r="IRK24" s="720"/>
      <c r="IRL24" s="720"/>
      <c r="IRM24" s="720"/>
      <c r="IRN24" s="720"/>
      <c r="IRO24" s="720"/>
      <c r="IRP24" s="720"/>
      <c r="IRQ24" s="720"/>
      <c r="IRR24" s="720"/>
      <c r="IRS24" s="720"/>
      <c r="IRT24" s="720"/>
      <c r="IRU24" s="720"/>
      <c r="IRV24" s="720"/>
      <c r="IRW24" s="720"/>
      <c r="IRX24" s="720"/>
      <c r="IRY24" s="720"/>
      <c r="IRZ24" s="720"/>
      <c r="ISA24" s="720"/>
      <c r="ISB24" s="720"/>
      <c r="ISC24" s="720"/>
      <c r="ISD24" s="720"/>
      <c r="ISE24" s="720"/>
      <c r="ISF24" s="720"/>
      <c r="ISG24" s="720"/>
      <c r="ISH24" s="720"/>
      <c r="ISI24" s="720"/>
      <c r="ISJ24" s="720"/>
      <c r="ISK24" s="720"/>
      <c r="ISL24" s="720"/>
      <c r="ISM24" s="720"/>
      <c r="ISN24" s="720"/>
      <c r="ISO24" s="720"/>
      <c r="ISP24" s="720"/>
      <c r="ISQ24" s="720"/>
      <c r="ISR24" s="720"/>
      <c r="ISS24" s="720"/>
      <c r="IST24" s="720"/>
      <c r="ISU24" s="720"/>
      <c r="ISV24" s="720"/>
      <c r="ISW24" s="720"/>
      <c r="ISX24" s="720"/>
      <c r="ISY24" s="720"/>
      <c r="ISZ24" s="720"/>
      <c r="ITA24" s="720"/>
      <c r="ITB24" s="720"/>
      <c r="ITC24" s="720"/>
      <c r="ITD24" s="720"/>
      <c r="ITE24" s="720"/>
      <c r="ITF24" s="720"/>
      <c r="ITG24" s="720"/>
      <c r="ITH24" s="720"/>
      <c r="ITI24" s="720"/>
      <c r="ITJ24" s="720"/>
      <c r="ITK24" s="720"/>
      <c r="ITL24" s="720"/>
      <c r="ITM24" s="720"/>
      <c r="ITN24" s="720"/>
      <c r="ITO24" s="720"/>
      <c r="ITP24" s="720"/>
      <c r="ITQ24" s="720"/>
      <c r="ITR24" s="720"/>
      <c r="ITS24" s="720"/>
      <c r="ITT24" s="720"/>
      <c r="ITU24" s="720"/>
      <c r="ITV24" s="720"/>
      <c r="ITW24" s="720"/>
      <c r="ITX24" s="720"/>
      <c r="ITY24" s="720"/>
      <c r="ITZ24" s="720"/>
      <c r="IUA24" s="720"/>
      <c r="IUB24" s="720"/>
      <c r="IUC24" s="720"/>
      <c r="IUD24" s="720"/>
      <c r="IUE24" s="720"/>
      <c r="IUF24" s="720"/>
      <c r="IUG24" s="720"/>
      <c r="IUH24" s="720"/>
      <c r="IUI24" s="720"/>
      <c r="IUJ24" s="720"/>
      <c r="IUK24" s="720"/>
      <c r="IUL24" s="720"/>
      <c r="IUM24" s="720"/>
      <c r="IUN24" s="720"/>
      <c r="IUO24" s="720"/>
      <c r="IUP24" s="720"/>
      <c r="IUQ24" s="720"/>
      <c r="IUR24" s="720"/>
      <c r="IUS24" s="720"/>
      <c r="IUT24" s="720"/>
      <c r="IUU24" s="720"/>
      <c r="IUV24" s="720"/>
      <c r="IUW24" s="720"/>
      <c r="IUX24" s="720"/>
      <c r="IUY24" s="720"/>
      <c r="IUZ24" s="720"/>
      <c r="IVA24" s="720"/>
      <c r="IVB24" s="720"/>
      <c r="IVC24" s="720"/>
      <c r="IVD24" s="720"/>
      <c r="IVE24" s="720"/>
      <c r="IVF24" s="720"/>
      <c r="IVG24" s="720"/>
      <c r="IVH24" s="720"/>
      <c r="IVI24" s="720"/>
      <c r="IVJ24" s="720"/>
      <c r="IVK24" s="720"/>
      <c r="IVL24" s="720"/>
      <c r="IVM24" s="720"/>
      <c r="IVN24" s="720"/>
      <c r="IVO24" s="720"/>
      <c r="IVP24" s="720"/>
      <c r="IVQ24" s="720"/>
      <c r="IVR24" s="720"/>
      <c r="IVS24" s="720"/>
      <c r="IVT24" s="720"/>
      <c r="IVU24" s="720"/>
      <c r="IVV24" s="720"/>
      <c r="IVW24" s="720"/>
      <c r="IVX24" s="720"/>
      <c r="IVY24" s="720"/>
      <c r="IVZ24" s="720"/>
      <c r="IWA24" s="720"/>
      <c r="IWB24" s="720"/>
      <c r="IWC24" s="720"/>
      <c r="IWD24" s="720"/>
      <c r="IWE24" s="720"/>
      <c r="IWF24" s="720"/>
      <c r="IWG24" s="720"/>
      <c r="IWH24" s="720"/>
      <c r="IWI24" s="720"/>
      <c r="IWJ24" s="720"/>
      <c r="IWK24" s="720"/>
      <c r="IWL24" s="720"/>
      <c r="IWM24" s="720"/>
      <c r="IWN24" s="720"/>
      <c r="IWO24" s="720"/>
      <c r="IWP24" s="720"/>
      <c r="IWQ24" s="720"/>
      <c r="IWR24" s="720"/>
      <c r="IWS24" s="720"/>
      <c r="IWT24" s="720"/>
      <c r="IWU24" s="720"/>
      <c r="IWV24" s="720"/>
      <c r="IWW24" s="720"/>
      <c r="IWX24" s="720"/>
      <c r="IWY24" s="720"/>
      <c r="IWZ24" s="720"/>
      <c r="IXA24" s="720"/>
      <c r="IXB24" s="720"/>
      <c r="IXC24" s="720"/>
      <c r="IXD24" s="720"/>
      <c r="IXE24" s="720"/>
      <c r="IXF24" s="720"/>
      <c r="IXG24" s="720"/>
      <c r="IXH24" s="720"/>
      <c r="IXI24" s="720"/>
      <c r="IXJ24" s="720"/>
      <c r="IXK24" s="720"/>
      <c r="IXL24" s="720"/>
      <c r="IXM24" s="720"/>
      <c r="IXN24" s="720"/>
      <c r="IXO24" s="720"/>
      <c r="IXP24" s="720"/>
      <c r="IXQ24" s="720"/>
      <c r="IXR24" s="720"/>
      <c r="IXS24" s="720"/>
      <c r="IXT24" s="720"/>
      <c r="IXU24" s="720"/>
      <c r="IXV24" s="720"/>
      <c r="IXW24" s="720"/>
      <c r="IXX24" s="720"/>
      <c r="IXY24" s="720"/>
      <c r="IXZ24" s="720"/>
      <c r="IYA24" s="720"/>
      <c r="IYB24" s="720"/>
      <c r="IYC24" s="720"/>
      <c r="IYD24" s="720"/>
      <c r="IYE24" s="720"/>
      <c r="IYF24" s="720"/>
      <c r="IYG24" s="720"/>
      <c r="IYH24" s="720"/>
      <c r="IYI24" s="720"/>
      <c r="IYJ24" s="720"/>
      <c r="IYK24" s="720"/>
      <c r="IYL24" s="720"/>
      <c r="IYM24" s="720"/>
      <c r="IYN24" s="720"/>
      <c r="IYO24" s="720"/>
      <c r="IYP24" s="720"/>
      <c r="IYQ24" s="720"/>
      <c r="IYR24" s="720"/>
      <c r="IYS24" s="720"/>
      <c r="IYT24" s="720"/>
      <c r="IYU24" s="720"/>
      <c r="IYV24" s="720"/>
      <c r="IYW24" s="720"/>
      <c r="IYX24" s="720"/>
      <c r="IYY24" s="720"/>
      <c r="IYZ24" s="720"/>
      <c r="IZA24" s="720"/>
      <c r="IZB24" s="720"/>
      <c r="IZC24" s="720"/>
      <c r="IZD24" s="720"/>
      <c r="IZE24" s="720"/>
      <c r="IZF24" s="720"/>
      <c r="IZG24" s="720"/>
      <c r="IZH24" s="720"/>
      <c r="IZI24" s="720"/>
      <c r="IZJ24" s="720"/>
      <c r="IZK24" s="720"/>
      <c r="IZL24" s="720"/>
      <c r="IZM24" s="720"/>
      <c r="IZN24" s="720"/>
      <c r="IZO24" s="720"/>
      <c r="IZP24" s="720"/>
      <c r="IZQ24" s="720"/>
      <c r="IZR24" s="720"/>
      <c r="IZS24" s="720"/>
      <c r="IZT24" s="720"/>
      <c r="IZU24" s="720"/>
      <c r="IZV24" s="720"/>
      <c r="IZW24" s="720"/>
      <c r="IZX24" s="720"/>
      <c r="IZY24" s="720"/>
      <c r="IZZ24" s="720"/>
      <c r="JAA24" s="720"/>
      <c r="JAB24" s="720"/>
      <c r="JAC24" s="720"/>
      <c r="JAD24" s="720"/>
      <c r="JAE24" s="720"/>
      <c r="JAF24" s="720"/>
      <c r="JAG24" s="720"/>
      <c r="JAH24" s="720"/>
      <c r="JAI24" s="720"/>
      <c r="JAJ24" s="720"/>
      <c r="JAK24" s="720"/>
      <c r="JAL24" s="720"/>
      <c r="JAM24" s="720"/>
      <c r="JAN24" s="720"/>
      <c r="JAO24" s="720"/>
      <c r="JAP24" s="720"/>
      <c r="JAQ24" s="720"/>
      <c r="JAR24" s="720"/>
      <c r="JAS24" s="720"/>
      <c r="JAT24" s="720"/>
      <c r="JAU24" s="720"/>
      <c r="JAV24" s="720"/>
      <c r="JAW24" s="720"/>
      <c r="JAX24" s="720"/>
      <c r="JAY24" s="720"/>
      <c r="JAZ24" s="720"/>
      <c r="JBA24" s="720"/>
      <c r="JBB24" s="720"/>
      <c r="JBC24" s="720"/>
      <c r="JBD24" s="720"/>
      <c r="JBE24" s="720"/>
      <c r="JBF24" s="720"/>
      <c r="JBG24" s="720"/>
      <c r="JBH24" s="720"/>
      <c r="JBI24" s="720"/>
      <c r="JBJ24" s="720"/>
      <c r="JBK24" s="720"/>
      <c r="JBL24" s="720"/>
      <c r="JBM24" s="720"/>
      <c r="JBN24" s="720"/>
      <c r="JBO24" s="720"/>
      <c r="JBP24" s="720"/>
      <c r="JBQ24" s="720"/>
      <c r="JBR24" s="720"/>
      <c r="JBS24" s="720"/>
      <c r="JBT24" s="720"/>
      <c r="JBU24" s="720"/>
      <c r="JBV24" s="720"/>
      <c r="JBW24" s="720"/>
      <c r="JBX24" s="720"/>
      <c r="JBY24" s="720"/>
      <c r="JBZ24" s="720"/>
      <c r="JCA24" s="720"/>
      <c r="JCB24" s="720"/>
      <c r="JCC24" s="720"/>
      <c r="JCD24" s="720"/>
      <c r="JCE24" s="720"/>
      <c r="JCF24" s="720"/>
      <c r="JCG24" s="720"/>
      <c r="JCH24" s="720"/>
      <c r="JCI24" s="720"/>
      <c r="JCJ24" s="720"/>
      <c r="JCK24" s="720"/>
      <c r="JCL24" s="720"/>
      <c r="JCM24" s="720"/>
      <c r="JCN24" s="720"/>
      <c r="JCO24" s="720"/>
      <c r="JCP24" s="720"/>
      <c r="JCQ24" s="720"/>
      <c r="JCR24" s="720"/>
      <c r="JCS24" s="720"/>
      <c r="JCT24" s="720"/>
      <c r="JCU24" s="720"/>
      <c r="JCV24" s="720"/>
      <c r="JCW24" s="720"/>
      <c r="JCX24" s="720"/>
      <c r="JCY24" s="720"/>
      <c r="JCZ24" s="720"/>
      <c r="JDA24" s="720"/>
      <c r="JDB24" s="720"/>
      <c r="JDC24" s="720"/>
      <c r="JDD24" s="720"/>
      <c r="JDE24" s="720"/>
      <c r="JDF24" s="720"/>
      <c r="JDG24" s="720"/>
      <c r="JDH24" s="720"/>
      <c r="JDI24" s="720"/>
      <c r="JDJ24" s="720"/>
      <c r="JDK24" s="720"/>
      <c r="JDL24" s="720"/>
      <c r="JDM24" s="720"/>
      <c r="JDN24" s="720"/>
      <c r="JDO24" s="720"/>
      <c r="JDP24" s="720"/>
      <c r="JDQ24" s="720"/>
      <c r="JDR24" s="720"/>
      <c r="JDS24" s="720"/>
      <c r="JDT24" s="720"/>
      <c r="JDU24" s="720"/>
      <c r="JDV24" s="720"/>
      <c r="JDW24" s="720"/>
      <c r="JDX24" s="720"/>
      <c r="JDY24" s="720"/>
      <c r="JDZ24" s="720"/>
      <c r="JEA24" s="720"/>
      <c r="JEB24" s="720"/>
      <c r="JEC24" s="720"/>
      <c r="JED24" s="720"/>
      <c r="JEE24" s="720"/>
      <c r="JEF24" s="720"/>
      <c r="JEG24" s="720"/>
      <c r="JEH24" s="720"/>
      <c r="JEI24" s="720"/>
      <c r="JEJ24" s="720"/>
      <c r="JEK24" s="720"/>
      <c r="JEL24" s="720"/>
      <c r="JEM24" s="720"/>
      <c r="JEN24" s="720"/>
      <c r="JEO24" s="720"/>
      <c r="JEP24" s="720"/>
      <c r="JEQ24" s="720"/>
      <c r="JER24" s="720"/>
      <c r="JES24" s="720"/>
      <c r="JET24" s="720"/>
      <c r="JEU24" s="720"/>
      <c r="JEV24" s="720"/>
      <c r="JEW24" s="720"/>
      <c r="JEX24" s="720"/>
      <c r="JEY24" s="720"/>
      <c r="JEZ24" s="720"/>
      <c r="JFA24" s="720"/>
      <c r="JFB24" s="720"/>
      <c r="JFC24" s="720"/>
      <c r="JFD24" s="720"/>
      <c r="JFE24" s="720"/>
      <c r="JFF24" s="720"/>
      <c r="JFG24" s="720"/>
      <c r="JFH24" s="720"/>
      <c r="JFI24" s="720"/>
      <c r="JFJ24" s="720"/>
      <c r="JFK24" s="720"/>
      <c r="JFL24" s="720"/>
      <c r="JFM24" s="720"/>
      <c r="JFN24" s="720"/>
      <c r="JFO24" s="720"/>
      <c r="JFP24" s="720"/>
      <c r="JFQ24" s="720"/>
      <c r="JFR24" s="720"/>
      <c r="JFS24" s="720"/>
      <c r="JFT24" s="720"/>
      <c r="JFU24" s="720"/>
      <c r="JFV24" s="720"/>
      <c r="JFW24" s="720"/>
      <c r="JFX24" s="720"/>
      <c r="JFY24" s="720"/>
      <c r="JFZ24" s="720"/>
      <c r="JGA24" s="720"/>
      <c r="JGB24" s="720"/>
      <c r="JGC24" s="720"/>
      <c r="JGD24" s="720"/>
      <c r="JGE24" s="720"/>
      <c r="JGF24" s="720"/>
      <c r="JGG24" s="720"/>
      <c r="JGH24" s="720"/>
      <c r="JGI24" s="720"/>
      <c r="JGJ24" s="720"/>
      <c r="JGK24" s="720"/>
      <c r="JGL24" s="720"/>
      <c r="JGM24" s="720"/>
      <c r="JGN24" s="720"/>
      <c r="JGO24" s="720"/>
      <c r="JGP24" s="720"/>
      <c r="JGQ24" s="720"/>
      <c r="JGR24" s="720"/>
      <c r="JGS24" s="720"/>
      <c r="JGT24" s="720"/>
      <c r="JGU24" s="720"/>
      <c r="JGV24" s="720"/>
      <c r="JGW24" s="720"/>
      <c r="JGX24" s="720"/>
      <c r="JGY24" s="720"/>
      <c r="JGZ24" s="720"/>
      <c r="JHA24" s="720"/>
      <c r="JHB24" s="720"/>
      <c r="JHC24" s="720"/>
      <c r="JHD24" s="720"/>
      <c r="JHE24" s="720"/>
      <c r="JHF24" s="720"/>
      <c r="JHG24" s="720"/>
      <c r="JHH24" s="720"/>
      <c r="JHI24" s="720"/>
      <c r="JHJ24" s="720"/>
      <c r="JHK24" s="720"/>
      <c r="JHL24" s="720"/>
      <c r="JHM24" s="720"/>
      <c r="JHN24" s="720"/>
      <c r="JHO24" s="720"/>
      <c r="JHP24" s="720"/>
      <c r="JHQ24" s="720"/>
      <c r="JHR24" s="720"/>
      <c r="JHS24" s="720"/>
      <c r="JHT24" s="720"/>
      <c r="JHU24" s="720"/>
      <c r="JHV24" s="720"/>
      <c r="JHW24" s="720"/>
      <c r="JHX24" s="720"/>
      <c r="JHY24" s="720"/>
      <c r="JHZ24" s="720"/>
      <c r="JIA24" s="720"/>
      <c r="JIB24" s="720"/>
      <c r="JIC24" s="720"/>
      <c r="JID24" s="720"/>
      <c r="JIE24" s="720"/>
      <c r="JIF24" s="720"/>
      <c r="JIG24" s="720"/>
      <c r="JIH24" s="720"/>
      <c r="JII24" s="720"/>
      <c r="JIJ24" s="720"/>
      <c r="JIK24" s="720"/>
      <c r="JIL24" s="720"/>
      <c r="JIM24" s="720"/>
      <c r="JIN24" s="720"/>
      <c r="JIO24" s="720"/>
      <c r="JIP24" s="720"/>
      <c r="JIQ24" s="720"/>
      <c r="JIR24" s="720"/>
      <c r="JIS24" s="720"/>
      <c r="JIT24" s="720"/>
      <c r="JIU24" s="720"/>
      <c r="JIV24" s="720"/>
      <c r="JIW24" s="720"/>
      <c r="JIX24" s="720"/>
      <c r="JIY24" s="720"/>
      <c r="JIZ24" s="720"/>
      <c r="JJA24" s="720"/>
      <c r="JJB24" s="720"/>
      <c r="JJC24" s="720"/>
      <c r="JJD24" s="720"/>
      <c r="JJE24" s="720"/>
      <c r="JJF24" s="720"/>
      <c r="JJG24" s="720"/>
      <c r="JJH24" s="720"/>
      <c r="JJI24" s="720"/>
      <c r="JJJ24" s="720"/>
      <c r="JJK24" s="720"/>
      <c r="JJL24" s="720"/>
      <c r="JJM24" s="720"/>
      <c r="JJN24" s="720"/>
      <c r="JJO24" s="720"/>
      <c r="JJP24" s="720"/>
      <c r="JJQ24" s="720"/>
      <c r="JJR24" s="720"/>
      <c r="JJS24" s="720"/>
      <c r="JJT24" s="720"/>
      <c r="JJU24" s="720"/>
      <c r="JJV24" s="720"/>
      <c r="JJW24" s="720"/>
      <c r="JJX24" s="720"/>
      <c r="JJY24" s="720"/>
      <c r="JJZ24" s="720"/>
      <c r="JKA24" s="720"/>
      <c r="JKB24" s="720"/>
      <c r="JKC24" s="720"/>
      <c r="JKD24" s="720"/>
      <c r="JKE24" s="720"/>
      <c r="JKF24" s="720"/>
      <c r="JKG24" s="720"/>
      <c r="JKH24" s="720"/>
      <c r="JKI24" s="720"/>
      <c r="JKJ24" s="720"/>
      <c r="JKK24" s="720"/>
      <c r="JKL24" s="720"/>
      <c r="JKM24" s="720"/>
      <c r="JKN24" s="720"/>
      <c r="JKO24" s="720"/>
      <c r="JKP24" s="720"/>
      <c r="JKQ24" s="720"/>
      <c r="JKR24" s="720"/>
      <c r="JKS24" s="720"/>
      <c r="JKT24" s="720"/>
      <c r="JKU24" s="720"/>
      <c r="JKV24" s="720"/>
      <c r="JKW24" s="720"/>
      <c r="JKX24" s="720"/>
      <c r="JKY24" s="720"/>
      <c r="JKZ24" s="720"/>
      <c r="JLA24" s="720"/>
      <c r="JLB24" s="720"/>
      <c r="JLC24" s="720"/>
      <c r="JLD24" s="720"/>
      <c r="JLE24" s="720"/>
      <c r="JLF24" s="720"/>
      <c r="JLG24" s="720"/>
      <c r="JLH24" s="720"/>
      <c r="JLI24" s="720"/>
      <c r="JLJ24" s="720"/>
      <c r="JLK24" s="720"/>
      <c r="JLL24" s="720"/>
      <c r="JLM24" s="720"/>
      <c r="JLN24" s="720"/>
      <c r="JLO24" s="720"/>
      <c r="JLP24" s="720"/>
      <c r="JLQ24" s="720"/>
      <c r="JLR24" s="720"/>
      <c r="JLS24" s="720"/>
      <c r="JLT24" s="720"/>
      <c r="JLU24" s="720"/>
      <c r="JLV24" s="720"/>
      <c r="JLW24" s="720"/>
      <c r="JLX24" s="720"/>
      <c r="JLY24" s="720"/>
      <c r="JLZ24" s="720"/>
      <c r="JMA24" s="720"/>
      <c r="JMB24" s="720"/>
      <c r="JMC24" s="720"/>
      <c r="JMD24" s="720"/>
      <c r="JME24" s="720"/>
      <c r="JMF24" s="720"/>
      <c r="JMG24" s="720"/>
      <c r="JMH24" s="720"/>
      <c r="JMI24" s="720"/>
      <c r="JMJ24" s="720"/>
      <c r="JMK24" s="720"/>
      <c r="JML24" s="720"/>
      <c r="JMM24" s="720"/>
      <c r="JMN24" s="720"/>
      <c r="JMO24" s="720"/>
      <c r="JMP24" s="720"/>
      <c r="JMQ24" s="720"/>
      <c r="JMR24" s="720"/>
      <c r="JMS24" s="720"/>
      <c r="JMT24" s="720"/>
      <c r="JMU24" s="720"/>
      <c r="JMV24" s="720"/>
      <c r="JMW24" s="720"/>
      <c r="JMX24" s="720"/>
      <c r="JMY24" s="720"/>
      <c r="JMZ24" s="720"/>
      <c r="JNA24" s="720"/>
      <c r="JNB24" s="720"/>
      <c r="JNC24" s="720"/>
      <c r="JND24" s="720"/>
      <c r="JNE24" s="720"/>
      <c r="JNF24" s="720"/>
      <c r="JNG24" s="720"/>
      <c r="JNH24" s="720"/>
      <c r="JNI24" s="720"/>
      <c r="JNJ24" s="720"/>
      <c r="JNK24" s="720"/>
      <c r="JNL24" s="720"/>
      <c r="JNM24" s="720"/>
      <c r="JNN24" s="720"/>
      <c r="JNO24" s="720"/>
      <c r="JNP24" s="720"/>
      <c r="JNQ24" s="720"/>
      <c r="JNR24" s="720"/>
      <c r="JNS24" s="720"/>
      <c r="JNT24" s="720"/>
      <c r="JNU24" s="720"/>
      <c r="JNV24" s="720"/>
      <c r="JNW24" s="720"/>
      <c r="JNX24" s="720"/>
      <c r="JNY24" s="720"/>
      <c r="JNZ24" s="720"/>
      <c r="JOA24" s="720"/>
      <c r="JOB24" s="720"/>
      <c r="JOC24" s="720"/>
      <c r="JOD24" s="720"/>
      <c r="JOE24" s="720"/>
      <c r="JOF24" s="720"/>
      <c r="JOG24" s="720"/>
      <c r="JOH24" s="720"/>
      <c r="JOI24" s="720"/>
      <c r="JOJ24" s="720"/>
      <c r="JOK24" s="720"/>
      <c r="JOL24" s="720"/>
      <c r="JOM24" s="720"/>
      <c r="JON24" s="720"/>
      <c r="JOO24" s="720"/>
      <c r="JOP24" s="720"/>
      <c r="JOQ24" s="720"/>
      <c r="JOR24" s="720"/>
      <c r="JOS24" s="720"/>
      <c r="JOT24" s="720"/>
      <c r="JOU24" s="720"/>
      <c r="JOV24" s="720"/>
      <c r="JOW24" s="720"/>
      <c r="JOX24" s="720"/>
      <c r="JOY24" s="720"/>
      <c r="JOZ24" s="720"/>
      <c r="JPA24" s="720"/>
      <c r="JPB24" s="720"/>
      <c r="JPC24" s="720"/>
      <c r="JPD24" s="720"/>
      <c r="JPE24" s="720"/>
      <c r="JPF24" s="720"/>
      <c r="JPG24" s="720"/>
      <c r="JPH24" s="720"/>
      <c r="JPI24" s="720"/>
      <c r="JPJ24" s="720"/>
      <c r="JPK24" s="720"/>
      <c r="JPL24" s="720"/>
      <c r="JPM24" s="720"/>
      <c r="JPN24" s="720"/>
      <c r="JPO24" s="720"/>
      <c r="JPP24" s="720"/>
      <c r="JPQ24" s="720"/>
      <c r="JPR24" s="720"/>
      <c r="JPS24" s="720"/>
      <c r="JPT24" s="720"/>
      <c r="JPU24" s="720"/>
      <c r="JPV24" s="720"/>
      <c r="JPW24" s="720"/>
      <c r="JPX24" s="720"/>
      <c r="JPY24" s="720"/>
      <c r="JPZ24" s="720"/>
      <c r="JQA24" s="720"/>
      <c r="JQB24" s="720"/>
      <c r="JQC24" s="720"/>
      <c r="JQD24" s="720"/>
      <c r="JQE24" s="720"/>
      <c r="JQF24" s="720"/>
      <c r="JQG24" s="720"/>
      <c r="JQH24" s="720"/>
      <c r="JQI24" s="720"/>
      <c r="JQJ24" s="720"/>
      <c r="JQK24" s="720"/>
      <c r="JQL24" s="720"/>
      <c r="JQM24" s="720"/>
      <c r="JQN24" s="720"/>
      <c r="JQO24" s="720"/>
      <c r="JQP24" s="720"/>
      <c r="JQQ24" s="720"/>
      <c r="JQR24" s="720"/>
      <c r="JQS24" s="720"/>
      <c r="JQT24" s="720"/>
      <c r="JQU24" s="720"/>
      <c r="JQV24" s="720"/>
      <c r="JQW24" s="720"/>
      <c r="JQX24" s="720"/>
      <c r="JQY24" s="720"/>
      <c r="JQZ24" s="720"/>
      <c r="JRA24" s="720"/>
      <c r="JRB24" s="720"/>
      <c r="JRC24" s="720"/>
      <c r="JRD24" s="720"/>
      <c r="JRE24" s="720"/>
      <c r="JRF24" s="720"/>
      <c r="JRG24" s="720"/>
      <c r="JRH24" s="720"/>
      <c r="JRI24" s="720"/>
      <c r="JRJ24" s="720"/>
      <c r="JRK24" s="720"/>
      <c r="JRL24" s="720"/>
      <c r="JRM24" s="720"/>
      <c r="JRN24" s="720"/>
      <c r="JRO24" s="720"/>
      <c r="JRP24" s="720"/>
      <c r="JRQ24" s="720"/>
      <c r="JRR24" s="720"/>
      <c r="JRS24" s="720"/>
      <c r="JRT24" s="720"/>
      <c r="JRU24" s="720"/>
      <c r="JRV24" s="720"/>
      <c r="JRW24" s="720"/>
      <c r="JRX24" s="720"/>
      <c r="JRY24" s="720"/>
      <c r="JRZ24" s="720"/>
      <c r="JSA24" s="720"/>
      <c r="JSB24" s="720"/>
      <c r="JSC24" s="720"/>
      <c r="JSD24" s="720"/>
      <c r="JSE24" s="720"/>
      <c r="JSF24" s="720"/>
      <c r="JSG24" s="720"/>
      <c r="JSH24" s="720"/>
      <c r="JSI24" s="720"/>
      <c r="JSJ24" s="720"/>
      <c r="JSK24" s="720"/>
      <c r="JSL24" s="720"/>
      <c r="JSM24" s="720"/>
      <c r="JSN24" s="720"/>
      <c r="JSO24" s="720"/>
      <c r="JSP24" s="720"/>
      <c r="JSQ24" s="720"/>
      <c r="JSR24" s="720"/>
      <c r="JSS24" s="720"/>
      <c r="JST24" s="720"/>
      <c r="JSU24" s="720"/>
      <c r="JSV24" s="720"/>
      <c r="JSW24" s="720"/>
      <c r="JSX24" s="720"/>
      <c r="JSY24" s="720"/>
      <c r="JSZ24" s="720"/>
      <c r="JTA24" s="720"/>
      <c r="JTB24" s="720"/>
      <c r="JTC24" s="720"/>
      <c r="JTD24" s="720"/>
      <c r="JTE24" s="720"/>
      <c r="JTF24" s="720"/>
      <c r="JTG24" s="720"/>
      <c r="JTH24" s="720"/>
      <c r="JTI24" s="720"/>
      <c r="JTJ24" s="720"/>
      <c r="JTK24" s="720"/>
      <c r="JTL24" s="720"/>
      <c r="JTM24" s="720"/>
      <c r="JTN24" s="720"/>
      <c r="JTO24" s="720"/>
      <c r="JTP24" s="720"/>
      <c r="JTQ24" s="720"/>
      <c r="JTR24" s="720"/>
      <c r="JTS24" s="720"/>
      <c r="JTT24" s="720"/>
      <c r="JTU24" s="720"/>
      <c r="JTV24" s="720"/>
      <c r="JTW24" s="720"/>
      <c r="JTX24" s="720"/>
      <c r="JTY24" s="720"/>
      <c r="JTZ24" s="720"/>
      <c r="JUA24" s="720"/>
      <c r="JUB24" s="720"/>
      <c r="JUC24" s="720"/>
      <c r="JUD24" s="720"/>
      <c r="JUE24" s="720"/>
      <c r="JUF24" s="720"/>
      <c r="JUG24" s="720"/>
      <c r="JUH24" s="720"/>
      <c r="JUI24" s="720"/>
      <c r="JUJ24" s="720"/>
      <c r="JUK24" s="720"/>
      <c r="JUL24" s="720"/>
      <c r="JUM24" s="720"/>
      <c r="JUN24" s="720"/>
      <c r="JUO24" s="720"/>
      <c r="JUP24" s="720"/>
      <c r="JUQ24" s="720"/>
      <c r="JUR24" s="720"/>
      <c r="JUS24" s="720"/>
      <c r="JUT24" s="720"/>
      <c r="JUU24" s="720"/>
      <c r="JUV24" s="720"/>
      <c r="JUW24" s="720"/>
      <c r="JUX24" s="720"/>
      <c r="JUY24" s="720"/>
      <c r="JUZ24" s="720"/>
      <c r="JVA24" s="720"/>
      <c r="JVB24" s="720"/>
      <c r="JVC24" s="720"/>
      <c r="JVD24" s="720"/>
      <c r="JVE24" s="720"/>
      <c r="JVF24" s="720"/>
      <c r="JVG24" s="720"/>
      <c r="JVH24" s="720"/>
      <c r="JVI24" s="720"/>
      <c r="JVJ24" s="720"/>
      <c r="JVK24" s="720"/>
      <c r="JVL24" s="720"/>
      <c r="JVM24" s="720"/>
      <c r="JVN24" s="720"/>
      <c r="JVO24" s="720"/>
      <c r="JVP24" s="720"/>
      <c r="JVQ24" s="720"/>
      <c r="JVR24" s="720"/>
      <c r="JVS24" s="720"/>
      <c r="JVT24" s="720"/>
      <c r="JVU24" s="720"/>
      <c r="JVV24" s="720"/>
      <c r="JVW24" s="720"/>
      <c r="JVX24" s="720"/>
      <c r="JVY24" s="720"/>
      <c r="JVZ24" s="720"/>
      <c r="JWA24" s="720"/>
      <c r="JWB24" s="720"/>
      <c r="JWC24" s="720"/>
      <c r="JWD24" s="720"/>
      <c r="JWE24" s="720"/>
      <c r="JWF24" s="720"/>
      <c r="JWG24" s="720"/>
      <c r="JWH24" s="720"/>
      <c r="JWI24" s="720"/>
      <c r="JWJ24" s="720"/>
      <c r="JWK24" s="720"/>
      <c r="JWL24" s="720"/>
      <c r="JWM24" s="720"/>
      <c r="JWN24" s="720"/>
      <c r="JWO24" s="720"/>
      <c r="JWP24" s="720"/>
      <c r="JWQ24" s="720"/>
      <c r="JWR24" s="720"/>
      <c r="JWS24" s="720"/>
      <c r="JWT24" s="720"/>
      <c r="JWU24" s="720"/>
      <c r="JWV24" s="720"/>
      <c r="JWW24" s="720"/>
      <c r="JWX24" s="720"/>
      <c r="JWY24" s="720"/>
      <c r="JWZ24" s="720"/>
      <c r="JXA24" s="720"/>
      <c r="JXB24" s="720"/>
      <c r="JXC24" s="720"/>
      <c r="JXD24" s="720"/>
      <c r="JXE24" s="720"/>
      <c r="JXF24" s="720"/>
      <c r="JXG24" s="720"/>
      <c r="JXH24" s="720"/>
      <c r="JXI24" s="720"/>
      <c r="JXJ24" s="720"/>
      <c r="JXK24" s="720"/>
      <c r="JXL24" s="720"/>
      <c r="JXM24" s="720"/>
      <c r="JXN24" s="720"/>
      <c r="JXO24" s="720"/>
      <c r="JXP24" s="720"/>
      <c r="JXQ24" s="720"/>
      <c r="JXR24" s="720"/>
      <c r="JXS24" s="720"/>
      <c r="JXT24" s="720"/>
      <c r="JXU24" s="720"/>
      <c r="JXV24" s="720"/>
      <c r="JXW24" s="720"/>
      <c r="JXX24" s="720"/>
      <c r="JXY24" s="720"/>
      <c r="JXZ24" s="720"/>
      <c r="JYA24" s="720"/>
      <c r="JYB24" s="720"/>
      <c r="JYC24" s="720"/>
      <c r="JYD24" s="720"/>
      <c r="JYE24" s="720"/>
      <c r="JYF24" s="720"/>
      <c r="JYG24" s="720"/>
      <c r="JYH24" s="720"/>
      <c r="JYI24" s="720"/>
      <c r="JYJ24" s="720"/>
      <c r="JYK24" s="720"/>
      <c r="JYL24" s="720"/>
      <c r="JYM24" s="720"/>
      <c r="JYN24" s="720"/>
      <c r="JYO24" s="720"/>
      <c r="JYP24" s="720"/>
      <c r="JYQ24" s="720"/>
      <c r="JYR24" s="720"/>
      <c r="JYS24" s="720"/>
      <c r="JYT24" s="720"/>
      <c r="JYU24" s="720"/>
      <c r="JYV24" s="720"/>
      <c r="JYW24" s="720"/>
      <c r="JYX24" s="720"/>
      <c r="JYY24" s="720"/>
      <c r="JYZ24" s="720"/>
      <c r="JZA24" s="720"/>
      <c r="JZB24" s="720"/>
      <c r="JZC24" s="720"/>
      <c r="JZD24" s="720"/>
      <c r="JZE24" s="720"/>
      <c r="JZF24" s="720"/>
      <c r="JZG24" s="720"/>
      <c r="JZH24" s="720"/>
      <c r="JZI24" s="720"/>
      <c r="JZJ24" s="720"/>
      <c r="JZK24" s="720"/>
      <c r="JZL24" s="720"/>
      <c r="JZM24" s="720"/>
      <c r="JZN24" s="720"/>
      <c r="JZO24" s="720"/>
      <c r="JZP24" s="720"/>
      <c r="JZQ24" s="720"/>
      <c r="JZR24" s="720"/>
      <c r="JZS24" s="720"/>
      <c r="JZT24" s="720"/>
      <c r="JZU24" s="720"/>
      <c r="JZV24" s="720"/>
      <c r="JZW24" s="720"/>
      <c r="JZX24" s="720"/>
      <c r="JZY24" s="720"/>
      <c r="JZZ24" s="720"/>
      <c r="KAA24" s="720"/>
      <c r="KAB24" s="720"/>
      <c r="KAC24" s="720"/>
      <c r="KAD24" s="720"/>
      <c r="KAE24" s="720"/>
      <c r="KAF24" s="720"/>
      <c r="KAG24" s="720"/>
      <c r="KAH24" s="720"/>
      <c r="KAI24" s="720"/>
      <c r="KAJ24" s="720"/>
      <c r="KAK24" s="720"/>
      <c r="KAL24" s="720"/>
      <c r="KAM24" s="720"/>
      <c r="KAN24" s="720"/>
      <c r="KAO24" s="720"/>
      <c r="KAP24" s="720"/>
      <c r="KAQ24" s="720"/>
      <c r="KAR24" s="720"/>
      <c r="KAS24" s="720"/>
      <c r="KAT24" s="720"/>
      <c r="KAU24" s="720"/>
      <c r="KAV24" s="720"/>
      <c r="KAW24" s="720"/>
      <c r="KAX24" s="720"/>
      <c r="KAY24" s="720"/>
      <c r="KAZ24" s="720"/>
      <c r="KBA24" s="720"/>
      <c r="KBB24" s="720"/>
      <c r="KBC24" s="720"/>
      <c r="KBD24" s="720"/>
      <c r="KBE24" s="720"/>
      <c r="KBF24" s="720"/>
      <c r="KBG24" s="720"/>
      <c r="KBH24" s="720"/>
      <c r="KBI24" s="720"/>
      <c r="KBJ24" s="720"/>
      <c r="KBK24" s="720"/>
      <c r="KBL24" s="720"/>
      <c r="KBM24" s="720"/>
      <c r="KBN24" s="720"/>
      <c r="KBO24" s="720"/>
      <c r="KBP24" s="720"/>
      <c r="KBQ24" s="720"/>
      <c r="KBR24" s="720"/>
      <c r="KBS24" s="720"/>
      <c r="KBT24" s="720"/>
      <c r="KBU24" s="720"/>
      <c r="KBV24" s="720"/>
      <c r="KBW24" s="720"/>
      <c r="KBX24" s="720"/>
      <c r="KBY24" s="720"/>
      <c r="KBZ24" s="720"/>
      <c r="KCA24" s="720"/>
      <c r="KCB24" s="720"/>
      <c r="KCC24" s="720"/>
      <c r="KCD24" s="720"/>
      <c r="KCE24" s="720"/>
      <c r="KCF24" s="720"/>
      <c r="KCG24" s="720"/>
      <c r="KCH24" s="720"/>
      <c r="KCI24" s="720"/>
      <c r="KCJ24" s="720"/>
      <c r="KCK24" s="720"/>
      <c r="KCL24" s="720"/>
      <c r="KCM24" s="720"/>
      <c r="KCN24" s="720"/>
      <c r="KCO24" s="720"/>
      <c r="KCP24" s="720"/>
      <c r="KCQ24" s="720"/>
      <c r="KCR24" s="720"/>
      <c r="KCS24" s="720"/>
      <c r="KCT24" s="720"/>
      <c r="KCU24" s="720"/>
      <c r="KCV24" s="720"/>
      <c r="KCW24" s="720"/>
      <c r="KCX24" s="720"/>
      <c r="KCY24" s="720"/>
      <c r="KCZ24" s="720"/>
      <c r="KDA24" s="720"/>
      <c r="KDB24" s="720"/>
      <c r="KDC24" s="720"/>
      <c r="KDD24" s="720"/>
      <c r="KDE24" s="720"/>
      <c r="KDF24" s="720"/>
      <c r="KDG24" s="720"/>
      <c r="KDH24" s="720"/>
      <c r="KDI24" s="720"/>
      <c r="KDJ24" s="720"/>
      <c r="KDK24" s="720"/>
      <c r="KDL24" s="720"/>
      <c r="KDM24" s="720"/>
      <c r="KDN24" s="720"/>
      <c r="KDO24" s="720"/>
      <c r="KDP24" s="720"/>
      <c r="KDQ24" s="720"/>
      <c r="KDR24" s="720"/>
      <c r="KDS24" s="720"/>
      <c r="KDT24" s="720"/>
      <c r="KDU24" s="720"/>
      <c r="KDV24" s="720"/>
      <c r="KDW24" s="720"/>
      <c r="KDX24" s="720"/>
      <c r="KDY24" s="720"/>
      <c r="KDZ24" s="720"/>
      <c r="KEA24" s="720"/>
      <c r="KEB24" s="720"/>
      <c r="KEC24" s="720"/>
      <c r="KED24" s="720"/>
      <c r="KEE24" s="720"/>
      <c r="KEF24" s="720"/>
      <c r="KEG24" s="720"/>
      <c r="KEH24" s="720"/>
      <c r="KEI24" s="720"/>
      <c r="KEJ24" s="720"/>
      <c r="KEK24" s="720"/>
      <c r="KEL24" s="720"/>
      <c r="KEM24" s="720"/>
      <c r="KEN24" s="720"/>
      <c r="KEO24" s="720"/>
      <c r="KEP24" s="720"/>
      <c r="KEQ24" s="720"/>
      <c r="KER24" s="720"/>
      <c r="KES24" s="720"/>
      <c r="KET24" s="720"/>
      <c r="KEU24" s="720"/>
      <c r="KEV24" s="720"/>
      <c r="KEW24" s="720"/>
      <c r="KEX24" s="720"/>
      <c r="KEY24" s="720"/>
      <c r="KEZ24" s="720"/>
      <c r="KFA24" s="720"/>
      <c r="KFB24" s="720"/>
      <c r="KFC24" s="720"/>
      <c r="KFD24" s="720"/>
      <c r="KFE24" s="720"/>
      <c r="KFF24" s="720"/>
      <c r="KFG24" s="720"/>
      <c r="KFH24" s="720"/>
      <c r="KFI24" s="720"/>
      <c r="KFJ24" s="720"/>
      <c r="KFK24" s="720"/>
      <c r="KFL24" s="720"/>
      <c r="KFM24" s="720"/>
      <c r="KFN24" s="720"/>
      <c r="KFO24" s="720"/>
      <c r="KFP24" s="720"/>
      <c r="KFQ24" s="720"/>
      <c r="KFR24" s="720"/>
      <c r="KFS24" s="720"/>
      <c r="KFT24" s="720"/>
      <c r="KFU24" s="720"/>
      <c r="KFV24" s="720"/>
      <c r="KFW24" s="720"/>
      <c r="KFX24" s="720"/>
      <c r="KFY24" s="720"/>
      <c r="KFZ24" s="720"/>
      <c r="KGA24" s="720"/>
      <c r="KGB24" s="720"/>
      <c r="KGC24" s="720"/>
      <c r="KGD24" s="720"/>
      <c r="KGE24" s="720"/>
      <c r="KGF24" s="720"/>
      <c r="KGG24" s="720"/>
      <c r="KGH24" s="720"/>
      <c r="KGI24" s="720"/>
      <c r="KGJ24" s="720"/>
      <c r="KGK24" s="720"/>
      <c r="KGL24" s="720"/>
      <c r="KGM24" s="720"/>
      <c r="KGN24" s="720"/>
      <c r="KGO24" s="720"/>
      <c r="KGP24" s="720"/>
      <c r="KGQ24" s="720"/>
      <c r="KGR24" s="720"/>
      <c r="KGS24" s="720"/>
      <c r="KGT24" s="720"/>
      <c r="KGU24" s="720"/>
      <c r="KGV24" s="720"/>
      <c r="KGW24" s="720"/>
      <c r="KGX24" s="720"/>
      <c r="KGY24" s="720"/>
      <c r="KGZ24" s="720"/>
      <c r="KHA24" s="720"/>
      <c r="KHB24" s="720"/>
      <c r="KHC24" s="720"/>
      <c r="KHD24" s="720"/>
      <c r="KHE24" s="720"/>
      <c r="KHF24" s="720"/>
      <c r="KHG24" s="720"/>
      <c r="KHH24" s="720"/>
      <c r="KHI24" s="720"/>
      <c r="KHJ24" s="720"/>
      <c r="KHK24" s="720"/>
      <c r="KHL24" s="720"/>
      <c r="KHM24" s="720"/>
      <c r="KHN24" s="720"/>
      <c r="KHO24" s="720"/>
      <c r="KHP24" s="720"/>
      <c r="KHQ24" s="720"/>
      <c r="KHR24" s="720"/>
      <c r="KHS24" s="720"/>
      <c r="KHT24" s="720"/>
      <c r="KHU24" s="720"/>
      <c r="KHV24" s="720"/>
      <c r="KHW24" s="720"/>
      <c r="KHX24" s="720"/>
      <c r="KHY24" s="720"/>
      <c r="KHZ24" s="720"/>
      <c r="KIA24" s="720"/>
      <c r="KIB24" s="720"/>
      <c r="KIC24" s="720"/>
      <c r="KID24" s="720"/>
      <c r="KIE24" s="720"/>
      <c r="KIF24" s="720"/>
      <c r="KIG24" s="720"/>
      <c r="KIH24" s="720"/>
      <c r="KII24" s="720"/>
      <c r="KIJ24" s="720"/>
      <c r="KIK24" s="720"/>
      <c r="KIL24" s="720"/>
      <c r="KIM24" s="720"/>
      <c r="KIN24" s="720"/>
      <c r="KIO24" s="720"/>
      <c r="KIP24" s="720"/>
      <c r="KIQ24" s="720"/>
      <c r="KIR24" s="720"/>
      <c r="KIS24" s="720"/>
      <c r="KIT24" s="720"/>
      <c r="KIU24" s="720"/>
      <c r="KIV24" s="720"/>
      <c r="KIW24" s="720"/>
      <c r="KIX24" s="720"/>
      <c r="KIY24" s="720"/>
      <c r="KIZ24" s="720"/>
      <c r="KJA24" s="720"/>
      <c r="KJB24" s="720"/>
      <c r="KJC24" s="720"/>
      <c r="KJD24" s="720"/>
      <c r="KJE24" s="720"/>
      <c r="KJF24" s="720"/>
      <c r="KJG24" s="720"/>
      <c r="KJH24" s="720"/>
      <c r="KJI24" s="720"/>
      <c r="KJJ24" s="720"/>
      <c r="KJK24" s="720"/>
      <c r="KJL24" s="720"/>
      <c r="KJM24" s="720"/>
      <c r="KJN24" s="720"/>
      <c r="KJO24" s="720"/>
      <c r="KJP24" s="720"/>
      <c r="KJQ24" s="720"/>
      <c r="KJR24" s="720"/>
      <c r="KJS24" s="720"/>
      <c r="KJT24" s="720"/>
      <c r="KJU24" s="720"/>
      <c r="KJV24" s="720"/>
      <c r="KJW24" s="720"/>
      <c r="KJX24" s="720"/>
      <c r="KJY24" s="720"/>
      <c r="KJZ24" s="720"/>
      <c r="KKA24" s="720"/>
      <c r="KKB24" s="720"/>
      <c r="KKC24" s="720"/>
      <c r="KKD24" s="720"/>
      <c r="KKE24" s="720"/>
      <c r="KKF24" s="720"/>
      <c r="KKG24" s="720"/>
      <c r="KKH24" s="720"/>
      <c r="KKI24" s="720"/>
      <c r="KKJ24" s="720"/>
      <c r="KKK24" s="720"/>
      <c r="KKL24" s="720"/>
      <c r="KKM24" s="720"/>
      <c r="KKN24" s="720"/>
      <c r="KKO24" s="720"/>
      <c r="KKP24" s="720"/>
      <c r="KKQ24" s="720"/>
      <c r="KKR24" s="720"/>
      <c r="KKS24" s="720"/>
      <c r="KKT24" s="720"/>
      <c r="KKU24" s="720"/>
      <c r="KKV24" s="720"/>
      <c r="KKW24" s="720"/>
      <c r="KKX24" s="720"/>
      <c r="KKY24" s="720"/>
      <c r="KKZ24" s="720"/>
      <c r="KLA24" s="720"/>
      <c r="KLB24" s="720"/>
      <c r="KLC24" s="720"/>
      <c r="KLD24" s="720"/>
      <c r="KLE24" s="720"/>
      <c r="KLF24" s="720"/>
      <c r="KLG24" s="720"/>
      <c r="KLH24" s="720"/>
      <c r="KLI24" s="720"/>
      <c r="KLJ24" s="720"/>
      <c r="KLK24" s="720"/>
      <c r="KLL24" s="720"/>
      <c r="KLM24" s="720"/>
      <c r="KLN24" s="720"/>
      <c r="KLO24" s="720"/>
      <c r="KLP24" s="720"/>
      <c r="KLQ24" s="720"/>
      <c r="KLR24" s="720"/>
      <c r="KLS24" s="720"/>
      <c r="KLT24" s="720"/>
      <c r="KLU24" s="720"/>
      <c r="KLV24" s="720"/>
      <c r="KLW24" s="720"/>
      <c r="KLX24" s="720"/>
      <c r="KLY24" s="720"/>
      <c r="KLZ24" s="720"/>
      <c r="KMA24" s="720"/>
      <c r="KMB24" s="720"/>
      <c r="KMC24" s="720"/>
      <c r="KMD24" s="720"/>
      <c r="KME24" s="720"/>
      <c r="KMF24" s="720"/>
      <c r="KMG24" s="720"/>
      <c r="KMH24" s="720"/>
      <c r="KMI24" s="720"/>
      <c r="KMJ24" s="720"/>
      <c r="KMK24" s="720"/>
      <c r="KML24" s="720"/>
      <c r="KMM24" s="720"/>
      <c r="KMN24" s="720"/>
      <c r="KMO24" s="720"/>
      <c r="KMP24" s="720"/>
      <c r="KMQ24" s="720"/>
      <c r="KMR24" s="720"/>
      <c r="KMS24" s="720"/>
      <c r="KMT24" s="720"/>
      <c r="KMU24" s="720"/>
      <c r="KMV24" s="720"/>
      <c r="KMW24" s="720"/>
      <c r="KMX24" s="720"/>
      <c r="KMY24" s="720"/>
      <c r="KMZ24" s="720"/>
      <c r="KNA24" s="720"/>
      <c r="KNB24" s="720"/>
      <c r="KNC24" s="720"/>
      <c r="KND24" s="720"/>
      <c r="KNE24" s="720"/>
      <c r="KNF24" s="720"/>
      <c r="KNG24" s="720"/>
      <c r="KNH24" s="720"/>
      <c r="KNI24" s="720"/>
      <c r="KNJ24" s="720"/>
      <c r="KNK24" s="720"/>
      <c r="KNL24" s="720"/>
      <c r="KNM24" s="720"/>
      <c r="KNN24" s="720"/>
      <c r="KNO24" s="720"/>
      <c r="KNP24" s="720"/>
      <c r="KNQ24" s="720"/>
      <c r="KNR24" s="720"/>
      <c r="KNS24" s="720"/>
      <c r="KNT24" s="720"/>
      <c r="KNU24" s="720"/>
      <c r="KNV24" s="720"/>
      <c r="KNW24" s="720"/>
      <c r="KNX24" s="720"/>
      <c r="KNY24" s="720"/>
      <c r="KNZ24" s="720"/>
      <c r="KOA24" s="720"/>
      <c r="KOB24" s="720"/>
      <c r="KOC24" s="720"/>
      <c r="KOD24" s="720"/>
      <c r="KOE24" s="720"/>
      <c r="KOF24" s="720"/>
      <c r="KOG24" s="720"/>
      <c r="KOH24" s="720"/>
      <c r="KOI24" s="720"/>
      <c r="KOJ24" s="720"/>
      <c r="KOK24" s="720"/>
      <c r="KOL24" s="720"/>
      <c r="KOM24" s="720"/>
      <c r="KON24" s="720"/>
      <c r="KOO24" s="720"/>
      <c r="KOP24" s="720"/>
      <c r="KOQ24" s="720"/>
      <c r="KOR24" s="720"/>
      <c r="KOS24" s="720"/>
      <c r="KOT24" s="720"/>
      <c r="KOU24" s="720"/>
      <c r="KOV24" s="720"/>
      <c r="KOW24" s="720"/>
      <c r="KOX24" s="720"/>
      <c r="KOY24" s="720"/>
      <c r="KOZ24" s="720"/>
      <c r="KPA24" s="720"/>
      <c r="KPB24" s="720"/>
      <c r="KPC24" s="720"/>
      <c r="KPD24" s="720"/>
      <c r="KPE24" s="720"/>
      <c r="KPF24" s="720"/>
      <c r="KPG24" s="720"/>
      <c r="KPH24" s="720"/>
      <c r="KPI24" s="720"/>
      <c r="KPJ24" s="720"/>
      <c r="KPK24" s="720"/>
      <c r="KPL24" s="720"/>
      <c r="KPM24" s="720"/>
      <c r="KPN24" s="720"/>
      <c r="KPO24" s="720"/>
      <c r="KPP24" s="720"/>
      <c r="KPQ24" s="720"/>
      <c r="KPR24" s="720"/>
      <c r="KPS24" s="720"/>
      <c r="KPT24" s="720"/>
      <c r="KPU24" s="720"/>
      <c r="KPV24" s="720"/>
      <c r="KPW24" s="720"/>
      <c r="KPX24" s="720"/>
      <c r="KPY24" s="720"/>
      <c r="KPZ24" s="720"/>
      <c r="KQA24" s="720"/>
      <c r="KQB24" s="720"/>
      <c r="KQC24" s="720"/>
      <c r="KQD24" s="720"/>
      <c r="KQE24" s="720"/>
      <c r="KQF24" s="720"/>
      <c r="KQG24" s="720"/>
      <c r="KQH24" s="720"/>
      <c r="KQI24" s="720"/>
      <c r="KQJ24" s="720"/>
      <c r="KQK24" s="720"/>
      <c r="KQL24" s="720"/>
      <c r="KQM24" s="720"/>
      <c r="KQN24" s="720"/>
      <c r="KQO24" s="720"/>
      <c r="KQP24" s="720"/>
      <c r="KQQ24" s="720"/>
      <c r="KQR24" s="720"/>
      <c r="KQS24" s="720"/>
      <c r="KQT24" s="720"/>
      <c r="KQU24" s="720"/>
      <c r="KQV24" s="720"/>
      <c r="KQW24" s="720"/>
      <c r="KQX24" s="720"/>
      <c r="KQY24" s="720"/>
      <c r="KQZ24" s="720"/>
      <c r="KRA24" s="720"/>
      <c r="KRB24" s="720"/>
      <c r="KRC24" s="720"/>
      <c r="KRD24" s="720"/>
      <c r="KRE24" s="720"/>
      <c r="KRF24" s="720"/>
      <c r="KRG24" s="720"/>
      <c r="KRH24" s="720"/>
      <c r="KRI24" s="720"/>
      <c r="KRJ24" s="720"/>
      <c r="KRK24" s="720"/>
      <c r="KRL24" s="720"/>
      <c r="KRM24" s="720"/>
      <c r="KRN24" s="720"/>
      <c r="KRO24" s="720"/>
      <c r="KRP24" s="720"/>
      <c r="KRQ24" s="720"/>
      <c r="KRR24" s="720"/>
      <c r="KRS24" s="720"/>
      <c r="KRT24" s="720"/>
      <c r="KRU24" s="720"/>
      <c r="KRV24" s="720"/>
      <c r="KRW24" s="720"/>
      <c r="KRX24" s="720"/>
      <c r="KRY24" s="720"/>
      <c r="KRZ24" s="720"/>
      <c r="KSA24" s="720"/>
      <c r="KSB24" s="720"/>
      <c r="KSC24" s="720"/>
      <c r="KSD24" s="720"/>
      <c r="KSE24" s="720"/>
      <c r="KSF24" s="720"/>
      <c r="KSG24" s="720"/>
      <c r="KSH24" s="720"/>
      <c r="KSI24" s="720"/>
      <c r="KSJ24" s="720"/>
      <c r="KSK24" s="720"/>
      <c r="KSL24" s="720"/>
      <c r="KSM24" s="720"/>
      <c r="KSN24" s="720"/>
      <c r="KSO24" s="720"/>
      <c r="KSP24" s="720"/>
      <c r="KSQ24" s="720"/>
      <c r="KSR24" s="720"/>
      <c r="KSS24" s="720"/>
      <c r="KST24" s="720"/>
      <c r="KSU24" s="720"/>
      <c r="KSV24" s="720"/>
      <c r="KSW24" s="720"/>
      <c r="KSX24" s="720"/>
      <c r="KSY24" s="720"/>
      <c r="KSZ24" s="720"/>
      <c r="KTA24" s="720"/>
      <c r="KTB24" s="720"/>
      <c r="KTC24" s="720"/>
      <c r="KTD24" s="720"/>
      <c r="KTE24" s="720"/>
      <c r="KTF24" s="720"/>
      <c r="KTG24" s="720"/>
      <c r="KTH24" s="720"/>
      <c r="KTI24" s="720"/>
      <c r="KTJ24" s="720"/>
      <c r="KTK24" s="720"/>
      <c r="KTL24" s="720"/>
      <c r="KTM24" s="720"/>
      <c r="KTN24" s="720"/>
      <c r="KTO24" s="720"/>
      <c r="KTP24" s="720"/>
      <c r="KTQ24" s="720"/>
      <c r="KTR24" s="720"/>
      <c r="KTS24" s="720"/>
      <c r="KTT24" s="720"/>
      <c r="KTU24" s="720"/>
      <c r="KTV24" s="720"/>
      <c r="KTW24" s="720"/>
      <c r="KTX24" s="720"/>
      <c r="KTY24" s="720"/>
      <c r="KTZ24" s="720"/>
      <c r="KUA24" s="720"/>
      <c r="KUB24" s="720"/>
      <c r="KUC24" s="720"/>
      <c r="KUD24" s="720"/>
      <c r="KUE24" s="720"/>
      <c r="KUF24" s="720"/>
      <c r="KUG24" s="720"/>
      <c r="KUH24" s="720"/>
      <c r="KUI24" s="720"/>
      <c r="KUJ24" s="720"/>
      <c r="KUK24" s="720"/>
      <c r="KUL24" s="720"/>
      <c r="KUM24" s="720"/>
      <c r="KUN24" s="720"/>
      <c r="KUO24" s="720"/>
      <c r="KUP24" s="720"/>
      <c r="KUQ24" s="720"/>
      <c r="KUR24" s="720"/>
      <c r="KUS24" s="720"/>
      <c r="KUT24" s="720"/>
      <c r="KUU24" s="720"/>
      <c r="KUV24" s="720"/>
      <c r="KUW24" s="720"/>
      <c r="KUX24" s="720"/>
      <c r="KUY24" s="720"/>
      <c r="KUZ24" s="720"/>
      <c r="KVA24" s="720"/>
      <c r="KVB24" s="720"/>
      <c r="KVC24" s="720"/>
      <c r="KVD24" s="720"/>
      <c r="KVE24" s="720"/>
      <c r="KVF24" s="720"/>
      <c r="KVG24" s="720"/>
      <c r="KVH24" s="720"/>
      <c r="KVI24" s="720"/>
      <c r="KVJ24" s="720"/>
      <c r="KVK24" s="720"/>
      <c r="KVL24" s="720"/>
      <c r="KVM24" s="720"/>
      <c r="KVN24" s="720"/>
      <c r="KVO24" s="720"/>
      <c r="KVP24" s="720"/>
      <c r="KVQ24" s="720"/>
      <c r="KVR24" s="720"/>
      <c r="KVS24" s="720"/>
      <c r="KVT24" s="720"/>
      <c r="KVU24" s="720"/>
      <c r="KVV24" s="720"/>
      <c r="KVW24" s="720"/>
      <c r="KVX24" s="720"/>
      <c r="KVY24" s="720"/>
      <c r="KVZ24" s="720"/>
      <c r="KWA24" s="720"/>
      <c r="KWB24" s="720"/>
      <c r="KWC24" s="720"/>
      <c r="KWD24" s="720"/>
      <c r="KWE24" s="720"/>
      <c r="KWF24" s="720"/>
      <c r="KWG24" s="720"/>
      <c r="KWH24" s="720"/>
      <c r="KWI24" s="720"/>
      <c r="KWJ24" s="720"/>
      <c r="KWK24" s="720"/>
      <c r="KWL24" s="720"/>
      <c r="KWM24" s="720"/>
      <c r="KWN24" s="720"/>
      <c r="KWO24" s="720"/>
      <c r="KWP24" s="720"/>
      <c r="KWQ24" s="720"/>
      <c r="KWR24" s="720"/>
      <c r="KWS24" s="720"/>
      <c r="KWT24" s="720"/>
      <c r="KWU24" s="720"/>
      <c r="KWV24" s="720"/>
      <c r="KWW24" s="720"/>
      <c r="KWX24" s="720"/>
      <c r="KWY24" s="720"/>
      <c r="KWZ24" s="720"/>
      <c r="KXA24" s="720"/>
      <c r="KXB24" s="720"/>
      <c r="KXC24" s="720"/>
      <c r="KXD24" s="720"/>
      <c r="KXE24" s="720"/>
      <c r="KXF24" s="720"/>
      <c r="KXG24" s="720"/>
      <c r="KXH24" s="720"/>
      <c r="KXI24" s="720"/>
      <c r="KXJ24" s="720"/>
      <c r="KXK24" s="720"/>
      <c r="KXL24" s="720"/>
      <c r="KXM24" s="720"/>
      <c r="KXN24" s="720"/>
      <c r="KXO24" s="720"/>
      <c r="KXP24" s="720"/>
      <c r="KXQ24" s="720"/>
      <c r="KXR24" s="720"/>
      <c r="KXS24" s="720"/>
      <c r="KXT24" s="720"/>
      <c r="KXU24" s="720"/>
      <c r="KXV24" s="720"/>
      <c r="KXW24" s="720"/>
      <c r="KXX24" s="720"/>
      <c r="KXY24" s="720"/>
      <c r="KXZ24" s="720"/>
      <c r="KYA24" s="720"/>
      <c r="KYB24" s="720"/>
      <c r="KYC24" s="720"/>
      <c r="KYD24" s="720"/>
      <c r="KYE24" s="720"/>
      <c r="KYF24" s="720"/>
      <c r="KYG24" s="720"/>
      <c r="KYH24" s="720"/>
      <c r="KYI24" s="720"/>
      <c r="KYJ24" s="720"/>
      <c r="KYK24" s="720"/>
      <c r="KYL24" s="720"/>
      <c r="KYM24" s="720"/>
      <c r="KYN24" s="720"/>
      <c r="KYO24" s="720"/>
      <c r="KYP24" s="720"/>
      <c r="KYQ24" s="720"/>
      <c r="KYR24" s="720"/>
      <c r="KYS24" s="720"/>
      <c r="KYT24" s="720"/>
      <c r="KYU24" s="720"/>
      <c r="KYV24" s="720"/>
      <c r="KYW24" s="720"/>
      <c r="KYX24" s="720"/>
      <c r="KYY24" s="720"/>
      <c r="KYZ24" s="720"/>
      <c r="KZA24" s="720"/>
      <c r="KZB24" s="720"/>
      <c r="KZC24" s="720"/>
      <c r="KZD24" s="720"/>
      <c r="KZE24" s="720"/>
      <c r="KZF24" s="720"/>
      <c r="KZG24" s="720"/>
      <c r="KZH24" s="720"/>
      <c r="KZI24" s="720"/>
      <c r="KZJ24" s="720"/>
      <c r="KZK24" s="720"/>
      <c r="KZL24" s="720"/>
      <c r="KZM24" s="720"/>
      <c r="KZN24" s="720"/>
      <c r="KZO24" s="720"/>
      <c r="KZP24" s="720"/>
      <c r="KZQ24" s="720"/>
      <c r="KZR24" s="720"/>
      <c r="KZS24" s="720"/>
      <c r="KZT24" s="720"/>
      <c r="KZU24" s="720"/>
      <c r="KZV24" s="720"/>
      <c r="KZW24" s="720"/>
      <c r="KZX24" s="720"/>
      <c r="KZY24" s="720"/>
      <c r="KZZ24" s="720"/>
      <c r="LAA24" s="720"/>
      <c r="LAB24" s="720"/>
      <c r="LAC24" s="720"/>
      <c r="LAD24" s="720"/>
      <c r="LAE24" s="720"/>
      <c r="LAF24" s="720"/>
      <c r="LAG24" s="720"/>
      <c r="LAH24" s="720"/>
      <c r="LAI24" s="720"/>
      <c r="LAJ24" s="720"/>
      <c r="LAK24" s="720"/>
      <c r="LAL24" s="720"/>
      <c r="LAM24" s="720"/>
      <c r="LAN24" s="720"/>
      <c r="LAO24" s="720"/>
      <c r="LAP24" s="720"/>
      <c r="LAQ24" s="720"/>
      <c r="LAR24" s="720"/>
      <c r="LAS24" s="720"/>
      <c r="LAT24" s="720"/>
      <c r="LAU24" s="720"/>
      <c r="LAV24" s="720"/>
      <c r="LAW24" s="720"/>
      <c r="LAX24" s="720"/>
      <c r="LAY24" s="720"/>
      <c r="LAZ24" s="720"/>
      <c r="LBA24" s="720"/>
      <c r="LBB24" s="720"/>
      <c r="LBC24" s="720"/>
      <c r="LBD24" s="720"/>
      <c r="LBE24" s="720"/>
      <c r="LBF24" s="720"/>
      <c r="LBG24" s="720"/>
      <c r="LBH24" s="720"/>
      <c r="LBI24" s="720"/>
      <c r="LBJ24" s="720"/>
      <c r="LBK24" s="720"/>
      <c r="LBL24" s="720"/>
      <c r="LBM24" s="720"/>
      <c r="LBN24" s="720"/>
      <c r="LBO24" s="720"/>
      <c r="LBP24" s="720"/>
      <c r="LBQ24" s="720"/>
      <c r="LBR24" s="720"/>
      <c r="LBS24" s="720"/>
      <c r="LBT24" s="720"/>
      <c r="LBU24" s="720"/>
      <c r="LBV24" s="720"/>
      <c r="LBW24" s="720"/>
      <c r="LBX24" s="720"/>
      <c r="LBY24" s="720"/>
      <c r="LBZ24" s="720"/>
      <c r="LCA24" s="720"/>
      <c r="LCB24" s="720"/>
      <c r="LCC24" s="720"/>
      <c r="LCD24" s="720"/>
      <c r="LCE24" s="720"/>
      <c r="LCF24" s="720"/>
      <c r="LCG24" s="720"/>
      <c r="LCH24" s="720"/>
      <c r="LCI24" s="720"/>
      <c r="LCJ24" s="720"/>
      <c r="LCK24" s="720"/>
      <c r="LCL24" s="720"/>
      <c r="LCM24" s="720"/>
      <c r="LCN24" s="720"/>
      <c r="LCO24" s="720"/>
      <c r="LCP24" s="720"/>
      <c r="LCQ24" s="720"/>
      <c r="LCR24" s="720"/>
      <c r="LCS24" s="720"/>
      <c r="LCT24" s="720"/>
      <c r="LCU24" s="720"/>
      <c r="LCV24" s="720"/>
      <c r="LCW24" s="720"/>
      <c r="LCX24" s="720"/>
      <c r="LCY24" s="720"/>
      <c r="LCZ24" s="720"/>
      <c r="LDA24" s="720"/>
      <c r="LDB24" s="720"/>
      <c r="LDC24" s="720"/>
      <c r="LDD24" s="720"/>
      <c r="LDE24" s="720"/>
      <c r="LDF24" s="720"/>
      <c r="LDG24" s="720"/>
      <c r="LDH24" s="720"/>
      <c r="LDI24" s="720"/>
      <c r="LDJ24" s="720"/>
      <c r="LDK24" s="720"/>
      <c r="LDL24" s="720"/>
      <c r="LDM24" s="720"/>
      <c r="LDN24" s="720"/>
      <c r="LDO24" s="720"/>
      <c r="LDP24" s="720"/>
      <c r="LDQ24" s="720"/>
      <c r="LDR24" s="720"/>
      <c r="LDS24" s="720"/>
      <c r="LDT24" s="720"/>
      <c r="LDU24" s="720"/>
      <c r="LDV24" s="720"/>
      <c r="LDW24" s="720"/>
      <c r="LDX24" s="720"/>
      <c r="LDY24" s="720"/>
      <c r="LDZ24" s="720"/>
      <c r="LEA24" s="720"/>
      <c r="LEB24" s="720"/>
      <c r="LEC24" s="720"/>
      <c r="LED24" s="720"/>
      <c r="LEE24" s="720"/>
      <c r="LEF24" s="720"/>
      <c r="LEG24" s="720"/>
      <c r="LEH24" s="720"/>
      <c r="LEI24" s="720"/>
      <c r="LEJ24" s="720"/>
      <c r="LEK24" s="720"/>
      <c r="LEL24" s="720"/>
      <c r="LEM24" s="720"/>
      <c r="LEN24" s="720"/>
      <c r="LEO24" s="720"/>
      <c r="LEP24" s="720"/>
      <c r="LEQ24" s="720"/>
      <c r="LER24" s="720"/>
      <c r="LES24" s="720"/>
      <c r="LET24" s="720"/>
      <c r="LEU24" s="720"/>
      <c r="LEV24" s="720"/>
      <c r="LEW24" s="720"/>
      <c r="LEX24" s="720"/>
      <c r="LEY24" s="720"/>
      <c r="LEZ24" s="720"/>
      <c r="LFA24" s="720"/>
      <c r="LFB24" s="720"/>
      <c r="LFC24" s="720"/>
      <c r="LFD24" s="720"/>
      <c r="LFE24" s="720"/>
      <c r="LFF24" s="720"/>
      <c r="LFG24" s="720"/>
      <c r="LFH24" s="720"/>
      <c r="LFI24" s="720"/>
      <c r="LFJ24" s="720"/>
      <c r="LFK24" s="720"/>
      <c r="LFL24" s="720"/>
      <c r="LFM24" s="720"/>
      <c r="LFN24" s="720"/>
      <c r="LFO24" s="720"/>
      <c r="LFP24" s="720"/>
      <c r="LFQ24" s="720"/>
      <c r="LFR24" s="720"/>
      <c r="LFS24" s="720"/>
      <c r="LFT24" s="720"/>
      <c r="LFU24" s="720"/>
      <c r="LFV24" s="720"/>
      <c r="LFW24" s="720"/>
      <c r="LFX24" s="720"/>
      <c r="LFY24" s="720"/>
      <c r="LFZ24" s="720"/>
      <c r="LGA24" s="720"/>
      <c r="LGB24" s="720"/>
      <c r="LGC24" s="720"/>
      <c r="LGD24" s="720"/>
      <c r="LGE24" s="720"/>
      <c r="LGF24" s="720"/>
      <c r="LGG24" s="720"/>
      <c r="LGH24" s="720"/>
      <c r="LGI24" s="720"/>
      <c r="LGJ24" s="720"/>
      <c r="LGK24" s="720"/>
      <c r="LGL24" s="720"/>
      <c r="LGM24" s="720"/>
      <c r="LGN24" s="720"/>
      <c r="LGO24" s="720"/>
      <c r="LGP24" s="720"/>
      <c r="LGQ24" s="720"/>
      <c r="LGR24" s="720"/>
      <c r="LGS24" s="720"/>
      <c r="LGT24" s="720"/>
      <c r="LGU24" s="720"/>
      <c r="LGV24" s="720"/>
      <c r="LGW24" s="720"/>
      <c r="LGX24" s="720"/>
      <c r="LGY24" s="720"/>
      <c r="LGZ24" s="720"/>
      <c r="LHA24" s="720"/>
      <c r="LHB24" s="720"/>
      <c r="LHC24" s="720"/>
      <c r="LHD24" s="720"/>
      <c r="LHE24" s="720"/>
      <c r="LHF24" s="720"/>
      <c r="LHG24" s="720"/>
      <c r="LHH24" s="720"/>
      <c r="LHI24" s="720"/>
      <c r="LHJ24" s="720"/>
      <c r="LHK24" s="720"/>
      <c r="LHL24" s="720"/>
      <c r="LHM24" s="720"/>
      <c r="LHN24" s="720"/>
      <c r="LHO24" s="720"/>
      <c r="LHP24" s="720"/>
      <c r="LHQ24" s="720"/>
      <c r="LHR24" s="720"/>
      <c r="LHS24" s="720"/>
      <c r="LHT24" s="720"/>
      <c r="LHU24" s="720"/>
      <c r="LHV24" s="720"/>
      <c r="LHW24" s="720"/>
      <c r="LHX24" s="720"/>
      <c r="LHY24" s="720"/>
      <c r="LHZ24" s="720"/>
      <c r="LIA24" s="720"/>
      <c r="LIB24" s="720"/>
      <c r="LIC24" s="720"/>
      <c r="LID24" s="720"/>
      <c r="LIE24" s="720"/>
      <c r="LIF24" s="720"/>
      <c r="LIG24" s="720"/>
      <c r="LIH24" s="720"/>
      <c r="LII24" s="720"/>
      <c r="LIJ24" s="720"/>
      <c r="LIK24" s="720"/>
      <c r="LIL24" s="720"/>
      <c r="LIM24" s="720"/>
      <c r="LIN24" s="720"/>
      <c r="LIO24" s="720"/>
      <c r="LIP24" s="720"/>
      <c r="LIQ24" s="720"/>
      <c r="LIR24" s="720"/>
      <c r="LIS24" s="720"/>
      <c r="LIT24" s="720"/>
      <c r="LIU24" s="720"/>
      <c r="LIV24" s="720"/>
      <c r="LIW24" s="720"/>
      <c r="LIX24" s="720"/>
      <c r="LIY24" s="720"/>
      <c r="LIZ24" s="720"/>
      <c r="LJA24" s="720"/>
      <c r="LJB24" s="720"/>
      <c r="LJC24" s="720"/>
      <c r="LJD24" s="720"/>
      <c r="LJE24" s="720"/>
      <c r="LJF24" s="720"/>
      <c r="LJG24" s="720"/>
      <c r="LJH24" s="720"/>
      <c r="LJI24" s="720"/>
      <c r="LJJ24" s="720"/>
      <c r="LJK24" s="720"/>
      <c r="LJL24" s="720"/>
      <c r="LJM24" s="720"/>
      <c r="LJN24" s="720"/>
      <c r="LJO24" s="720"/>
      <c r="LJP24" s="720"/>
      <c r="LJQ24" s="720"/>
      <c r="LJR24" s="720"/>
      <c r="LJS24" s="720"/>
      <c r="LJT24" s="720"/>
      <c r="LJU24" s="720"/>
      <c r="LJV24" s="720"/>
      <c r="LJW24" s="720"/>
      <c r="LJX24" s="720"/>
      <c r="LJY24" s="720"/>
      <c r="LJZ24" s="720"/>
      <c r="LKA24" s="720"/>
      <c r="LKB24" s="720"/>
      <c r="LKC24" s="720"/>
      <c r="LKD24" s="720"/>
      <c r="LKE24" s="720"/>
      <c r="LKF24" s="720"/>
      <c r="LKG24" s="720"/>
      <c r="LKH24" s="720"/>
      <c r="LKI24" s="720"/>
      <c r="LKJ24" s="720"/>
      <c r="LKK24" s="720"/>
      <c r="LKL24" s="720"/>
      <c r="LKM24" s="720"/>
      <c r="LKN24" s="720"/>
      <c r="LKO24" s="720"/>
      <c r="LKP24" s="720"/>
      <c r="LKQ24" s="720"/>
      <c r="LKR24" s="720"/>
      <c r="LKS24" s="720"/>
      <c r="LKT24" s="720"/>
      <c r="LKU24" s="720"/>
      <c r="LKV24" s="720"/>
      <c r="LKW24" s="720"/>
      <c r="LKX24" s="720"/>
      <c r="LKY24" s="720"/>
      <c r="LKZ24" s="720"/>
      <c r="LLA24" s="720"/>
      <c r="LLB24" s="720"/>
      <c r="LLC24" s="720"/>
      <c r="LLD24" s="720"/>
      <c r="LLE24" s="720"/>
      <c r="LLF24" s="720"/>
      <c r="LLG24" s="720"/>
      <c r="LLH24" s="720"/>
      <c r="LLI24" s="720"/>
      <c r="LLJ24" s="720"/>
      <c r="LLK24" s="720"/>
      <c r="LLL24" s="720"/>
      <c r="LLM24" s="720"/>
      <c r="LLN24" s="720"/>
      <c r="LLO24" s="720"/>
      <c r="LLP24" s="720"/>
      <c r="LLQ24" s="720"/>
      <c r="LLR24" s="720"/>
      <c r="LLS24" s="720"/>
      <c r="LLT24" s="720"/>
      <c r="LLU24" s="720"/>
      <c r="LLV24" s="720"/>
      <c r="LLW24" s="720"/>
      <c r="LLX24" s="720"/>
      <c r="LLY24" s="720"/>
      <c r="LLZ24" s="720"/>
      <c r="LMA24" s="720"/>
      <c r="LMB24" s="720"/>
      <c r="LMC24" s="720"/>
      <c r="LMD24" s="720"/>
      <c r="LME24" s="720"/>
      <c r="LMF24" s="720"/>
      <c r="LMG24" s="720"/>
      <c r="LMH24" s="720"/>
      <c r="LMI24" s="720"/>
      <c r="LMJ24" s="720"/>
      <c r="LMK24" s="720"/>
      <c r="LML24" s="720"/>
      <c r="LMM24" s="720"/>
      <c r="LMN24" s="720"/>
      <c r="LMO24" s="720"/>
      <c r="LMP24" s="720"/>
      <c r="LMQ24" s="720"/>
      <c r="LMR24" s="720"/>
      <c r="LMS24" s="720"/>
      <c r="LMT24" s="720"/>
      <c r="LMU24" s="720"/>
      <c r="LMV24" s="720"/>
      <c r="LMW24" s="720"/>
      <c r="LMX24" s="720"/>
      <c r="LMY24" s="720"/>
      <c r="LMZ24" s="720"/>
      <c r="LNA24" s="720"/>
      <c r="LNB24" s="720"/>
      <c r="LNC24" s="720"/>
      <c r="LND24" s="720"/>
      <c r="LNE24" s="720"/>
      <c r="LNF24" s="720"/>
      <c r="LNG24" s="720"/>
      <c r="LNH24" s="720"/>
      <c r="LNI24" s="720"/>
      <c r="LNJ24" s="720"/>
      <c r="LNK24" s="720"/>
      <c r="LNL24" s="720"/>
      <c r="LNM24" s="720"/>
      <c r="LNN24" s="720"/>
      <c r="LNO24" s="720"/>
      <c r="LNP24" s="720"/>
      <c r="LNQ24" s="720"/>
      <c r="LNR24" s="720"/>
      <c r="LNS24" s="720"/>
      <c r="LNT24" s="720"/>
      <c r="LNU24" s="720"/>
      <c r="LNV24" s="720"/>
      <c r="LNW24" s="720"/>
      <c r="LNX24" s="720"/>
      <c r="LNY24" s="720"/>
      <c r="LNZ24" s="720"/>
      <c r="LOA24" s="720"/>
      <c r="LOB24" s="720"/>
      <c r="LOC24" s="720"/>
      <c r="LOD24" s="720"/>
      <c r="LOE24" s="720"/>
      <c r="LOF24" s="720"/>
      <c r="LOG24" s="720"/>
      <c r="LOH24" s="720"/>
      <c r="LOI24" s="720"/>
      <c r="LOJ24" s="720"/>
      <c r="LOK24" s="720"/>
      <c r="LOL24" s="720"/>
      <c r="LOM24" s="720"/>
      <c r="LON24" s="720"/>
      <c r="LOO24" s="720"/>
      <c r="LOP24" s="720"/>
      <c r="LOQ24" s="720"/>
      <c r="LOR24" s="720"/>
      <c r="LOS24" s="720"/>
      <c r="LOT24" s="720"/>
      <c r="LOU24" s="720"/>
      <c r="LOV24" s="720"/>
      <c r="LOW24" s="720"/>
      <c r="LOX24" s="720"/>
      <c r="LOY24" s="720"/>
      <c r="LOZ24" s="720"/>
      <c r="LPA24" s="720"/>
      <c r="LPB24" s="720"/>
      <c r="LPC24" s="720"/>
      <c r="LPD24" s="720"/>
      <c r="LPE24" s="720"/>
      <c r="LPF24" s="720"/>
      <c r="LPG24" s="720"/>
      <c r="LPH24" s="720"/>
      <c r="LPI24" s="720"/>
      <c r="LPJ24" s="720"/>
      <c r="LPK24" s="720"/>
      <c r="LPL24" s="720"/>
      <c r="LPM24" s="720"/>
      <c r="LPN24" s="720"/>
      <c r="LPO24" s="720"/>
      <c r="LPP24" s="720"/>
      <c r="LPQ24" s="720"/>
      <c r="LPR24" s="720"/>
      <c r="LPS24" s="720"/>
      <c r="LPT24" s="720"/>
      <c r="LPU24" s="720"/>
      <c r="LPV24" s="720"/>
      <c r="LPW24" s="720"/>
      <c r="LPX24" s="720"/>
      <c r="LPY24" s="720"/>
      <c r="LPZ24" s="720"/>
      <c r="LQA24" s="720"/>
      <c r="LQB24" s="720"/>
      <c r="LQC24" s="720"/>
      <c r="LQD24" s="720"/>
      <c r="LQE24" s="720"/>
      <c r="LQF24" s="720"/>
      <c r="LQG24" s="720"/>
      <c r="LQH24" s="720"/>
      <c r="LQI24" s="720"/>
      <c r="LQJ24" s="720"/>
      <c r="LQK24" s="720"/>
      <c r="LQL24" s="720"/>
      <c r="LQM24" s="720"/>
      <c r="LQN24" s="720"/>
      <c r="LQO24" s="720"/>
      <c r="LQP24" s="720"/>
      <c r="LQQ24" s="720"/>
      <c r="LQR24" s="720"/>
      <c r="LQS24" s="720"/>
      <c r="LQT24" s="720"/>
      <c r="LQU24" s="720"/>
      <c r="LQV24" s="720"/>
      <c r="LQW24" s="720"/>
      <c r="LQX24" s="720"/>
      <c r="LQY24" s="720"/>
      <c r="LQZ24" s="720"/>
      <c r="LRA24" s="720"/>
      <c r="LRB24" s="720"/>
      <c r="LRC24" s="720"/>
      <c r="LRD24" s="720"/>
      <c r="LRE24" s="720"/>
      <c r="LRF24" s="720"/>
      <c r="LRG24" s="720"/>
      <c r="LRH24" s="720"/>
      <c r="LRI24" s="720"/>
      <c r="LRJ24" s="720"/>
      <c r="LRK24" s="720"/>
      <c r="LRL24" s="720"/>
      <c r="LRM24" s="720"/>
      <c r="LRN24" s="720"/>
      <c r="LRO24" s="720"/>
      <c r="LRP24" s="720"/>
      <c r="LRQ24" s="720"/>
      <c r="LRR24" s="720"/>
      <c r="LRS24" s="720"/>
      <c r="LRT24" s="720"/>
      <c r="LRU24" s="720"/>
      <c r="LRV24" s="720"/>
      <c r="LRW24" s="720"/>
      <c r="LRX24" s="720"/>
      <c r="LRY24" s="720"/>
      <c r="LRZ24" s="720"/>
      <c r="LSA24" s="720"/>
      <c r="LSB24" s="720"/>
      <c r="LSC24" s="720"/>
      <c r="LSD24" s="720"/>
      <c r="LSE24" s="720"/>
      <c r="LSF24" s="720"/>
      <c r="LSG24" s="720"/>
      <c r="LSH24" s="720"/>
      <c r="LSI24" s="720"/>
      <c r="LSJ24" s="720"/>
      <c r="LSK24" s="720"/>
      <c r="LSL24" s="720"/>
      <c r="LSM24" s="720"/>
      <c r="LSN24" s="720"/>
      <c r="LSO24" s="720"/>
      <c r="LSP24" s="720"/>
      <c r="LSQ24" s="720"/>
      <c r="LSR24" s="720"/>
      <c r="LSS24" s="720"/>
      <c r="LST24" s="720"/>
      <c r="LSU24" s="720"/>
      <c r="LSV24" s="720"/>
      <c r="LSW24" s="720"/>
      <c r="LSX24" s="720"/>
      <c r="LSY24" s="720"/>
      <c r="LSZ24" s="720"/>
      <c r="LTA24" s="720"/>
      <c r="LTB24" s="720"/>
      <c r="LTC24" s="720"/>
      <c r="LTD24" s="720"/>
      <c r="LTE24" s="720"/>
      <c r="LTF24" s="720"/>
      <c r="LTG24" s="720"/>
      <c r="LTH24" s="720"/>
      <c r="LTI24" s="720"/>
      <c r="LTJ24" s="720"/>
      <c r="LTK24" s="720"/>
      <c r="LTL24" s="720"/>
      <c r="LTM24" s="720"/>
      <c r="LTN24" s="720"/>
      <c r="LTO24" s="720"/>
      <c r="LTP24" s="720"/>
      <c r="LTQ24" s="720"/>
      <c r="LTR24" s="720"/>
      <c r="LTS24" s="720"/>
      <c r="LTT24" s="720"/>
      <c r="LTU24" s="720"/>
      <c r="LTV24" s="720"/>
      <c r="LTW24" s="720"/>
      <c r="LTX24" s="720"/>
      <c r="LTY24" s="720"/>
      <c r="LTZ24" s="720"/>
      <c r="LUA24" s="720"/>
      <c r="LUB24" s="720"/>
      <c r="LUC24" s="720"/>
      <c r="LUD24" s="720"/>
      <c r="LUE24" s="720"/>
      <c r="LUF24" s="720"/>
      <c r="LUG24" s="720"/>
      <c r="LUH24" s="720"/>
      <c r="LUI24" s="720"/>
      <c r="LUJ24" s="720"/>
      <c r="LUK24" s="720"/>
      <c r="LUL24" s="720"/>
      <c r="LUM24" s="720"/>
      <c r="LUN24" s="720"/>
      <c r="LUO24" s="720"/>
      <c r="LUP24" s="720"/>
      <c r="LUQ24" s="720"/>
      <c r="LUR24" s="720"/>
      <c r="LUS24" s="720"/>
      <c r="LUT24" s="720"/>
      <c r="LUU24" s="720"/>
      <c r="LUV24" s="720"/>
      <c r="LUW24" s="720"/>
      <c r="LUX24" s="720"/>
      <c r="LUY24" s="720"/>
      <c r="LUZ24" s="720"/>
      <c r="LVA24" s="720"/>
      <c r="LVB24" s="720"/>
      <c r="LVC24" s="720"/>
      <c r="LVD24" s="720"/>
      <c r="LVE24" s="720"/>
      <c r="LVF24" s="720"/>
      <c r="LVG24" s="720"/>
      <c r="LVH24" s="720"/>
      <c r="LVI24" s="720"/>
      <c r="LVJ24" s="720"/>
      <c r="LVK24" s="720"/>
      <c r="LVL24" s="720"/>
      <c r="LVM24" s="720"/>
      <c r="LVN24" s="720"/>
      <c r="LVO24" s="720"/>
      <c r="LVP24" s="720"/>
      <c r="LVQ24" s="720"/>
      <c r="LVR24" s="720"/>
      <c r="LVS24" s="720"/>
      <c r="LVT24" s="720"/>
      <c r="LVU24" s="720"/>
      <c r="LVV24" s="720"/>
      <c r="LVW24" s="720"/>
      <c r="LVX24" s="720"/>
      <c r="LVY24" s="720"/>
      <c r="LVZ24" s="720"/>
      <c r="LWA24" s="720"/>
      <c r="LWB24" s="720"/>
      <c r="LWC24" s="720"/>
      <c r="LWD24" s="720"/>
      <c r="LWE24" s="720"/>
      <c r="LWF24" s="720"/>
      <c r="LWG24" s="720"/>
      <c r="LWH24" s="720"/>
      <c r="LWI24" s="720"/>
      <c r="LWJ24" s="720"/>
      <c r="LWK24" s="720"/>
      <c r="LWL24" s="720"/>
      <c r="LWM24" s="720"/>
      <c r="LWN24" s="720"/>
      <c r="LWO24" s="720"/>
      <c r="LWP24" s="720"/>
      <c r="LWQ24" s="720"/>
      <c r="LWR24" s="720"/>
      <c r="LWS24" s="720"/>
      <c r="LWT24" s="720"/>
      <c r="LWU24" s="720"/>
      <c r="LWV24" s="720"/>
      <c r="LWW24" s="720"/>
      <c r="LWX24" s="720"/>
      <c r="LWY24" s="720"/>
      <c r="LWZ24" s="720"/>
      <c r="LXA24" s="720"/>
      <c r="LXB24" s="720"/>
      <c r="LXC24" s="720"/>
      <c r="LXD24" s="720"/>
      <c r="LXE24" s="720"/>
      <c r="LXF24" s="720"/>
      <c r="LXG24" s="720"/>
      <c r="LXH24" s="720"/>
      <c r="LXI24" s="720"/>
      <c r="LXJ24" s="720"/>
      <c r="LXK24" s="720"/>
      <c r="LXL24" s="720"/>
      <c r="LXM24" s="720"/>
      <c r="LXN24" s="720"/>
      <c r="LXO24" s="720"/>
      <c r="LXP24" s="720"/>
      <c r="LXQ24" s="720"/>
      <c r="LXR24" s="720"/>
      <c r="LXS24" s="720"/>
      <c r="LXT24" s="720"/>
      <c r="LXU24" s="720"/>
      <c r="LXV24" s="720"/>
      <c r="LXW24" s="720"/>
      <c r="LXX24" s="720"/>
      <c r="LXY24" s="720"/>
      <c r="LXZ24" s="720"/>
      <c r="LYA24" s="720"/>
      <c r="LYB24" s="720"/>
      <c r="LYC24" s="720"/>
      <c r="LYD24" s="720"/>
      <c r="LYE24" s="720"/>
      <c r="LYF24" s="720"/>
      <c r="LYG24" s="720"/>
      <c r="LYH24" s="720"/>
      <c r="LYI24" s="720"/>
      <c r="LYJ24" s="720"/>
      <c r="LYK24" s="720"/>
      <c r="LYL24" s="720"/>
      <c r="LYM24" s="720"/>
      <c r="LYN24" s="720"/>
      <c r="LYO24" s="720"/>
      <c r="LYP24" s="720"/>
      <c r="LYQ24" s="720"/>
      <c r="LYR24" s="720"/>
      <c r="LYS24" s="720"/>
      <c r="LYT24" s="720"/>
      <c r="LYU24" s="720"/>
      <c r="LYV24" s="720"/>
      <c r="LYW24" s="720"/>
      <c r="LYX24" s="720"/>
      <c r="LYY24" s="720"/>
      <c r="LYZ24" s="720"/>
      <c r="LZA24" s="720"/>
      <c r="LZB24" s="720"/>
      <c r="LZC24" s="720"/>
      <c r="LZD24" s="720"/>
      <c r="LZE24" s="720"/>
      <c r="LZF24" s="720"/>
      <c r="LZG24" s="720"/>
      <c r="LZH24" s="720"/>
      <c r="LZI24" s="720"/>
      <c r="LZJ24" s="720"/>
      <c r="LZK24" s="720"/>
      <c r="LZL24" s="720"/>
      <c r="LZM24" s="720"/>
      <c r="LZN24" s="720"/>
      <c r="LZO24" s="720"/>
      <c r="LZP24" s="720"/>
      <c r="LZQ24" s="720"/>
      <c r="LZR24" s="720"/>
      <c r="LZS24" s="720"/>
      <c r="LZT24" s="720"/>
      <c r="LZU24" s="720"/>
      <c r="LZV24" s="720"/>
      <c r="LZW24" s="720"/>
      <c r="LZX24" s="720"/>
      <c r="LZY24" s="720"/>
      <c r="LZZ24" s="720"/>
      <c r="MAA24" s="720"/>
      <c r="MAB24" s="720"/>
      <c r="MAC24" s="720"/>
      <c r="MAD24" s="720"/>
      <c r="MAE24" s="720"/>
      <c r="MAF24" s="720"/>
      <c r="MAG24" s="720"/>
      <c r="MAH24" s="720"/>
      <c r="MAI24" s="720"/>
      <c r="MAJ24" s="720"/>
      <c r="MAK24" s="720"/>
      <c r="MAL24" s="720"/>
      <c r="MAM24" s="720"/>
      <c r="MAN24" s="720"/>
      <c r="MAO24" s="720"/>
      <c r="MAP24" s="720"/>
      <c r="MAQ24" s="720"/>
      <c r="MAR24" s="720"/>
      <c r="MAS24" s="720"/>
      <c r="MAT24" s="720"/>
      <c r="MAU24" s="720"/>
      <c r="MAV24" s="720"/>
      <c r="MAW24" s="720"/>
      <c r="MAX24" s="720"/>
      <c r="MAY24" s="720"/>
      <c r="MAZ24" s="720"/>
      <c r="MBA24" s="720"/>
      <c r="MBB24" s="720"/>
      <c r="MBC24" s="720"/>
      <c r="MBD24" s="720"/>
      <c r="MBE24" s="720"/>
      <c r="MBF24" s="720"/>
      <c r="MBG24" s="720"/>
      <c r="MBH24" s="720"/>
      <c r="MBI24" s="720"/>
      <c r="MBJ24" s="720"/>
      <c r="MBK24" s="720"/>
      <c r="MBL24" s="720"/>
      <c r="MBM24" s="720"/>
      <c r="MBN24" s="720"/>
      <c r="MBO24" s="720"/>
      <c r="MBP24" s="720"/>
      <c r="MBQ24" s="720"/>
      <c r="MBR24" s="720"/>
      <c r="MBS24" s="720"/>
      <c r="MBT24" s="720"/>
      <c r="MBU24" s="720"/>
      <c r="MBV24" s="720"/>
      <c r="MBW24" s="720"/>
      <c r="MBX24" s="720"/>
      <c r="MBY24" s="720"/>
      <c r="MBZ24" s="720"/>
      <c r="MCA24" s="720"/>
      <c r="MCB24" s="720"/>
      <c r="MCC24" s="720"/>
      <c r="MCD24" s="720"/>
      <c r="MCE24" s="720"/>
      <c r="MCF24" s="720"/>
      <c r="MCG24" s="720"/>
      <c r="MCH24" s="720"/>
      <c r="MCI24" s="720"/>
      <c r="MCJ24" s="720"/>
      <c r="MCK24" s="720"/>
      <c r="MCL24" s="720"/>
      <c r="MCM24" s="720"/>
      <c r="MCN24" s="720"/>
      <c r="MCO24" s="720"/>
      <c r="MCP24" s="720"/>
      <c r="MCQ24" s="720"/>
      <c r="MCR24" s="720"/>
      <c r="MCS24" s="720"/>
      <c r="MCT24" s="720"/>
      <c r="MCU24" s="720"/>
      <c r="MCV24" s="720"/>
      <c r="MCW24" s="720"/>
      <c r="MCX24" s="720"/>
      <c r="MCY24" s="720"/>
      <c r="MCZ24" s="720"/>
      <c r="MDA24" s="720"/>
      <c r="MDB24" s="720"/>
      <c r="MDC24" s="720"/>
      <c r="MDD24" s="720"/>
      <c r="MDE24" s="720"/>
      <c r="MDF24" s="720"/>
      <c r="MDG24" s="720"/>
      <c r="MDH24" s="720"/>
      <c r="MDI24" s="720"/>
      <c r="MDJ24" s="720"/>
      <c r="MDK24" s="720"/>
      <c r="MDL24" s="720"/>
      <c r="MDM24" s="720"/>
      <c r="MDN24" s="720"/>
      <c r="MDO24" s="720"/>
      <c r="MDP24" s="720"/>
      <c r="MDQ24" s="720"/>
      <c r="MDR24" s="720"/>
      <c r="MDS24" s="720"/>
      <c r="MDT24" s="720"/>
      <c r="MDU24" s="720"/>
      <c r="MDV24" s="720"/>
      <c r="MDW24" s="720"/>
      <c r="MDX24" s="720"/>
      <c r="MDY24" s="720"/>
      <c r="MDZ24" s="720"/>
      <c r="MEA24" s="720"/>
      <c r="MEB24" s="720"/>
      <c r="MEC24" s="720"/>
      <c r="MED24" s="720"/>
      <c r="MEE24" s="720"/>
      <c r="MEF24" s="720"/>
      <c r="MEG24" s="720"/>
      <c r="MEH24" s="720"/>
      <c r="MEI24" s="720"/>
      <c r="MEJ24" s="720"/>
      <c r="MEK24" s="720"/>
      <c r="MEL24" s="720"/>
      <c r="MEM24" s="720"/>
      <c r="MEN24" s="720"/>
      <c r="MEO24" s="720"/>
      <c r="MEP24" s="720"/>
      <c r="MEQ24" s="720"/>
      <c r="MER24" s="720"/>
      <c r="MES24" s="720"/>
      <c r="MET24" s="720"/>
      <c r="MEU24" s="720"/>
      <c r="MEV24" s="720"/>
      <c r="MEW24" s="720"/>
      <c r="MEX24" s="720"/>
      <c r="MEY24" s="720"/>
      <c r="MEZ24" s="720"/>
      <c r="MFA24" s="720"/>
      <c r="MFB24" s="720"/>
      <c r="MFC24" s="720"/>
      <c r="MFD24" s="720"/>
      <c r="MFE24" s="720"/>
      <c r="MFF24" s="720"/>
      <c r="MFG24" s="720"/>
      <c r="MFH24" s="720"/>
      <c r="MFI24" s="720"/>
      <c r="MFJ24" s="720"/>
      <c r="MFK24" s="720"/>
      <c r="MFL24" s="720"/>
      <c r="MFM24" s="720"/>
      <c r="MFN24" s="720"/>
      <c r="MFO24" s="720"/>
      <c r="MFP24" s="720"/>
      <c r="MFQ24" s="720"/>
      <c r="MFR24" s="720"/>
      <c r="MFS24" s="720"/>
      <c r="MFT24" s="720"/>
      <c r="MFU24" s="720"/>
      <c r="MFV24" s="720"/>
      <c r="MFW24" s="720"/>
      <c r="MFX24" s="720"/>
      <c r="MFY24" s="720"/>
      <c r="MFZ24" s="720"/>
      <c r="MGA24" s="720"/>
      <c r="MGB24" s="720"/>
      <c r="MGC24" s="720"/>
      <c r="MGD24" s="720"/>
      <c r="MGE24" s="720"/>
      <c r="MGF24" s="720"/>
      <c r="MGG24" s="720"/>
      <c r="MGH24" s="720"/>
      <c r="MGI24" s="720"/>
      <c r="MGJ24" s="720"/>
      <c r="MGK24" s="720"/>
      <c r="MGL24" s="720"/>
      <c r="MGM24" s="720"/>
      <c r="MGN24" s="720"/>
      <c r="MGO24" s="720"/>
      <c r="MGP24" s="720"/>
      <c r="MGQ24" s="720"/>
      <c r="MGR24" s="720"/>
      <c r="MGS24" s="720"/>
      <c r="MGT24" s="720"/>
      <c r="MGU24" s="720"/>
      <c r="MGV24" s="720"/>
      <c r="MGW24" s="720"/>
      <c r="MGX24" s="720"/>
      <c r="MGY24" s="720"/>
      <c r="MGZ24" s="720"/>
      <c r="MHA24" s="720"/>
      <c r="MHB24" s="720"/>
      <c r="MHC24" s="720"/>
      <c r="MHD24" s="720"/>
      <c r="MHE24" s="720"/>
      <c r="MHF24" s="720"/>
      <c r="MHG24" s="720"/>
      <c r="MHH24" s="720"/>
      <c r="MHI24" s="720"/>
      <c r="MHJ24" s="720"/>
      <c r="MHK24" s="720"/>
      <c r="MHL24" s="720"/>
      <c r="MHM24" s="720"/>
      <c r="MHN24" s="720"/>
      <c r="MHO24" s="720"/>
      <c r="MHP24" s="720"/>
      <c r="MHQ24" s="720"/>
      <c r="MHR24" s="720"/>
      <c r="MHS24" s="720"/>
      <c r="MHT24" s="720"/>
      <c r="MHU24" s="720"/>
      <c r="MHV24" s="720"/>
      <c r="MHW24" s="720"/>
      <c r="MHX24" s="720"/>
      <c r="MHY24" s="720"/>
      <c r="MHZ24" s="720"/>
      <c r="MIA24" s="720"/>
      <c r="MIB24" s="720"/>
      <c r="MIC24" s="720"/>
      <c r="MID24" s="720"/>
      <c r="MIE24" s="720"/>
      <c r="MIF24" s="720"/>
      <c r="MIG24" s="720"/>
      <c r="MIH24" s="720"/>
      <c r="MII24" s="720"/>
      <c r="MIJ24" s="720"/>
      <c r="MIK24" s="720"/>
      <c r="MIL24" s="720"/>
      <c r="MIM24" s="720"/>
      <c r="MIN24" s="720"/>
      <c r="MIO24" s="720"/>
      <c r="MIP24" s="720"/>
      <c r="MIQ24" s="720"/>
      <c r="MIR24" s="720"/>
      <c r="MIS24" s="720"/>
      <c r="MIT24" s="720"/>
      <c r="MIU24" s="720"/>
      <c r="MIV24" s="720"/>
      <c r="MIW24" s="720"/>
      <c r="MIX24" s="720"/>
      <c r="MIY24" s="720"/>
      <c r="MIZ24" s="720"/>
      <c r="MJA24" s="720"/>
      <c r="MJB24" s="720"/>
      <c r="MJC24" s="720"/>
      <c r="MJD24" s="720"/>
      <c r="MJE24" s="720"/>
      <c r="MJF24" s="720"/>
      <c r="MJG24" s="720"/>
      <c r="MJH24" s="720"/>
      <c r="MJI24" s="720"/>
      <c r="MJJ24" s="720"/>
      <c r="MJK24" s="720"/>
      <c r="MJL24" s="720"/>
      <c r="MJM24" s="720"/>
      <c r="MJN24" s="720"/>
      <c r="MJO24" s="720"/>
      <c r="MJP24" s="720"/>
      <c r="MJQ24" s="720"/>
      <c r="MJR24" s="720"/>
      <c r="MJS24" s="720"/>
      <c r="MJT24" s="720"/>
      <c r="MJU24" s="720"/>
      <c r="MJV24" s="720"/>
      <c r="MJW24" s="720"/>
      <c r="MJX24" s="720"/>
      <c r="MJY24" s="720"/>
      <c r="MJZ24" s="720"/>
      <c r="MKA24" s="720"/>
      <c r="MKB24" s="720"/>
      <c r="MKC24" s="720"/>
      <c r="MKD24" s="720"/>
      <c r="MKE24" s="720"/>
      <c r="MKF24" s="720"/>
      <c r="MKG24" s="720"/>
      <c r="MKH24" s="720"/>
      <c r="MKI24" s="720"/>
      <c r="MKJ24" s="720"/>
      <c r="MKK24" s="720"/>
      <c r="MKL24" s="720"/>
      <c r="MKM24" s="720"/>
      <c r="MKN24" s="720"/>
      <c r="MKO24" s="720"/>
      <c r="MKP24" s="720"/>
      <c r="MKQ24" s="720"/>
      <c r="MKR24" s="720"/>
      <c r="MKS24" s="720"/>
      <c r="MKT24" s="720"/>
      <c r="MKU24" s="720"/>
      <c r="MKV24" s="720"/>
      <c r="MKW24" s="720"/>
      <c r="MKX24" s="720"/>
      <c r="MKY24" s="720"/>
      <c r="MKZ24" s="720"/>
      <c r="MLA24" s="720"/>
      <c r="MLB24" s="720"/>
      <c r="MLC24" s="720"/>
      <c r="MLD24" s="720"/>
      <c r="MLE24" s="720"/>
      <c r="MLF24" s="720"/>
      <c r="MLG24" s="720"/>
      <c r="MLH24" s="720"/>
      <c r="MLI24" s="720"/>
      <c r="MLJ24" s="720"/>
      <c r="MLK24" s="720"/>
      <c r="MLL24" s="720"/>
      <c r="MLM24" s="720"/>
      <c r="MLN24" s="720"/>
      <c r="MLO24" s="720"/>
      <c r="MLP24" s="720"/>
      <c r="MLQ24" s="720"/>
      <c r="MLR24" s="720"/>
      <c r="MLS24" s="720"/>
      <c r="MLT24" s="720"/>
      <c r="MLU24" s="720"/>
      <c r="MLV24" s="720"/>
      <c r="MLW24" s="720"/>
      <c r="MLX24" s="720"/>
      <c r="MLY24" s="720"/>
      <c r="MLZ24" s="720"/>
      <c r="MMA24" s="720"/>
      <c r="MMB24" s="720"/>
      <c r="MMC24" s="720"/>
      <c r="MMD24" s="720"/>
      <c r="MME24" s="720"/>
      <c r="MMF24" s="720"/>
      <c r="MMG24" s="720"/>
      <c r="MMH24" s="720"/>
      <c r="MMI24" s="720"/>
      <c r="MMJ24" s="720"/>
      <c r="MMK24" s="720"/>
      <c r="MML24" s="720"/>
      <c r="MMM24" s="720"/>
      <c r="MMN24" s="720"/>
      <c r="MMO24" s="720"/>
      <c r="MMP24" s="720"/>
      <c r="MMQ24" s="720"/>
      <c r="MMR24" s="720"/>
      <c r="MMS24" s="720"/>
      <c r="MMT24" s="720"/>
      <c r="MMU24" s="720"/>
      <c r="MMV24" s="720"/>
      <c r="MMW24" s="720"/>
      <c r="MMX24" s="720"/>
      <c r="MMY24" s="720"/>
      <c r="MMZ24" s="720"/>
      <c r="MNA24" s="720"/>
      <c r="MNB24" s="720"/>
      <c r="MNC24" s="720"/>
      <c r="MND24" s="720"/>
      <c r="MNE24" s="720"/>
      <c r="MNF24" s="720"/>
      <c r="MNG24" s="720"/>
      <c r="MNH24" s="720"/>
      <c r="MNI24" s="720"/>
      <c r="MNJ24" s="720"/>
      <c r="MNK24" s="720"/>
      <c r="MNL24" s="720"/>
      <c r="MNM24" s="720"/>
      <c r="MNN24" s="720"/>
      <c r="MNO24" s="720"/>
      <c r="MNP24" s="720"/>
      <c r="MNQ24" s="720"/>
      <c r="MNR24" s="720"/>
      <c r="MNS24" s="720"/>
      <c r="MNT24" s="720"/>
      <c r="MNU24" s="720"/>
      <c r="MNV24" s="720"/>
      <c r="MNW24" s="720"/>
      <c r="MNX24" s="720"/>
      <c r="MNY24" s="720"/>
      <c r="MNZ24" s="720"/>
      <c r="MOA24" s="720"/>
      <c r="MOB24" s="720"/>
      <c r="MOC24" s="720"/>
      <c r="MOD24" s="720"/>
      <c r="MOE24" s="720"/>
      <c r="MOF24" s="720"/>
      <c r="MOG24" s="720"/>
      <c r="MOH24" s="720"/>
      <c r="MOI24" s="720"/>
      <c r="MOJ24" s="720"/>
      <c r="MOK24" s="720"/>
      <c r="MOL24" s="720"/>
      <c r="MOM24" s="720"/>
      <c r="MON24" s="720"/>
      <c r="MOO24" s="720"/>
      <c r="MOP24" s="720"/>
      <c r="MOQ24" s="720"/>
      <c r="MOR24" s="720"/>
      <c r="MOS24" s="720"/>
      <c r="MOT24" s="720"/>
      <c r="MOU24" s="720"/>
      <c r="MOV24" s="720"/>
      <c r="MOW24" s="720"/>
      <c r="MOX24" s="720"/>
      <c r="MOY24" s="720"/>
      <c r="MOZ24" s="720"/>
      <c r="MPA24" s="720"/>
      <c r="MPB24" s="720"/>
      <c r="MPC24" s="720"/>
      <c r="MPD24" s="720"/>
      <c r="MPE24" s="720"/>
      <c r="MPF24" s="720"/>
      <c r="MPG24" s="720"/>
      <c r="MPH24" s="720"/>
      <c r="MPI24" s="720"/>
      <c r="MPJ24" s="720"/>
      <c r="MPK24" s="720"/>
      <c r="MPL24" s="720"/>
      <c r="MPM24" s="720"/>
      <c r="MPN24" s="720"/>
      <c r="MPO24" s="720"/>
      <c r="MPP24" s="720"/>
      <c r="MPQ24" s="720"/>
      <c r="MPR24" s="720"/>
      <c r="MPS24" s="720"/>
      <c r="MPT24" s="720"/>
      <c r="MPU24" s="720"/>
      <c r="MPV24" s="720"/>
      <c r="MPW24" s="720"/>
      <c r="MPX24" s="720"/>
      <c r="MPY24" s="720"/>
      <c r="MPZ24" s="720"/>
      <c r="MQA24" s="720"/>
      <c r="MQB24" s="720"/>
      <c r="MQC24" s="720"/>
      <c r="MQD24" s="720"/>
      <c r="MQE24" s="720"/>
      <c r="MQF24" s="720"/>
      <c r="MQG24" s="720"/>
      <c r="MQH24" s="720"/>
      <c r="MQI24" s="720"/>
      <c r="MQJ24" s="720"/>
      <c r="MQK24" s="720"/>
      <c r="MQL24" s="720"/>
      <c r="MQM24" s="720"/>
      <c r="MQN24" s="720"/>
      <c r="MQO24" s="720"/>
      <c r="MQP24" s="720"/>
      <c r="MQQ24" s="720"/>
      <c r="MQR24" s="720"/>
      <c r="MQS24" s="720"/>
      <c r="MQT24" s="720"/>
      <c r="MQU24" s="720"/>
      <c r="MQV24" s="720"/>
      <c r="MQW24" s="720"/>
      <c r="MQX24" s="720"/>
      <c r="MQY24" s="720"/>
      <c r="MQZ24" s="720"/>
      <c r="MRA24" s="720"/>
      <c r="MRB24" s="720"/>
      <c r="MRC24" s="720"/>
      <c r="MRD24" s="720"/>
      <c r="MRE24" s="720"/>
      <c r="MRF24" s="720"/>
      <c r="MRG24" s="720"/>
      <c r="MRH24" s="720"/>
      <c r="MRI24" s="720"/>
      <c r="MRJ24" s="720"/>
      <c r="MRK24" s="720"/>
      <c r="MRL24" s="720"/>
      <c r="MRM24" s="720"/>
      <c r="MRN24" s="720"/>
      <c r="MRO24" s="720"/>
      <c r="MRP24" s="720"/>
      <c r="MRQ24" s="720"/>
      <c r="MRR24" s="720"/>
      <c r="MRS24" s="720"/>
      <c r="MRT24" s="720"/>
      <c r="MRU24" s="720"/>
      <c r="MRV24" s="720"/>
      <c r="MRW24" s="720"/>
      <c r="MRX24" s="720"/>
      <c r="MRY24" s="720"/>
      <c r="MRZ24" s="720"/>
      <c r="MSA24" s="720"/>
      <c r="MSB24" s="720"/>
      <c r="MSC24" s="720"/>
      <c r="MSD24" s="720"/>
      <c r="MSE24" s="720"/>
      <c r="MSF24" s="720"/>
      <c r="MSG24" s="720"/>
      <c r="MSH24" s="720"/>
      <c r="MSI24" s="720"/>
      <c r="MSJ24" s="720"/>
      <c r="MSK24" s="720"/>
      <c r="MSL24" s="720"/>
      <c r="MSM24" s="720"/>
      <c r="MSN24" s="720"/>
      <c r="MSO24" s="720"/>
      <c r="MSP24" s="720"/>
      <c r="MSQ24" s="720"/>
      <c r="MSR24" s="720"/>
      <c r="MSS24" s="720"/>
      <c r="MST24" s="720"/>
      <c r="MSU24" s="720"/>
      <c r="MSV24" s="720"/>
      <c r="MSW24" s="720"/>
      <c r="MSX24" s="720"/>
      <c r="MSY24" s="720"/>
      <c r="MSZ24" s="720"/>
      <c r="MTA24" s="720"/>
      <c r="MTB24" s="720"/>
      <c r="MTC24" s="720"/>
      <c r="MTD24" s="720"/>
      <c r="MTE24" s="720"/>
      <c r="MTF24" s="720"/>
      <c r="MTG24" s="720"/>
      <c r="MTH24" s="720"/>
      <c r="MTI24" s="720"/>
      <c r="MTJ24" s="720"/>
      <c r="MTK24" s="720"/>
      <c r="MTL24" s="720"/>
      <c r="MTM24" s="720"/>
      <c r="MTN24" s="720"/>
      <c r="MTO24" s="720"/>
      <c r="MTP24" s="720"/>
      <c r="MTQ24" s="720"/>
      <c r="MTR24" s="720"/>
      <c r="MTS24" s="720"/>
      <c r="MTT24" s="720"/>
      <c r="MTU24" s="720"/>
      <c r="MTV24" s="720"/>
      <c r="MTW24" s="720"/>
      <c r="MTX24" s="720"/>
      <c r="MTY24" s="720"/>
      <c r="MTZ24" s="720"/>
      <c r="MUA24" s="720"/>
      <c r="MUB24" s="720"/>
      <c r="MUC24" s="720"/>
      <c r="MUD24" s="720"/>
      <c r="MUE24" s="720"/>
      <c r="MUF24" s="720"/>
      <c r="MUG24" s="720"/>
      <c r="MUH24" s="720"/>
      <c r="MUI24" s="720"/>
      <c r="MUJ24" s="720"/>
      <c r="MUK24" s="720"/>
      <c r="MUL24" s="720"/>
      <c r="MUM24" s="720"/>
      <c r="MUN24" s="720"/>
      <c r="MUO24" s="720"/>
      <c r="MUP24" s="720"/>
      <c r="MUQ24" s="720"/>
      <c r="MUR24" s="720"/>
      <c r="MUS24" s="720"/>
      <c r="MUT24" s="720"/>
      <c r="MUU24" s="720"/>
      <c r="MUV24" s="720"/>
      <c r="MUW24" s="720"/>
      <c r="MUX24" s="720"/>
      <c r="MUY24" s="720"/>
      <c r="MUZ24" s="720"/>
      <c r="MVA24" s="720"/>
      <c r="MVB24" s="720"/>
      <c r="MVC24" s="720"/>
      <c r="MVD24" s="720"/>
      <c r="MVE24" s="720"/>
      <c r="MVF24" s="720"/>
      <c r="MVG24" s="720"/>
      <c r="MVH24" s="720"/>
      <c r="MVI24" s="720"/>
      <c r="MVJ24" s="720"/>
      <c r="MVK24" s="720"/>
      <c r="MVL24" s="720"/>
      <c r="MVM24" s="720"/>
      <c r="MVN24" s="720"/>
      <c r="MVO24" s="720"/>
      <c r="MVP24" s="720"/>
      <c r="MVQ24" s="720"/>
      <c r="MVR24" s="720"/>
      <c r="MVS24" s="720"/>
      <c r="MVT24" s="720"/>
      <c r="MVU24" s="720"/>
      <c r="MVV24" s="720"/>
      <c r="MVW24" s="720"/>
      <c r="MVX24" s="720"/>
      <c r="MVY24" s="720"/>
      <c r="MVZ24" s="720"/>
      <c r="MWA24" s="720"/>
      <c r="MWB24" s="720"/>
      <c r="MWC24" s="720"/>
      <c r="MWD24" s="720"/>
      <c r="MWE24" s="720"/>
      <c r="MWF24" s="720"/>
      <c r="MWG24" s="720"/>
      <c r="MWH24" s="720"/>
      <c r="MWI24" s="720"/>
      <c r="MWJ24" s="720"/>
      <c r="MWK24" s="720"/>
      <c r="MWL24" s="720"/>
      <c r="MWM24" s="720"/>
      <c r="MWN24" s="720"/>
      <c r="MWO24" s="720"/>
      <c r="MWP24" s="720"/>
      <c r="MWQ24" s="720"/>
      <c r="MWR24" s="720"/>
      <c r="MWS24" s="720"/>
      <c r="MWT24" s="720"/>
      <c r="MWU24" s="720"/>
      <c r="MWV24" s="720"/>
      <c r="MWW24" s="720"/>
      <c r="MWX24" s="720"/>
      <c r="MWY24" s="720"/>
      <c r="MWZ24" s="720"/>
      <c r="MXA24" s="720"/>
      <c r="MXB24" s="720"/>
      <c r="MXC24" s="720"/>
      <c r="MXD24" s="720"/>
      <c r="MXE24" s="720"/>
      <c r="MXF24" s="720"/>
      <c r="MXG24" s="720"/>
      <c r="MXH24" s="720"/>
      <c r="MXI24" s="720"/>
      <c r="MXJ24" s="720"/>
      <c r="MXK24" s="720"/>
      <c r="MXL24" s="720"/>
      <c r="MXM24" s="720"/>
      <c r="MXN24" s="720"/>
      <c r="MXO24" s="720"/>
      <c r="MXP24" s="720"/>
      <c r="MXQ24" s="720"/>
      <c r="MXR24" s="720"/>
      <c r="MXS24" s="720"/>
      <c r="MXT24" s="720"/>
      <c r="MXU24" s="720"/>
      <c r="MXV24" s="720"/>
      <c r="MXW24" s="720"/>
      <c r="MXX24" s="720"/>
      <c r="MXY24" s="720"/>
      <c r="MXZ24" s="720"/>
      <c r="MYA24" s="720"/>
      <c r="MYB24" s="720"/>
      <c r="MYC24" s="720"/>
      <c r="MYD24" s="720"/>
      <c r="MYE24" s="720"/>
      <c r="MYF24" s="720"/>
      <c r="MYG24" s="720"/>
      <c r="MYH24" s="720"/>
      <c r="MYI24" s="720"/>
      <c r="MYJ24" s="720"/>
      <c r="MYK24" s="720"/>
      <c r="MYL24" s="720"/>
      <c r="MYM24" s="720"/>
      <c r="MYN24" s="720"/>
      <c r="MYO24" s="720"/>
      <c r="MYP24" s="720"/>
      <c r="MYQ24" s="720"/>
      <c r="MYR24" s="720"/>
      <c r="MYS24" s="720"/>
      <c r="MYT24" s="720"/>
      <c r="MYU24" s="720"/>
      <c r="MYV24" s="720"/>
      <c r="MYW24" s="720"/>
      <c r="MYX24" s="720"/>
      <c r="MYY24" s="720"/>
      <c r="MYZ24" s="720"/>
      <c r="MZA24" s="720"/>
      <c r="MZB24" s="720"/>
      <c r="MZC24" s="720"/>
      <c r="MZD24" s="720"/>
      <c r="MZE24" s="720"/>
      <c r="MZF24" s="720"/>
      <c r="MZG24" s="720"/>
      <c r="MZH24" s="720"/>
      <c r="MZI24" s="720"/>
      <c r="MZJ24" s="720"/>
      <c r="MZK24" s="720"/>
      <c r="MZL24" s="720"/>
      <c r="MZM24" s="720"/>
      <c r="MZN24" s="720"/>
      <c r="MZO24" s="720"/>
      <c r="MZP24" s="720"/>
      <c r="MZQ24" s="720"/>
      <c r="MZR24" s="720"/>
      <c r="MZS24" s="720"/>
      <c r="MZT24" s="720"/>
      <c r="MZU24" s="720"/>
      <c r="MZV24" s="720"/>
      <c r="MZW24" s="720"/>
      <c r="MZX24" s="720"/>
      <c r="MZY24" s="720"/>
      <c r="MZZ24" s="720"/>
      <c r="NAA24" s="720"/>
      <c r="NAB24" s="720"/>
      <c r="NAC24" s="720"/>
      <c r="NAD24" s="720"/>
      <c r="NAE24" s="720"/>
      <c r="NAF24" s="720"/>
      <c r="NAG24" s="720"/>
      <c r="NAH24" s="720"/>
      <c r="NAI24" s="720"/>
      <c r="NAJ24" s="720"/>
      <c r="NAK24" s="720"/>
      <c r="NAL24" s="720"/>
      <c r="NAM24" s="720"/>
      <c r="NAN24" s="720"/>
      <c r="NAO24" s="720"/>
      <c r="NAP24" s="720"/>
      <c r="NAQ24" s="720"/>
      <c r="NAR24" s="720"/>
      <c r="NAS24" s="720"/>
      <c r="NAT24" s="720"/>
      <c r="NAU24" s="720"/>
      <c r="NAV24" s="720"/>
      <c r="NAW24" s="720"/>
      <c r="NAX24" s="720"/>
      <c r="NAY24" s="720"/>
      <c r="NAZ24" s="720"/>
      <c r="NBA24" s="720"/>
      <c r="NBB24" s="720"/>
      <c r="NBC24" s="720"/>
      <c r="NBD24" s="720"/>
      <c r="NBE24" s="720"/>
      <c r="NBF24" s="720"/>
      <c r="NBG24" s="720"/>
      <c r="NBH24" s="720"/>
      <c r="NBI24" s="720"/>
      <c r="NBJ24" s="720"/>
      <c r="NBK24" s="720"/>
      <c r="NBL24" s="720"/>
      <c r="NBM24" s="720"/>
      <c r="NBN24" s="720"/>
      <c r="NBO24" s="720"/>
      <c r="NBP24" s="720"/>
      <c r="NBQ24" s="720"/>
      <c r="NBR24" s="720"/>
      <c r="NBS24" s="720"/>
      <c r="NBT24" s="720"/>
      <c r="NBU24" s="720"/>
      <c r="NBV24" s="720"/>
      <c r="NBW24" s="720"/>
      <c r="NBX24" s="720"/>
      <c r="NBY24" s="720"/>
      <c r="NBZ24" s="720"/>
      <c r="NCA24" s="720"/>
      <c r="NCB24" s="720"/>
      <c r="NCC24" s="720"/>
      <c r="NCD24" s="720"/>
      <c r="NCE24" s="720"/>
      <c r="NCF24" s="720"/>
      <c r="NCG24" s="720"/>
      <c r="NCH24" s="720"/>
      <c r="NCI24" s="720"/>
      <c r="NCJ24" s="720"/>
      <c r="NCK24" s="720"/>
      <c r="NCL24" s="720"/>
      <c r="NCM24" s="720"/>
      <c r="NCN24" s="720"/>
      <c r="NCO24" s="720"/>
      <c r="NCP24" s="720"/>
      <c r="NCQ24" s="720"/>
      <c r="NCR24" s="720"/>
      <c r="NCS24" s="720"/>
      <c r="NCT24" s="720"/>
      <c r="NCU24" s="720"/>
      <c r="NCV24" s="720"/>
      <c r="NCW24" s="720"/>
      <c r="NCX24" s="720"/>
      <c r="NCY24" s="720"/>
      <c r="NCZ24" s="720"/>
      <c r="NDA24" s="720"/>
      <c r="NDB24" s="720"/>
      <c r="NDC24" s="720"/>
      <c r="NDD24" s="720"/>
      <c r="NDE24" s="720"/>
      <c r="NDF24" s="720"/>
      <c r="NDG24" s="720"/>
      <c r="NDH24" s="720"/>
      <c r="NDI24" s="720"/>
      <c r="NDJ24" s="720"/>
      <c r="NDK24" s="720"/>
      <c r="NDL24" s="720"/>
      <c r="NDM24" s="720"/>
      <c r="NDN24" s="720"/>
      <c r="NDO24" s="720"/>
      <c r="NDP24" s="720"/>
      <c r="NDQ24" s="720"/>
      <c r="NDR24" s="720"/>
      <c r="NDS24" s="720"/>
      <c r="NDT24" s="720"/>
      <c r="NDU24" s="720"/>
      <c r="NDV24" s="720"/>
      <c r="NDW24" s="720"/>
      <c r="NDX24" s="720"/>
      <c r="NDY24" s="720"/>
      <c r="NDZ24" s="720"/>
      <c r="NEA24" s="720"/>
      <c r="NEB24" s="720"/>
      <c r="NEC24" s="720"/>
      <c r="NED24" s="720"/>
      <c r="NEE24" s="720"/>
      <c r="NEF24" s="720"/>
      <c r="NEG24" s="720"/>
      <c r="NEH24" s="720"/>
      <c r="NEI24" s="720"/>
      <c r="NEJ24" s="720"/>
      <c r="NEK24" s="720"/>
      <c r="NEL24" s="720"/>
      <c r="NEM24" s="720"/>
      <c r="NEN24" s="720"/>
      <c r="NEO24" s="720"/>
      <c r="NEP24" s="720"/>
      <c r="NEQ24" s="720"/>
      <c r="NER24" s="720"/>
      <c r="NES24" s="720"/>
      <c r="NET24" s="720"/>
      <c r="NEU24" s="720"/>
      <c r="NEV24" s="720"/>
      <c r="NEW24" s="720"/>
      <c r="NEX24" s="720"/>
      <c r="NEY24" s="720"/>
      <c r="NEZ24" s="720"/>
      <c r="NFA24" s="720"/>
      <c r="NFB24" s="720"/>
      <c r="NFC24" s="720"/>
      <c r="NFD24" s="720"/>
      <c r="NFE24" s="720"/>
      <c r="NFF24" s="720"/>
      <c r="NFG24" s="720"/>
      <c r="NFH24" s="720"/>
      <c r="NFI24" s="720"/>
      <c r="NFJ24" s="720"/>
      <c r="NFK24" s="720"/>
      <c r="NFL24" s="720"/>
      <c r="NFM24" s="720"/>
      <c r="NFN24" s="720"/>
      <c r="NFO24" s="720"/>
      <c r="NFP24" s="720"/>
      <c r="NFQ24" s="720"/>
      <c r="NFR24" s="720"/>
      <c r="NFS24" s="720"/>
      <c r="NFT24" s="720"/>
      <c r="NFU24" s="720"/>
      <c r="NFV24" s="720"/>
      <c r="NFW24" s="720"/>
      <c r="NFX24" s="720"/>
      <c r="NFY24" s="720"/>
      <c r="NFZ24" s="720"/>
      <c r="NGA24" s="720"/>
      <c r="NGB24" s="720"/>
      <c r="NGC24" s="720"/>
      <c r="NGD24" s="720"/>
      <c r="NGE24" s="720"/>
      <c r="NGF24" s="720"/>
      <c r="NGG24" s="720"/>
      <c r="NGH24" s="720"/>
      <c r="NGI24" s="720"/>
      <c r="NGJ24" s="720"/>
      <c r="NGK24" s="720"/>
      <c r="NGL24" s="720"/>
      <c r="NGM24" s="720"/>
      <c r="NGN24" s="720"/>
      <c r="NGO24" s="720"/>
      <c r="NGP24" s="720"/>
      <c r="NGQ24" s="720"/>
      <c r="NGR24" s="720"/>
      <c r="NGS24" s="720"/>
      <c r="NGT24" s="720"/>
      <c r="NGU24" s="720"/>
      <c r="NGV24" s="720"/>
      <c r="NGW24" s="720"/>
      <c r="NGX24" s="720"/>
      <c r="NGY24" s="720"/>
      <c r="NGZ24" s="720"/>
      <c r="NHA24" s="720"/>
      <c r="NHB24" s="720"/>
      <c r="NHC24" s="720"/>
      <c r="NHD24" s="720"/>
      <c r="NHE24" s="720"/>
      <c r="NHF24" s="720"/>
      <c r="NHG24" s="720"/>
      <c r="NHH24" s="720"/>
      <c r="NHI24" s="720"/>
      <c r="NHJ24" s="720"/>
      <c r="NHK24" s="720"/>
      <c r="NHL24" s="720"/>
      <c r="NHM24" s="720"/>
      <c r="NHN24" s="720"/>
      <c r="NHO24" s="720"/>
      <c r="NHP24" s="720"/>
      <c r="NHQ24" s="720"/>
      <c r="NHR24" s="720"/>
      <c r="NHS24" s="720"/>
      <c r="NHT24" s="720"/>
      <c r="NHU24" s="720"/>
      <c r="NHV24" s="720"/>
      <c r="NHW24" s="720"/>
      <c r="NHX24" s="720"/>
      <c r="NHY24" s="720"/>
      <c r="NHZ24" s="720"/>
      <c r="NIA24" s="720"/>
      <c r="NIB24" s="720"/>
      <c r="NIC24" s="720"/>
      <c r="NID24" s="720"/>
      <c r="NIE24" s="720"/>
      <c r="NIF24" s="720"/>
      <c r="NIG24" s="720"/>
      <c r="NIH24" s="720"/>
      <c r="NII24" s="720"/>
      <c r="NIJ24" s="720"/>
      <c r="NIK24" s="720"/>
      <c r="NIL24" s="720"/>
      <c r="NIM24" s="720"/>
      <c r="NIN24" s="720"/>
      <c r="NIO24" s="720"/>
      <c r="NIP24" s="720"/>
      <c r="NIQ24" s="720"/>
      <c r="NIR24" s="720"/>
      <c r="NIS24" s="720"/>
      <c r="NIT24" s="720"/>
      <c r="NIU24" s="720"/>
      <c r="NIV24" s="720"/>
      <c r="NIW24" s="720"/>
      <c r="NIX24" s="720"/>
      <c r="NIY24" s="720"/>
      <c r="NIZ24" s="720"/>
      <c r="NJA24" s="720"/>
      <c r="NJB24" s="720"/>
      <c r="NJC24" s="720"/>
      <c r="NJD24" s="720"/>
      <c r="NJE24" s="720"/>
      <c r="NJF24" s="720"/>
      <c r="NJG24" s="720"/>
      <c r="NJH24" s="720"/>
      <c r="NJI24" s="720"/>
      <c r="NJJ24" s="720"/>
      <c r="NJK24" s="720"/>
      <c r="NJL24" s="720"/>
      <c r="NJM24" s="720"/>
      <c r="NJN24" s="720"/>
      <c r="NJO24" s="720"/>
      <c r="NJP24" s="720"/>
      <c r="NJQ24" s="720"/>
      <c r="NJR24" s="720"/>
      <c r="NJS24" s="720"/>
      <c r="NJT24" s="720"/>
      <c r="NJU24" s="720"/>
      <c r="NJV24" s="720"/>
      <c r="NJW24" s="720"/>
      <c r="NJX24" s="720"/>
      <c r="NJY24" s="720"/>
      <c r="NJZ24" s="720"/>
      <c r="NKA24" s="720"/>
      <c r="NKB24" s="720"/>
      <c r="NKC24" s="720"/>
      <c r="NKD24" s="720"/>
      <c r="NKE24" s="720"/>
      <c r="NKF24" s="720"/>
      <c r="NKG24" s="720"/>
      <c r="NKH24" s="720"/>
      <c r="NKI24" s="720"/>
      <c r="NKJ24" s="720"/>
      <c r="NKK24" s="720"/>
      <c r="NKL24" s="720"/>
      <c r="NKM24" s="720"/>
      <c r="NKN24" s="720"/>
      <c r="NKO24" s="720"/>
      <c r="NKP24" s="720"/>
      <c r="NKQ24" s="720"/>
      <c r="NKR24" s="720"/>
      <c r="NKS24" s="720"/>
      <c r="NKT24" s="720"/>
      <c r="NKU24" s="720"/>
      <c r="NKV24" s="720"/>
      <c r="NKW24" s="720"/>
      <c r="NKX24" s="720"/>
      <c r="NKY24" s="720"/>
      <c r="NKZ24" s="720"/>
      <c r="NLA24" s="720"/>
      <c r="NLB24" s="720"/>
      <c r="NLC24" s="720"/>
      <c r="NLD24" s="720"/>
      <c r="NLE24" s="720"/>
      <c r="NLF24" s="720"/>
      <c r="NLG24" s="720"/>
      <c r="NLH24" s="720"/>
      <c r="NLI24" s="720"/>
      <c r="NLJ24" s="720"/>
      <c r="NLK24" s="720"/>
      <c r="NLL24" s="720"/>
      <c r="NLM24" s="720"/>
      <c r="NLN24" s="720"/>
      <c r="NLO24" s="720"/>
      <c r="NLP24" s="720"/>
      <c r="NLQ24" s="720"/>
      <c r="NLR24" s="720"/>
      <c r="NLS24" s="720"/>
      <c r="NLT24" s="720"/>
      <c r="NLU24" s="720"/>
      <c r="NLV24" s="720"/>
      <c r="NLW24" s="720"/>
      <c r="NLX24" s="720"/>
      <c r="NLY24" s="720"/>
      <c r="NLZ24" s="720"/>
      <c r="NMA24" s="720"/>
      <c r="NMB24" s="720"/>
      <c r="NMC24" s="720"/>
      <c r="NMD24" s="720"/>
      <c r="NME24" s="720"/>
      <c r="NMF24" s="720"/>
      <c r="NMG24" s="720"/>
      <c r="NMH24" s="720"/>
      <c r="NMI24" s="720"/>
      <c r="NMJ24" s="720"/>
      <c r="NMK24" s="720"/>
      <c r="NML24" s="720"/>
      <c r="NMM24" s="720"/>
      <c r="NMN24" s="720"/>
      <c r="NMO24" s="720"/>
      <c r="NMP24" s="720"/>
      <c r="NMQ24" s="720"/>
      <c r="NMR24" s="720"/>
      <c r="NMS24" s="720"/>
      <c r="NMT24" s="720"/>
      <c r="NMU24" s="720"/>
      <c r="NMV24" s="720"/>
      <c r="NMW24" s="720"/>
      <c r="NMX24" s="720"/>
      <c r="NMY24" s="720"/>
      <c r="NMZ24" s="720"/>
      <c r="NNA24" s="720"/>
      <c r="NNB24" s="720"/>
      <c r="NNC24" s="720"/>
      <c r="NND24" s="720"/>
      <c r="NNE24" s="720"/>
      <c r="NNF24" s="720"/>
      <c r="NNG24" s="720"/>
      <c r="NNH24" s="720"/>
      <c r="NNI24" s="720"/>
      <c r="NNJ24" s="720"/>
      <c r="NNK24" s="720"/>
      <c r="NNL24" s="720"/>
      <c r="NNM24" s="720"/>
      <c r="NNN24" s="720"/>
      <c r="NNO24" s="720"/>
      <c r="NNP24" s="720"/>
      <c r="NNQ24" s="720"/>
      <c r="NNR24" s="720"/>
      <c r="NNS24" s="720"/>
      <c r="NNT24" s="720"/>
      <c r="NNU24" s="720"/>
      <c r="NNV24" s="720"/>
      <c r="NNW24" s="720"/>
      <c r="NNX24" s="720"/>
      <c r="NNY24" s="720"/>
      <c r="NNZ24" s="720"/>
      <c r="NOA24" s="720"/>
      <c r="NOB24" s="720"/>
      <c r="NOC24" s="720"/>
      <c r="NOD24" s="720"/>
      <c r="NOE24" s="720"/>
      <c r="NOF24" s="720"/>
      <c r="NOG24" s="720"/>
      <c r="NOH24" s="720"/>
      <c r="NOI24" s="720"/>
      <c r="NOJ24" s="720"/>
      <c r="NOK24" s="720"/>
      <c r="NOL24" s="720"/>
      <c r="NOM24" s="720"/>
      <c r="NON24" s="720"/>
      <c r="NOO24" s="720"/>
      <c r="NOP24" s="720"/>
      <c r="NOQ24" s="720"/>
      <c r="NOR24" s="720"/>
      <c r="NOS24" s="720"/>
      <c r="NOT24" s="720"/>
      <c r="NOU24" s="720"/>
      <c r="NOV24" s="720"/>
      <c r="NOW24" s="720"/>
      <c r="NOX24" s="720"/>
      <c r="NOY24" s="720"/>
      <c r="NOZ24" s="720"/>
      <c r="NPA24" s="720"/>
      <c r="NPB24" s="720"/>
      <c r="NPC24" s="720"/>
      <c r="NPD24" s="720"/>
      <c r="NPE24" s="720"/>
      <c r="NPF24" s="720"/>
      <c r="NPG24" s="720"/>
      <c r="NPH24" s="720"/>
      <c r="NPI24" s="720"/>
      <c r="NPJ24" s="720"/>
      <c r="NPK24" s="720"/>
      <c r="NPL24" s="720"/>
      <c r="NPM24" s="720"/>
      <c r="NPN24" s="720"/>
      <c r="NPO24" s="720"/>
      <c r="NPP24" s="720"/>
      <c r="NPQ24" s="720"/>
      <c r="NPR24" s="720"/>
      <c r="NPS24" s="720"/>
      <c r="NPT24" s="720"/>
      <c r="NPU24" s="720"/>
      <c r="NPV24" s="720"/>
      <c r="NPW24" s="720"/>
      <c r="NPX24" s="720"/>
      <c r="NPY24" s="720"/>
      <c r="NPZ24" s="720"/>
      <c r="NQA24" s="720"/>
      <c r="NQB24" s="720"/>
      <c r="NQC24" s="720"/>
      <c r="NQD24" s="720"/>
      <c r="NQE24" s="720"/>
      <c r="NQF24" s="720"/>
      <c r="NQG24" s="720"/>
      <c r="NQH24" s="720"/>
      <c r="NQI24" s="720"/>
      <c r="NQJ24" s="720"/>
      <c r="NQK24" s="720"/>
      <c r="NQL24" s="720"/>
      <c r="NQM24" s="720"/>
      <c r="NQN24" s="720"/>
      <c r="NQO24" s="720"/>
      <c r="NQP24" s="720"/>
      <c r="NQQ24" s="720"/>
      <c r="NQR24" s="720"/>
      <c r="NQS24" s="720"/>
      <c r="NQT24" s="720"/>
      <c r="NQU24" s="720"/>
      <c r="NQV24" s="720"/>
      <c r="NQW24" s="720"/>
      <c r="NQX24" s="720"/>
      <c r="NQY24" s="720"/>
      <c r="NQZ24" s="720"/>
      <c r="NRA24" s="720"/>
      <c r="NRB24" s="720"/>
      <c r="NRC24" s="720"/>
      <c r="NRD24" s="720"/>
      <c r="NRE24" s="720"/>
      <c r="NRF24" s="720"/>
      <c r="NRG24" s="720"/>
      <c r="NRH24" s="720"/>
      <c r="NRI24" s="720"/>
      <c r="NRJ24" s="720"/>
      <c r="NRK24" s="720"/>
      <c r="NRL24" s="720"/>
      <c r="NRM24" s="720"/>
      <c r="NRN24" s="720"/>
      <c r="NRO24" s="720"/>
      <c r="NRP24" s="720"/>
      <c r="NRQ24" s="720"/>
      <c r="NRR24" s="720"/>
      <c r="NRS24" s="720"/>
      <c r="NRT24" s="720"/>
      <c r="NRU24" s="720"/>
      <c r="NRV24" s="720"/>
      <c r="NRW24" s="720"/>
      <c r="NRX24" s="720"/>
      <c r="NRY24" s="720"/>
      <c r="NRZ24" s="720"/>
      <c r="NSA24" s="720"/>
      <c r="NSB24" s="720"/>
      <c r="NSC24" s="720"/>
      <c r="NSD24" s="720"/>
      <c r="NSE24" s="720"/>
      <c r="NSF24" s="720"/>
      <c r="NSG24" s="720"/>
      <c r="NSH24" s="720"/>
      <c r="NSI24" s="720"/>
      <c r="NSJ24" s="720"/>
      <c r="NSK24" s="720"/>
      <c r="NSL24" s="720"/>
      <c r="NSM24" s="720"/>
      <c r="NSN24" s="720"/>
      <c r="NSO24" s="720"/>
      <c r="NSP24" s="720"/>
      <c r="NSQ24" s="720"/>
      <c r="NSR24" s="720"/>
      <c r="NSS24" s="720"/>
      <c r="NST24" s="720"/>
      <c r="NSU24" s="720"/>
      <c r="NSV24" s="720"/>
      <c r="NSW24" s="720"/>
      <c r="NSX24" s="720"/>
      <c r="NSY24" s="720"/>
      <c r="NSZ24" s="720"/>
      <c r="NTA24" s="720"/>
      <c r="NTB24" s="720"/>
      <c r="NTC24" s="720"/>
      <c r="NTD24" s="720"/>
      <c r="NTE24" s="720"/>
      <c r="NTF24" s="720"/>
      <c r="NTG24" s="720"/>
      <c r="NTH24" s="720"/>
      <c r="NTI24" s="720"/>
      <c r="NTJ24" s="720"/>
      <c r="NTK24" s="720"/>
      <c r="NTL24" s="720"/>
      <c r="NTM24" s="720"/>
      <c r="NTN24" s="720"/>
      <c r="NTO24" s="720"/>
      <c r="NTP24" s="720"/>
      <c r="NTQ24" s="720"/>
      <c r="NTR24" s="720"/>
      <c r="NTS24" s="720"/>
      <c r="NTT24" s="720"/>
      <c r="NTU24" s="720"/>
      <c r="NTV24" s="720"/>
      <c r="NTW24" s="720"/>
      <c r="NTX24" s="720"/>
      <c r="NTY24" s="720"/>
      <c r="NTZ24" s="720"/>
      <c r="NUA24" s="720"/>
      <c r="NUB24" s="720"/>
      <c r="NUC24" s="720"/>
      <c r="NUD24" s="720"/>
      <c r="NUE24" s="720"/>
      <c r="NUF24" s="720"/>
      <c r="NUG24" s="720"/>
      <c r="NUH24" s="720"/>
      <c r="NUI24" s="720"/>
      <c r="NUJ24" s="720"/>
      <c r="NUK24" s="720"/>
      <c r="NUL24" s="720"/>
      <c r="NUM24" s="720"/>
      <c r="NUN24" s="720"/>
      <c r="NUO24" s="720"/>
      <c r="NUP24" s="720"/>
      <c r="NUQ24" s="720"/>
      <c r="NUR24" s="720"/>
      <c r="NUS24" s="720"/>
      <c r="NUT24" s="720"/>
      <c r="NUU24" s="720"/>
      <c r="NUV24" s="720"/>
      <c r="NUW24" s="720"/>
      <c r="NUX24" s="720"/>
      <c r="NUY24" s="720"/>
      <c r="NUZ24" s="720"/>
      <c r="NVA24" s="720"/>
      <c r="NVB24" s="720"/>
      <c r="NVC24" s="720"/>
      <c r="NVD24" s="720"/>
      <c r="NVE24" s="720"/>
      <c r="NVF24" s="720"/>
      <c r="NVG24" s="720"/>
      <c r="NVH24" s="720"/>
      <c r="NVI24" s="720"/>
      <c r="NVJ24" s="720"/>
      <c r="NVK24" s="720"/>
      <c r="NVL24" s="720"/>
      <c r="NVM24" s="720"/>
      <c r="NVN24" s="720"/>
      <c r="NVO24" s="720"/>
      <c r="NVP24" s="720"/>
      <c r="NVQ24" s="720"/>
      <c r="NVR24" s="720"/>
      <c r="NVS24" s="720"/>
      <c r="NVT24" s="720"/>
      <c r="NVU24" s="720"/>
      <c r="NVV24" s="720"/>
      <c r="NVW24" s="720"/>
      <c r="NVX24" s="720"/>
      <c r="NVY24" s="720"/>
      <c r="NVZ24" s="720"/>
      <c r="NWA24" s="720"/>
      <c r="NWB24" s="720"/>
      <c r="NWC24" s="720"/>
      <c r="NWD24" s="720"/>
      <c r="NWE24" s="720"/>
      <c r="NWF24" s="720"/>
      <c r="NWG24" s="720"/>
      <c r="NWH24" s="720"/>
      <c r="NWI24" s="720"/>
      <c r="NWJ24" s="720"/>
      <c r="NWK24" s="720"/>
      <c r="NWL24" s="720"/>
      <c r="NWM24" s="720"/>
      <c r="NWN24" s="720"/>
      <c r="NWO24" s="720"/>
      <c r="NWP24" s="720"/>
      <c r="NWQ24" s="720"/>
      <c r="NWR24" s="720"/>
      <c r="NWS24" s="720"/>
      <c r="NWT24" s="720"/>
      <c r="NWU24" s="720"/>
      <c r="NWV24" s="720"/>
      <c r="NWW24" s="720"/>
      <c r="NWX24" s="720"/>
      <c r="NWY24" s="720"/>
      <c r="NWZ24" s="720"/>
      <c r="NXA24" s="720"/>
      <c r="NXB24" s="720"/>
      <c r="NXC24" s="720"/>
      <c r="NXD24" s="720"/>
      <c r="NXE24" s="720"/>
      <c r="NXF24" s="720"/>
      <c r="NXG24" s="720"/>
      <c r="NXH24" s="720"/>
      <c r="NXI24" s="720"/>
      <c r="NXJ24" s="720"/>
      <c r="NXK24" s="720"/>
      <c r="NXL24" s="720"/>
      <c r="NXM24" s="720"/>
      <c r="NXN24" s="720"/>
      <c r="NXO24" s="720"/>
      <c r="NXP24" s="720"/>
      <c r="NXQ24" s="720"/>
      <c r="NXR24" s="720"/>
      <c r="NXS24" s="720"/>
      <c r="NXT24" s="720"/>
      <c r="NXU24" s="720"/>
      <c r="NXV24" s="720"/>
      <c r="NXW24" s="720"/>
      <c r="NXX24" s="720"/>
      <c r="NXY24" s="720"/>
      <c r="NXZ24" s="720"/>
      <c r="NYA24" s="720"/>
      <c r="NYB24" s="720"/>
      <c r="NYC24" s="720"/>
      <c r="NYD24" s="720"/>
      <c r="NYE24" s="720"/>
      <c r="NYF24" s="720"/>
      <c r="NYG24" s="720"/>
      <c r="NYH24" s="720"/>
      <c r="NYI24" s="720"/>
      <c r="NYJ24" s="720"/>
      <c r="NYK24" s="720"/>
      <c r="NYL24" s="720"/>
      <c r="NYM24" s="720"/>
      <c r="NYN24" s="720"/>
      <c r="NYO24" s="720"/>
      <c r="NYP24" s="720"/>
      <c r="NYQ24" s="720"/>
      <c r="NYR24" s="720"/>
      <c r="NYS24" s="720"/>
      <c r="NYT24" s="720"/>
      <c r="NYU24" s="720"/>
      <c r="NYV24" s="720"/>
      <c r="NYW24" s="720"/>
      <c r="NYX24" s="720"/>
      <c r="NYY24" s="720"/>
      <c r="NYZ24" s="720"/>
      <c r="NZA24" s="720"/>
      <c r="NZB24" s="720"/>
      <c r="NZC24" s="720"/>
      <c r="NZD24" s="720"/>
      <c r="NZE24" s="720"/>
      <c r="NZF24" s="720"/>
      <c r="NZG24" s="720"/>
      <c r="NZH24" s="720"/>
      <c r="NZI24" s="720"/>
      <c r="NZJ24" s="720"/>
      <c r="NZK24" s="720"/>
      <c r="NZL24" s="720"/>
      <c r="NZM24" s="720"/>
      <c r="NZN24" s="720"/>
      <c r="NZO24" s="720"/>
      <c r="NZP24" s="720"/>
      <c r="NZQ24" s="720"/>
      <c r="NZR24" s="720"/>
      <c r="NZS24" s="720"/>
      <c r="NZT24" s="720"/>
      <c r="NZU24" s="720"/>
      <c r="NZV24" s="720"/>
      <c r="NZW24" s="720"/>
      <c r="NZX24" s="720"/>
      <c r="NZY24" s="720"/>
      <c r="NZZ24" s="720"/>
      <c r="OAA24" s="720"/>
      <c r="OAB24" s="720"/>
      <c r="OAC24" s="720"/>
      <c r="OAD24" s="720"/>
      <c r="OAE24" s="720"/>
      <c r="OAF24" s="720"/>
      <c r="OAG24" s="720"/>
      <c r="OAH24" s="720"/>
      <c r="OAI24" s="720"/>
      <c r="OAJ24" s="720"/>
      <c r="OAK24" s="720"/>
      <c r="OAL24" s="720"/>
      <c r="OAM24" s="720"/>
      <c r="OAN24" s="720"/>
      <c r="OAO24" s="720"/>
      <c r="OAP24" s="720"/>
      <c r="OAQ24" s="720"/>
      <c r="OAR24" s="720"/>
      <c r="OAS24" s="720"/>
      <c r="OAT24" s="720"/>
      <c r="OAU24" s="720"/>
      <c r="OAV24" s="720"/>
      <c r="OAW24" s="720"/>
      <c r="OAX24" s="720"/>
      <c r="OAY24" s="720"/>
      <c r="OAZ24" s="720"/>
      <c r="OBA24" s="720"/>
      <c r="OBB24" s="720"/>
      <c r="OBC24" s="720"/>
      <c r="OBD24" s="720"/>
      <c r="OBE24" s="720"/>
      <c r="OBF24" s="720"/>
      <c r="OBG24" s="720"/>
      <c r="OBH24" s="720"/>
      <c r="OBI24" s="720"/>
      <c r="OBJ24" s="720"/>
      <c r="OBK24" s="720"/>
      <c r="OBL24" s="720"/>
      <c r="OBM24" s="720"/>
      <c r="OBN24" s="720"/>
      <c r="OBO24" s="720"/>
      <c r="OBP24" s="720"/>
      <c r="OBQ24" s="720"/>
      <c r="OBR24" s="720"/>
      <c r="OBS24" s="720"/>
      <c r="OBT24" s="720"/>
      <c r="OBU24" s="720"/>
      <c r="OBV24" s="720"/>
      <c r="OBW24" s="720"/>
      <c r="OBX24" s="720"/>
      <c r="OBY24" s="720"/>
      <c r="OBZ24" s="720"/>
      <c r="OCA24" s="720"/>
      <c r="OCB24" s="720"/>
      <c r="OCC24" s="720"/>
      <c r="OCD24" s="720"/>
      <c r="OCE24" s="720"/>
      <c r="OCF24" s="720"/>
      <c r="OCG24" s="720"/>
      <c r="OCH24" s="720"/>
      <c r="OCI24" s="720"/>
      <c r="OCJ24" s="720"/>
      <c r="OCK24" s="720"/>
      <c r="OCL24" s="720"/>
      <c r="OCM24" s="720"/>
      <c r="OCN24" s="720"/>
      <c r="OCO24" s="720"/>
      <c r="OCP24" s="720"/>
      <c r="OCQ24" s="720"/>
      <c r="OCR24" s="720"/>
      <c r="OCS24" s="720"/>
      <c r="OCT24" s="720"/>
      <c r="OCU24" s="720"/>
      <c r="OCV24" s="720"/>
      <c r="OCW24" s="720"/>
      <c r="OCX24" s="720"/>
      <c r="OCY24" s="720"/>
      <c r="OCZ24" s="720"/>
      <c r="ODA24" s="720"/>
      <c r="ODB24" s="720"/>
      <c r="ODC24" s="720"/>
      <c r="ODD24" s="720"/>
      <c r="ODE24" s="720"/>
      <c r="ODF24" s="720"/>
      <c r="ODG24" s="720"/>
      <c r="ODH24" s="720"/>
      <c r="ODI24" s="720"/>
      <c r="ODJ24" s="720"/>
      <c r="ODK24" s="720"/>
      <c r="ODL24" s="720"/>
      <c r="ODM24" s="720"/>
      <c r="ODN24" s="720"/>
      <c r="ODO24" s="720"/>
      <c r="ODP24" s="720"/>
      <c r="ODQ24" s="720"/>
      <c r="ODR24" s="720"/>
      <c r="ODS24" s="720"/>
      <c r="ODT24" s="720"/>
      <c r="ODU24" s="720"/>
      <c r="ODV24" s="720"/>
      <c r="ODW24" s="720"/>
      <c r="ODX24" s="720"/>
      <c r="ODY24" s="720"/>
      <c r="ODZ24" s="720"/>
      <c r="OEA24" s="720"/>
      <c r="OEB24" s="720"/>
      <c r="OEC24" s="720"/>
      <c r="OED24" s="720"/>
      <c r="OEE24" s="720"/>
      <c r="OEF24" s="720"/>
      <c r="OEG24" s="720"/>
      <c r="OEH24" s="720"/>
      <c r="OEI24" s="720"/>
      <c r="OEJ24" s="720"/>
      <c r="OEK24" s="720"/>
      <c r="OEL24" s="720"/>
      <c r="OEM24" s="720"/>
      <c r="OEN24" s="720"/>
      <c r="OEO24" s="720"/>
      <c r="OEP24" s="720"/>
      <c r="OEQ24" s="720"/>
      <c r="OER24" s="720"/>
      <c r="OES24" s="720"/>
      <c r="OET24" s="720"/>
      <c r="OEU24" s="720"/>
      <c r="OEV24" s="720"/>
      <c r="OEW24" s="720"/>
      <c r="OEX24" s="720"/>
      <c r="OEY24" s="720"/>
      <c r="OEZ24" s="720"/>
      <c r="OFA24" s="720"/>
      <c r="OFB24" s="720"/>
      <c r="OFC24" s="720"/>
      <c r="OFD24" s="720"/>
      <c r="OFE24" s="720"/>
      <c r="OFF24" s="720"/>
      <c r="OFG24" s="720"/>
      <c r="OFH24" s="720"/>
      <c r="OFI24" s="720"/>
      <c r="OFJ24" s="720"/>
      <c r="OFK24" s="720"/>
      <c r="OFL24" s="720"/>
      <c r="OFM24" s="720"/>
      <c r="OFN24" s="720"/>
      <c r="OFO24" s="720"/>
      <c r="OFP24" s="720"/>
      <c r="OFQ24" s="720"/>
      <c r="OFR24" s="720"/>
      <c r="OFS24" s="720"/>
      <c r="OFT24" s="720"/>
      <c r="OFU24" s="720"/>
      <c r="OFV24" s="720"/>
      <c r="OFW24" s="720"/>
      <c r="OFX24" s="720"/>
      <c r="OFY24" s="720"/>
      <c r="OFZ24" s="720"/>
      <c r="OGA24" s="720"/>
      <c r="OGB24" s="720"/>
      <c r="OGC24" s="720"/>
      <c r="OGD24" s="720"/>
      <c r="OGE24" s="720"/>
      <c r="OGF24" s="720"/>
      <c r="OGG24" s="720"/>
      <c r="OGH24" s="720"/>
      <c r="OGI24" s="720"/>
      <c r="OGJ24" s="720"/>
      <c r="OGK24" s="720"/>
      <c r="OGL24" s="720"/>
      <c r="OGM24" s="720"/>
      <c r="OGN24" s="720"/>
      <c r="OGO24" s="720"/>
      <c r="OGP24" s="720"/>
      <c r="OGQ24" s="720"/>
      <c r="OGR24" s="720"/>
      <c r="OGS24" s="720"/>
      <c r="OGT24" s="720"/>
      <c r="OGU24" s="720"/>
      <c r="OGV24" s="720"/>
      <c r="OGW24" s="720"/>
      <c r="OGX24" s="720"/>
      <c r="OGY24" s="720"/>
      <c r="OGZ24" s="720"/>
      <c r="OHA24" s="720"/>
      <c r="OHB24" s="720"/>
      <c r="OHC24" s="720"/>
      <c r="OHD24" s="720"/>
      <c r="OHE24" s="720"/>
      <c r="OHF24" s="720"/>
      <c r="OHG24" s="720"/>
      <c r="OHH24" s="720"/>
      <c r="OHI24" s="720"/>
      <c r="OHJ24" s="720"/>
      <c r="OHK24" s="720"/>
      <c r="OHL24" s="720"/>
      <c r="OHM24" s="720"/>
      <c r="OHN24" s="720"/>
      <c r="OHO24" s="720"/>
      <c r="OHP24" s="720"/>
      <c r="OHQ24" s="720"/>
      <c r="OHR24" s="720"/>
      <c r="OHS24" s="720"/>
      <c r="OHT24" s="720"/>
      <c r="OHU24" s="720"/>
      <c r="OHV24" s="720"/>
      <c r="OHW24" s="720"/>
      <c r="OHX24" s="720"/>
      <c r="OHY24" s="720"/>
      <c r="OHZ24" s="720"/>
      <c r="OIA24" s="720"/>
      <c r="OIB24" s="720"/>
      <c r="OIC24" s="720"/>
      <c r="OID24" s="720"/>
      <c r="OIE24" s="720"/>
      <c r="OIF24" s="720"/>
      <c r="OIG24" s="720"/>
      <c r="OIH24" s="720"/>
      <c r="OII24" s="720"/>
      <c r="OIJ24" s="720"/>
      <c r="OIK24" s="720"/>
      <c r="OIL24" s="720"/>
      <c r="OIM24" s="720"/>
      <c r="OIN24" s="720"/>
      <c r="OIO24" s="720"/>
      <c r="OIP24" s="720"/>
      <c r="OIQ24" s="720"/>
      <c r="OIR24" s="720"/>
      <c r="OIS24" s="720"/>
      <c r="OIT24" s="720"/>
      <c r="OIU24" s="720"/>
      <c r="OIV24" s="720"/>
      <c r="OIW24" s="720"/>
      <c r="OIX24" s="720"/>
      <c r="OIY24" s="720"/>
      <c r="OIZ24" s="720"/>
      <c r="OJA24" s="720"/>
      <c r="OJB24" s="720"/>
      <c r="OJC24" s="720"/>
      <c r="OJD24" s="720"/>
      <c r="OJE24" s="720"/>
      <c r="OJF24" s="720"/>
      <c r="OJG24" s="720"/>
      <c r="OJH24" s="720"/>
      <c r="OJI24" s="720"/>
      <c r="OJJ24" s="720"/>
      <c r="OJK24" s="720"/>
      <c r="OJL24" s="720"/>
      <c r="OJM24" s="720"/>
      <c r="OJN24" s="720"/>
      <c r="OJO24" s="720"/>
      <c r="OJP24" s="720"/>
      <c r="OJQ24" s="720"/>
      <c r="OJR24" s="720"/>
      <c r="OJS24" s="720"/>
      <c r="OJT24" s="720"/>
      <c r="OJU24" s="720"/>
      <c r="OJV24" s="720"/>
      <c r="OJW24" s="720"/>
      <c r="OJX24" s="720"/>
      <c r="OJY24" s="720"/>
      <c r="OJZ24" s="720"/>
      <c r="OKA24" s="720"/>
      <c r="OKB24" s="720"/>
      <c r="OKC24" s="720"/>
      <c r="OKD24" s="720"/>
      <c r="OKE24" s="720"/>
      <c r="OKF24" s="720"/>
      <c r="OKG24" s="720"/>
      <c r="OKH24" s="720"/>
      <c r="OKI24" s="720"/>
      <c r="OKJ24" s="720"/>
      <c r="OKK24" s="720"/>
      <c r="OKL24" s="720"/>
      <c r="OKM24" s="720"/>
      <c r="OKN24" s="720"/>
      <c r="OKO24" s="720"/>
      <c r="OKP24" s="720"/>
      <c r="OKQ24" s="720"/>
      <c r="OKR24" s="720"/>
      <c r="OKS24" s="720"/>
      <c r="OKT24" s="720"/>
      <c r="OKU24" s="720"/>
      <c r="OKV24" s="720"/>
      <c r="OKW24" s="720"/>
      <c r="OKX24" s="720"/>
      <c r="OKY24" s="720"/>
      <c r="OKZ24" s="720"/>
      <c r="OLA24" s="720"/>
      <c r="OLB24" s="720"/>
      <c r="OLC24" s="720"/>
      <c r="OLD24" s="720"/>
      <c r="OLE24" s="720"/>
      <c r="OLF24" s="720"/>
      <c r="OLG24" s="720"/>
      <c r="OLH24" s="720"/>
      <c r="OLI24" s="720"/>
      <c r="OLJ24" s="720"/>
      <c r="OLK24" s="720"/>
      <c r="OLL24" s="720"/>
      <c r="OLM24" s="720"/>
      <c r="OLN24" s="720"/>
      <c r="OLO24" s="720"/>
      <c r="OLP24" s="720"/>
      <c r="OLQ24" s="720"/>
      <c r="OLR24" s="720"/>
      <c r="OLS24" s="720"/>
      <c r="OLT24" s="720"/>
      <c r="OLU24" s="720"/>
      <c r="OLV24" s="720"/>
      <c r="OLW24" s="720"/>
      <c r="OLX24" s="720"/>
      <c r="OLY24" s="720"/>
      <c r="OLZ24" s="720"/>
      <c r="OMA24" s="720"/>
      <c r="OMB24" s="720"/>
      <c r="OMC24" s="720"/>
      <c r="OMD24" s="720"/>
      <c r="OME24" s="720"/>
      <c r="OMF24" s="720"/>
      <c r="OMG24" s="720"/>
      <c r="OMH24" s="720"/>
      <c r="OMI24" s="720"/>
      <c r="OMJ24" s="720"/>
      <c r="OMK24" s="720"/>
      <c r="OML24" s="720"/>
      <c r="OMM24" s="720"/>
      <c r="OMN24" s="720"/>
      <c r="OMO24" s="720"/>
      <c r="OMP24" s="720"/>
      <c r="OMQ24" s="720"/>
      <c r="OMR24" s="720"/>
      <c r="OMS24" s="720"/>
      <c r="OMT24" s="720"/>
      <c r="OMU24" s="720"/>
      <c r="OMV24" s="720"/>
      <c r="OMW24" s="720"/>
      <c r="OMX24" s="720"/>
      <c r="OMY24" s="720"/>
      <c r="OMZ24" s="720"/>
      <c r="ONA24" s="720"/>
      <c r="ONB24" s="720"/>
      <c r="ONC24" s="720"/>
      <c r="OND24" s="720"/>
      <c r="ONE24" s="720"/>
      <c r="ONF24" s="720"/>
      <c r="ONG24" s="720"/>
      <c r="ONH24" s="720"/>
      <c r="ONI24" s="720"/>
      <c r="ONJ24" s="720"/>
      <c r="ONK24" s="720"/>
      <c r="ONL24" s="720"/>
      <c r="ONM24" s="720"/>
      <c r="ONN24" s="720"/>
      <c r="ONO24" s="720"/>
      <c r="ONP24" s="720"/>
      <c r="ONQ24" s="720"/>
      <c r="ONR24" s="720"/>
      <c r="ONS24" s="720"/>
      <c r="ONT24" s="720"/>
      <c r="ONU24" s="720"/>
      <c r="ONV24" s="720"/>
      <c r="ONW24" s="720"/>
      <c r="ONX24" s="720"/>
      <c r="ONY24" s="720"/>
      <c r="ONZ24" s="720"/>
      <c r="OOA24" s="720"/>
      <c r="OOB24" s="720"/>
      <c r="OOC24" s="720"/>
      <c r="OOD24" s="720"/>
      <c r="OOE24" s="720"/>
      <c r="OOF24" s="720"/>
      <c r="OOG24" s="720"/>
      <c r="OOH24" s="720"/>
      <c r="OOI24" s="720"/>
      <c r="OOJ24" s="720"/>
      <c r="OOK24" s="720"/>
      <c r="OOL24" s="720"/>
      <c r="OOM24" s="720"/>
      <c r="OON24" s="720"/>
      <c r="OOO24" s="720"/>
      <c r="OOP24" s="720"/>
      <c r="OOQ24" s="720"/>
      <c r="OOR24" s="720"/>
      <c r="OOS24" s="720"/>
      <c r="OOT24" s="720"/>
      <c r="OOU24" s="720"/>
      <c r="OOV24" s="720"/>
      <c r="OOW24" s="720"/>
      <c r="OOX24" s="720"/>
      <c r="OOY24" s="720"/>
      <c r="OOZ24" s="720"/>
      <c r="OPA24" s="720"/>
      <c r="OPB24" s="720"/>
      <c r="OPC24" s="720"/>
      <c r="OPD24" s="720"/>
      <c r="OPE24" s="720"/>
      <c r="OPF24" s="720"/>
      <c r="OPG24" s="720"/>
      <c r="OPH24" s="720"/>
      <c r="OPI24" s="720"/>
      <c r="OPJ24" s="720"/>
      <c r="OPK24" s="720"/>
      <c r="OPL24" s="720"/>
      <c r="OPM24" s="720"/>
      <c r="OPN24" s="720"/>
      <c r="OPO24" s="720"/>
      <c r="OPP24" s="720"/>
      <c r="OPQ24" s="720"/>
      <c r="OPR24" s="720"/>
      <c r="OPS24" s="720"/>
      <c r="OPT24" s="720"/>
      <c r="OPU24" s="720"/>
      <c r="OPV24" s="720"/>
      <c r="OPW24" s="720"/>
      <c r="OPX24" s="720"/>
      <c r="OPY24" s="720"/>
      <c r="OPZ24" s="720"/>
      <c r="OQA24" s="720"/>
      <c r="OQB24" s="720"/>
      <c r="OQC24" s="720"/>
      <c r="OQD24" s="720"/>
      <c r="OQE24" s="720"/>
      <c r="OQF24" s="720"/>
      <c r="OQG24" s="720"/>
      <c r="OQH24" s="720"/>
      <c r="OQI24" s="720"/>
      <c r="OQJ24" s="720"/>
      <c r="OQK24" s="720"/>
      <c r="OQL24" s="720"/>
      <c r="OQM24" s="720"/>
      <c r="OQN24" s="720"/>
      <c r="OQO24" s="720"/>
      <c r="OQP24" s="720"/>
      <c r="OQQ24" s="720"/>
      <c r="OQR24" s="720"/>
      <c r="OQS24" s="720"/>
      <c r="OQT24" s="720"/>
      <c r="OQU24" s="720"/>
      <c r="OQV24" s="720"/>
      <c r="OQW24" s="720"/>
      <c r="OQX24" s="720"/>
      <c r="OQY24" s="720"/>
      <c r="OQZ24" s="720"/>
      <c r="ORA24" s="720"/>
      <c r="ORB24" s="720"/>
      <c r="ORC24" s="720"/>
      <c r="ORD24" s="720"/>
      <c r="ORE24" s="720"/>
      <c r="ORF24" s="720"/>
      <c r="ORG24" s="720"/>
      <c r="ORH24" s="720"/>
      <c r="ORI24" s="720"/>
      <c r="ORJ24" s="720"/>
      <c r="ORK24" s="720"/>
      <c r="ORL24" s="720"/>
      <c r="ORM24" s="720"/>
      <c r="ORN24" s="720"/>
      <c r="ORO24" s="720"/>
      <c r="ORP24" s="720"/>
      <c r="ORQ24" s="720"/>
      <c r="ORR24" s="720"/>
      <c r="ORS24" s="720"/>
      <c r="ORT24" s="720"/>
      <c r="ORU24" s="720"/>
      <c r="ORV24" s="720"/>
      <c r="ORW24" s="720"/>
      <c r="ORX24" s="720"/>
      <c r="ORY24" s="720"/>
      <c r="ORZ24" s="720"/>
      <c r="OSA24" s="720"/>
      <c r="OSB24" s="720"/>
      <c r="OSC24" s="720"/>
      <c r="OSD24" s="720"/>
      <c r="OSE24" s="720"/>
      <c r="OSF24" s="720"/>
      <c r="OSG24" s="720"/>
      <c r="OSH24" s="720"/>
      <c r="OSI24" s="720"/>
      <c r="OSJ24" s="720"/>
      <c r="OSK24" s="720"/>
      <c r="OSL24" s="720"/>
      <c r="OSM24" s="720"/>
      <c r="OSN24" s="720"/>
      <c r="OSO24" s="720"/>
      <c r="OSP24" s="720"/>
      <c r="OSQ24" s="720"/>
      <c r="OSR24" s="720"/>
      <c r="OSS24" s="720"/>
      <c r="OST24" s="720"/>
      <c r="OSU24" s="720"/>
      <c r="OSV24" s="720"/>
      <c r="OSW24" s="720"/>
      <c r="OSX24" s="720"/>
      <c r="OSY24" s="720"/>
      <c r="OSZ24" s="720"/>
      <c r="OTA24" s="720"/>
      <c r="OTB24" s="720"/>
      <c r="OTC24" s="720"/>
      <c r="OTD24" s="720"/>
      <c r="OTE24" s="720"/>
      <c r="OTF24" s="720"/>
      <c r="OTG24" s="720"/>
      <c r="OTH24" s="720"/>
      <c r="OTI24" s="720"/>
      <c r="OTJ24" s="720"/>
      <c r="OTK24" s="720"/>
      <c r="OTL24" s="720"/>
      <c r="OTM24" s="720"/>
      <c r="OTN24" s="720"/>
      <c r="OTO24" s="720"/>
      <c r="OTP24" s="720"/>
      <c r="OTQ24" s="720"/>
      <c r="OTR24" s="720"/>
      <c r="OTS24" s="720"/>
      <c r="OTT24" s="720"/>
      <c r="OTU24" s="720"/>
      <c r="OTV24" s="720"/>
      <c r="OTW24" s="720"/>
      <c r="OTX24" s="720"/>
      <c r="OTY24" s="720"/>
      <c r="OTZ24" s="720"/>
      <c r="OUA24" s="720"/>
      <c r="OUB24" s="720"/>
      <c r="OUC24" s="720"/>
      <c r="OUD24" s="720"/>
      <c r="OUE24" s="720"/>
      <c r="OUF24" s="720"/>
      <c r="OUG24" s="720"/>
      <c r="OUH24" s="720"/>
      <c r="OUI24" s="720"/>
      <c r="OUJ24" s="720"/>
      <c r="OUK24" s="720"/>
      <c r="OUL24" s="720"/>
      <c r="OUM24" s="720"/>
      <c r="OUN24" s="720"/>
      <c r="OUO24" s="720"/>
      <c r="OUP24" s="720"/>
      <c r="OUQ24" s="720"/>
      <c r="OUR24" s="720"/>
      <c r="OUS24" s="720"/>
      <c r="OUT24" s="720"/>
      <c r="OUU24" s="720"/>
      <c r="OUV24" s="720"/>
      <c r="OUW24" s="720"/>
      <c r="OUX24" s="720"/>
      <c r="OUY24" s="720"/>
      <c r="OUZ24" s="720"/>
      <c r="OVA24" s="720"/>
      <c r="OVB24" s="720"/>
      <c r="OVC24" s="720"/>
      <c r="OVD24" s="720"/>
      <c r="OVE24" s="720"/>
      <c r="OVF24" s="720"/>
      <c r="OVG24" s="720"/>
      <c r="OVH24" s="720"/>
      <c r="OVI24" s="720"/>
      <c r="OVJ24" s="720"/>
      <c r="OVK24" s="720"/>
      <c r="OVL24" s="720"/>
      <c r="OVM24" s="720"/>
      <c r="OVN24" s="720"/>
      <c r="OVO24" s="720"/>
      <c r="OVP24" s="720"/>
      <c r="OVQ24" s="720"/>
      <c r="OVR24" s="720"/>
      <c r="OVS24" s="720"/>
      <c r="OVT24" s="720"/>
      <c r="OVU24" s="720"/>
      <c r="OVV24" s="720"/>
      <c r="OVW24" s="720"/>
      <c r="OVX24" s="720"/>
      <c r="OVY24" s="720"/>
      <c r="OVZ24" s="720"/>
      <c r="OWA24" s="720"/>
      <c r="OWB24" s="720"/>
      <c r="OWC24" s="720"/>
      <c r="OWD24" s="720"/>
      <c r="OWE24" s="720"/>
      <c r="OWF24" s="720"/>
      <c r="OWG24" s="720"/>
      <c r="OWH24" s="720"/>
      <c r="OWI24" s="720"/>
      <c r="OWJ24" s="720"/>
      <c r="OWK24" s="720"/>
      <c r="OWL24" s="720"/>
      <c r="OWM24" s="720"/>
      <c r="OWN24" s="720"/>
      <c r="OWO24" s="720"/>
      <c r="OWP24" s="720"/>
      <c r="OWQ24" s="720"/>
      <c r="OWR24" s="720"/>
      <c r="OWS24" s="720"/>
      <c r="OWT24" s="720"/>
      <c r="OWU24" s="720"/>
      <c r="OWV24" s="720"/>
      <c r="OWW24" s="720"/>
      <c r="OWX24" s="720"/>
      <c r="OWY24" s="720"/>
      <c r="OWZ24" s="720"/>
      <c r="OXA24" s="720"/>
      <c r="OXB24" s="720"/>
      <c r="OXC24" s="720"/>
      <c r="OXD24" s="720"/>
      <c r="OXE24" s="720"/>
      <c r="OXF24" s="720"/>
      <c r="OXG24" s="720"/>
      <c r="OXH24" s="720"/>
      <c r="OXI24" s="720"/>
      <c r="OXJ24" s="720"/>
      <c r="OXK24" s="720"/>
      <c r="OXL24" s="720"/>
      <c r="OXM24" s="720"/>
      <c r="OXN24" s="720"/>
      <c r="OXO24" s="720"/>
      <c r="OXP24" s="720"/>
      <c r="OXQ24" s="720"/>
      <c r="OXR24" s="720"/>
      <c r="OXS24" s="720"/>
      <c r="OXT24" s="720"/>
      <c r="OXU24" s="720"/>
      <c r="OXV24" s="720"/>
      <c r="OXW24" s="720"/>
      <c r="OXX24" s="720"/>
      <c r="OXY24" s="720"/>
      <c r="OXZ24" s="720"/>
      <c r="OYA24" s="720"/>
      <c r="OYB24" s="720"/>
      <c r="OYC24" s="720"/>
      <c r="OYD24" s="720"/>
      <c r="OYE24" s="720"/>
      <c r="OYF24" s="720"/>
      <c r="OYG24" s="720"/>
      <c r="OYH24" s="720"/>
      <c r="OYI24" s="720"/>
      <c r="OYJ24" s="720"/>
      <c r="OYK24" s="720"/>
      <c r="OYL24" s="720"/>
      <c r="OYM24" s="720"/>
      <c r="OYN24" s="720"/>
      <c r="OYO24" s="720"/>
      <c r="OYP24" s="720"/>
      <c r="OYQ24" s="720"/>
      <c r="OYR24" s="720"/>
      <c r="OYS24" s="720"/>
      <c r="OYT24" s="720"/>
      <c r="OYU24" s="720"/>
      <c r="OYV24" s="720"/>
      <c r="OYW24" s="720"/>
      <c r="OYX24" s="720"/>
      <c r="OYY24" s="720"/>
      <c r="OYZ24" s="720"/>
      <c r="OZA24" s="720"/>
      <c r="OZB24" s="720"/>
      <c r="OZC24" s="720"/>
      <c r="OZD24" s="720"/>
      <c r="OZE24" s="720"/>
      <c r="OZF24" s="720"/>
      <c r="OZG24" s="720"/>
      <c r="OZH24" s="720"/>
      <c r="OZI24" s="720"/>
      <c r="OZJ24" s="720"/>
      <c r="OZK24" s="720"/>
      <c r="OZL24" s="720"/>
      <c r="OZM24" s="720"/>
      <c r="OZN24" s="720"/>
      <c r="OZO24" s="720"/>
      <c r="OZP24" s="720"/>
      <c r="OZQ24" s="720"/>
      <c r="OZR24" s="720"/>
      <c r="OZS24" s="720"/>
      <c r="OZT24" s="720"/>
      <c r="OZU24" s="720"/>
      <c r="OZV24" s="720"/>
      <c r="OZW24" s="720"/>
      <c r="OZX24" s="720"/>
      <c r="OZY24" s="720"/>
      <c r="OZZ24" s="720"/>
      <c r="PAA24" s="720"/>
      <c r="PAB24" s="720"/>
      <c r="PAC24" s="720"/>
      <c r="PAD24" s="720"/>
      <c r="PAE24" s="720"/>
      <c r="PAF24" s="720"/>
      <c r="PAG24" s="720"/>
      <c r="PAH24" s="720"/>
      <c r="PAI24" s="720"/>
      <c r="PAJ24" s="720"/>
      <c r="PAK24" s="720"/>
      <c r="PAL24" s="720"/>
      <c r="PAM24" s="720"/>
      <c r="PAN24" s="720"/>
      <c r="PAO24" s="720"/>
      <c r="PAP24" s="720"/>
      <c r="PAQ24" s="720"/>
      <c r="PAR24" s="720"/>
      <c r="PAS24" s="720"/>
      <c r="PAT24" s="720"/>
      <c r="PAU24" s="720"/>
      <c r="PAV24" s="720"/>
      <c r="PAW24" s="720"/>
      <c r="PAX24" s="720"/>
      <c r="PAY24" s="720"/>
      <c r="PAZ24" s="720"/>
      <c r="PBA24" s="720"/>
      <c r="PBB24" s="720"/>
      <c r="PBC24" s="720"/>
      <c r="PBD24" s="720"/>
      <c r="PBE24" s="720"/>
      <c r="PBF24" s="720"/>
      <c r="PBG24" s="720"/>
      <c r="PBH24" s="720"/>
      <c r="PBI24" s="720"/>
      <c r="PBJ24" s="720"/>
      <c r="PBK24" s="720"/>
      <c r="PBL24" s="720"/>
      <c r="PBM24" s="720"/>
      <c r="PBN24" s="720"/>
      <c r="PBO24" s="720"/>
      <c r="PBP24" s="720"/>
      <c r="PBQ24" s="720"/>
      <c r="PBR24" s="720"/>
      <c r="PBS24" s="720"/>
      <c r="PBT24" s="720"/>
      <c r="PBU24" s="720"/>
      <c r="PBV24" s="720"/>
      <c r="PBW24" s="720"/>
      <c r="PBX24" s="720"/>
      <c r="PBY24" s="720"/>
      <c r="PBZ24" s="720"/>
      <c r="PCA24" s="720"/>
      <c r="PCB24" s="720"/>
      <c r="PCC24" s="720"/>
      <c r="PCD24" s="720"/>
      <c r="PCE24" s="720"/>
      <c r="PCF24" s="720"/>
      <c r="PCG24" s="720"/>
      <c r="PCH24" s="720"/>
      <c r="PCI24" s="720"/>
      <c r="PCJ24" s="720"/>
      <c r="PCK24" s="720"/>
      <c r="PCL24" s="720"/>
      <c r="PCM24" s="720"/>
      <c r="PCN24" s="720"/>
      <c r="PCO24" s="720"/>
      <c r="PCP24" s="720"/>
      <c r="PCQ24" s="720"/>
      <c r="PCR24" s="720"/>
      <c r="PCS24" s="720"/>
      <c r="PCT24" s="720"/>
      <c r="PCU24" s="720"/>
      <c r="PCV24" s="720"/>
      <c r="PCW24" s="720"/>
      <c r="PCX24" s="720"/>
      <c r="PCY24" s="720"/>
      <c r="PCZ24" s="720"/>
      <c r="PDA24" s="720"/>
      <c r="PDB24" s="720"/>
      <c r="PDC24" s="720"/>
      <c r="PDD24" s="720"/>
      <c r="PDE24" s="720"/>
      <c r="PDF24" s="720"/>
      <c r="PDG24" s="720"/>
      <c r="PDH24" s="720"/>
      <c r="PDI24" s="720"/>
      <c r="PDJ24" s="720"/>
      <c r="PDK24" s="720"/>
      <c r="PDL24" s="720"/>
      <c r="PDM24" s="720"/>
      <c r="PDN24" s="720"/>
      <c r="PDO24" s="720"/>
      <c r="PDP24" s="720"/>
      <c r="PDQ24" s="720"/>
      <c r="PDR24" s="720"/>
      <c r="PDS24" s="720"/>
      <c r="PDT24" s="720"/>
      <c r="PDU24" s="720"/>
      <c r="PDV24" s="720"/>
      <c r="PDW24" s="720"/>
      <c r="PDX24" s="720"/>
      <c r="PDY24" s="720"/>
      <c r="PDZ24" s="720"/>
      <c r="PEA24" s="720"/>
      <c r="PEB24" s="720"/>
      <c r="PEC24" s="720"/>
      <c r="PED24" s="720"/>
      <c r="PEE24" s="720"/>
      <c r="PEF24" s="720"/>
      <c r="PEG24" s="720"/>
      <c r="PEH24" s="720"/>
      <c r="PEI24" s="720"/>
      <c r="PEJ24" s="720"/>
      <c r="PEK24" s="720"/>
      <c r="PEL24" s="720"/>
      <c r="PEM24" s="720"/>
      <c r="PEN24" s="720"/>
      <c r="PEO24" s="720"/>
      <c r="PEP24" s="720"/>
      <c r="PEQ24" s="720"/>
      <c r="PER24" s="720"/>
      <c r="PES24" s="720"/>
      <c r="PET24" s="720"/>
      <c r="PEU24" s="720"/>
      <c r="PEV24" s="720"/>
      <c r="PEW24" s="720"/>
      <c r="PEX24" s="720"/>
      <c r="PEY24" s="720"/>
      <c r="PEZ24" s="720"/>
      <c r="PFA24" s="720"/>
      <c r="PFB24" s="720"/>
      <c r="PFC24" s="720"/>
      <c r="PFD24" s="720"/>
      <c r="PFE24" s="720"/>
      <c r="PFF24" s="720"/>
      <c r="PFG24" s="720"/>
      <c r="PFH24" s="720"/>
      <c r="PFI24" s="720"/>
      <c r="PFJ24" s="720"/>
      <c r="PFK24" s="720"/>
      <c r="PFL24" s="720"/>
      <c r="PFM24" s="720"/>
      <c r="PFN24" s="720"/>
      <c r="PFO24" s="720"/>
      <c r="PFP24" s="720"/>
      <c r="PFQ24" s="720"/>
      <c r="PFR24" s="720"/>
      <c r="PFS24" s="720"/>
      <c r="PFT24" s="720"/>
      <c r="PFU24" s="720"/>
      <c r="PFV24" s="720"/>
      <c r="PFW24" s="720"/>
      <c r="PFX24" s="720"/>
      <c r="PFY24" s="720"/>
      <c r="PFZ24" s="720"/>
      <c r="PGA24" s="720"/>
      <c r="PGB24" s="720"/>
      <c r="PGC24" s="720"/>
      <c r="PGD24" s="720"/>
      <c r="PGE24" s="720"/>
      <c r="PGF24" s="720"/>
      <c r="PGG24" s="720"/>
      <c r="PGH24" s="720"/>
      <c r="PGI24" s="720"/>
      <c r="PGJ24" s="720"/>
      <c r="PGK24" s="720"/>
      <c r="PGL24" s="720"/>
      <c r="PGM24" s="720"/>
      <c r="PGN24" s="720"/>
      <c r="PGO24" s="720"/>
      <c r="PGP24" s="720"/>
      <c r="PGQ24" s="720"/>
      <c r="PGR24" s="720"/>
      <c r="PGS24" s="720"/>
      <c r="PGT24" s="720"/>
      <c r="PGU24" s="720"/>
      <c r="PGV24" s="720"/>
      <c r="PGW24" s="720"/>
      <c r="PGX24" s="720"/>
      <c r="PGY24" s="720"/>
      <c r="PGZ24" s="720"/>
      <c r="PHA24" s="720"/>
      <c r="PHB24" s="720"/>
      <c r="PHC24" s="720"/>
      <c r="PHD24" s="720"/>
      <c r="PHE24" s="720"/>
      <c r="PHF24" s="720"/>
      <c r="PHG24" s="720"/>
      <c r="PHH24" s="720"/>
      <c r="PHI24" s="720"/>
      <c r="PHJ24" s="720"/>
      <c r="PHK24" s="720"/>
      <c r="PHL24" s="720"/>
      <c r="PHM24" s="720"/>
      <c r="PHN24" s="720"/>
      <c r="PHO24" s="720"/>
      <c r="PHP24" s="720"/>
      <c r="PHQ24" s="720"/>
      <c r="PHR24" s="720"/>
      <c r="PHS24" s="720"/>
      <c r="PHT24" s="720"/>
      <c r="PHU24" s="720"/>
      <c r="PHV24" s="720"/>
      <c r="PHW24" s="720"/>
      <c r="PHX24" s="720"/>
      <c r="PHY24" s="720"/>
      <c r="PHZ24" s="720"/>
      <c r="PIA24" s="720"/>
      <c r="PIB24" s="720"/>
      <c r="PIC24" s="720"/>
      <c r="PID24" s="720"/>
      <c r="PIE24" s="720"/>
      <c r="PIF24" s="720"/>
      <c r="PIG24" s="720"/>
      <c r="PIH24" s="720"/>
      <c r="PII24" s="720"/>
      <c r="PIJ24" s="720"/>
      <c r="PIK24" s="720"/>
      <c r="PIL24" s="720"/>
      <c r="PIM24" s="720"/>
      <c r="PIN24" s="720"/>
      <c r="PIO24" s="720"/>
      <c r="PIP24" s="720"/>
      <c r="PIQ24" s="720"/>
      <c r="PIR24" s="720"/>
      <c r="PIS24" s="720"/>
      <c r="PIT24" s="720"/>
      <c r="PIU24" s="720"/>
      <c r="PIV24" s="720"/>
      <c r="PIW24" s="720"/>
      <c r="PIX24" s="720"/>
      <c r="PIY24" s="720"/>
      <c r="PIZ24" s="720"/>
      <c r="PJA24" s="720"/>
      <c r="PJB24" s="720"/>
      <c r="PJC24" s="720"/>
      <c r="PJD24" s="720"/>
      <c r="PJE24" s="720"/>
      <c r="PJF24" s="720"/>
      <c r="PJG24" s="720"/>
      <c r="PJH24" s="720"/>
      <c r="PJI24" s="720"/>
      <c r="PJJ24" s="720"/>
      <c r="PJK24" s="720"/>
      <c r="PJL24" s="720"/>
      <c r="PJM24" s="720"/>
      <c r="PJN24" s="720"/>
      <c r="PJO24" s="720"/>
      <c r="PJP24" s="720"/>
      <c r="PJQ24" s="720"/>
      <c r="PJR24" s="720"/>
      <c r="PJS24" s="720"/>
      <c r="PJT24" s="720"/>
      <c r="PJU24" s="720"/>
      <c r="PJV24" s="720"/>
      <c r="PJW24" s="720"/>
      <c r="PJX24" s="720"/>
      <c r="PJY24" s="720"/>
      <c r="PJZ24" s="720"/>
      <c r="PKA24" s="720"/>
      <c r="PKB24" s="720"/>
      <c r="PKC24" s="720"/>
      <c r="PKD24" s="720"/>
      <c r="PKE24" s="720"/>
      <c r="PKF24" s="720"/>
      <c r="PKG24" s="720"/>
      <c r="PKH24" s="720"/>
      <c r="PKI24" s="720"/>
      <c r="PKJ24" s="720"/>
      <c r="PKK24" s="720"/>
      <c r="PKL24" s="720"/>
      <c r="PKM24" s="720"/>
      <c r="PKN24" s="720"/>
      <c r="PKO24" s="720"/>
      <c r="PKP24" s="720"/>
      <c r="PKQ24" s="720"/>
      <c r="PKR24" s="720"/>
      <c r="PKS24" s="720"/>
      <c r="PKT24" s="720"/>
      <c r="PKU24" s="720"/>
      <c r="PKV24" s="720"/>
      <c r="PKW24" s="720"/>
      <c r="PKX24" s="720"/>
      <c r="PKY24" s="720"/>
      <c r="PKZ24" s="720"/>
      <c r="PLA24" s="720"/>
      <c r="PLB24" s="720"/>
      <c r="PLC24" s="720"/>
      <c r="PLD24" s="720"/>
      <c r="PLE24" s="720"/>
      <c r="PLF24" s="720"/>
      <c r="PLG24" s="720"/>
      <c r="PLH24" s="720"/>
      <c r="PLI24" s="720"/>
      <c r="PLJ24" s="720"/>
      <c r="PLK24" s="720"/>
      <c r="PLL24" s="720"/>
      <c r="PLM24" s="720"/>
      <c r="PLN24" s="720"/>
      <c r="PLO24" s="720"/>
      <c r="PLP24" s="720"/>
      <c r="PLQ24" s="720"/>
      <c r="PLR24" s="720"/>
      <c r="PLS24" s="720"/>
      <c r="PLT24" s="720"/>
      <c r="PLU24" s="720"/>
      <c r="PLV24" s="720"/>
      <c r="PLW24" s="720"/>
      <c r="PLX24" s="720"/>
      <c r="PLY24" s="720"/>
      <c r="PLZ24" s="720"/>
      <c r="PMA24" s="720"/>
      <c r="PMB24" s="720"/>
      <c r="PMC24" s="720"/>
      <c r="PMD24" s="720"/>
      <c r="PME24" s="720"/>
      <c r="PMF24" s="720"/>
      <c r="PMG24" s="720"/>
      <c r="PMH24" s="720"/>
      <c r="PMI24" s="720"/>
      <c r="PMJ24" s="720"/>
      <c r="PMK24" s="720"/>
      <c r="PML24" s="720"/>
      <c r="PMM24" s="720"/>
      <c r="PMN24" s="720"/>
      <c r="PMO24" s="720"/>
      <c r="PMP24" s="720"/>
      <c r="PMQ24" s="720"/>
      <c r="PMR24" s="720"/>
      <c r="PMS24" s="720"/>
      <c r="PMT24" s="720"/>
      <c r="PMU24" s="720"/>
      <c r="PMV24" s="720"/>
      <c r="PMW24" s="720"/>
      <c r="PMX24" s="720"/>
      <c r="PMY24" s="720"/>
      <c r="PMZ24" s="720"/>
      <c r="PNA24" s="720"/>
      <c r="PNB24" s="720"/>
      <c r="PNC24" s="720"/>
      <c r="PND24" s="720"/>
      <c r="PNE24" s="720"/>
      <c r="PNF24" s="720"/>
      <c r="PNG24" s="720"/>
      <c r="PNH24" s="720"/>
      <c r="PNI24" s="720"/>
      <c r="PNJ24" s="720"/>
      <c r="PNK24" s="720"/>
      <c r="PNL24" s="720"/>
      <c r="PNM24" s="720"/>
      <c r="PNN24" s="720"/>
      <c r="PNO24" s="720"/>
      <c r="PNP24" s="720"/>
      <c r="PNQ24" s="720"/>
      <c r="PNR24" s="720"/>
      <c r="PNS24" s="720"/>
      <c r="PNT24" s="720"/>
      <c r="PNU24" s="720"/>
      <c r="PNV24" s="720"/>
      <c r="PNW24" s="720"/>
      <c r="PNX24" s="720"/>
      <c r="PNY24" s="720"/>
      <c r="PNZ24" s="720"/>
      <c r="POA24" s="720"/>
      <c r="POB24" s="720"/>
      <c r="POC24" s="720"/>
      <c r="POD24" s="720"/>
      <c r="POE24" s="720"/>
      <c r="POF24" s="720"/>
      <c r="POG24" s="720"/>
      <c r="POH24" s="720"/>
      <c r="POI24" s="720"/>
      <c r="POJ24" s="720"/>
      <c r="POK24" s="720"/>
      <c r="POL24" s="720"/>
      <c r="POM24" s="720"/>
      <c r="PON24" s="720"/>
      <c r="POO24" s="720"/>
      <c r="POP24" s="720"/>
      <c r="POQ24" s="720"/>
      <c r="POR24" s="720"/>
      <c r="POS24" s="720"/>
      <c r="POT24" s="720"/>
      <c r="POU24" s="720"/>
      <c r="POV24" s="720"/>
      <c r="POW24" s="720"/>
      <c r="POX24" s="720"/>
      <c r="POY24" s="720"/>
      <c r="POZ24" s="720"/>
      <c r="PPA24" s="720"/>
      <c r="PPB24" s="720"/>
      <c r="PPC24" s="720"/>
      <c r="PPD24" s="720"/>
      <c r="PPE24" s="720"/>
      <c r="PPF24" s="720"/>
      <c r="PPG24" s="720"/>
      <c r="PPH24" s="720"/>
      <c r="PPI24" s="720"/>
      <c r="PPJ24" s="720"/>
      <c r="PPK24" s="720"/>
      <c r="PPL24" s="720"/>
      <c r="PPM24" s="720"/>
      <c r="PPN24" s="720"/>
      <c r="PPO24" s="720"/>
      <c r="PPP24" s="720"/>
      <c r="PPQ24" s="720"/>
      <c r="PPR24" s="720"/>
      <c r="PPS24" s="720"/>
      <c r="PPT24" s="720"/>
      <c r="PPU24" s="720"/>
      <c r="PPV24" s="720"/>
      <c r="PPW24" s="720"/>
      <c r="PPX24" s="720"/>
      <c r="PPY24" s="720"/>
      <c r="PPZ24" s="720"/>
      <c r="PQA24" s="720"/>
      <c r="PQB24" s="720"/>
      <c r="PQC24" s="720"/>
      <c r="PQD24" s="720"/>
      <c r="PQE24" s="720"/>
      <c r="PQF24" s="720"/>
      <c r="PQG24" s="720"/>
      <c r="PQH24" s="720"/>
      <c r="PQI24" s="720"/>
      <c r="PQJ24" s="720"/>
      <c r="PQK24" s="720"/>
      <c r="PQL24" s="720"/>
      <c r="PQM24" s="720"/>
      <c r="PQN24" s="720"/>
      <c r="PQO24" s="720"/>
      <c r="PQP24" s="720"/>
      <c r="PQQ24" s="720"/>
      <c r="PQR24" s="720"/>
      <c r="PQS24" s="720"/>
      <c r="PQT24" s="720"/>
      <c r="PQU24" s="720"/>
      <c r="PQV24" s="720"/>
      <c r="PQW24" s="720"/>
      <c r="PQX24" s="720"/>
      <c r="PQY24" s="720"/>
      <c r="PQZ24" s="720"/>
      <c r="PRA24" s="720"/>
      <c r="PRB24" s="720"/>
      <c r="PRC24" s="720"/>
      <c r="PRD24" s="720"/>
      <c r="PRE24" s="720"/>
      <c r="PRF24" s="720"/>
      <c r="PRG24" s="720"/>
      <c r="PRH24" s="720"/>
      <c r="PRI24" s="720"/>
      <c r="PRJ24" s="720"/>
      <c r="PRK24" s="720"/>
      <c r="PRL24" s="720"/>
      <c r="PRM24" s="720"/>
      <c r="PRN24" s="720"/>
      <c r="PRO24" s="720"/>
      <c r="PRP24" s="720"/>
      <c r="PRQ24" s="720"/>
      <c r="PRR24" s="720"/>
      <c r="PRS24" s="720"/>
      <c r="PRT24" s="720"/>
      <c r="PRU24" s="720"/>
      <c r="PRV24" s="720"/>
      <c r="PRW24" s="720"/>
      <c r="PRX24" s="720"/>
      <c r="PRY24" s="720"/>
      <c r="PRZ24" s="720"/>
      <c r="PSA24" s="720"/>
      <c r="PSB24" s="720"/>
      <c r="PSC24" s="720"/>
      <c r="PSD24" s="720"/>
      <c r="PSE24" s="720"/>
      <c r="PSF24" s="720"/>
      <c r="PSG24" s="720"/>
      <c r="PSH24" s="720"/>
      <c r="PSI24" s="720"/>
      <c r="PSJ24" s="720"/>
      <c r="PSK24" s="720"/>
      <c r="PSL24" s="720"/>
      <c r="PSM24" s="720"/>
      <c r="PSN24" s="720"/>
      <c r="PSO24" s="720"/>
      <c r="PSP24" s="720"/>
      <c r="PSQ24" s="720"/>
      <c r="PSR24" s="720"/>
      <c r="PSS24" s="720"/>
      <c r="PST24" s="720"/>
      <c r="PSU24" s="720"/>
      <c r="PSV24" s="720"/>
      <c r="PSW24" s="720"/>
      <c r="PSX24" s="720"/>
      <c r="PSY24" s="720"/>
      <c r="PSZ24" s="720"/>
      <c r="PTA24" s="720"/>
      <c r="PTB24" s="720"/>
      <c r="PTC24" s="720"/>
      <c r="PTD24" s="720"/>
      <c r="PTE24" s="720"/>
      <c r="PTF24" s="720"/>
      <c r="PTG24" s="720"/>
      <c r="PTH24" s="720"/>
      <c r="PTI24" s="720"/>
      <c r="PTJ24" s="720"/>
      <c r="PTK24" s="720"/>
      <c r="PTL24" s="720"/>
      <c r="PTM24" s="720"/>
      <c r="PTN24" s="720"/>
      <c r="PTO24" s="720"/>
      <c r="PTP24" s="720"/>
      <c r="PTQ24" s="720"/>
      <c r="PTR24" s="720"/>
      <c r="PTS24" s="720"/>
      <c r="PTT24" s="720"/>
      <c r="PTU24" s="720"/>
      <c r="PTV24" s="720"/>
      <c r="PTW24" s="720"/>
      <c r="PTX24" s="720"/>
      <c r="PTY24" s="720"/>
      <c r="PTZ24" s="720"/>
      <c r="PUA24" s="720"/>
      <c r="PUB24" s="720"/>
      <c r="PUC24" s="720"/>
      <c r="PUD24" s="720"/>
      <c r="PUE24" s="720"/>
      <c r="PUF24" s="720"/>
      <c r="PUG24" s="720"/>
      <c r="PUH24" s="720"/>
      <c r="PUI24" s="720"/>
      <c r="PUJ24" s="720"/>
      <c r="PUK24" s="720"/>
      <c r="PUL24" s="720"/>
      <c r="PUM24" s="720"/>
      <c r="PUN24" s="720"/>
      <c r="PUO24" s="720"/>
      <c r="PUP24" s="720"/>
      <c r="PUQ24" s="720"/>
      <c r="PUR24" s="720"/>
      <c r="PUS24" s="720"/>
      <c r="PUT24" s="720"/>
      <c r="PUU24" s="720"/>
      <c r="PUV24" s="720"/>
      <c r="PUW24" s="720"/>
      <c r="PUX24" s="720"/>
      <c r="PUY24" s="720"/>
      <c r="PUZ24" s="720"/>
      <c r="PVA24" s="720"/>
      <c r="PVB24" s="720"/>
      <c r="PVC24" s="720"/>
      <c r="PVD24" s="720"/>
      <c r="PVE24" s="720"/>
      <c r="PVF24" s="720"/>
      <c r="PVG24" s="720"/>
      <c r="PVH24" s="720"/>
      <c r="PVI24" s="720"/>
      <c r="PVJ24" s="720"/>
      <c r="PVK24" s="720"/>
      <c r="PVL24" s="720"/>
      <c r="PVM24" s="720"/>
      <c r="PVN24" s="720"/>
      <c r="PVO24" s="720"/>
      <c r="PVP24" s="720"/>
      <c r="PVQ24" s="720"/>
      <c r="PVR24" s="720"/>
      <c r="PVS24" s="720"/>
      <c r="PVT24" s="720"/>
      <c r="PVU24" s="720"/>
      <c r="PVV24" s="720"/>
      <c r="PVW24" s="720"/>
      <c r="PVX24" s="720"/>
      <c r="PVY24" s="720"/>
      <c r="PVZ24" s="720"/>
      <c r="PWA24" s="720"/>
      <c r="PWB24" s="720"/>
      <c r="PWC24" s="720"/>
      <c r="PWD24" s="720"/>
      <c r="PWE24" s="720"/>
      <c r="PWF24" s="720"/>
      <c r="PWG24" s="720"/>
      <c r="PWH24" s="720"/>
      <c r="PWI24" s="720"/>
      <c r="PWJ24" s="720"/>
      <c r="PWK24" s="720"/>
      <c r="PWL24" s="720"/>
      <c r="PWM24" s="720"/>
      <c r="PWN24" s="720"/>
      <c r="PWO24" s="720"/>
      <c r="PWP24" s="720"/>
      <c r="PWQ24" s="720"/>
      <c r="PWR24" s="720"/>
      <c r="PWS24" s="720"/>
      <c r="PWT24" s="720"/>
      <c r="PWU24" s="720"/>
      <c r="PWV24" s="720"/>
      <c r="PWW24" s="720"/>
      <c r="PWX24" s="720"/>
      <c r="PWY24" s="720"/>
      <c r="PWZ24" s="720"/>
      <c r="PXA24" s="720"/>
      <c r="PXB24" s="720"/>
      <c r="PXC24" s="720"/>
      <c r="PXD24" s="720"/>
      <c r="PXE24" s="720"/>
      <c r="PXF24" s="720"/>
      <c r="PXG24" s="720"/>
      <c r="PXH24" s="720"/>
      <c r="PXI24" s="720"/>
      <c r="PXJ24" s="720"/>
      <c r="PXK24" s="720"/>
      <c r="PXL24" s="720"/>
      <c r="PXM24" s="720"/>
      <c r="PXN24" s="720"/>
      <c r="PXO24" s="720"/>
      <c r="PXP24" s="720"/>
      <c r="PXQ24" s="720"/>
      <c r="PXR24" s="720"/>
      <c r="PXS24" s="720"/>
      <c r="PXT24" s="720"/>
      <c r="PXU24" s="720"/>
      <c r="PXV24" s="720"/>
      <c r="PXW24" s="720"/>
      <c r="PXX24" s="720"/>
      <c r="PXY24" s="720"/>
      <c r="PXZ24" s="720"/>
      <c r="PYA24" s="720"/>
      <c r="PYB24" s="720"/>
      <c r="PYC24" s="720"/>
      <c r="PYD24" s="720"/>
      <c r="PYE24" s="720"/>
      <c r="PYF24" s="720"/>
      <c r="PYG24" s="720"/>
      <c r="PYH24" s="720"/>
      <c r="PYI24" s="720"/>
      <c r="PYJ24" s="720"/>
      <c r="PYK24" s="720"/>
      <c r="PYL24" s="720"/>
      <c r="PYM24" s="720"/>
      <c r="PYN24" s="720"/>
      <c r="PYO24" s="720"/>
      <c r="PYP24" s="720"/>
      <c r="PYQ24" s="720"/>
      <c r="PYR24" s="720"/>
      <c r="PYS24" s="720"/>
      <c r="PYT24" s="720"/>
      <c r="PYU24" s="720"/>
      <c r="PYV24" s="720"/>
      <c r="PYW24" s="720"/>
      <c r="PYX24" s="720"/>
      <c r="PYY24" s="720"/>
      <c r="PYZ24" s="720"/>
      <c r="PZA24" s="720"/>
      <c r="PZB24" s="720"/>
      <c r="PZC24" s="720"/>
      <c r="PZD24" s="720"/>
      <c r="PZE24" s="720"/>
      <c r="PZF24" s="720"/>
      <c r="PZG24" s="720"/>
      <c r="PZH24" s="720"/>
      <c r="PZI24" s="720"/>
      <c r="PZJ24" s="720"/>
      <c r="PZK24" s="720"/>
      <c r="PZL24" s="720"/>
      <c r="PZM24" s="720"/>
      <c r="PZN24" s="720"/>
      <c r="PZO24" s="720"/>
      <c r="PZP24" s="720"/>
      <c r="PZQ24" s="720"/>
      <c r="PZR24" s="720"/>
      <c r="PZS24" s="720"/>
      <c r="PZT24" s="720"/>
      <c r="PZU24" s="720"/>
      <c r="PZV24" s="720"/>
      <c r="PZW24" s="720"/>
      <c r="PZX24" s="720"/>
      <c r="PZY24" s="720"/>
      <c r="PZZ24" s="720"/>
      <c r="QAA24" s="720"/>
      <c r="QAB24" s="720"/>
      <c r="QAC24" s="720"/>
      <c r="QAD24" s="720"/>
      <c r="QAE24" s="720"/>
      <c r="QAF24" s="720"/>
      <c r="QAG24" s="720"/>
      <c r="QAH24" s="720"/>
      <c r="QAI24" s="720"/>
      <c r="QAJ24" s="720"/>
      <c r="QAK24" s="720"/>
      <c r="QAL24" s="720"/>
      <c r="QAM24" s="720"/>
      <c r="QAN24" s="720"/>
      <c r="QAO24" s="720"/>
      <c r="QAP24" s="720"/>
      <c r="QAQ24" s="720"/>
      <c r="QAR24" s="720"/>
      <c r="QAS24" s="720"/>
      <c r="QAT24" s="720"/>
      <c r="QAU24" s="720"/>
      <c r="QAV24" s="720"/>
      <c r="QAW24" s="720"/>
      <c r="QAX24" s="720"/>
      <c r="QAY24" s="720"/>
      <c r="QAZ24" s="720"/>
      <c r="QBA24" s="720"/>
      <c r="QBB24" s="720"/>
      <c r="QBC24" s="720"/>
      <c r="QBD24" s="720"/>
      <c r="QBE24" s="720"/>
      <c r="QBF24" s="720"/>
      <c r="QBG24" s="720"/>
      <c r="QBH24" s="720"/>
      <c r="QBI24" s="720"/>
      <c r="QBJ24" s="720"/>
      <c r="QBK24" s="720"/>
      <c r="QBL24" s="720"/>
      <c r="QBM24" s="720"/>
      <c r="QBN24" s="720"/>
      <c r="QBO24" s="720"/>
      <c r="QBP24" s="720"/>
      <c r="QBQ24" s="720"/>
      <c r="QBR24" s="720"/>
      <c r="QBS24" s="720"/>
      <c r="QBT24" s="720"/>
      <c r="QBU24" s="720"/>
      <c r="QBV24" s="720"/>
      <c r="QBW24" s="720"/>
      <c r="QBX24" s="720"/>
      <c r="QBY24" s="720"/>
      <c r="QBZ24" s="720"/>
      <c r="QCA24" s="720"/>
      <c r="QCB24" s="720"/>
      <c r="QCC24" s="720"/>
      <c r="QCD24" s="720"/>
      <c r="QCE24" s="720"/>
      <c r="QCF24" s="720"/>
      <c r="QCG24" s="720"/>
      <c r="QCH24" s="720"/>
      <c r="QCI24" s="720"/>
      <c r="QCJ24" s="720"/>
      <c r="QCK24" s="720"/>
      <c r="QCL24" s="720"/>
      <c r="QCM24" s="720"/>
      <c r="QCN24" s="720"/>
      <c r="QCO24" s="720"/>
      <c r="QCP24" s="720"/>
      <c r="QCQ24" s="720"/>
      <c r="QCR24" s="720"/>
      <c r="QCS24" s="720"/>
      <c r="QCT24" s="720"/>
      <c r="QCU24" s="720"/>
      <c r="QCV24" s="720"/>
      <c r="QCW24" s="720"/>
      <c r="QCX24" s="720"/>
      <c r="QCY24" s="720"/>
      <c r="QCZ24" s="720"/>
      <c r="QDA24" s="720"/>
      <c r="QDB24" s="720"/>
      <c r="QDC24" s="720"/>
      <c r="QDD24" s="720"/>
      <c r="QDE24" s="720"/>
      <c r="QDF24" s="720"/>
      <c r="QDG24" s="720"/>
      <c r="QDH24" s="720"/>
      <c r="QDI24" s="720"/>
      <c r="QDJ24" s="720"/>
      <c r="QDK24" s="720"/>
      <c r="QDL24" s="720"/>
      <c r="QDM24" s="720"/>
      <c r="QDN24" s="720"/>
      <c r="QDO24" s="720"/>
      <c r="QDP24" s="720"/>
      <c r="QDQ24" s="720"/>
      <c r="QDR24" s="720"/>
      <c r="QDS24" s="720"/>
      <c r="QDT24" s="720"/>
      <c r="QDU24" s="720"/>
      <c r="QDV24" s="720"/>
      <c r="QDW24" s="720"/>
      <c r="QDX24" s="720"/>
      <c r="QDY24" s="720"/>
      <c r="QDZ24" s="720"/>
      <c r="QEA24" s="720"/>
      <c r="QEB24" s="720"/>
      <c r="QEC24" s="720"/>
      <c r="QED24" s="720"/>
      <c r="QEE24" s="720"/>
      <c r="QEF24" s="720"/>
      <c r="QEG24" s="720"/>
      <c r="QEH24" s="720"/>
      <c r="QEI24" s="720"/>
      <c r="QEJ24" s="720"/>
      <c r="QEK24" s="720"/>
      <c r="QEL24" s="720"/>
      <c r="QEM24" s="720"/>
      <c r="QEN24" s="720"/>
      <c r="QEO24" s="720"/>
      <c r="QEP24" s="720"/>
      <c r="QEQ24" s="720"/>
      <c r="QER24" s="720"/>
      <c r="QES24" s="720"/>
      <c r="QET24" s="720"/>
      <c r="QEU24" s="720"/>
      <c r="QEV24" s="720"/>
      <c r="QEW24" s="720"/>
      <c r="QEX24" s="720"/>
      <c r="QEY24" s="720"/>
      <c r="QEZ24" s="720"/>
      <c r="QFA24" s="720"/>
      <c r="QFB24" s="720"/>
      <c r="QFC24" s="720"/>
      <c r="QFD24" s="720"/>
      <c r="QFE24" s="720"/>
      <c r="QFF24" s="720"/>
      <c r="QFG24" s="720"/>
      <c r="QFH24" s="720"/>
      <c r="QFI24" s="720"/>
      <c r="QFJ24" s="720"/>
      <c r="QFK24" s="720"/>
      <c r="QFL24" s="720"/>
      <c r="QFM24" s="720"/>
      <c r="QFN24" s="720"/>
      <c r="QFO24" s="720"/>
      <c r="QFP24" s="720"/>
      <c r="QFQ24" s="720"/>
      <c r="QFR24" s="720"/>
      <c r="QFS24" s="720"/>
      <c r="QFT24" s="720"/>
      <c r="QFU24" s="720"/>
      <c r="QFV24" s="720"/>
      <c r="QFW24" s="720"/>
      <c r="QFX24" s="720"/>
      <c r="QFY24" s="720"/>
      <c r="QFZ24" s="720"/>
      <c r="QGA24" s="720"/>
      <c r="QGB24" s="720"/>
      <c r="QGC24" s="720"/>
      <c r="QGD24" s="720"/>
      <c r="QGE24" s="720"/>
      <c r="QGF24" s="720"/>
      <c r="QGG24" s="720"/>
      <c r="QGH24" s="720"/>
      <c r="QGI24" s="720"/>
      <c r="QGJ24" s="720"/>
      <c r="QGK24" s="720"/>
      <c r="QGL24" s="720"/>
      <c r="QGM24" s="720"/>
      <c r="QGN24" s="720"/>
      <c r="QGO24" s="720"/>
      <c r="QGP24" s="720"/>
      <c r="QGQ24" s="720"/>
      <c r="QGR24" s="720"/>
      <c r="QGS24" s="720"/>
      <c r="QGT24" s="720"/>
      <c r="QGU24" s="720"/>
      <c r="QGV24" s="720"/>
      <c r="QGW24" s="720"/>
      <c r="QGX24" s="720"/>
      <c r="QGY24" s="720"/>
      <c r="QGZ24" s="720"/>
      <c r="QHA24" s="720"/>
      <c r="QHB24" s="720"/>
      <c r="QHC24" s="720"/>
      <c r="QHD24" s="720"/>
      <c r="QHE24" s="720"/>
      <c r="QHF24" s="720"/>
      <c r="QHG24" s="720"/>
      <c r="QHH24" s="720"/>
      <c r="QHI24" s="720"/>
      <c r="QHJ24" s="720"/>
      <c r="QHK24" s="720"/>
      <c r="QHL24" s="720"/>
      <c r="QHM24" s="720"/>
      <c r="QHN24" s="720"/>
      <c r="QHO24" s="720"/>
      <c r="QHP24" s="720"/>
      <c r="QHQ24" s="720"/>
      <c r="QHR24" s="720"/>
      <c r="QHS24" s="720"/>
      <c r="QHT24" s="720"/>
      <c r="QHU24" s="720"/>
      <c r="QHV24" s="720"/>
      <c r="QHW24" s="720"/>
      <c r="QHX24" s="720"/>
      <c r="QHY24" s="720"/>
      <c r="QHZ24" s="720"/>
      <c r="QIA24" s="720"/>
      <c r="QIB24" s="720"/>
      <c r="QIC24" s="720"/>
      <c r="QID24" s="720"/>
      <c r="QIE24" s="720"/>
      <c r="QIF24" s="720"/>
      <c r="QIG24" s="720"/>
      <c r="QIH24" s="720"/>
      <c r="QII24" s="720"/>
      <c r="QIJ24" s="720"/>
      <c r="QIK24" s="720"/>
      <c r="QIL24" s="720"/>
      <c r="QIM24" s="720"/>
      <c r="QIN24" s="720"/>
      <c r="QIO24" s="720"/>
      <c r="QIP24" s="720"/>
      <c r="QIQ24" s="720"/>
      <c r="QIR24" s="720"/>
      <c r="QIS24" s="720"/>
      <c r="QIT24" s="720"/>
      <c r="QIU24" s="720"/>
      <c r="QIV24" s="720"/>
      <c r="QIW24" s="720"/>
      <c r="QIX24" s="720"/>
      <c r="QIY24" s="720"/>
      <c r="QIZ24" s="720"/>
      <c r="QJA24" s="720"/>
      <c r="QJB24" s="720"/>
      <c r="QJC24" s="720"/>
      <c r="QJD24" s="720"/>
      <c r="QJE24" s="720"/>
      <c r="QJF24" s="720"/>
      <c r="QJG24" s="720"/>
      <c r="QJH24" s="720"/>
      <c r="QJI24" s="720"/>
      <c r="QJJ24" s="720"/>
      <c r="QJK24" s="720"/>
      <c r="QJL24" s="720"/>
      <c r="QJM24" s="720"/>
      <c r="QJN24" s="720"/>
      <c r="QJO24" s="720"/>
      <c r="QJP24" s="720"/>
      <c r="QJQ24" s="720"/>
      <c r="QJR24" s="720"/>
      <c r="QJS24" s="720"/>
      <c r="QJT24" s="720"/>
      <c r="QJU24" s="720"/>
      <c r="QJV24" s="720"/>
      <c r="QJW24" s="720"/>
      <c r="QJX24" s="720"/>
      <c r="QJY24" s="720"/>
      <c r="QJZ24" s="720"/>
      <c r="QKA24" s="720"/>
      <c r="QKB24" s="720"/>
      <c r="QKC24" s="720"/>
      <c r="QKD24" s="720"/>
      <c r="QKE24" s="720"/>
      <c r="QKF24" s="720"/>
      <c r="QKG24" s="720"/>
      <c r="QKH24" s="720"/>
      <c r="QKI24" s="720"/>
      <c r="QKJ24" s="720"/>
      <c r="QKK24" s="720"/>
      <c r="QKL24" s="720"/>
      <c r="QKM24" s="720"/>
      <c r="QKN24" s="720"/>
      <c r="QKO24" s="720"/>
      <c r="QKP24" s="720"/>
      <c r="QKQ24" s="720"/>
      <c r="QKR24" s="720"/>
      <c r="QKS24" s="720"/>
      <c r="QKT24" s="720"/>
      <c r="QKU24" s="720"/>
      <c r="QKV24" s="720"/>
      <c r="QKW24" s="720"/>
      <c r="QKX24" s="720"/>
      <c r="QKY24" s="720"/>
      <c r="QKZ24" s="720"/>
      <c r="QLA24" s="720"/>
      <c r="QLB24" s="720"/>
      <c r="QLC24" s="720"/>
      <c r="QLD24" s="720"/>
      <c r="QLE24" s="720"/>
      <c r="QLF24" s="720"/>
      <c r="QLG24" s="720"/>
      <c r="QLH24" s="720"/>
      <c r="QLI24" s="720"/>
      <c r="QLJ24" s="720"/>
      <c r="QLK24" s="720"/>
      <c r="QLL24" s="720"/>
      <c r="QLM24" s="720"/>
      <c r="QLN24" s="720"/>
      <c r="QLO24" s="720"/>
      <c r="QLP24" s="720"/>
      <c r="QLQ24" s="720"/>
      <c r="QLR24" s="720"/>
      <c r="QLS24" s="720"/>
      <c r="QLT24" s="720"/>
      <c r="QLU24" s="720"/>
      <c r="QLV24" s="720"/>
      <c r="QLW24" s="720"/>
      <c r="QLX24" s="720"/>
      <c r="QLY24" s="720"/>
      <c r="QLZ24" s="720"/>
      <c r="QMA24" s="720"/>
      <c r="QMB24" s="720"/>
      <c r="QMC24" s="720"/>
      <c r="QMD24" s="720"/>
      <c r="QME24" s="720"/>
      <c r="QMF24" s="720"/>
      <c r="QMG24" s="720"/>
      <c r="QMH24" s="720"/>
      <c r="QMI24" s="720"/>
      <c r="QMJ24" s="720"/>
      <c r="QMK24" s="720"/>
      <c r="QML24" s="720"/>
      <c r="QMM24" s="720"/>
      <c r="QMN24" s="720"/>
      <c r="QMO24" s="720"/>
      <c r="QMP24" s="720"/>
      <c r="QMQ24" s="720"/>
      <c r="QMR24" s="720"/>
      <c r="QMS24" s="720"/>
      <c r="QMT24" s="720"/>
      <c r="QMU24" s="720"/>
      <c r="QMV24" s="720"/>
      <c r="QMW24" s="720"/>
      <c r="QMX24" s="720"/>
      <c r="QMY24" s="720"/>
      <c r="QMZ24" s="720"/>
      <c r="QNA24" s="720"/>
      <c r="QNB24" s="720"/>
      <c r="QNC24" s="720"/>
      <c r="QND24" s="720"/>
      <c r="QNE24" s="720"/>
      <c r="QNF24" s="720"/>
      <c r="QNG24" s="720"/>
      <c r="QNH24" s="720"/>
      <c r="QNI24" s="720"/>
      <c r="QNJ24" s="720"/>
      <c r="QNK24" s="720"/>
      <c r="QNL24" s="720"/>
      <c r="QNM24" s="720"/>
      <c r="QNN24" s="720"/>
      <c r="QNO24" s="720"/>
      <c r="QNP24" s="720"/>
      <c r="QNQ24" s="720"/>
      <c r="QNR24" s="720"/>
      <c r="QNS24" s="720"/>
      <c r="QNT24" s="720"/>
      <c r="QNU24" s="720"/>
      <c r="QNV24" s="720"/>
      <c r="QNW24" s="720"/>
      <c r="QNX24" s="720"/>
      <c r="QNY24" s="720"/>
      <c r="QNZ24" s="720"/>
      <c r="QOA24" s="720"/>
      <c r="QOB24" s="720"/>
      <c r="QOC24" s="720"/>
      <c r="QOD24" s="720"/>
      <c r="QOE24" s="720"/>
      <c r="QOF24" s="720"/>
      <c r="QOG24" s="720"/>
      <c r="QOH24" s="720"/>
      <c r="QOI24" s="720"/>
      <c r="QOJ24" s="720"/>
      <c r="QOK24" s="720"/>
      <c r="QOL24" s="720"/>
      <c r="QOM24" s="720"/>
      <c r="QON24" s="720"/>
      <c r="QOO24" s="720"/>
      <c r="QOP24" s="720"/>
      <c r="QOQ24" s="720"/>
      <c r="QOR24" s="720"/>
      <c r="QOS24" s="720"/>
      <c r="QOT24" s="720"/>
      <c r="QOU24" s="720"/>
      <c r="QOV24" s="720"/>
      <c r="QOW24" s="720"/>
      <c r="QOX24" s="720"/>
      <c r="QOY24" s="720"/>
      <c r="QOZ24" s="720"/>
      <c r="QPA24" s="720"/>
      <c r="QPB24" s="720"/>
      <c r="QPC24" s="720"/>
      <c r="QPD24" s="720"/>
      <c r="QPE24" s="720"/>
      <c r="QPF24" s="720"/>
      <c r="QPG24" s="720"/>
      <c r="QPH24" s="720"/>
      <c r="QPI24" s="720"/>
      <c r="QPJ24" s="720"/>
      <c r="QPK24" s="720"/>
      <c r="QPL24" s="720"/>
      <c r="QPM24" s="720"/>
      <c r="QPN24" s="720"/>
      <c r="QPO24" s="720"/>
      <c r="QPP24" s="720"/>
      <c r="QPQ24" s="720"/>
      <c r="QPR24" s="720"/>
      <c r="QPS24" s="720"/>
      <c r="QPT24" s="720"/>
      <c r="QPU24" s="720"/>
      <c r="QPV24" s="720"/>
      <c r="QPW24" s="720"/>
      <c r="QPX24" s="720"/>
      <c r="QPY24" s="720"/>
      <c r="QPZ24" s="720"/>
      <c r="QQA24" s="720"/>
      <c r="QQB24" s="720"/>
      <c r="QQC24" s="720"/>
      <c r="QQD24" s="720"/>
      <c r="QQE24" s="720"/>
      <c r="QQF24" s="720"/>
      <c r="QQG24" s="720"/>
      <c r="QQH24" s="720"/>
      <c r="QQI24" s="720"/>
      <c r="QQJ24" s="720"/>
      <c r="QQK24" s="720"/>
      <c r="QQL24" s="720"/>
      <c r="QQM24" s="720"/>
      <c r="QQN24" s="720"/>
      <c r="QQO24" s="720"/>
      <c r="QQP24" s="720"/>
      <c r="QQQ24" s="720"/>
      <c r="QQR24" s="720"/>
      <c r="QQS24" s="720"/>
      <c r="QQT24" s="720"/>
      <c r="QQU24" s="720"/>
      <c r="QQV24" s="720"/>
      <c r="QQW24" s="720"/>
      <c r="QQX24" s="720"/>
      <c r="QQY24" s="720"/>
      <c r="QQZ24" s="720"/>
      <c r="QRA24" s="720"/>
      <c r="QRB24" s="720"/>
      <c r="QRC24" s="720"/>
      <c r="QRD24" s="720"/>
      <c r="QRE24" s="720"/>
      <c r="QRF24" s="720"/>
      <c r="QRG24" s="720"/>
      <c r="QRH24" s="720"/>
      <c r="QRI24" s="720"/>
      <c r="QRJ24" s="720"/>
      <c r="QRK24" s="720"/>
      <c r="QRL24" s="720"/>
      <c r="QRM24" s="720"/>
      <c r="QRN24" s="720"/>
      <c r="QRO24" s="720"/>
      <c r="QRP24" s="720"/>
      <c r="QRQ24" s="720"/>
      <c r="QRR24" s="720"/>
      <c r="QRS24" s="720"/>
      <c r="QRT24" s="720"/>
      <c r="QRU24" s="720"/>
      <c r="QRV24" s="720"/>
      <c r="QRW24" s="720"/>
      <c r="QRX24" s="720"/>
      <c r="QRY24" s="720"/>
      <c r="QRZ24" s="720"/>
      <c r="QSA24" s="720"/>
      <c r="QSB24" s="720"/>
      <c r="QSC24" s="720"/>
      <c r="QSD24" s="720"/>
      <c r="QSE24" s="720"/>
      <c r="QSF24" s="720"/>
      <c r="QSG24" s="720"/>
      <c r="QSH24" s="720"/>
      <c r="QSI24" s="720"/>
      <c r="QSJ24" s="720"/>
      <c r="QSK24" s="720"/>
      <c r="QSL24" s="720"/>
      <c r="QSM24" s="720"/>
      <c r="QSN24" s="720"/>
      <c r="QSO24" s="720"/>
      <c r="QSP24" s="720"/>
      <c r="QSQ24" s="720"/>
      <c r="QSR24" s="720"/>
      <c r="QSS24" s="720"/>
      <c r="QST24" s="720"/>
      <c r="QSU24" s="720"/>
      <c r="QSV24" s="720"/>
      <c r="QSW24" s="720"/>
      <c r="QSX24" s="720"/>
      <c r="QSY24" s="720"/>
      <c r="QSZ24" s="720"/>
      <c r="QTA24" s="720"/>
      <c r="QTB24" s="720"/>
      <c r="QTC24" s="720"/>
      <c r="QTD24" s="720"/>
      <c r="QTE24" s="720"/>
      <c r="QTF24" s="720"/>
      <c r="QTG24" s="720"/>
      <c r="QTH24" s="720"/>
      <c r="QTI24" s="720"/>
      <c r="QTJ24" s="720"/>
      <c r="QTK24" s="720"/>
      <c r="QTL24" s="720"/>
      <c r="QTM24" s="720"/>
      <c r="QTN24" s="720"/>
      <c r="QTO24" s="720"/>
      <c r="QTP24" s="720"/>
      <c r="QTQ24" s="720"/>
      <c r="QTR24" s="720"/>
      <c r="QTS24" s="720"/>
      <c r="QTT24" s="720"/>
      <c r="QTU24" s="720"/>
      <c r="QTV24" s="720"/>
      <c r="QTW24" s="720"/>
      <c r="QTX24" s="720"/>
      <c r="QTY24" s="720"/>
      <c r="QTZ24" s="720"/>
      <c r="QUA24" s="720"/>
      <c r="QUB24" s="720"/>
      <c r="QUC24" s="720"/>
      <c r="QUD24" s="720"/>
      <c r="QUE24" s="720"/>
      <c r="QUF24" s="720"/>
      <c r="QUG24" s="720"/>
      <c r="QUH24" s="720"/>
      <c r="QUI24" s="720"/>
      <c r="QUJ24" s="720"/>
      <c r="QUK24" s="720"/>
      <c r="QUL24" s="720"/>
      <c r="QUM24" s="720"/>
      <c r="QUN24" s="720"/>
      <c r="QUO24" s="720"/>
      <c r="QUP24" s="720"/>
      <c r="QUQ24" s="720"/>
      <c r="QUR24" s="720"/>
      <c r="QUS24" s="720"/>
      <c r="QUT24" s="720"/>
      <c r="QUU24" s="720"/>
      <c r="QUV24" s="720"/>
      <c r="QUW24" s="720"/>
      <c r="QUX24" s="720"/>
      <c r="QUY24" s="720"/>
      <c r="QUZ24" s="720"/>
      <c r="QVA24" s="720"/>
      <c r="QVB24" s="720"/>
      <c r="QVC24" s="720"/>
      <c r="QVD24" s="720"/>
      <c r="QVE24" s="720"/>
      <c r="QVF24" s="720"/>
      <c r="QVG24" s="720"/>
      <c r="QVH24" s="720"/>
      <c r="QVI24" s="720"/>
      <c r="QVJ24" s="720"/>
      <c r="QVK24" s="720"/>
      <c r="QVL24" s="720"/>
      <c r="QVM24" s="720"/>
      <c r="QVN24" s="720"/>
      <c r="QVO24" s="720"/>
      <c r="QVP24" s="720"/>
      <c r="QVQ24" s="720"/>
      <c r="QVR24" s="720"/>
      <c r="QVS24" s="720"/>
      <c r="QVT24" s="720"/>
      <c r="QVU24" s="720"/>
      <c r="QVV24" s="720"/>
      <c r="QVW24" s="720"/>
      <c r="QVX24" s="720"/>
      <c r="QVY24" s="720"/>
      <c r="QVZ24" s="720"/>
      <c r="QWA24" s="720"/>
      <c r="QWB24" s="720"/>
      <c r="QWC24" s="720"/>
      <c r="QWD24" s="720"/>
      <c r="QWE24" s="720"/>
      <c r="QWF24" s="720"/>
      <c r="QWG24" s="720"/>
      <c r="QWH24" s="720"/>
      <c r="QWI24" s="720"/>
      <c r="QWJ24" s="720"/>
      <c r="QWK24" s="720"/>
      <c r="QWL24" s="720"/>
      <c r="QWM24" s="720"/>
      <c r="QWN24" s="720"/>
      <c r="QWO24" s="720"/>
      <c r="QWP24" s="720"/>
      <c r="QWQ24" s="720"/>
      <c r="QWR24" s="720"/>
      <c r="QWS24" s="720"/>
      <c r="QWT24" s="720"/>
      <c r="QWU24" s="720"/>
      <c r="QWV24" s="720"/>
      <c r="QWW24" s="720"/>
      <c r="QWX24" s="720"/>
      <c r="QWY24" s="720"/>
      <c r="QWZ24" s="720"/>
      <c r="QXA24" s="720"/>
      <c r="QXB24" s="720"/>
      <c r="QXC24" s="720"/>
      <c r="QXD24" s="720"/>
      <c r="QXE24" s="720"/>
      <c r="QXF24" s="720"/>
      <c r="QXG24" s="720"/>
      <c r="QXH24" s="720"/>
      <c r="QXI24" s="720"/>
      <c r="QXJ24" s="720"/>
      <c r="QXK24" s="720"/>
      <c r="QXL24" s="720"/>
      <c r="QXM24" s="720"/>
      <c r="QXN24" s="720"/>
      <c r="QXO24" s="720"/>
      <c r="QXP24" s="720"/>
      <c r="QXQ24" s="720"/>
      <c r="QXR24" s="720"/>
      <c r="QXS24" s="720"/>
      <c r="QXT24" s="720"/>
      <c r="QXU24" s="720"/>
      <c r="QXV24" s="720"/>
      <c r="QXW24" s="720"/>
      <c r="QXX24" s="720"/>
      <c r="QXY24" s="720"/>
      <c r="QXZ24" s="720"/>
      <c r="QYA24" s="720"/>
      <c r="QYB24" s="720"/>
      <c r="QYC24" s="720"/>
      <c r="QYD24" s="720"/>
      <c r="QYE24" s="720"/>
      <c r="QYF24" s="720"/>
      <c r="QYG24" s="720"/>
      <c r="QYH24" s="720"/>
      <c r="QYI24" s="720"/>
      <c r="QYJ24" s="720"/>
      <c r="QYK24" s="720"/>
      <c r="QYL24" s="720"/>
      <c r="QYM24" s="720"/>
      <c r="QYN24" s="720"/>
      <c r="QYO24" s="720"/>
      <c r="QYP24" s="720"/>
      <c r="QYQ24" s="720"/>
      <c r="QYR24" s="720"/>
      <c r="QYS24" s="720"/>
      <c r="QYT24" s="720"/>
      <c r="QYU24" s="720"/>
      <c r="QYV24" s="720"/>
      <c r="QYW24" s="720"/>
      <c r="QYX24" s="720"/>
      <c r="QYY24" s="720"/>
      <c r="QYZ24" s="720"/>
      <c r="QZA24" s="720"/>
      <c r="QZB24" s="720"/>
      <c r="QZC24" s="720"/>
      <c r="QZD24" s="720"/>
      <c r="QZE24" s="720"/>
      <c r="QZF24" s="720"/>
      <c r="QZG24" s="720"/>
      <c r="QZH24" s="720"/>
      <c r="QZI24" s="720"/>
      <c r="QZJ24" s="720"/>
      <c r="QZK24" s="720"/>
      <c r="QZL24" s="720"/>
      <c r="QZM24" s="720"/>
      <c r="QZN24" s="720"/>
      <c r="QZO24" s="720"/>
      <c r="QZP24" s="720"/>
      <c r="QZQ24" s="720"/>
      <c r="QZR24" s="720"/>
      <c r="QZS24" s="720"/>
      <c r="QZT24" s="720"/>
      <c r="QZU24" s="720"/>
      <c r="QZV24" s="720"/>
      <c r="QZW24" s="720"/>
      <c r="QZX24" s="720"/>
      <c r="QZY24" s="720"/>
      <c r="QZZ24" s="720"/>
      <c r="RAA24" s="720"/>
      <c r="RAB24" s="720"/>
      <c r="RAC24" s="720"/>
      <c r="RAD24" s="720"/>
      <c r="RAE24" s="720"/>
      <c r="RAF24" s="720"/>
      <c r="RAG24" s="720"/>
      <c r="RAH24" s="720"/>
      <c r="RAI24" s="720"/>
      <c r="RAJ24" s="720"/>
      <c r="RAK24" s="720"/>
      <c r="RAL24" s="720"/>
      <c r="RAM24" s="720"/>
      <c r="RAN24" s="720"/>
      <c r="RAO24" s="720"/>
      <c r="RAP24" s="720"/>
      <c r="RAQ24" s="720"/>
      <c r="RAR24" s="720"/>
      <c r="RAS24" s="720"/>
      <c r="RAT24" s="720"/>
      <c r="RAU24" s="720"/>
      <c r="RAV24" s="720"/>
      <c r="RAW24" s="720"/>
      <c r="RAX24" s="720"/>
      <c r="RAY24" s="720"/>
      <c r="RAZ24" s="720"/>
      <c r="RBA24" s="720"/>
      <c r="RBB24" s="720"/>
      <c r="RBC24" s="720"/>
      <c r="RBD24" s="720"/>
      <c r="RBE24" s="720"/>
      <c r="RBF24" s="720"/>
      <c r="RBG24" s="720"/>
      <c r="RBH24" s="720"/>
      <c r="RBI24" s="720"/>
      <c r="RBJ24" s="720"/>
      <c r="RBK24" s="720"/>
      <c r="RBL24" s="720"/>
      <c r="RBM24" s="720"/>
      <c r="RBN24" s="720"/>
      <c r="RBO24" s="720"/>
      <c r="RBP24" s="720"/>
      <c r="RBQ24" s="720"/>
      <c r="RBR24" s="720"/>
      <c r="RBS24" s="720"/>
      <c r="RBT24" s="720"/>
      <c r="RBU24" s="720"/>
      <c r="RBV24" s="720"/>
      <c r="RBW24" s="720"/>
      <c r="RBX24" s="720"/>
      <c r="RBY24" s="720"/>
      <c r="RBZ24" s="720"/>
      <c r="RCA24" s="720"/>
      <c r="RCB24" s="720"/>
      <c r="RCC24" s="720"/>
      <c r="RCD24" s="720"/>
      <c r="RCE24" s="720"/>
      <c r="RCF24" s="720"/>
      <c r="RCG24" s="720"/>
      <c r="RCH24" s="720"/>
      <c r="RCI24" s="720"/>
      <c r="RCJ24" s="720"/>
      <c r="RCK24" s="720"/>
      <c r="RCL24" s="720"/>
      <c r="RCM24" s="720"/>
      <c r="RCN24" s="720"/>
      <c r="RCO24" s="720"/>
      <c r="RCP24" s="720"/>
      <c r="RCQ24" s="720"/>
      <c r="RCR24" s="720"/>
      <c r="RCS24" s="720"/>
      <c r="RCT24" s="720"/>
      <c r="RCU24" s="720"/>
      <c r="RCV24" s="720"/>
      <c r="RCW24" s="720"/>
      <c r="RCX24" s="720"/>
      <c r="RCY24" s="720"/>
      <c r="RCZ24" s="720"/>
      <c r="RDA24" s="720"/>
      <c r="RDB24" s="720"/>
      <c r="RDC24" s="720"/>
      <c r="RDD24" s="720"/>
      <c r="RDE24" s="720"/>
      <c r="RDF24" s="720"/>
      <c r="RDG24" s="720"/>
      <c r="RDH24" s="720"/>
      <c r="RDI24" s="720"/>
      <c r="RDJ24" s="720"/>
      <c r="RDK24" s="720"/>
      <c r="RDL24" s="720"/>
      <c r="RDM24" s="720"/>
      <c r="RDN24" s="720"/>
      <c r="RDO24" s="720"/>
      <c r="RDP24" s="720"/>
      <c r="RDQ24" s="720"/>
      <c r="RDR24" s="720"/>
      <c r="RDS24" s="720"/>
      <c r="RDT24" s="720"/>
      <c r="RDU24" s="720"/>
      <c r="RDV24" s="720"/>
      <c r="RDW24" s="720"/>
      <c r="RDX24" s="720"/>
      <c r="RDY24" s="720"/>
      <c r="RDZ24" s="720"/>
      <c r="REA24" s="720"/>
      <c r="REB24" s="720"/>
      <c r="REC24" s="720"/>
      <c r="RED24" s="720"/>
      <c r="REE24" s="720"/>
      <c r="REF24" s="720"/>
      <c r="REG24" s="720"/>
      <c r="REH24" s="720"/>
      <c r="REI24" s="720"/>
      <c r="REJ24" s="720"/>
      <c r="REK24" s="720"/>
      <c r="REL24" s="720"/>
      <c r="REM24" s="720"/>
      <c r="REN24" s="720"/>
      <c r="REO24" s="720"/>
      <c r="REP24" s="720"/>
      <c r="REQ24" s="720"/>
      <c r="RER24" s="720"/>
      <c r="RES24" s="720"/>
      <c r="RET24" s="720"/>
      <c r="REU24" s="720"/>
      <c r="REV24" s="720"/>
      <c r="REW24" s="720"/>
      <c r="REX24" s="720"/>
      <c r="REY24" s="720"/>
      <c r="REZ24" s="720"/>
      <c r="RFA24" s="720"/>
      <c r="RFB24" s="720"/>
      <c r="RFC24" s="720"/>
      <c r="RFD24" s="720"/>
      <c r="RFE24" s="720"/>
      <c r="RFF24" s="720"/>
      <c r="RFG24" s="720"/>
      <c r="RFH24" s="720"/>
      <c r="RFI24" s="720"/>
      <c r="RFJ24" s="720"/>
      <c r="RFK24" s="720"/>
      <c r="RFL24" s="720"/>
      <c r="RFM24" s="720"/>
      <c r="RFN24" s="720"/>
      <c r="RFO24" s="720"/>
      <c r="RFP24" s="720"/>
      <c r="RFQ24" s="720"/>
      <c r="RFR24" s="720"/>
      <c r="RFS24" s="720"/>
      <c r="RFT24" s="720"/>
      <c r="RFU24" s="720"/>
      <c r="RFV24" s="720"/>
      <c r="RFW24" s="720"/>
      <c r="RFX24" s="720"/>
      <c r="RFY24" s="720"/>
      <c r="RFZ24" s="720"/>
      <c r="RGA24" s="720"/>
      <c r="RGB24" s="720"/>
      <c r="RGC24" s="720"/>
      <c r="RGD24" s="720"/>
      <c r="RGE24" s="720"/>
      <c r="RGF24" s="720"/>
      <c r="RGG24" s="720"/>
      <c r="RGH24" s="720"/>
      <c r="RGI24" s="720"/>
      <c r="RGJ24" s="720"/>
      <c r="RGK24" s="720"/>
      <c r="RGL24" s="720"/>
      <c r="RGM24" s="720"/>
      <c r="RGN24" s="720"/>
      <c r="RGO24" s="720"/>
      <c r="RGP24" s="720"/>
      <c r="RGQ24" s="720"/>
      <c r="RGR24" s="720"/>
      <c r="RGS24" s="720"/>
      <c r="RGT24" s="720"/>
      <c r="RGU24" s="720"/>
      <c r="RGV24" s="720"/>
      <c r="RGW24" s="720"/>
      <c r="RGX24" s="720"/>
      <c r="RGY24" s="720"/>
      <c r="RGZ24" s="720"/>
      <c r="RHA24" s="720"/>
      <c r="RHB24" s="720"/>
      <c r="RHC24" s="720"/>
      <c r="RHD24" s="720"/>
      <c r="RHE24" s="720"/>
      <c r="RHF24" s="720"/>
      <c r="RHG24" s="720"/>
      <c r="RHH24" s="720"/>
      <c r="RHI24" s="720"/>
      <c r="RHJ24" s="720"/>
      <c r="RHK24" s="720"/>
      <c r="RHL24" s="720"/>
      <c r="RHM24" s="720"/>
      <c r="RHN24" s="720"/>
      <c r="RHO24" s="720"/>
      <c r="RHP24" s="720"/>
      <c r="RHQ24" s="720"/>
      <c r="RHR24" s="720"/>
      <c r="RHS24" s="720"/>
      <c r="RHT24" s="720"/>
      <c r="RHU24" s="720"/>
      <c r="RHV24" s="720"/>
      <c r="RHW24" s="720"/>
      <c r="RHX24" s="720"/>
      <c r="RHY24" s="720"/>
      <c r="RHZ24" s="720"/>
      <c r="RIA24" s="720"/>
      <c r="RIB24" s="720"/>
      <c r="RIC24" s="720"/>
      <c r="RID24" s="720"/>
      <c r="RIE24" s="720"/>
      <c r="RIF24" s="720"/>
      <c r="RIG24" s="720"/>
      <c r="RIH24" s="720"/>
      <c r="RII24" s="720"/>
      <c r="RIJ24" s="720"/>
      <c r="RIK24" s="720"/>
      <c r="RIL24" s="720"/>
      <c r="RIM24" s="720"/>
      <c r="RIN24" s="720"/>
      <c r="RIO24" s="720"/>
      <c r="RIP24" s="720"/>
      <c r="RIQ24" s="720"/>
      <c r="RIR24" s="720"/>
      <c r="RIS24" s="720"/>
      <c r="RIT24" s="720"/>
      <c r="RIU24" s="720"/>
      <c r="RIV24" s="720"/>
      <c r="RIW24" s="720"/>
      <c r="RIX24" s="720"/>
      <c r="RIY24" s="720"/>
      <c r="RIZ24" s="720"/>
      <c r="RJA24" s="720"/>
      <c r="RJB24" s="720"/>
      <c r="RJC24" s="720"/>
      <c r="RJD24" s="720"/>
      <c r="RJE24" s="720"/>
      <c r="RJF24" s="720"/>
      <c r="RJG24" s="720"/>
      <c r="RJH24" s="720"/>
      <c r="RJI24" s="720"/>
      <c r="RJJ24" s="720"/>
      <c r="RJK24" s="720"/>
      <c r="RJL24" s="720"/>
      <c r="RJM24" s="720"/>
      <c r="RJN24" s="720"/>
      <c r="RJO24" s="720"/>
      <c r="RJP24" s="720"/>
      <c r="RJQ24" s="720"/>
      <c r="RJR24" s="720"/>
      <c r="RJS24" s="720"/>
      <c r="RJT24" s="720"/>
      <c r="RJU24" s="720"/>
      <c r="RJV24" s="720"/>
      <c r="RJW24" s="720"/>
      <c r="RJX24" s="720"/>
      <c r="RJY24" s="720"/>
      <c r="RJZ24" s="720"/>
      <c r="RKA24" s="720"/>
      <c r="RKB24" s="720"/>
      <c r="RKC24" s="720"/>
      <c r="RKD24" s="720"/>
      <c r="RKE24" s="720"/>
      <c r="RKF24" s="720"/>
      <c r="RKG24" s="720"/>
      <c r="RKH24" s="720"/>
      <c r="RKI24" s="720"/>
      <c r="RKJ24" s="720"/>
      <c r="RKK24" s="720"/>
      <c r="RKL24" s="720"/>
      <c r="RKM24" s="720"/>
      <c r="RKN24" s="720"/>
      <c r="RKO24" s="720"/>
      <c r="RKP24" s="720"/>
      <c r="RKQ24" s="720"/>
      <c r="RKR24" s="720"/>
      <c r="RKS24" s="720"/>
      <c r="RKT24" s="720"/>
      <c r="RKU24" s="720"/>
      <c r="RKV24" s="720"/>
      <c r="RKW24" s="720"/>
      <c r="RKX24" s="720"/>
      <c r="RKY24" s="720"/>
      <c r="RKZ24" s="720"/>
      <c r="RLA24" s="720"/>
      <c r="RLB24" s="720"/>
      <c r="RLC24" s="720"/>
      <c r="RLD24" s="720"/>
      <c r="RLE24" s="720"/>
      <c r="RLF24" s="720"/>
      <c r="RLG24" s="720"/>
      <c r="RLH24" s="720"/>
      <c r="RLI24" s="720"/>
      <c r="RLJ24" s="720"/>
      <c r="RLK24" s="720"/>
      <c r="RLL24" s="720"/>
      <c r="RLM24" s="720"/>
      <c r="RLN24" s="720"/>
      <c r="RLO24" s="720"/>
      <c r="RLP24" s="720"/>
      <c r="RLQ24" s="720"/>
      <c r="RLR24" s="720"/>
      <c r="RLS24" s="720"/>
      <c r="RLT24" s="720"/>
      <c r="RLU24" s="720"/>
      <c r="RLV24" s="720"/>
      <c r="RLW24" s="720"/>
      <c r="RLX24" s="720"/>
      <c r="RLY24" s="720"/>
      <c r="RLZ24" s="720"/>
      <c r="RMA24" s="720"/>
      <c r="RMB24" s="720"/>
      <c r="RMC24" s="720"/>
      <c r="RMD24" s="720"/>
      <c r="RME24" s="720"/>
      <c r="RMF24" s="720"/>
      <c r="RMG24" s="720"/>
      <c r="RMH24" s="720"/>
      <c r="RMI24" s="720"/>
      <c r="RMJ24" s="720"/>
      <c r="RMK24" s="720"/>
      <c r="RML24" s="720"/>
      <c r="RMM24" s="720"/>
      <c r="RMN24" s="720"/>
      <c r="RMO24" s="720"/>
      <c r="RMP24" s="720"/>
      <c r="RMQ24" s="720"/>
      <c r="RMR24" s="720"/>
      <c r="RMS24" s="720"/>
      <c r="RMT24" s="720"/>
      <c r="RMU24" s="720"/>
      <c r="RMV24" s="720"/>
      <c r="RMW24" s="720"/>
      <c r="RMX24" s="720"/>
      <c r="RMY24" s="720"/>
      <c r="RMZ24" s="720"/>
      <c r="RNA24" s="720"/>
      <c r="RNB24" s="720"/>
      <c r="RNC24" s="720"/>
      <c r="RND24" s="720"/>
      <c r="RNE24" s="720"/>
      <c r="RNF24" s="720"/>
      <c r="RNG24" s="720"/>
      <c r="RNH24" s="720"/>
      <c r="RNI24" s="720"/>
      <c r="RNJ24" s="720"/>
      <c r="RNK24" s="720"/>
      <c r="RNL24" s="720"/>
      <c r="RNM24" s="720"/>
      <c r="RNN24" s="720"/>
      <c r="RNO24" s="720"/>
      <c r="RNP24" s="720"/>
      <c r="RNQ24" s="720"/>
      <c r="RNR24" s="720"/>
      <c r="RNS24" s="720"/>
      <c r="RNT24" s="720"/>
      <c r="RNU24" s="720"/>
      <c r="RNV24" s="720"/>
      <c r="RNW24" s="720"/>
      <c r="RNX24" s="720"/>
      <c r="RNY24" s="720"/>
      <c r="RNZ24" s="720"/>
      <c r="ROA24" s="720"/>
      <c r="ROB24" s="720"/>
      <c r="ROC24" s="720"/>
      <c r="ROD24" s="720"/>
      <c r="ROE24" s="720"/>
      <c r="ROF24" s="720"/>
      <c r="ROG24" s="720"/>
      <c r="ROH24" s="720"/>
      <c r="ROI24" s="720"/>
      <c r="ROJ24" s="720"/>
      <c r="ROK24" s="720"/>
      <c r="ROL24" s="720"/>
      <c r="ROM24" s="720"/>
      <c r="RON24" s="720"/>
      <c r="ROO24" s="720"/>
      <c r="ROP24" s="720"/>
      <c r="ROQ24" s="720"/>
      <c r="ROR24" s="720"/>
      <c r="ROS24" s="720"/>
      <c r="ROT24" s="720"/>
      <c r="ROU24" s="720"/>
      <c r="ROV24" s="720"/>
      <c r="ROW24" s="720"/>
      <c r="ROX24" s="720"/>
      <c r="ROY24" s="720"/>
      <c r="ROZ24" s="720"/>
      <c r="RPA24" s="720"/>
      <c r="RPB24" s="720"/>
      <c r="RPC24" s="720"/>
      <c r="RPD24" s="720"/>
      <c r="RPE24" s="720"/>
      <c r="RPF24" s="720"/>
      <c r="RPG24" s="720"/>
      <c r="RPH24" s="720"/>
      <c r="RPI24" s="720"/>
      <c r="RPJ24" s="720"/>
      <c r="RPK24" s="720"/>
      <c r="RPL24" s="720"/>
      <c r="RPM24" s="720"/>
      <c r="RPN24" s="720"/>
      <c r="RPO24" s="720"/>
      <c r="RPP24" s="720"/>
      <c r="RPQ24" s="720"/>
      <c r="RPR24" s="720"/>
      <c r="RPS24" s="720"/>
      <c r="RPT24" s="720"/>
      <c r="RPU24" s="720"/>
      <c r="RPV24" s="720"/>
      <c r="RPW24" s="720"/>
      <c r="RPX24" s="720"/>
      <c r="RPY24" s="720"/>
      <c r="RPZ24" s="720"/>
      <c r="RQA24" s="720"/>
      <c r="RQB24" s="720"/>
      <c r="RQC24" s="720"/>
      <c r="RQD24" s="720"/>
      <c r="RQE24" s="720"/>
      <c r="RQF24" s="720"/>
      <c r="RQG24" s="720"/>
      <c r="RQH24" s="720"/>
      <c r="RQI24" s="720"/>
      <c r="RQJ24" s="720"/>
      <c r="RQK24" s="720"/>
      <c r="RQL24" s="720"/>
      <c r="RQM24" s="720"/>
      <c r="RQN24" s="720"/>
      <c r="RQO24" s="720"/>
      <c r="RQP24" s="720"/>
      <c r="RQQ24" s="720"/>
      <c r="RQR24" s="720"/>
      <c r="RQS24" s="720"/>
      <c r="RQT24" s="720"/>
      <c r="RQU24" s="720"/>
      <c r="RQV24" s="720"/>
      <c r="RQW24" s="720"/>
      <c r="RQX24" s="720"/>
      <c r="RQY24" s="720"/>
      <c r="RQZ24" s="720"/>
      <c r="RRA24" s="720"/>
      <c r="RRB24" s="720"/>
      <c r="RRC24" s="720"/>
      <c r="RRD24" s="720"/>
      <c r="RRE24" s="720"/>
      <c r="RRF24" s="720"/>
      <c r="RRG24" s="720"/>
      <c r="RRH24" s="720"/>
      <c r="RRI24" s="720"/>
      <c r="RRJ24" s="720"/>
      <c r="RRK24" s="720"/>
      <c r="RRL24" s="720"/>
      <c r="RRM24" s="720"/>
      <c r="RRN24" s="720"/>
      <c r="RRO24" s="720"/>
      <c r="RRP24" s="720"/>
      <c r="RRQ24" s="720"/>
      <c r="RRR24" s="720"/>
      <c r="RRS24" s="720"/>
      <c r="RRT24" s="720"/>
      <c r="RRU24" s="720"/>
      <c r="RRV24" s="720"/>
      <c r="RRW24" s="720"/>
      <c r="RRX24" s="720"/>
      <c r="RRY24" s="720"/>
      <c r="RRZ24" s="720"/>
      <c r="RSA24" s="720"/>
      <c r="RSB24" s="720"/>
      <c r="RSC24" s="720"/>
      <c r="RSD24" s="720"/>
      <c r="RSE24" s="720"/>
      <c r="RSF24" s="720"/>
      <c r="RSG24" s="720"/>
      <c r="RSH24" s="720"/>
      <c r="RSI24" s="720"/>
      <c r="RSJ24" s="720"/>
      <c r="RSK24" s="720"/>
      <c r="RSL24" s="720"/>
      <c r="RSM24" s="720"/>
      <c r="RSN24" s="720"/>
      <c r="RSO24" s="720"/>
      <c r="RSP24" s="720"/>
      <c r="RSQ24" s="720"/>
      <c r="RSR24" s="720"/>
      <c r="RSS24" s="720"/>
      <c r="RST24" s="720"/>
      <c r="RSU24" s="720"/>
      <c r="RSV24" s="720"/>
      <c r="RSW24" s="720"/>
      <c r="RSX24" s="720"/>
      <c r="RSY24" s="720"/>
      <c r="RSZ24" s="720"/>
      <c r="RTA24" s="720"/>
      <c r="RTB24" s="720"/>
      <c r="RTC24" s="720"/>
      <c r="RTD24" s="720"/>
      <c r="RTE24" s="720"/>
      <c r="RTF24" s="720"/>
      <c r="RTG24" s="720"/>
      <c r="RTH24" s="720"/>
      <c r="RTI24" s="720"/>
      <c r="RTJ24" s="720"/>
      <c r="RTK24" s="720"/>
      <c r="RTL24" s="720"/>
      <c r="RTM24" s="720"/>
      <c r="RTN24" s="720"/>
      <c r="RTO24" s="720"/>
      <c r="RTP24" s="720"/>
      <c r="RTQ24" s="720"/>
      <c r="RTR24" s="720"/>
      <c r="RTS24" s="720"/>
      <c r="RTT24" s="720"/>
      <c r="RTU24" s="720"/>
      <c r="RTV24" s="720"/>
      <c r="RTW24" s="720"/>
      <c r="RTX24" s="720"/>
      <c r="RTY24" s="720"/>
      <c r="RTZ24" s="720"/>
      <c r="RUA24" s="720"/>
      <c r="RUB24" s="720"/>
      <c r="RUC24" s="720"/>
      <c r="RUD24" s="720"/>
      <c r="RUE24" s="720"/>
      <c r="RUF24" s="720"/>
      <c r="RUG24" s="720"/>
      <c r="RUH24" s="720"/>
      <c r="RUI24" s="720"/>
      <c r="RUJ24" s="720"/>
      <c r="RUK24" s="720"/>
      <c r="RUL24" s="720"/>
      <c r="RUM24" s="720"/>
      <c r="RUN24" s="720"/>
      <c r="RUO24" s="720"/>
      <c r="RUP24" s="720"/>
      <c r="RUQ24" s="720"/>
      <c r="RUR24" s="720"/>
      <c r="RUS24" s="720"/>
      <c r="RUT24" s="720"/>
      <c r="RUU24" s="720"/>
      <c r="RUV24" s="720"/>
      <c r="RUW24" s="720"/>
      <c r="RUX24" s="720"/>
      <c r="RUY24" s="720"/>
      <c r="RUZ24" s="720"/>
      <c r="RVA24" s="720"/>
      <c r="RVB24" s="720"/>
      <c r="RVC24" s="720"/>
      <c r="RVD24" s="720"/>
      <c r="RVE24" s="720"/>
      <c r="RVF24" s="720"/>
      <c r="RVG24" s="720"/>
      <c r="RVH24" s="720"/>
      <c r="RVI24" s="720"/>
      <c r="RVJ24" s="720"/>
      <c r="RVK24" s="720"/>
      <c r="RVL24" s="720"/>
      <c r="RVM24" s="720"/>
      <c r="RVN24" s="720"/>
      <c r="RVO24" s="720"/>
      <c r="RVP24" s="720"/>
      <c r="RVQ24" s="720"/>
      <c r="RVR24" s="720"/>
      <c r="RVS24" s="720"/>
      <c r="RVT24" s="720"/>
      <c r="RVU24" s="720"/>
      <c r="RVV24" s="720"/>
      <c r="RVW24" s="720"/>
      <c r="RVX24" s="720"/>
      <c r="RVY24" s="720"/>
      <c r="RVZ24" s="720"/>
      <c r="RWA24" s="720"/>
      <c r="RWB24" s="720"/>
      <c r="RWC24" s="720"/>
      <c r="RWD24" s="720"/>
      <c r="RWE24" s="720"/>
      <c r="RWF24" s="720"/>
      <c r="RWG24" s="720"/>
      <c r="RWH24" s="720"/>
      <c r="RWI24" s="720"/>
      <c r="RWJ24" s="720"/>
      <c r="RWK24" s="720"/>
      <c r="RWL24" s="720"/>
      <c r="RWM24" s="720"/>
      <c r="RWN24" s="720"/>
      <c r="RWO24" s="720"/>
      <c r="RWP24" s="720"/>
      <c r="RWQ24" s="720"/>
      <c r="RWR24" s="720"/>
      <c r="RWS24" s="720"/>
      <c r="RWT24" s="720"/>
      <c r="RWU24" s="720"/>
      <c r="RWV24" s="720"/>
      <c r="RWW24" s="720"/>
      <c r="RWX24" s="720"/>
      <c r="RWY24" s="720"/>
      <c r="RWZ24" s="720"/>
      <c r="RXA24" s="720"/>
      <c r="RXB24" s="720"/>
      <c r="RXC24" s="720"/>
      <c r="RXD24" s="720"/>
      <c r="RXE24" s="720"/>
      <c r="RXF24" s="720"/>
      <c r="RXG24" s="720"/>
      <c r="RXH24" s="720"/>
      <c r="RXI24" s="720"/>
      <c r="RXJ24" s="720"/>
      <c r="RXK24" s="720"/>
      <c r="RXL24" s="720"/>
      <c r="RXM24" s="720"/>
      <c r="RXN24" s="720"/>
      <c r="RXO24" s="720"/>
      <c r="RXP24" s="720"/>
      <c r="RXQ24" s="720"/>
      <c r="RXR24" s="720"/>
      <c r="RXS24" s="720"/>
      <c r="RXT24" s="720"/>
      <c r="RXU24" s="720"/>
      <c r="RXV24" s="720"/>
      <c r="RXW24" s="720"/>
      <c r="RXX24" s="720"/>
      <c r="RXY24" s="720"/>
      <c r="RXZ24" s="720"/>
      <c r="RYA24" s="720"/>
      <c r="RYB24" s="720"/>
      <c r="RYC24" s="720"/>
      <c r="RYD24" s="720"/>
      <c r="RYE24" s="720"/>
      <c r="RYF24" s="720"/>
      <c r="RYG24" s="720"/>
      <c r="RYH24" s="720"/>
      <c r="RYI24" s="720"/>
      <c r="RYJ24" s="720"/>
      <c r="RYK24" s="720"/>
      <c r="RYL24" s="720"/>
      <c r="RYM24" s="720"/>
      <c r="RYN24" s="720"/>
      <c r="RYO24" s="720"/>
      <c r="RYP24" s="720"/>
      <c r="RYQ24" s="720"/>
      <c r="RYR24" s="720"/>
      <c r="RYS24" s="720"/>
      <c r="RYT24" s="720"/>
      <c r="RYU24" s="720"/>
      <c r="RYV24" s="720"/>
      <c r="RYW24" s="720"/>
      <c r="RYX24" s="720"/>
      <c r="RYY24" s="720"/>
      <c r="RYZ24" s="720"/>
      <c r="RZA24" s="720"/>
      <c r="RZB24" s="720"/>
      <c r="RZC24" s="720"/>
      <c r="RZD24" s="720"/>
      <c r="RZE24" s="720"/>
      <c r="RZF24" s="720"/>
      <c r="RZG24" s="720"/>
      <c r="RZH24" s="720"/>
      <c r="RZI24" s="720"/>
      <c r="RZJ24" s="720"/>
      <c r="RZK24" s="720"/>
      <c r="RZL24" s="720"/>
      <c r="RZM24" s="720"/>
      <c r="RZN24" s="720"/>
      <c r="RZO24" s="720"/>
      <c r="RZP24" s="720"/>
      <c r="RZQ24" s="720"/>
      <c r="RZR24" s="720"/>
      <c r="RZS24" s="720"/>
      <c r="RZT24" s="720"/>
      <c r="RZU24" s="720"/>
      <c r="RZV24" s="720"/>
      <c r="RZW24" s="720"/>
      <c r="RZX24" s="720"/>
      <c r="RZY24" s="720"/>
      <c r="RZZ24" s="720"/>
      <c r="SAA24" s="720"/>
      <c r="SAB24" s="720"/>
      <c r="SAC24" s="720"/>
      <c r="SAD24" s="720"/>
      <c r="SAE24" s="720"/>
      <c r="SAF24" s="720"/>
      <c r="SAG24" s="720"/>
      <c r="SAH24" s="720"/>
      <c r="SAI24" s="720"/>
      <c r="SAJ24" s="720"/>
      <c r="SAK24" s="720"/>
      <c r="SAL24" s="720"/>
      <c r="SAM24" s="720"/>
      <c r="SAN24" s="720"/>
      <c r="SAO24" s="720"/>
      <c r="SAP24" s="720"/>
      <c r="SAQ24" s="720"/>
      <c r="SAR24" s="720"/>
      <c r="SAS24" s="720"/>
      <c r="SAT24" s="720"/>
      <c r="SAU24" s="720"/>
      <c r="SAV24" s="720"/>
      <c r="SAW24" s="720"/>
      <c r="SAX24" s="720"/>
      <c r="SAY24" s="720"/>
      <c r="SAZ24" s="720"/>
      <c r="SBA24" s="720"/>
      <c r="SBB24" s="720"/>
      <c r="SBC24" s="720"/>
      <c r="SBD24" s="720"/>
      <c r="SBE24" s="720"/>
      <c r="SBF24" s="720"/>
      <c r="SBG24" s="720"/>
      <c r="SBH24" s="720"/>
      <c r="SBI24" s="720"/>
      <c r="SBJ24" s="720"/>
      <c r="SBK24" s="720"/>
      <c r="SBL24" s="720"/>
      <c r="SBM24" s="720"/>
      <c r="SBN24" s="720"/>
      <c r="SBO24" s="720"/>
      <c r="SBP24" s="720"/>
      <c r="SBQ24" s="720"/>
      <c r="SBR24" s="720"/>
      <c r="SBS24" s="720"/>
      <c r="SBT24" s="720"/>
      <c r="SBU24" s="720"/>
      <c r="SBV24" s="720"/>
      <c r="SBW24" s="720"/>
      <c r="SBX24" s="720"/>
      <c r="SBY24" s="720"/>
      <c r="SBZ24" s="720"/>
      <c r="SCA24" s="720"/>
      <c r="SCB24" s="720"/>
      <c r="SCC24" s="720"/>
      <c r="SCD24" s="720"/>
      <c r="SCE24" s="720"/>
      <c r="SCF24" s="720"/>
      <c r="SCG24" s="720"/>
      <c r="SCH24" s="720"/>
      <c r="SCI24" s="720"/>
      <c r="SCJ24" s="720"/>
      <c r="SCK24" s="720"/>
      <c r="SCL24" s="720"/>
      <c r="SCM24" s="720"/>
      <c r="SCN24" s="720"/>
      <c r="SCO24" s="720"/>
      <c r="SCP24" s="720"/>
      <c r="SCQ24" s="720"/>
      <c r="SCR24" s="720"/>
      <c r="SCS24" s="720"/>
      <c r="SCT24" s="720"/>
      <c r="SCU24" s="720"/>
      <c r="SCV24" s="720"/>
      <c r="SCW24" s="720"/>
      <c r="SCX24" s="720"/>
      <c r="SCY24" s="720"/>
      <c r="SCZ24" s="720"/>
      <c r="SDA24" s="720"/>
      <c r="SDB24" s="720"/>
      <c r="SDC24" s="720"/>
      <c r="SDD24" s="720"/>
      <c r="SDE24" s="720"/>
      <c r="SDF24" s="720"/>
      <c r="SDG24" s="720"/>
      <c r="SDH24" s="720"/>
      <c r="SDI24" s="720"/>
      <c r="SDJ24" s="720"/>
      <c r="SDK24" s="720"/>
      <c r="SDL24" s="720"/>
      <c r="SDM24" s="720"/>
      <c r="SDN24" s="720"/>
      <c r="SDO24" s="720"/>
      <c r="SDP24" s="720"/>
      <c r="SDQ24" s="720"/>
      <c r="SDR24" s="720"/>
      <c r="SDS24" s="720"/>
      <c r="SDT24" s="720"/>
      <c r="SDU24" s="720"/>
      <c r="SDV24" s="720"/>
      <c r="SDW24" s="720"/>
      <c r="SDX24" s="720"/>
      <c r="SDY24" s="720"/>
      <c r="SDZ24" s="720"/>
      <c r="SEA24" s="720"/>
      <c r="SEB24" s="720"/>
      <c r="SEC24" s="720"/>
      <c r="SED24" s="720"/>
      <c r="SEE24" s="720"/>
      <c r="SEF24" s="720"/>
      <c r="SEG24" s="720"/>
      <c r="SEH24" s="720"/>
      <c r="SEI24" s="720"/>
      <c r="SEJ24" s="720"/>
      <c r="SEK24" s="720"/>
      <c r="SEL24" s="720"/>
      <c r="SEM24" s="720"/>
      <c r="SEN24" s="720"/>
      <c r="SEO24" s="720"/>
      <c r="SEP24" s="720"/>
      <c r="SEQ24" s="720"/>
      <c r="SER24" s="720"/>
      <c r="SES24" s="720"/>
      <c r="SET24" s="720"/>
      <c r="SEU24" s="720"/>
      <c r="SEV24" s="720"/>
      <c r="SEW24" s="720"/>
      <c r="SEX24" s="720"/>
      <c r="SEY24" s="720"/>
      <c r="SEZ24" s="720"/>
      <c r="SFA24" s="720"/>
      <c r="SFB24" s="720"/>
      <c r="SFC24" s="720"/>
      <c r="SFD24" s="720"/>
      <c r="SFE24" s="720"/>
      <c r="SFF24" s="720"/>
      <c r="SFG24" s="720"/>
      <c r="SFH24" s="720"/>
      <c r="SFI24" s="720"/>
      <c r="SFJ24" s="720"/>
      <c r="SFK24" s="720"/>
      <c r="SFL24" s="720"/>
      <c r="SFM24" s="720"/>
      <c r="SFN24" s="720"/>
      <c r="SFO24" s="720"/>
      <c r="SFP24" s="720"/>
      <c r="SFQ24" s="720"/>
      <c r="SFR24" s="720"/>
      <c r="SFS24" s="720"/>
      <c r="SFT24" s="720"/>
      <c r="SFU24" s="720"/>
      <c r="SFV24" s="720"/>
      <c r="SFW24" s="720"/>
      <c r="SFX24" s="720"/>
      <c r="SFY24" s="720"/>
      <c r="SFZ24" s="720"/>
      <c r="SGA24" s="720"/>
      <c r="SGB24" s="720"/>
      <c r="SGC24" s="720"/>
      <c r="SGD24" s="720"/>
      <c r="SGE24" s="720"/>
      <c r="SGF24" s="720"/>
      <c r="SGG24" s="720"/>
      <c r="SGH24" s="720"/>
      <c r="SGI24" s="720"/>
      <c r="SGJ24" s="720"/>
      <c r="SGK24" s="720"/>
      <c r="SGL24" s="720"/>
      <c r="SGM24" s="720"/>
      <c r="SGN24" s="720"/>
      <c r="SGO24" s="720"/>
      <c r="SGP24" s="720"/>
      <c r="SGQ24" s="720"/>
      <c r="SGR24" s="720"/>
      <c r="SGS24" s="720"/>
      <c r="SGT24" s="720"/>
      <c r="SGU24" s="720"/>
      <c r="SGV24" s="720"/>
      <c r="SGW24" s="720"/>
      <c r="SGX24" s="720"/>
      <c r="SGY24" s="720"/>
      <c r="SGZ24" s="720"/>
      <c r="SHA24" s="720"/>
      <c r="SHB24" s="720"/>
      <c r="SHC24" s="720"/>
      <c r="SHD24" s="720"/>
      <c r="SHE24" s="720"/>
      <c r="SHF24" s="720"/>
      <c r="SHG24" s="720"/>
      <c r="SHH24" s="720"/>
      <c r="SHI24" s="720"/>
      <c r="SHJ24" s="720"/>
      <c r="SHK24" s="720"/>
      <c r="SHL24" s="720"/>
      <c r="SHM24" s="720"/>
      <c r="SHN24" s="720"/>
      <c r="SHO24" s="720"/>
      <c r="SHP24" s="720"/>
      <c r="SHQ24" s="720"/>
      <c r="SHR24" s="720"/>
      <c r="SHS24" s="720"/>
      <c r="SHT24" s="720"/>
      <c r="SHU24" s="720"/>
      <c r="SHV24" s="720"/>
      <c r="SHW24" s="720"/>
      <c r="SHX24" s="720"/>
      <c r="SHY24" s="720"/>
      <c r="SHZ24" s="720"/>
      <c r="SIA24" s="720"/>
      <c r="SIB24" s="720"/>
      <c r="SIC24" s="720"/>
      <c r="SID24" s="720"/>
      <c r="SIE24" s="720"/>
      <c r="SIF24" s="720"/>
      <c r="SIG24" s="720"/>
      <c r="SIH24" s="720"/>
      <c r="SII24" s="720"/>
      <c r="SIJ24" s="720"/>
      <c r="SIK24" s="720"/>
      <c r="SIL24" s="720"/>
      <c r="SIM24" s="720"/>
      <c r="SIN24" s="720"/>
      <c r="SIO24" s="720"/>
      <c r="SIP24" s="720"/>
      <c r="SIQ24" s="720"/>
      <c r="SIR24" s="720"/>
      <c r="SIS24" s="720"/>
      <c r="SIT24" s="720"/>
      <c r="SIU24" s="720"/>
      <c r="SIV24" s="720"/>
      <c r="SIW24" s="720"/>
      <c r="SIX24" s="720"/>
      <c r="SIY24" s="720"/>
      <c r="SIZ24" s="720"/>
      <c r="SJA24" s="720"/>
      <c r="SJB24" s="720"/>
      <c r="SJC24" s="720"/>
      <c r="SJD24" s="720"/>
      <c r="SJE24" s="720"/>
      <c r="SJF24" s="720"/>
      <c r="SJG24" s="720"/>
      <c r="SJH24" s="720"/>
      <c r="SJI24" s="720"/>
      <c r="SJJ24" s="720"/>
      <c r="SJK24" s="720"/>
      <c r="SJL24" s="720"/>
      <c r="SJM24" s="720"/>
      <c r="SJN24" s="720"/>
      <c r="SJO24" s="720"/>
      <c r="SJP24" s="720"/>
      <c r="SJQ24" s="720"/>
      <c r="SJR24" s="720"/>
      <c r="SJS24" s="720"/>
      <c r="SJT24" s="720"/>
      <c r="SJU24" s="720"/>
      <c r="SJV24" s="720"/>
      <c r="SJW24" s="720"/>
      <c r="SJX24" s="720"/>
      <c r="SJY24" s="720"/>
      <c r="SJZ24" s="720"/>
      <c r="SKA24" s="720"/>
      <c r="SKB24" s="720"/>
      <c r="SKC24" s="720"/>
      <c r="SKD24" s="720"/>
      <c r="SKE24" s="720"/>
      <c r="SKF24" s="720"/>
      <c r="SKG24" s="720"/>
      <c r="SKH24" s="720"/>
      <c r="SKI24" s="720"/>
      <c r="SKJ24" s="720"/>
      <c r="SKK24" s="720"/>
      <c r="SKL24" s="720"/>
      <c r="SKM24" s="720"/>
      <c r="SKN24" s="720"/>
      <c r="SKO24" s="720"/>
      <c r="SKP24" s="720"/>
      <c r="SKQ24" s="720"/>
      <c r="SKR24" s="720"/>
      <c r="SKS24" s="720"/>
      <c r="SKT24" s="720"/>
      <c r="SKU24" s="720"/>
      <c r="SKV24" s="720"/>
      <c r="SKW24" s="720"/>
      <c r="SKX24" s="720"/>
      <c r="SKY24" s="720"/>
      <c r="SKZ24" s="720"/>
      <c r="SLA24" s="720"/>
      <c r="SLB24" s="720"/>
      <c r="SLC24" s="720"/>
      <c r="SLD24" s="720"/>
      <c r="SLE24" s="720"/>
      <c r="SLF24" s="720"/>
      <c r="SLG24" s="720"/>
      <c r="SLH24" s="720"/>
      <c r="SLI24" s="720"/>
      <c r="SLJ24" s="720"/>
      <c r="SLK24" s="720"/>
      <c r="SLL24" s="720"/>
      <c r="SLM24" s="720"/>
      <c r="SLN24" s="720"/>
      <c r="SLO24" s="720"/>
      <c r="SLP24" s="720"/>
      <c r="SLQ24" s="720"/>
      <c r="SLR24" s="720"/>
      <c r="SLS24" s="720"/>
      <c r="SLT24" s="720"/>
      <c r="SLU24" s="720"/>
      <c r="SLV24" s="720"/>
      <c r="SLW24" s="720"/>
      <c r="SLX24" s="720"/>
      <c r="SLY24" s="720"/>
      <c r="SLZ24" s="720"/>
      <c r="SMA24" s="720"/>
      <c r="SMB24" s="720"/>
      <c r="SMC24" s="720"/>
      <c r="SMD24" s="720"/>
      <c r="SME24" s="720"/>
      <c r="SMF24" s="720"/>
      <c r="SMG24" s="720"/>
      <c r="SMH24" s="720"/>
      <c r="SMI24" s="720"/>
      <c r="SMJ24" s="720"/>
      <c r="SMK24" s="720"/>
      <c r="SML24" s="720"/>
      <c r="SMM24" s="720"/>
      <c r="SMN24" s="720"/>
      <c r="SMO24" s="720"/>
      <c r="SMP24" s="720"/>
      <c r="SMQ24" s="720"/>
      <c r="SMR24" s="720"/>
      <c r="SMS24" s="720"/>
      <c r="SMT24" s="720"/>
      <c r="SMU24" s="720"/>
      <c r="SMV24" s="720"/>
      <c r="SMW24" s="720"/>
      <c r="SMX24" s="720"/>
      <c r="SMY24" s="720"/>
      <c r="SMZ24" s="720"/>
      <c r="SNA24" s="720"/>
      <c r="SNB24" s="720"/>
      <c r="SNC24" s="720"/>
      <c r="SND24" s="720"/>
      <c r="SNE24" s="720"/>
      <c r="SNF24" s="720"/>
      <c r="SNG24" s="720"/>
      <c r="SNH24" s="720"/>
      <c r="SNI24" s="720"/>
      <c r="SNJ24" s="720"/>
      <c r="SNK24" s="720"/>
      <c r="SNL24" s="720"/>
      <c r="SNM24" s="720"/>
      <c r="SNN24" s="720"/>
      <c r="SNO24" s="720"/>
      <c r="SNP24" s="720"/>
      <c r="SNQ24" s="720"/>
      <c r="SNR24" s="720"/>
      <c r="SNS24" s="720"/>
      <c r="SNT24" s="720"/>
      <c r="SNU24" s="720"/>
      <c r="SNV24" s="720"/>
      <c r="SNW24" s="720"/>
      <c r="SNX24" s="720"/>
      <c r="SNY24" s="720"/>
      <c r="SNZ24" s="720"/>
      <c r="SOA24" s="720"/>
      <c r="SOB24" s="720"/>
      <c r="SOC24" s="720"/>
      <c r="SOD24" s="720"/>
      <c r="SOE24" s="720"/>
      <c r="SOF24" s="720"/>
      <c r="SOG24" s="720"/>
      <c r="SOH24" s="720"/>
      <c r="SOI24" s="720"/>
      <c r="SOJ24" s="720"/>
      <c r="SOK24" s="720"/>
      <c r="SOL24" s="720"/>
      <c r="SOM24" s="720"/>
      <c r="SON24" s="720"/>
      <c r="SOO24" s="720"/>
      <c r="SOP24" s="720"/>
      <c r="SOQ24" s="720"/>
      <c r="SOR24" s="720"/>
      <c r="SOS24" s="720"/>
      <c r="SOT24" s="720"/>
      <c r="SOU24" s="720"/>
      <c r="SOV24" s="720"/>
      <c r="SOW24" s="720"/>
      <c r="SOX24" s="720"/>
      <c r="SOY24" s="720"/>
      <c r="SOZ24" s="720"/>
      <c r="SPA24" s="720"/>
      <c r="SPB24" s="720"/>
      <c r="SPC24" s="720"/>
      <c r="SPD24" s="720"/>
      <c r="SPE24" s="720"/>
      <c r="SPF24" s="720"/>
      <c r="SPG24" s="720"/>
      <c r="SPH24" s="720"/>
      <c r="SPI24" s="720"/>
      <c r="SPJ24" s="720"/>
      <c r="SPK24" s="720"/>
      <c r="SPL24" s="720"/>
      <c r="SPM24" s="720"/>
      <c r="SPN24" s="720"/>
      <c r="SPO24" s="720"/>
      <c r="SPP24" s="720"/>
      <c r="SPQ24" s="720"/>
      <c r="SPR24" s="720"/>
      <c r="SPS24" s="720"/>
      <c r="SPT24" s="720"/>
      <c r="SPU24" s="720"/>
      <c r="SPV24" s="720"/>
      <c r="SPW24" s="720"/>
      <c r="SPX24" s="720"/>
      <c r="SPY24" s="720"/>
      <c r="SPZ24" s="720"/>
      <c r="SQA24" s="720"/>
      <c r="SQB24" s="720"/>
      <c r="SQC24" s="720"/>
      <c r="SQD24" s="720"/>
      <c r="SQE24" s="720"/>
      <c r="SQF24" s="720"/>
      <c r="SQG24" s="720"/>
      <c r="SQH24" s="720"/>
      <c r="SQI24" s="720"/>
      <c r="SQJ24" s="720"/>
      <c r="SQK24" s="720"/>
      <c r="SQL24" s="720"/>
      <c r="SQM24" s="720"/>
      <c r="SQN24" s="720"/>
      <c r="SQO24" s="720"/>
      <c r="SQP24" s="720"/>
      <c r="SQQ24" s="720"/>
      <c r="SQR24" s="720"/>
      <c r="SQS24" s="720"/>
      <c r="SQT24" s="720"/>
      <c r="SQU24" s="720"/>
      <c r="SQV24" s="720"/>
      <c r="SQW24" s="720"/>
      <c r="SQX24" s="720"/>
      <c r="SQY24" s="720"/>
      <c r="SQZ24" s="720"/>
      <c r="SRA24" s="720"/>
      <c r="SRB24" s="720"/>
      <c r="SRC24" s="720"/>
      <c r="SRD24" s="720"/>
      <c r="SRE24" s="720"/>
      <c r="SRF24" s="720"/>
      <c r="SRG24" s="720"/>
      <c r="SRH24" s="720"/>
      <c r="SRI24" s="720"/>
      <c r="SRJ24" s="720"/>
      <c r="SRK24" s="720"/>
      <c r="SRL24" s="720"/>
      <c r="SRM24" s="720"/>
      <c r="SRN24" s="720"/>
      <c r="SRO24" s="720"/>
      <c r="SRP24" s="720"/>
      <c r="SRQ24" s="720"/>
      <c r="SRR24" s="720"/>
      <c r="SRS24" s="720"/>
      <c r="SRT24" s="720"/>
      <c r="SRU24" s="720"/>
      <c r="SRV24" s="720"/>
      <c r="SRW24" s="720"/>
      <c r="SRX24" s="720"/>
      <c r="SRY24" s="720"/>
      <c r="SRZ24" s="720"/>
      <c r="SSA24" s="720"/>
      <c r="SSB24" s="720"/>
      <c r="SSC24" s="720"/>
      <c r="SSD24" s="720"/>
      <c r="SSE24" s="720"/>
      <c r="SSF24" s="720"/>
      <c r="SSG24" s="720"/>
      <c r="SSH24" s="720"/>
      <c r="SSI24" s="720"/>
      <c r="SSJ24" s="720"/>
      <c r="SSK24" s="720"/>
      <c r="SSL24" s="720"/>
      <c r="SSM24" s="720"/>
      <c r="SSN24" s="720"/>
      <c r="SSO24" s="720"/>
      <c r="SSP24" s="720"/>
      <c r="SSQ24" s="720"/>
      <c r="SSR24" s="720"/>
      <c r="SSS24" s="720"/>
      <c r="SST24" s="720"/>
      <c r="SSU24" s="720"/>
      <c r="SSV24" s="720"/>
      <c r="SSW24" s="720"/>
      <c r="SSX24" s="720"/>
      <c r="SSY24" s="720"/>
      <c r="SSZ24" s="720"/>
      <c r="STA24" s="720"/>
      <c r="STB24" s="720"/>
      <c r="STC24" s="720"/>
      <c r="STD24" s="720"/>
      <c r="STE24" s="720"/>
      <c r="STF24" s="720"/>
      <c r="STG24" s="720"/>
      <c r="STH24" s="720"/>
      <c r="STI24" s="720"/>
      <c r="STJ24" s="720"/>
      <c r="STK24" s="720"/>
      <c r="STL24" s="720"/>
      <c r="STM24" s="720"/>
      <c r="STN24" s="720"/>
      <c r="STO24" s="720"/>
      <c r="STP24" s="720"/>
      <c r="STQ24" s="720"/>
      <c r="STR24" s="720"/>
      <c r="STS24" s="720"/>
      <c r="STT24" s="720"/>
      <c r="STU24" s="720"/>
      <c r="STV24" s="720"/>
      <c r="STW24" s="720"/>
      <c r="STX24" s="720"/>
      <c r="STY24" s="720"/>
      <c r="STZ24" s="720"/>
      <c r="SUA24" s="720"/>
      <c r="SUB24" s="720"/>
      <c r="SUC24" s="720"/>
      <c r="SUD24" s="720"/>
      <c r="SUE24" s="720"/>
      <c r="SUF24" s="720"/>
      <c r="SUG24" s="720"/>
      <c r="SUH24" s="720"/>
      <c r="SUI24" s="720"/>
      <c r="SUJ24" s="720"/>
      <c r="SUK24" s="720"/>
      <c r="SUL24" s="720"/>
      <c r="SUM24" s="720"/>
      <c r="SUN24" s="720"/>
      <c r="SUO24" s="720"/>
      <c r="SUP24" s="720"/>
      <c r="SUQ24" s="720"/>
      <c r="SUR24" s="720"/>
      <c r="SUS24" s="720"/>
      <c r="SUT24" s="720"/>
      <c r="SUU24" s="720"/>
      <c r="SUV24" s="720"/>
      <c r="SUW24" s="720"/>
      <c r="SUX24" s="720"/>
      <c r="SUY24" s="720"/>
      <c r="SUZ24" s="720"/>
      <c r="SVA24" s="720"/>
      <c r="SVB24" s="720"/>
      <c r="SVC24" s="720"/>
      <c r="SVD24" s="720"/>
      <c r="SVE24" s="720"/>
      <c r="SVF24" s="720"/>
      <c r="SVG24" s="720"/>
      <c r="SVH24" s="720"/>
      <c r="SVI24" s="720"/>
      <c r="SVJ24" s="720"/>
      <c r="SVK24" s="720"/>
      <c r="SVL24" s="720"/>
      <c r="SVM24" s="720"/>
      <c r="SVN24" s="720"/>
      <c r="SVO24" s="720"/>
      <c r="SVP24" s="720"/>
      <c r="SVQ24" s="720"/>
      <c r="SVR24" s="720"/>
      <c r="SVS24" s="720"/>
      <c r="SVT24" s="720"/>
      <c r="SVU24" s="720"/>
      <c r="SVV24" s="720"/>
      <c r="SVW24" s="720"/>
      <c r="SVX24" s="720"/>
      <c r="SVY24" s="720"/>
      <c r="SVZ24" s="720"/>
      <c r="SWA24" s="720"/>
      <c r="SWB24" s="720"/>
      <c r="SWC24" s="720"/>
      <c r="SWD24" s="720"/>
      <c r="SWE24" s="720"/>
      <c r="SWF24" s="720"/>
      <c r="SWG24" s="720"/>
      <c r="SWH24" s="720"/>
      <c r="SWI24" s="720"/>
      <c r="SWJ24" s="720"/>
      <c r="SWK24" s="720"/>
      <c r="SWL24" s="720"/>
      <c r="SWM24" s="720"/>
      <c r="SWN24" s="720"/>
      <c r="SWO24" s="720"/>
      <c r="SWP24" s="720"/>
      <c r="SWQ24" s="720"/>
      <c r="SWR24" s="720"/>
      <c r="SWS24" s="720"/>
      <c r="SWT24" s="720"/>
      <c r="SWU24" s="720"/>
      <c r="SWV24" s="720"/>
      <c r="SWW24" s="720"/>
      <c r="SWX24" s="720"/>
      <c r="SWY24" s="720"/>
      <c r="SWZ24" s="720"/>
      <c r="SXA24" s="720"/>
      <c r="SXB24" s="720"/>
      <c r="SXC24" s="720"/>
      <c r="SXD24" s="720"/>
      <c r="SXE24" s="720"/>
      <c r="SXF24" s="720"/>
      <c r="SXG24" s="720"/>
      <c r="SXH24" s="720"/>
      <c r="SXI24" s="720"/>
      <c r="SXJ24" s="720"/>
      <c r="SXK24" s="720"/>
      <c r="SXL24" s="720"/>
      <c r="SXM24" s="720"/>
      <c r="SXN24" s="720"/>
      <c r="SXO24" s="720"/>
      <c r="SXP24" s="720"/>
      <c r="SXQ24" s="720"/>
      <c r="SXR24" s="720"/>
      <c r="SXS24" s="720"/>
      <c r="SXT24" s="720"/>
      <c r="SXU24" s="720"/>
      <c r="SXV24" s="720"/>
      <c r="SXW24" s="720"/>
      <c r="SXX24" s="720"/>
      <c r="SXY24" s="720"/>
      <c r="SXZ24" s="720"/>
      <c r="SYA24" s="720"/>
      <c r="SYB24" s="720"/>
      <c r="SYC24" s="720"/>
      <c r="SYD24" s="720"/>
      <c r="SYE24" s="720"/>
      <c r="SYF24" s="720"/>
      <c r="SYG24" s="720"/>
      <c r="SYH24" s="720"/>
      <c r="SYI24" s="720"/>
      <c r="SYJ24" s="720"/>
      <c r="SYK24" s="720"/>
      <c r="SYL24" s="720"/>
      <c r="SYM24" s="720"/>
      <c r="SYN24" s="720"/>
      <c r="SYO24" s="720"/>
      <c r="SYP24" s="720"/>
      <c r="SYQ24" s="720"/>
      <c r="SYR24" s="720"/>
      <c r="SYS24" s="720"/>
      <c r="SYT24" s="720"/>
      <c r="SYU24" s="720"/>
      <c r="SYV24" s="720"/>
      <c r="SYW24" s="720"/>
      <c r="SYX24" s="720"/>
      <c r="SYY24" s="720"/>
      <c r="SYZ24" s="720"/>
      <c r="SZA24" s="720"/>
      <c r="SZB24" s="720"/>
      <c r="SZC24" s="720"/>
      <c r="SZD24" s="720"/>
      <c r="SZE24" s="720"/>
      <c r="SZF24" s="720"/>
      <c r="SZG24" s="720"/>
      <c r="SZH24" s="720"/>
      <c r="SZI24" s="720"/>
      <c r="SZJ24" s="720"/>
      <c r="SZK24" s="720"/>
      <c r="SZL24" s="720"/>
      <c r="SZM24" s="720"/>
      <c r="SZN24" s="720"/>
      <c r="SZO24" s="720"/>
      <c r="SZP24" s="720"/>
      <c r="SZQ24" s="720"/>
      <c r="SZR24" s="720"/>
      <c r="SZS24" s="720"/>
      <c r="SZT24" s="720"/>
      <c r="SZU24" s="720"/>
      <c r="SZV24" s="720"/>
      <c r="SZW24" s="720"/>
      <c r="SZX24" s="720"/>
      <c r="SZY24" s="720"/>
      <c r="SZZ24" s="720"/>
      <c r="TAA24" s="720"/>
      <c r="TAB24" s="720"/>
      <c r="TAC24" s="720"/>
      <c r="TAD24" s="720"/>
      <c r="TAE24" s="720"/>
      <c r="TAF24" s="720"/>
      <c r="TAG24" s="720"/>
      <c r="TAH24" s="720"/>
      <c r="TAI24" s="720"/>
      <c r="TAJ24" s="720"/>
      <c r="TAK24" s="720"/>
      <c r="TAL24" s="720"/>
      <c r="TAM24" s="720"/>
      <c r="TAN24" s="720"/>
      <c r="TAO24" s="720"/>
      <c r="TAP24" s="720"/>
      <c r="TAQ24" s="720"/>
      <c r="TAR24" s="720"/>
      <c r="TAS24" s="720"/>
      <c r="TAT24" s="720"/>
      <c r="TAU24" s="720"/>
      <c r="TAV24" s="720"/>
      <c r="TAW24" s="720"/>
      <c r="TAX24" s="720"/>
      <c r="TAY24" s="720"/>
      <c r="TAZ24" s="720"/>
      <c r="TBA24" s="720"/>
      <c r="TBB24" s="720"/>
      <c r="TBC24" s="720"/>
      <c r="TBD24" s="720"/>
      <c r="TBE24" s="720"/>
      <c r="TBF24" s="720"/>
      <c r="TBG24" s="720"/>
      <c r="TBH24" s="720"/>
      <c r="TBI24" s="720"/>
      <c r="TBJ24" s="720"/>
      <c r="TBK24" s="720"/>
      <c r="TBL24" s="720"/>
      <c r="TBM24" s="720"/>
      <c r="TBN24" s="720"/>
      <c r="TBO24" s="720"/>
      <c r="TBP24" s="720"/>
      <c r="TBQ24" s="720"/>
      <c r="TBR24" s="720"/>
      <c r="TBS24" s="720"/>
      <c r="TBT24" s="720"/>
      <c r="TBU24" s="720"/>
      <c r="TBV24" s="720"/>
      <c r="TBW24" s="720"/>
      <c r="TBX24" s="720"/>
      <c r="TBY24" s="720"/>
      <c r="TBZ24" s="720"/>
      <c r="TCA24" s="720"/>
      <c r="TCB24" s="720"/>
      <c r="TCC24" s="720"/>
      <c r="TCD24" s="720"/>
      <c r="TCE24" s="720"/>
      <c r="TCF24" s="720"/>
      <c r="TCG24" s="720"/>
      <c r="TCH24" s="720"/>
      <c r="TCI24" s="720"/>
      <c r="TCJ24" s="720"/>
      <c r="TCK24" s="720"/>
      <c r="TCL24" s="720"/>
      <c r="TCM24" s="720"/>
      <c r="TCN24" s="720"/>
      <c r="TCO24" s="720"/>
      <c r="TCP24" s="720"/>
      <c r="TCQ24" s="720"/>
      <c r="TCR24" s="720"/>
      <c r="TCS24" s="720"/>
      <c r="TCT24" s="720"/>
      <c r="TCU24" s="720"/>
      <c r="TCV24" s="720"/>
      <c r="TCW24" s="720"/>
      <c r="TCX24" s="720"/>
      <c r="TCY24" s="720"/>
      <c r="TCZ24" s="720"/>
      <c r="TDA24" s="720"/>
      <c r="TDB24" s="720"/>
      <c r="TDC24" s="720"/>
      <c r="TDD24" s="720"/>
      <c r="TDE24" s="720"/>
      <c r="TDF24" s="720"/>
      <c r="TDG24" s="720"/>
      <c r="TDH24" s="720"/>
      <c r="TDI24" s="720"/>
      <c r="TDJ24" s="720"/>
      <c r="TDK24" s="720"/>
      <c r="TDL24" s="720"/>
      <c r="TDM24" s="720"/>
      <c r="TDN24" s="720"/>
      <c r="TDO24" s="720"/>
      <c r="TDP24" s="720"/>
      <c r="TDQ24" s="720"/>
      <c r="TDR24" s="720"/>
      <c r="TDS24" s="720"/>
      <c r="TDT24" s="720"/>
      <c r="TDU24" s="720"/>
      <c r="TDV24" s="720"/>
      <c r="TDW24" s="720"/>
      <c r="TDX24" s="720"/>
      <c r="TDY24" s="720"/>
      <c r="TDZ24" s="720"/>
      <c r="TEA24" s="720"/>
      <c r="TEB24" s="720"/>
      <c r="TEC24" s="720"/>
      <c r="TED24" s="720"/>
      <c r="TEE24" s="720"/>
      <c r="TEF24" s="720"/>
      <c r="TEG24" s="720"/>
      <c r="TEH24" s="720"/>
      <c r="TEI24" s="720"/>
      <c r="TEJ24" s="720"/>
      <c r="TEK24" s="720"/>
      <c r="TEL24" s="720"/>
      <c r="TEM24" s="720"/>
      <c r="TEN24" s="720"/>
      <c r="TEO24" s="720"/>
      <c r="TEP24" s="720"/>
      <c r="TEQ24" s="720"/>
      <c r="TER24" s="720"/>
      <c r="TES24" s="720"/>
      <c r="TET24" s="720"/>
      <c r="TEU24" s="720"/>
      <c r="TEV24" s="720"/>
      <c r="TEW24" s="720"/>
      <c r="TEX24" s="720"/>
      <c r="TEY24" s="720"/>
      <c r="TEZ24" s="720"/>
      <c r="TFA24" s="720"/>
      <c r="TFB24" s="720"/>
      <c r="TFC24" s="720"/>
      <c r="TFD24" s="720"/>
      <c r="TFE24" s="720"/>
      <c r="TFF24" s="720"/>
      <c r="TFG24" s="720"/>
      <c r="TFH24" s="720"/>
      <c r="TFI24" s="720"/>
      <c r="TFJ24" s="720"/>
      <c r="TFK24" s="720"/>
      <c r="TFL24" s="720"/>
      <c r="TFM24" s="720"/>
      <c r="TFN24" s="720"/>
      <c r="TFO24" s="720"/>
      <c r="TFP24" s="720"/>
      <c r="TFQ24" s="720"/>
      <c r="TFR24" s="720"/>
      <c r="TFS24" s="720"/>
      <c r="TFT24" s="720"/>
      <c r="TFU24" s="720"/>
      <c r="TFV24" s="720"/>
      <c r="TFW24" s="720"/>
      <c r="TFX24" s="720"/>
      <c r="TFY24" s="720"/>
      <c r="TFZ24" s="720"/>
      <c r="TGA24" s="720"/>
      <c r="TGB24" s="720"/>
      <c r="TGC24" s="720"/>
      <c r="TGD24" s="720"/>
      <c r="TGE24" s="720"/>
      <c r="TGF24" s="720"/>
      <c r="TGG24" s="720"/>
      <c r="TGH24" s="720"/>
      <c r="TGI24" s="720"/>
      <c r="TGJ24" s="720"/>
      <c r="TGK24" s="720"/>
      <c r="TGL24" s="720"/>
      <c r="TGM24" s="720"/>
      <c r="TGN24" s="720"/>
      <c r="TGO24" s="720"/>
      <c r="TGP24" s="720"/>
      <c r="TGQ24" s="720"/>
      <c r="TGR24" s="720"/>
      <c r="TGS24" s="720"/>
      <c r="TGT24" s="720"/>
      <c r="TGU24" s="720"/>
      <c r="TGV24" s="720"/>
      <c r="TGW24" s="720"/>
      <c r="TGX24" s="720"/>
      <c r="TGY24" s="720"/>
      <c r="TGZ24" s="720"/>
      <c r="THA24" s="720"/>
      <c r="THB24" s="720"/>
      <c r="THC24" s="720"/>
      <c r="THD24" s="720"/>
      <c r="THE24" s="720"/>
      <c r="THF24" s="720"/>
      <c r="THG24" s="720"/>
      <c r="THH24" s="720"/>
      <c r="THI24" s="720"/>
      <c r="THJ24" s="720"/>
      <c r="THK24" s="720"/>
      <c r="THL24" s="720"/>
      <c r="THM24" s="720"/>
      <c r="THN24" s="720"/>
      <c r="THO24" s="720"/>
      <c r="THP24" s="720"/>
      <c r="THQ24" s="720"/>
      <c r="THR24" s="720"/>
      <c r="THS24" s="720"/>
      <c r="THT24" s="720"/>
      <c r="THU24" s="720"/>
      <c r="THV24" s="720"/>
      <c r="THW24" s="720"/>
      <c r="THX24" s="720"/>
      <c r="THY24" s="720"/>
      <c r="THZ24" s="720"/>
      <c r="TIA24" s="720"/>
      <c r="TIB24" s="720"/>
      <c r="TIC24" s="720"/>
      <c r="TID24" s="720"/>
      <c r="TIE24" s="720"/>
      <c r="TIF24" s="720"/>
      <c r="TIG24" s="720"/>
      <c r="TIH24" s="720"/>
      <c r="TII24" s="720"/>
      <c r="TIJ24" s="720"/>
      <c r="TIK24" s="720"/>
      <c r="TIL24" s="720"/>
      <c r="TIM24" s="720"/>
      <c r="TIN24" s="720"/>
      <c r="TIO24" s="720"/>
      <c r="TIP24" s="720"/>
      <c r="TIQ24" s="720"/>
      <c r="TIR24" s="720"/>
      <c r="TIS24" s="720"/>
      <c r="TIT24" s="720"/>
      <c r="TIU24" s="720"/>
      <c r="TIV24" s="720"/>
      <c r="TIW24" s="720"/>
      <c r="TIX24" s="720"/>
      <c r="TIY24" s="720"/>
      <c r="TIZ24" s="720"/>
      <c r="TJA24" s="720"/>
      <c r="TJB24" s="720"/>
      <c r="TJC24" s="720"/>
      <c r="TJD24" s="720"/>
      <c r="TJE24" s="720"/>
      <c r="TJF24" s="720"/>
      <c r="TJG24" s="720"/>
      <c r="TJH24" s="720"/>
      <c r="TJI24" s="720"/>
      <c r="TJJ24" s="720"/>
      <c r="TJK24" s="720"/>
      <c r="TJL24" s="720"/>
      <c r="TJM24" s="720"/>
      <c r="TJN24" s="720"/>
      <c r="TJO24" s="720"/>
      <c r="TJP24" s="720"/>
      <c r="TJQ24" s="720"/>
      <c r="TJR24" s="720"/>
      <c r="TJS24" s="720"/>
      <c r="TJT24" s="720"/>
      <c r="TJU24" s="720"/>
      <c r="TJV24" s="720"/>
      <c r="TJW24" s="720"/>
      <c r="TJX24" s="720"/>
      <c r="TJY24" s="720"/>
      <c r="TJZ24" s="720"/>
      <c r="TKA24" s="720"/>
      <c r="TKB24" s="720"/>
      <c r="TKC24" s="720"/>
      <c r="TKD24" s="720"/>
      <c r="TKE24" s="720"/>
      <c r="TKF24" s="720"/>
      <c r="TKG24" s="720"/>
      <c r="TKH24" s="720"/>
      <c r="TKI24" s="720"/>
      <c r="TKJ24" s="720"/>
      <c r="TKK24" s="720"/>
      <c r="TKL24" s="720"/>
      <c r="TKM24" s="720"/>
      <c r="TKN24" s="720"/>
      <c r="TKO24" s="720"/>
      <c r="TKP24" s="720"/>
      <c r="TKQ24" s="720"/>
      <c r="TKR24" s="720"/>
      <c r="TKS24" s="720"/>
      <c r="TKT24" s="720"/>
      <c r="TKU24" s="720"/>
      <c r="TKV24" s="720"/>
      <c r="TKW24" s="720"/>
      <c r="TKX24" s="720"/>
      <c r="TKY24" s="720"/>
      <c r="TKZ24" s="720"/>
      <c r="TLA24" s="720"/>
      <c r="TLB24" s="720"/>
      <c r="TLC24" s="720"/>
      <c r="TLD24" s="720"/>
      <c r="TLE24" s="720"/>
      <c r="TLF24" s="720"/>
      <c r="TLG24" s="720"/>
      <c r="TLH24" s="720"/>
      <c r="TLI24" s="720"/>
      <c r="TLJ24" s="720"/>
      <c r="TLK24" s="720"/>
      <c r="TLL24" s="720"/>
      <c r="TLM24" s="720"/>
      <c r="TLN24" s="720"/>
      <c r="TLO24" s="720"/>
      <c r="TLP24" s="720"/>
      <c r="TLQ24" s="720"/>
      <c r="TLR24" s="720"/>
      <c r="TLS24" s="720"/>
      <c r="TLT24" s="720"/>
      <c r="TLU24" s="720"/>
      <c r="TLV24" s="720"/>
      <c r="TLW24" s="720"/>
      <c r="TLX24" s="720"/>
      <c r="TLY24" s="720"/>
      <c r="TLZ24" s="720"/>
      <c r="TMA24" s="720"/>
      <c r="TMB24" s="720"/>
      <c r="TMC24" s="720"/>
      <c r="TMD24" s="720"/>
      <c r="TME24" s="720"/>
      <c r="TMF24" s="720"/>
      <c r="TMG24" s="720"/>
      <c r="TMH24" s="720"/>
      <c r="TMI24" s="720"/>
      <c r="TMJ24" s="720"/>
      <c r="TMK24" s="720"/>
      <c r="TML24" s="720"/>
      <c r="TMM24" s="720"/>
      <c r="TMN24" s="720"/>
      <c r="TMO24" s="720"/>
      <c r="TMP24" s="720"/>
      <c r="TMQ24" s="720"/>
      <c r="TMR24" s="720"/>
      <c r="TMS24" s="720"/>
      <c r="TMT24" s="720"/>
      <c r="TMU24" s="720"/>
      <c r="TMV24" s="720"/>
      <c r="TMW24" s="720"/>
      <c r="TMX24" s="720"/>
      <c r="TMY24" s="720"/>
      <c r="TMZ24" s="720"/>
      <c r="TNA24" s="720"/>
      <c r="TNB24" s="720"/>
      <c r="TNC24" s="720"/>
      <c r="TND24" s="720"/>
      <c r="TNE24" s="720"/>
      <c r="TNF24" s="720"/>
      <c r="TNG24" s="720"/>
      <c r="TNH24" s="720"/>
      <c r="TNI24" s="720"/>
      <c r="TNJ24" s="720"/>
      <c r="TNK24" s="720"/>
      <c r="TNL24" s="720"/>
      <c r="TNM24" s="720"/>
      <c r="TNN24" s="720"/>
      <c r="TNO24" s="720"/>
      <c r="TNP24" s="720"/>
      <c r="TNQ24" s="720"/>
      <c r="TNR24" s="720"/>
      <c r="TNS24" s="720"/>
      <c r="TNT24" s="720"/>
      <c r="TNU24" s="720"/>
      <c r="TNV24" s="720"/>
      <c r="TNW24" s="720"/>
      <c r="TNX24" s="720"/>
      <c r="TNY24" s="720"/>
      <c r="TNZ24" s="720"/>
      <c r="TOA24" s="720"/>
      <c r="TOB24" s="720"/>
      <c r="TOC24" s="720"/>
      <c r="TOD24" s="720"/>
      <c r="TOE24" s="720"/>
      <c r="TOF24" s="720"/>
      <c r="TOG24" s="720"/>
      <c r="TOH24" s="720"/>
      <c r="TOI24" s="720"/>
      <c r="TOJ24" s="720"/>
      <c r="TOK24" s="720"/>
      <c r="TOL24" s="720"/>
      <c r="TOM24" s="720"/>
      <c r="TON24" s="720"/>
      <c r="TOO24" s="720"/>
      <c r="TOP24" s="720"/>
      <c r="TOQ24" s="720"/>
      <c r="TOR24" s="720"/>
      <c r="TOS24" s="720"/>
      <c r="TOT24" s="720"/>
      <c r="TOU24" s="720"/>
      <c r="TOV24" s="720"/>
      <c r="TOW24" s="720"/>
      <c r="TOX24" s="720"/>
      <c r="TOY24" s="720"/>
      <c r="TOZ24" s="720"/>
      <c r="TPA24" s="720"/>
      <c r="TPB24" s="720"/>
      <c r="TPC24" s="720"/>
      <c r="TPD24" s="720"/>
      <c r="TPE24" s="720"/>
      <c r="TPF24" s="720"/>
      <c r="TPG24" s="720"/>
      <c r="TPH24" s="720"/>
      <c r="TPI24" s="720"/>
      <c r="TPJ24" s="720"/>
      <c r="TPK24" s="720"/>
      <c r="TPL24" s="720"/>
      <c r="TPM24" s="720"/>
      <c r="TPN24" s="720"/>
      <c r="TPO24" s="720"/>
      <c r="TPP24" s="720"/>
      <c r="TPQ24" s="720"/>
      <c r="TPR24" s="720"/>
      <c r="TPS24" s="720"/>
      <c r="TPT24" s="720"/>
      <c r="TPU24" s="720"/>
      <c r="TPV24" s="720"/>
      <c r="TPW24" s="720"/>
      <c r="TPX24" s="720"/>
      <c r="TPY24" s="720"/>
      <c r="TPZ24" s="720"/>
      <c r="TQA24" s="720"/>
      <c r="TQB24" s="720"/>
      <c r="TQC24" s="720"/>
      <c r="TQD24" s="720"/>
      <c r="TQE24" s="720"/>
      <c r="TQF24" s="720"/>
      <c r="TQG24" s="720"/>
      <c r="TQH24" s="720"/>
      <c r="TQI24" s="720"/>
      <c r="TQJ24" s="720"/>
      <c r="TQK24" s="720"/>
      <c r="TQL24" s="720"/>
      <c r="TQM24" s="720"/>
      <c r="TQN24" s="720"/>
      <c r="TQO24" s="720"/>
      <c r="TQP24" s="720"/>
      <c r="TQQ24" s="720"/>
      <c r="TQR24" s="720"/>
      <c r="TQS24" s="720"/>
      <c r="TQT24" s="720"/>
      <c r="TQU24" s="720"/>
      <c r="TQV24" s="720"/>
      <c r="TQW24" s="720"/>
      <c r="TQX24" s="720"/>
      <c r="TQY24" s="720"/>
      <c r="TQZ24" s="720"/>
      <c r="TRA24" s="720"/>
      <c r="TRB24" s="720"/>
      <c r="TRC24" s="720"/>
      <c r="TRD24" s="720"/>
      <c r="TRE24" s="720"/>
      <c r="TRF24" s="720"/>
      <c r="TRG24" s="720"/>
      <c r="TRH24" s="720"/>
      <c r="TRI24" s="720"/>
      <c r="TRJ24" s="720"/>
      <c r="TRK24" s="720"/>
      <c r="TRL24" s="720"/>
      <c r="TRM24" s="720"/>
      <c r="TRN24" s="720"/>
      <c r="TRO24" s="720"/>
      <c r="TRP24" s="720"/>
      <c r="TRQ24" s="720"/>
      <c r="TRR24" s="720"/>
      <c r="TRS24" s="720"/>
      <c r="TRT24" s="720"/>
      <c r="TRU24" s="720"/>
      <c r="TRV24" s="720"/>
      <c r="TRW24" s="720"/>
      <c r="TRX24" s="720"/>
      <c r="TRY24" s="720"/>
      <c r="TRZ24" s="720"/>
      <c r="TSA24" s="720"/>
      <c r="TSB24" s="720"/>
      <c r="TSC24" s="720"/>
      <c r="TSD24" s="720"/>
      <c r="TSE24" s="720"/>
      <c r="TSF24" s="720"/>
      <c r="TSG24" s="720"/>
      <c r="TSH24" s="720"/>
      <c r="TSI24" s="720"/>
      <c r="TSJ24" s="720"/>
      <c r="TSK24" s="720"/>
      <c r="TSL24" s="720"/>
      <c r="TSM24" s="720"/>
      <c r="TSN24" s="720"/>
      <c r="TSO24" s="720"/>
      <c r="TSP24" s="720"/>
      <c r="TSQ24" s="720"/>
      <c r="TSR24" s="720"/>
      <c r="TSS24" s="720"/>
      <c r="TST24" s="720"/>
      <c r="TSU24" s="720"/>
      <c r="TSV24" s="720"/>
      <c r="TSW24" s="720"/>
      <c r="TSX24" s="720"/>
      <c r="TSY24" s="720"/>
      <c r="TSZ24" s="720"/>
      <c r="TTA24" s="720"/>
      <c r="TTB24" s="720"/>
      <c r="TTC24" s="720"/>
      <c r="TTD24" s="720"/>
      <c r="TTE24" s="720"/>
      <c r="TTF24" s="720"/>
      <c r="TTG24" s="720"/>
      <c r="TTH24" s="720"/>
      <c r="TTI24" s="720"/>
      <c r="TTJ24" s="720"/>
      <c r="TTK24" s="720"/>
      <c r="TTL24" s="720"/>
      <c r="TTM24" s="720"/>
      <c r="TTN24" s="720"/>
      <c r="TTO24" s="720"/>
      <c r="TTP24" s="720"/>
      <c r="TTQ24" s="720"/>
      <c r="TTR24" s="720"/>
      <c r="TTS24" s="720"/>
      <c r="TTT24" s="720"/>
      <c r="TTU24" s="720"/>
      <c r="TTV24" s="720"/>
      <c r="TTW24" s="720"/>
      <c r="TTX24" s="720"/>
      <c r="TTY24" s="720"/>
      <c r="TTZ24" s="720"/>
      <c r="TUA24" s="720"/>
      <c r="TUB24" s="720"/>
      <c r="TUC24" s="720"/>
      <c r="TUD24" s="720"/>
      <c r="TUE24" s="720"/>
      <c r="TUF24" s="720"/>
      <c r="TUG24" s="720"/>
      <c r="TUH24" s="720"/>
      <c r="TUI24" s="720"/>
      <c r="TUJ24" s="720"/>
      <c r="TUK24" s="720"/>
      <c r="TUL24" s="720"/>
      <c r="TUM24" s="720"/>
      <c r="TUN24" s="720"/>
      <c r="TUO24" s="720"/>
      <c r="TUP24" s="720"/>
      <c r="TUQ24" s="720"/>
      <c r="TUR24" s="720"/>
      <c r="TUS24" s="720"/>
      <c r="TUT24" s="720"/>
      <c r="TUU24" s="720"/>
      <c r="TUV24" s="720"/>
      <c r="TUW24" s="720"/>
      <c r="TUX24" s="720"/>
      <c r="TUY24" s="720"/>
      <c r="TUZ24" s="720"/>
      <c r="TVA24" s="720"/>
      <c r="TVB24" s="720"/>
      <c r="TVC24" s="720"/>
      <c r="TVD24" s="720"/>
      <c r="TVE24" s="720"/>
      <c r="TVF24" s="720"/>
      <c r="TVG24" s="720"/>
      <c r="TVH24" s="720"/>
      <c r="TVI24" s="720"/>
      <c r="TVJ24" s="720"/>
      <c r="TVK24" s="720"/>
      <c r="TVL24" s="720"/>
      <c r="TVM24" s="720"/>
      <c r="TVN24" s="720"/>
      <c r="TVO24" s="720"/>
      <c r="TVP24" s="720"/>
      <c r="TVQ24" s="720"/>
      <c r="TVR24" s="720"/>
      <c r="TVS24" s="720"/>
      <c r="TVT24" s="720"/>
      <c r="TVU24" s="720"/>
      <c r="TVV24" s="720"/>
      <c r="TVW24" s="720"/>
      <c r="TVX24" s="720"/>
      <c r="TVY24" s="720"/>
      <c r="TVZ24" s="720"/>
      <c r="TWA24" s="720"/>
      <c r="TWB24" s="720"/>
      <c r="TWC24" s="720"/>
      <c r="TWD24" s="720"/>
      <c r="TWE24" s="720"/>
      <c r="TWF24" s="720"/>
      <c r="TWG24" s="720"/>
      <c r="TWH24" s="720"/>
      <c r="TWI24" s="720"/>
      <c r="TWJ24" s="720"/>
      <c r="TWK24" s="720"/>
      <c r="TWL24" s="720"/>
      <c r="TWM24" s="720"/>
      <c r="TWN24" s="720"/>
      <c r="TWO24" s="720"/>
      <c r="TWP24" s="720"/>
      <c r="TWQ24" s="720"/>
      <c r="TWR24" s="720"/>
      <c r="TWS24" s="720"/>
      <c r="TWT24" s="720"/>
      <c r="TWU24" s="720"/>
      <c r="TWV24" s="720"/>
      <c r="TWW24" s="720"/>
      <c r="TWX24" s="720"/>
      <c r="TWY24" s="720"/>
      <c r="TWZ24" s="720"/>
      <c r="TXA24" s="720"/>
      <c r="TXB24" s="720"/>
      <c r="TXC24" s="720"/>
      <c r="TXD24" s="720"/>
      <c r="TXE24" s="720"/>
      <c r="TXF24" s="720"/>
      <c r="TXG24" s="720"/>
      <c r="TXH24" s="720"/>
      <c r="TXI24" s="720"/>
      <c r="TXJ24" s="720"/>
      <c r="TXK24" s="720"/>
      <c r="TXL24" s="720"/>
      <c r="TXM24" s="720"/>
      <c r="TXN24" s="720"/>
      <c r="TXO24" s="720"/>
      <c r="TXP24" s="720"/>
      <c r="TXQ24" s="720"/>
      <c r="TXR24" s="720"/>
      <c r="TXS24" s="720"/>
      <c r="TXT24" s="720"/>
      <c r="TXU24" s="720"/>
      <c r="TXV24" s="720"/>
      <c r="TXW24" s="720"/>
      <c r="TXX24" s="720"/>
      <c r="TXY24" s="720"/>
      <c r="TXZ24" s="720"/>
      <c r="TYA24" s="720"/>
      <c r="TYB24" s="720"/>
      <c r="TYC24" s="720"/>
      <c r="TYD24" s="720"/>
      <c r="TYE24" s="720"/>
      <c r="TYF24" s="720"/>
      <c r="TYG24" s="720"/>
      <c r="TYH24" s="720"/>
      <c r="TYI24" s="720"/>
      <c r="TYJ24" s="720"/>
      <c r="TYK24" s="720"/>
      <c r="TYL24" s="720"/>
      <c r="TYM24" s="720"/>
      <c r="TYN24" s="720"/>
      <c r="TYO24" s="720"/>
      <c r="TYP24" s="720"/>
      <c r="TYQ24" s="720"/>
      <c r="TYR24" s="720"/>
      <c r="TYS24" s="720"/>
      <c r="TYT24" s="720"/>
      <c r="TYU24" s="720"/>
      <c r="TYV24" s="720"/>
      <c r="TYW24" s="720"/>
      <c r="TYX24" s="720"/>
      <c r="TYY24" s="720"/>
      <c r="TYZ24" s="720"/>
      <c r="TZA24" s="720"/>
      <c r="TZB24" s="720"/>
      <c r="TZC24" s="720"/>
      <c r="TZD24" s="720"/>
      <c r="TZE24" s="720"/>
      <c r="TZF24" s="720"/>
      <c r="TZG24" s="720"/>
      <c r="TZH24" s="720"/>
      <c r="TZI24" s="720"/>
      <c r="TZJ24" s="720"/>
      <c r="TZK24" s="720"/>
      <c r="TZL24" s="720"/>
      <c r="TZM24" s="720"/>
      <c r="TZN24" s="720"/>
      <c r="TZO24" s="720"/>
      <c r="TZP24" s="720"/>
      <c r="TZQ24" s="720"/>
      <c r="TZR24" s="720"/>
      <c r="TZS24" s="720"/>
      <c r="TZT24" s="720"/>
      <c r="TZU24" s="720"/>
      <c r="TZV24" s="720"/>
      <c r="TZW24" s="720"/>
      <c r="TZX24" s="720"/>
      <c r="TZY24" s="720"/>
      <c r="TZZ24" s="720"/>
      <c r="UAA24" s="720"/>
      <c r="UAB24" s="720"/>
      <c r="UAC24" s="720"/>
      <c r="UAD24" s="720"/>
      <c r="UAE24" s="720"/>
      <c r="UAF24" s="720"/>
      <c r="UAG24" s="720"/>
      <c r="UAH24" s="720"/>
      <c r="UAI24" s="720"/>
      <c r="UAJ24" s="720"/>
      <c r="UAK24" s="720"/>
      <c r="UAL24" s="720"/>
      <c r="UAM24" s="720"/>
      <c r="UAN24" s="720"/>
      <c r="UAO24" s="720"/>
      <c r="UAP24" s="720"/>
      <c r="UAQ24" s="720"/>
      <c r="UAR24" s="720"/>
      <c r="UAS24" s="720"/>
      <c r="UAT24" s="720"/>
      <c r="UAU24" s="720"/>
      <c r="UAV24" s="720"/>
      <c r="UAW24" s="720"/>
      <c r="UAX24" s="720"/>
      <c r="UAY24" s="720"/>
      <c r="UAZ24" s="720"/>
      <c r="UBA24" s="720"/>
      <c r="UBB24" s="720"/>
      <c r="UBC24" s="720"/>
      <c r="UBD24" s="720"/>
      <c r="UBE24" s="720"/>
      <c r="UBF24" s="720"/>
      <c r="UBG24" s="720"/>
      <c r="UBH24" s="720"/>
      <c r="UBI24" s="720"/>
      <c r="UBJ24" s="720"/>
      <c r="UBK24" s="720"/>
      <c r="UBL24" s="720"/>
      <c r="UBM24" s="720"/>
      <c r="UBN24" s="720"/>
      <c r="UBO24" s="720"/>
      <c r="UBP24" s="720"/>
      <c r="UBQ24" s="720"/>
      <c r="UBR24" s="720"/>
      <c r="UBS24" s="720"/>
      <c r="UBT24" s="720"/>
      <c r="UBU24" s="720"/>
      <c r="UBV24" s="720"/>
      <c r="UBW24" s="720"/>
      <c r="UBX24" s="720"/>
      <c r="UBY24" s="720"/>
      <c r="UBZ24" s="720"/>
      <c r="UCA24" s="720"/>
      <c r="UCB24" s="720"/>
      <c r="UCC24" s="720"/>
      <c r="UCD24" s="720"/>
      <c r="UCE24" s="720"/>
      <c r="UCF24" s="720"/>
      <c r="UCG24" s="720"/>
      <c r="UCH24" s="720"/>
      <c r="UCI24" s="720"/>
      <c r="UCJ24" s="720"/>
      <c r="UCK24" s="720"/>
      <c r="UCL24" s="720"/>
      <c r="UCM24" s="720"/>
      <c r="UCN24" s="720"/>
      <c r="UCO24" s="720"/>
      <c r="UCP24" s="720"/>
      <c r="UCQ24" s="720"/>
      <c r="UCR24" s="720"/>
      <c r="UCS24" s="720"/>
      <c r="UCT24" s="720"/>
      <c r="UCU24" s="720"/>
      <c r="UCV24" s="720"/>
      <c r="UCW24" s="720"/>
      <c r="UCX24" s="720"/>
      <c r="UCY24" s="720"/>
      <c r="UCZ24" s="720"/>
      <c r="UDA24" s="720"/>
      <c r="UDB24" s="720"/>
      <c r="UDC24" s="720"/>
      <c r="UDD24" s="720"/>
      <c r="UDE24" s="720"/>
      <c r="UDF24" s="720"/>
      <c r="UDG24" s="720"/>
      <c r="UDH24" s="720"/>
      <c r="UDI24" s="720"/>
      <c r="UDJ24" s="720"/>
      <c r="UDK24" s="720"/>
      <c r="UDL24" s="720"/>
      <c r="UDM24" s="720"/>
      <c r="UDN24" s="720"/>
      <c r="UDO24" s="720"/>
      <c r="UDP24" s="720"/>
      <c r="UDQ24" s="720"/>
      <c r="UDR24" s="720"/>
      <c r="UDS24" s="720"/>
      <c r="UDT24" s="720"/>
      <c r="UDU24" s="720"/>
      <c r="UDV24" s="720"/>
      <c r="UDW24" s="720"/>
      <c r="UDX24" s="720"/>
      <c r="UDY24" s="720"/>
      <c r="UDZ24" s="720"/>
      <c r="UEA24" s="720"/>
      <c r="UEB24" s="720"/>
      <c r="UEC24" s="720"/>
      <c r="UED24" s="720"/>
      <c r="UEE24" s="720"/>
      <c r="UEF24" s="720"/>
      <c r="UEG24" s="720"/>
      <c r="UEH24" s="720"/>
      <c r="UEI24" s="720"/>
      <c r="UEJ24" s="720"/>
      <c r="UEK24" s="720"/>
      <c r="UEL24" s="720"/>
      <c r="UEM24" s="720"/>
      <c r="UEN24" s="720"/>
      <c r="UEO24" s="720"/>
      <c r="UEP24" s="720"/>
      <c r="UEQ24" s="720"/>
      <c r="UER24" s="720"/>
      <c r="UES24" s="720"/>
      <c r="UET24" s="720"/>
      <c r="UEU24" s="720"/>
      <c r="UEV24" s="720"/>
      <c r="UEW24" s="720"/>
      <c r="UEX24" s="720"/>
      <c r="UEY24" s="720"/>
      <c r="UEZ24" s="720"/>
      <c r="UFA24" s="720"/>
      <c r="UFB24" s="720"/>
      <c r="UFC24" s="720"/>
      <c r="UFD24" s="720"/>
      <c r="UFE24" s="720"/>
      <c r="UFF24" s="720"/>
      <c r="UFG24" s="720"/>
      <c r="UFH24" s="720"/>
      <c r="UFI24" s="720"/>
      <c r="UFJ24" s="720"/>
      <c r="UFK24" s="720"/>
      <c r="UFL24" s="720"/>
      <c r="UFM24" s="720"/>
      <c r="UFN24" s="720"/>
      <c r="UFO24" s="720"/>
      <c r="UFP24" s="720"/>
      <c r="UFQ24" s="720"/>
      <c r="UFR24" s="720"/>
      <c r="UFS24" s="720"/>
      <c r="UFT24" s="720"/>
      <c r="UFU24" s="720"/>
      <c r="UFV24" s="720"/>
      <c r="UFW24" s="720"/>
      <c r="UFX24" s="720"/>
      <c r="UFY24" s="720"/>
      <c r="UFZ24" s="720"/>
      <c r="UGA24" s="720"/>
      <c r="UGB24" s="720"/>
      <c r="UGC24" s="720"/>
      <c r="UGD24" s="720"/>
      <c r="UGE24" s="720"/>
      <c r="UGF24" s="720"/>
      <c r="UGG24" s="720"/>
      <c r="UGH24" s="720"/>
      <c r="UGI24" s="720"/>
      <c r="UGJ24" s="720"/>
      <c r="UGK24" s="720"/>
      <c r="UGL24" s="720"/>
      <c r="UGM24" s="720"/>
      <c r="UGN24" s="720"/>
      <c r="UGO24" s="720"/>
      <c r="UGP24" s="720"/>
      <c r="UGQ24" s="720"/>
      <c r="UGR24" s="720"/>
      <c r="UGS24" s="720"/>
      <c r="UGT24" s="720"/>
      <c r="UGU24" s="720"/>
      <c r="UGV24" s="720"/>
      <c r="UGW24" s="720"/>
      <c r="UGX24" s="720"/>
      <c r="UGY24" s="720"/>
      <c r="UGZ24" s="720"/>
      <c r="UHA24" s="720"/>
      <c r="UHB24" s="720"/>
      <c r="UHC24" s="720"/>
      <c r="UHD24" s="720"/>
      <c r="UHE24" s="720"/>
      <c r="UHF24" s="720"/>
      <c r="UHG24" s="720"/>
      <c r="UHH24" s="720"/>
      <c r="UHI24" s="720"/>
      <c r="UHJ24" s="720"/>
      <c r="UHK24" s="720"/>
      <c r="UHL24" s="720"/>
      <c r="UHM24" s="720"/>
      <c r="UHN24" s="720"/>
      <c r="UHO24" s="720"/>
      <c r="UHP24" s="720"/>
      <c r="UHQ24" s="720"/>
      <c r="UHR24" s="720"/>
      <c r="UHS24" s="720"/>
      <c r="UHT24" s="720"/>
      <c r="UHU24" s="720"/>
      <c r="UHV24" s="720"/>
      <c r="UHW24" s="720"/>
      <c r="UHX24" s="720"/>
      <c r="UHY24" s="720"/>
      <c r="UHZ24" s="720"/>
      <c r="UIA24" s="720"/>
      <c r="UIB24" s="720"/>
      <c r="UIC24" s="720"/>
      <c r="UID24" s="720"/>
      <c r="UIE24" s="720"/>
      <c r="UIF24" s="720"/>
      <c r="UIG24" s="720"/>
      <c r="UIH24" s="720"/>
      <c r="UII24" s="720"/>
      <c r="UIJ24" s="720"/>
      <c r="UIK24" s="720"/>
      <c r="UIL24" s="720"/>
      <c r="UIM24" s="720"/>
      <c r="UIN24" s="720"/>
      <c r="UIO24" s="720"/>
      <c r="UIP24" s="720"/>
      <c r="UIQ24" s="720"/>
      <c r="UIR24" s="720"/>
      <c r="UIS24" s="720"/>
      <c r="UIT24" s="720"/>
      <c r="UIU24" s="720"/>
      <c r="UIV24" s="720"/>
      <c r="UIW24" s="720"/>
      <c r="UIX24" s="720"/>
      <c r="UIY24" s="720"/>
      <c r="UIZ24" s="720"/>
      <c r="UJA24" s="720"/>
      <c r="UJB24" s="720"/>
      <c r="UJC24" s="720"/>
      <c r="UJD24" s="720"/>
      <c r="UJE24" s="720"/>
      <c r="UJF24" s="720"/>
      <c r="UJG24" s="720"/>
      <c r="UJH24" s="720"/>
      <c r="UJI24" s="720"/>
      <c r="UJJ24" s="720"/>
      <c r="UJK24" s="720"/>
      <c r="UJL24" s="720"/>
      <c r="UJM24" s="720"/>
      <c r="UJN24" s="720"/>
      <c r="UJO24" s="720"/>
      <c r="UJP24" s="720"/>
      <c r="UJQ24" s="720"/>
      <c r="UJR24" s="720"/>
      <c r="UJS24" s="720"/>
      <c r="UJT24" s="720"/>
      <c r="UJU24" s="720"/>
      <c r="UJV24" s="720"/>
      <c r="UJW24" s="720"/>
      <c r="UJX24" s="720"/>
      <c r="UJY24" s="720"/>
      <c r="UJZ24" s="720"/>
      <c r="UKA24" s="720"/>
      <c r="UKB24" s="720"/>
      <c r="UKC24" s="720"/>
      <c r="UKD24" s="720"/>
      <c r="UKE24" s="720"/>
      <c r="UKF24" s="720"/>
      <c r="UKG24" s="720"/>
      <c r="UKH24" s="720"/>
      <c r="UKI24" s="720"/>
      <c r="UKJ24" s="720"/>
      <c r="UKK24" s="720"/>
      <c r="UKL24" s="720"/>
      <c r="UKM24" s="720"/>
      <c r="UKN24" s="720"/>
      <c r="UKO24" s="720"/>
      <c r="UKP24" s="720"/>
      <c r="UKQ24" s="720"/>
      <c r="UKR24" s="720"/>
      <c r="UKS24" s="720"/>
      <c r="UKT24" s="720"/>
      <c r="UKU24" s="720"/>
      <c r="UKV24" s="720"/>
      <c r="UKW24" s="720"/>
      <c r="UKX24" s="720"/>
      <c r="UKY24" s="720"/>
      <c r="UKZ24" s="720"/>
      <c r="ULA24" s="720"/>
      <c r="ULB24" s="720"/>
      <c r="ULC24" s="720"/>
      <c r="ULD24" s="720"/>
      <c r="ULE24" s="720"/>
      <c r="ULF24" s="720"/>
      <c r="ULG24" s="720"/>
      <c r="ULH24" s="720"/>
      <c r="ULI24" s="720"/>
      <c r="ULJ24" s="720"/>
      <c r="ULK24" s="720"/>
      <c r="ULL24" s="720"/>
      <c r="ULM24" s="720"/>
      <c r="ULN24" s="720"/>
      <c r="ULO24" s="720"/>
      <c r="ULP24" s="720"/>
      <c r="ULQ24" s="720"/>
      <c r="ULR24" s="720"/>
      <c r="ULS24" s="720"/>
      <c r="ULT24" s="720"/>
      <c r="ULU24" s="720"/>
      <c r="ULV24" s="720"/>
      <c r="ULW24" s="720"/>
      <c r="ULX24" s="720"/>
      <c r="ULY24" s="720"/>
      <c r="ULZ24" s="720"/>
      <c r="UMA24" s="720"/>
      <c r="UMB24" s="720"/>
      <c r="UMC24" s="720"/>
      <c r="UMD24" s="720"/>
      <c r="UME24" s="720"/>
      <c r="UMF24" s="720"/>
      <c r="UMG24" s="720"/>
      <c r="UMH24" s="720"/>
      <c r="UMI24" s="720"/>
      <c r="UMJ24" s="720"/>
      <c r="UMK24" s="720"/>
      <c r="UML24" s="720"/>
      <c r="UMM24" s="720"/>
      <c r="UMN24" s="720"/>
      <c r="UMO24" s="720"/>
      <c r="UMP24" s="720"/>
      <c r="UMQ24" s="720"/>
      <c r="UMR24" s="720"/>
      <c r="UMS24" s="720"/>
      <c r="UMT24" s="720"/>
      <c r="UMU24" s="720"/>
      <c r="UMV24" s="720"/>
      <c r="UMW24" s="720"/>
      <c r="UMX24" s="720"/>
      <c r="UMY24" s="720"/>
      <c r="UMZ24" s="720"/>
      <c r="UNA24" s="720"/>
      <c r="UNB24" s="720"/>
      <c r="UNC24" s="720"/>
      <c r="UND24" s="720"/>
      <c r="UNE24" s="720"/>
      <c r="UNF24" s="720"/>
      <c r="UNG24" s="720"/>
      <c r="UNH24" s="720"/>
      <c r="UNI24" s="720"/>
      <c r="UNJ24" s="720"/>
      <c r="UNK24" s="720"/>
      <c r="UNL24" s="720"/>
      <c r="UNM24" s="720"/>
      <c r="UNN24" s="720"/>
      <c r="UNO24" s="720"/>
      <c r="UNP24" s="720"/>
      <c r="UNQ24" s="720"/>
      <c r="UNR24" s="720"/>
      <c r="UNS24" s="720"/>
      <c r="UNT24" s="720"/>
      <c r="UNU24" s="720"/>
      <c r="UNV24" s="720"/>
      <c r="UNW24" s="720"/>
      <c r="UNX24" s="720"/>
      <c r="UNY24" s="720"/>
      <c r="UNZ24" s="720"/>
      <c r="UOA24" s="720"/>
      <c r="UOB24" s="720"/>
      <c r="UOC24" s="720"/>
      <c r="UOD24" s="720"/>
      <c r="UOE24" s="720"/>
      <c r="UOF24" s="720"/>
      <c r="UOG24" s="720"/>
      <c r="UOH24" s="720"/>
      <c r="UOI24" s="720"/>
      <c r="UOJ24" s="720"/>
      <c r="UOK24" s="720"/>
      <c r="UOL24" s="720"/>
      <c r="UOM24" s="720"/>
      <c r="UON24" s="720"/>
      <c r="UOO24" s="720"/>
      <c r="UOP24" s="720"/>
      <c r="UOQ24" s="720"/>
      <c r="UOR24" s="720"/>
      <c r="UOS24" s="720"/>
      <c r="UOT24" s="720"/>
      <c r="UOU24" s="720"/>
      <c r="UOV24" s="720"/>
      <c r="UOW24" s="720"/>
      <c r="UOX24" s="720"/>
      <c r="UOY24" s="720"/>
      <c r="UOZ24" s="720"/>
      <c r="UPA24" s="720"/>
      <c r="UPB24" s="720"/>
      <c r="UPC24" s="720"/>
      <c r="UPD24" s="720"/>
      <c r="UPE24" s="720"/>
      <c r="UPF24" s="720"/>
      <c r="UPG24" s="720"/>
      <c r="UPH24" s="720"/>
      <c r="UPI24" s="720"/>
      <c r="UPJ24" s="720"/>
      <c r="UPK24" s="720"/>
      <c r="UPL24" s="720"/>
      <c r="UPM24" s="720"/>
      <c r="UPN24" s="720"/>
      <c r="UPO24" s="720"/>
      <c r="UPP24" s="720"/>
      <c r="UPQ24" s="720"/>
      <c r="UPR24" s="720"/>
      <c r="UPS24" s="720"/>
      <c r="UPT24" s="720"/>
      <c r="UPU24" s="720"/>
      <c r="UPV24" s="720"/>
      <c r="UPW24" s="720"/>
      <c r="UPX24" s="720"/>
      <c r="UPY24" s="720"/>
      <c r="UPZ24" s="720"/>
      <c r="UQA24" s="720"/>
      <c r="UQB24" s="720"/>
      <c r="UQC24" s="720"/>
      <c r="UQD24" s="720"/>
      <c r="UQE24" s="720"/>
      <c r="UQF24" s="720"/>
      <c r="UQG24" s="720"/>
      <c r="UQH24" s="720"/>
      <c r="UQI24" s="720"/>
      <c r="UQJ24" s="720"/>
      <c r="UQK24" s="720"/>
      <c r="UQL24" s="720"/>
      <c r="UQM24" s="720"/>
      <c r="UQN24" s="720"/>
      <c r="UQO24" s="720"/>
      <c r="UQP24" s="720"/>
      <c r="UQQ24" s="720"/>
      <c r="UQR24" s="720"/>
      <c r="UQS24" s="720"/>
      <c r="UQT24" s="720"/>
      <c r="UQU24" s="720"/>
      <c r="UQV24" s="720"/>
      <c r="UQW24" s="720"/>
      <c r="UQX24" s="720"/>
      <c r="UQY24" s="720"/>
      <c r="UQZ24" s="720"/>
      <c r="URA24" s="720"/>
      <c r="URB24" s="720"/>
      <c r="URC24" s="720"/>
      <c r="URD24" s="720"/>
      <c r="URE24" s="720"/>
      <c r="URF24" s="720"/>
      <c r="URG24" s="720"/>
      <c r="URH24" s="720"/>
      <c r="URI24" s="720"/>
      <c r="URJ24" s="720"/>
      <c r="URK24" s="720"/>
      <c r="URL24" s="720"/>
      <c r="URM24" s="720"/>
      <c r="URN24" s="720"/>
      <c r="URO24" s="720"/>
      <c r="URP24" s="720"/>
      <c r="URQ24" s="720"/>
      <c r="URR24" s="720"/>
      <c r="URS24" s="720"/>
      <c r="URT24" s="720"/>
      <c r="URU24" s="720"/>
      <c r="URV24" s="720"/>
      <c r="URW24" s="720"/>
      <c r="URX24" s="720"/>
      <c r="URY24" s="720"/>
      <c r="URZ24" s="720"/>
      <c r="USA24" s="720"/>
      <c r="USB24" s="720"/>
      <c r="USC24" s="720"/>
      <c r="USD24" s="720"/>
      <c r="USE24" s="720"/>
      <c r="USF24" s="720"/>
      <c r="USG24" s="720"/>
      <c r="USH24" s="720"/>
      <c r="USI24" s="720"/>
      <c r="USJ24" s="720"/>
      <c r="USK24" s="720"/>
      <c r="USL24" s="720"/>
      <c r="USM24" s="720"/>
      <c r="USN24" s="720"/>
      <c r="USO24" s="720"/>
      <c r="USP24" s="720"/>
      <c r="USQ24" s="720"/>
      <c r="USR24" s="720"/>
      <c r="USS24" s="720"/>
      <c r="UST24" s="720"/>
      <c r="USU24" s="720"/>
      <c r="USV24" s="720"/>
      <c r="USW24" s="720"/>
      <c r="USX24" s="720"/>
      <c r="USY24" s="720"/>
      <c r="USZ24" s="720"/>
      <c r="UTA24" s="720"/>
      <c r="UTB24" s="720"/>
      <c r="UTC24" s="720"/>
      <c r="UTD24" s="720"/>
      <c r="UTE24" s="720"/>
      <c r="UTF24" s="720"/>
      <c r="UTG24" s="720"/>
      <c r="UTH24" s="720"/>
      <c r="UTI24" s="720"/>
      <c r="UTJ24" s="720"/>
      <c r="UTK24" s="720"/>
      <c r="UTL24" s="720"/>
      <c r="UTM24" s="720"/>
      <c r="UTN24" s="720"/>
      <c r="UTO24" s="720"/>
      <c r="UTP24" s="720"/>
      <c r="UTQ24" s="720"/>
      <c r="UTR24" s="720"/>
      <c r="UTS24" s="720"/>
      <c r="UTT24" s="720"/>
      <c r="UTU24" s="720"/>
      <c r="UTV24" s="720"/>
      <c r="UTW24" s="720"/>
      <c r="UTX24" s="720"/>
      <c r="UTY24" s="720"/>
      <c r="UTZ24" s="720"/>
      <c r="UUA24" s="720"/>
      <c r="UUB24" s="720"/>
      <c r="UUC24" s="720"/>
      <c r="UUD24" s="720"/>
      <c r="UUE24" s="720"/>
      <c r="UUF24" s="720"/>
      <c r="UUG24" s="720"/>
      <c r="UUH24" s="720"/>
      <c r="UUI24" s="720"/>
      <c r="UUJ24" s="720"/>
      <c r="UUK24" s="720"/>
      <c r="UUL24" s="720"/>
      <c r="UUM24" s="720"/>
      <c r="UUN24" s="720"/>
      <c r="UUO24" s="720"/>
      <c r="UUP24" s="720"/>
      <c r="UUQ24" s="720"/>
      <c r="UUR24" s="720"/>
      <c r="UUS24" s="720"/>
      <c r="UUT24" s="720"/>
      <c r="UUU24" s="720"/>
      <c r="UUV24" s="720"/>
      <c r="UUW24" s="720"/>
      <c r="UUX24" s="720"/>
      <c r="UUY24" s="720"/>
      <c r="UUZ24" s="720"/>
      <c r="UVA24" s="720"/>
      <c r="UVB24" s="720"/>
      <c r="UVC24" s="720"/>
      <c r="UVD24" s="720"/>
      <c r="UVE24" s="720"/>
      <c r="UVF24" s="720"/>
      <c r="UVG24" s="720"/>
      <c r="UVH24" s="720"/>
      <c r="UVI24" s="720"/>
      <c r="UVJ24" s="720"/>
      <c r="UVK24" s="720"/>
      <c r="UVL24" s="720"/>
      <c r="UVM24" s="720"/>
      <c r="UVN24" s="720"/>
      <c r="UVO24" s="720"/>
      <c r="UVP24" s="720"/>
      <c r="UVQ24" s="720"/>
      <c r="UVR24" s="720"/>
      <c r="UVS24" s="720"/>
      <c r="UVT24" s="720"/>
      <c r="UVU24" s="720"/>
      <c r="UVV24" s="720"/>
      <c r="UVW24" s="720"/>
      <c r="UVX24" s="720"/>
      <c r="UVY24" s="720"/>
      <c r="UVZ24" s="720"/>
      <c r="UWA24" s="720"/>
      <c r="UWB24" s="720"/>
      <c r="UWC24" s="720"/>
      <c r="UWD24" s="720"/>
      <c r="UWE24" s="720"/>
      <c r="UWF24" s="720"/>
      <c r="UWG24" s="720"/>
      <c r="UWH24" s="720"/>
      <c r="UWI24" s="720"/>
      <c r="UWJ24" s="720"/>
      <c r="UWK24" s="720"/>
      <c r="UWL24" s="720"/>
      <c r="UWM24" s="720"/>
      <c r="UWN24" s="720"/>
      <c r="UWO24" s="720"/>
      <c r="UWP24" s="720"/>
      <c r="UWQ24" s="720"/>
      <c r="UWR24" s="720"/>
      <c r="UWS24" s="720"/>
      <c r="UWT24" s="720"/>
      <c r="UWU24" s="720"/>
      <c r="UWV24" s="720"/>
      <c r="UWW24" s="720"/>
      <c r="UWX24" s="720"/>
      <c r="UWY24" s="720"/>
      <c r="UWZ24" s="720"/>
      <c r="UXA24" s="720"/>
      <c r="UXB24" s="720"/>
      <c r="UXC24" s="720"/>
      <c r="UXD24" s="720"/>
      <c r="UXE24" s="720"/>
      <c r="UXF24" s="720"/>
      <c r="UXG24" s="720"/>
      <c r="UXH24" s="720"/>
      <c r="UXI24" s="720"/>
      <c r="UXJ24" s="720"/>
      <c r="UXK24" s="720"/>
      <c r="UXL24" s="720"/>
      <c r="UXM24" s="720"/>
      <c r="UXN24" s="720"/>
      <c r="UXO24" s="720"/>
      <c r="UXP24" s="720"/>
      <c r="UXQ24" s="720"/>
      <c r="UXR24" s="720"/>
      <c r="UXS24" s="720"/>
      <c r="UXT24" s="720"/>
      <c r="UXU24" s="720"/>
      <c r="UXV24" s="720"/>
      <c r="UXW24" s="720"/>
      <c r="UXX24" s="720"/>
      <c r="UXY24" s="720"/>
      <c r="UXZ24" s="720"/>
      <c r="UYA24" s="720"/>
      <c r="UYB24" s="720"/>
      <c r="UYC24" s="720"/>
      <c r="UYD24" s="720"/>
      <c r="UYE24" s="720"/>
      <c r="UYF24" s="720"/>
      <c r="UYG24" s="720"/>
      <c r="UYH24" s="720"/>
      <c r="UYI24" s="720"/>
      <c r="UYJ24" s="720"/>
      <c r="UYK24" s="720"/>
      <c r="UYL24" s="720"/>
      <c r="UYM24" s="720"/>
      <c r="UYN24" s="720"/>
      <c r="UYO24" s="720"/>
      <c r="UYP24" s="720"/>
      <c r="UYQ24" s="720"/>
      <c r="UYR24" s="720"/>
      <c r="UYS24" s="720"/>
      <c r="UYT24" s="720"/>
      <c r="UYU24" s="720"/>
      <c r="UYV24" s="720"/>
      <c r="UYW24" s="720"/>
      <c r="UYX24" s="720"/>
      <c r="UYY24" s="720"/>
      <c r="UYZ24" s="720"/>
      <c r="UZA24" s="720"/>
      <c r="UZB24" s="720"/>
      <c r="UZC24" s="720"/>
      <c r="UZD24" s="720"/>
      <c r="UZE24" s="720"/>
      <c r="UZF24" s="720"/>
      <c r="UZG24" s="720"/>
      <c r="UZH24" s="720"/>
      <c r="UZI24" s="720"/>
      <c r="UZJ24" s="720"/>
      <c r="UZK24" s="720"/>
      <c r="UZL24" s="720"/>
      <c r="UZM24" s="720"/>
      <c r="UZN24" s="720"/>
      <c r="UZO24" s="720"/>
      <c r="UZP24" s="720"/>
      <c r="UZQ24" s="720"/>
      <c r="UZR24" s="720"/>
      <c r="UZS24" s="720"/>
      <c r="UZT24" s="720"/>
      <c r="UZU24" s="720"/>
      <c r="UZV24" s="720"/>
      <c r="UZW24" s="720"/>
      <c r="UZX24" s="720"/>
      <c r="UZY24" s="720"/>
      <c r="UZZ24" s="720"/>
      <c r="VAA24" s="720"/>
      <c r="VAB24" s="720"/>
      <c r="VAC24" s="720"/>
      <c r="VAD24" s="720"/>
      <c r="VAE24" s="720"/>
      <c r="VAF24" s="720"/>
      <c r="VAG24" s="720"/>
      <c r="VAH24" s="720"/>
      <c r="VAI24" s="720"/>
      <c r="VAJ24" s="720"/>
      <c r="VAK24" s="720"/>
      <c r="VAL24" s="720"/>
      <c r="VAM24" s="720"/>
      <c r="VAN24" s="720"/>
      <c r="VAO24" s="720"/>
      <c r="VAP24" s="720"/>
      <c r="VAQ24" s="720"/>
      <c r="VAR24" s="720"/>
      <c r="VAS24" s="720"/>
      <c r="VAT24" s="720"/>
      <c r="VAU24" s="720"/>
      <c r="VAV24" s="720"/>
      <c r="VAW24" s="720"/>
      <c r="VAX24" s="720"/>
      <c r="VAY24" s="720"/>
      <c r="VAZ24" s="720"/>
      <c r="VBA24" s="720"/>
      <c r="VBB24" s="720"/>
      <c r="VBC24" s="720"/>
      <c r="VBD24" s="720"/>
      <c r="VBE24" s="720"/>
      <c r="VBF24" s="720"/>
      <c r="VBG24" s="720"/>
      <c r="VBH24" s="720"/>
      <c r="VBI24" s="720"/>
      <c r="VBJ24" s="720"/>
      <c r="VBK24" s="720"/>
      <c r="VBL24" s="720"/>
      <c r="VBM24" s="720"/>
      <c r="VBN24" s="720"/>
      <c r="VBO24" s="720"/>
      <c r="VBP24" s="720"/>
      <c r="VBQ24" s="720"/>
      <c r="VBR24" s="720"/>
      <c r="VBS24" s="720"/>
      <c r="VBT24" s="720"/>
      <c r="VBU24" s="720"/>
      <c r="VBV24" s="720"/>
      <c r="VBW24" s="720"/>
      <c r="VBX24" s="720"/>
      <c r="VBY24" s="720"/>
      <c r="VBZ24" s="720"/>
      <c r="VCA24" s="720"/>
      <c r="VCB24" s="720"/>
      <c r="VCC24" s="720"/>
      <c r="VCD24" s="720"/>
      <c r="VCE24" s="720"/>
      <c r="VCF24" s="720"/>
      <c r="VCG24" s="720"/>
      <c r="VCH24" s="720"/>
      <c r="VCI24" s="720"/>
      <c r="VCJ24" s="720"/>
      <c r="VCK24" s="720"/>
      <c r="VCL24" s="720"/>
      <c r="VCM24" s="720"/>
      <c r="VCN24" s="720"/>
      <c r="VCO24" s="720"/>
      <c r="VCP24" s="720"/>
      <c r="VCQ24" s="720"/>
      <c r="VCR24" s="720"/>
      <c r="VCS24" s="720"/>
      <c r="VCT24" s="720"/>
      <c r="VCU24" s="720"/>
      <c r="VCV24" s="720"/>
      <c r="VCW24" s="720"/>
      <c r="VCX24" s="720"/>
      <c r="VCY24" s="720"/>
      <c r="VCZ24" s="720"/>
      <c r="VDA24" s="720"/>
      <c r="VDB24" s="720"/>
      <c r="VDC24" s="720"/>
      <c r="VDD24" s="720"/>
      <c r="VDE24" s="720"/>
      <c r="VDF24" s="720"/>
      <c r="VDG24" s="720"/>
      <c r="VDH24" s="720"/>
      <c r="VDI24" s="720"/>
      <c r="VDJ24" s="720"/>
      <c r="VDK24" s="720"/>
      <c r="VDL24" s="720"/>
      <c r="VDM24" s="720"/>
      <c r="VDN24" s="720"/>
      <c r="VDO24" s="720"/>
      <c r="VDP24" s="720"/>
      <c r="VDQ24" s="720"/>
      <c r="VDR24" s="720"/>
      <c r="VDS24" s="720"/>
      <c r="VDT24" s="720"/>
      <c r="VDU24" s="720"/>
      <c r="VDV24" s="720"/>
      <c r="VDW24" s="720"/>
      <c r="VDX24" s="720"/>
      <c r="VDY24" s="720"/>
      <c r="VDZ24" s="720"/>
      <c r="VEA24" s="720"/>
      <c r="VEB24" s="720"/>
      <c r="VEC24" s="720"/>
      <c r="VED24" s="720"/>
      <c r="VEE24" s="720"/>
      <c r="VEF24" s="720"/>
      <c r="VEG24" s="720"/>
      <c r="VEH24" s="720"/>
      <c r="VEI24" s="720"/>
      <c r="VEJ24" s="720"/>
      <c r="VEK24" s="720"/>
      <c r="VEL24" s="720"/>
      <c r="VEM24" s="720"/>
      <c r="VEN24" s="720"/>
      <c r="VEO24" s="720"/>
      <c r="VEP24" s="720"/>
      <c r="VEQ24" s="720"/>
      <c r="VER24" s="720"/>
      <c r="VES24" s="720"/>
      <c r="VET24" s="720"/>
      <c r="VEU24" s="720"/>
      <c r="VEV24" s="720"/>
      <c r="VEW24" s="720"/>
      <c r="VEX24" s="720"/>
      <c r="VEY24" s="720"/>
      <c r="VEZ24" s="720"/>
      <c r="VFA24" s="720"/>
      <c r="VFB24" s="720"/>
      <c r="VFC24" s="720"/>
      <c r="VFD24" s="720"/>
      <c r="VFE24" s="720"/>
      <c r="VFF24" s="720"/>
      <c r="VFG24" s="720"/>
      <c r="VFH24" s="720"/>
      <c r="VFI24" s="720"/>
      <c r="VFJ24" s="720"/>
      <c r="VFK24" s="720"/>
      <c r="VFL24" s="720"/>
      <c r="VFM24" s="720"/>
      <c r="VFN24" s="720"/>
      <c r="VFO24" s="720"/>
      <c r="VFP24" s="720"/>
      <c r="VFQ24" s="720"/>
      <c r="VFR24" s="720"/>
      <c r="VFS24" s="720"/>
      <c r="VFT24" s="720"/>
      <c r="VFU24" s="720"/>
      <c r="VFV24" s="720"/>
      <c r="VFW24" s="720"/>
      <c r="VFX24" s="720"/>
      <c r="VFY24" s="720"/>
      <c r="VFZ24" s="720"/>
      <c r="VGA24" s="720"/>
      <c r="VGB24" s="720"/>
      <c r="VGC24" s="720"/>
      <c r="VGD24" s="720"/>
      <c r="VGE24" s="720"/>
      <c r="VGF24" s="720"/>
      <c r="VGG24" s="720"/>
      <c r="VGH24" s="720"/>
      <c r="VGI24" s="720"/>
      <c r="VGJ24" s="720"/>
      <c r="VGK24" s="720"/>
      <c r="VGL24" s="720"/>
      <c r="VGM24" s="720"/>
      <c r="VGN24" s="720"/>
      <c r="VGO24" s="720"/>
      <c r="VGP24" s="720"/>
      <c r="VGQ24" s="720"/>
      <c r="VGR24" s="720"/>
      <c r="VGS24" s="720"/>
      <c r="VGT24" s="720"/>
      <c r="VGU24" s="720"/>
      <c r="VGV24" s="720"/>
      <c r="VGW24" s="720"/>
      <c r="VGX24" s="720"/>
      <c r="VGY24" s="720"/>
      <c r="VGZ24" s="720"/>
      <c r="VHA24" s="720"/>
      <c r="VHB24" s="720"/>
      <c r="VHC24" s="720"/>
      <c r="VHD24" s="720"/>
      <c r="VHE24" s="720"/>
      <c r="VHF24" s="720"/>
      <c r="VHG24" s="720"/>
      <c r="VHH24" s="720"/>
      <c r="VHI24" s="720"/>
      <c r="VHJ24" s="720"/>
      <c r="VHK24" s="720"/>
      <c r="VHL24" s="720"/>
      <c r="VHM24" s="720"/>
      <c r="VHN24" s="720"/>
      <c r="VHO24" s="720"/>
      <c r="VHP24" s="720"/>
      <c r="VHQ24" s="720"/>
      <c r="VHR24" s="720"/>
      <c r="VHS24" s="720"/>
      <c r="VHT24" s="720"/>
      <c r="VHU24" s="720"/>
      <c r="VHV24" s="720"/>
      <c r="VHW24" s="720"/>
      <c r="VHX24" s="720"/>
      <c r="VHY24" s="720"/>
      <c r="VHZ24" s="720"/>
      <c r="VIA24" s="720"/>
      <c r="VIB24" s="720"/>
      <c r="VIC24" s="720"/>
      <c r="VID24" s="720"/>
      <c r="VIE24" s="720"/>
      <c r="VIF24" s="720"/>
      <c r="VIG24" s="720"/>
      <c r="VIH24" s="720"/>
      <c r="VII24" s="720"/>
      <c r="VIJ24" s="720"/>
      <c r="VIK24" s="720"/>
      <c r="VIL24" s="720"/>
      <c r="VIM24" s="720"/>
      <c r="VIN24" s="720"/>
      <c r="VIO24" s="720"/>
      <c r="VIP24" s="720"/>
      <c r="VIQ24" s="720"/>
      <c r="VIR24" s="720"/>
      <c r="VIS24" s="720"/>
      <c r="VIT24" s="720"/>
      <c r="VIU24" s="720"/>
      <c r="VIV24" s="720"/>
      <c r="VIW24" s="720"/>
      <c r="VIX24" s="720"/>
      <c r="VIY24" s="720"/>
      <c r="VIZ24" s="720"/>
      <c r="VJA24" s="720"/>
      <c r="VJB24" s="720"/>
      <c r="VJC24" s="720"/>
      <c r="VJD24" s="720"/>
      <c r="VJE24" s="720"/>
      <c r="VJF24" s="720"/>
      <c r="VJG24" s="720"/>
      <c r="VJH24" s="720"/>
      <c r="VJI24" s="720"/>
      <c r="VJJ24" s="720"/>
      <c r="VJK24" s="720"/>
      <c r="VJL24" s="720"/>
      <c r="VJM24" s="720"/>
      <c r="VJN24" s="720"/>
      <c r="VJO24" s="720"/>
      <c r="VJP24" s="720"/>
      <c r="VJQ24" s="720"/>
      <c r="VJR24" s="720"/>
      <c r="VJS24" s="720"/>
      <c r="VJT24" s="720"/>
      <c r="VJU24" s="720"/>
      <c r="VJV24" s="720"/>
      <c r="VJW24" s="720"/>
      <c r="VJX24" s="720"/>
      <c r="VJY24" s="720"/>
      <c r="VJZ24" s="720"/>
      <c r="VKA24" s="720"/>
      <c r="VKB24" s="720"/>
      <c r="VKC24" s="720"/>
      <c r="VKD24" s="720"/>
      <c r="VKE24" s="720"/>
      <c r="VKF24" s="720"/>
      <c r="VKG24" s="720"/>
      <c r="VKH24" s="720"/>
      <c r="VKI24" s="720"/>
      <c r="VKJ24" s="720"/>
      <c r="VKK24" s="720"/>
      <c r="VKL24" s="720"/>
      <c r="VKM24" s="720"/>
      <c r="VKN24" s="720"/>
      <c r="VKO24" s="720"/>
      <c r="VKP24" s="720"/>
      <c r="VKQ24" s="720"/>
      <c r="VKR24" s="720"/>
      <c r="VKS24" s="720"/>
      <c r="VKT24" s="720"/>
      <c r="VKU24" s="720"/>
      <c r="VKV24" s="720"/>
      <c r="VKW24" s="720"/>
      <c r="VKX24" s="720"/>
      <c r="VKY24" s="720"/>
      <c r="VKZ24" s="720"/>
      <c r="VLA24" s="720"/>
      <c r="VLB24" s="720"/>
      <c r="VLC24" s="720"/>
      <c r="VLD24" s="720"/>
      <c r="VLE24" s="720"/>
      <c r="VLF24" s="720"/>
      <c r="VLG24" s="720"/>
      <c r="VLH24" s="720"/>
      <c r="VLI24" s="720"/>
      <c r="VLJ24" s="720"/>
      <c r="VLK24" s="720"/>
      <c r="VLL24" s="720"/>
      <c r="VLM24" s="720"/>
      <c r="VLN24" s="720"/>
      <c r="VLO24" s="720"/>
      <c r="VLP24" s="720"/>
      <c r="VLQ24" s="720"/>
      <c r="VLR24" s="720"/>
      <c r="VLS24" s="720"/>
      <c r="VLT24" s="720"/>
      <c r="VLU24" s="720"/>
      <c r="VLV24" s="720"/>
      <c r="VLW24" s="720"/>
      <c r="VLX24" s="720"/>
      <c r="VLY24" s="720"/>
      <c r="VLZ24" s="720"/>
      <c r="VMA24" s="720"/>
      <c r="VMB24" s="720"/>
      <c r="VMC24" s="720"/>
      <c r="VMD24" s="720"/>
      <c r="VME24" s="720"/>
      <c r="VMF24" s="720"/>
      <c r="VMG24" s="720"/>
      <c r="VMH24" s="720"/>
      <c r="VMI24" s="720"/>
      <c r="VMJ24" s="720"/>
      <c r="VMK24" s="720"/>
      <c r="VML24" s="720"/>
      <c r="VMM24" s="720"/>
      <c r="VMN24" s="720"/>
      <c r="VMO24" s="720"/>
      <c r="VMP24" s="720"/>
      <c r="VMQ24" s="720"/>
      <c r="VMR24" s="720"/>
      <c r="VMS24" s="720"/>
      <c r="VMT24" s="720"/>
      <c r="VMU24" s="720"/>
      <c r="VMV24" s="720"/>
      <c r="VMW24" s="720"/>
      <c r="VMX24" s="720"/>
      <c r="VMY24" s="720"/>
      <c r="VMZ24" s="720"/>
      <c r="VNA24" s="720"/>
      <c r="VNB24" s="720"/>
      <c r="VNC24" s="720"/>
      <c r="VND24" s="720"/>
      <c r="VNE24" s="720"/>
      <c r="VNF24" s="720"/>
      <c r="VNG24" s="720"/>
      <c r="VNH24" s="720"/>
      <c r="VNI24" s="720"/>
      <c r="VNJ24" s="720"/>
      <c r="VNK24" s="720"/>
      <c r="VNL24" s="720"/>
      <c r="VNM24" s="720"/>
      <c r="VNN24" s="720"/>
      <c r="VNO24" s="720"/>
      <c r="VNP24" s="720"/>
      <c r="VNQ24" s="720"/>
      <c r="VNR24" s="720"/>
      <c r="VNS24" s="720"/>
      <c r="VNT24" s="720"/>
      <c r="VNU24" s="720"/>
      <c r="VNV24" s="720"/>
      <c r="VNW24" s="720"/>
      <c r="VNX24" s="720"/>
      <c r="VNY24" s="720"/>
      <c r="VNZ24" s="720"/>
      <c r="VOA24" s="720"/>
      <c r="VOB24" s="720"/>
      <c r="VOC24" s="720"/>
      <c r="VOD24" s="720"/>
      <c r="VOE24" s="720"/>
      <c r="VOF24" s="720"/>
      <c r="VOG24" s="720"/>
      <c r="VOH24" s="720"/>
      <c r="VOI24" s="720"/>
      <c r="VOJ24" s="720"/>
      <c r="VOK24" s="720"/>
      <c r="VOL24" s="720"/>
      <c r="VOM24" s="720"/>
      <c r="VON24" s="720"/>
      <c r="VOO24" s="720"/>
      <c r="VOP24" s="720"/>
      <c r="VOQ24" s="720"/>
      <c r="VOR24" s="720"/>
      <c r="VOS24" s="720"/>
      <c r="VOT24" s="720"/>
      <c r="VOU24" s="720"/>
      <c r="VOV24" s="720"/>
      <c r="VOW24" s="720"/>
      <c r="VOX24" s="720"/>
      <c r="VOY24" s="720"/>
      <c r="VOZ24" s="720"/>
      <c r="VPA24" s="720"/>
      <c r="VPB24" s="720"/>
      <c r="VPC24" s="720"/>
      <c r="VPD24" s="720"/>
      <c r="VPE24" s="720"/>
      <c r="VPF24" s="720"/>
      <c r="VPG24" s="720"/>
      <c r="VPH24" s="720"/>
      <c r="VPI24" s="720"/>
      <c r="VPJ24" s="720"/>
      <c r="VPK24" s="720"/>
      <c r="VPL24" s="720"/>
      <c r="VPM24" s="720"/>
      <c r="VPN24" s="720"/>
      <c r="VPO24" s="720"/>
      <c r="VPP24" s="720"/>
      <c r="VPQ24" s="720"/>
      <c r="VPR24" s="720"/>
      <c r="VPS24" s="720"/>
      <c r="VPT24" s="720"/>
      <c r="VPU24" s="720"/>
      <c r="VPV24" s="720"/>
      <c r="VPW24" s="720"/>
      <c r="VPX24" s="720"/>
      <c r="VPY24" s="720"/>
      <c r="VPZ24" s="720"/>
      <c r="VQA24" s="720"/>
      <c r="VQB24" s="720"/>
      <c r="VQC24" s="720"/>
      <c r="VQD24" s="720"/>
      <c r="VQE24" s="720"/>
      <c r="VQF24" s="720"/>
      <c r="VQG24" s="720"/>
      <c r="VQH24" s="720"/>
      <c r="VQI24" s="720"/>
      <c r="VQJ24" s="720"/>
      <c r="VQK24" s="720"/>
      <c r="VQL24" s="720"/>
      <c r="VQM24" s="720"/>
      <c r="VQN24" s="720"/>
      <c r="VQO24" s="720"/>
      <c r="VQP24" s="720"/>
      <c r="VQQ24" s="720"/>
      <c r="VQR24" s="720"/>
      <c r="VQS24" s="720"/>
      <c r="VQT24" s="720"/>
      <c r="VQU24" s="720"/>
      <c r="VQV24" s="720"/>
      <c r="VQW24" s="720"/>
      <c r="VQX24" s="720"/>
      <c r="VQY24" s="720"/>
      <c r="VQZ24" s="720"/>
      <c r="VRA24" s="720"/>
      <c r="VRB24" s="720"/>
      <c r="VRC24" s="720"/>
      <c r="VRD24" s="720"/>
      <c r="VRE24" s="720"/>
      <c r="VRF24" s="720"/>
      <c r="VRG24" s="720"/>
      <c r="VRH24" s="720"/>
      <c r="VRI24" s="720"/>
      <c r="VRJ24" s="720"/>
      <c r="VRK24" s="720"/>
      <c r="VRL24" s="720"/>
      <c r="VRM24" s="720"/>
      <c r="VRN24" s="720"/>
      <c r="VRO24" s="720"/>
      <c r="VRP24" s="720"/>
      <c r="VRQ24" s="720"/>
      <c r="VRR24" s="720"/>
      <c r="VRS24" s="720"/>
      <c r="VRT24" s="720"/>
      <c r="VRU24" s="720"/>
      <c r="VRV24" s="720"/>
      <c r="VRW24" s="720"/>
      <c r="VRX24" s="720"/>
      <c r="VRY24" s="720"/>
      <c r="VRZ24" s="720"/>
      <c r="VSA24" s="720"/>
      <c r="VSB24" s="720"/>
      <c r="VSC24" s="720"/>
      <c r="VSD24" s="720"/>
      <c r="VSE24" s="720"/>
      <c r="VSF24" s="720"/>
      <c r="VSG24" s="720"/>
      <c r="VSH24" s="720"/>
      <c r="VSI24" s="720"/>
      <c r="VSJ24" s="720"/>
      <c r="VSK24" s="720"/>
      <c r="VSL24" s="720"/>
      <c r="VSM24" s="720"/>
      <c r="VSN24" s="720"/>
      <c r="VSO24" s="720"/>
      <c r="VSP24" s="720"/>
      <c r="VSQ24" s="720"/>
      <c r="VSR24" s="720"/>
      <c r="VSS24" s="720"/>
      <c r="VST24" s="720"/>
      <c r="VSU24" s="720"/>
      <c r="VSV24" s="720"/>
      <c r="VSW24" s="720"/>
      <c r="VSX24" s="720"/>
      <c r="VSY24" s="720"/>
      <c r="VSZ24" s="720"/>
      <c r="VTA24" s="720"/>
      <c r="VTB24" s="720"/>
      <c r="VTC24" s="720"/>
      <c r="VTD24" s="720"/>
      <c r="VTE24" s="720"/>
      <c r="VTF24" s="720"/>
      <c r="VTG24" s="720"/>
      <c r="VTH24" s="720"/>
      <c r="VTI24" s="720"/>
      <c r="VTJ24" s="720"/>
      <c r="VTK24" s="720"/>
      <c r="VTL24" s="720"/>
      <c r="VTM24" s="720"/>
      <c r="VTN24" s="720"/>
      <c r="VTO24" s="720"/>
      <c r="VTP24" s="720"/>
      <c r="VTQ24" s="720"/>
      <c r="VTR24" s="720"/>
      <c r="VTS24" s="720"/>
      <c r="VTT24" s="720"/>
      <c r="VTU24" s="720"/>
      <c r="VTV24" s="720"/>
      <c r="VTW24" s="720"/>
      <c r="VTX24" s="720"/>
      <c r="VTY24" s="720"/>
      <c r="VTZ24" s="720"/>
      <c r="VUA24" s="720"/>
      <c r="VUB24" s="720"/>
      <c r="VUC24" s="720"/>
      <c r="VUD24" s="720"/>
      <c r="VUE24" s="720"/>
      <c r="VUF24" s="720"/>
      <c r="VUG24" s="720"/>
      <c r="VUH24" s="720"/>
      <c r="VUI24" s="720"/>
      <c r="VUJ24" s="720"/>
      <c r="VUK24" s="720"/>
      <c r="VUL24" s="720"/>
      <c r="VUM24" s="720"/>
      <c r="VUN24" s="720"/>
      <c r="VUO24" s="720"/>
      <c r="VUP24" s="720"/>
      <c r="VUQ24" s="720"/>
      <c r="VUR24" s="720"/>
      <c r="VUS24" s="720"/>
      <c r="VUT24" s="720"/>
      <c r="VUU24" s="720"/>
      <c r="VUV24" s="720"/>
      <c r="VUW24" s="720"/>
      <c r="VUX24" s="720"/>
      <c r="VUY24" s="720"/>
      <c r="VUZ24" s="720"/>
      <c r="VVA24" s="720"/>
      <c r="VVB24" s="720"/>
      <c r="VVC24" s="720"/>
      <c r="VVD24" s="720"/>
      <c r="VVE24" s="720"/>
      <c r="VVF24" s="720"/>
      <c r="VVG24" s="720"/>
      <c r="VVH24" s="720"/>
      <c r="VVI24" s="720"/>
      <c r="VVJ24" s="720"/>
      <c r="VVK24" s="720"/>
      <c r="VVL24" s="720"/>
      <c r="VVM24" s="720"/>
      <c r="VVN24" s="720"/>
      <c r="VVO24" s="720"/>
      <c r="VVP24" s="720"/>
      <c r="VVQ24" s="720"/>
      <c r="VVR24" s="720"/>
      <c r="VVS24" s="720"/>
      <c r="VVT24" s="720"/>
      <c r="VVU24" s="720"/>
      <c r="VVV24" s="720"/>
      <c r="VVW24" s="720"/>
      <c r="VVX24" s="720"/>
      <c r="VVY24" s="720"/>
      <c r="VVZ24" s="720"/>
      <c r="VWA24" s="720"/>
      <c r="VWB24" s="720"/>
      <c r="VWC24" s="720"/>
      <c r="VWD24" s="720"/>
      <c r="VWE24" s="720"/>
      <c r="VWF24" s="720"/>
      <c r="VWG24" s="720"/>
      <c r="VWH24" s="720"/>
      <c r="VWI24" s="720"/>
      <c r="VWJ24" s="720"/>
      <c r="VWK24" s="720"/>
      <c r="VWL24" s="720"/>
      <c r="VWM24" s="720"/>
      <c r="VWN24" s="720"/>
      <c r="VWO24" s="720"/>
      <c r="VWP24" s="720"/>
      <c r="VWQ24" s="720"/>
      <c r="VWR24" s="720"/>
      <c r="VWS24" s="720"/>
      <c r="VWT24" s="720"/>
      <c r="VWU24" s="720"/>
      <c r="VWV24" s="720"/>
      <c r="VWW24" s="720"/>
      <c r="VWX24" s="720"/>
      <c r="VWY24" s="720"/>
      <c r="VWZ24" s="720"/>
      <c r="VXA24" s="720"/>
      <c r="VXB24" s="720"/>
      <c r="VXC24" s="720"/>
      <c r="VXD24" s="720"/>
      <c r="VXE24" s="720"/>
      <c r="VXF24" s="720"/>
      <c r="VXG24" s="720"/>
      <c r="VXH24" s="720"/>
      <c r="VXI24" s="720"/>
      <c r="VXJ24" s="720"/>
      <c r="VXK24" s="720"/>
      <c r="VXL24" s="720"/>
      <c r="VXM24" s="720"/>
      <c r="VXN24" s="720"/>
      <c r="VXO24" s="720"/>
      <c r="VXP24" s="720"/>
      <c r="VXQ24" s="720"/>
      <c r="VXR24" s="720"/>
      <c r="VXS24" s="720"/>
      <c r="VXT24" s="720"/>
      <c r="VXU24" s="720"/>
      <c r="VXV24" s="720"/>
      <c r="VXW24" s="720"/>
      <c r="VXX24" s="720"/>
      <c r="VXY24" s="720"/>
      <c r="VXZ24" s="720"/>
      <c r="VYA24" s="720"/>
      <c r="VYB24" s="720"/>
      <c r="VYC24" s="720"/>
      <c r="VYD24" s="720"/>
      <c r="VYE24" s="720"/>
      <c r="VYF24" s="720"/>
      <c r="VYG24" s="720"/>
      <c r="VYH24" s="720"/>
      <c r="VYI24" s="720"/>
      <c r="VYJ24" s="720"/>
      <c r="VYK24" s="720"/>
      <c r="VYL24" s="720"/>
      <c r="VYM24" s="720"/>
      <c r="VYN24" s="720"/>
      <c r="VYO24" s="720"/>
      <c r="VYP24" s="720"/>
      <c r="VYQ24" s="720"/>
      <c r="VYR24" s="720"/>
      <c r="VYS24" s="720"/>
      <c r="VYT24" s="720"/>
      <c r="VYU24" s="720"/>
      <c r="VYV24" s="720"/>
      <c r="VYW24" s="720"/>
      <c r="VYX24" s="720"/>
      <c r="VYY24" s="720"/>
      <c r="VYZ24" s="720"/>
      <c r="VZA24" s="720"/>
      <c r="VZB24" s="720"/>
      <c r="VZC24" s="720"/>
      <c r="VZD24" s="720"/>
      <c r="VZE24" s="720"/>
      <c r="VZF24" s="720"/>
      <c r="VZG24" s="720"/>
      <c r="VZH24" s="720"/>
      <c r="VZI24" s="720"/>
      <c r="VZJ24" s="720"/>
      <c r="VZK24" s="720"/>
      <c r="VZL24" s="720"/>
      <c r="VZM24" s="720"/>
      <c r="VZN24" s="720"/>
      <c r="VZO24" s="720"/>
      <c r="VZP24" s="720"/>
      <c r="VZQ24" s="720"/>
      <c r="VZR24" s="720"/>
      <c r="VZS24" s="720"/>
      <c r="VZT24" s="720"/>
      <c r="VZU24" s="720"/>
      <c r="VZV24" s="720"/>
      <c r="VZW24" s="720"/>
      <c r="VZX24" s="720"/>
      <c r="VZY24" s="720"/>
      <c r="VZZ24" s="720"/>
      <c r="WAA24" s="720"/>
      <c r="WAB24" s="720"/>
      <c r="WAC24" s="720"/>
      <c r="WAD24" s="720"/>
      <c r="WAE24" s="720"/>
      <c r="WAF24" s="720"/>
      <c r="WAG24" s="720"/>
      <c r="WAH24" s="720"/>
      <c r="WAI24" s="720"/>
      <c r="WAJ24" s="720"/>
      <c r="WAK24" s="720"/>
      <c r="WAL24" s="720"/>
      <c r="WAM24" s="720"/>
      <c r="WAN24" s="720"/>
      <c r="WAO24" s="720"/>
      <c r="WAP24" s="720"/>
      <c r="WAQ24" s="720"/>
      <c r="WAR24" s="720"/>
      <c r="WAS24" s="720"/>
      <c r="WAT24" s="720"/>
      <c r="WAU24" s="720"/>
      <c r="WAV24" s="720"/>
      <c r="WAW24" s="720"/>
      <c r="WAX24" s="720"/>
      <c r="WAY24" s="720"/>
      <c r="WAZ24" s="720"/>
      <c r="WBA24" s="720"/>
      <c r="WBB24" s="720"/>
      <c r="WBC24" s="720"/>
      <c r="WBD24" s="720"/>
      <c r="WBE24" s="720"/>
      <c r="WBF24" s="720"/>
      <c r="WBG24" s="720"/>
      <c r="WBH24" s="720"/>
      <c r="WBI24" s="720"/>
      <c r="WBJ24" s="720"/>
      <c r="WBK24" s="720"/>
      <c r="WBL24" s="720"/>
      <c r="WBM24" s="720"/>
      <c r="WBN24" s="720"/>
      <c r="WBO24" s="720"/>
      <c r="WBP24" s="720"/>
      <c r="WBQ24" s="720"/>
      <c r="WBR24" s="720"/>
      <c r="WBS24" s="720"/>
      <c r="WBT24" s="720"/>
      <c r="WBU24" s="720"/>
      <c r="WBV24" s="720"/>
      <c r="WBW24" s="720"/>
      <c r="WBX24" s="720"/>
      <c r="WBY24" s="720"/>
      <c r="WBZ24" s="720"/>
      <c r="WCA24" s="720"/>
      <c r="WCB24" s="720"/>
      <c r="WCC24" s="720"/>
      <c r="WCD24" s="720"/>
      <c r="WCE24" s="720"/>
      <c r="WCF24" s="720"/>
      <c r="WCG24" s="720"/>
      <c r="WCH24" s="720"/>
      <c r="WCI24" s="720"/>
      <c r="WCJ24" s="720"/>
      <c r="WCK24" s="720"/>
      <c r="WCL24" s="720"/>
      <c r="WCM24" s="720"/>
      <c r="WCN24" s="720"/>
      <c r="WCO24" s="720"/>
      <c r="WCP24" s="720"/>
      <c r="WCQ24" s="720"/>
      <c r="WCR24" s="720"/>
      <c r="WCS24" s="720"/>
      <c r="WCT24" s="720"/>
      <c r="WCU24" s="720"/>
      <c r="WCV24" s="720"/>
      <c r="WCW24" s="720"/>
      <c r="WCX24" s="720"/>
      <c r="WCY24" s="720"/>
      <c r="WCZ24" s="720"/>
      <c r="WDA24" s="720"/>
      <c r="WDB24" s="720"/>
      <c r="WDC24" s="720"/>
      <c r="WDD24" s="720"/>
      <c r="WDE24" s="720"/>
      <c r="WDF24" s="720"/>
      <c r="WDG24" s="720"/>
      <c r="WDH24" s="720"/>
      <c r="WDI24" s="720"/>
      <c r="WDJ24" s="720"/>
      <c r="WDK24" s="720"/>
      <c r="WDL24" s="720"/>
      <c r="WDM24" s="720"/>
      <c r="WDN24" s="720"/>
      <c r="WDO24" s="720"/>
      <c r="WDP24" s="720"/>
      <c r="WDQ24" s="720"/>
      <c r="WDR24" s="720"/>
      <c r="WDS24" s="720"/>
      <c r="WDT24" s="720"/>
      <c r="WDU24" s="720"/>
      <c r="WDV24" s="720"/>
      <c r="WDW24" s="720"/>
      <c r="WDX24" s="720"/>
      <c r="WDY24" s="720"/>
      <c r="WDZ24" s="720"/>
      <c r="WEA24" s="720"/>
      <c r="WEB24" s="720"/>
      <c r="WEC24" s="720"/>
      <c r="WED24" s="720"/>
      <c r="WEE24" s="720"/>
      <c r="WEF24" s="720"/>
      <c r="WEG24" s="720"/>
      <c r="WEH24" s="720"/>
      <c r="WEI24" s="720"/>
      <c r="WEJ24" s="720"/>
      <c r="WEK24" s="720"/>
      <c r="WEL24" s="720"/>
      <c r="WEM24" s="720"/>
      <c r="WEN24" s="720"/>
      <c r="WEO24" s="720"/>
      <c r="WEP24" s="720"/>
      <c r="WEQ24" s="720"/>
      <c r="WER24" s="720"/>
      <c r="WES24" s="720"/>
      <c r="WET24" s="720"/>
      <c r="WEU24" s="720"/>
      <c r="WEV24" s="720"/>
      <c r="WEW24" s="720"/>
      <c r="WEX24" s="720"/>
      <c r="WEY24" s="720"/>
      <c r="WEZ24" s="720"/>
      <c r="WFA24" s="720"/>
      <c r="WFB24" s="720"/>
      <c r="WFC24" s="720"/>
      <c r="WFD24" s="720"/>
      <c r="WFE24" s="720"/>
      <c r="WFF24" s="720"/>
      <c r="WFG24" s="720"/>
      <c r="WFH24" s="720"/>
      <c r="WFI24" s="720"/>
      <c r="WFJ24" s="720"/>
      <c r="WFK24" s="720"/>
      <c r="WFL24" s="720"/>
      <c r="WFM24" s="720"/>
      <c r="WFN24" s="720"/>
      <c r="WFO24" s="720"/>
      <c r="WFP24" s="720"/>
      <c r="WFQ24" s="720"/>
      <c r="WFR24" s="720"/>
      <c r="WFS24" s="720"/>
      <c r="WFT24" s="720"/>
      <c r="WFU24" s="720"/>
      <c r="WFV24" s="720"/>
      <c r="WFW24" s="720"/>
      <c r="WFX24" s="720"/>
      <c r="WFY24" s="720"/>
      <c r="WFZ24" s="720"/>
      <c r="WGA24" s="720"/>
      <c r="WGB24" s="720"/>
      <c r="WGC24" s="720"/>
      <c r="WGD24" s="720"/>
      <c r="WGE24" s="720"/>
      <c r="WGF24" s="720"/>
      <c r="WGG24" s="720"/>
      <c r="WGH24" s="720"/>
      <c r="WGI24" s="720"/>
      <c r="WGJ24" s="720"/>
      <c r="WGK24" s="720"/>
      <c r="WGL24" s="720"/>
      <c r="WGM24" s="720"/>
      <c r="WGN24" s="720"/>
      <c r="WGO24" s="720"/>
      <c r="WGP24" s="720"/>
      <c r="WGQ24" s="720"/>
      <c r="WGR24" s="720"/>
      <c r="WGS24" s="720"/>
      <c r="WGT24" s="720"/>
      <c r="WGU24" s="720"/>
      <c r="WGV24" s="720"/>
      <c r="WGW24" s="720"/>
      <c r="WGX24" s="720"/>
      <c r="WGY24" s="720"/>
      <c r="WGZ24" s="720"/>
      <c r="WHA24" s="720"/>
      <c r="WHB24" s="720"/>
      <c r="WHC24" s="720"/>
      <c r="WHD24" s="720"/>
      <c r="WHE24" s="720"/>
      <c r="WHF24" s="720"/>
      <c r="WHG24" s="720"/>
      <c r="WHH24" s="720"/>
      <c r="WHI24" s="720"/>
      <c r="WHJ24" s="720"/>
      <c r="WHK24" s="720"/>
      <c r="WHL24" s="720"/>
      <c r="WHM24" s="720"/>
      <c r="WHN24" s="720"/>
      <c r="WHO24" s="720"/>
      <c r="WHP24" s="720"/>
      <c r="WHQ24" s="720"/>
      <c r="WHR24" s="720"/>
      <c r="WHS24" s="720"/>
      <c r="WHT24" s="720"/>
      <c r="WHU24" s="720"/>
      <c r="WHV24" s="720"/>
      <c r="WHW24" s="720"/>
      <c r="WHX24" s="720"/>
      <c r="WHY24" s="720"/>
      <c r="WHZ24" s="720"/>
      <c r="WIA24" s="720"/>
      <c r="WIB24" s="720"/>
      <c r="WIC24" s="720"/>
      <c r="WID24" s="720"/>
      <c r="WIE24" s="720"/>
      <c r="WIF24" s="720"/>
      <c r="WIG24" s="720"/>
      <c r="WIH24" s="720"/>
      <c r="WII24" s="720"/>
      <c r="WIJ24" s="720"/>
      <c r="WIK24" s="720"/>
      <c r="WIL24" s="720"/>
      <c r="WIM24" s="720"/>
      <c r="WIN24" s="720"/>
      <c r="WIO24" s="720"/>
      <c r="WIP24" s="720"/>
      <c r="WIQ24" s="720"/>
      <c r="WIR24" s="720"/>
      <c r="WIS24" s="720"/>
      <c r="WIT24" s="720"/>
      <c r="WIU24" s="720"/>
      <c r="WIV24" s="720"/>
      <c r="WIW24" s="720"/>
      <c r="WIX24" s="720"/>
      <c r="WIY24" s="720"/>
      <c r="WIZ24" s="720"/>
      <c r="WJA24" s="720"/>
      <c r="WJB24" s="720"/>
      <c r="WJC24" s="720"/>
      <c r="WJD24" s="720"/>
      <c r="WJE24" s="720"/>
      <c r="WJF24" s="720"/>
      <c r="WJG24" s="720"/>
      <c r="WJH24" s="720"/>
      <c r="WJI24" s="720"/>
      <c r="WJJ24" s="720"/>
      <c r="WJK24" s="720"/>
      <c r="WJL24" s="720"/>
      <c r="WJM24" s="720"/>
      <c r="WJN24" s="720"/>
      <c r="WJO24" s="720"/>
      <c r="WJP24" s="720"/>
      <c r="WJQ24" s="720"/>
      <c r="WJR24" s="720"/>
      <c r="WJS24" s="720"/>
      <c r="WJT24" s="720"/>
      <c r="WJU24" s="720"/>
      <c r="WJV24" s="720"/>
      <c r="WJW24" s="720"/>
      <c r="WJX24" s="720"/>
      <c r="WJY24" s="720"/>
      <c r="WJZ24" s="720"/>
      <c r="WKA24" s="720"/>
      <c r="WKB24" s="720"/>
      <c r="WKC24" s="720"/>
      <c r="WKD24" s="720"/>
      <c r="WKE24" s="720"/>
      <c r="WKF24" s="720"/>
      <c r="WKG24" s="720"/>
      <c r="WKH24" s="720"/>
      <c r="WKI24" s="720"/>
      <c r="WKJ24" s="720"/>
      <c r="WKK24" s="720"/>
      <c r="WKL24" s="720"/>
      <c r="WKM24" s="720"/>
      <c r="WKN24" s="720"/>
      <c r="WKO24" s="720"/>
      <c r="WKP24" s="720"/>
      <c r="WKQ24" s="720"/>
      <c r="WKR24" s="720"/>
      <c r="WKS24" s="720"/>
      <c r="WKT24" s="720"/>
      <c r="WKU24" s="720"/>
      <c r="WKV24" s="720"/>
      <c r="WKW24" s="720"/>
      <c r="WKX24" s="720"/>
      <c r="WKY24" s="720"/>
      <c r="WKZ24" s="720"/>
      <c r="WLA24" s="720"/>
      <c r="WLB24" s="720"/>
      <c r="WLC24" s="720"/>
      <c r="WLD24" s="720"/>
      <c r="WLE24" s="720"/>
      <c r="WLF24" s="720"/>
      <c r="WLG24" s="720"/>
      <c r="WLH24" s="720"/>
      <c r="WLI24" s="720"/>
      <c r="WLJ24" s="720"/>
      <c r="WLK24" s="720"/>
      <c r="WLL24" s="720"/>
      <c r="WLM24" s="720"/>
      <c r="WLN24" s="720"/>
      <c r="WLO24" s="720"/>
      <c r="WLP24" s="720"/>
      <c r="WLQ24" s="720"/>
      <c r="WLR24" s="720"/>
      <c r="WLS24" s="720"/>
      <c r="WLT24" s="720"/>
      <c r="WLU24" s="720"/>
      <c r="WLV24" s="720"/>
      <c r="WLW24" s="720"/>
      <c r="WLX24" s="720"/>
      <c r="WLY24" s="720"/>
      <c r="WLZ24" s="720"/>
      <c r="WMA24" s="720"/>
      <c r="WMB24" s="720"/>
      <c r="WMC24" s="720"/>
      <c r="WMD24" s="720"/>
      <c r="WME24" s="720"/>
      <c r="WMF24" s="720"/>
      <c r="WMG24" s="720"/>
      <c r="WMH24" s="720"/>
      <c r="WMI24" s="720"/>
      <c r="WMJ24" s="720"/>
      <c r="WMK24" s="720"/>
      <c r="WML24" s="720"/>
      <c r="WMM24" s="720"/>
      <c r="WMN24" s="720"/>
      <c r="WMO24" s="720"/>
      <c r="WMP24" s="720"/>
      <c r="WMQ24" s="720"/>
      <c r="WMR24" s="720"/>
      <c r="WMS24" s="720"/>
      <c r="WMT24" s="720"/>
      <c r="WMU24" s="720"/>
      <c r="WMV24" s="720"/>
      <c r="WMW24" s="720"/>
      <c r="WMX24" s="720"/>
      <c r="WMY24" s="720"/>
      <c r="WMZ24" s="720"/>
      <c r="WNA24" s="720"/>
      <c r="WNB24" s="720"/>
      <c r="WNC24" s="720"/>
      <c r="WND24" s="720"/>
      <c r="WNE24" s="720"/>
      <c r="WNF24" s="720"/>
      <c r="WNG24" s="720"/>
      <c r="WNH24" s="720"/>
      <c r="WNI24" s="720"/>
      <c r="WNJ24" s="720"/>
      <c r="WNK24" s="720"/>
      <c r="WNL24" s="720"/>
      <c r="WNM24" s="720"/>
      <c r="WNN24" s="720"/>
      <c r="WNO24" s="720"/>
      <c r="WNP24" s="720"/>
      <c r="WNQ24" s="720"/>
      <c r="WNR24" s="720"/>
      <c r="WNS24" s="720"/>
      <c r="WNT24" s="720"/>
      <c r="WNU24" s="720"/>
      <c r="WNV24" s="720"/>
      <c r="WNW24" s="720"/>
      <c r="WNX24" s="720"/>
      <c r="WNY24" s="720"/>
      <c r="WNZ24" s="720"/>
      <c r="WOA24" s="720"/>
      <c r="WOB24" s="720"/>
      <c r="WOC24" s="720"/>
      <c r="WOD24" s="720"/>
      <c r="WOE24" s="720"/>
      <c r="WOF24" s="720"/>
      <c r="WOG24" s="720"/>
      <c r="WOH24" s="720"/>
      <c r="WOI24" s="720"/>
      <c r="WOJ24" s="720"/>
      <c r="WOK24" s="720"/>
      <c r="WOL24" s="720"/>
      <c r="WOM24" s="720"/>
      <c r="WON24" s="720"/>
      <c r="WOO24" s="720"/>
      <c r="WOP24" s="720"/>
      <c r="WOQ24" s="720"/>
      <c r="WOR24" s="720"/>
      <c r="WOS24" s="720"/>
      <c r="WOT24" s="720"/>
      <c r="WOU24" s="720"/>
      <c r="WOV24" s="720"/>
      <c r="WOW24" s="720"/>
      <c r="WOX24" s="720"/>
      <c r="WOY24" s="720"/>
      <c r="WOZ24" s="720"/>
      <c r="WPA24" s="720"/>
      <c r="WPB24" s="720"/>
      <c r="WPC24" s="720"/>
      <c r="WPD24" s="720"/>
      <c r="WPE24" s="720"/>
      <c r="WPF24" s="720"/>
      <c r="WPG24" s="720"/>
      <c r="WPH24" s="720"/>
      <c r="WPI24" s="720"/>
      <c r="WPJ24" s="720"/>
      <c r="WPK24" s="720"/>
      <c r="WPL24" s="720"/>
      <c r="WPM24" s="720"/>
      <c r="WPN24" s="720"/>
      <c r="WPO24" s="720"/>
      <c r="WPP24" s="720"/>
      <c r="WPQ24" s="720"/>
      <c r="WPR24" s="720"/>
      <c r="WPS24" s="720"/>
      <c r="WPT24" s="720"/>
      <c r="WPU24" s="720"/>
      <c r="WPV24" s="720"/>
      <c r="WPW24" s="720"/>
      <c r="WPX24" s="720"/>
      <c r="WPY24" s="720"/>
      <c r="WPZ24" s="720"/>
      <c r="WQA24" s="720"/>
      <c r="WQB24" s="720"/>
      <c r="WQC24" s="720"/>
      <c r="WQD24" s="720"/>
      <c r="WQE24" s="720"/>
      <c r="WQF24" s="720"/>
      <c r="WQG24" s="720"/>
      <c r="WQH24" s="720"/>
      <c r="WQI24" s="720"/>
      <c r="WQJ24" s="720"/>
      <c r="WQK24" s="720"/>
      <c r="WQL24" s="720"/>
      <c r="WQM24" s="720"/>
      <c r="WQN24" s="720"/>
      <c r="WQO24" s="720"/>
      <c r="WQP24" s="720"/>
      <c r="WQQ24" s="720"/>
      <c r="WQR24" s="720"/>
      <c r="WQS24" s="720"/>
      <c r="WQT24" s="720"/>
      <c r="WQU24" s="720"/>
      <c r="WQV24" s="720"/>
      <c r="WQW24" s="720"/>
      <c r="WQX24" s="720"/>
      <c r="WQY24" s="720"/>
      <c r="WQZ24" s="720"/>
      <c r="WRA24" s="720"/>
      <c r="WRB24" s="720"/>
      <c r="WRC24" s="720"/>
      <c r="WRD24" s="720"/>
      <c r="WRE24" s="720"/>
      <c r="WRF24" s="720"/>
      <c r="WRG24" s="720"/>
      <c r="WRH24" s="720"/>
      <c r="WRI24" s="720"/>
      <c r="WRJ24" s="720"/>
      <c r="WRK24" s="720"/>
      <c r="WRL24" s="720"/>
      <c r="WRM24" s="720"/>
      <c r="WRN24" s="720"/>
      <c r="WRO24" s="720"/>
      <c r="WRP24" s="720"/>
      <c r="WRQ24" s="720"/>
      <c r="WRR24" s="720"/>
      <c r="WRS24" s="720"/>
      <c r="WRT24" s="720"/>
      <c r="WRU24" s="720"/>
      <c r="WRV24" s="720"/>
      <c r="WRW24" s="720"/>
      <c r="WRX24" s="720"/>
      <c r="WRY24" s="720"/>
      <c r="WRZ24" s="720"/>
      <c r="WSA24" s="720"/>
      <c r="WSB24" s="720"/>
      <c r="WSC24" s="720"/>
      <c r="WSD24" s="720"/>
      <c r="WSE24" s="720"/>
      <c r="WSF24" s="720"/>
      <c r="WSG24" s="720"/>
      <c r="WSH24" s="720"/>
      <c r="WSI24" s="720"/>
      <c r="WSJ24" s="720"/>
      <c r="WSK24" s="720"/>
      <c r="WSL24" s="720"/>
      <c r="WSM24" s="720"/>
      <c r="WSN24" s="720"/>
      <c r="WSO24" s="720"/>
      <c r="WSP24" s="720"/>
      <c r="WSQ24" s="720"/>
      <c r="WSR24" s="720"/>
      <c r="WSS24" s="720"/>
      <c r="WST24" s="720"/>
      <c r="WSU24" s="720"/>
      <c r="WSV24" s="720"/>
      <c r="WSW24" s="720"/>
      <c r="WSX24" s="720"/>
      <c r="WSY24" s="720"/>
      <c r="WSZ24" s="720"/>
      <c r="WTA24" s="720"/>
      <c r="WTB24" s="720"/>
      <c r="WTC24" s="720"/>
      <c r="WTD24" s="720"/>
      <c r="WTE24" s="720"/>
      <c r="WTF24" s="720"/>
      <c r="WTG24" s="720"/>
      <c r="WTH24" s="720"/>
      <c r="WTI24" s="720"/>
      <c r="WTJ24" s="720"/>
      <c r="WTK24" s="720"/>
      <c r="WTL24" s="720"/>
      <c r="WTM24" s="720"/>
      <c r="WTN24" s="720"/>
      <c r="WTO24" s="720"/>
      <c r="WTP24" s="720"/>
      <c r="WTQ24" s="720"/>
      <c r="WTR24" s="720"/>
      <c r="WTS24" s="720"/>
      <c r="WTT24" s="720"/>
      <c r="WTU24" s="720"/>
      <c r="WTV24" s="720"/>
      <c r="WTW24" s="720"/>
      <c r="WTX24" s="720"/>
      <c r="WTY24" s="720"/>
      <c r="WTZ24" s="720"/>
      <c r="WUA24" s="720"/>
      <c r="WUB24" s="720"/>
      <c r="WUC24" s="720"/>
      <c r="WUD24" s="720"/>
      <c r="WUE24" s="720"/>
      <c r="WUF24" s="720"/>
      <c r="WUG24" s="720"/>
      <c r="WUH24" s="720"/>
      <c r="WUI24" s="720"/>
      <c r="WUJ24" s="720"/>
      <c r="WUK24" s="720"/>
      <c r="WUL24" s="720"/>
      <c r="WUM24" s="720"/>
      <c r="WUN24" s="720"/>
      <c r="WUO24" s="720"/>
      <c r="WUP24" s="720"/>
      <c r="WUQ24" s="720"/>
      <c r="WUR24" s="720"/>
      <c r="WUS24" s="720"/>
      <c r="WUT24" s="720"/>
      <c r="WUU24" s="720"/>
      <c r="WUV24" s="720"/>
      <c r="WUW24" s="720"/>
      <c r="WUX24" s="720"/>
      <c r="WUY24" s="720"/>
      <c r="WUZ24" s="720"/>
      <c r="WVA24" s="720"/>
      <c r="WVB24" s="720"/>
      <c r="WVC24" s="720"/>
      <c r="WVD24" s="720"/>
      <c r="WVE24" s="720"/>
      <c r="WVF24" s="720"/>
      <c r="WVG24" s="720"/>
      <c r="WVH24" s="720"/>
      <c r="WVI24" s="720"/>
      <c r="WVJ24" s="720"/>
      <c r="WVK24" s="720"/>
      <c r="WVL24" s="720"/>
      <c r="WVM24" s="720"/>
      <c r="WVN24" s="720"/>
      <c r="WVO24" s="720"/>
      <c r="WVP24" s="720"/>
      <c r="WVQ24" s="720"/>
      <c r="WVR24" s="720"/>
      <c r="WVS24" s="720"/>
      <c r="WVT24" s="720"/>
      <c r="WVU24" s="720"/>
      <c r="WVV24" s="720"/>
      <c r="WVW24" s="720"/>
      <c r="WVX24" s="720"/>
      <c r="WVY24" s="720"/>
      <c r="WVZ24" s="720"/>
      <c r="WWA24" s="720"/>
      <c r="WWB24" s="720"/>
      <c r="WWC24" s="720"/>
      <c r="WWD24" s="720"/>
      <c r="WWE24" s="720"/>
      <c r="WWF24" s="720"/>
      <c r="WWG24" s="720"/>
      <c r="WWH24" s="720"/>
      <c r="WWI24" s="720"/>
      <c r="WWJ24" s="720"/>
      <c r="WWK24" s="720"/>
      <c r="WWL24" s="720"/>
      <c r="WWM24" s="720"/>
      <c r="WWN24" s="720"/>
      <c r="WWO24" s="720"/>
      <c r="WWP24" s="720"/>
      <c r="WWQ24" s="720"/>
      <c r="WWR24" s="720"/>
      <c r="WWS24" s="720"/>
      <c r="WWT24" s="720"/>
      <c r="WWU24" s="720"/>
      <c r="WWV24" s="720"/>
      <c r="WWW24" s="720"/>
      <c r="WWX24" s="720"/>
      <c r="WWY24" s="720"/>
      <c r="WWZ24" s="720"/>
      <c r="WXA24" s="720"/>
      <c r="WXB24" s="720"/>
      <c r="WXC24" s="720"/>
      <c r="WXD24" s="720"/>
      <c r="WXE24" s="720"/>
      <c r="WXF24" s="720"/>
      <c r="WXG24" s="720"/>
      <c r="WXH24" s="720"/>
      <c r="WXI24" s="720"/>
      <c r="WXJ24" s="720"/>
      <c r="WXK24" s="720"/>
      <c r="WXL24" s="720"/>
      <c r="WXM24" s="720"/>
      <c r="WXN24" s="720"/>
      <c r="WXO24" s="720"/>
      <c r="WXP24" s="720"/>
      <c r="WXQ24" s="720"/>
      <c r="WXR24" s="720"/>
      <c r="WXS24" s="720"/>
      <c r="WXT24" s="720"/>
      <c r="WXU24" s="720"/>
      <c r="WXV24" s="720"/>
      <c r="WXW24" s="720"/>
      <c r="WXX24" s="720"/>
      <c r="WXY24" s="720"/>
      <c r="WXZ24" s="720"/>
      <c r="WYA24" s="720"/>
      <c r="WYB24" s="720"/>
      <c r="WYC24" s="720"/>
      <c r="WYD24" s="720"/>
      <c r="WYE24" s="720"/>
      <c r="WYF24" s="720"/>
      <c r="WYG24" s="720"/>
      <c r="WYH24" s="720"/>
      <c r="WYI24" s="720"/>
      <c r="WYJ24" s="720"/>
      <c r="WYK24" s="720"/>
      <c r="WYL24" s="720"/>
      <c r="WYM24" s="720"/>
      <c r="WYN24" s="720"/>
      <c r="WYO24" s="720"/>
      <c r="WYP24" s="720"/>
      <c r="WYQ24" s="720"/>
      <c r="WYR24" s="720"/>
      <c r="WYS24" s="720"/>
      <c r="WYT24" s="720"/>
      <c r="WYU24" s="720"/>
      <c r="WYV24" s="720"/>
      <c r="WYW24" s="720"/>
      <c r="WYX24" s="720"/>
      <c r="WYY24" s="720"/>
      <c r="WYZ24" s="720"/>
      <c r="WZA24" s="720"/>
      <c r="WZB24" s="720"/>
      <c r="WZC24" s="720"/>
      <c r="WZD24" s="720"/>
      <c r="WZE24" s="720"/>
      <c r="WZF24" s="720"/>
      <c r="WZG24" s="720"/>
      <c r="WZH24" s="720"/>
      <c r="WZI24" s="720"/>
      <c r="WZJ24" s="720"/>
      <c r="WZK24" s="720"/>
      <c r="WZL24" s="720"/>
      <c r="WZM24" s="720"/>
      <c r="WZN24" s="720"/>
      <c r="WZO24" s="720"/>
      <c r="WZP24" s="720"/>
      <c r="WZQ24" s="720"/>
      <c r="WZR24" s="720"/>
      <c r="WZS24" s="720"/>
      <c r="WZT24" s="720"/>
      <c r="WZU24" s="720"/>
      <c r="WZV24" s="720"/>
      <c r="WZW24" s="720"/>
      <c r="WZX24" s="720"/>
      <c r="WZY24" s="720"/>
      <c r="WZZ24" s="720"/>
      <c r="XAA24" s="720"/>
      <c r="XAB24" s="720"/>
      <c r="XAC24" s="720"/>
      <c r="XAD24" s="720"/>
      <c r="XAE24" s="720"/>
      <c r="XAF24" s="720"/>
      <c r="XAG24" s="720"/>
      <c r="XAH24" s="720"/>
      <c r="XAI24" s="720"/>
      <c r="XAJ24" s="720"/>
      <c r="XAK24" s="720"/>
      <c r="XAL24" s="720"/>
      <c r="XAM24" s="720"/>
      <c r="XAN24" s="720"/>
      <c r="XAO24" s="720"/>
      <c r="XAP24" s="720"/>
      <c r="XAQ24" s="720"/>
      <c r="XAR24" s="720"/>
      <c r="XAS24" s="720"/>
      <c r="XAT24" s="720"/>
      <c r="XAU24" s="720"/>
      <c r="XAV24" s="720"/>
      <c r="XAW24" s="720"/>
      <c r="XAX24" s="720"/>
      <c r="XAY24" s="720"/>
      <c r="XAZ24" s="720"/>
      <c r="XBA24" s="720"/>
      <c r="XBB24" s="720"/>
      <c r="XBC24" s="720"/>
      <c r="XBD24" s="720"/>
      <c r="XBE24" s="720"/>
      <c r="XBF24" s="720"/>
      <c r="XBG24" s="720"/>
      <c r="XBH24" s="720"/>
      <c r="XBI24" s="720"/>
      <c r="XBJ24" s="720"/>
      <c r="XBK24" s="720"/>
      <c r="XBL24" s="720"/>
      <c r="XBM24" s="720"/>
      <c r="XBN24" s="720"/>
      <c r="XBO24" s="720"/>
      <c r="XBP24" s="720"/>
      <c r="XBQ24" s="720"/>
      <c r="XBR24" s="720"/>
      <c r="XBS24" s="720"/>
      <c r="XBT24" s="720"/>
      <c r="XBU24" s="720"/>
      <c r="XBV24" s="720"/>
      <c r="XBW24" s="720"/>
      <c r="XBX24" s="720"/>
      <c r="XBY24" s="720"/>
      <c r="XBZ24" s="720"/>
      <c r="XCA24" s="720"/>
      <c r="XCB24" s="720"/>
      <c r="XCC24" s="720"/>
      <c r="XCD24" s="720"/>
      <c r="XCE24" s="720"/>
      <c r="XCF24" s="720"/>
      <c r="XCG24" s="720"/>
      <c r="XCH24" s="720"/>
      <c r="XCI24" s="720"/>
      <c r="XCJ24" s="720"/>
      <c r="XCK24" s="720"/>
      <c r="XCL24" s="720"/>
      <c r="XCM24" s="720"/>
      <c r="XCN24" s="720"/>
      <c r="XCO24" s="720"/>
      <c r="XCP24" s="720"/>
      <c r="XCQ24" s="720"/>
      <c r="XCR24" s="720"/>
      <c r="XCS24" s="720"/>
      <c r="XCT24" s="720"/>
      <c r="XCU24" s="720"/>
      <c r="XCV24" s="720"/>
      <c r="XCW24" s="720"/>
      <c r="XCX24" s="720"/>
      <c r="XCY24" s="720"/>
      <c r="XCZ24" s="720"/>
      <c r="XDA24" s="720"/>
      <c r="XDB24" s="720"/>
      <c r="XDC24" s="720"/>
      <c r="XDD24" s="720"/>
      <c r="XDE24" s="720"/>
      <c r="XDF24" s="720"/>
      <c r="XDG24" s="720"/>
      <c r="XDH24" s="720"/>
      <c r="XDI24" s="720"/>
      <c r="XDJ24" s="720"/>
      <c r="XDK24" s="720"/>
      <c r="XDL24" s="720"/>
      <c r="XDM24" s="720"/>
      <c r="XDN24" s="720"/>
      <c r="XDO24" s="720"/>
      <c r="XDP24" s="720"/>
      <c r="XDQ24" s="720"/>
      <c r="XDR24" s="720"/>
      <c r="XDS24" s="720"/>
      <c r="XDT24" s="720"/>
      <c r="XDU24" s="720"/>
      <c r="XDV24" s="720"/>
      <c r="XDW24" s="720"/>
      <c r="XDX24" s="720"/>
      <c r="XDY24" s="720"/>
      <c r="XDZ24" s="720"/>
      <c r="XEA24" s="720"/>
      <c r="XEB24" s="720"/>
      <c r="XEC24" s="720"/>
      <c r="XED24" s="720"/>
      <c r="XEE24" s="720"/>
      <c r="XEF24" s="720"/>
      <c r="XEG24" s="720"/>
      <c r="XEH24" s="720"/>
      <c r="XEI24" s="720"/>
      <c r="XEJ24" s="720"/>
      <c r="XEK24" s="720"/>
      <c r="XEL24" s="720"/>
      <c r="XEM24" s="720"/>
      <c r="XEN24" s="720"/>
      <c r="XEO24" s="720"/>
      <c r="XEP24" s="720"/>
      <c r="XEQ24" s="720"/>
      <c r="XER24" s="720"/>
      <c r="XES24" s="720"/>
      <c r="XET24" s="720"/>
      <c r="XEU24" s="720"/>
      <c r="XEV24" s="720"/>
      <c r="XEW24" s="720"/>
      <c r="XEX24" s="720"/>
      <c r="XEY24" s="720"/>
      <c r="XEZ24" s="720"/>
      <c r="XFA24" s="720"/>
      <c r="XFB24" s="720"/>
      <c r="XFC24" s="720"/>
    </row>
    <row r="25" spans="1:16383" ht="12.75" customHeight="1">
      <c r="C25" s="2239"/>
    </row>
    <row r="26" spans="1:16383">
      <c r="B26" s="2223" t="str">
        <f>"Development Milestone Payment "&amp;B12</f>
        <v>Development Milestone Payment NASH</v>
      </c>
      <c r="F26" s="2238">
        <f>SUMIF('rNPV Assumptions_NASH'!$C$33:$C$36,'rNPV Analysis_NASH'!F8,'rNPV Assumptions_NASH'!$D$33:$D$36)</f>
        <v>0</v>
      </c>
      <c r="G26" s="2238">
        <f>SUMIF('rNPV Assumptions_NASH'!$C$33:$C$36,'rNPV Analysis_NASH'!G8,'rNPV Assumptions_NASH'!$D$33:$D$36)</f>
        <v>0</v>
      </c>
      <c r="H26" s="2238">
        <f>SUMIF('rNPV Assumptions_NASH'!$C$33:$C$36,'rNPV Analysis_NASH'!H8,'rNPV Assumptions_NASH'!$D$33:$D$36)</f>
        <v>0</v>
      </c>
      <c r="I26" s="2238">
        <f>SUMIF('rNPV Assumptions_NASH'!$C$33:$C$36,'rNPV Analysis_NASH'!I8,'rNPV Assumptions_NASH'!$D$33:$D$36)</f>
        <v>0</v>
      </c>
      <c r="J26" s="2238">
        <f>SUMIF('rNPV Assumptions_NASH'!$C$33:$C$36,'rNPV Analysis_NASH'!J8,'rNPV Assumptions_NASH'!$D$33:$D$36)</f>
        <v>0</v>
      </c>
      <c r="K26" s="2238">
        <f>SUMIF('rNPV Assumptions_NASH'!$C$33:$C$36,'rNPV Analysis_NASH'!K8,'rNPV Assumptions_NASH'!$D$33:$D$36)</f>
        <v>0</v>
      </c>
      <c r="L26" s="2238">
        <f>SUMIF('rNPV Assumptions_NASH'!$C$33:$C$36,'rNPV Analysis_NASH'!L8,'rNPV Assumptions_NASH'!$D$33:$D$36)</f>
        <v>0</v>
      </c>
      <c r="M26" s="2238">
        <f>SUMIF('rNPV Assumptions_NASH'!$C$33:$C$36,'rNPV Analysis_NASH'!M8,'rNPV Assumptions_NASH'!$D$33:$D$36)</f>
        <v>0</v>
      </c>
      <c r="N26" s="2238">
        <f>SUMIF('rNPV Assumptions_NASH'!$C$33:$C$36,'rNPV Analysis_NASH'!N8,'rNPV Assumptions_NASH'!$D$33:$D$36)</f>
        <v>5</v>
      </c>
      <c r="O26" s="2238">
        <f>SUMIF('rNPV Assumptions_NASH'!$C$33:$C$36,'rNPV Analysis_NASH'!O8,'rNPV Assumptions_NASH'!$D$33:$D$36)</f>
        <v>0</v>
      </c>
      <c r="P26" s="2238">
        <f>SUMIF('rNPV Assumptions_NASH'!$C$33:$C$36,'rNPV Analysis_NASH'!P8,'rNPV Assumptions_NASH'!$D$33:$D$36)</f>
        <v>7</v>
      </c>
      <c r="Q26" s="2238">
        <f>SUMIF('rNPV Assumptions_NASH'!$C$33:$C$36,'rNPV Analysis_NASH'!Q8,'rNPV Assumptions_NASH'!$D$33:$D$36)</f>
        <v>0</v>
      </c>
      <c r="R26" s="2238">
        <f>SUMIF('rNPV Assumptions_NASH'!$C$33:$C$36,'rNPV Analysis_NASH'!R8,'rNPV Assumptions_NASH'!$D$33:$D$36)</f>
        <v>9</v>
      </c>
      <c r="S26" s="2238">
        <f>SUMIF('rNPV Assumptions_NASH'!$C$33:$C$36,'rNPV Analysis_NASH'!S8,'rNPV Assumptions_NASH'!$D$33:$D$36)</f>
        <v>0</v>
      </c>
      <c r="T26" s="2238">
        <f>SUMIF('rNPV Assumptions_NASH'!$C$33:$C$36,'rNPV Analysis_NASH'!T8,'rNPV Assumptions_NASH'!$D$33:$D$36)</f>
        <v>0</v>
      </c>
      <c r="U26" s="2238">
        <f>SUMIF('rNPV Assumptions_NASH'!$C$33:$C$36,'rNPV Analysis_NASH'!U8,'rNPV Assumptions_NASH'!$D$33:$D$36)</f>
        <v>31</v>
      </c>
      <c r="V26" s="2238">
        <f>SUMIF('rNPV Assumptions_NASH'!$C$33:$C$36,'rNPV Analysis_NASH'!V8,'rNPV Assumptions_NASH'!$D$33:$D$36)</f>
        <v>0</v>
      </c>
      <c r="W26" s="2238">
        <f>SUMIF('rNPV Assumptions_NASH'!$C$33:$C$36,'rNPV Analysis_NASH'!W8,'rNPV Assumptions_NASH'!$D$33:$D$36)</f>
        <v>0</v>
      </c>
      <c r="X26" s="2238">
        <f>SUMIF('rNPV Assumptions_NASH'!$C$33:$C$36,'rNPV Analysis_NASH'!X8,'rNPV Assumptions_NASH'!$D$33:$D$36)</f>
        <v>0</v>
      </c>
      <c r="Y26" s="2238">
        <f>SUMIF('rNPV Assumptions_NASH'!$C$33:$C$36,'rNPV Analysis_NASH'!Y8,'rNPV Assumptions_NASH'!$D$33:$D$36)</f>
        <v>0</v>
      </c>
      <c r="Z26" s="2238">
        <f>SUMIF('rNPV Assumptions_NASH'!$C$33:$C$36,'rNPV Analysis_NASH'!Z8,'rNPV Assumptions_NASH'!$D$33:$D$36)</f>
        <v>0</v>
      </c>
      <c r="AA26" s="2238">
        <f>SUMIF('rNPV Assumptions_NASH'!$C$33:$C$36,'rNPV Analysis_NASH'!AA8,'rNPV Assumptions_NASH'!$D$33:$D$36)</f>
        <v>0</v>
      </c>
      <c r="AB26" s="2238">
        <f>SUMIF('rNPV Assumptions_NASH'!$C$33:$C$36,'rNPV Analysis_NASH'!AB8,'rNPV Assumptions_NASH'!$D$33:$D$36)</f>
        <v>0</v>
      </c>
      <c r="AC26" s="2238">
        <f>SUMIF('rNPV Assumptions_NASH'!$C$33:$C$36,'rNPV Analysis_NASH'!AC8,'rNPV Assumptions_NASH'!$D$33:$D$36)</f>
        <v>0</v>
      </c>
      <c r="AD26" s="2238">
        <f>SUMIF('rNPV Assumptions_NASH'!$C$33:$C$36,'rNPV Analysis_NASH'!AD8,'rNPV Assumptions_NASH'!$D$33:$D$36)</f>
        <v>0</v>
      </c>
      <c r="AE26" s="2238">
        <f>SUMIF('rNPV Assumptions_NASH'!$C$33:$C$36,'rNPV Analysis_NASH'!AE8,'rNPV Assumptions_NASH'!$D$33:$D$36)</f>
        <v>0</v>
      </c>
      <c r="AF26" s="2238">
        <f>SUMIF('rNPV Assumptions_NASH'!$C$33:$C$36,'rNPV Analysis_NASH'!AF8,'rNPV Assumptions_NASH'!$D$33:$D$36)</f>
        <v>0</v>
      </c>
      <c r="AG26" s="2238">
        <f>SUMIF('rNPV Assumptions_NASH'!$C$33:$C$36,'rNPV Analysis_NASH'!AG8,'rNPV Assumptions_NASH'!$D$33:$D$36)</f>
        <v>0</v>
      </c>
    </row>
    <row r="27" spans="1:16383" s="1984" customFormat="1" ht="8.1" customHeight="1">
      <c r="A27" s="720"/>
      <c r="B27" s="2157"/>
      <c r="C27" s="1171"/>
      <c r="D27" s="720"/>
      <c r="E27" s="720"/>
      <c r="F27" s="720"/>
      <c r="G27" s="720"/>
      <c r="H27" s="720"/>
      <c r="I27" s="720"/>
      <c r="J27" s="720"/>
      <c r="K27" s="720"/>
      <c r="L27" s="720"/>
      <c r="M27" s="720"/>
      <c r="N27" s="720"/>
      <c r="O27" s="720"/>
      <c r="P27" s="720"/>
      <c r="Q27" s="720"/>
      <c r="R27" s="720"/>
      <c r="S27" s="720"/>
      <c r="T27" s="720"/>
      <c r="U27" s="720"/>
      <c r="V27" s="720"/>
      <c r="W27" s="720"/>
      <c r="X27" s="720"/>
      <c r="Y27" s="720"/>
      <c r="Z27" s="720"/>
      <c r="AA27" s="720"/>
      <c r="AB27" s="720"/>
      <c r="AC27" s="720"/>
      <c r="AD27" s="720"/>
      <c r="AE27" s="720"/>
      <c r="AF27" s="720"/>
      <c r="AG27" s="720"/>
      <c r="AI27" s="720"/>
      <c r="AJ27" s="720"/>
      <c r="AK27" s="720"/>
      <c r="AL27" s="720"/>
      <c r="AM27" s="720"/>
      <c r="AN27" s="720"/>
      <c r="AO27" s="720"/>
    </row>
    <row r="28" spans="1:16383" s="1984" customFormat="1">
      <c r="A28" s="720"/>
      <c r="B28" s="2232" t="s">
        <v>2843</v>
      </c>
      <c r="C28" s="720"/>
      <c r="D28" s="720"/>
      <c r="E28" s="720"/>
      <c r="F28" s="2235">
        <f>IFERROR(IF(VLOOKUP(F9,'rNPV Assumptions_NASH'!$B$21:$F$30,COLUMNS('rNPV Assumptions_NASH'!$B$21:$F$21),FALSE)="NA",0,VLOOKUP(F9,'rNPV Assumptions_NASH'!$B$21:$F$30,COLUMNS('rNPV Assumptions_NASH'!$B$21:$F$21),FALSE)),0%)</f>
        <v>0</v>
      </c>
      <c r="G28" s="2235">
        <f>IFERROR(IF(VLOOKUP(G9,'rNPV Assumptions_NASH'!$B$21:$F$30,COLUMNS('rNPV Assumptions_NASH'!$B$21:$F$21),FALSE)="NA",0,VLOOKUP(G9,'rNPV Assumptions_NASH'!$B$21:$F$30,COLUMNS('rNPV Assumptions_NASH'!$B$21:$F$21),FALSE)),0%)</f>
        <v>0</v>
      </c>
      <c r="H28" s="2235">
        <f>IFERROR(IF(VLOOKUP(H9,'rNPV Assumptions_NASH'!$B$21:$F$30,COLUMNS('rNPV Assumptions_NASH'!$B$21:$F$21),FALSE)="NA",0,VLOOKUP(H9,'rNPV Assumptions_NASH'!$B$21:$F$30,COLUMNS('rNPV Assumptions_NASH'!$B$21:$F$21),FALSE)),0%)</f>
        <v>0</v>
      </c>
      <c r="I28" s="2235">
        <f>IFERROR(IF(VLOOKUP(I9,'rNPV Assumptions_NASH'!$B$21:$F$30,COLUMNS('rNPV Assumptions_NASH'!$B$21:$F$21),FALSE)="NA",0,VLOOKUP(I9,'rNPV Assumptions_NASH'!$B$21:$F$30,COLUMNS('rNPV Assumptions_NASH'!$B$21:$F$21),FALSE)),0%)</f>
        <v>0</v>
      </c>
      <c r="J28" s="2235">
        <f>IFERROR(IF(VLOOKUP(J9,'rNPV Assumptions_NASH'!$B$21:$F$30,COLUMNS('rNPV Assumptions_NASH'!$B$21:$F$21),FALSE)="NA",0,VLOOKUP(J9,'rNPV Assumptions_NASH'!$B$21:$F$30,COLUMNS('rNPV Assumptions_NASH'!$B$21:$F$21),FALSE)),0%)</f>
        <v>0</v>
      </c>
      <c r="K28" s="2235">
        <f>IFERROR(IF(VLOOKUP(K9,'rNPV Assumptions_NASH'!$B$21:$F$30,COLUMNS('rNPV Assumptions_NASH'!$B$21:$F$21),FALSE)="NA",0,VLOOKUP(K9,'rNPV Assumptions_NASH'!$B$21:$F$30,COLUMNS('rNPV Assumptions_NASH'!$B$21:$F$21),FALSE)),0%)</f>
        <v>4.725E-2</v>
      </c>
      <c r="L28" s="2235">
        <f>IFERROR(IF(VLOOKUP(L9,'rNPV Assumptions_NASH'!$B$21:$F$30,COLUMNS('rNPV Assumptions_NASH'!$B$21:$F$21),FALSE)="NA",0,VLOOKUP(L9,'rNPV Assumptions_NASH'!$B$21:$F$30,COLUMNS('rNPV Assumptions_NASH'!$B$21:$F$21),FALSE)),0%)</f>
        <v>3.3075E-2</v>
      </c>
      <c r="M28" s="2235">
        <f>IFERROR(IF(VLOOKUP(M9,'rNPV Assumptions_NASH'!$B$21:$F$30,COLUMNS('rNPV Assumptions_NASH'!$B$21:$F$21),FALSE)="NA",0,VLOOKUP(M9,'rNPV Assumptions_NASH'!$B$21:$F$30,COLUMNS('rNPV Assumptions_NASH'!$B$21:$F$21),FALSE)),0%)</f>
        <v>2.149875E-2</v>
      </c>
      <c r="N28" s="2235">
        <f>IFERROR(IF(VLOOKUP(N9,'rNPV Assumptions_NASH'!$B$21:$F$30,COLUMNS('rNPV Assumptions_NASH'!$B$21:$F$21),FALSE)="NA",0,VLOOKUP(N9,'rNPV Assumptions_NASH'!$B$21:$F$30,COLUMNS('rNPV Assumptions_NASH'!$B$21:$F$21),FALSE)),0%)</f>
        <v>1.2899250000000003E-2</v>
      </c>
      <c r="O28" s="2235">
        <f>IFERROR(IF(VLOOKUP(O9,'rNPV Assumptions_NASH'!$B$21:$F$30,COLUMNS('rNPV Assumptions_NASH'!$B$21:$F$21),FALSE)="NA",0,VLOOKUP(O9,'rNPV Assumptions_NASH'!$B$21:$F$30,COLUMNS('rNPV Assumptions_NASH'!$B$21:$F$21),FALSE)),0%)</f>
        <v>1.2899250000000003E-2</v>
      </c>
      <c r="P28" s="2235">
        <f>IFERROR(IF(VLOOKUP(P9,'rNPV Assumptions_NASH'!$B$21:$F$30,COLUMNS('rNPV Assumptions_NASH'!$B$21:$F$21),FALSE)="NA",0,VLOOKUP(P9,'rNPV Assumptions_NASH'!$B$21:$F$30,COLUMNS('rNPV Assumptions_NASH'!$B$21:$F$21),FALSE)),0%)</f>
        <v>5.804662500000001E-3</v>
      </c>
      <c r="Q28" s="2235">
        <f>IFERROR(IF(VLOOKUP(Q9,'rNPV Assumptions_NASH'!$B$21:$F$30,COLUMNS('rNPV Assumptions_NASH'!$B$21:$F$21),FALSE)="NA",0,VLOOKUP(Q9,'rNPV Assumptions_NASH'!$B$21:$F$30,COLUMNS('rNPV Assumptions_NASH'!$B$21:$F$21),FALSE)),0%)</f>
        <v>5.804662500000001E-3</v>
      </c>
      <c r="R28" s="2235">
        <f>IFERROR(IF(VLOOKUP(R9,'rNPV Assumptions_NASH'!$B$21:$F$30,COLUMNS('rNPV Assumptions_NASH'!$B$21:$F$21),FALSE)="NA",0,VLOOKUP(R9,'rNPV Assumptions_NASH'!$B$21:$F$30,COLUMNS('rNPV Assumptions_NASH'!$B$21:$F$21),FALSE)),0%)</f>
        <v>3.4827975000000003E-3</v>
      </c>
      <c r="S28" s="2235">
        <f>IFERROR(IF(VLOOKUP(S9,'rNPV Assumptions_NASH'!$B$21:$F$30,COLUMNS('rNPV Assumptions_NASH'!$B$21:$F$21),FALSE)="NA",0,VLOOKUP(S9,'rNPV Assumptions_NASH'!$B$21:$F$30,COLUMNS('rNPV Assumptions_NASH'!$B$21:$F$21),FALSE)),0%)</f>
        <v>3.4827975000000003E-3</v>
      </c>
      <c r="T28" s="2235">
        <f>IFERROR(IF(VLOOKUP(T9,'rNPV Assumptions_NASH'!$B$21:$F$30,COLUMNS('rNPV Assumptions_NASH'!$B$21:$F$21),FALSE)="NA",0,VLOOKUP(T9,'rNPV Assumptions_NASH'!$B$21:$F$30,COLUMNS('rNPV Assumptions_NASH'!$B$21:$F$21),FALSE)),0%)</f>
        <v>3.4827975000000003E-3</v>
      </c>
      <c r="U28" s="2235">
        <f>IFERROR(IF(VLOOKUP(U9,'rNPV Assumptions_NASH'!$B$21:$F$30,COLUMNS('rNPV Assumptions_NASH'!$B$21:$F$21),FALSE)="NA",0,VLOOKUP(U9,'rNPV Assumptions_NASH'!$B$21:$F$30,COLUMNS('rNPV Assumptions_NASH'!$B$21:$F$21),FALSE)),0%)</f>
        <v>2.6120981250000001E-3</v>
      </c>
      <c r="V28" s="2235">
        <f>IFERROR(IF(VLOOKUP(V9,'rNPV Assumptions_NASH'!$B$21:$F$30,COLUMNS('rNPV Assumptions_NASH'!$B$21:$F$21),FALSE)="NA",0,VLOOKUP(V9,'rNPV Assumptions_NASH'!$B$21:$F$30,COLUMNS('rNPV Assumptions_NASH'!$B$21:$F$21),FALSE)),0%)</f>
        <v>2.6120981250000001E-3</v>
      </c>
      <c r="W28" s="2235">
        <f>IFERROR(IF(VLOOKUP(W9,'rNPV Assumptions_NASH'!$B$21:$F$30,COLUMNS('rNPV Assumptions_NASH'!$B$21:$F$21),FALSE)="NA",0,VLOOKUP(W9,'rNPV Assumptions_NASH'!$B$21:$F$30,COLUMNS('rNPV Assumptions_NASH'!$B$21:$F$21),FALSE)),0%)</f>
        <v>2.6120981250000001E-3</v>
      </c>
      <c r="X28" s="2235">
        <f>IFERROR(IF(VLOOKUP(X9,'rNPV Assumptions_NASH'!$B$21:$F$30,COLUMNS('rNPV Assumptions_NASH'!$B$21:$F$21),FALSE)="NA",0,VLOOKUP(X9,'rNPV Assumptions_NASH'!$B$21:$F$30,COLUMNS('rNPV Assumptions_NASH'!$B$21:$F$21),FALSE)),0%)</f>
        <v>2.6120981250000001E-3</v>
      </c>
      <c r="Y28" s="2235">
        <f>IFERROR(IF(VLOOKUP(Y9,'rNPV Assumptions_NASH'!$B$21:$F$30,COLUMNS('rNPV Assumptions_NASH'!$B$21:$F$21),FALSE)="NA",0,VLOOKUP(Y9,'rNPV Assumptions_NASH'!$B$21:$F$30,COLUMNS('rNPV Assumptions_NASH'!$B$21:$F$21),FALSE)),0%)</f>
        <v>2.6120981250000001E-3</v>
      </c>
      <c r="Z28" s="2235">
        <f>IFERROR(IF(VLOOKUP(Z9,'rNPV Assumptions_NASH'!$B$21:$F$30,COLUMNS('rNPV Assumptions_NASH'!$B$21:$F$21),FALSE)="NA",0,VLOOKUP(Z9,'rNPV Assumptions_NASH'!$B$21:$F$30,COLUMNS('rNPV Assumptions_NASH'!$B$21:$F$21),FALSE)),0%)</f>
        <v>2.6120981250000001E-3</v>
      </c>
      <c r="AA28" s="2235">
        <f>IFERROR(IF(VLOOKUP(AA9,'rNPV Assumptions_NASH'!$B$21:$F$30,COLUMNS('rNPV Assumptions_NASH'!$B$21:$F$21),FALSE)="NA",0,VLOOKUP(AA9,'rNPV Assumptions_NASH'!$B$21:$F$30,COLUMNS('rNPV Assumptions_NASH'!$B$21:$F$21),FALSE)),0%)</f>
        <v>2.6120981250000001E-3</v>
      </c>
      <c r="AB28" s="2235">
        <f>IFERROR(IF(VLOOKUP(AB9,'rNPV Assumptions_NASH'!$B$21:$F$30,COLUMNS('rNPV Assumptions_NASH'!$B$21:$F$21),FALSE)="NA",0,VLOOKUP(AB9,'rNPV Assumptions_NASH'!$B$21:$F$30,COLUMNS('rNPV Assumptions_NASH'!$B$21:$F$21),FALSE)),0%)</f>
        <v>2.6120981250000001E-3</v>
      </c>
      <c r="AC28" s="2235">
        <f>IFERROR(IF(VLOOKUP(AC9,'rNPV Assumptions_NASH'!$B$21:$F$30,COLUMNS('rNPV Assumptions_NASH'!$B$21:$F$21),FALSE)="NA",0,VLOOKUP(AC9,'rNPV Assumptions_NASH'!$B$21:$F$30,COLUMNS('rNPV Assumptions_NASH'!$B$21:$F$21),FALSE)),0%)</f>
        <v>2.6120981250000001E-3</v>
      </c>
      <c r="AD28" s="2235">
        <f>IFERROR(IF(VLOOKUP(AD9,'rNPV Assumptions_NASH'!$B$21:$F$30,COLUMNS('rNPV Assumptions_NASH'!$B$21:$F$21),FALSE)="NA",0,VLOOKUP(AD9,'rNPV Assumptions_NASH'!$B$21:$F$30,COLUMNS('rNPV Assumptions_NASH'!$B$21:$F$21),FALSE)),0%)</f>
        <v>2.6120981250000001E-3</v>
      </c>
      <c r="AE28" s="2235">
        <f>IFERROR(IF(VLOOKUP(AE9,'rNPV Assumptions_NASH'!$B$21:$F$30,COLUMNS('rNPV Assumptions_NASH'!$B$21:$F$21),FALSE)="NA",0,VLOOKUP(AE9,'rNPV Assumptions_NASH'!$B$21:$F$30,COLUMNS('rNPV Assumptions_NASH'!$B$21:$F$21),FALSE)),0%)</f>
        <v>2.6120981250000001E-3</v>
      </c>
      <c r="AF28" s="2235">
        <f>IFERROR(IF(VLOOKUP(AF9,'rNPV Assumptions_NASH'!$B$21:$F$30,COLUMNS('rNPV Assumptions_NASH'!$B$21:$F$21),FALSE)="NA",0,VLOOKUP(AF9,'rNPV Assumptions_NASH'!$B$21:$F$30,COLUMNS('rNPV Assumptions_NASH'!$B$21:$F$21),FALSE)),0%)</f>
        <v>0</v>
      </c>
      <c r="AG28" s="2235">
        <f>IFERROR(IF(VLOOKUP(AG9,'rNPV Assumptions_NASH'!$B$21:$F$30,COLUMNS('rNPV Assumptions_NASH'!$B$21:$F$21),FALSE)="NA",0,VLOOKUP(AG9,'rNPV Assumptions_NASH'!$B$21:$F$30,COLUMNS('rNPV Assumptions_NASH'!$B$21:$F$21),FALSE)),0%)</f>
        <v>0</v>
      </c>
      <c r="AI28" s="720"/>
      <c r="AJ28" s="720"/>
      <c r="AK28" s="720"/>
      <c r="AL28" s="720"/>
      <c r="AM28" s="720"/>
      <c r="AN28" s="720"/>
      <c r="AO28" s="720"/>
    </row>
    <row r="29" spans="1:16383" s="1984" customFormat="1">
      <c r="A29" s="720"/>
      <c r="B29" s="2223" t="str">
        <f>"Probability Adjusted Milestones "&amp;$B$12</f>
        <v>Probability Adjusted Milestones NASH</v>
      </c>
      <c r="C29" s="720"/>
      <c r="D29" s="720"/>
      <c r="E29" s="720"/>
      <c r="F29" s="2241">
        <f>SUM(F24:F26)*F28</f>
        <v>0</v>
      </c>
      <c r="G29" s="2241">
        <f t="shared" ref="G29:AG29" si="6">SUM(G24:G26)*G28</f>
        <v>0</v>
      </c>
      <c r="H29" s="2241">
        <f t="shared" si="6"/>
        <v>0</v>
      </c>
      <c r="I29" s="2241">
        <f t="shared" si="6"/>
        <v>0</v>
      </c>
      <c r="J29" s="2241">
        <f t="shared" si="6"/>
        <v>0</v>
      </c>
      <c r="K29" s="2241">
        <f t="shared" si="6"/>
        <v>0.30712499999999998</v>
      </c>
      <c r="L29" s="2241">
        <f t="shared" si="6"/>
        <v>9.9225000000000008E-2</v>
      </c>
      <c r="M29" s="2241">
        <f t="shared" si="6"/>
        <v>0</v>
      </c>
      <c r="N29" s="2241">
        <f t="shared" si="6"/>
        <v>6.4496250000000019E-2</v>
      </c>
      <c r="O29" s="2241">
        <f t="shared" si="6"/>
        <v>0</v>
      </c>
      <c r="P29" s="2241">
        <f t="shared" si="6"/>
        <v>4.0632637500000006E-2</v>
      </c>
      <c r="Q29" s="2241">
        <f t="shared" si="6"/>
        <v>0</v>
      </c>
      <c r="R29" s="2241">
        <f t="shared" si="6"/>
        <v>3.1345177500000002E-2</v>
      </c>
      <c r="S29" s="2241">
        <f t="shared" si="6"/>
        <v>0</v>
      </c>
      <c r="T29" s="2241">
        <f t="shared" si="6"/>
        <v>0</v>
      </c>
      <c r="U29" s="2241">
        <f t="shared" si="6"/>
        <v>8.0975041875000001E-2</v>
      </c>
      <c r="V29" s="2241">
        <f t="shared" si="6"/>
        <v>0</v>
      </c>
      <c r="W29" s="2241">
        <f t="shared" si="6"/>
        <v>0</v>
      </c>
      <c r="X29" s="2241">
        <f t="shared" si="6"/>
        <v>0</v>
      </c>
      <c r="Y29" s="2241">
        <f t="shared" si="6"/>
        <v>0</v>
      </c>
      <c r="Z29" s="2241">
        <f t="shared" si="6"/>
        <v>0</v>
      </c>
      <c r="AA29" s="2241">
        <f t="shared" si="6"/>
        <v>0</v>
      </c>
      <c r="AB29" s="2241">
        <f t="shared" si="6"/>
        <v>0</v>
      </c>
      <c r="AC29" s="2241">
        <f t="shared" si="6"/>
        <v>0</v>
      </c>
      <c r="AD29" s="2241">
        <f t="shared" si="6"/>
        <v>0</v>
      </c>
      <c r="AE29" s="2241">
        <f t="shared" si="6"/>
        <v>0</v>
      </c>
      <c r="AF29" s="2241">
        <f t="shared" si="6"/>
        <v>0</v>
      </c>
      <c r="AG29" s="2241">
        <f t="shared" si="6"/>
        <v>0</v>
      </c>
      <c r="AI29" s="720"/>
      <c r="AJ29" s="720"/>
      <c r="AK29" s="720"/>
      <c r="AL29" s="720"/>
      <c r="AM29" s="720"/>
      <c r="AN29" s="720"/>
      <c r="AO29" s="720"/>
    </row>
    <row r="30" spans="1:16383">
      <c r="B30" s="2223"/>
      <c r="AH30" s="720"/>
    </row>
    <row r="31" spans="1:16383">
      <c r="B31" s="2223" t="str">
        <f>"Development Milestone Payment "&amp;B17</f>
        <v>Development Milestone Payment Indication #6</v>
      </c>
      <c r="F31" s="2238">
        <f>SUMIF('rNPV Assumptions_NASH'!$C$57:$C$60,'rNPV Analysis_NASH'!F8,'rNPV Assumptions_NASH'!$D$57:$D$60)*'rNPV Assumptions_NASH'!$D$42</f>
        <v>0</v>
      </c>
      <c r="G31" s="2238">
        <f>SUMIF('rNPV Assumptions_NASH'!$C$57:$C$60,'rNPV Analysis_NASH'!G8,'rNPV Assumptions_NASH'!$D$57:$D$60)*'rNPV Assumptions_NASH'!$D$42</f>
        <v>0</v>
      </c>
      <c r="H31" s="2238">
        <f>SUMIF('rNPV Assumptions_NASH'!$C$57:$C$60,'rNPV Analysis_NASH'!H8,'rNPV Assumptions_NASH'!$D$57:$D$60)*'rNPV Assumptions_NASH'!$D$42</f>
        <v>0</v>
      </c>
      <c r="I31" s="2238">
        <f>SUMIF('rNPV Assumptions_NASH'!$C$57:$C$60,'rNPV Analysis_NASH'!I8,'rNPV Assumptions_NASH'!$D$57:$D$60)*'rNPV Assumptions_NASH'!$D$42</f>
        <v>0</v>
      </c>
      <c r="J31" s="2238">
        <f>SUMIF('rNPV Assumptions_NASH'!$C$57:$C$60,'rNPV Analysis_NASH'!J8,'rNPV Assumptions_NASH'!$D$57:$D$60)*'rNPV Assumptions_NASH'!$D$42</f>
        <v>0</v>
      </c>
      <c r="K31" s="2238">
        <f>SUMIF('rNPV Assumptions_NASH'!$C$57:$C$60,'rNPV Analysis_NASH'!K8,'rNPV Assumptions_NASH'!$D$57:$D$60)*'rNPV Assumptions_NASH'!$D$42</f>
        <v>0</v>
      </c>
      <c r="L31" s="2238">
        <f>SUMIF('rNPV Assumptions_NASH'!$C$57:$C$60,'rNPV Analysis_NASH'!L8,'rNPV Assumptions_NASH'!$D$57:$D$60)*'rNPV Assumptions_NASH'!$D$42</f>
        <v>0</v>
      </c>
      <c r="M31" s="2238">
        <f>SUMIF('rNPV Assumptions_NASH'!$C$57:$C$60,'rNPV Analysis_NASH'!M8,'rNPV Assumptions_NASH'!$D$57:$D$60)*'rNPV Assumptions_NASH'!$D$42</f>
        <v>0</v>
      </c>
      <c r="N31" s="2238">
        <f>SUMIF('rNPV Assumptions_NASH'!$C$57:$C$60,'rNPV Analysis_NASH'!N8,'rNPV Assumptions_NASH'!$D$57:$D$60)*'rNPV Assumptions_NASH'!$D$42</f>
        <v>0</v>
      </c>
      <c r="O31" s="2238">
        <f>SUMIF('rNPV Assumptions_NASH'!$C$57:$C$60,'rNPV Analysis_NASH'!O8,'rNPV Assumptions_NASH'!$D$57:$D$60)*'rNPV Assumptions_NASH'!$D$42</f>
        <v>0</v>
      </c>
      <c r="P31" s="2238">
        <f>SUMIF('rNPV Assumptions_NASH'!$C$57:$C$60,'rNPV Analysis_NASH'!P8,'rNPV Assumptions_NASH'!$D$57:$D$60)*'rNPV Assumptions_NASH'!$D$42</f>
        <v>0</v>
      </c>
      <c r="Q31" s="2238">
        <f>SUMIF('rNPV Assumptions_NASH'!$C$57:$C$60,'rNPV Analysis_NASH'!Q8,'rNPV Assumptions_NASH'!$D$57:$D$60)*'rNPV Assumptions_NASH'!$D$42</f>
        <v>0</v>
      </c>
      <c r="R31" s="2238">
        <f>SUMIF('rNPV Assumptions_NASH'!$C$57:$C$60,'rNPV Analysis_NASH'!R8,'rNPV Assumptions_NASH'!$D$57:$D$60)*'rNPV Assumptions_NASH'!$D$42</f>
        <v>0</v>
      </c>
      <c r="S31" s="2238">
        <f>SUMIF('rNPV Assumptions_NASH'!$C$57:$C$60,'rNPV Analysis_NASH'!S8,'rNPV Assumptions_NASH'!$D$57:$D$60)*'rNPV Assumptions_NASH'!$D$42</f>
        <v>0</v>
      </c>
      <c r="T31" s="2238">
        <f>SUMIF('rNPV Assumptions_NASH'!$C$57:$C$60,'rNPV Analysis_NASH'!T8,'rNPV Assumptions_NASH'!$D$57:$D$60)*'rNPV Assumptions_NASH'!$D$42</f>
        <v>0</v>
      </c>
      <c r="U31" s="2238">
        <f>SUMIF('rNPV Assumptions_NASH'!$C$57:$C$60,'rNPV Analysis_NASH'!U8,'rNPV Assumptions_NASH'!$D$57:$D$60)*'rNPV Assumptions_NASH'!$D$42</f>
        <v>0</v>
      </c>
      <c r="V31" s="2238">
        <f>SUMIF('rNPV Assumptions_NASH'!$C$57:$C$60,'rNPV Analysis_NASH'!V8,'rNPV Assumptions_NASH'!$D$57:$D$60)*'rNPV Assumptions_NASH'!$D$42</f>
        <v>0</v>
      </c>
      <c r="W31" s="2238">
        <f>SUMIF('rNPV Assumptions_NASH'!$C$57:$C$60,'rNPV Analysis_NASH'!W8,'rNPV Assumptions_NASH'!$D$57:$D$60)*'rNPV Assumptions_NASH'!$D$42</f>
        <v>0</v>
      </c>
      <c r="X31" s="2238">
        <f>SUMIF('rNPV Assumptions_NASH'!$C$57:$C$60,'rNPV Analysis_NASH'!X8,'rNPV Assumptions_NASH'!$D$57:$D$60)*'rNPV Assumptions_NASH'!$D$42</f>
        <v>0</v>
      </c>
      <c r="Y31" s="2238">
        <f>SUMIF('rNPV Assumptions_NASH'!$C$57:$C$60,'rNPV Analysis_NASH'!Y8,'rNPV Assumptions_NASH'!$D$57:$D$60)*'rNPV Assumptions_NASH'!$D$42</f>
        <v>0</v>
      </c>
      <c r="Z31" s="2238">
        <f>SUMIF('rNPV Assumptions_NASH'!$C$57:$C$60,'rNPV Analysis_NASH'!Z8,'rNPV Assumptions_NASH'!$D$57:$D$60)*'rNPV Assumptions_NASH'!$D$42</f>
        <v>0</v>
      </c>
      <c r="AA31" s="2238">
        <f>SUMIF('rNPV Assumptions_NASH'!$C$57:$C$60,'rNPV Analysis_NASH'!AA8,'rNPV Assumptions_NASH'!$D$57:$D$60)*'rNPV Assumptions_NASH'!$D$42</f>
        <v>0</v>
      </c>
      <c r="AB31" s="2238">
        <f>SUMIF('rNPV Assumptions_NASH'!$C$57:$C$60,'rNPV Analysis_NASH'!AB8,'rNPV Assumptions_NASH'!$D$57:$D$60)*'rNPV Assumptions_NASH'!$D$42</f>
        <v>0</v>
      </c>
      <c r="AC31" s="2238">
        <f>SUMIF('rNPV Assumptions_NASH'!$C$57:$C$60,'rNPV Analysis_NASH'!AC8,'rNPV Assumptions_NASH'!$D$57:$D$60)*'rNPV Assumptions_NASH'!$D$42</f>
        <v>0</v>
      </c>
      <c r="AD31" s="2238">
        <f>SUMIF('rNPV Assumptions_NASH'!$C$57:$C$60,'rNPV Analysis_NASH'!AD8,'rNPV Assumptions_NASH'!$D$57:$D$60)*'rNPV Assumptions_NASH'!$D$42</f>
        <v>0</v>
      </c>
      <c r="AE31" s="2238">
        <f>SUMIF('rNPV Assumptions_NASH'!$C$57:$C$60,'rNPV Analysis_NASH'!AE8,'rNPV Assumptions_NASH'!$D$57:$D$60)*'rNPV Assumptions_NASH'!$D$42</f>
        <v>0</v>
      </c>
      <c r="AF31" s="2238">
        <f>SUMIF('rNPV Assumptions_NASH'!$C$57:$C$60,'rNPV Analysis_NASH'!AF8,'rNPV Assumptions_NASH'!$D$57:$D$60)*'rNPV Assumptions_NASH'!$D$42</f>
        <v>0</v>
      </c>
      <c r="AG31" s="2238">
        <f>SUMIF('rNPV Assumptions_NASH'!$C$57:$C$60,'rNPV Analysis_NASH'!AG8,'rNPV Assumptions_NASH'!$D$57:$D$60)*'rNPV Assumptions_NASH'!$D$42</f>
        <v>0</v>
      </c>
    </row>
    <row r="32" spans="1:16383" s="1984" customFormat="1" ht="8.1" customHeight="1">
      <c r="A32" s="720"/>
      <c r="B32" s="2157"/>
      <c r="C32" s="1171"/>
      <c r="D32" s="720"/>
      <c r="E32" s="720"/>
      <c r="F32" s="720"/>
      <c r="G32" s="720"/>
      <c r="H32" s="720"/>
      <c r="I32" s="720"/>
      <c r="J32" s="720"/>
      <c r="K32" s="720"/>
      <c r="L32" s="720"/>
      <c r="M32" s="720"/>
      <c r="N32" s="720"/>
      <c r="O32" s="720"/>
      <c r="P32" s="720"/>
      <c r="Q32" s="720"/>
      <c r="R32" s="720"/>
      <c r="S32" s="720"/>
      <c r="T32" s="720"/>
      <c r="U32" s="720"/>
      <c r="V32" s="720"/>
      <c r="W32" s="720"/>
      <c r="X32" s="720"/>
      <c r="Y32" s="720"/>
      <c r="Z32" s="720"/>
      <c r="AA32" s="720"/>
      <c r="AB32" s="720"/>
      <c r="AC32" s="720"/>
      <c r="AD32" s="720"/>
      <c r="AE32" s="720"/>
      <c r="AF32" s="720"/>
      <c r="AG32" s="720"/>
      <c r="AI32" s="720"/>
      <c r="AJ32" s="720"/>
      <c r="AK32" s="720"/>
      <c r="AL32" s="720"/>
      <c r="AM32" s="720"/>
      <c r="AN32" s="720"/>
      <c r="AO32" s="720"/>
    </row>
    <row r="33" spans="1:41" s="1984" customFormat="1">
      <c r="A33" s="720"/>
      <c r="B33" s="2232" t="s">
        <v>2843</v>
      </c>
      <c r="C33" s="720"/>
      <c r="D33" s="720"/>
      <c r="E33" s="720"/>
      <c r="F33" s="2235">
        <f>IFERROR(IF(VLOOKUP(F9,'rNPV Assumptions_NASH'!$B$45:$F$54,COLUMNS('rNPV Assumptions_NASH'!$B$45:$F$45),FALSE)="NA",0,VLOOKUP(F9,'rNPV Assumptions_NASH'!$B$45:$F$54,COLUMNS('rNPV Assumptions_NASH'!$B$45:$F$45),FALSE)),0%)</f>
        <v>0</v>
      </c>
      <c r="G33" s="2235">
        <f>IFERROR(IF(VLOOKUP(G9,'rNPV Assumptions_NASH'!$B$45:$F$54,COLUMNS('rNPV Assumptions_NASH'!$B$45:$F$45),FALSE)="NA",0,VLOOKUP(G9,'rNPV Assumptions_NASH'!$B$45:$F$54,COLUMNS('rNPV Assumptions_NASH'!$B$45:$F$45),FALSE)),0%)</f>
        <v>0</v>
      </c>
      <c r="H33" s="2235">
        <f>IFERROR(IF(VLOOKUP(H9,'rNPV Assumptions_NASH'!$B$45:$F$54,COLUMNS('rNPV Assumptions_NASH'!$B$45:$F$45),FALSE)="NA",0,VLOOKUP(H9,'rNPV Assumptions_NASH'!$B$45:$F$54,COLUMNS('rNPV Assumptions_NASH'!$B$45:$F$45),FALSE)),0%)</f>
        <v>0</v>
      </c>
      <c r="I33" s="2235">
        <f>IFERROR(IF(VLOOKUP(I9,'rNPV Assumptions_NASH'!$B$45:$F$54,COLUMNS('rNPV Assumptions_NASH'!$B$45:$F$45),FALSE)="NA",0,VLOOKUP(I9,'rNPV Assumptions_NASH'!$B$45:$F$54,COLUMNS('rNPV Assumptions_NASH'!$B$45:$F$45),FALSE)),0%)</f>
        <v>0</v>
      </c>
      <c r="J33" s="2235">
        <f>IFERROR(IF(VLOOKUP(J9,'rNPV Assumptions_NASH'!$B$45:$F$54,COLUMNS('rNPV Assumptions_NASH'!$B$45:$F$45),FALSE)="NA",0,VLOOKUP(J9,'rNPV Assumptions_NASH'!$B$45:$F$54,COLUMNS('rNPV Assumptions_NASH'!$B$45:$F$45),FALSE)),0%)</f>
        <v>0</v>
      </c>
      <c r="K33" s="2235">
        <f>IFERROR(IF(VLOOKUP(K9,'rNPV Assumptions_NASH'!$B$45:$F$54,COLUMNS('rNPV Assumptions_NASH'!$B$45:$F$45),FALSE)="NA",0,VLOOKUP(K9,'rNPV Assumptions_NASH'!$B$45:$F$54,COLUMNS('rNPV Assumptions_NASH'!$B$45:$F$45),FALSE)),0%)</f>
        <v>4.725E-2</v>
      </c>
      <c r="L33" s="2235">
        <f>IFERROR(IF(VLOOKUP(L9,'rNPV Assumptions_NASH'!$B$45:$F$54,COLUMNS('rNPV Assumptions_NASH'!$B$45:$F$45),FALSE)="NA",0,VLOOKUP(L9,'rNPV Assumptions_NASH'!$B$45:$F$54,COLUMNS('rNPV Assumptions_NASH'!$B$45:$F$45),FALSE)),0%)</f>
        <v>3.3075E-2</v>
      </c>
      <c r="M33" s="2235">
        <f>IFERROR(IF(VLOOKUP(M9,'rNPV Assumptions_NASH'!$B$45:$F$54,COLUMNS('rNPV Assumptions_NASH'!$B$45:$F$45),FALSE)="NA",0,VLOOKUP(M9,'rNPV Assumptions_NASH'!$B$45:$F$54,COLUMNS('rNPV Assumptions_NASH'!$B$45:$F$45),FALSE)),0%)</f>
        <v>2.149875E-2</v>
      </c>
      <c r="N33" s="2235">
        <f>IFERROR(IF(VLOOKUP(N9,'rNPV Assumptions_NASH'!$B$45:$F$54,COLUMNS('rNPV Assumptions_NASH'!$B$45:$F$45),FALSE)="NA",0,VLOOKUP(N9,'rNPV Assumptions_NASH'!$B$45:$F$54,COLUMNS('rNPV Assumptions_NASH'!$B$45:$F$45),FALSE)),0%)</f>
        <v>1.2899250000000003E-2</v>
      </c>
      <c r="O33" s="2235">
        <f>IFERROR(IF(VLOOKUP(O9,'rNPV Assumptions_NASH'!$B$45:$F$54,COLUMNS('rNPV Assumptions_NASH'!$B$45:$F$45),FALSE)="NA",0,VLOOKUP(O9,'rNPV Assumptions_NASH'!$B$45:$F$54,COLUMNS('rNPV Assumptions_NASH'!$B$45:$F$45),FALSE)),0%)</f>
        <v>1.2899250000000003E-2</v>
      </c>
      <c r="P33" s="2235">
        <f>IFERROR(IF(VLOOKUP(P9,'rNPV Assumptions_NASH'!$B$45:$F$54,COLUMNS('rNPV Assumptions_NASH'!$B$45:$F$45),FALSE)="NA",0,VLOOKUP(P9,'rNPV Assumptions_NASH'!$B$45:$F$54,COLUMNS('rNPV Assumptions_NASH'!$B$45:$F$45),FALSE)),0%)</f>
        <v>5.804662500000001E-3</v>
      </c>
      <c r="Q33" s="2235">
        <f>IFERROR(IF(VLOOKUP(Q9,'rNPV Assumptions_NASH'!$B$45:$F$54,COLUMNS('rNPV Assumptions_NASH'!$B$45:$F$45),FALSE)="NA",0,VLOOKUP(Q9,'rNPV Assumptions_NASH'!$B$45:$F$54,COLUMNS('rNPV Assumptions_NASH'!$B$45:$F$45),FALSE)),0%)</f>
        <v>5.804662500000001E-3</v>
      </c>
      <c r="R33" s="2235">
        <f>IFERROR(IF(VLOOKUP(R9,'rNPV Assumptions_NASH'!$B$45:$F$54,COLUMNS('rNPV Assumptions_NASH'!$B$45:$F$45),FALSE)="NA",0,VLOOKUP(R9,'rNPV Assumptions_NASH'!$B$45:$F$54,COLUMNS('rNPV Assumptions_NASH'!$B$45:$F$45),FALSE)),0%)</f>
        <v>3.4827975000000003E-3</v>
      </c>
      <c r="S33" s="2235">
        <f>IFERROR(IF(VLOOKUP(S9,'rNPV Assumptions_NASH'!$B$45:$F$54,COLUMNS('rNPV Assumptions_NASH'!$B$45:$F$45),FALSE)="NA",0,VLOOKUP(S9,'rNPV Assumptions_NASH'!$B$45:$F$54,COLUMNS('rNPV Assumptions_NASH'!$B$45:$F$45),FALSE)),0%)</f>
        <v>3.4827975000000003E-3</v>
      </c>
      <c r="T33" s="2235">
        <f>IFERROR(IF(VLOOKUP(T9,'rNPV Assumptions_NASH'!$B$45:$F$54,COLUMNS('rNPV Assumptions_NASH'!$B$45:$F$45),FALSE)="NA",0,VLOOKUP(T9,'rNPV Assumptions_NASH'!$B$45:$F$54,COLUMNS('rNPV Assumptions_NASH'!$B$45:$F$45),FALSE)),0%)</f>
        <v>3.4827975000000003E-3</v>
      </c>
      <c r="U33" s="2235">
        <f>IFERROR(IF(VLOOKUP(U9,'rNPV Assumptions_NASH'!$B$45:$F$54,COLUMNS('rNPV Assumptions_NASH'!$B$45:$F$45),FALSE)="NA",0,VLOOKUP(U9,'rNPV Assumptions_NASH'!$B$45:$F$54,COLUMNS('rNPV Assumptions_NASH'!$B$45:$F$45),FALSE)),0%)</f>
        <v>2.6120981250000001E-3</v>
      </c>
      <c r="V33" s="2235">
        <f>IFERROR(IF(VLOOKUP(V9,'rNPV Assumptions_NASH'!$B$45:$F$54,COLUMNS('rNPV Assumptions_NASH'!$B$45:$F$45),FALSE)="NA",0,VLOOKUP(V9,'rNPV Assumptions_NASH'!$B$45:$F$54,COLUMNS('rNPV Assumptions_NASH'!$B$45:$F$45),FALSE)),0%)</f>
        <v>2.6120981250000001E-3</v>
      </c>
      <c r="W33" s="2235">
        <f>IFERROR(IF(VLOOKUP(W9,'rNPV Assumptions_NASH'!$B$45:$F$54,COLUMNS('rNPV Assumptions_NASH'!$B$45:$F$45),FALSE)="NA",0,VLOOKUP(W9,'rNPV Assumptions_NASH'!$B$45:$F$54,COLUMNS('rNPV Assumptions_NASH'!$B$45:$F$45),FALSE)),0%)</f>
        <v>2.6120981250000001E-3</v>
      </c>
      <c r="X33" s="2235">
        <f>IFERROR(IF(VLOOKUP(X9,'rNPV Assumptions_NASH'!$B$45:$F$54,COLUMNS('rNPV Assumptions_NASH'!$B$45:$F$45),FALSE)="NA",0,VLOOKUP(X9,'rNPV Assumptions_NASH'!$B$45:$F$54,COLUMNS('rNPV Assumptions_NASH'!$B$45:$F$45),FALSE)),0%)</f>
        <v>2.6120981250000001E-3</v>
      </c>
      <c r="Y33" s="2235">
        <f>IFERROR(IF(VLOOKUP(Y9,'rNPV Assumptions_NASH'!$B$45:$F$54,COLUMNS('rNPV Assumptions_NASH'!$B$45:$F$45),FALSE)="NA",0,VLOOKUP(Y9,'rNPV Assumptions_NASH'!$B$45:$F$54,COLUMNS('rNPV Assumptions_NASH'!$B$45:$F$45),FALSE)),0%)</f>
        <v>2.6120981250000001E-3</v>
      </c>
      <c r="Z33" s="2235">
        <f>IFERROR(IF(VLOOKUP(Z9,'rNPV Assumptions_NASH'!$B$45:$F$54,COLUMNS('rNPV Assumptions_NASH'!$B$45:$F$45),FALSE)="NA",0,VLOOKUP(Z9,'rNPV Assumptions_NASH'!$B$45:$F$54,COLUMNS('rNPV Assumptions_NASH'!$B$45:$F$45),FALSE)),0%)</f>
        <v>2.6120981250000001E-3</v>
      </c>
      <c r="AA33" s="2235">
        <f>IFERROR(IF(VLOOKUP(AA9,'rNPV Assumptions_NASH'!$B$45:$F$54,COLUMNS('rNPV Assumptions_NASH'!$B$45:$F$45),FALSE)="NA",0,VLOOKUP(AA9,'rNPV Assumptions_NASH'!$B$45:$F$54,COLUMNS('rNPV Assumptions_NASH'!$B$45:$F$45),FALSE)),0%)</f>
        <v>2.6120981250000001E-3</v>
      </c>
      <c r="AB33" s="2235">
        <f>IFERROR(IF(VLOOKUP(AB9,'rNPV Assumptions_NASH'!$B$45:$F$54,COLUMNS('rNPV Assumptions_NASH'!$B$45:$F$45),FALSE)="NA",0,VLOOKUP(AB9,'rNPV Assumptions_NASH'!$B$45:$F$54,COLUMNS('rNPV Assumptions_NASH'!$B$45:$F$45),FALSE)),0%)</f>
        <v>2.6120981250000001E-3</v>
      </c>
      <c r="AC33" s="2235">
        <f>IFERROR(IF(VLOOKUP(AC9,'rNPV Assumptions_NASH'!$B$45:$F$54,COLUMNS('rNPV Assumptions_NASH'!$B$45:$F$45),FALSE)="NA",0,VLOOKUP(AC9,'rNPV Assumptions_NASH'!$B$45:$F$54,COLUMNS('rNPV Assumptions_NASH'!$B$45:$F$45),FALSE)),0%)</f>
        <v>2.6120981250000001E-3</v>
      </c>
      <c r="AD33" s="2235">
        <f>IFERROR(IF(VLOOKUP(AD9,'rNPV Assumptions_NASH'!$B$45:$F$54,COLUMNS('rNPV Assumptions_NASH'!$B$45:$F$45),FALSE)="NA",0,VLOOKUP(AD9,'rNPV Assumptions_NASH'!$B$45:$F$54,COLUMNS('rNPV Assumptions_NASH'!$B$45:$F$45),FALSE)),0%)</f>
        <v>2.6120981250000001E-3</v>
      </c>
      <c r="AE33" s="2235">
        <f>IFERROR(IF(VLOOKUP(AE9,'rNPV Assumptions_NASH'!$B$45:$F$54,COLUMNS('rNPV Assumptions_NASH'!$B$45:$F$45),FALSE)="NA",0,VLOOKUP(AE9,'rNPV Assumptions_NASH'!$B$45:$F$54,COLUMNS('rNPV Assumptions_NASH'!$B$45:$F$45),FALSE)),0%)</f>
        <v>2.6120981250000001E-3</v>
      </c>
      <c r="AF33" s="2235">
        <f>IFERROR(IF(VLOOKUP(AF9,'rNPV Assumptions_NASH'!$B$45:$F$54,COLUMNS('rNPV Assumptions_NASH'!$B$45:$F$45),FALSE)="NA",0,VLOOKUP(AF9,'rNPV Assumptions_NASH'!$B$45:$F$54,COLUMNS('rNPV Assumptions_NASH'!$B$45:$F$45),FALSE)),0%)</f>
        <v>0</v>
      </c>
      <c r="AG33" s="2235">
        <f>IFERROR(IF(VLOOKUP(AG9,'rNPV Assumptions_NASH'!$B$45:$F$54,COLUMNS('rNPV Assumptions_NASH'!$B$45:$F$45),FALSE)="NA",0,VLOOKUP(AG9,'rNPV Assumptions_NASH'!$B$45:$F$54,COLUMNS('rNPV Assumptions_NASH'!$B$45:$F$45),FALSE)),0%)</f>
        <v>0</v>
      </c>
      <c r="AI33" s="720"/>
      <c r="AJ33" s="720"/>
      <c r="AK33" s="720"/>
      <c r="AL33" s="720"/>
      <c r="AM33" s="720"/>
      <c r="AN33" s="720"/>
      <c r="AO33" s="720"/>
    </row>
    <row r="34" spans="1:41" s="1984" customFormat="1">
      <c r="A34" s="720"/>
      <c r="B34" s="2223" t="str">
        <f>"Probability Adjusted Milestones "&amp;$B$17</f>
        <v>Probability Adjusted Milestones Indication #6</v>
      </c>
      <c r="C34" s="720"/>
      <c r="D34" s="720"/>
      <c r="E34" s="720"/>
      <c r="F34" s="2241">
        <f t="shared" ref="F34:AG34" si="7">F31*F33</f>
        <v>0</v>
      </c>
      <c r="G34" s="2241">
        <f t="shared" si="7"/>
        <v>0</v>
      </c>
      <c r="H34" s="2241">
        <f t="shared" si="7"/>
        <v>0</v>
      </c>
      <c r="I34" s="2241">
        <f t="shared" si="7"/>
        <v>0</v>
      </c>
      <c r="J34" s="2241">
        <f t="shared" si="7"/>
        <v>0</v>
      </c>
      <c r="K34" s="2241">
        <f t="shared" si="7"/>
        <v>0</v>
      </c>
      <c r="L34" s="2241">
        <f t="shared" si="7"/>
        <v>0</v>
      </c>
      <c r="M34" s="2241">
        <f t="shared" si="7"/>
        <v>0</v>
      </c>
      <c r="N34" s="2241">
        <f t="shared" si="7"/>
        <v>0</v>
      </c>
      <c r="O34" s="2241">
        <f t="shared" si="7"/>
        <v>0</v>
      </c>
      <c r="P34" s="2241">
        <f t="shared" si="7"/>
        <v>0</v>
      </c>
      <c r="Q34" s="2241">
        <f t="shared" si="7"/>
        <v>0</v>
      </c>
      <c r="R34" s="2241">
        <f t="shared" si="7"/>
        <v>0</v>
      </c>
      <c r="S34" s="2241">
        <f t="shared" si="7"/>
        <v>0</v>
      </c>
      <c r="T34" s="2241">
        <f t="shared" si="7"/>
        <v>0</v>
      </c>
      <c r="U34" s="2241">
        <f t="shared" si="7"/>
        <v>0</v>
      </c>
      <c r="V34" s="2241">
        <f t="shared" si="7"/>
        <v>0</v>
      </c>
      <c r="W34" s="2241">
        <f t="shared" si="7"/>
        <v>0</v>
      </c>
      <c r="X34" s="2241">
        <f t="shared" si="7"/>
        <v>0</v>
      </c>
      <c r="Y34" s="2241">
        <f t="shared" si="7"/>
        <v>0</v>
      </c>
      <c r="Z34" s="2241">
        <f t="shared" si="7"/>
        <v>0</v>
      </c>
      <c r="AA34" s="2241">
        <f t="shared" si="7"/>
        <v>0</v>
      </c>
      <c r="AB34" s="2241">
        <f t="shared" si="7"/>
        <v>0</v>
      </c>
      <c r="AC34" s="2241">
        <f t="shared" si="7"/>
        <v>0</v>
      </c>
      <c r="AD34" s="2241">
        <f t="shared" si="7"/>
        <v>0</v>
      </c>
      <c r="AE34" s="2241">
        <f t="shared" si="7"/>
        <v>0</v>
      </c>
      <c r="AF34" s="2241">
        <f t="shared" si="7"/>
        <v>0</v>
      </c>
      <c r="AG34" s="2241">
        <f t="shared" si="7"/>
        <v>0</v>
      </c>
      <c r="AI34" s="720"/>
      <c r="AJ34" s="720"/>
      <c r="AK34" s="720"/>
      <c r="AL34" s="720"/>
      <c r="AM34" s="720"/>
      <c r="AN34" s="720"/>
      <c r="AO34" s="720"/>
    </row>
    <row r="35" spans="1:41">
      <c r="B35" s="2223"/>
      <c r="AH35" s="720"/>
    </row>
    <row r="36" spans="1:41">
      <c r="B36" s="2223" t="s">
        <v>4022</v>
      </c>
      <c r="F36" s="2238"/>
      <c r="G36" s="2238"/>
      <c r="H36" s="2238"/>
      <c r="I36" s="2238"/>
      <c r="J36" s="2238"/>
      <c r="K36" s="2238"/>
      <c r="L36" s="2238"/>
      <c r="M36" s="2238"/>
      <c r="N36" s="2238"/>
      <c r="O36" s="2238"/>
      <c r="P36" s="2238"/>
      <c r="Q36" s="2238"/>
      <c r="R36" s="2238"/>
      <c r="S36" s="2238"/>
      <c r="T36" s="2238"/>
      <c r="U36" s="2238"/>
      <c r="V36" s="2238"/>
      <c r="W36" s="2238"/>
      <c r="X36" s="2238"/>
      <c r="Y36" s="2238"/>
      <c r="Z36" s="2238"/>
      <c r="AA36" s="2238"/>
      <c r="AB36" s="2238"/>
      <c r="AC36" s="2238"/>
      <c r="AD36" s="2238"/>
      <c r="AE36" s="2238"/>
      <c r="AF36" s="2238"/>
      <c r="AG36" s="2238"/>
    </row>
    <row r="37" spans="1:41">
      <c r="B37" s="454">
        <f>'rNPV Assumptions_NASH'!B67</f>
        <v>500</v>
      </c>
      <c r="C37" s="2240">
        <f>'rNPV Assumptions_NASH'!C67</f>
        <v>10</v>
      </c>
      <c r="F37" s="2238">
        <f>IF(SUM($E37:E37)=0,IF(F$22&gt;=$B37,$C37,0),0)</f>
        <v>0</v>
      </c>
      <c r="G37" s="2238">
        <f>IF(SUM($E37:F37)=0,IF(G$22&gt;=$B37,$C37,0),0)</f>
        <v>0</v>
      </c>
      <c r="H37" s="2238">
        <f>IF(SUM($E37:G37)=0,IF(H$22&gt;=$B37,$C37,0),0)</f>
        <v>0</v>
      </c>
      <c r="I37" s="2238">
        <f>IF(SUM($E37:H37)=0,IF(I$22&gt;=$B37,$C37,0),0)</f>
        <v>0</v>
      </c>
      <c r="J37" s="2238">
        <f>IF(SUM($E37:I37)=0,IF(J$22&gt;=$B37,$C37,0),0)</f>
        <v>0</v>
      </c>
      <c r="K37" s="2238">
        <f>IF(SUM($E37:J37)=0,IF(K$22&gt;=$B37,$C37,0),0)</f>
        <v>0</v>
      </c>
      <c r="L37" s="2238">
        <f>IF(SUM($E37:K37)=0,IF(L$22&gt;=$B37,$C37,0),0)</f>
        <v>0</v>
      </c>
      <c r="M37" s="2238">
        <f>IF(SUM($E37:L37)=0,IF(M$22&gt;=$B37,$C37,0),0)</f>
        <v>0</v>
      </c>
      <c r="N37" s="2238">
        <f>IF(SUM($E37:M37)=0,IF(N$22&gt;=$B37,$C37,0),0)</f>
        <v>0</v>
      </c>
      <c r="O37" s="2238">
        <f>IF(SUM($E37:N37)=0,IF(O$22&gt;=$B37,$C37,0),0)</f>
        <v>0</v>
      </c>
      <c r="P37" s="2238">
        <f>IF(SUM($E37:O37)=0,IF(P$22&gt;=$B37,$C37,0),0)</f>
        <v>0</v>
      </c>
      <c r="Q37" s="2238">
        <f>IF(SUM($E37:P37)=0,IF(Q$22&gt;=$B37,$C37,0),0)</f>
        <v>0</v>
      </c>
      <c r="R37" s="2238">
        <f>IF(SUM($E37:Q37)=0,IF(R$22&gt;=$B37,$C37,0),0)</f>
        <v>0</v>
      </c>
      <c r="S37" s="2238">
        <f>IF(SUM($E37:R37)=0,IF(S$22&gt;=$B37,$C37,0),0)</f>
        <v>0</v>
      </c>
      <c r="T37" s="2238">
        <f>IF(SUM($E37:S37)=0,IF(T$22&gt;=$B37,$C37,0),0)</f>
        <v>0</v>
      </c>
      <c r="U37" s="2238">
        <f>IF(SUM($E37:T37)=0,IF(U$22&gt;=$B37,$C37,0),0)</f>
        <v>0</v>
      </c>
      <c r="V37" s="2238">
        <f>IF(SUM($E37:U37)=0,IF(V$22&gt;=$B37,$C37,0),0)</f>
        <v>0</v>
      </c>
      <c r="W37" s="2238">
        <f>IF(SUM($E37:V37)=0,IF(W$22&gt;=$B37,$C37,0),0)</f>
        <v>0</v>
      </c>
      <c r="X37" s="2238">
        <f>IF(SUM($E37:W37)=0,IF(X$22&gt;=$B37,$C37,0),0)</f>
        <v>0</v>
      </c>
      <c r="Y37" s="2238">
        <f>IF(SUM($E37:X37)=0,IF(Y$22&gt;=$B37,$C37,0),0)</f>
        <v>10</v>
      </c>
      <c r="Z37" s="2238">
        <f>IF(SUM($E37:Y37)=0,IF(Z$22&gt;=$B37,$C37,0),0)</f>
        <v>0</v>
      </c>
      <c r="AA37" s="2238">
        <f>IF(SUM($E37:Z37)=0,IF(AA$22&gt;=$B37,$C37,0),0)</f>
        <v>0</v>
      </c>
      <c r="AB37" s="2238">
        <f>IF(SUM($E37:AA37)=0,IF(AB$22&gt;=$B37,$C37,0),0)</f>
        <v>0</v>
      </c>
      <c r="AC37" s="2238">
        <f>IF(SUM($E37:AB37)=0,IF(AC$22&gt;=$B37,$C37,0),0)</f>
        <v>0</v>
      </c>
      <c r="AD37" s="2238">
        <f>IF(SUM($E37:AC37)=0,IF(AD$22&gt;=$B37,$C37,0),0)</f>
        <v>0</v>
      </c>
      <c r="AE37" s="2238">
        <f>IF(SUM($E37:AD37)=0,IF(AE$22&gt;=$B37,$C37,0),0)</f>
        <v>0</v>
      </c>
      <c r="AF37" s="2238">
        <f>IF(SUM($E37:AE37)=0,IF(AF$22&gt;=$B37,$C37,0),0)</f>
        <v>0</v>
      </c>
      <c r="AG37" s="2238">
        <f>IF(SUM($E37:AF37)=0,IF(AG$22&gt;=$B37,$C37,0),0)</f>
        <v>0</v>
      </c>
    </row>
    <row r="38" spans="1:41">
      <c r="B38" s="454">
        <f>'rNPV Assumptions_NASH'!B68</f>
        <v>1000</v>
      </c>
      <c r="C38" s="2240">
        <f>'rNPV Assumptions_NASH'!C68</f>
        <v>25</v>
      </c>
      <c r="F38" s="2238">
        <f>IF(SUM($E38:E38)=0,IF(F$22&gt;=$B38,$C38,0),0)</f>
        <v>0</v>
      </c>
      <c r="G38" s="2238">
        <f>IF(SUM($E38:F38)=0,IF(G$22&gt;=$B38,$C38,0),0)</f>
        <v>0</v>
      </c>
      <c r="H38" s="2238">
        <f>IF(SUM($E38:G38)=0,IF(H$22&gt;=$B38,$C38,0),0)</f>
        <v>0</v>
      </c>
      <c r="I38" s="2238">
        <f>IF(SUM($E38:H38)=0,IF(I$22&gt;=$B38,$C38,0),0)</f>
        <v>0</v>
      </c>
      <c r="J38" s="2238">
        <f>IF(SUM($E38:I38)=0,IF(J$22&gt;=$B38,$C38,0),0)</f>
        <v>0</v>
      </c>
      <c r="K38" s="2238">
        <f>IF(SUM($E38:J38)=0,IF(K$22&gt;=$B38,$C38,0),0)</f>
        <v>0</v>
      </c>
      <c r="L38" s="2238">
        <f>IF(SUM($E38:K38)=0,IF(L$22&gt;=$B38,$C38,0),0)</f>
        <v>0</v>
      </c>
      <c r="M38" s="2238">
        <f>IF(SUM($E38:L38)=0,IF(M$22&gt;=$B38,$C38,0),0)</f>
        <v>0</v>
      </c>
      <c r="N38" s="2238">
        <f>IF(SUM($E38:M38)=0,IF(N$22&gt;=$B38,$C38,0),0)</f>
        <v>0</v>
      </c>
      <c r="O38" s="2238">
        <f>IF(SUM($E38:N38)=0,IF(O$22&gt;=$B38,$C38,0),0)</f>
        <v>0</v>
      </c>
      <c r="P38" s="2238">
        <f>IF(SUM($E38:O38)=0,IF(P$22&gt;=$B38,$C38,0),0)</f>
        <v>0</v>
      </c>
      <c r="Q38" s="2238">
        <f>IF(SUM($E38:P38)=0,IF(Q$22&gt;=$B38,$C38,0),0)</f>
        <v>0</v>
      </c>
      <c r="R38" s="2238">
        <f>IF(SUM($E38:Q38)=0,IF(R$22&gt;=$B38,$C38,0),0)</f>
        <v>0</v>
      </c>
      <c r="S38" s="2238">
        <f>IF(SUM($E38:R38)=0,IF(S$22&gt;=$B38,$C38,0),0)</f>
        <v>0</v>
      </c>
      <c r="T38" s="2238">
        <f>IF(SUM($E38:S38)=0,IF(T$22&gt;=$B38,$C38,0),0)</f>
        <v>0</v>
      </c>
      <c r="U38" s="2238">
        <f>IF(SUM($E38:T38)=0,IF(U$22&gt;=$B38,$C38,0),0)</f>
        <v>0</v>
      </c>
      <c r="V38" s="2238">
        <f>IF(SUM($E38:U38)=0,IF(V$22&gt;=$B38,$C38,0),0)</f>
        <v>0</v>
      </c>
      <c r="W38" s="2238">
        <f>IF(SUM($E38:V38)=0,IF(W$22&gt;=$B38,$C38,0),0)</f>
        <v>0</v>
      </c>
      <c r="X38" s="2238">
        <f>IF(SUM($E38:W38)=0,IF(X$22&gt;=$B38,$C38,0),0)</f>
        <v>0</v>
      </c>
      <c r="Y38" s="2238">
        <f>IF(SUM($E38:X38)=0,IF(Y$22&gt;=$B38,$C38,0),0)</f>
        <v>0</v>
      </c>
      <c r="Z38" s="2238">
        <f>IF(SUM($E38:Y38)=0,IF(Z$22&gt;=$B38,$C38,0),0)</f>
        <v>0</v>
      </c>
      <c r="AA38" s="2238">
        <f>IF(SUM($E38:Z38)=0,IF(AA$22&gt;=$B38,$C38,0),0)</f>
        <v>0</v>
      </c>
      <c r="AB38" s="2238">
        <f>IF(SUM($E38:AA38)=0,IF(AB$22&gt;=$B38,$C38,0),0)</f>
        <v>0</v>
      </c>
      <c r="AC38" s="2238">
        <f>IF(SUM($E38:AB38)=0,IF(AC$22&gt;=$B38,$C38,0),0)</f>
        <v>0</v>
      </c>
      <c r="AD38" s="2238">
        <f>IF(SUM($E38:AC38)=0,IF(AD$22&gt;=$B38,$C38,0),0)</f>
        <v>0</v>
      </c>
      <c r="AE38" s="2238">
        <f>IF(SUM($E38:AD38)=0,IF(AE$22&gt;=$B38,$C38,0),0)</f>
        <v>25</v>
      </c>
      <c r="AF38" s="2238">
        <f>IF(SUM($E38:AE38)=0,IF(AF$22&gt;=$B38,$C38,0),0)</f>
        <v>0</v>
      </c>
      <c r="AG38" s="2238">
        <f>IF(SUM($E38:AF38)=0,IF(AG$22&gt;=$B38,$C38,0),0)</f>
        <v>0</v>
      </c>
    </row>
    <row r="39" spans="1:41">
      <c r="B39" s="454">
        <f>'rNPV Assumptions_NASH'!B69</f>
        <v>2000</v>
      </c>
      <c r="C39" s="2240">
        <f>'rNPV Assumptions_NASH'!C69</f>
        <v>35</v>
      </c>
      <c r="F39" s="2238">
        <f>IF(SUM($E39:E39)=0,IF(F$22&gt;=$B39,$C39,0),0)</f>
        <v>0</v>
      </c>
      <c r="G39" s="2238">
        <f>IF(SUM($E39:F39)=0,IF(G$22&gt;=$B39,$C39,0),0)</f>
        <v>0</v>
      </c>
      <c r="H39" s="2238">
        <f>IF(SUM($E39:G39)=0,IF(H$22&gt;=$B39,$C39,0),0)</f>
        <v>0</v>
      </c>
      <c r="I39" s="2238">
        <f>IF(SUM($E39:H39)=0,IF(I$22&gt;=$B39,$C39,0),0)</f>
        <v>0</v>
      </c>
      <c r="J39" s="2238">
        <f>IF(SUM($E39:I39)=0,IF(J$22&gt;=$B39,$C39,0),0)</f>
        <v>0</v>
      </c>
      <c r="K39" s="2238">
        <f>IF(SUM($E39:J39)=0,IF(K$22&gt;=$B39,$C39,0),0)</f>
        <v>0</v>
      </c>
      <c r="L39" s="2238">
        <f>IF(SUM($E39:K39)=0,IF(L$22&gt;=$B39,$C39,0),0)</f>
        <v>0</v>
      </c>
      <c r="M39" s="2238">
        <f>IF(SUM($E39:L39)=0,IF(M$22&gt;=$B39,$C39,0),0)</f>
        <v>0</v>
      </c>
      <c r="N39" s="2238">
        <f>IF(SUM($E39:M39)=0,IF(N$22&gt;=$B39,$C39,0),0)</f>
        <v>0</v>
      </c>
      <c r="O39" s="2238">
        <f>IF(SUM($E39:N39)=0,IF(O$22&gt;=$B39,$C39,0),0)</f>
        <v>0</v>
      </c>
      <c r="P39" s="2238">
        <f>IF(SUM($E39:O39)=0,IF(P$22&gt;=$B39,$C39,0),0)</f>
        <v>0</v>
      </c>
      <c r="Q39" s="2238">
        <f>IF(SUM($E39:P39)=0,IF(Q$22&gt;=$B39,$C39,0),0)</f>
        <v>0</v>
      </c>
      <c r="R39" s="2238">
        <f>IF(SUM($E39:Q39)=0,IF(R$22&gt;=$B39,$C39,0),0)</f>
        <v>0</v>
      </c>
      <c r="S39" s="2238">
        <f>IF(SUM($E39:R39)=0,IF(S$22&gt;=$B39,$C39,0),0)</f>
        <v>0</v>
      </c>
      <c r="T39" s="2238">
        <f>IF(SUM($E39:S39)=0,IF(T$22&gt;=$B39,$C39,0),0)</f>
        <v>0</v>
      </c>
      <c r="U39" s="2238">
        <f>IF(SUM($E39:T39)=0,IF(U$22&gt;=$B39,$C39,0),0)</f>
        <v>0</v>
      </c>
      <c r="V39" s="2238">
        <f>IF(SUM($E39:U39)=0,IF(V$22&gt;=$B39,$C39,0),0)</f>
        <v>0</v>
      </c>
      <c r="W39" s="2238">
        <f>IF(SUM($E39:V39)=0,IF(W$22&gt;=$B39,$C39,0),0)</f>
        <v>0</v>
      </c>
      <c r="X39" s="2238">
        <f>IF(SUM($E39:W39)=0,IF(X$22&gt;=$B39,$C39,0),0)</f>
        <v>0</v>
      </c>
      <c r="Y39" s="2238">
        <f>IF(SUM($E39:X39)=0,IF(Y$22&gt;=$B39,$C39,0),0)</f>
        <v>0</v>
      </c>
      <c r="Z39" s="2238">
        <f>IF(SUM($E39:Y39)=0,IF(Z$22&gt;=$B39,$C39,0),0)</f>
        <v>0</v>
      </c>
      <c r="AA39" s="2238">
        <f>IF(SUM($E39:Z39)=0,IF(AA$22&gt;=$B39,$C39,0),0)</f>
        <v>0</v>
      </c>
      <c r="AB39" s="2238">
        <f>IF(SUM($E39:AA39)=0,IF(AB$22&gt;=$B39,$C39,0),0)</f>
        <v>0</v>
      </c>
      <c r="AC39" s="2238">
        <f>IF(SUM($E39:AB39)=0,IF(AC$22&gt;=$B39,$C39,0),0)</f>
        <v>0</v>
      </c>
      <c r="AD39" s="2238">
        <f>IF(SUM($E39:AC39)=0,IF(AD$22&gt;=$B39,$C39,0),0)</f>
        <v>0</v>
      </c>
      <c r="AE39" s="2238">
        <f>IF(SUM($E39:AD39)=0,IF(AE$22&gt;=$B39,$C39,0),0)</f>
        <v>0</v>
      </c>
      <c r="AF39" s="2238">
        <f>IF(SUM($E39:AE39)=0,IF(AF$22&gt;=$B39,$C39,0),0)</f>
        <v>0</v>
      </c>
      <c r="AG39" s="2238">
        <f>IF(SUM($E39:AF39)=0,IF(AG$22&gt;=$B39,$C39,0),0)</f>
        <v>0</v>
      </c>
    </row>
    <row r="40" spans="1:41">
      <c r="B40" s="2223" t="s">
        <v>4023</v>
      </c>
      <c r="AH40" s="720"/>
    </row>
    <row r="41" spans="1:41">
      <c r="B41" s="2473">
        <f>'rNPV Assumptions_NASH'!C76</f>
        <v>500</v>
      </c>
      <c r="C41" s="2233">
        <f>'rNPV Assumptions_NASH'!D76</f>
        <v>0.04</v>
      </c>
      <c r="F41" s="2238">
        <f t="shared" ref="F41:AG41" si="8">IF(F$22&gt;0,MIN(F$22,$B41)*$C41,0)</f>
        <v>0</v>
      </c>
      <c r="G41" s="2238">
        <f t="shared" si="8"/>
        <v>0</v>
      </c>
      <c r="H41" s="2238">
        <f t="shared" si="8"/>
        <v>0</v>
      </c>
      <c r="I41" s="2238">
        <f t="shared" si="8"/>
        <v>0</v>
      </c>
      <c r="J41" s="2238">
        <f t="shared" si="8"/>
        <v>0</v>
      </c>
      <c r="K41" s="2238">
        <f t="shared" si="8"/>
        <v>0</v>
      </c>
      <c r="L41" s="2238">
        <f t="shared" si="8"/>
        <v>0</v>
      </c>
      <c r="M41" s="2238">
        <f t="shared" si="8"/>
        <v>0</v>
      </c>
      <c r="N41" s="2238">
        <f t="shared" si="8"/>
        <v>0</v>
      </c>
      <c r="O41" s="2238">
        <f t="shared" si="8"/>
        <v>0</v>
      </c>
      <c r="P41" s="2238">
        <f t="shared" si="8"/>
        <v>0</v>
      </c>
      <c r="Q41" s="2238">
        <f t="shared" si="8"/>
        <v>0</v>
      </c>
      <c r="R41" s="2238">
        <f t="shared" si="8"/>
        <v>0</v>
      </c>
      <c r="S41" s="2238">
        <f t="shared" si="8"/>
        <v>0</v>
      </c>
      <c r="T41" s="2238">
        <f t="shared" si="8"/>
        <v>0</v>
      </c>
      <c r="U41" s="2238">
        <f t="shared" si="8"/>
        <v>0</v>
      </c>
      <c r="V41" s="2238">
        <f t="shared" si="8"/>
        <v>1.911614090912588</v>
      </c>
      <c r="W41" s="2238">
        <f t="shared" si="8"/>
        <v>6.3462101572582803</v>
      </c>
      <c r="X41" s="2238">
        <f t="shared" si="8"/>
        <v>14.777653607270546</v>
      </c>
      <c r="Y41" s="2238">
        <f t="shared" si="8"/>
        <v>20</v>
      </c>
      <c r="Z41" s="2238">
        <f t="shared" si="8"/>
        <v>20</v>
      </c>
      <c r="AA41" s="2238">
        <f t="shared" si="8"/>
        <v>20</v>
      </c>
      <c r="AB41" s="2238">
        <f t="shared" si="8"/>
        <v>20</v>
      </c>
      <c r="AC41" s="2238">
        <f t="shared" si="8"/>
        <v>20</v>
      </c>
      <c r="AD41" s="2238">
        <f t="shared" si="8"/>
        <v>20</v>
      </c>
      <c r="AE41" s="2238">
        <f t="shared" si="8"/>
        <v>20</v>
      </c>
      <c r="AF41" s="2238">
        <f t="shared" si="8"/>
        <v>0</v>
      </c>
      <c r="AG41" s="2238">
        <f t="shared" si="8"/>
        <v>0</v>
      </c>
    </row>
    <row r="42" spans="1:41">
      <c r="B42" s="2473">
        <f>'rNPV Assumptions_NASH'!C77</f>
        <v>1500</v>
      </c>
      <c r="C42" s="2233">
        <f>'rNPV Assumptions_NASH'!D77</f>
        <v>0.05</v>
      </c>
      <c r="F42" s="2238">
        <f t="shared" ref="F42:AG43" si="9">IF(F$22&gt;$B41,MIN((F$22-$B41),($B42-$B41))*$C42,0)</f>
        <v>0</v>
      </c>
      <c r="G42" s="2238">
        <f t="shared" si="9"/>
        <v>0</v>
      </c>
      <c r="H42" s="2238">
        <f t="shared" si="9"/>
        <v>0</v>
      </c>
      <c r="I42" s="2238">
        <f t="shared" si="9"/>
        <v>0</v>
      </c>
      <c r="J42" s="2238">
        <f t="shared" si="9"/>
        <v>0</v>
      </c>
      <c r="K42" s="2238">
        <f t="shared" si="9"/>
        <v>0</v>
      </c>
      <c r="L42" s="2238">
        <f t="shared" si="9"/>
        <v>0</v>
      </c>
      <c r="M42" s="2238">
        <f t="shared" si="9"/>
        <v>0</v>
      </c>
      <c r="N42" s="2238">
        <f t="shared" si="9"/>
        <v>0</v>
      </c>
      <c r="O42" s="2238">
        <f t="shared" si="9"/>
        <v>0</v>
      </c>
      <c r="P42" s="2238">
        <f t="shared" si="9"/>
        <v>0</v>
      </c>
      <c r="Q42" s="2238">
        <f t="shared" si="9"/>
        <v>0</v>
      </c>
      <c r="R42" s="2238">
        <f t="shared" si="9"/>
        <v>0</v>
      </c>
      <c r="S42" s="2238">
        <f t="shared" si="9"/>
        <v>0</v>
      </c>
      <c r="T42" s="2238">
        <f t="shared" si="9"/>
        <v>0</v>
      </c>
      <c r="U42" s="2238">
        <f t="shared" si="9"/>
        <v>0</v>
      </c>
      <c r="V42" s="2238">
        <f t="shared" si="9"/>
        <v>0</v>
      </c>
      <c r="W42" s="2238">
        <f t="shared" si="9"/>
        <v>0</v>
      </c>
      <c r="X42" s="2238">
        <f t="shared" si="9"/>
        <v>0</v>
      </c>
      <c r="Y42" s="2238">
        <f t="shared" si="9"/>
        <v>6.5279329909118253</v>
      </c>
      <c r="Z42" s="2238">
        <f t="shared" si="9"/>
        <v>17.067237303427152</v>
      </c>
      <c r="AA42" s="2238">
        <f t="shared" si="9"/>
        <v>22.610482386359266</v>
      </c>
      <c r="AB42" s="2238">
        <f t="shared" si="9"/>
        <v>24.509233568567737</v>
      </c>
      <c r="AC42" s="2238">
        <f t="shared" si="9"/>
        <v>24.932505098418495</v>
      </c>
      <c r="AD42" s="2238">
        <f t="shared" si="9"/>
        <v>24.993856680501739</v>
      </c>
      <c r="AE42" s="2238">
        <f t="shared" si="9"/>
        <v>28.999603455112812</v>
      </c>
      <c r="AF42" s="2238">
        <f t="shared" si="9"/>
        <v>0</v>
      </c>
      <c r="AG42" s="2238">
        <f t="shared" si="9"/>
        <v>0</v>
      </c>
    </row>
    <row r="43" spans="1:41">
      <c r="B43" s="2474">
        <f>B42</f>
        <v>1500</v>
      </c>
      <c r="C43" s="2233">
        <f>'rNPV Assumptions_NASH'!D78</f>
        <v>0.06</v>
      </c>
      <c r="F43" s="2238">
        <f t="shared" si="9"/>
        <v>0</v>
      </c>
      <c r="G43" s="2238">
        <f t="shared" si="9"/>
        <v>0</v>
      </c>
      <c r="H43" s="2238">
        <f t="shared" si="9"/>
        <v>0</v>
      </c>
      <c r="I43" s="2238">
        <f t="shared" si="9"/>
        <v>0</v>
      </c>
      <c r="J43" s="2238">
        <f t="shared" si="9"/>
        <v>0</v>
      </c>
      <c r="K43" s="2238">
        <f t="shared" si="9"/>
        <v>0</v>
      </c>
      <c r="L43" s="2238">
        <f t="shared" si="9"/>
        <v>0</v>
      </c>
      <c r="M43" s="2238">
        <f t="shared" si="9"/>
        <v>0</v>
      </c>
      <c r="N43" s="2238">
        <f t="shared" si="9"/>
        <v>0</v>
      </c>
      <c r="O43" s="2238">
        <f t="shared" si="9"/>
        <v>0</v>
      </c>
      <c r="P43" s="2238">
        <f t="shared" si="9"/>
        <v>0</v>
      </c>
      <c r="Q43" s="2238">
        <f t="shared" si="9"/>
        <v>0</v>
      </c>
      <c r="R43" s="2238">
        <f t="shared" si="9"/>
        <v>0</v>
      </c>
      <c r="S43" s="2238">
        <f>IF(S$22&gt;$B42,(S$22-$B42)*$C43,0)</f>
        <v>0</v>
      </c>
      <c r="T43" s="2238">
        <f t="shared" ref="T43:AG43" si="10">IF(T$22&gt;$B42,(T$22-$B42)*$C43,0)</f>
        <v>0</v>
      </c>
      <c r="U43" s="2238">
        <f t="shared" si="10"/>
        <v>0</v>
      </c>
      <c r="V43" s="2238">
        <f t="shared" si="10"/>
        <v>0</v>
      </c>
      <c r="W43" s="2238">
        <f t="shared" si="10"/>
        <v>0</v>
      </c>
      <c r="X43" s="2238">
        <f t="shared" si="10"/>
        <v>0</v>
      </c>
      <c r="Y43" s="2238">
        <f t="shared" si="10"/>
        <v>0</v>
      </c>
      <c r="Z43" s="2238">
        <f t="shared" si="10"/>
        <v>0</v>
      </c>
      <c r="AA43" s="2238">
        <f t="shared" si="10"/>
        <v>0</v>
      </c>
      <c r="AB43" s="2238">
        <f t="shared" si="10"/>
        <v>0</v>
      </c>
      <c r="AC43" s="2238">
        <f t="shared" si="10"/>
        <v>0</v>
      </c>
      <c r="AD43" s="2238">
        <f t="shared" si="10"/>
        <v>0</v>
      </c>
      <c r="AE43" s="2238">
        <f t="shared" si="10"/>
        <v>0</v>
      </c>
      <c r="AF43" s="2238">
        <f t="shared" si="10"/>
        <v>0</v>
      </c>
      <c r="AG43" s="2238">
        <f t="shared" si="10"/>
        <v>0</v>
      </c>
    </row>
    <row r="44" spans="1:41" s="1984" customFormat="1" ht="12.75" customHeight="1">
      <c r="A44" s="720"/>
      <c r="B44" s="3179" t="s">
        <v>4380</v>
      </c>
      <c r="C44" s="1171"/>
      <c r="D44" s="720"/>
      <c r="E44" s="720"/>
      <c r="F44" s="2289">
        <f>SUM(F37:F43)</f>
        <v>0</v>
      </c>
      <c r="G44" s="2289">
        <f t="shared" ref="G44:AG44" si="11">SUM(G37:G43)</f>
        <v>0</v>
      </c>
      <c r="H44" s="2289">
        <f t="shared" si="11"/>
        <v>0</v>
      </c>
      <c r="I44" s="2289">
        <f t="shared" si="11"/>
        <v>0</v>
      </c>
      <c r="J44" s="2289">
        <f t="shared" si="11"/>
        <v>0</v>
      </c>
      <c r="K44" s="2289">
        <f t="shared" si="11"/>
        <v>0</v>
      </c>
      <c r="L44" s="2289">
        <f t="shared" si="11"/>
        <v>0</v>
      </c>
      <c r="M44" s="2289">
        <f t="shared" si="11"/>
        <v>0</v>
      </c>
      <c r="N44" s="2289">
        <f t="shared" si="11"/>
        <v>0</v>
      </c>
      <c r="O44" s="2289">
        <f t="shared" si="11"/>
        <v>0</v>
      </c>
      <c r="P44" s="2289">
        <f t="shared" si="11"/>
        <v>0</v>
      </c>
      <c r="Q44" s="2289">
        <f t="shared" si="11"/>
        <v>0</v>
      </c>
      <c r="R44" s="2289">
        <f t="shared" si="11"/>
        <v>0</v>
      </c>
      <c r="S44" s="2289">
        <f t="shared" si="11"/>
        <v>0</v>
      </c>
      <c r="T44" s="2289">
        <f t="shared" si="11"/>
        <v>0</v>
      </c>
      <c r="U44" s="2289">
        <f t="shared" si="11"/>
        <v>0</v>
      </c>
      <c r="V44" s="2289">
        <f t="shared" si="11"/>
        <v>1.911614090912588</v>
      </c>
      <c r="W44" s="2289">
        <f t="shared" si="11"/>
        <v>6.3462101572582803</v>
      </c>
      <c r="X44" s="2289">
        <f t="shared" si="11"/>
        <v>14.777653607270546</v>
      </c>
      <c r="Y44" s="2289">
        <f t="shared" si="11"/>
        <v>36.527932990911822</v>
      </c>
      <c r="Z44" s="2289">
        <f t="shared" si="11"/>
        <v>37.067237303427149</v>
      </c>
      <c r="AA44" s="2289">
        <f t="shared" si="11"/>
        <v>42.610482386359266</v>
      </c>
      <c r="AB44" s="2289">
        <f t="shared" si="11"/>
        <v>44.509233568567737</v>
      </c>
      <c r="AC44" s="2289">
        <f t="shared" si="11"/>
        <v>44.932505098418495</v>
      </c>
      <c r="AD44" s="2289">
        <f t="shared" si="11"/>
        <v>44.993856680501736</v>
      </c>
      <c r="AE44" s="2289">
        <f t="shared" si="11"/>
        <v>73.999603455112805</v>
      </c>
      <c r="AF44" s="2289">
        <f t="shared" si="11"/>
        <v>0</v>
      </c>
      <c r="AG44" s="2289">
        <f t="shared" si="11"/>
        <v>0</v>
      </c>
      <c r="AI44" s="720"/>
      <c r="AJ44" s="720"/>
      <c r="AK44" s="720"/>
      <c r="AL44" s="720"/>
      <c r="AM44" s="720"/>
      <c r="AN44" s="720"/>
      <c r="AO44" s="720"/>
    </row>
    <row r="45" spans="1:41" s="1984" customFormat="1" ht="8.1" customHeight="1">
      <c r="A45" s="720"/>
      <c r="B45" s="2157"/>
      <c r="C45" s="1171"/>
      <c r="D45" s="720"/>
      <c r="E45" s="720"/>
      <c r="F45" s="720"/>
      <c r="G45" s="720"/>
      <c r="H45" s="720"/>
      <c r="I45" s="720"/>
      <c r="J45" s="720"/>
      <c r="K45" s="720"/>
      <c r="L45" s="720"/>
      <c r="M45" s="720"/>
      <c r="N45" s="720"/>
      <c r="O45" s="720"/>
      <c r="P45" s="720"/>
      <c r="Q45" s="720"/>
      <c r="R45" s="720"/>
      <c r="S45" s="720"/>
      <c r="T45" s="720"/>
      <c r="U45" s="720"/>
      <c r="V45" s="720"/>
      <c r="W45" s="720"/>
      <c r="X45" s="720"/>
      <c r="Y45" s="720"/>
      <c r="Z45" s="720"/>
      <c r="AA45" s="720"/>
      <c r="AB45" s="720"/>
      <c r="AC45" s="720"/>
      <c r="AD45" s="720"/>
      <c r="AE45" s="720"/>
      <c r="AF45" s="720"/>
      <c r="AG45" s="720"/>
      <c r="AI45" s="720"/>
      <c r="AJ45" s="720"/>
      <c r="AK45" s="720"/>
      <c r="AL45" s="720"/>
      <c r="AM45" s="720"/>
      <c r="AN45" s="720"/>
      <c r="AO45" s="720"/>
    </row>
    <row r="46" spans="1:41" s="1984" customFormat="1">
      <c r="A46" s="720"/>
      <c r="B46" s="2232" t="s">
        <v>2843</v>
      </c>
      <c r="C46" s="720"/>
      <c r="D46" s="720"/>
      <c r="E46" s="720"/>
      <c r="F46" s="2235">
        <f>IFERROR(IF(VLOOKUP(F9,'rNPV Assumptions_NASH'!$B$21:$F$30,COLUMNS('rNPV Assumptions_NASH'!$B$21:$F$21),FALSE)="NA",0,VLOOKUP(F9,'rNPV Assumptions_NASH'!$B$21:$F$30,COLUMNS('rNPV Assumptions_NASH'!$B$21:$F$21),FALSE)),0%)</f>
        <v>0</v>
      </c>
      <c r="G46" s="2235">
        <f>IFERROR(IF(VLOOKUP(G9,'rNPV Assumptions_NASH'!$B$21:$F$30,COLUMNS('rNPV Assumptions_NASH'!$B$21:$F$21),FALSE)="NA",0,VLOOKUP(G9,'rNPV Assumptions_NASH'!$B$21:$F$30,COLUMNS('rNPV Assumptions_NASH'!$B$21:$F$21),FALSE)),0%)</f>
        <v>0</v>
      </c>
      <c r="H46" s="2235">
        <f>IFERROR(IF(VLOOKUP(H9,'rNPV Assumptions_NASH'!$B$21:$F$30,COLUMNS('rNPV Assumptions_NASH'!$B$21:$F$21),FALSE)="NA",0,VLOOKUP(H9,'rNPV Assumptions_NASH'!$B$21:$F$30,COLUMNS('rNPV Assumptions_NASH'!$B$21:$F$21),FALSE)),0%)</f>
        <v>0</v>
      </c>
      <c r="I46" s="2235">
        <f>IFERROR(IF(VLOOKUP(I9,'rNPV Assumptions_NASH'!$B$21:$F$30,COLUMNS('rNPV Assumptions_NASH'!$B$21:$F$21),FALSE)="NA",0,VLOOKUP(I9,'rNPV Assumptions_NASH'!$B$21:$F$30,COLUMNS('rNPV Assumptions_NASH'!$B$21:$F$21),FALSE)),0%)</f>
        <v>0</v>
      </c>
      <c r="J46" s="2235">
        <f>IFERROR(IF(VLOOKUP(J9,'rNPV Assumptions_NASH'!$B$21:$F$30,COLUMNS('rNPV Assumptions_NASH'!$B$21:$F$21),FALSE)="NA",0,VLOOKUP(J9,'rNPV Assumptions_NASH'!$B$21:$F$30,COLUMNS('rNPV Assumptions_NASH'!$B$21:$F$21),FALSE)),0%)</f>
        <v>0</v>
      </c>
      <c r="K46" s="2235">
        <f>IFERROR(IF(VLOOKUP(K9,'rNPV Assumptions_NASH'!$B$21:$F$30,COLUMNS('rNPV Assumptions_NASH'!$B$21:$F$21),FALSE)="NA",0,VLOOKUP(K9,'rNPV Assumptions_NASH'!$B$21:$F$30,COLUMNS('rNPV Assumptions_NASH'!$B$21:$F$21),FALSE)),0%)</f>
        <v>4.725E-2</v>
      </c>
      <c r="L46" s="2235">
        <f>IFERROR(IF(VLOOKUP(L9,'rNPV Assumptions_NASH'!$B$21:$F$30,COLUMNS('rNPV Assumptions_NASH'!$B$21:$F$21),FALSE)="NA",0,VLOOKUP(L9,'rNPV Assumptions_NASH'!$B$21:$F$30,COLUMNS('rNPV Assumptions_NASH'!$B$21:$F$21),FALSE)),0%)</f>
        <v>3.3075E-2</v>
      </c>
      <c r="M46" s="2235">
        <f>IFERROR(IF(VLOOKUP(M9,'rNPV Assumptions_NASH'!$B$21:$F$30,COLUMNS('rNPV Assumptions_NASH'!$B$21:$F$21),FALSE)="NA",0,VLOOKUP(M9,'rNPV Assumptions_NASH'!$B$21:$F$30,COLUMNS('rNPV Assumptions_NASH'!$B$21:$F$21),FALSE)),0%)</f>
        <v>2.149875E-2</v>
      </c>
      <c r="N46" s="2235">
        <f>IFERROR(IF(VLOOKUP(N9,'rNPV Assumptions_NASH'!$B$21:$F$30,COLUMNS('rNPV Assumptions_NASH'!$B$21:$F$21),FALSE)="NA",0,VLOOKUP(N9,'rNPV Assumptions_NASH'!$B$21:$F$30,COLUMNS('rNPV Assumptions_NASH'!$B$21:$F$21),FALSE)),0%)</f>
        <v>1.2899250000000003E-2</v>
      </c>
      <c r="O46" s="2235">
        <f>IFERROR(IF(VLOOKUP(O9,'rNPV Assumptions_NASH'!$B$21:$F$30,COLUMNS('rNPV Assumptions_NASH'!$B$21:$F$21),FALSE)="NA",0,VLOOKUP(O9,'rNPV Assumptions_NASH'!$B$21:$F$30,COLUMNS('rNPV Assumptions_NASH'!$B$21:$F$21),FALSE)),0%)</f>
        <v>1.2899250000000003E-2</v>
      </c>
      <c r="P46" s="2235">
        <f>IFERROR(IF(VLOOKUP(P9,'rNPV Assumptions_NASH'!$B$21:$F$30,COLUMNS('rNPV Assumptions_NASH'!$B$21:$F$21),FALSE)="NA",0,VLOOKUP(P9,'rNPV Assumptions_NASH'!$B$21:$F$30,COLUMNS('rNPV Assumptions_NASH'!$B$21:$F$21),FALSE)),0%)</f>
        <v>5.804662500000001E-3</v>
      </c>
      <c r="Q46" s="2235">
        <f>IFERROR(IF(VLOOKUP(Q9,'rNPV Assumptions_NASH'!$B$21:$F$30,COLUMNS('rNPV Assumptions_NASH'!$B$21:$F$21),FALSE)="NA",0,VLOOKUP(Q9,'rNPV Assumptions_NASH'!$B$21:$F$30,COLUMNS('rNPV Assumptions_NASH'!$B$21:$F$21),FALSE)),0%)</f>
        <v>5.804662500000001E-3</v>
      </c>
      <c r="R46" s="2235">
        <f>IFERROR(IF(VLOOKUP(R9,'rNPV Assumptions_NASH'!$B$21:$F$30,COLUMNS('rNPV Assumptions_NASH'!$B$21:$F$21),FALSE)="NA",0,VLOOKUP(R9,'rNPV Assumptions_NASH'!$B$21:$F$30,COLUMNS('rNPV Assumptions_NASH'!$B$21:$F$21),FALSE)),0%)</f>
        <v>3.4827975000000003E-3</v>
      </c>
      <c r="S46" s="2235">
        <f>IFERROR(IF(VLOOKUP(S9,'rNPV Assumptions_NASH'!$B$21:$F$30,COLUMNS('rNPV Assumptions_NASH'!$B$21:$F$21),FALSE)="NA",0,VLOOKUP(S9,'rNPV Assumptions_NASH'!$B$21:$F$30,COLUMNS('rNPV Assumptions_NASH'!$B$21:$F$21),FALSE)),0%)</f>
        <v>3.4827975000000003E-3</v>
      </c>
      <c r="T46" s="2235">
        <f>IFERROR(IF(VLOOKUP(T9,'rNPV Assumptions_NASH'!$B$21:$F$30,COLUMNS('rNPV Assumptions_NASH'!$B$21:$F$21),FALSE)="NA",0,VLOOKUP(T9,'rNPV Assumptions_NASH'!$B$21:$F$30,COLUMNS('rNPV Assumptions_NASH'!$B$21:$F$21),FALSE)),0%)</f>
        <v>3.4827975000000003E-3</v>
      </c>
      <c r="U46" s="2235">
        <f>IFERROR(IF(VLOOKUP(U9,'rNPV Assumptions_NASH'!$B$21:$F$30,COLUMNS('rNPV Assumptions_NASH'!$B$21:$F$21),FALSE)="NA",0,VLOOKUP(U9,'rNPV Assumptions_NASH'!$B$21:$F$30,COLUMNS('rNPV Assumptions_NASH'!$B$21:$F$21),FALSE)),0%)</f>
        <v>2.6120981250000001E-3</v>
      </c>
      <c r="V46" s="2235">
        <f>IFERROR(IF(VLOOKUP(V9,'rNPV Assumptions_NASH'!$B$21:$F$30,COLUMNS('rNPV Assumptions_NASH'!$B$21:$F$21),FALSE)="NA",0,VLOOKUP(V9,'rNPV Assumptions_NASH'!$B$21:$F$30,COLUMNS('rNPV Assumptions_NASH'!$B$21:$F$21),FALSE)),0%)</f>
        <v>2.6120981250000001E-3</v>
      </c>
      <c r="W46" s="2235">
        <f>IFERROR(IF(VLOOKUP(W9,'rNPV Assumptions_NASH'!$B$21:$F$30,COLUMNS('rNPV Assumptions_NASH'!$B$21:$F$21),FALSE)="NA",0,VLOOKUP(W9,'rNPV Assumptions_NASH'!$B$21:$F$30,COLUMNS('rNPV Assumptions_NASH'!$B$21:$F$21),FALSE)),0%)</f>
        <v>2.6120981250000001E-3</v>
      </c>
      <c r="X46" s="2235">
        <f>IFERROR(IF(VLOOKUP(X9,'rNPV Assumptions_NASH'!$B$21:$F$30,COLUMNS('rNPV Assumptions_NASH'!$B$21:$F$21),FALSE)="NA",0,VLOOKUP(X9,'rNPV Assumptions_NASH'!$B$21:$F$30,COLUMNS('rNPV Assumptions_NASH'!$B$21:$F$21),FALSE)),0%)</f>
        <v>2.6120981250000001E-3</v>
      </c>
      <c r="Y46" s="2235">
        <f>IFERROR(IF(VLOOKUP(Y9,'rNPV Assumptions_NASH'!$B$21:$F$30,COLUMNS('rNPV Assumptions_NASH'!$B$21:$F$21),FALSE)="NA",0,VLOOKUP(Y9,'rNPV Assumptions_NASH'!$B$21:$F$30,COLUMNS('rNPV Assumptions_NASH'!$B$21:$F$21),FALSE)),0%)</f>
        <v>2.6120981250000001E-3</v>
      </c>
      <c r="Z46" s="2235">
        <f>IFERROR(IF(VLOOKUP(Z9,'rNPV Assumptions_NASH'!$B$21:$F$30,COLUMNS('rNPV Assumptions_NASH'!$B$21:$F$21),FALSE)="NA",0,VLOOKUP(Z9,'rNPV Assumptions_NASH'!$B$21:$F$30,COLUMNS('rNPV Assumptions_NASH'!$B$21:$F$21),FALSE)),0%)</f>
        <v>2.6120981250000001E-3</v>
      </c>
      <c r="AA46" s="2235">
        <f>IFERROR(IF(VLOOKUP(AA9,'rNPV Assumptions_NASH'!$B$21:$F$30,COLUMNS('rNPV Assumptions_NASH'!$B$21:$F$21),FALSE)="NA",0,VLOOKUP(AA9,'rNPV Assumptions_NASH'!$B$21:$F$30,COLUMNS('rNPV Assumptions_NASH'!$B$21:$F$21),FALSE)),0%)</f>
        <v>2.6120981250000001E-3</v>
      </c>
      <c r="AB46" s="2235">
        <f>IFERROR(IF(VLOOKUP(AB9,'rNPV Assumptions_NASH'!$B$21:$F$30,COLUMNS('rNPV Assumptions_NASH'!$B$21:$F$21),FALSE)="NA",0,VLOOKUP(AB9,'rNPV Assumptions_NASH'!$B$21:$F$30,COLUMNS('rNPV Assumptions_NASH'!$B$21:$F$21),FALSE)),0%)</f>
        <v>2.6120981250000001E-3</v>
      </c>
      <c r="AC46" s="2235">
        <f>IFERROR(IF(VLOOKUP(AC9,'rNPV Assumptions_NASH'!$B$21:$F$30,COLUMNS('rNPV Assumptions_NASH'!$B$21:$F$21),FALSE)="NA",0,VLOOKUP(AC9,'rNPV Assumptions_NASH'!$B$21:$F$30,COLUMNS('rNPV Assumptions_NASH'!$B$21:$F$21),FALSE)),0%)</f>
        <v>2.6120981250000001E-3</v>
      </c>
      <c r="AD46" s="2235">
        <f>IFERROR(IF(VLOOKUP(AD9,'rNPV Assumptions_NASH'!$B$21:$F$30,COLUMNS('rNPV Assumptions_NASH'!$B$21:$F$21),FALSE)="NA",0,VLOOKUP(AD9,'rNPV Assumptions_NASH'!$B$21:$F$30,COLUMNS('rNPV Assumptions_NASH'!$B$21:$F$21),FALSE)),0%)</f>
        <v>2.6120981250000001E-3</v>
      </c>
      <c r="AE46" s="2235">
        <f>IFERROR(IF(VLOOKUP(AE9,'rNPV Assumptions_NASH'!$B$21:$F$30,COLUMNS('rNPV Assumptions_NASH'!$B$21:$F$21),FALSE)="NA",0,VLOOKUP(AE9,'rNPV Assumptions_NASH'!$B$21:$F$30,COLUMNS('rNPV Assumptions_NASH'!$B$21:$F$21),FALSE)),0%)</f>
        <v>2.6120981250000001E-3</v>
      </c>
      <c r="AF46" s="2235">
        <f>IFERROR(IF(VLOOKUP(AF9,'rNPV Assumptions_NASH'!$B$21:$F$30,COLUMNS('rNPV Assumptions_NASH'!$B$21:$F$21),FALSE)="NA",0,VLOOKUP(AF9,'rNPV Assumptions_NASH'!$B$21:$F$30,COLUMNS('rNPV Assumptions_NASH'!$B$21:$F$21),FALSE)),0%)</f>
        <v>0</v>
      </c>
      <c r="AG46" s="2235">
        <f>IFERROR(IF(VLOOKUP(AG9,'rNPV Assumptions_NASH'!$B$21:$F$30,COLUMNS('rNPV Assumptions_NASH'!$B$21:$F$21),FALSE)="NA",0,VLOOKUP(AG9,'rNPV Assumptions_NASH'!$B$21:$F$30,COLUMNS('rNPV Assumptions_NASH'!$B$21:$F$21),FALSE)),0%)</f>
        <v>0</v>
      </c>
      <c r="AI46" s="720"/>
      <c r="AJ46" s="720"/>
      <c r="AK46" s="720"/>
      <c r="AL46" s="720"/>
      <c r="AM46" s="720"/>
      <c r="AN46" s="720"/>
      <c r="AO46" s="720"/>
    </row>
    <row r="47" spans="1:41" s="1984" customFormat="1">
      <c r="A47" s="720"/>
      <c r="B47" s="2223" t="s">
        <v>2844</v>
      </c>
      <c r="C47" s="720"/>
      <c r="D47" s="720"/>
      <c r="E47" s="720"/>
      <c r="F47" s="2241">
        <f t="shared" ref="F47:AG47" si="12">F44*F46</f>
        <v>0</v>
      </c>
      <c r="G47" s="2241">
        <f t="shared" si="12"/>
        <v>0</v>
      </c>
      <c r="H47" s="2241">
        <f t="shared" si="12"/>
        <v>0</v>
      </c>
      <c r="I47" s="2241">
        <f t="shared" si="12"/>
        <v>0</v>
      </c>
      <c r="J47" s="2241">
        <f t="shared" si="12"/>
        <v>0</v>
      </c>
      <c r="K47" s="2241">
        <f t="shared" si="12"/>
        <v>0</v>
      </c>
      <c r="L47" s="2241">
        <f t="shared" si="12"/>
        <v>0</v>
      </c>
      <c r="M47" s="2241">
        <f t="shared" si="12"/>
        <v>0</v>
      </c>
      <c r="N47" s="2241">
        <f t="shared" si="12"/>
        <v>0</v>
      </c>
      <c r="O47" s="2241">
        <f t="shared" si="12"/>
        <v>0</v>
      </c>
      <c r="P47" s="2241">
        <f t="shared" si="12"/>
        <v>0</v>
      </c>
      <c r="Q47" s="2241">
        <f t="shared" si="12"/>
        <v>0</v>
      </c>
      <c r="R47" s="2241">
        <f t="shared" si="12"/>
        <v>0</v>
      </c>
      <c r="S47" s="2241">
        <f t="shared" si="12"/>
        <v>0</v>
      </c>
      <c r="T47" s="2241">
        <f t="shared" si="12"/>
        <v>0</v>
      </c>
      <c r="U47" s="2241">
        <f t="shared" si="12"/>
        <v>0</v>
      </c>
      <c r="V47" s="2241">
        <f t="shared" si="12"/>
        <v>4.9933235825963514E-3</v>
      </c>
      <c r="W47" s="2241">
        <f t="shared" si="12"/>
        <v>1.6576923652630311E-2</v>
      </c>
      <c r="X47" s="2241">
        <f t="shared" si="12"/>
        <v>3.8600681279450884E-2</v>
      </c>
      <c r="Y47" s="2241">
        <f t="shared" si="12"/>
        <v>9.5414545275686422E-2</v>
      </c>
      <c r="Z47" s="2241">
        <f t="shared" si="12"/>
        <v>9.6823261059212115E-2</v>
      </c>
      <c r="AA47" s="2241">
        <f t="shared" si="12"/>
        <v>0.11130276114675457</v>
      </c>
      <c r="AB47" s="2241">
        <f t="shared" si="12"/>
        <v>0.11626248554964284</v>
      </c>
      <c r="AC47" s="2241">
        <f t="shared" si="12"/>
        <v>0.1173681123191319</v>
      </c>
      <c r="AD47" s="2241">
        <f t="shared" si="12"/>
        <v>0.11752836867165732</v>
      </c>
      <c r="AE47" s="2241">
        <f t="shared" si="12"/>
        <v>0.19329422543584368</v>
      </c>
      <c r="AF47" s="2241">
        <f t="shared" si="12"/>
        <v>0</v>
      </c>
      <c r="AG47" s="2241">
        <f t="shared" si="12"/>
        <v>0</v>
      </c>
      <c r="AI47" s="720"/>
      <c r="AJ47" s="720"/>
      <c r="AK47" s="720"/>
      <c r="AL47" s="720"/>
      <c r="AM47" s="720"/>
      <c r="AN47" s="720"/>
      <c r="AO47" s="720"/>
    </row>
    <row r="48" spans="1:41" s="1984" customFormat="1" ht="8.1" customHeight="1">
      <c r="A48" s="720"/>
      <c r="B48" s="720"/>
      <c r="C48" s="720"/>
      <c r="D48" s="720"/>
      <c r="E48" s="720"/>
      <c r="F48" s="720"/>
      <c r="G48" s="720"/>
      <c r="H48" s="720"/>
      <c r="I48" s="720"/>
      <c r="J48" s="720"/>
      <c r="K48" s="720"/>
      <c r="L48" s="720"/>
      <c r="M48" s="720"/>
      <c r="N48" s="720"/>
      <c r="O48" s="720"/>
      <c r="P48" s="720"/>
      <c r="Q48" s="720"/>
      <c r="R48" s="720"/>
      <c r="S48" s="720"/>
      <c r="T48" s="720"/>
      <c r="U48" s="720"/>
      <c r="V48" s="720"/>
      <c r="W48" s="720"/>
      <c r="X48" s="720"/>
      <c r="Y48" s="720"/>
      <c r="Z48" s="720"/>
      <c r="AA48" s="720"/>
      <c r="AB48" s="720"/>
      <c r="AC48" s="720"/>
      <c r="AD48" s="720"/>
      <c r="AE48" s="720"/>
      <c r="AF48" s="720"/>
      <c r="AG48" s="720"/>
      <c r="AI48" s="720"/>
      <c r="AJ48" s="720"/>
      <c r="AK48" s="720"/>
      <c r="AL48" s="720"/>
      <c r="AM48" s="720"/>
      <c r="AN48" s="720"/>
      <c r="AO48" s="720"/>
    </row>
    <row r="49" spans="1:44" s="1984" customFormat="1">
      <c r="A49" s="720"/>
      <c r="B49" s="2223" t="s">
        <v>4374</v>
      </c>
      <c r="C49" s="720"/>
      <c r="D49" s="720"/>
      <c r="E49" s="720"/>
      <c r="F49" s="2245">
        <f>+F29+F34+F47</f>
        <v>0</v>
      </c>
      <c r="G49" s="2245">
        <f t="shared" ref="G49:AG49" si="13">+G29+G34+G47</f>
        <v>0</v>
      </c>
      <c r="H49" s="2245">
        <f t="shared" si="13"/>
        <v>0</v>
      </c>
      <c r="I49" s="2245">
        <f t="shared" si="13"/>
        <v>0</v>
      </c>
      <c r="J49" s="2245">
        <f t="shared" si="13"/>
        <v>0</v>
      </c>
      <c r="K49" s="2245">
        <f t="shared" si="13"/>
        <v>0.30712499999999998</v>
      </c>
      <c r="L49" s="2245">
        <f t="shared" si="13"/>
        <v>9.9225000000000008E-2</v>
      </c>
      <c r="M49" s="2245">
        <f t="shared" si="13"/>
        <v>0</v>
      </c>
      <c r="N49" s="2245">
        <f t="shared" si="13"/>
        <v>6.4496250000000019E-2</v>
      </c>
      <c r="O49" s="2245">
        <f t="shared" si="13"/>
        <v>0</v>
      </c>
      <c r="P49" s="2245">
        <f t="shared" si="13"/>
        <v>4.0632637500000006E-2</v>
      </c>
      <c r="Q49" s="2245">
        <f t="shared" si="13"/>
        <v>0</v>
      </c>
      <c r="R49" s="2245">
        <f t="shared" si="13"/>
        <v>3.1345177500000002E-2</v>
      </c>
      <c r="S49" s="2245">
        <f t="shared" si="13"/>
        <v>0</v>
      </c>
      <c r="T49" s="2245">
        <f t="shared" si="13"/>
        <v>0</v>
      </c>
      <c r="U49" s="2245">
        <f t="shared" si="13"/>
        <v>8.0975041875000001E-2</v>
      </c>
      <c r="V49" s="2245">
        <f t="shared" si="13"/>
        <v>4.9933235825963514E-3</v>
      </c>
      <c r="W49" s="2245">
        <f t="shared" si="13"/>
        <v>1.6576923652630311E-2</v>
      </c>
      <c r="X49" s="2245">
        <f t="shared" si="13"/>
        <v>3.8600681279450884E-2</v>
      </c>
      <c r="Y49" s="2245">
        <f t="shared" si="13"/>
        <v>9.5414545275686422E-2</v>
      </c>
      <c r="Z49" s="2245">
        <f t="shared" si="13"/>
        <v>9.6823261059212115E-2</v>
      </c>
      <c r="AA49" s="2245">
        <f t="shared" si="13"/>
        <v>0.11130276114675457</v>
      </c>
      <c r="AB49" s="2245">
        <f t="shared" si="13"/>
        <v>0.11626248554964284</v>
      </c>
      <c r="AC49" s="2245">
        <f t="shared" si="13"/>
        <v>0.1173681123191319</v>
      </c>
      <c r="AD49" s="2245">
        <f t="shared" si="13"/>
        <v>0.11752836867165732</v>
      </c>
      <c r="AE49" s="2245">
        <f t="shared" si="13"/>
        <v>0.19329422543584368</v>
      </c>
      <c r="AF49" s="2245">
        <f t="shared" si="13"/>
        <v>0</v>
      </c>
      <c r="AG49" s="2245">
        <f t="shared" si="13"/>
        <v>0</v>
      </c>
      <c r="AI49" s="720"/>
      <c r="AJ49" s="720"/>
      <c r="AK49" s="720"/>
      <c r="AL49" s="720"/>
      <c r="AM49" s="720"/>
      <c r="AN49" s="720"/>
      <c r="AO49" s="720"/>
    </row>
    <row r="50" spans="1:44" s="1984" customFormat="1" ht="8.1" customHeight="1">
      <c r="A50" s="720"/>
      <c r="B50" s="720"/>
      <c r="C50" s="720"/>
      <c r="D50" s="720"/>
      <c r="E50" s="720"/>
      <c r="F50" s="720"/>
      <c r="G50" s="720"/>
      <c r="H50" s="720"/>
      <c r="I50" s="720"/>
      <c r="J50" s="720"/>
      <c r="K50" s="720"/>
      <c r="L50" s="720"/>
      <c r="M50" s="720"/>
      <c r="N50" s="720"/>
      <c r="O50" s="720"/>
      <c r="P50" s="720"/>
      <c r="Q50" s="720"/>
      <c r="R50" s="720"/>
      <c r="S50" s="720"/>
      <c r="T50" s="720"/>
      <c r="U50" s="720"/>
      <c r="V50" s="720"/>
      <c r="W50" s="720"/>
      <c r="X50" s="720"/>
      <c r="Y50" s="720"/>
      <c r="Z50" s="720"/>
      <c r="AA50" s="720"/>
      <c r="AB50" s="720"/>
      <c r="AC50" s="720"/>
      <c r="AD50" s="720"/>
      <c r="AE50" s="720"/>
      <c r="AF50" s="720"/>
      <c r="AG50" s="720"/>
      <c r="AI50" s="720"/>
      <c r="AJ50" s="720"/>
      <c r="AK50" s="720"/>
      <c r="AL50" s="720"/>
      <c r="AM50" s="720"/>
      <c r="AN50" s="720"/>
      <c r="AO50" s="720"/>
    </row>
    <row r="51" spans="1:44" s="1984" customFormat="1">
      <c r="A51" s="720"/>
      <c r="B51" s="2157" t="s">
        <v>2845</v>
      </c>
      <c r="C51" s="720"/>
      <c r="D51" s="720"/>
      <c r="E51" s="720"/>
      <c r="F51" s="2242">
        <f>+F8-0.5</f>
        <v>0.5</v>
      </c>
      <c r="G51" s="2242">
        <f>+F51*2+0.5</f>
        <v>1.5</v>
      </c>
      <c r="H51" s="2242">
        <f>+G51+1</f>
        <v>2.5</v>
      </c>
      <c r="I51" s="2242">
        <f t="shared" ref="I51:AG51" si="14">+H51+1</f>
        <v>3.5</v>
      </c>
      <c r="J51" s="2242">
        <f t="shared" si="14"/>
        <v>4.5</v>
      </c>
      <c r="K51" s="2242">
        <f t="shared" si="14"/>
        <v>5.5</v>
      </c>
      <c r="L51" s="2242">
        <f t="shared" si="14"/>
        <v>6.5</v>
      </c>
      <c r="M51" s="2242">
        <f t="shared" si="14"/>
        <v>7.5</v>
      </c>
      <c r="N51" s="2242">
        <f t="shared" si="14"/>
        <v>8.5</v>
      </c>
      <c r="O51" s="2242">
        <f t="shared" si="14"/>
        <v>9.5</v>
      </c>
      <c r="P51" s="2242">
        <f t="shared" si="14"/>
        <v>10.5</v>
      </c>
      <c r="Q51" s="2242">
        <f t="shared" si="14"/>
        <v>11.5</v>
      </c>
      <c r="R51" s="2242">
        <f t="shared" si="14"/>
        <v>12.5</v>
      </c>
      <c r="S51" s="2242">
        <f t="shared" si="14"/>
        <v>13.5</v>
      </c>
      <c r="T51" s="2242">
        <f t="shared" si="14"/>
        <v>14.5</v>
      </c>
      <c r="U51" s="2242">
        <f t="shared" si="14"/>
        <v>15.5</v>
      </c>
      <c r="V51" s="2242">
        <f t="shared" si="14"/>
        <v>16.5</v>
      </c>
      <c r="W51" s="2242">
        <f t="shared" si="14"/>
        <v>17.5</v>
      </c>
      <c r="X51" s="2242">
        <f t="shared" si="14"/>
        <v>18.5</v>
      </c>
      <c r="Y51" s="2242">
        <f t="shared" si="14"/>
        <v>19.5</v>
      </c>
      <c r="Z51" s="2242">
        <f t="shared" si="14"/>
        <v>20.5</v>
      </c>
      <c r="AA51" s="2242">
        <f t="shared" si="14"/>
        <v>21.5</v>
      </c>
      <c r="AB51" s="2242">
        <f t="shared" si="14"/>
        <v>22.5</v>
      </c>
      <c r="AC51" s="2242">
        <f t="shared" si="14"/>
        <v>23.5</v>
      </c>
      <c r="AD51" s="2242">
        <f t="shared" si="14"/>
        <v>24.5</v>
      </c>
      <c r="AE51" s="2242">
        <f t="shared" si="14"/>
        <v>25.5</v>
      </c>
      <c r="AF51" s="2242">
        <f t="shared" si="14"/>
        <v>26.5</v>
      </c>
      <c r="AG51" s="2242">
        <f t="shared" si="14"/>
        <v>27.5</v>
      </c>
      <c r="AI51" s="720"/>
      <c r="AJ51" s="720"/>
      <c r="AK51" s="720"/>
      <c r="AL51" s="720"/>
      <c r="AM51" s="720"/>
      <c r="AN51" s="720"/>
      <c r="AO51" s="720"/>
    </row>
    <row r="52" spans="1:44" s="1984" customFormat="1">
      <c r="A52" s="720"/>
      <c r="B52" s="2157" t="s">
        <v>2846</v>
      </c>
      <c r="C52" s="1144">
        <f>'rNPV Assumptions_NASH'!$D$7</f>
        <v>0.2</v>
      </c>
      <c r="D52" s="1144"/>
      <c r="E52" s="1144"/>
      <c r="F52" s="2243">
        <f t="shared" ref="F52:AG52" si="15">1/(1+$C$52)^F51</f>
        <v>0.9128709291752769</v>
      </c>
      <c r="G52" s="2243">
        <f t="shared" si="15"/>
        <v>0.7607257743127307</v>
      </c>
      <c r="H52" s="2243">
        <f t="shared" si="15"/>
        <v>0.63393814526060899</v>
      </c>
      <c r="I52" s="2243">
        <f t="shared" si="15"/>
        <v>0.52828178771717416</v>
      </c>
      <c r="J52" s="2243">
        <f t="shared" si="15"/>
        <v>0.44023482309764517</v>
      </c>
      <c r="K52" s="2243">
        <f t="shared" si="15"/>
        <v>0.36686235258137107</v>
      </c>
      <c r="L52" s="2243">
        <f t="shared" si="15"/>
        <v>0.30571862715114251</v>
      </c>
      <c r="M52" s="2243">
        <f t="shared" si="15"/>
        <v>0.25476552262595203</v>
      </c>
      <c r="N52" s="2243">
        <f t="shared" si="15"/>
        <v>0.21230460218829345</v>
      </c>
      <c r="O52" s="2243">
        <f t="shared" si="15"/>
        <v>0.17692050182357785</v>
      </c>
      <c r="P52" s="2243">
        <f t="shared" si="15"/>
        <v>0.14743375151964822</v>
      </c>
      <c r="Q52" s="2243">
        <f t="shared" si="15"/>
        <v>0.12286145959970685</v>
      </c>
      <c r="R52" s="2243">
        <f t="shared" si="15"/>
        <v>0.10238454966642239</v>
      </c>
      <c r="S52" s="2243">
        <f t="shared" si="15"/>
        <v>8.5320458055351975E-2</v>
      </c>
      <c r="T52" s="2243">
        <f t="shared" si="15"/>
        <v>7.1100381712793329E-2</v>
      </c>
      <c r="U52" s="2243">
        <f t="shared" si="15"/>
        <v>5.9250318093994447E-2</v>
      </c>
      <c r="V52" s="2243">
        <f t="shared" si="15"/>
        <v>4.9375265078328692E-2</v>
      </c>
      <c r="W52" s="2243">
        <f t="shared" si="15"/>
        <v>4.1146054231940586E-2</v>
      </c>
      <c r="X52" s="2243">
        <f t="shared" si="15"/>
        <v>3.4288378526617161E-2</v>
      </c>
      <c r="Y52" s="2243">
        <f t="shared" si="15"/>
        <v>2.8573648772180955E-2</v>
      </c>
      <c r="Z52" s="2243">
        <f t="shared" si="15"/>
        <v>2.3811373976817471E-2</v>
      </c>
      <c r="AA52" s="2243">
        <f t="shared" si="15"/>
        <v>1.9842811647347896E-2</v>
      </c>
      <c r="AB52" s="2243">
        <f t="shared" si="15"/>
        <v>1.6535676372789913E-2</v>
      </c>
      <c r="AC52" s="2243">
        <f t="shared" si="15"/>
        <v>1.377973031065826E-2</v>
      </c>
      <c r="AD52" s="2243">
        <f t="shared" si="15"/>
        <v>1.1483108592215211E-2</v>
      </c>
      <c r="AE52" s="2243">
        <f t="shared" si="15"/>
        <v>9.5692571601793501E-3</v>
      </c>
      <c r="AF52" s="2243">
        <f t="shared" si="15"/>
        <v>7.9743809668161216E-3</v>
      </c>
      <c r="AG52" s="2243">
        <f t="shared" si="15"/>
        <v>6.6453174723467663E-3</v>
      </c>
      <c r="AI52" s="720"/>
      <c r="AJ52" s="720"/>
      <c r="AK52" s="720"/>
      <c r="AL52" s="720"/>
      <c r="AM52" s="720"/>
      <c r="AN52" s="720"/>
      <c r="AO52" s="720"/>
    </row>
    <row r="53" spans="1:44" s="1984" customFormat="1" ht="8.1" customHeight="1">
      <c r="A53" s="720"/>
      <c r="B53" s="720"/>
      <c r="C53" s="720"/>
      <c r="D53" s="720"/>
      <c r="E53" s="720"/>
      <c r="F53" s="720"/>
      <c r="G53" s="720"/>
      <c r="H53" s="720"/>
      <c r="I53" s="720"/>
      <c r="J53" s="720"/>
      <c r="K53" s="720"/>
      <c r="L53" s="720"/>
      <c r="M53" s="720"/>
      <c r="N53" s="720"/>
      <c r="O53" s="720"/>
      <c r="P53" s="720"/>
      <c r="Q53" s="720"/>
      <c r="R53" s="720"/>
      <c r="S53" s="720"/>
      <c r="T53" s="720"/>
      <c r="U53" s="720"/>
      <c r="V53" s="720"/>
      <c r="W53" s="720"/>
      <c r="X53" s="720"/>
      <c r="Y53" s="720"/>
      <c r="Z53" s="720"/>
      <c r="AA53" s="720"/>
      <c r="AB53" s="720"/>
      <c r="AC53" s="720"/>
      <c r="AD53" s="720"/>
      <c r="AE53" s="720"/>
      <c r="AF53" s="720"/>
      <c r="AG53" s="720"/>
      <c r="AI53" s="720"/>
      <c r="AJ53" s="720"/>
      <c r="AK53" s="720"/>
      <c r="AL53" s="720"/>
      <c r="AM53" s="720"/>
      <c r="AN53" s="720"/>
      <c r="AO53" s="720"/>
    </row>
    <row r="54" spans="1:44" s="1984" customFormat="1">
      <c r="A54" s="720"/>
      <c r="B54" s="2223" t="s">
        <v>2847</v>
      </c>
      <c r="C54" s="720"/>
      <c r="D54" s="720"/>
      <c r="E54" s="720"/>
      <c r="F54" s="2237">
        <f>F49*F52</f>
        <v>0</v>
      </c>
      <c r="G54" s="2237">
        <f>G49*G52</f>
        <v>0</v>
      </c>
      <c r="H54" s="2237">
        <f t="shared" ref="H54:AG54" si="16">H49*H52</f>
        <v>0</v>
      </c>
      <c r="I54" s="2237">
        <f t="shared" si="16"/>
        <v>0</v>
      </c>
      <c r="J54" s="2237">
        <f t="shared" si="16"/>
        <v>0</v>
      </c>
      <c r="K54" s="2237">
        <f t="shared" si="16"/>
        <v>0.11267260003655358</v>
      </c>
      <c r="L54" s="2237">
        <f t="shared" si="16"/>
        <v>3.0334930779072119E-2</v>
      </c>
      <c r="M54" s="2237">
        <f t="shared" si="16"/>
        <v>0</v>
      </c>
      <c r="N54" s="2237">
        <f t="shared" si="16"/>
        <v>1.3692850698886726E-2</v>
      </c>
      <c r="O54" s="2237">
        <f t="shared" si="16"/>
        <v>0</v>
      </c>
      <c r="P54" s="2237">
        <f t="shared" si="16"/>
        <v>5.9906221807629412E-3</v>
      </c>
      <c r="Q54" s="2237">
        <f t="shared" si="16"/>
        <v>0</v>
      </c>
      <c r="R54" s="2237">
        <f t="shared" si="16"/>
        <v>3.2092618825515758E-3</v>
      </c>
      <c r="S54" s="2237">
        <f t="shared" si="16"/>
        <v>0</v>
      </c>
      <c r="T54" s="2237">
        <f t="shared" si="16"/>
        <v>0</v>
      </c>
      <c r="U54" s="2237">
        <f t="shared" si="16"/>
        <v>4.7977969887682704E-3</v>
      </c>
      <c r="V54" s="2237">
        <f t="shared" si="16"/>
        <v>2.4654667551256477E-4</v>
      </c>
      <c r="W54" s="2237">
        <f t="shared" si="16"/>
        <v>6.8207499960986544E-4</v>
      </c>
      <c r="X54" s="2237">
        <f t="shared" si="16"/>
        <v>1.3235547710951168E-3</v>
      </c>
      <c r="Y54" s="2237">
        <f t="shared" si="16"/>
        <v>2.7263417044648213E-3</v>
      </c>
      <c r="Z54" s="2237">
        <f t="shared" si="16"/>
        <v>2.3054948787359277E-3</v>
      </c>
      <c r="AA54" s="2237">
        <f t="shared" si="16"/>
        <v>2.2085597252648023E-3</v>
      </c>
      <c r="AB54" s="2237">
        <f t="shared" si="16"/>
        <v>1.9224788353450579E-3</v>
      </c>
      <c r="AC54" s="2237">
        <f t="shared" si="16"/>
        <v>1.6173009348286848E-3</v>
      </c>
      <c r="AD54" s="2237">
        <f t="shared" si="16"/>
        <v>1.3495910201225454E-3</v>
      </c>
      <c r="AE54" s="2237">
        <f t="shared" si="16"/>
        <v>1.8496821507732685E-3</v>
      </c>
      <c r="AF54" s="2237">
        <f t="shared" si="16"/>
        <v>0</v>
      </c>
      <c r="AG54" s="2237">
        <f t="shared" si="16"/>
        <v>0</v>
      </c>
      <c r="AI54" s="720"/>
      <c r="AJ54" s="720"/>
      <c r="AK54" s="720"/>
      <c r="AL54" s="720"/>
      <c r="AM54" s="720"/>
      <c r="AN54" s="720"/>
      <c r="AO54" s="720"/>
    </row>
    <row r="56" spans="1:44" s="1984" customFormat="1">
      <c r="A56" s="720"/>
      <c r="B56" s="3144" t="s">
        <v>2847</v>
      </c>
      <c r="C56" s="2244">
        <f>SUM(F54:AG54)</f>
        <v>0.18692968826234788</v>
      </c>
      <c r="D56" s="2245"/>
      <c r="E56" s="2245"/>
      <c r="F56" s="2245"/>
      <c r="G56" s="2245"/>
      <c r="H56" s="2245"/>
      <c r="I56" s="2245"/>
      <c r="J56" s="2245"/>
      <c r="K56" s="2245"/>
      <c r="L56" s="2245"/>
      <c r="M56" s="2245"/>
      <c r="N56" s="725"/>
      <c r="O56" s="725"/>
      <c r="P56" s="725"/>
      <c r="Q56" s="725"/>
      <c r="R56" s="2246"/>
      <c r="S56" s="726"/>
      <c r="T56" s="2246"/>
      <c r="U56" s="725"/>
      <c r="V56" s="2202"/>
      <c r="W56" s="725"/>
      <c r="X56" s="725"/>
      <c r="Y56" s="725"/>
      <c r="Z56" s="2246"/>
      <c r="AA56" s="726"/>
      <c r="AB56" s="2246"/>
      <c r="AC56" s="725"/>
      <c r="AD56" s="2202"/>
      <c r="AE56" s="725"/>
      <c r="AF56" s="725"/>
      <c r="AG56" s="725"/>
      <c r="AH56" s="2202"/>
      <c r="AI56" s="2202"/>
      <c r="AJ56" s="2202"/>
      <c r="AK56" s="2202"/>
      <c r="AL56" s="2202"/>
      <c r="AM56" s="2202"/>
      <c r="AN56" s="2202"/>
      <c r="AO56" s="2202"/>
      <c r="AP56" s="2202"/>
      <c r="AQ56" s="2202"/>
      <c r="AR56" s="2202"/>
    </row>
    <row r="57" spans="1:44">
      <c r="D57" s="2247"/>
      <c r="E57" s="2247"/>
      <c r="F57" s="2247"/>
      <c r="G57" s="2247"/>
      <c r="H57" s="2247"/>
      <c r="I57" s="2247"/>
      <c r="J57" s="2247"/>
      <c r="K57" s="2247"/>
      <c r="L57" s="2247"/>
      <c r="M57" s="2247"/>
      <c r="N57" s="2248"/>
      <c r="O57" s="2248"/>
      <c r="P57" s="2248"/>
      <c r="Q57" s="2248"/>
      <c r="R57" s="2202"/>
      <c r="S57" s="2202"/>
      <c r="T57" s="2202"/>
      <c r="U57" s="2202"/>
      <c r="V57" s="2202"/>
      <c r="W57" s="2202"/>
      <c r="X57" s="2202"/>
      <c r="Y57" s="2202"/>
      <c r="Z57" s="2202"/>
      <c r="AA57" s="2202"/>
      <c r="AB57" s="2202"/>
      <c r="AC57" s="2202"/>
      <c r="AD57" s="2202"/>
      <c r="AE57" s="2202"/>
      <c r="AF57" s="2202"/>
      <c r="AG57" s="2202"/>
      <c r="AH57" s="2202"/>
      <c r="AI57" s="2202"/>
      <c r="AJ57" s="2202"/>
      <c r="AK57" s="2202"/>
      <c r="AL57" s="2202"/>
      <c r="AM57" s="2202"/>
      <c r="AN57" s="2202"/>
      <c r="AO57" s="2202"/>
      <c r="AP57" s="2202"/>
      <c r="AQ57" s="2202"/>
      <c r="AR57" s="2202"/>
    </row>
    <row r="58" spans="1:44">
      <c r="B58" s="2250" t="s">
        <v>86</v>
      </c>
      <c r="N58" s="2250"/>
      <c r="O58" s="2250"/>
      <c r="P58" s="1984"/>
      <c r="Q58" s="1984"/>
      <c r="R58" s="1984"/>
      <c r="S58" s="1984"/>
      <c r="T58" s="1984"/>
      <c r="U58" s="2250"/>
      <c r="V58" s="2250"/>
      <c r="X58" s="1984"/>
      <c r="Y58" s="1984"/>
      <c r="Z58" s="1984"/>
      <c r="AA58" s="2250"/>
      <c r="AB58" s="1984"/>
      <c r="AC58" s="1984"/>
    </row>
    <row r="59" spans="1:44">
      <c r="A59" s="763" t="s">
        <v>210</v>
      </c>
      <c r="B59" s="3145" t="str">
        <f>"Refer to "&amp;'rNPV Assumptions_Diabetes'!$B$3&amp;"."</f>
        <v>Refer to Workpaper #6.</v>
      </c>
      <c r="C59" s="763"/>
      <c r="D59" s="763"/>
      <c r="H59" s="763"/>
      <c r="I59" s="763"/>
      <c r="J59" s="763"/>
      <c r="K59" s="763"/>
      <c r="L59" s="763"/>
      <c r="M59" s="763"/>
      <c r="N59" s="1984"/>
      <c r="O59" s="1984"/>
      <c r="P59" s="1984"/>
      <c r="Q59" s="1984"/>
      <c r="R59" s="1984"/>
      <c r="S59" s="1984"/>
      <c r="T59" s="1984"/>
      <c r="U59" s="1984"/>
      <c r="V59" s="1984"/>
      <c r="X59" s="1984"/>
      <c r="Y59" s="1984"/>
      <c r="Z59" s="1984"/>
      <c r="AA59" s="1984"/>
      <c r="AB59" s="1984"/>
      <c r="AC59" s="1984"/>
    </row>
    <row r="60" spans="1:44">
      <c r="A60" s="763" t="s">
        <v>209</v>
      </c>
      <c r="B60" s="3145" t="str">
        <f>"Refer to "&amp;'Penetration Curves'!B3&amp;"."</f>
        <v>Refer to Workpaper #10.</v>
      </c>
      <c r="C60" s="763"/>
      <c r="D60" s="763"/>
      <c r="H60" s="763"/>
      <c r="I60" s="763"/>
      <c r="J60" s="763"/>
      <c r="K60" s="763"/>
      <c r="L60" s="763"/>
      <c r="M60" s="763"/>
      <c r="N60" s="1984"/>
      <c r="O60" s="1984"/>
      <c r="P60" s="1984"/>
      <c r="Q60" s="1984"/>
      <c r="R60" s="1984"/>
      <c r="S60" s="1984"/>
      <c r="T60" s="1984"/>
      <c r="U60" s="1984"/>
      <c r="V60" s="1984"/>
      <c r="X60" s="1984"/>
      <c r="Y60" s="1984"/>
      <c r="Z60" s="1984"/>
      <c r="AA60" s="1984"/>
      <c r="AB60" s="1984"/>
      <c r="AC60" s="1984"/>
    </row>
    <row r="61" spans="1:44">
      <c r="A61" s="2167" t="s">
        <v>246</v>
      </c>
      <c r="B61" s="2219" t="s">
        <v>2848</v>
      </c>
      <c r="C61" s="2167"/>
      <c r="D61" s="2167"/>
      <c r="H61" s="2167"/>
      <c r="I61" s="2167"/>
      <c r="J61" s="2167"/>
      <c r="K61" s="2167"/>
      <c r="L61" s="2167"/>
      <c r="M61" s="2167"/>
      <c r="N61" s="2219"/>
      <c r="O61" s="2219"/>
      <c r="P61" s="2251"/>
      <c r="Q61" s="2251"/>
      <c r="R61" s="2251"/>
      <c r="S61" s="2251"/>
      <c r="T61" s="2251"/>
      <c r="U61" s="2219"/>
      <c r="V61" s="1984"/>
      <c r="W61" s="2252"/>
      <c r="X61" s="2251"/>
      <c r="Y61" s="2251"/>
      <c r="Z61" s="2251"/>
      <c r="AA61" s="3255"/>
      <c r="AB61" s="3255"/>
      <c r="AC61" s="3255"/>
    </row>
    <row r="62" spans="1:44">
      <c r="A62" s="762"/>
      <c r="B62" s="1984"/>
      <c r="R62" s="2254"/>
      <c r="S62" s="2254"/>
    </row>
    <row r="63" spans="1:44">
      <c r="C63" s="2231"/>
      <c r="D63" s="2231"/>
      <c r="E63" s="2231"/>
      <c r="F63" s="2231"/>
      <c r="G63" s="2231"/>
      <c r="H63" s="2231"/>
      <c r="I63" s="2231"/>
      <c r="J63" s="2231"/>
      <c r="K63" s="2231"/>
      <c r="L63" s="2231"/>
      <c r="M63" s="2231"/>
      <c r="N63" s="2231"/>
      <c r="O63" s="2231"/>
      <c r="P63" s="2231"/>
      <c r="Q63" s="2231"/>
      <c r="R63" s="2231"/>
      <c r="S63" s="2231"/>
      <c r="T63" s="2231"/>
      <c r="U63" s="2231"/>
      <c r="V63" s="2231"/>
      <c r="W63" s="2231"/>
      <c r="X63" s="2231"/>
      <c r="Y63" s="2231"/>
      <c r="Z63" s="2231"/>
      <c r="AA63" s="2231"/>
      <c r="AB63" s="2231"/>
      <c r="AC63" s="2231"/>
      <c r="AD63" s="2231"/>
      <c r="AE63" s="2231"/>
      <c r="AF63" s="2231"/>
      <c r="AG63" s="2231"/>
    </row>
  </sheetData>
  <mergeCells count="1">
    <mergeCell ref="AA61:AC61"/>
  </mergeCells>
  <conditionalFormatting sqref="B4:H4 N4:Q4 V4:X4 S4:T4 Z4:AE4">
    <cfRule type="cellIs" dxfId="301" priority="82" stopIfTrue="1" operator="equal">
      <formula>"input"</formula>
    </cfRule>
  </conditionalFormatting>
  <conditionalFormatting sqref="R52:AG52 R47:AG47 R26:AG26 R15:AG15 R22:AG22 R41:AG43 S13:AG13">
    <cfRule type="cellIs" dxfId="300" priority="81" operator="equal">
      <formula>0</formula>
    </cfRule>
  </conditionalFormatting>
  <conditionalFormatting sqref="R26:AG26">
    <cfRule type="cellIs" dxfId="299" priority="79" operator="equal">
      <formula>0</formula>
    </cfRule>
  </conditionalFormatting>
  <conditionalFormatting sqref="R20:AG20">
    <cfRule type="cellIs" dxfId="298" priority="75" operator="equal">
      <formula>0</formula>
    </cfRule>
  </conditionalFormatting>
  <conditionalFormatting sqref="R22:AG22">
    <cfRule type="cellIs" dxfId="297" priority="74" operator="equal">
      <formula>0</formula>
    </cfRule>
  </conditionalFormatting>
  <conditionalFormatting sqref="R41:AG43">
    <cfRule type="cellIs" dxfId="296" priority="73" operator="equal">
      <formula>0</formula>
    </cfRule>
  </conditionalFormatting>
  <conditionalFormatting sqref="J4:L4">
    <cfRule type="cellIs" dxfId="295" priority="72" stopIfTrue="1" operator="equal">
      <formula>"input"</formula>
    </cfRule>
  </conditionalFormatting>
  <conditionalFormatting sqref="I4">
    <cfRule type="cellIs" dxfId="294" priority="71" stopIfTrue="1" operator="equal">
      <formula>"input"</formula>
    </cfRule>
  </conditionalFormatting>
  <conditionalFormatting sqref="I52:Q52 I47:Q47 I26:Q26 I15:Q15 I22:Q22 I41:Q43">
    <cfRule type="cellIs" dxfId="293" priority="69" operator="equal">
      <formula>0</formula>
    </cfRule>
  </conditionalFormatting>
  <conditionalFormatting sqref="R13">
    <cfRule type="cellIs" dxfId="292" priority="70" operator="equal">
      <formula>0</formula>
    </cfRule>
  </conditionalFormatting>
  <conditionalFormatting sqref="I22:Q22">
    <cfRule type="cellIs" dxfId="291" priority="66" operator="equal">
      <formula>0</formula>
    </cfRule>
  </conditionalFormatting>
  <conditionalFormatting sqref="H20">
    <cfRule type="cellIs" dxfId="290" priority="57" operator="equal">
      <formula>0</formula>
    </cfRule>
  </conditionalFormatting>
  <conditionalFormatting sqref="I24:AG24">
    <cfRule type="cellIs" dxfId="289" priority="62" operator="equal">
      <formula>0</formula>
    </cfRule>
  </conditionalFormatting>
  <conditionalFormatting sqref="I26:Q26">
    <cfRule type="cellIs" dxfId="288" priority="68" operator="equal">
      <formula>0</formula>
    </cfRule>
  </conditionalFormatting>
  <conditionalFormatting sqref="I20:Q20">
    <cfRule type="cellIs" dxfId="287" priority="67" operator="equal">
      <formula>0</formula>
    </cfRule>
  </conditionalFormatting>
  <conditionalFormatting sqref="I41:Q43">
    <cfRule type="cellIs" dxfId="286" priority="65" operator="equal">
      <formula>0</formula>
    </cfRule>
  </conditionalFormatting>
  <conditionalFormatting sqref="I13:Q13">
    <cfRule type="cellIs" dxfId="285" priority="64" operator="equal">
      <formula>0</formula>
    </cfRule>
  </conditionalFormatting>
  <conditionalFormatting sqref="I24:AG24">
    <cfRule type="cellIs" dxfId="284" priority="63" operator="equal">
      <formula>0</formula>
    </cfRule>
  </conditionalFormatting>
  <conditionalFormatting sqref="F9:L9 AG9 N9:T9 V9:AE9">
    <cfRule type="cellIs" dxfId="283" priority="61" operator="equal">
      <formula>0</formula>
    </cfRule>
  </conditionalFormatting>
  <conditionalFormatting sqref="H52 H47 H26 H15 H22 H41:H43">
    <cfRule type="cellIs" dxfId="282" priority="60" operator="equal">
      <formula>0</formula>
    </cfRule>
  </conditionalFormatting>
  <conditionalFormatting sqref="H22">
    <cfRule type="cellIs" dxfId="281" priority="56" operator="equal">
      <formula>0</formula>
    </cfRule>
  </conditionalFormatting>
  <conditionalFormatting sqref="G22">
    <cfRule type="cellIs" dxfId="280" priority="47" operator="equal">
      <formula>0</formula>
    </cfRule>
  </conditionalFormatting>
  <conditionalFormatting sqref="H24">
    <cfRule type="cellIs" dxfId="279" priority="52" operator="equal">
      <formula>0</formula>
    </cfRule>
  </conditionalFormatting>
  <conditionalFormatting sqref="H51:AG51">
    <cfRule type="cellIs" dxfId="278" priority="59" operator="equal">
      <formula>0</formula>
    </cfRule>
  </conditionalFormatting>
  <conditionalFormatting sqref="G52 G47 G26 G15 G22 G41:G43">
    <cfRule type="cellIs" dxfId="277" priority="51" operator="equal">
      <formula>0</formula>
    </cfRule>
  </conditionalFormatting>
  <conditionalFormatting sqref="H26">
    <cfRule type="cellIs" dxfId="276" priority="58" operator="equal">
      <formula>0</formula>
    </cfRule>
  </conditionalFormatting>
  <conditionalFormatting sqref="H41:H43">
    <cfRule type="cellIs" dxfId="275" priority="55" operator="equal">
      <formula>0</formula>
    </cfRule>
  </conditionalFormatting>
  <conditionalFormatting sqref="H13">
    <cfRule type="cellIs" dxfId="274" priority="54" operator="equal">
      <formula>0</formula>
    </cfRule>
  </conditionalFormatting>
  <conditionalFormatting sqref="H24">
    <cfRule type="cellIs" dxfId="273" priority="53" operator="equal">
      <formula>0</formula>
    </cfRule>
  </conditionalFormatting>
  <conditionalFormatting sqref="F22 F31:AG31">
    <cfRule type="cellIs" dxfId="272" priority="37" operator="equal">
      <formula>0</formula>
    </cfRule>
  </conditionalFormatting>
  <conditionalFormatting sqref="G24">
    <cfRule type="cellIs" dxfId="271" priority="43" operator="equal">
      <formula>0</formula>
    </cfRule>
  </conditionalFormatting>
  <conditionalFormatting sqref="G51">
    <cfRule type="cellIs" dxfId="270" priority="50" operator="equal">
      <formula>0</formula>
    </cfRule>
  </conditionalFormatting>
  <conditionalFormatting sqref="F52 F47 F26 F14:F15 F22 F41:F43 F37:AG39 F31:AG31 G14:AG14 F54:AG54">
    <cfRule type="cellIs" dxfId="269" priority="42" operator="equal">
      <formula>0</formula>
    </cfRule>
  </conditionalFormatting>
  <conditionalFormatting sqref="G26">
    <cfRule type="cellIs" dxfId="268" priority="49" operator="equal">
      <formula>0</formula>
    </cfRule>
  </conditionalFormatting>
  <conditionalFormatting sqref="G20">
    <cfRule type="cellIs" dxfId="267" priority="48" operator="equal">
      <formula>0</formula>
    </cfRule>
  </conditionalFormatting>
  <conditionalFormatting sqref="G41:G43">
    <cfRule type="cellIs" dxfId="266" priority="46" operator="equal">
      <formula>0</formula>
    </cfRule>
  </conditionalFormatting>
  <conditionalFormatting sqref="G13">
    <cfRule type="cellIs" dxfId="265" priority="45" operator="equal">
      <formula>0</formula>
    </cfRule>
  </conditionalFormatting>
  <conditionalFormatting sqref="G24">
    <cfRule type="cellIs" dxfId="264" priority="44" operator="equal">
      <formula>0</formula>
    </cfRule>
  </conditionalFormatting>
  <conditionalFormatting sqref="F37:AG39">
    <cfRule type="cellIs" dxfId="263" priority="35" operator="equal">
      <formula>0</formula>
    </cfRule>
  </conditionalFormatting>
  <conditionalFormatting sqref="F46:AG46">
    <cfRule type="cellIs" dxfId="262" priority="41" operator="equal">
      <formula>0</formula>
    </cfRule>
  </conditionalFormatting>
  <conditionalFormatting sqref="F51">
    <cfRule type="cellIs" dxfId="261" priority="40" operator="equal">
      <formula>0</formula>
    </cfRule>
  </conditionalFormatting>
  <conditionalFormatting sqref="F26 F31:AG31">
    <cfRule type="cellIs" dxfId="260" priority="39" operator="equal">
      <formula>0</formula>
    </cfRule>
  </conditionalFormatting>
  <conditionalFormatting sqref="F20">
    <cfRule type="cellIs" dxfId="259" priority="38" operator="equal">
      <formula>0</formula>
    </cfRule>
  </conditionalFormatting>
  <conditionalFormatting sqref="F31:AG31">
    <cfRule type="cellIs" dxfId="258" priority="36" operator="equal">
      <formula>0</formula>
    </cfRule>
  </conditionalFormatting>
  <conditionalFormatting sqref="F41:F43">
    <cfRule type="cellIs" dxfId="257" priority="34" operator="equal">
      <formula>0</formula>
    </cfRule>
  </conditionalFormatting>
  <conditionalFormatting sqref="F13">
    <cfRule type="cellIs" dxfId="256" priority="33" operator="equal">
      <formula>0</formula>
    </cfRule>
  </conditionalFormatting>
  <conditionalFormatting sqref="F24">
    <cfRule type="cellIs" dxfId="255" priority="31" operator="equal">
      <formula>0</formula>
    </cfRule>
  </conditionalFormatting>
  <conditionalFormatting sqref="F24">
    <cfRule type="cellIs" dxfId="254" priority="32" operator="equal">
      <formula>0</formula>
    </cfRule>
  </conditionalFormatting>
  <conditionalFormatting sqref="F18">
    <cfRule type="cellIs" dxfId="253" priority="24" operator="equal">
      <formula>0</formula>
    </cfRule>
  </conditionalFormatting>
  <conditionalFormatting sqref="S18:AG18">
    <cfRule type="cellIs" dxfId="252" priority="30" operator="equal">
      <formula>0</formula>
    </cfRule>
  </conditionalFormatting>
  <conditionalFormatting sqref="R18">
    <cfRule type="cellIs" dxfId="251" priority="29" operator="equal">
      <formula>0</formula>
    </cfRule>
  </conditionalFormatting>
  <conditionalFormatting sqref="I18:Q18">
    <cfRule type="cellIs" dxfId="250" priority="28" operator="equal">
      <formula>0</formula>
    </cfRule>
  </conditionalFormatting>
  <conditionalFormatting sqref="H18">
    <cfRule type="cellIs" dxfId="249" priority="27" operator="equal">
      <formula>0</formula>
    </cfRule>
  </conditionalFormatting>
  <conditionalFormatting sqref="G18">
    <cfRule type="cellIs" dxfId="248" priority="26" operator="equal">
      <formula>0</formula>
    </cfRule>
  </conditionalFormatting>
  <conditionalFormatting sqref="F19:AG19">
    <cfRule type="cellIs" dxfId="247" priority="25" operator="equal">
      <formula>0</formula>
    </cfRule>
  </conditionalFormatting>
  <conditionalFormatting sqref="M4">
    <cfRule type="cellIs" dxfId="246" priority="23" stopIfTrue="1" operator="equal">
      <formula>"input"</formula>
    </cfRule>
  </conditionalFormatting>
  <conditionalFormatting sqref="U4">
    <cfRule type="cellIs" dxfId="245" priority="22" stopIfTrue="1" operator="equal">
      <formula>"input"</formula>
    </cfRule>
  </conditionalFormatting>
  <conditionalFormatting sqref="AG4">
    <cfRule type="cellIs" dxfId="244" priority="21" stopIfTrue="1" operator="equal">
      <formula>"input"</formula>
    </cfRule>
  </conditionalFormatting>
  <conditionalFormatting sqref="AF9">
    <cfRule type="cellIs" dxfId="243" priority="20" operator="equal">
      <formula>0</formula>
    </cfRule>
  </conditionalFormatting>
  <conditionalFormatting sqref="AF4">
    <cfRule type="cellIs" dxfId="242" priority="19" stopIfTrue="1" operator="equal">
      <formula>"input"</formula>
    </cfRule>
  </conditionalFormatting>
  <conditionalFormatting sqref="F28:AG28">
    <cfRule type="cellIs" dxfId="241" priority="13" operator="equal">
      <formula>0</formula>
    </cfRule>
  </conditionalFormatting>
  <conditionalFormatting sqref="R34:AG34">
    <cfRule type="cellIs" dxfId="240" priority="12" operator="equal">
      <formula>0</formula>
    </cfRule>
  </conditionalFormatting>
  <conditionalFormatting sqref="I34:Q34">
    <cfRule type="cellIs" dxfId="239" priority="11" operator="equal">
      <formula>0</formula>
    </cfRule>
  </conditionalFormatting>
  <conditionalFormatting sqref="H34">
    <cfRule type="cellIs" dxfId="238" priority="10" operator="equal">
      <formula>0</formula>
    </cfRule>
  </conditionalFormatting>
  <conditionalFormatting sqref="G34">
    <cfRule type="cellIs" dxfId="237" priority="9" operator="equal">
      <formula>0</formula>
    </cfRule>
  </conditionalFormatting>
  <conditionalFormatting sqref="F34">
    <cfRule type="cellIs" dxfId="236" priority="8" operator="equal">
      <formula>0</formula>
    </cfRule>
  </conditionalFormatting>
  <conditionalFormatting sqref="F33:AG33">
    <cfRule type="cellIs" dxfId="235" priority="7" operator="equal">
      <formula>0</formula>
    </cfRule>
  </conditionalFormatting>
  <conditionalFormatting sqref="F29:AG29">
    <cfRule type="cellIs" dxfId="234" priority="6" operator="equal">
      <formula>0</formula>
    </cfRule>
  </conditionalFormatting>
  <conditionalFormatting sqref="F49:AG49">
    <cfRule type="cellIs" dxfId="233" priority="5" operator="equal">
      <formula>0</formula>
    </cfRule>
  </conditionalFormatting>
  <conditionalFormatting sqref="R4">
    <cfRule type="cellIs" dxfId="232" priority="4" stopIfTrue="1" operator="equal">
      <formula>"input"</formula>
    </cfRule>
  </conditionalFormatting>
  <conditionalFormatting sqref="M9">
    <cfRule type="cellIs" dxfId="231" priority="3" operator="equal">
      <formula>0</formula>
    </cfRule>
  </conditionalFormatting>
  <conditionalFormatting sqref="U9">
    <cfRule type="cellIs" dxfId="230" priority="2" operator="equal">
      <formula>0</formula>
    </cfRule>
  </conditionalFormatting>
  <conditionalFormatting sqref="Y4">
    <cfRule type="cellIs" dxfId="229" priority="1" stopIfTrue="1" operator="equal">
      <formula>"input"</formula>
    </cfRule>
  </conditionalFormatting>
  <pageMargins left="0.5" right="0.5" top="0.5" bottom="0.5" header="0.5" footer="0.5"/>
  <pageSetup scale="70" fitToWidth="0" fitToHeight="0" pageOrder="overThenDown" orientation="landscape" r:id="rId1"/>
  <colBreaks count="2" manualBreakCount="2">
    <brk id="18" max="61" man="1"/>
    <brk id="25" max="61" man="1"/>
  </colBreak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dimension ref="A1:P94"/>
  <sheetViews>
    <sheetView showGridLines="0" view="pageBreakPreview" topLeftCell="A34" zoomScale="96" zoomScaleNormal="100" zoomScaleSheetLayoutView="96" workbookViewId="0">
      <selection activeCell="D31" sqref="D31"/>
    </sheetView>
  </sheetViews>
  <sheetFormatPr defaultColWidth="10.6640625" defaultRowHeight="12.75" customHeight="1"/>
  <cols>
    <col min="1" max="1" width="4.5" style="2139" customWidth="1"/>
    <col min="2" max="2" width="14" style="2139" customWidth="1"/>
    <col min="3" max="3" width="7.83203125" style="2139" customWidth="1"/>
    <col min="4" max="5" width="11.5" style="2139" customWidth="1"/>
    <col min="6" max="15" width="11.5" style="2140" customWidth="1"/>
    <col min="16" max="16" width="4.5" style="2139" customWidth="1"/>
    <col min="17" max="16384" width="10.6640625" style="2139"/>
  </cols>
  <sheetData>
    <row r="1" spans="1:16" s="2258" customFormat="1" ht="8.1" customHeight="1" thickBot="1">
      <c r="A1" s="2255"/>
      <c r="B1" s="2256"/>
      <c r="C1" s="2256"/>
      <c r="D1" s="2256"/>
      <c r="E1" s="2256"/>
      <c r="F1" s="2256"/>
      <c r="G1" s="2256"/>
      <c r="H1" s="2256"/>
      <c r="I1" s="2256"/>
      <c r="J1" s="2256"/>
      <c r="K1" s="2256"/>
      <c r="L1" s="2256"/>
      <c r="M1" s="2256"/>
      <c r="N1" s="2256"/>
      <c r="O1" s="2256"/>
      <c r="P1" s="2257"/>
    </row>
    <row r="2" spans="1:16" s="2258" customFormat="1" ht="16.5" thickTop="1">
      <c r="A2" s="2259"/>
      <c r="B2" s="10" t="str">
        <f>'MASTER PubCo Inputs'!$C$5</f>
        <v>Kallyope, Inc.</v>
      </c>
      <c r="C2" s="2260"/>
      <c r="D2" s="2260"/>
      <c r="E2" s="2260"/>
      <c r="F2" s="2260"/>
      <c r="G2" s="2260"/>
      <c r="H2" s="2260"/>
      <c r="I2" s="2260"/>
      <c r="J2" s="2260"/>
      <c r="K2" s="2260"/>
      <c r="L2" s="2260"/>
      <c r="M2" s="2260"/>
      <c r="N2" s="2260"/>
      <c r="O2" s="2261"/>
    </row>
    <row r="3" spans="1:16" s="2258" customFormat="1" ht="15.75">
      <c r="A3" s="2262"/>
      <c r="B3" s="11" t="str">
        <f>VLOOKUP(B4,Outline!$E$8:$G$69,COLUMNS(Outline!$E$8:$G$8),FALSE)</f>
        <v>Workpaper #10</v>
      </c>
      <c r="C3" s="2260"/>
      <c r="D3" s="2260"/>
      <c r="E3" s="2260"/>
      <c r="F3" s="2260"/>
      <c r="G3" s="2260"/>
      <c r="H3" s="2260"/>
      <c r="I3" s="2260"/>
      <c r="J3" s="2260"/>
      <c r="K3" s="2260"/>
      <c r="L3" s="2260"/>
      <c r="M3" s="2260"/>
      <c r="N3" s="2260"/>
      <c r="O3" s="2260"/>
    </row>
    <row r="4" spans="1:16" s="2258" customFormat="1" ht="16.5" thickBot="1">
      <c r="B4" s="2263" t="s">
        <v>2809</v>
      </c>
      <c r="C4" s="2264"/>
      <c r="D4" s="2264"/>
      <c r="E4" s="2264"/>
      <c r="F4" s="2264"/>
      <c r="G4" s="2264"/>
      <c r="H4" s="2264"/>
      <c r="I4" s="2264"/>
      <c r="J4" s="2264"/>
      <c r="K4" s="2264"/>
      <c r="L4" s="2264"/>
      <c r="M4" s="2264"/>
      <c r="N4" s="2264"/>
      <c r="O4" s="2264"/>
    </row>
    <row r="5" spans="1:16" ht="12.75" customHeight="1" thickTop="1"/>
    <row r="6" spans="1:16" ht="12.75" customHeight="1">
      <c r="B6" s="2265" t="str">
        <f>'rNPV Analysis_Obesity'!B$12</f>
        <v>Obesity</v>
      </c>
    </row>
    <row r="7" spans="1:16" ht="6" customHeight="1"/>
    <row r="8" spans="1:16" ht="12.75" customHeight="1">
      <c r="B8" s="2141" t="s">
        <v>2810</v>
      </c>
      <c r="C8" s="2266">
        <f>'rNPV Assumptions_Obesity'!I$27</f>
        <v>6</v>
      </c>
    </row>
    <row r="9" spans="1:16" ht="6" customHeight="1"/>
    <row r="10" spans="1:16" ht="12.75" customHeight="1">
      <c r="D10" s="2267" t="s">
        <v>2811</v>
      </c>
      <c r="E10" s="2268" t="s">
        <v>2812</v>
      </c>
      <c r="F10" s="2269" t="s">
        <v>2813</v>
      </c>
      <c r="G10" s="2270"/>
      <c r="H10" s="2270"/>
      <c r="I10" s="2270"/>
      <c r="J10" s="2270"/>
      <c r="K10" s="2270"/>
      <c r="L10" s="2270"/>
      <c r="M10" s="2270"/>
      <c r="N10" s="2270"/>
      <c r="O10" s="2271"/>
    </row>
    <row r="11" spans="1:16" ht="12.75" customHeight="1">
      <c r="D11" s="2272" t="s">
        <v>2814</v>
      </c>
      <c r="E11" s="2272" t="s">
        <v>2815</v>
      </c>
      <c r="F11" s="2142">
        <v>1</v>
      </c>
      <c r="G11" s="2142">
        <f t="shared" ref="G11:O11" si="0">F11+1</f>
        <v>2</v>
      </c>
      <c r="H11" s="2142">
        <f t="shared" si="0"/>
        <v>3</v>
      </c>
      <c r="I11" s="2142">
        <f t="shared" si="0"/>
        <v>4</v>
      </c>
      <c r="J11" s="2142">
        <f t="shared" si="0"/>
        <v>5</v>
      </c>
      <c r="K11" s="2142">
        <f t="shared" si="0"/>
        <v>6</v>
      </c>
      <c r="L11" s="2142">
        <f t="shared" si="0"/>
        <v>7</v>
      </c>
      <c r="M11" s="2142">
        <f t="shared" si="0"/>
        <v>8</v>
      </c>
      <c r="N11" s="2142">
        <f t="shared" si="0"/>
        <v>9</v>
      </c>
      <c r="O11" s="2142">
        <f t="shared" si="0"/>
        <v>10</v>
      </c>
    </row>
    <row r="12" spans="1:16" ht="15">
      <c r="D12" s="2143">
        <v>1</v>
      </c>
      <c r="E12" s="2273">
        <v>1</v>
      </c>
      <c r="F12" s="2144">
        <f t="shared" ref="F12:O18" si="1">NORMDIST(F$11,($D12+1)/2,$E12,TRUE)</f>
        <v>0.5</v>
      </c>
      <c r="G12" s="2144">
        <f t="shared" si="1"/>
        <v>0.84134474606854304</v>
      </c>
      <c r="H12" s="2144">
        <f t="shared" si="1"/>
        <v>0.97724986805182079</v>
      </c>
      <c r="I12" s="2144">
        <f t="shared" si="1"/>
        <v>0.9986501019683699</v>
      </c>
      <c r="J12" s="2144">
        <f t="shared" si="1"/>
        <v>0.99996832875816688</v>
      </c>
      <c r="K12" s="2144">
        <f t="shared" si="1"/>
        <v>0.99999971334842808</v>
      </c>
      <c r="L12" s="2144">
        <f t="shared" si="1"/>
        <v>0.9999999990134123</v>
      </c>
      <c r="M12" s="2144">
        <f t="shared" si="1"/>
        <v>0.99999999999872013</v>
      </c>
      <c r="N12" s="2144">
        <f t="shared" si="1"/>
        <v>0.99999999999999933</v>
      </c>
      <c r="O12" s="2144">
        <f t="shared" si="1"/>
        <v>1</v>
      </c>
    </row>
    <row r="13" spans="1:16" ht="12.75" customHeight="1">
      <c r="D13" s="2143">
        <f t="shared" ref="D13:D18" si="2">D12+1</f>
        <v>2</v>
      </c>
      <c r="E13" s="2273">
        <v>1</v>
      </c>
      <c r="F13" s="2144">
        <f t="shared" si="1"/>
        <v>0.30853753872598688</v>
      </c>
      <c r="G13" s="2144">
        <f t="shared" si="1"/>
        <v>0.69146246127401312</v>
      </c>
      <c r="H13" s="2144">
        <f t="shared" si="1"/>
        <v>0.93319279873114191</v>
      </c>
      <c r="I13" s="2144">
        <f t="shared" si="1"/>
        <v>0.99379033467422384</v>
      </c>
      <c r="J13" s="2144">
        <f t="shared" si="1"/>
        <v>0.99976737092096446</v>
      </c>
      <c r="K13" s="2144">
        <f t="shared" si="1"/>
        <v>0.99999660232687526</v>
      </c>
      <c r="L13" s="2144">
        <f t="shared" si="1"/>
        <v>0.99999998101043752</v>
      </c>
      <c r="M13" s="2144">
        <f t="shared" si="1"/>
        <v>0.99999999995984001</v>
      </c>
      <c r="N13" s="2144">
        <f t="shared" si="1"/>
        <v>0.99999999999996814</v>
      </c>
      <c r="O13" s="2144">
        <f t="shared" si="1"/>
        <v>1</v>
      </c>
    </row>
    <row r="14" spans="1:16" ht="12.75" customHeight="1">
      <c r="D14" s="2143">
        <f t="shared" si="2"/>
        <v>3</v>
      </c>
      <c r="E14" s="2273">
        <v>1.2</v>
      </c>
      <c r="F14" s="2144">
        <f t="shared" si="1"/>
        <v>0.20232838096364303</v>
      </c>
      <c r="G14" s="2144">
        <f t="shared" si="1"/>
        <v>0.5</v>
      </c>
      <c r="H14" s="2144">
        <f t="shared" si="1"/>
        <v>0.79767161903635697</v>
      </c>
      <c r="I14" s="2144">
        <f t="shared" si="1"/>
        <v>0.9522096477271853</v>
      </c>
      <c r="J14" s="2144">
        <f t="shared" si="1"/>
        <v>0.99379033467422384</v>
      </c>
      <c r="K14" s="2144">
        <f t="shared" si="1"/>
        <v>0.99957093966680322</v>
      </c>
      <c r="L14" s="2144">
        <f t="shared" si="1"/>
        <v>0.99998454570311768</v>
      </c>
      <c r="M14" s="2144">
        <f t="shared" si="1"/>
        <v>0.99999971334842808</v>
      </c>
      <c r="N14" s="2144">
        <f t="shared" si="1"/>
        <v>0.99999999728345623</v>
      </c>
      <c r="O14" s="2144">
        <f t="shared" si="1"/>
        <v>0.99999999998691602</v>
      </c>
    </row>
    <row r="15" spans="1:16" ht="12.75" customHeight="1">
      <c r="D15" s="2143">
        <f t="shared" si="2"/>
        <v>4</v>
      </c>
      <c r="E15" s="2273">
        <v>1.2</v>
      </c>
      <c r="F15" s="2144">
        <f t="shared" si="1"/>
        <v>0.10564977366685525</v>
      </c>
      <c r="G15" s="2144">
        <f t="shared" si="1"/>
        <v>0.33846111951068963</v>
      </c>
      <c r="H15" s="2144">
        <f t="shared" si="1"/>
        <v>0.66153888048931031</v>
      </c>
      <c r="I15" s="2144">
        <f t="shared" si="1"/>
        <v>0.89435022633314476</v>
      </c>
      <c r="J15" s="2144">
        <f t="shared" si="1"/>
        <v>0.98138957481011369</v>
      </c>
      <c r="K15" s="2144">
        <f t="shared" si="1"/>
        <v>0.9982310317608889</v>
      </c>
      <c r="L15" s="2144">
        <f t="shared" si="1"/>
        <v>0.99991158271479919</v>
      </c>
      <c r="M15" s="2144">
        <f t="shared" si="1"/>
        <v>0.99999771189171305</v>
      </c>
      <c r="N15" s="2144">
        <f t="shared" si="1"/>
        <v>0.9999999696398052</v>
      </c>
      <c r="O15" s="2144">
        <f t="shared" si="1"/>
        <v>0.99999999979477361</v>
      </c>
    </row>
    <row r="16" spans="1:16" ht="12.75" customHeight="1">
      <c r="D16" s="2143">
        <f t="shared" si="2"/>
        <v>5</v>
      </c>
      <c r="E16" s="2273">
        <v>1.5</v>
      </c>
      <c r="F16" s="2144">
        <f t="shared" si="1"/>
        <v>9.1211219725867876E-2</v>
      </c>
      <c r="G16" s="2144">
        <f t="shared" si="1"/>
        <v>0.25249253754692291</v>
      </c>
      <c r="H16" s="2144">
        <f t="shared" si="1"/>
        <v>0.5</v>
      </c>
      <c r="I16" s="2144">
        <f t="shared" si="1"/>
        <v>0.74750746245307709</v>
      </c>
      <c r="J16" s="2144">
        <f t="shared" si="1"/>
        <v>0.90878878027413212</v>
      </c>
      <c r="K16" s="2144">
        <f t="shared" si="1"/>
        <v>0.97724986805182079</v>
      </c>
      <c r="L16" s="2144">
        <f t="shared" si="1"/>
        <v>0.99616961943241022</v>
      </c>
      <c r="M16" s="2144">
        <f t="shared" si="1"/>
        <v>0.99957093966680322</v>
      </c>
      <c r="N16" s="2144">
        <f t="shared" si="1"/>
        <v>0.99996832875816688</v>
      </c>
      <c r="O16" s="2144">
        <f t="shared" si="1"/>
        <v>0.99999846937326342</v>
      </c>
    </row>
    <row r="17" spans="2:15" ht="12.75" customHeight="1">
      <c r="D17" s="2143">
        <f t="shared" si="2"/>
        <v>6</v>
      </c>
      <c r="E17" s="2273">
        <v>1.5</v>
      </c>
      <c r="F17" s="2144">
        <f t="shared" si="1"/>
        <v>4.7790352272814703E-2</v>
      </c>
      <c r="G17" s="2144">
        <f t="shared" si="1"/>
        <v>0.15865525393145699</v>
      </c>
      <c r="H17" s="2144">
        <f t="shared" si="1"/>
        <v>0.36944134018176361</v>
      </c>
      <c r="I17" s="2144">
        <f t="shared" si="1"/>
        <v>0.63055865981823644</v>
      </c>
      <c r="J17" s="2144">
        <f t="shared" si="1"/>
        <v>0.84134474606854304</v>
      </c>
      <c r="K17" s="2144">
        <f t="shared" si="1"/>
        <v>0.9522096477271853</v>
      </c>
      <c r="L17" s="2144">
        <f t="shared" si="1"/>
        <v>0.99018467137135469</v>
      </c>
      <c r="M17" s="2144">
        <f t="shared" si="1"/>
        <v>0.9986501019683699</v>
      </c>
      <c r="N17" s="2144">
        <f t="shared" si="1"/>
        <v>0.99987713361003483</v>
      </c>
      <c r="O17" s="2144">
        <f t="shared" si="1"/>
        <v>0.9999926565761631</v>
      </c>
    </row>
    <row r="18" spans="2:15" ht="12.75" customHeight="1">
      <c r="D18" s="2143">
        <f t="shared" si="2"/>
        <v>7</v>
      </c>
      <c r="E18" s="2273">
        <v>1.8</v>
      </c>
      <c r="F18" s="2144">
        <f t="shared" si="1"/>
        <v>4.7790352272814703E-2</v>
      </c>
      <c r="G18" s="2144">
        <f t="shared" si="1"/>
        <v>0.13326026290250542</v>
      </c>
      <c r="H18" s="2144">
        <f t="shared" si="1"/>
        <v>0.28925736075397196</v>
      </c>
      <c r="I18" s="2144">
        <f t="shared" si="1"/>
        <v>0.5</v>
      </c>
      <c r="J18" s="2144">
        <f t="shared" si="1"/>
        <v>0.7107426392460281</v>
      </c>
      <c r="K18" s="2144">
        <f t="shared" si="1"/>
        <v>0.86673973709749452</v>
      </c>
      <c r="L18" s="2144">
        <f t="shared" si="1"/>
        <v>0.9522096477271853</v>
      </c>
      <c r="M18" s="2144">
        <f t="shared" si="1"/>
        <v>0.98686585430897888</v>
      </c>
      <c r="N18" s="2144">
        <f t="shared" si="1"/>
        <v>0.99726339821375587</v>
      </c>
      <c r="O18" s="2144">
        <f t="shared" si="1"/>
        <v>0.99957093966680322</v>
      </c>
    </row>
    <row r="19" spans="2:15" ht="12.75" customHeight="1">
      <c r="D19" s="2274" t="s">
        <v>2816</v>
      </c>
      <c r="E19" s="2275"/>
      <c r="F19" s="2276">
        <f>VLOOKUP($C8,$D$12:$O$18,COLUMNS($D11:F11),FALSE)</f>
        <v>4.7790352272814703E-2</v>
      </c>
      <c r="G19" s="2277">
        <f>VLOOKUP($C8,$D$12:$O$18,COLUMNS($D11:G11),FALSE)</f>
        <v>0.15865525393145699</v>
      </c>
      <c r="H19" s="2277">
        <f>VLOOKUP($C8,$D$12:$O$18,COLUMNS($D11:H11),FALSE)</f>
        <v>0.36944134018176361</v>
      </c>
      <c r="I19" s="2277">
        <f>VLOOKUP($C8,$D$12:$O$18,COLUMNS($D11:I11),FALSE)</f>
        <v>0.63055865981823644</v>
      </c>
      <c r="J19" s="2277">
        <f>VLOOKUP($C8,$D$12:$O$18,COLUMNS($D11:J11),FALSE)</f>
        <v>0.84134474606854304</v>
      </c>
      <c r="K19" s="2277">
        <f>VLOOKUP($C8,$D$12:$O$18,COLUMNS($D11:K11),FALSE)</f>
        <v>0.9522096477271853</v>
      </c>
      <c r="L19" s="2277">
        <f>VLOOKUP($C8,$D$12:$O$18,COLUMNS($D11:L11),FALSE)</f>
        <v>0.99018467137135469</v>
      </c>
      <c r="M19" s="2277">
        <f>VLOOKUP($C8,$D$12:$O$18,COLUMNS($D11:M11),FALSE)</f>
        <v>0.9986501019683699</v>
      </c>
      <c r="N19" s="2277">
        <f>VLOOKUP($C8,$D$12:$O$18,COLUMNS($D11:N11),FALSE)</f>
        <v>0.99987713361003483</v>
      </c>
      <c r="O19" s="2277">
        <f>VLOOKUP($C8,$D$12:$O$18,COLUMNS($D11:O11),FALSE)</f>
        <v>0.9999926565761631</v>
      </c>
    </row>
    <row r="21" spans="2:15" ht="12.75" customHeight="1">
      <c r="B21" s="2886" t="str">
        <f>'rNPV Analysis_Obesity'!B$17</f>
        <v>Indication #2</v>
      </c>
    </row>
    <row r="22" spans="2:15" ht="6" customHeight="1"/>
    <row r="23" spans="2:15" ht="12.75" customHeight="1">
      <c r="B23" s="2141" t="s">
        <v>2810</v>
      </c>
      <c r="C23" s="2278">
        <f>'rNPV Assumptions_Obesity'!I$51</f>
        <v>6</v>
      </c>
    </row>
    <row r="24" spans="2:15" ht="6" customHeight="1"/>
    <row r="25" spans="2:15" ht="12.75" customHeight="1">
      <c r="D25" s="2267" t="s">
        <v>2811</v>
      </c>
      <c r="E25" s="2268" t="s">
        <v>2812</v>
      </c>
      <c r="F25" s="2269" t="s">
        <v>2813</v>
      </c>
      <c r="G25" s="2270"/>
      <c r="H25" s="2270"/>
      <c r="I25" s="2270"/>
      <c r="J25" s="2270"/>
      <c r="K25" s="2270"/>
      <c r="L25" s="2270"/>
      <c r="M25" s="2270"/>
      <c r="N25" s="2270"/>
      <c r="O25" s="2271"/>
    </row>
    <row r="26" spans="2:15" ht="12.75" customHeight="1">
      <c r="D26" s="2272" t="s">
        <v>2814</v>
      </c>
      <c r="E26" s="2272" t="s">
        <v>2815</v>
      </c>
      <c r="F26" s="2142">
        <v>1</v>
      </c>
      <c r="G26" s="2142">
        <f t="shared" ref="G26:O26" si="3">F26+1</f>
        <v>2</v>
      </c>
      <c r="H26" s="2142">
        <f t="shared" si="3"/>
        <v>3</v>
      </c>
      <c r="I26" s="2142">
        <f t="shared" si="3"/>
        <v>4</v>
      </c>
      <c r="J26" s="2142">
        <f t="shared" si="3"/>
        <v>5</v>
      </c>
      <c r="K26" s="2142">
        <f t="shared" si="3"/>
        <v>6</v>
      </c>
      <c r="L26" s="2142">
        <f t="shared" si="3"/>
        <v>7</v>
      </c>
      <c r="M26" s="2142">
        <f t="shared" si="3"/>
        <v>8</v>
      </c>
      <c r="N26" s="2142">
        <f t="shared" si="3"/>
        <v>9</v>
      </c>
      <c r="O26" s="2142">
        <f t="shared" si="3"/>
        <v>10</v>
      </c>
    </row>
    <row r="27" spans="2:15" ht="15">
      <c r="D27" s="2143">
        <v>1</v>
      </c>
      <c r="E27" s="2273">
        <v>1</v>
      </c>
      <c r="F27" s="2144">
        <f t="shared" ref="F27:O33" si="4">NORMDIST(F$11,($D27+1)/2,$E27,TRUE)</f>
        <v>0.5</v>
      </c>
      <c r="G27" s="2144">
        <f t="shared" si="4"/>
        <v>0.84134474606854304</v>
      </c>
      <c r="H27" s="2144">
        <f t="shared" si="4"/>
        <v>0.97724986805182079</v>
      </c>
      <c r="I27" s="2144">
        <f t="shared" si="4"/>
        <v>0.9986501019683699</v>
      </c>
      <c r="J27" s="2144">
        <f t="shared" si="4"/>
        <v>0.99996832875816688</v>
      </c>
      <c r="K27" s="2144">
        <f t="shared" si="4"/>
        <v>0.99999971334842808</v>
      </c>
      <c r="L27" s="2144">
        <f t="shared" si="4"/>
        <v>0.9999999990134123</v>
      </c>
      <c r="M27" s="2144">
        <f t="shared" si="4"/>
        <v>0.99999999999872013</v>
      </c>
      <c r="N27" s="2144">
        <f t="shared" si="4"/>
        <v>0.99999999999999933</v>
      </c>
      <c r="O27" s="2144">
        <f t="shared" si="4"/>
        <v>1</v>
      </c>
    </row>
    <row r="28" spans="2:15" ht="12.75" customHeight="1">
      <c r="D28" s="2143">
        <f t="shared" ref="D28:D33" si="5">D27+1</f>
        <v>2</v>
      </c>
      <c r="E28" s="2273">
        <v>1</v>
      </c>
      <c r="F28" s="2144">
        <f t="shared" si="4"/>
        <v>0.30853753872598688</v>
      </c>
      <c r="G28" s="2144">
        <f t="shared" si="4"/>
        <v>0.69146246127401312</v>
      </c>
      <c r="H28" s="2144">
        <f t="shared" si="4"/>
        <v>0.93319279873114191</v>
      </c>
      <c r="I28" s="2144">
        <f t="shared" si="4"/>
        <v>0.99379033467422384</v>
      </c>
      <c r="J28" s="2144">
        <f t="shared" si="4"/>
        <v>0.99976737092096446</v>
      </c>
      <c r="K28" s="2144">
        <f t="shared" si="4"/>
        <v>0.99999660232687526</v>
      </c>
      <c r="L28" s="2144">
        <f t="shared" si="4"/>
        <v>0.99999998101043752</v>
      </c>
      <c r="M28" s="2144">
        <f t="shared" si="4"/>
        <v>0.99999999995984001</v>
      </c>
      <c r="N28" s="2144">
        <f t="shared" si="4"/>
        <v>0.99999999999996814</v>
      </c>
      <c r="O28" s="2144">
        <f t="shared" si="4"/>
        <v>1</v>
      </c>
    </row>
    <row r="29" spans="2:15" ht="12.75" customHeight="1">
      <c r="D29" s="2143">
        <f t="shared" si="5"/>
        <v>3</v>
      </c>
      <c r="E29" s="2273">
        <v>1.2</v>
      </c>
      <c r="F29" s="2144">
        <f t="shared" si="4"/>
        <v>0.20232838096364303</v>
      </c>
      <c r="G29" s="2144">
        <f t="shared" si="4"/>
        <v>0.5</v>
      </c>
      <c r="H29" s="2144">
        <f t="shared" si="4"/>
        <v>0.79767161903635697</v>
      </c>
      <c r="I29" s="2144">
        <f t="shared" si="4"/>
        <v>0.9522096477271853</v>
      </c>
      <c r="J29" s="2144">
        <f t="shared" si="4"/>
        <v>0.99379033467422384</v>
      </c>
      <c r="K29" s="2144">
        <f t="shared" si="4"/>
        <v>0.99957093966680322</v>
      </c>
      <c r="L29" s="2144">
        <f t="shared" si="4"/>
        <v>0.99998454570311768</v>
      </c>
      <c r="M29" s="2144">
        <f t="shared" si="4"/>
        <v>0.99999971334842808</v>
      </c>
      <c r="N29" s="2144">
        <f t="shared" si="4"/>
        <v>0.99999999728345623</v>
      </c>
      <c r="O29" s="2144">
        <f t="shared" si="4"/>
        <v>0.99999999998691602</v>
      </c>
    </row>
    <row r="30" spans="2:15" ht="12.75" customHeight="1">
      <c r="D30" s="2143">
        <f t="shared" si="5"/>
        <v>4</v>
      </c>
      <c r="E30" s="2273">
        <v>1.2</v>
      </c>
      <c r="F30" s="2144">
        <f t="shared" si="4"/>
        <v>0.10564977366685525</v>
      </c>
      <c r="G30" s="2144">
        <f t="shared" si="4"/>
        <v>0.33846111951068963</v>
      </c>
      <c r="H30" s="2144">
        <f t="shared" si="4"/>
        <v>0.66153888048931031</v>
      </c>
      <c r="I30" s="2144">
        <f t="shared" si="4"/>
        <v>0.89435022633314476</v>
      </c>
      <c r="J30" s="2144">
        <f t="shared" si="4"/>
        <v>0.98138957481011369</v>
      </c>
      <c r="K30" s="2144">
        <f t="shared" si="4"/>
        <v>0.9982310317608889</v>
      </c>
      <c r="L30" s="2144">
        <f t="shared" si="4"/>
        <v>0.99991158271479919</v>
      </c>
      <c r="M30" s="2144">
        <f t="shared" si="4"/>
        <v>0.99999771189171305</v>
      </c>
      <c r="N30" s="2144">
        <f t="shared" si="4"/>
        <v>0.9999999696398052</v>
      </c>
      <c r="O30" s="2144">
        <f t="shared" si="4"/>
        <v>0.99999999979477361</v>
      </c>
    </row>
    <row r="31" spans="2:15" ht="12.75" customHeight="1">
      <c r="D31" s="2143">
        <f t="shared" si="5"/>
        <v>5</v>
      </c>
      <c r="E31" s="2273">
        <v>1.5</v>
      </c>
      <c r="F31" s="2144">
        <f t="shared" si="4"/>
        <v>9.1211219725867876E-2</v>
      </c>
      <c r="G31" s="2144">
        <f t="shared" si="4"/>
        <v>0.25249253754692291</v>
      </c>
      <c r="H31" s="2144">
        <f t="shared" si="4"/>
        <v>0.5</v>
      </c>
      <c r="I31" s="2144">
        <f t="shared" si="4"/>
        <v>0.74750746245307709</v>
      </c>
      <c r="J31" s="2144">
        <f t="shared" si="4"/>
        <v>0.90878878027413212</v>
      </c>
      <c r="K31" s="2144">
        <f t="shared" si="4"/>
        <v>0.97724986805182079</v>
      </c>
      <c r="L31" s="2144">
        <f t="shared" si="4"/>
        <v>0.99616961943241022</v>
      </c>
      <c r="M31" s="2144">
        <f t="shared" si="4"/>
        <v>0.99957093966680322</v>
      </c>
      <c r="N31" s="2144">
        <f t="shared" si="4"/>
        <v>0.99996832875816688</v>
      </c>
      <c r="O31" s="2144">
        <f t="shared" si="4"/>
        <v>0.99999846937326342</v>
      </c>
    </row>
    <row r="32" spans="2:15" ht="12.75" customHeight="1">
      <c r="D32" s="2143">
        <f t="shared" si="5"/>
        <v>6</v>
      </c>
      <c r="E32" s="2273">
        <v>1.5</v>
      </c>
      <c r="F32" s="2144">
        <f t="shared" si="4"/>
        <v>4.7790352272814703E-2</v>
      </c>
      <c r="G32" s="2144">
        <f t="shared" si="4"/>
        <v>0.15865525393145699</v>
      </c>
      <c r="H32" s="2144">
        <f t="shared" si="4"/>
        <v>0.36944134018176361</v>
      </c>
      <c r="I32" s="2144">
        <f t="shared" si="4"/>
        <v>0.63055865981823644</v>
      </c>
      <c r="J32" s="2144">
        <f t="shared" si="4"/>
        <v>0.84134474606854304</v>
      </c>
      <c r="K32" s="2144">
        <f t="shared" si="4"/>
        <v>0.9522096477271853</v>
      </c>
      <c r="L32" s="2144">
        <f t="shared" si="4"/>
        <v>0.99018467137135469</v>
      </c>
      <c r="M32" s="2144">
        <f t="shared" si="4"/>
        <v>0.9986501019683699</v>
      </c>
      <c r="N32" s="2144">
        <f t="shared" si="4"/>
        <v>0.99987713361003483</v>
      </c>
      <c r="O32" s="2144">
        <f t="shared" si="4"/>
        <v>0.9999926565761631</v>
      </c>
    </row>
    <row r="33" spans="2:15" ht="12.75" customHeight="1">
      <c r="D33" s="2143">
        <f t="shared" si="5"/>
        <v>7</v>
      </c>
      <c r="E33" s="2273">
        <v>1.8</v>
      </c>
      <c r="F33" s="2144">
        <f t="shared" si="4"/>
        <v>4.7790352272814703E-2</v>
      </c>
      <c r="G33" s="2144">
        <f t="shared" si="4"/>
        <v>0.13326026290250542</v>
      </c>
      <c r="H33" s="2144">
        <f t="shared" si="4"/>
        <v>0.28925736075397196</v>
      </c>
      <c r="I33" s="2144">
        <f t="shared" si="4"/>
        <v>0.5</v>
      </c>
      <c r="J33" s="2144">
        <f t="shared" si="4"/>
        <v>0.7107426392460281</v>
      </c>
      <c r="K33" s="2144">
        <f t="shared" si="4"/>
        <v>0.86673973709749452</v>
      </c>
      <c r="L33" s="2144">
        <f t="shared" si="4"/>
        <v>0.9522096477271853</v>
      </c>
      <c r="M33" s="2144">
        <f t="shared" si="4"/>
        <v>0.98686585430897888</v>
      </c>
      <c r="N33" s="2144">
        <f t="shared" si="4"/>
        <v>0.99726339821375587</v>
      </c>
      <c r="O33" s="2144">
        <f t="shared" si="4"/>
        <v>0.99957093966680322</v>
      </c>
    </row>
    <row r="34" spans="2:15" ht="12.75" customHeight="1">
      <c r="D34" s="2274" t="s">
        <v>2816</v>
      </c>
      <c r="E34" s="2275"/>
      <c r="F34" s="2276">
        <f>VLOOKUP($C23,$D$12:$O$18,COLUMNS($D26:F26),FALSE)</f>
        <v>4.7790352272814703E-2</v>
      </c>
      <c r="G34" s="2277">
        <f>VLOOKUP($C23,$D$12:$O$18,COLUMNS($D26:G26),FALSE)</f>
        <v>0.15865525393145699</v>
      </c>
      <c r="H34" s="2277">
        <f>VLOOKUP($C23,$D$12:$O$18,COLUMNS($D26:H26),FALSE)</f>
        <v>0.36944134018176361</v>
      </c>
      <c r="I34" s="2277">
        <f>VLOOKUP($C23,$D$12:$O$18,COLUMNS($D26:I26),FALSE)</f>
        <v>0.63055865981823644</v>
      </c>
      <c r="J34" s="2277">
        <f>VLOOKUP($C23,$D$12:$O$18,COLUMNS($D26:J26),FALSE)</f>
        <v>0.84134474606854304</v>
      </c>
      <c r="K34" s="2277">
        <f>VLOOKUP($C23,$D$12:$O$18,COLUMNS($D26:K26),FALSE)</f>
        <v>0.9522096477271853</v>
      </c>
      <c r="L34" s="2277">
        <f>VLOOKUP($C23,$D$12:$O$18,COLUMNS($D26:L26),FALSE)</f>
        <v>0.99018467137135469</v>
      </c>
      <c r="M34" s="2277">
        <f>VLOOKUP($C23,$D$12:$O$18,COLUMNS($D26:M26),FALSE)</f>
        <v>0.9986501019683699</v>
      </c>
      <c r="N34" s="2277">
        <f>VLOOKUP($C23,$D$12:$O$18,COLUMNS($D26:N26),FALSE)</f>
        <v>0.99987713361003483</v>
      </c>
      <c r="O34" s="2277">
        <f>VLOOKUP($C23,$D$12:$O$18,COLUMNS($D26:O26),FALSE)</f>
        <v>0.9999926565761631</v>
      </c>
    </row>
    <row r="36" spans="2:15" ht="12.75" customHeight="1">
      <c r="B36" s="2265" t="str">
        <f>'rNPV Analysis_Diabetes'!B$12</f>
        <v>Diabetes</v>
      </c>
    </row>
    <row r="37" spans="2:15" ht="6" customHeight="1"/>
    <row r="38" spans="2:15" ht="12.75" customHeight="1">
      <c r="B38" s="2141" t="s">
        <v>2810</v>
      </c>
      <c r="C38" s="2266">
        <f>'rNPV Assumptions_Diabetes'!I$27</f>
        <v>6</v>
      </c>
    </row>
    <row r="39" spans="2:15" ht="6" customHeight="1"/>
    <row r="40" spans="2:15" ht="12.75" customHeight="1">
      <c r="D40" s="2267" t="s">
        <v>2811</v>
      </c>
      <c r="E40" s="2268" t="s">
        <v>2812</v>
      </c>
      <c r="F40" s="2269" t="s">
        <v>2813</v>
      </c>
      <c r="G40" s="2270"/>
      <c r="H40" s="2270"/>
      <c r="I40" s="2270"/>
      <c r="J40" s="2270"/>
      <c r="K40" s="2270"/>
      <c r="L40" s="2270"/>
      <c r="M40" s="2270"/>
      <c r="N40" s="2270"/>
      <c r="O40" s="2271"/>
    </row>
    <row r="41" spans="2:15" ht="12.75" customHeight="1">
      <c r="D41" s="2272" t="s">
        <v>2814</v>
      </c>
      <c r="E41" s="2272" t="s">
        <v>2815</v>
      </c>
      <c r="F41" s="2142">
        <v>1</v>
      </c>
      <c r="G41" s="2142">
        <f t="shared" ref="G41" si="6">F41+1</f>
        <v>2</v>
      </c>
      <c r="H41" s="2142">
        <f t="shared" ref="H41" si="7">G41+1</f>
        <v>3</v>
      </c>
      <c r="I41" s="2142">
        <f t="shared" ref="I41" si="8">H41+1</f>
        <v>4</v>
      </c>
      <c r="J41" s="2142">
        <f t="shared" ref="J41" si="9">I41+1</f>
        <v>5</v>
      </c>
      <c r="K41" s="2142">
        <f t="shared" ref="K41" si="10">J41+1</f>
        <v>6</v>
      </c>
      <c r="L41" s="2142">
        <f t="shared" ref="L41" si="11">K41+1</f>
        <v>7</v>
      </c>
      <c r="M41" s="2142">
        <f t="shared" ref="M41" si="12">L41+1</f>
        <v>8</v>
      </c>
      <c r="N41" s="2142">
        <f t="shared" ref="N41" si="13">M41+1</f>
        <v>9</v>
      </c>
      <c r="O41" s="2142">
        <f t="shared" ref="O41" si="14">N41+1</f>
        <v>10</v>
      </c>
    </row>
    <row r="42" spans="2:15" ht="15">
      <c r="D42" s="2143">
        <v>1</v>
      </c>
      <c r="E42" s="2273">
        <v>1</v>
      </c>
      <c r="F42" s="2144">
        <f t="shared" ref="F42:O48" si="15">NORMDIST(F$11,($D42+1)/2,$E42,TRUE)</f>
        <v>0.5</v>
      </c>
      <c r="G42" s="2144">
        <f t="shared" si="15"/>
        <v>0.84134474606854304</v>
      </c>
      <c r="H42" s="2144">
        <f t="shared" si="15"/>
        <v>0.97724986805182079</v>
      </c>
      <c r="I42" s="2144">
        <f t="shared" si="15"/>
        <v>0.9986501019683699</v>
      </c>
      <c r="J42" s="2144">
        <f t="shared" si="15"/>
        <v>0.99996832875816688</v>
      </c>
      <c r="K42" s="2144">
        <f t="shared" si="15"/>
        <v>0.99999971334842808</v>
      </c>
      <c r="L42" s="2144">
        <f t="shared" si="15"/>
        <v>0.9999999990134123</v>
      </c>
      <c r="M42" s="2144">
        <f t="shared" si="15"/>
        <v>0.99999999999872013</v>
      </c>
      <c r="N42" s="2144">
        <f t="shared" si="15"/>
        <v>0.99999999999999933</v>
      </c>
      <c r="O42" s="2144">
        <f t="shared" si="15"/>
        <v>1</v>
      </c>
    </row>
    <row r="43" spans="2:15" ht="12.75" customHeight="1">
      <c r="D43" s="2143">
        <f t="shared" ref="D43:D48" si="16">D42+1</f>
        <v>2</v>
      </c>
      <c r="E43" s="2273">
        <v>1</v>
      </c>
      <c r="F43" s="2144">
        <f t="shared" si="15"/>
        <v>0.30853753872598688</v>
      </c>
      <c r="G43" s="2144">
        <f t="shared" si="15"/>
        <v>0.69146246127401312</v>
      </c>
      <c r="H43" s="2144">
        <f t="shared" si="15"/>
        <v>0.93319279873114191</v>
      </c>
      <c r="I43" s="2144">
        <f t="shared" si="15"/>
        <v>0.99379033467422384</v>
      </c>
      <c r="J43" s="2144">
        <f t="shared" si="15"/>
        <v>0.99976737092096446</v>
      </c>
      <c r="K43" s="2144">
        <f t="shared" si="15"/>
        <v>0.99999660232687526</v>
      </c>
      <c r="L43" s="2144">
        <f t="shared" si="15"/>
        <v>0.99999998101043752</v>
      </c>
      <c r="M43" s="2144">
        <f t="shared" si="15"/>
        <v>0.99999999995984001</v>
      </c>
      <c r="N43" s="2144">
        <f t="shared" si="15"/>
        <v>0.99999999999996814</v>
      </c>
      <c r="O43" s="2144">
        <f t="shared" si="15"/>
        <v>1</v>
      </c>
    </row>
    <row r="44" spans="2:15" ht="12.75" customHeight="1">
      <c r="D44" s="2143">
        <f t="shared" si="16"/>
        <v>3</v>
      </c>
      <c r="E44" s="2273">
        <v>1.2</v>
      </c>
      <c r="F44" s="2144">
        <f t="shared" si="15"/>
        <v>0.20232838096364303</v>
      </c>
      <c r="G44" s="2144">
        <f t="shared" si="15"/>
        <v>0.5</v>
      </c>
      <c r="H44" s="2144">
        <f t="shared" si="15"/>
        <v>0.79767161903635697</v>
      </c>
      <c r="I44" s="2144">
        <f t="shared" si="15"/>
        <v>0.9522096477271853</v>
      </c>
      <c r="J44" s="2144">
        <f t="shared" si="15"/>
        <v>0.99379033467422384</v>
      </c>
      <c r="K44" s="2144">
        <f t="shared" si="15"/>
        <v>0.99957093966680322</v>
      </c>
      <c r="L44" s="2144">
        <f t="shared" si="15"/>
        <v>0.99998454570311768</v>
      </c>
      <c r="M44" s="2144">
        <f t="shared" si="15"/>
        <v>0.99999971334842808</v>
      </c>
      <c r="N44" s="2144">
        <f t="shared" si="15"/>
        <v>0.99999999728345623</v>
      </c>
      <c r="O44" s="2144">
        <f t="shared" si="15"/>
        <v>0.99999999998691602</v>
      </c>
    </row>
    <row r="45" spans="2:15" ht="12.75" customHeight="1">
      <c r="D45" s="2143">
        <f t="shared" si="16"/>
        <v>4</v>
      </c>
      <c r="E45" s="2273">
        <v>1.2</v>
      </c>
      <c r="F45" s="2144">
        <f t="shared" si="15"/>
        <v>0.10564977366685525</v>
      </c>
      <c r="G45" s="2144">
        <f t="shared" si="15"/>
        <v>0.33846111951068963</v>
      </c>
      <c r="H45" s="2144">
        <f t="shared" si="15"/>
        <v>0.66153888048931031</v>
      </c>
      <c r="I45" s="2144">
        <f t="shared" si="15"/>
        <v>0.89435022633314476</v>
      </c>
      <c r="J45" s="2144">
        <f t="shared" si="15"/>
        <v>0.98138957481011369</v>
      </c>
      <c r="K45" s="2144">
        <f t="shared" si="15"/>
        <v>0.9982310317608889</v>
      </c>
      <c r="L45" s="2144">
        <f t="shared" si="15"/>
        <v>0.99991158271479919</v>
      </c>
      <c r="M45" s="2144">
        <f t="shared" si="15"/>
        <v>0.99999771189171305</v>
      </c>
      <c r="N45" s="2144">
        <f t="shared" si="15"/>
        <v>0.9999999696398052</v>
      </c>
      <c r="O45" s="2144">
        <f t="shared" si="15"/>
        <v>0.99999999979477361</v>
      </c>
    </row>
    <row r="46" spans="2:15" ht="12.75" customHeight="1">
      <c r="D46" s="2143">
        <f t="shared" si="16"/>
        <v>5</v>
      </c>
      <c r="E46" s="2273">
        <v>1.5</v>
      </c>
      <c r="F46" s="2144">
        <f t="shared" si="15"/>
        <v>9.1211219725867876E-2</v>
      </c>
      <c r="G46" s="2144">
        <f t="shared" si="15"/>
        <v>0.25249253754692291</v>
      </c>
      <c r="H46" s="2144">
        <f t="shared" si="15"/>
        <v>0.5</v>
      </c>
      <c r="I46" s="2144">
        <f t="shared" si="15"/>
        <v>0.74750746245307709</v>
      </c>
      <c r="J46" s="2144">
        <f t="shared" si="15"/>
        <v>0.90878878027413212</v>
      </c>
      <c r="K46" s="2144">
        <f t="shared" si="15"/>
        <v>0.97724986805182079</v>
      </c>
      <c r="L46" s="2144">
        <f t="shared" si="15"/>
        <v>0.99616961943241022</v>
      </c>
      <c r="M46" s="2144">
        <f t="shared" si="15"/>
        <v>0.99957093966680322</v>
      </c>
      <c r="N46" s="2144">
        <f t="shared" si="15"/>
        <v>0.99996832875816688</v>
      </c>
      <c r="O46" s="2144">
        <f t="shared" si="15"/>
        <v>0.99999846937326342</v>
      </c>
    </row>
    <row r="47" spans="2:15" ht="12.75" customHeight="1">
      <c r="D47" s="2143">
        <f t="shared" si="16"/>
        <v>6</v>
      </c>
      <c r="E47" s="2273">
        <v>1.5</v>
      </c>
      <c r="F47" s="2144">
        <f t="shared" si="15"/>
        <v>4.7790352272814703E-2</v>
      </c>
      <c r="G47" s="2144">
        <f t="shared" si="15"/>
        <v>0.15865525393145699</v>
      </c>
      <c r="H47" s="2144">
        <f t="shared" si="15"/>
        <v>0.36944134018176361</v>
      </c>
      <c r="I47" s="2144">
        <f t="shared" si="15"/>
        <v>0.63055865981823644</v>
      </c>
      <c r="J47" s="2144">
        <f t="shared" si="15"/>
        <v>0.84134474606854304</v>
      </c>
      <c r="K47" s="2144">
        <f t="shared" si="15"/>
        <v>0.9522096477271853</v>
      </c>
      <c r="L47" s="2144">
        <f t="shared" si="15"/>
        <v>0.99018467137135469</v>
      </c>
      <c r="M47" s="2144">
        <f t="shared" si="15"/>
        <v>0.9986501019683699</v>
      </c>
      <c r="N47" s="2144">
        <f t="shared" si="15"/>
        <v>0.99987713361003483</v>
      </c>
      <c r="O47" s="2144">
        <f t="shared" si="15"/>
        <v>0.9999926565761631</v>
      </c>
    </row>
    <row r="48" spans="2:15" ht="12.75" customHeight="1">
      <c r="D48" s="2143">
        <f t="shared" si="16"/>
        <v>7</v>
      </c>
      <c r="E48" s="2273">
        <v>1.8</v>
      </c>
      <c r="F48" s="2144">
        <f t="shared" si="15"/>
        <v>4.7790352272814703E-2</v>
      </c>
      <c r="G48" s="2144">
        <f t="shared" si="15"/>
        <v>0.13326026290250542</v>
      </c>
      <c r="H48" s="2144">
        <f t="shared" si="15"/>
        <v>0.28925736075397196</v>
      </c>
      <c r="I48" s="2144">
        <f t="shared" si="15"/>
        <v>0.5</v>
      </c>
      <c r="J48" s="2144">
        <f t="shared" si="15"/>
        <v>0.7107426392460281</v>
      </c>
      <c r="K48" s="2144">
        <f t="shared" si="15"/>
        <v>0.86673973709749452</v>
      </c>
      <c r="L48" s="2144">
        <f t="shared" si="15"/>
        <v>0.9522096477271853</v>
      </c>
      <c r="M48" s="2144">
        <f t="shared" si="15"/>
        <v>0.98686585430897888</v>
      </c>
      <c r="N48" s="2144">
        <f t="shared" si="15"/>
        <v>0.99726339821375587</v>
      </c>
      <c r="O48" s="2144">
        <f t="shared" si="15"/>
        <v>0.99957093966680322</v>
      </c>
    </row>
    <row r="49" spans="2:15" ht="12.75" customHeight="1">
      <c r="D49" s="2274" t="s">
        <v>2816</v>
      </c>
      <c r="E49" s="2275"/>
      <c r="F49" s="2276">
        <f>VLOOKUP($C38,$D$12:$O$18,COLUMNS($D41:F41),FALSE)</f>
        <v>4.7790352272814703E-2</v>
      </c>
      <c r="G49" s="2277">
        <f>VLOOKUP($C38,$D$12:$O$18,COLUMNS($D41:G41),FALSE)</f>
        <v>0.15865525393145699</v>
      </c>
      <c r="H49" s="2277">
        <f>VLOOKUP($C38,$D$12:$O$18,COLUMNS($D41:H41),FALSE)</f>
        <v>0.36944134018176361</v>
      </c>
      <c r="I49" s="2277">
        <f>VLOOKUP($C38,$D$12:$O$18,COLUMNS($D41:I41),FALSE)</f>
        <v>0.63055865981823644</v>
      </c>
      <c r="J49" s="2277">
        <f>VLOOKUP($C38,$D$12:$O$18,COLUMNS($D41:J41),FALSE)</f>
        <v>0.84134474606854304</v>
      </c>
      <c r="K49" s="2277">
        <f>VLOOKUP($C38,$D$12:$O$18,COLUMNS($D41:K41),FALSE)</f>
        <v>0.9522096477271853</v>
      </c>
      <c r="L49" s="2277">
        <f>VLOOKUP($C38,$D$12:$O$18,COLUMNS($D41:L41),FALSE)</f>
        <v>0.99018467137135469</v>
      </c>
      <c r="M49" s="2277">
        <f>VLOOKUP($C38,$D$12:$O$18,COLUMNS($D41:M41),FALSE)</f>
        <v>0.9986501019683699</v>
      </c>
      <c r="N49" s="2277">
        <f>VLOOKUP($C38,$D$12:$O$18,COLUMNS($D41:N41),FALSE)</f>
        <v>0.99987713361003483</v>
      </c>
      <c r="O49" s="2277">
        <f>VLOOKUP($C38,$D$12:$O$18,COLUMNS($D41:O41),FALSE)</f>
        <v>0.9999926565761631</v>
      </c>
    </row>
    <row r="51" spans="2:15" ht="12.75" customHeight="1">
      <c r="B51" s="2886" t="str">
        <f>'rNPV Analysis_Diabetes'!B$17</f>
        <v>Indication #4</v>
      </c>
    </row>
    <row r="52" spans="2:15" ht="6" customHeight="1"/>
    <row r="53" spans="2:15" ht="12.75" customHeight="1">
      <c r="B53" s="2141" t="s">
        <v>2810</v>
      </c>
      <c r="C53" s="2278">
        <f>'rNPV Assumptions_Diabetes'!I$51</f>
        <v>6</v>
      </c>
    </row>
    <row r="54" spans="2:15" ht="6" customHeight="1"/>
    <row r="55" spans="2:15" ht="12.75" customHeight="1">
      <c r="D55" s="2267" t="s">
        <v>2811</v>
      </c>
      <c r="E55" s="2268" t="s">
        <v>2812</v>
      </c>
      <c r="F55" s="2269" t="s">
        <v>2813</v>
      </c>
      <c r="G55" s="2270"/>
      <c r="H55" s="2270"/>
      <c r="I55" s="2270"/>
      <c r="J55" s="2270"/>
      <c r="K55" s="2270"/>
      <c r="L55" s="2270"/>
      <c r="M55" s="2270"/>
      <c r="N55" s="2270"/>
      <c r="O55" s="2271"/>
    </row>
    <row r="56" spans="2:15" ht="12.75" customHeight="1">
      <c r="D56" s="2272" t="s">
        <v>2814</v>
      </c>
      <c r="E56" s="2272" t="s">
        <v>2815</v>
      </c>
      <c r="F56" s="2142">
        <v>1</v>
      </c>
      <c r="G56" s="2142">
        <f t="shared" ref="G56" si="17">F56+1</f>
        <v>2</v>
      </c>
      <c r="H56" s="2142">
        <f t="shared" ref="H56" si="18">G56+1</f>
        <v>3</v>
      </c>
      <c r="I56" s="2142">
        <f t="shared" ref="I56" si="19">H56+1</f>
        <v>4</v>
      </c>
      <c r="J56" s="2142">
        <f t="shared" ref="J56" si="20">I56+1</f>
        <v>5</v>
      </c>
      <c r="K56" s="2142">
        <f t="shared" ref="K56" si="21">J56+1</f>
        <v>6</v>
      </c>
      <c r="L56" s="2142">
        <f t="shared" ref="L56" si="22">K56+1</f>
        <v>7</v>
      </c>
      <c r="M56" s="2142">
        <f t="shared" ref="M56" si="23">L56+1</f>
        <v>8</v>
      </c>
      <c r="N56" s="2142">
        <f t="shared" ref="N56" si="24">M56+1</f>
        <v>9</v>
      </c>
      <c r="O56" s="2142">
        <f t="shared" ref="O56" si="25">N56+1</f>
        <v>10</v>
      </c>
    </row>
    <row r="57" spans="2:15" ht="15">
      <c r="D57" s="2143">
        <v>1</v>
      </c>
      <c r="E57" s="2273">
        <v>1</v>
      </c>
      <c r="F57" s="2144">
        <f t="shared" ref="F57:O63" si="26">NORMDIST(F$11,($D57+1)/2,$E57,TRUE)</f>
        <v>0.5</v>
      </c>
      <c r="G57" s="2144">
        <f t="shared" si="26"/>
        <v>0.84134474606854304</v>
      </c>
      <c r="H57" s="2144">
        <f t="shared" si="26"/>
        <v>0.97724986805182079</v>
      </c>
      <c r="I57" s="2144">
        <f t="shared" si="26"/>
        <v>0.9986501019683699</v>
      </c>
      <c r="J57" s="2144">
        <f t="shared" si="26"/>
        <v>0.99996832875816688</v>
      </c>
      <c r="K57" s="2144">
        <f t="shared" si="26"/>
        <v>0.99999971334842808</v>
      </c>
      <c r="L57" s="2144">
        <f t="shared" si="26"/>
        <v>0.9999999990134123</v>
      </c>
      <c r="M57" s="2144">
        <f t="shared" si="26"/>
        <v>0.99999999999872013</v>
      </c>
      <c r="N57" s="2144">
        <f t="shared" si="26"/>
        <v>0.99999999999999933</v>
      </c>
      <c r="O57" s="2144">
        <f t="shared" si="26"/>
        <v>1</v>
      </c>
    </row>
    <row r="58" spans="2:15" ht="12.75" customHeight="1">
      <c r="D58" s="2143">
        <f t="shared" ref="D58:D63" si="27">D57+1</f>
        <v>2</v>
      </c>
      <c r="E58" s="2273">
        <v>1</v>
      </c>
      <c r="F58" s="2144">
        <f t="shared" si="26"/>
        <v>0.30853753872598688</v>
      </c>
      <c r="G58" s="2144">
        <f t="shared" si="26"/>
        <v>0.69146246127401312</v>
      </c>
      <c r="H58" s="2144">
        <f t="shared" si="26"/>
        <v>0.93319279873114191</v>
      </c>
      <c r="I58" s="2144">
        <f t="shared" si="26"/>
        <v>0.99379033467422384</v>
      </c>
      <c r="J58" s="2144">
        <f t="shared" si="26"/>
        <v>0.99976737092096446</v>
      </c>
      <c r="K58" s="2144">
        <f t="shared" si="26"/>
        <v>0.99999660232687526</v>
      </c>
      <c r="L58" s="2144">
        <f t="shared" si="26"/>
        <v>0.99999998101043752</v>
      </c>
      <c r="M58" s="2144">
        <f t="shared" si="26"/>
        <v>0.99999999995984001</v>
      </c>
      <c r="N58" s="2144">
        <f t="shared" si="26"/>
        <v>0.99999999999996814</v>
      </c>
      <c r="O58" s="2144">
        <f t="shared" si="26"/>
        <v>1</v>
      </c>
    </row>
    <row r="59" spans="2:15" ht="12.75" customHeight="1">
      <c r="D59" s="2143">
        <f t="shared" si="27"/>
        <v>3</v>
      </c>
      <c r="E59" s="2273">
        <v>1.2</v>
      </c>
      <c r="F59" s="2144">
        <f t="shared" si="26"/>
        <v>0.20232838096364303</v>
      </c>
      <c r="G59" s="2144">
        <f t="shared" si="26"/>
        <v>0.5</v>
      </c>
      <c r="H59" s="2144">
        <f t="shared" si="26"/>
        <v>0.79767161903635697</v>
      </c>
      <c r="I59" s="2144">
        <f t="shared" si="26"/>
        <v>0.9522096477271853</v>
      </c>
      <c r="J59" s="2144">
        <f t="shared" si="26"/>
        <v>0.99379033467422384</v>
      </c>
      <c r="K59" s="2144">
        <f t="shared" si="26"/>
        <v>0.99957093966680322</v>
      </c>
      <c r="L59" s="2144">
        <f t="shared" si="26"/>
        <v>0.99998454570311768</v>
      </c>
      <c r="M59" s="2144">
        <f t="shared" si="26"/>
        <v>0.99999971334842808</v>
      </c>
      <c r="N59" s="2144">
        <f t="shared" si="26"/>
        <v>0.99999999728345623</v>
      </c>
      <c r="O59" s="2144">
        <f t="shared" si="26"/>
        <v>0.99999999998691602</v>
      </c>
    </row>
    <row r="60" spans="2:15" ht="12.75" customHeight="1">
      <c r="D60" s="2143">
        <f t="shared" si="27"/>
        <v>4</v>
      </c>
      <c r="E60" s="2273">
        <v>1.2</v>
      </c>
      <c r="F60" s="2144">
        <f t="shared" si="26"/>
        <v>0.10564977366685525</v>
      </c>
      <c r="G60" s="2144">
        <f t="shared" si="26"/>
        <v>0.33846111951068963</v>
      </c>
      <c r="H60" s="2144">
        <f t="shared" si="26"/>
        <v>0.66153888048931031</v>
      </c>
      <c r="I60" s="2144">
        <f t="shared" si="26"/>
        <v>0.89435022633314476</v>
      </c>
      <c r="J60" s="2144">
        <f t="shared" si="26"/>
        <v>0.98138957481011369</v>
      </c>
      <c r="K60" s="2144">
        <f t="shared" si="26"/>
        <v>0.9982310317608889</v>
      </c>
      <c r="L60" s="2144">
        <f t="shared" si="26"/>
        <v>0.99991158271479919</v>
      </c>
      <c r="M60" s="2144">
        <f t="shared" si="26"/>
        <v>0.99999771189171305</v>
      </c>
      <c r="N60" s="2144">
        <f t="shared" si="26"/>
        <v>0.9999999696398052</v>
      </c>
      <c r="O60" s="2144">
        <f t="shared" si="26"/>
        <v>0.99999999979477361</v>
      </c>
    </row>
    <row r="61" spans="2:15" ht="12.75" customHeight="1">
      <c r="D61" s="2143">
        <f t="shared" si="27"/>
        <v>5</v>
      </c>
      <c r="E61" s="2273">
        <v>1.5</v>
      </c>
      <c r="F61" s="2144">
        <f t="shared" si="26"/>
        <v>9.1211219725867876E-2</v>
      </c>
      <c r="G61" s="2144">
        <f t="shared" si="26"/>
        <v>0.25249253754692291</v>
      </c>
      <c r="H61" s="2144">
        <f t="shared" si="26"/>
        <v>0.5</v>
      </c>
      <c r="I61" s="2144">
        <f t="shared" si="26"/>
        <v>0.74750746245307709</v>
      </c>
      <c r="J61" s="2144">
        <f t="shared" si="26"/>
        <v>0.90878878027413212</v>
      </c>
      <c r="K61" s="2144">
        <f t="shared" si="26"/>
        <v>0.97724986805182079</v>
      </c>
      <c r="L61" s="2144">
        <f t="shared" si="26"/>
        <v>0.99616961943241022</v>
      </c>
      <c r="M61" s="2144">
        <f t="shared" si="26"/>
        <v>0.99957093966680322</v>
      </c>
      <c r="N61" s="2144">
        <f t="shared" si="26"/>
        <v>0.99996832875816688</v>
      </c>
      <c r="O61" s="2144">
        <f t="shared" si="26"/>
        <v>0.99999846937326342</v>
      </c>
    </row>
    <row r="62" spans="2:15" ht="12.75" customHeight="1">
      <c r="D62" s="2143">
        <f t="shared" si="27"/>
        <v>6</v>
      </c>
      <c r="E62" s="2273">
        <v>1.5</v>
      </c>
      <c r="F62" s="2144">
        <f t="shared" si="26"/>
        <v>4.7790352272814703E-2</v>
      </c>
      <c r="G62" s="2144">
        <f t="shared" si="26"/>
        <v>0.15865525393145699</v>
      </c>
      <c r="H62" s="2144">
        <f t="shared" si="26"/>
        <v>0.36944134018176361</v>
      </c>
      <c r="I62" s="2144">
        <f t="shared" si="26"/>
        <v>0.63055865981823644</v>
      </c>
      <c r="J62" s="2144">
        <f t="shared" si="26"/>
        <v>0.84134474606854304</v>
      </c>
      <c r="K62" s="2144">
        <f t="shared" si="26"/>
        <v>0.9522096477271853</v>
      </c>
      <c r="L62" s="2144">
        <f t="shared" si="26"/>
        <v>0.99018467137135469</v>
      </c>
      <c r="M62" s="2144">
        <f t="shared" si="26"/>
        <v>0.9986501019683699</v>
      </c>
      <c r="N62" s="2144">
        <f t="shared" si="26"/>
        <v>0.99987713361003483</v>
      </c>
      <c r="O62" s="2144">
        <f t="shared" si="26"/>
        <v>0.9999926565761631</v>
      </c>
    </row>
    <row r="63" spans="2:15" ht="12.75" customHeight="1">
      <c r="D63" s="2143">
        <f t="shared" si="27"/>
        <v>7</v>
      </c>
      <c r="E63" s="2273">
        <v>1.8</v>
      </c>
      <c r="F63" s="2144">
        <f t="shared" si="26"/>
        <v>4.7790352272814703E-2</v>
      </c>
      <c r="G63" s="2144">
        <f t="shared" si="26"/>
        <v>0.13326026290250542</v>
      </c>
      <c r="H63" s="2144">
        <f t="shared" si="26"/>
        <v>0.28925736075397196</v>
      </c>
      <c r="I63" s="2144">
        <f t="shared" si="26"/>
        <v>0.5</v>
      </c>
      <c r="J63" s="2144">
        <f t="shared" si="26"/>
        <v>0.7107426392460281</v>
      </c>
      <c r="K63" s="2144">
        <f t="shared" si="26"/>
        <v>0.86673973709749452</v>
      </c>
      <c r="L63" s="2144">
        <f t="shared" si="26"/>
        <v>0.9522096477271853</v>
      </c>
      <c r="M63" s="2144">
        <f t="shared" si="26"/>
        <v>0.98686585430897888</v>
      </c>
      <c r="N63" s="2144">
        <f t="shared" si="26"/>
        <v>0.99726339821375587</v>
      </c>
      <c r="O63" s="2144">
        <f t="shared" si="26"/>
        <v>0.99957093966680322</v>
      </c>
    </row>
    <row r="64" spans="2:15" ht="12.75" customHeight="1">
      <c r="D64" s="2274" t="s">
        <v>2816</v>
      </c>
      <c r="E64" s="2275"/>
      <c r="F64" s="2276">
        <f>VLOOKUP($C53,$D$12:$O$18,COLUMNS($D56:F56),FALSE)</f>
        <v>4.7790352272814703E-2</v>
      </c>
      <c r="G64" s="2277">
        <f>VLOOKUP($C53,$D$12:$O$18,COLUMNS($D56:G56),FALSE)</f>
        <v>0.15865525393145699</v>
      </c>
      <c r="H64" s="2277">
        <f>VLOOKUP($C53,$D$12:$O$18,COLUMNS($D56:H56),FALSE)</f>
        <v>0.36944134018176361</v>
      </c>
      <c r="I64" s="2277">
        <f>VLOOKUP($C53,$D$12:$O$18,COLUMNS($D56:I56),FALSE)</f>
        <v>0.63055865981823644</v>
      </c>
      <c r="J64" s="2277">
        <f>VLOOKUP($C53,$D$12:$O$18,COLUMNS($D56:J56),FALSE)</f>
        <v>0.84134474606854304</v>
      </c>
      <c r="K64" s="2277">
        <f>VLOOKUP($C53,$D$12:$O$18,COLUMNS($D56:K56),FALSE)</f>
        <v>0.9522096477271853</v>
      </c>
      <c r="L64" s="2277">
        <f>VLOOKUP($C53,$D$12:$O$18,COLUMNS($D56:L56),FALSE)</f>
        <v>0.99018467137135469</v>
      </c>
      <c r="M64" s="2277">
        <f>VLOOKUP($C53,$D$12:$O$18,COLUMNS($D56:M56),FALSE)</f>
        <v>0.9986501019683699</v>
      </c>
      <c r="N64" s="2277">
        <f>VLOOKUP($C53,$D$12:$O$18,COLUMNS($D56:N56),FALSE)</f>
        <v>0.99987713361003483</v>
      </c>
      <c r="O64" s="2277">
        <f>VLOOKUP($C53,$D$12:$O$18,COLUMNS($D56:O56),FALSE)</f>
        <v>0.9999926565761631</v>
      </c>
    </row>
    <row r="66" spans="2:15" ht="12.75" customHeight="1">
      <c r="B66" s="2265" t="str">
        <f>'rNPV Analysis_NASH'!B$12</f>
        <v>NASH</v>
      </c>
    </row>
    <row r="67" spans="2:15" ht="6" customHeight="1"/>
    <row r="68" spans="2:15" ht="12.75" customHeight="1">
      <c r="B68" s="2141" t="s">
        <v>2810</v>
      </c>
      <c r="C68" s="2266">
        <f>'rNPV Assumptions_NASH'!I$27</f>
        <v>6</v>
      </c>
    </row>
    <row r="69" spans="2:15" ht="6" customHeight="1"/>
    <row r="70" spans="2:15" ht="12.75" customHeight="1">
      <c r="D70" s="2267" t="s">
        <v>2811</v>
      </c>
      <c r="E70" s="2268" t="s">
        <v>2812</v>
      </c>
      <c r="F70" s="2269" t="s">
        <v>2813</v>
      </c>
      <c r="G70" s="2270"/>
      <c r="H70" s="2270"/>
      <c r="I70" s="2270"/>
      <c r="J70" s="2270"/>
      <c r="K70" s="2270"/>
      <c r="L70" s="2270"/>
      <c r="M70" s="2270"/>
      <c r="N70" s="2270"/>
      <c r="O70" s="2271"/>
    </row>
    <row r="71" spans="2:15" ht="12.75" customHeight="1">
      <c r="D71" s="2272" t="s">
        <v>2814</v>
      </c>
      <c r="E71" s="2272" t="s">
        <v>2815</v>
      </c>
      <c r="F71" s="2142">
        <v>1</v>
      </c>
      <c r="G71" s="2142">
        <f t="shared" ref="G71" si="28">F71+1</f>
        <v>2</v>
      </c>
      <c r="H71" s="2142">
        <f t="shared" ref="H71" si="29">G71+1</f>
        <v>3</v>
      </c>
      <c r="I71" s="2142">
        <f t="shared" ref="I71" si="30">H71+1</f>
        <v>4</v>
      </c>
      <c r="J71" s="2142">
        <f t="shared" ref="J71" si="31">I71+1</f>
        <v>5</v>
      </c>
      <c r="K71" s="2142">
        <f t="shared" ref="K71" si="32">J71+1</f>
        <v>6</v>
      </c>
      <c r="L71" s="2142">
        <f t="shared" ref="L71" si="33">K71+1</f>
        <v>7</v>
      </c>
      <c r="M71" s="2142">
        <f t="shared" ref="M71" si="34">L71+1</f>
        <v>8</v>
      </c>
      <c r="N71" s="2142">
        <f t="shared" ref="N71" si="35">M71+1</f>
        <v>9</v>
      </c>
      <c r="O71" s="2142">
        <f t="shared" ref="O71" si="36">N71+1</f>
        <v>10</v>
      </c>
    </row>
    <row r="72" spans="2:15" ht="15">
      <c r="D72" s="2143">
        <v>1</v>
      </c>
      <c r="E72" s="2273">
        <v>1</v>
      </c>
      <c r="F72" s="2144">
        <f t="shared" ref="F72:O78" si="37">NORMDIST(F$11,($D72+1)/2,$E72,TRUE)</f>
        <v>0.5</v>
      </c>
      <c r="G72" s="2144">
        <f t="shared" si="37"/>
        <v>0.84134474606854304</v>
      </c>
      <c r="H72" s="2144">
        <f t="shared" si="37"/>
        <v>0.97724986805182079</v>
      </c>
      <c r="I72" s="2144">
        <f t="shared" si="37"/>
        <v>0.9986501019683699</v>
      </c>
      <c r="J72" s="2144">
        <f t="shared" si="37"/>
        <v>0.99996832875816688</v>
      </c>
      <c r="K72" s="2144">
        <f t="shared" si="37"/>
        <v>0.99999971334842808</v>
      </c>
      <c r="L72" s="2144">
        <f t="shared" si="37"/>
        <v>0.9999999990134123</v>
      </c>
      <c r="M72" s="2144">
        <f t="shared" si="37"/>
        <v>0.99999999999872013</v>
      </c>
      <c r="N72" s="2144">
        <f t="shared" si="37"/>
        <v>0.99999999999999933</v>
      </c>
      <c r="O72" s="2144">
        <f t="shared" si="37"/>
        <v>1</v>
      </c>
    </row>
    <row r="73" spans="2:15" ht="12.75" customHeight="1">
      <c r="D73" s="2143">
        <f t="shared" ref="D73:D78" si="38">D72+1</f>
        <v>2</v>
      </c>
      <c r="E73" s="2273">
        <v>1</v>
      </c>
      <c r="F73" s="2144">
        <f t="shared" si="37"/>
        <v>0.30853753872598688</v>
      </c>
      <c r="G73" s="2144">
        <f t="shared" si="37"/>
        <v>0.69146246127401312</v>
      </c>
      <c r="H73" s="2144">
        <f t="shared" si="37"/>
        <v>0.93319279873114191</v>
      </c>
      <c r="I73" s="2144">
        <f t="shared" si="37"/>
        <v>0.99379033467422384</v>
      </c>
      <c r="J73" s="2144">
        <f t="shared" si="37"/>
        <v>0.99976737092096446</v>
      </c>
      <c r="K73" s="2144">
        <f t="shared" si="37"/>
        <v>0.99999660232687526</v>
      </c>
      <c r="L73" s="2144">
        <f t="shared" si="37"/>
        <v>0.99999998101043752</v>
      </c>
      <c r="M73" s="2144">
        <f t="shared" si="37"/>
        <v>0.99999999995984001</v>
      </c>
      <c r="N73" s="2144">
        <f t="shared" si="37"/>
        <v>0.99999999999996814</v>
      </c>
      <c r="O73" s="2144">
        <f t="shared" si="37"/>
        <v>1</v>
      </c>
    </row>
    <row r="74" spans="2:15" ht="12.75" customHeight="1">
      <c r="D74" s="2143">
        <f t="shared" si="38"/>
        <v>3</v>
      </c>
      <c r="E74" s="2273">
        <v>1.2</v>
      </c>
      <c r="F74" s="2144">
        <f t="shared" si="37"/>
        <v>0.20232838096364303</v>
      </c>
      <c r="G74" s="2144">
        <f t="shared" si="37"/>
        <v>0.5</v>
      </c>
      <c r="H74" s="2144">
        <f t="shared" si="37"/>
        <v>0.79767161903635697</v>
      </c>
      <c r="I74" s="2144">
        <f t="shared" si="37"/>
        <v>0.9522096477271853</v>
      </c>
      <c r="J74" s="2144">
        <f t="shared" si="37"/>
        <v>0.99379033467422384</v>
      </c>
      <c r="K74" s="2144">
        <f t="shared" si="37"/>
        <v>0.99957093966680322</v>
      </c>
      <c r="L74" s="2144">
        <f t="shared" si="37"/>
        <v>0.99998454570311768</v>
      </c>
      <c r="M74" s="2144">
        <f t="shared" si="37"/>
        <v>0.99999971334842808</v>
      </c>
      <c r="N74" s="2144">
        <f t="shared" si="37"/>
        <v>0.99999999728345623</v>
      </c>
      <c r="O74" s="2144">
        <f t="shared" si="37"/>
        <v>0.99999999998691602</v>
      </c>
    </row>
    <row r="75" spans="2:15" ht="12.75" customHeight="1">
      <c r="D75" s="2143">
        <f t="shared" si="38"/>
        <v>4</v>
      </c>
      <c r="E75" s="2273">
        <v>1.2</v>
      </c>
      <c r="F75" s="2144">
        <f t="shared" si="37"/>
        <v>0.10564977366685525</v>
      </c>
      <c r="G75" s="2144">
        <f t="shared" si="37"/>
        <v>0.33846111951068963</v>
      </c>
      <c r="H75" s="2144">
        <f t="shared" si="37"/>
        <v>0.66153888048931031</v>
      </c>
      <c r="I75" s="2144">
        <f t="shared" si="37"/>
        <v>0.89435022633314476</v>
      </c>
      <c r="J75" s="2144">
        <f t="shared" si="37"/>
        <v>0.98138957481011369</v>
      </c>
      <c r="K75" s="2144">
        <f t="shared" si="37"/>
        <v>0.9982310317608889</v>
      </c>
      <c r="L75" s="2144">
        <f t="shared" si="37"/>
        <v>0.99991158271479919</v>
      </c>
      <c r="M75" s="2144">
        <f t="shared" si="37"/>
        <v>0.99999771189171305</v>
      </c>
      <c r="N75" s="2144">
        <f t="shared" si="37"/>
        <v>0.9999999696398052</v>
      </c>
      <c r="O75" s="2144">
        <f t="shared" si="37"/>
        <v>0.99999999979477361</v>
      </c>
    </row>
    <row r="76" spans="2:15" ht="12.75" customHeight="1">
      <c r="D76" s="2143">
        <f t="shared" si="38"/>
        <v>5</v>
      </c>
      <c r="E76" s="2273">
        <v>1.5</v>
      </c>
      <c r="F76" s="2144">
        <f t="shared" si="37"/>
        <v>9.1211219725867876E-2</v>
      </c>
      <c r="G76" s="2144">
        <f t="shared" si="37"/>
        <v>0.25249253754692291</v>
      </c>
      <c r="H76" s="2144">
        <f t="shared" si="37"/>
        <v>0.5</v>
      </c>
      <c r="I76" s="2144">
        <f t="shared" si="37"/>
        <v>0.74750746245307709</v>
      </c>
      <c r="J76" s="2144">
        <f t="shared" si="37"/>
        <v>0.90878878027413212</v>
      </c>
      <c r="K76" s="2144">
        <f t="shared" si="37"/>
        <v>0.97724986805182079</v>
      </c>
      <c r="L76" s="2144">
        <f t="shared" si="37"/>
        <v>0.99616961943241022</v>
      </c>
      <c r="M76" s="2144">
        <f t="shared" si="37"/>
        <v>0.99957093966680322</v>
      </c>
      <c r="N76" s="2144">
        <f t="shared" si="37"/>
        <v>0.99996832875816688</v>
      </c>
      <c r="O76" s="2144">
        <f t="shared" si="37"/>
        <v>0.99999846937326342</v>
      </c>
    </row>
    <row r="77" spans="2:15" ht="12.75" customHeight="1">
      <c r="D77" s="2143">
        <f t="shared" si="38"/>
        <v>6</v>
      </c>
      <c r="E77" s="2273">
        <v>1.5</v>
      </c>
      <c r="F77" s="2144">
        <f t="shared" si="37"/>
        <v>4.7790352272814703E-2</v>
      </c>
      <c r="G77" s="2144">
        <f t="shared" si="37"/>
        <v>0.15865525393145699</v>
      </c>
      <c r="H77" s="2144">
        <f t="shared" si="37"/>
        <v>0.36944134018176361</v>
      </c>
      <c r="I77" s="2144">
        <f t="shared" si="37"/>
        <v>0.63055865981823644</v>
      </c>
      <c r="J77" s="2144">
        <f t="shared" si="37"/>
        <v>0.84134474606854304</v>
      </c>
      <c r="K77" s="2144">
        <f t="shared" si="37"/>
        <v>0.9522096477271853</v>
      </c>
      <c r="L77" s="2144">
        <f t="shared" si="37"/>
        <v>0.99018467137135469</v>
      </c>
      <c r="M77" s="2144">
        <f t="shared" si="37"/>
        <v>0.9986501019683699</v>
      </c>
      <c r="N77" s="2144">
        <f t="shared" si="37"/>
        <v>0.99987713361003483</v>
      </c>
      <c r="O77" s="2144">
        <f t="shared" si="37"/>
        <v>0.9999926565761631</v>
      </c>
    </row>
    <row r="78" spans="2:15" ht="12.75" customHeight="1">
      <c r="D78" s="2143">
        <f t="shared" si="38"/>
        <v>7</v>
      </c>
      <c r="E78" s="2273">
        <v>1.8</v>
      </c>
      <c r="F78" s="2144">
        <f t="shared" si="37"/>
        <v>4.7790352272814703E-2</v>
      </c>
      <c r="G78" s="2144">
        <f t="shared" si="37"/>
        <v>0.13326026290250542</v>
      </c>
      <c r="H78" s="2144">
        <f t="shared" si="37"/>
        <v>0.28925736075397196</v>
      </c>
      <c r="I78" s="2144">
        <f t="shared" si="37"/>
        <v>0.5</v>
      </c>
      <c r="J78" s="2144">
        <f t="shared" si="37"/>
        <v>0.7107426392460281</v>
      </c>
      <c r="K78" s="2144">
        <f t="shared" si="37"/>
        <v>0.86673973709749452</v>
      </c>
      <c r="L78" s="2144">
        <f t="shared" si="37"/>
        <v>0.9522096477271853</v>
      </c>
      <c r="M78" s="2144">
        <f t="shared" si="37"/>
        <v>0.98686585430897888</v>
      </c>
      <c r="N78" s="2144">
        <f t="shared" si="37"/>
        <v>0.99726339821375587</v>
      </c>
      <c r="O78" s="2144">
        <f t="shared" si="37"/>
        <v>0.99957093966680322</v>
      </c>
    </row>
    <row r="79" spans="2:15" ht="12.75" customHeight="1">
      <c r="D79" s="2274" t="s">
        <v>2816</v>
      </c>
      <c r="E79" s="2275"/>
      <c r="F79" s="2276">
        <f>VLOOKUP($C68,$D$12:$O$18,COLUMNS($D71:F71),FALSE)</f>
        <v>4.7790352272814703E-2</v>
      </c>
      <c r="G79" s="2277">
        <f>VLOOKUP($C68,$D$12:$O$18,COLUMNS($D71:G71),FALSE)</f>
        <v>0.15865525393145699</v>
      </c>
      <c r="H79" s="2277">
        <f>VLOOKUP($C68,$D$12:$O$18,COLUMNS($D71:H71),FALSE)</f>
        <v>0.36944134018176361</v>
      </c>
      <c r="I79" s="2277">
        <f>VLOOKUP($C68,$D$12:$O$18,COLUMNS($D71:I71),FALSE)</f>
        <v>0.63055865981823644</v>
      </c>
      <c r="J79" s="2277">
        <f>VLOOKUP($C68,$D$12:$O$18,COLUMNS($D71:J71),FALSE)</f>
        <v>0.84134474606854304</v>
      </c>
      <c r="K79" s="2277">
        <f>VLOOKUP($C68,$D$12:$O$18,COLUMNS($D71:K71),FALSE)</f>
        <v>0.9522096477271853</v>
      </c>
      <c r="L79" s="2277">
        <f>VLOOKUP($C68,$D$12:$O$18,COLUMNS($D71:L71),FALSE)</f>
        <v>0.99018467137135469</v>
      </c>
      <c r="M79" s="2277">
        <f>VLOOKUP($C68,$D$12:$O$18,COLUMNS($D71:M71),FALSE)</f>
        <v>0.9986501019683699</v>
      </c>
      <c r="N79" s="2277">
        <f>VLOOKUP($C68,$D$12:$O$18,COLUMNS($D71:N71),FALSE)</f>
        <v>0.99987713361003483</v>
      </c>
      <c r="O79" s="2277">
        <f>VLOOKUP($C68,$D$12:$O$18,COLUMNS($D71:O71),FALSE)</f>
        <v>0.9999926565761631</v>
      </c>
    </row>
    <row r="81" spans="2:15" ht="12.75" customHeight="1">
      <c r="B81" s="2886" t="str">
        <f>'rNPV Analysis_NASH'!B$17</f>
        <v>Indication #6</v>
      </c>
    </row>
    <row r="82" spans="2:15" ht="6" customHeight="1"/>
    <row r="83" spans="2:15" ht="12.75" customHeight="1">
      <c r="B83" s="2141" t="s">
        <v>2810</v>
      </c>
      <c r="C83" s="2278">
        <f>'rNPV Assumptions_NASH'!I$51</f>
        <v>6</v>
      </c>
    </row>
    <row r="84" spans="2:15" ht="6" customHeight="1"/>
    <row r="85" spans="2:15" ht="12.75" customHeight="1">
      <c r="D85" s="2267" t="s">
        <v>2811</v>
      </c>
      <c r="E85" s="2268" t="s">
        <v>2812</v>
      </c>
      <c r="F85" s="2269" t="s">
        <v>2813</v>
      </c>
      <c r="G85" s="2270"/>
      <c r="H85" s="2270"/>
      <c r="I85" s="2270"/>
      <c r="J85" s="2270"/>
      <c r="K85" s="2270"/>
      <c r="L85" s="2270"/>
      <c r="M85" s="2270"/>
      <c r="N85" s="2270"/>
      <c r="O85" s="2271"/>
    </row>
    <row r="86" spans="2:15" ht="12.75" customHeight="1">
      <c r="D86" s="2272" t="s">
        <v>2814</v>
      </c>
      <c r="E86" s="2272" t="s">
        <v>2815</v>
      </c>
      <c r="F86" s="2142">
        <v>1</v>
      </c>
      <c r="G86" s="2142">
        <f t="shared" ref="G86" si="39">F86+1</f>
        <v>2</v>
      </c>
      <c r="H86" s="2142">
        <f t="shared" ref="H86" si="40">G86+1</f>
        <v>3</v>
      </c>
      <c r="I86" s="2142">
        <f t="shared" ref="I86" si="41">H86+1</f>
        <v>4</v>
      </c>
      <c r="J86" s="2142">
        <f t="shared" ref="J86" si="42">I86+1</f>
        <v>5</v>
      </c>
      <c r="K86" s="2142">
        <f t="shared" ref="K86" si="43">J86+1</f>
        <v>6</v>
      </c>
      <c r="L86" s="2142">
        <f t="shared" ref="L86" si="44">K86+1</f>
        <v>7</v>
      </c>
      <c r="M86" s="2142">
        <f t="shared" ref="M86" si="45">L86+1</f>
        <v>8</v>
      </c>
      <c r="N86" s="2142">
        <f t="shared" ref="N86" si="46">M86+1</f>
        <v>9</v>
      </c>
      <c r="O86" s="2142">
        <f t="shared" ref="O86" si="47">N86+1</f>
        <v>10</v>
      </c>
    </row>
    <row r="87" spans="2:15" ht="15">
      <c r="D87" s="2143">
        <v>1</v>
      </c>
      <c r="E87" s="2273">
        <v>1</v>
      </c>
      <c r="F87" s="2144">
        <f t="shared" ref="F87:O93" si="48">NORMDIST(F$11,($D87+1)/2,$E87,TRUE)</f>
        <v>0.5</v>
      </c>
      <c r="G87" s="2144">
        <f t="shared" si="48"/>
        <v>0.84134474606854304</v>
      </c>
      <c r="H87" s="2144">
        <f t="shared" si="48"/>
        <v>0.97724986805182079</v>
      </c>
      <c r="I87" s="2144">
        <f t="shared" si="48"/>
        <v>0.9986501019683699</v>
      </c>
      <c r="J87" s="2144">
        <f t="shared" si="48"/>
        <v>0.99996832875816688</v>
      </c>
      <c r="K87" s="2144">
        <f t="shared" si="48"/>
        <v>0.99999971334842808</v>
      </c>
      <c r="L87" s="2144">
        <f t="shared" si="48"/>
        <v>0.9999999990134123</v>
      </c>
      <c r="M87" s="2144">
        <f t="shared" si="48"/>
        <v>0.99999999999872013</v>
      </c>
      <c r="N87" s="2144">
        <f t="shared" si="48"/>
        <v>0.99999999999999933</v>
      </c>
      <c r="O87" s="2144">
        <f t="shared" si="48"/>
        <v>1</v>
      </c>
    </row>
    <row r="88" spans="2:15" ht="12.75" customHeight="1">
      <c r="D88" s="2143">
        <f t="shared" ref="D88:D93" si="49">D87+1</f>
        <v>2</v>
      </c>
      <c r="E88" s="2273">
        <v>1</v>
      </c>
      <c r="F88" s="2144">
        <f t="shared" si="48"/>
        <v>0.30853753872598688</v>
      </c>
      <c r="G88" s="2144">
        <f t="shared" si="48"/>
        <v>0.69146246127401312</v>
      </c>
      <c r="H88" s="2144">
        <f t="shared" si="48"/>
        <v>0.93319279873114191</v>
      </c>
      <c r="I88" s="2144">
        <f t="shared" si="48"/>
        <v>0.99379033467422384</v>
      </c>
      <c r="J88" s="2144">
        <f t="shared" si="48"/>
        <v>0.99976737092096446</v>
      </c>
      <c r="K88" s="2144">
        <f t="shared" si="48"/>
        <v>0.99999660232687526</v>
      </c>
      <c r="L88" s="2144">
        <f t="shared" si="48"/>
        <v>0.99999998101043752</v>
      </c>
      <c r="M88" s="2144">
        <f t="shared" si="48"/>
        <v>0.99999999995984001</v>
      </c>
      <c r="N88" s="2144">
        <f t="shared" si="48"/>
        <v>0.99999999999996814</v>
      </c>
      <c r="O88" s="2144">
        <f t="shared" si="48"/>
        <v>1</v>
      </c>
    </row>
    <row r="89" spans="2:15" ht="12.75" customHeight="1">
      <c r="D89" s="2143">
        <f t="shared" si="49"/>
        <v>3</v>
      </c>
      <c r="E89" s="2273">
        <v>1.2</v>
      </c>
      <c r="F89" s="2144">
        <f t="shared" si="48"/>
        <v>0.20232838096364303</v>
      </c>
      <c r="G89" s="2144">
        <f t="shared" si="48"/>
        <v>0.5</v>
      </c>
      <c r="H89" s="2144">
        <f t="shared" si="48"/>
        <v>0.79767161903635697</v>
      </c>
      <c r="I89" s="2144">
        <f t="shared" si="48"/>
        <v>0.9522096477271853</v>
      </c>
      <c r="J89" s="2144">
        <f t="shared" si="48"/>
        <v>0.99379033467422384</v>
      </c>
      <c r="K89" s="2144">
        <f t="shared" si="48"/>
        <v>0.99957093966680322</v>
      </c>
      <c r="L89" s="2144">
        <f t="shared" si="48"/>
        <v>0.99998454570311768</v>
      </c>
      <c r="M89" s="2144">
        <f t="shared" si="48"/>
        <v>0.99999971334842808</v>
      </c>
      <c r="N89" s="2144">
        <f t="shared" si="48"/>
        <v>0.99999999728345623</v>
      </c>
      <c r="O89" s="2144">
        <f t="shared" si="48"/>
        <v>0.99999999998691602</v>
      </c>
    </row>
    <row r="90" spans="2:15" ht="12.75" customHeight="1">
      <c r="D90" s="2143">
        <f t="shared" si="49"/>
        <v>4</v>
      </c>
      <c r="E90" s="2273">
        <v>1.2</v>
      </c>
      <c r="F90" s="2144">
        <f t="shared" si="48"/>
        <v>0.10564977366685525</v>
      </c>
      <c r="G90" s="2144">
        <f t="shared" si="48"/>
        <v>0.33846111951068963</v>
      </c>
      <c r="H90" s="2144">
        <f t="shared" si="48"/>
        <v>0.66153888048931031</v>
      </c>
      <c r="I90" s="2144">
        <f t="shared" si="48"/>
        <v>0.89435022633314476</v>
      </c>
      <c r="J90" s="2144">
        <f t="shared" si="48"/>
        <v>0.98138957481011369</v>
      </c>
      <c r="K90" s="2144">
        <f t="shared" si="48"/>
        <v>0.9982310317608889</v>
      </c>
      <c r="L90" s="2144">
        <f t="shared" si="48"/>
        <v>0.99991158271479919</v>
      </c>
      <c r="M90" s="2144">
        <f t="shared" si="48"/>
        <v>0.99999771189171305</v>
      </c>
      <c r="N90" s="2144">
        <f t="shared" si="48"/>
        <v>0.9999999696398052</v>
      </c>
      <c r="O90" s="2144">
        <f t="shared" si="48"/>
        <v>0.99999999979477361</v>
      </c>
    </row>
    <row r="91" spans="2:15" ht="12.75" customHeight="1">
      <c r="D91" s="2143">
        <f t="shared" si="49"/>
        <v>5</v>
      </c>
      <c r="E91" s="2273">
        <v>1.5</v>
      </c>
      <c r="F91" s="2144">
        <f t="shared" si="48"/>
        <v>9.1211219725867876E-2</v>
      </c>
      <c r="G91" s="2144">
        <f t="shared" si="48"/>
        <v>0.25249253754692291</v>
      </c>
      <c r="H91" s="2144">
        <f t="shared" si="48"/>
        <v>0.5</v>
      </c>
      <c r="I91" s="2144">
        <f t="shared" si="48"/>
        <v>0.74750746245307709</v>
      </c>
      <c r="J91" s="2144">
        <f t="shared" si="48"/>
        <v>0.90878878027413212</v>
      </c>
      <c r="K91" s="2144">
        <f t="shared" si="48"/>
        <v>0.97724986805182079</v>
      </c>
      <c r="L91" s="2144">
        <f t="shared" si="48"/>
        <v>0.99616961943241022</v>
      </c>
      <c r="M91" s="2144">
        <f t="shared" si="48"/>
        <v>0.99957093966680322</v>
      </c>
      <c r="N91" s="2144">
        <f t="shared" si="48"/>
        <v>0.99996832875816688</v>
      </c>
      <c r="O91" s="2144">
        <f t="shared" si="48"/>
        <v>0.99999846937326342</v>
      </c>
    </row>
    <row r="92" spans="2:15" ht="12.75" customHeight="1">
      <c r="D92" s="2143">
        <f t="shared" si="49"/>
        <v>6</v>
      </c>
      <c r="E92" s="2273">
        <v>1.5</v>
      </c>
      <c r="F92" s="2144">
        <f t="shared" si="48"/>
        <v>4.7790352272814703E-2</v>
      </c>
      <c r="G92" s="2144">
        <f t="shared" si="48"/>
        <v>0.15865525393145699</v>
      </c>
      <c r="H92" s="2144">
        <f t="shared" si="48"/>
        <v>0.36944134018176361</v>
      </c>
      <c r="I92" s="2144">
        <f t="shared" si="48"/>
        <v>0.63055865981823644</v>
      </c>
      <c r="J92" s="2144">
        <f t="shared" si="48"/>
        <v>0.84134474606854304</v>
      </c>
      <c r="K92" s="2144">
        <f t="shared" si="48"/>
        <v>0.9522096477271853</v>
      </c>
      <c r="L92" s="2144">
        <f t="shared" si="48"/>
        <v>0.99018467137135469</v>
      </c>
      <c r="M92" s="2144">
        <f t="shared" si="48"/>
        <v>0.9986501019683699</v>
      </c>
      <c r="N92" s="2144">
        <f t="shared" si="48"/>
        <v>0.99987713361003483</v>
      </c>
      <c r="O92" s="2144">
        <f t="shared" si="48"/>
        <v>0.9999926565761631</v>
      </c>
    </row>
    <row r="93" spans="2:15" ht="12.75" customHeight="1">
      <c r="D93" s="2143">
        <f t="shared" si="49"/>
        <v>7</v>
      </c>
      <c r="E93" s="2273">
        <v>1.8</v>
      </c>
      <c r="F93" s="2144">
        <f t="shared" si="48"/>
        <v>4.7790352272814703E-2</v>
      </c>
      <c r="G93" s="2144">
        <f t="shared" si="48"/>
        <v>0.13326026290250542</v>
      </c>
      <c r="H93" s="2144">
        <f t="shared" si="48"/>
        <v>0.28925736075397196</v>
      </c>
      <c r="I93" s="2144">
        <f t="shared" si="48"/>
        <v>0.5</v>
      </c>
      <c r="J93" s="2144">
        <f t="shared" si="48"/>
        <v>0.7107426392460281</v>
      </c>
      <c r="K93" s="2144">
        <f t="shared" si="48"/>
        <v>0.86673973709749452</v>
      </c>
      <c r="L93" s="2144">
        <f t="shared" si="48"/>
        <v>0.9522096477271853</v>
      </c>
      <c r="M93" s="2144">
        <f t="shared" si="48"/>
        <v>0.98686585430897888</v>
      </c>
      <c r="N93" s="2144">
        <f t="shared" si="48"/>
        <v>0.99726339821375587</v>
      </c>
      <c r="O93" s="2144">
        <f t="shared" si="48"/>
        <v>0.99957093966680322</v>
      </c>
    </row>
    <row r="94" spans="2:15" ht="12.75" customHeight="1">
      <c r="D94" s="2274" t="s">
        <v>2816</v>
      </c>
      <c r="E94" s="2275"/>
      <c r="F94" s="2276">
        <f>VLOOKUP($C83,$D$12:$O$18,COLUMNS($D86:F86),FALSE)</f>
        <v>4.7790352272814703E-2</v>
      </c>
      <c r="G94" s="2277">
        <f>VLOOKUP($C83,$D$12:$O$18,COLUMNS($D86:G86),FALSE)</f>
        <v>0.15865525393145699</v>
      </c>
      <c r="H94" s="2277">
        <f>VLOOKUP($C83,$D$12:$O$18,COLUMNS($D86:H86),FALSE)</f>
        <v>0.36944134018176361</v>
      </c>
      <c r="I94" s="2277">
        <f>VLOOKUP($C83,$D$12:$O$18,COLUMNS($D86:I86),FALSE)</f>
        <v>0.63055865981823644</v>
      </c>
      <c r="J94" s="2277">
        <f>VLOOKUP($C83,$D$12:$O$18,COLUMNS($D86:J86),FALSE)</f>
        <v>0.84134474606854304</v>
      </c>
      <c r="K94" s="2277">
        <f>VLOOKUP($C83,$D$12:$O$18,COLUMNS($D86:K86),FALSE)</f>
        <v>0.9522096477271853</v>
      </c>
      <c r="L94" s="2277">
        <f>VLOOKUP($C83,$D$12:$O$18,COLUMNS($D86:L86),FALSE)</f>
        <v>0.99018467137135469</v>
      </c>
      <c r="M94" s="2277">
        <f>VLOOKUP($C83,$D$12:$O$18,COLUMNS($D86:M86),FALSE)</f>
        <v>0.9986501019683699</v>
      </c>
      <c r="N94" s="2277">
        <f>VLOOKUP($C83,$D$12:$O$18,COLUMNS($D86:N86),FALSE)</f>
        <v>0.99987713361003483</v>
      </c>
      <c r="O94" s="2277">
        <f>VLOOKUP($C83,$D$12:$O$18,COLUMNS($D86:O86),FALSE)</f>
        <v>0.9999926565761631</v>
      </c>
    </row>
  </sheetData>
  <conditionalFormatting sqref="G5:O5 G20:O20">
    <cfRule type="expression" dxfId="228" priority="14">
      <formula>#REF!&lt;&gt;G5</formula>
    </cfRule>
  </conditionalFormatting>
  <conditionalFormatting sqref="G6:O9">
    <cfRule type="expression" dxfId="227" priority="13">
      <formula>#REF!&lt;&gt;G6</formula>
    </cfRule>
  </conditionalFormatting>
  <conditionalFormatting sqref="G35:O35">
    <cfRule type="expression" dxfId="226" priority="12">
      <formula>#REF!&lt;&gt;G35</formula>
    </cfRule>
  </conditionalFormatting>
  <conditionalFormatting sqref="G23:O24">
    <cfRule type="expression" dxfId="225" priority="11">
      <formula>#REF!&lt;&gt;G23</formula>
    </cfRule>
  </conditionalFormatting>
  <conditionalFormatting sqref="G96:O96">
    <cfRule type="expression" dxfId="224" priority="10">
      <formula>#REF!&lt;&gt;G96</formula>
    </cfRule>
  </conditionalFormatting>
  <conditionalFormatting sqref="G50:O50">
    <cfRule type="expression" dxfId="223" priority="8">
      <formula>#REF!&lt;&gt;G50</formula>
    </cfRule>
  </conditionalFormatting>
  <conditionalFormatting sqref="G36:O39">
    <cfRule type="expression" dxfId="222" priority="7">
      <formula>#REF!&lt;&gt;G36</formula>
    </cfRule>
  </conditionalFormatting>
  <conditionalFormatting sqref="G65:O65">
    <cfRule type="expression" dxfId="221" priority="6">
      <formula>#REF!&lt;&gt;G65</formula>
    </cfRule>
  </conditionalFormatting>
  <conditionalFormatting sqref="G53:O54">
    <cfRule type="expression" dxfId="220" priority="5">
      <formula>#REF!&lt;&gt;G53</formula>
    </cfRule>
  </conditionalFormatting>
  <conditionalFormatting sqref="G80:O80">
    <cfRule type="expression" dxfId="219" priority="4">
      <formula>#REF!&lt;&gt;G80</formula>
    </cfRule>
  </conditionalFormatting>
  <conditionalFormatting sqref="G66:O69">
    <cfRule type="expression" dxfId="218" priority="3">
      <formula>#REF!&lt;&gt;G66</formula>
    </cfRule>
  </conditionalFormatting>
  <conditionalFormatting sqref="G95:O95">
    <cfRule type="expression" dxfId="217" priority="2">
      <formula>#REF!&lt;&gt;G95</formula>
    </cfRule>
  </conditionalFormatting>
  <conditionalFormatting sqref="G83:O84">
    <cfRule type="expression" dxfId="216" priority="1">
      <formula>#REF!&lt;&gt;G83</formula>
    </cfRule>
  </conditionalFormatting>
  <pageMargins left="0.5" right="0.5" top="0.5" bottom="0.5" header="0.5" footer="0.5"/>
  <pageSetup scale="88" fitToWidth="0" fitToHeight="0" orientation="landscape" r:id="rId1"/>
  <rowBreaks count="1" manualBreakCount="1">
    <brk id="49" max="15" man="1"/>
  </rowBreak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Sheet48"/>
  <dimension ref="A1:H45"/>
  <sheetViews>
    <sheetView showGridLines="0" view="pageBreakPreview" zoomScaleNormal="100" zoomScaleSheetLayoutView="100" workbookViewId="0">
      <selection activeCell="D31" sqref="D31"/>
    </sheetView>
  </sheetViews>
  <sheetFormatPr defaultColWidth="10.6640625" defaultRowHeight="12.75" customHeight="1"/>
  <cols>
    <col min="1" max="1" width="4.5" customWidth="1"/>
    <col min="2" max="2" width="3.1640625" customWidth="1"/>
    <col min="3" max="3" width="25.83203125" customWidth="1"/>
    <col min="4" max="7" width="28.83203125" customWidth="1"/>
    <col min="8" max="8" width="4.5" customWidth="1"/>
  </cols>
  <sheetData>
    <row r="1" spans="1:8" ht="8.1" customHeight="1" thickBot="1">
      <c r="A1" s="2544"/>
      <c r="B1" s="2545"/>
      <c r="C1" s="2545"/>
      <c r="D1" s="2545"/>
      <c r="E1" s="2545"/>
      <c r="F1" s="2545"/>
      <c r="G1" s="2545"/>
      <c r="H1" s="2546"/>
    </row>
    <row r="2" spans="1:8" ht="16.5" thickTop="1">
      <c r="A2" s="2547"/>
      <c r="B2" s="10" t="str">
        <f>Outline!$B$2</f>
        <v>Kallyope, Inc.</v>
      </c>
      <c r="C2" s="10"/>
      <c r="D2" s="10"/>
      <c r="E2" s="10"/>
      <c r="F2" s="10"/>
      <c r="G2" s="10"/>
      <c r="H2" s="2548"/>
    </row>
    <row r="3" spans="1:8" ht="15.75">
      <c r="A3" s="2549"/>
      <c r="B3" s="11" t="str">
        <f>VLOOKUP(B4,Outline!$E$8:$G$69,COLUMNS(Outline!$E$8:$G$8),FALSE)</f>
        <v>Workpaper #11</v>
      </c>
      <c r="C3" s="11"/>
      <c r="D3" s="11"/>
      <c r="E3" s="11"/>
      <c r="F3" s="11"/>
      <c r="G3" s="11"/>
      <c r="H3" s="2548"/>
    </row>
    <row r="4" spans="1:8" ht="16.5" thickBot="1">
      <c r="A4" s="2548"/>
      <c r="B4" s="2550" t="s">
        <v>2936</v>
      </c>
      <c r="C4" s="2550"/>
      <c r="D4" s="2550"/>
      <c r="E4" s="2550"/>
      <c r="F4" s="2550"/>
      <c r="G4" s="2550"/>
      <c r="H4" s="2548"/>
    </row>
    <row r="5" spans="1:8" ht="15.75" thickTop="1">
      <c r="A5" s="2548"/>
      <c r="B5" s="2551"/>
      <c r="C5" s="2551"/>
      <c r="D5" s="2552"/>
      <c r="E5" s="2552"/>
      <c r="F5" s="2552"/>
      <c r="G5" s="2552"/>
      <c r="H5" s="2552"/>
    </row>
    <row r="6" spans="1:8" ht="15">
      <c r="A6" s="2548"/>
      <c r="B6" s="2553" t="s">
        <v>2937</v>
      </c>
      <c r="C6" s="2554"/>
      <c r="D6" s="2554"/>
      <c r="E6" s="2554"/>
      <c r="F6" s="2554"/>
      <c r="G6" s="2555"/>
      <c r="H6" s="2141"/>
    </row>
    <row r="7" spans="1:8" ht="3" customHeight="1">
      <c r="A7" s="2139"/>
      <c r="B7" s="2141"/>
      <c r="C7" s="2141"/>
      <c r="D7" s="2141"/>
      <c r="E7" s="2141"/>
      <c r="F7" s="2556"/>
      <c r="G7" s="2556"/>
      <c r="H7" s="2141"/>
    </row>
    <row r="8" spans="1:8" ht="12.75" customHeight="1">
      <c r="A8" s="2139"/>
      <c r="B8" s="2139"/>
      <c r="C8" s="2557" t="s">
        <v>2938</v>
      </c>
      <c r="D8" s="2558" t="s">
        <v>2939</v>
      </c>
      <c r="E8" s="2558"/>
      <c r="F8" s="2558"/>
      <c r="G8" s="2559"/>
      <c r="H8" s="2139"/>
    </row>
    <row r="9" spans="1:8" ht="12.75" customHeight="1">
      <c r="A9" s="2139"/>
      <c r="B9" s="2139"/>
      <c r="C9" s="2560"/>
      <c r="D9" s="2561" t="s">
        <v>2940</v>
      </c>
      <c r="E9" s="2562" t="s">
        <v>2941</v>
      </c>
      <c r="F9" s="2562" t="s">
        <v>2942</v>
      </c>
      <c r="G9" s="2563" t="s">
        <v>160</v>
      </c>
      <c r="H9" s="2139"/>
    </row>
    <row r="10" spans="1:8" ht="14.25" customHeight="1">
      <c r="A10" s="2139"/>
      <c r="B10" s="2139"/>
      <c r="C10" s="2564" t="s">
        <v>2943</v>
      </c>
      <c r="D10" s="2565">
        <v>0.13500000000000001</v>
      </c>
      <c r="E10" s="2565">
        <v>0.13</v>
      </c>
      <c r="F10" s="2565">
        <v>0.13700000000000001</v>
      </c>
      <c r="G10" s="2566">
        <v>0.13600000000000001</v>
      </c>
      <c r="H10" s="2139"/>
    </row>
    <row r="11" spans="1:8" ht="12.75" customHeight="1">
      <c r="A11" s="2139"/>
      <c r="B11" s="2139"/>
      <c r="C11" s="2567" t="s">
        <v>2944</v>
      </c>
      <c r="D11" s="2568">
        <v>0.158</v>
      </c>
      <c r="E11" s="2568">
        <v>0.14000000000000001</v>
      </c>
      <c r="F11" s="2568">
        <v>0.16500000000000001</v>
      </c>
      <c r="G11" s="2569">
        <v>0.16</v>
      </c>
      <c r="H11" s="2139"/>
    </row>
    <row r="12" spans="1:8" ht="12.75" customHeight="1">
      <c r="A12" s="2139"/>
      <c r="B12" s="2139"/>
      <c r="C12" s="2570" t="s">
        <v>2945</v>
      </c>
      <c r="D12" s="2571">
        <v>0.182</v>
      </c>
      <c r="E12" s="2571">
        <v>0.151</v>
      </c>
      <c r="F12" s="2571">
        <v>0.19700000000000001</v>
      </c>
      <c r="G12" s="2572">
        <v>0.186</v>
      </c>
      <c r="H12" s="2139"/>
    </row>
    <row r="13" spans="1:8" ht="12.75" customHeight="1">
      <c r="A13" s="2139"/>
      <c r="B13" s="2139"/>
      <c r="C13" s="2139"/>
      <c r="D13" s="2139"/>
      <c r="E13" s="2139"/>
      <c r="F13" s="2140"/>
      <c r="G13" s="2140"/>
      <c r="H13" s="2139"/>
    </row>
    <row r="14" spans="1:8" ht="12.75" customHeight="1">
      <c r="A14" s="2139"/>
      <c r="B14" s="2139"/>
      <c r="C14" s="2139"/>
      <c r="D14" s="2139"/>
      <c r="E14" s="2139"/>
      <c r="F14" s="2140"/>
      <c r="G14" s="2140"/>
      <c r="H14" s="2139"/>
    </row>
    <row r="15" spans="1:8" ht="12.75" customHeight="1">
      <c r="A15" s="2139"/>
      <c r="B15" s="2139"/>
      <c r="C15" s="2139"/>
      <c r="D15" s="2139"/>
      <c r="E15" s="2139"/>
      <c r="F15" s="2140"/>
      <c r="G15" s="2140"/>
      <c r="H15" s="2139"/>
    </row>
    <row r="16" spans="1:8" ht="12.75" customHeight="1">
      <c r="A16" s="2139"/>
      <c r="B16" s="2139"/>
      <c r="C16" s="2139"/>
      <c r="D16" s="2139"/>
      <c r="E16" s="2139"/>
      <c r="F16" s="2140"/>
      <c r="G16" s="2140"/>
      <c r="H16" s="2139"/>
    </row>
    <row r="17" spans="1:8" ht="12.75" customHeight="1">
      <c r="A17" s="2139"/>
      <c r="B17" s="2139"/>
      <c r="C17" s="2139"/>
      <c r="D17" s="2139"/>
      <c r="E17" s="2139"/>
      <c r="F17" s="2140"/>
      <c r="G17" s="2140"/>
      <c r="H17" s="2139"/>
    </row>
    <row r="18" spans="1:8" ht="12.75" customHeight="1">
      <c r="A18" s="2139"/>
      <c r="B18" s="2139"/>
      <c r="C18" s="2139"/>
      <c r="D18" s="2139"/>
      <c r="E18" s="2139"/>
      <c r="F18" s="2140"/>
      <c r="G18" s="2140"/>
      <c r="H18" s="2139"/>
    </row>
    <row r="19" spans="1:8" ht="12.75" customHeight="1">
      <c r="A19" s="2139"/>
      <c r="B19" s="2139"/>
      <c r="C19" s="2139"/>
      <c r="D19" s="2139"/>
      <c r="E19" s="2139"/>
      <c r="F19" s="2140"/>
      <c r="G19" s="2140"/>
      <c r="H19" s="2139"/>
    </row>
    <row r="20" spans="1:8" ht="12.75" customHeight="1">
      <c r="A20" s="2139"/>
      <c r="B20" s="2139"/>
      <c r="C20" s="2139"/>
      <c r="D20" s="2139"/>
      <c r="E20" s="2139"/>
      <c r="F20" s="2140"/>
      <c r="G20" s="2140"/>
      <c r="H20" s="2139"/>
    </row>
    <row r="21" spans="1:8" ht="12.75" customHeight="1">
      <c r="A21" s="2139"/>
      <c r="B21" s="2139"/>
      <c r="C21" s="2139"/>
      <c r="D21" s="2139"/>
      <c r="E21" s="2139"/>
      <c r="F21" s="2140"/>
      <c r="G21" s="2140"/>
      <c r="H21" s="2139"/>
    </row>
    <row r="22" spans="1:8" ht="12.75" customHeight="1">
      <c r="A22" s="2139"/>
      <c r="B22" s="2139"/>
      <c r="C22" s="2139"/>
      <c r="D22" s="2139"/>
      <c r="E22" s="2139"/>
      <c r="F22" s="2140"/>
      <c r="G22" s="2140"/>
      <c r="H22" s="2139"/>
    </row>
    <row r="23" spans="1:8" ht="12.75" customHeight="1">
      <c r="A23" s="2139"/>
      <c r="B23" s="2139"/>
      <c r="C23" s="2139"/>
      <c r="D23" s="2139"/>
      <c r="E23" s="2139"/>
      <c r="F23" s="2140"/>
      <c r="G23" s="2140"/>
      <c r="H23" s="2139"/>
    </row>
    <row r="24" spans="1:8" ht="12.75" customHeight="1">
      <c r="A24" s="2139"/>
      <c r="B24" s="2139"/>
      <c r="C24" s="2139"/>
      <c r="D24" s="2139"/>
      <c r="E24" s="2139"/>
      <c r="F24" s="2140"/>
      <c r="G24" s="2140"/>
      <c r="H24" s="2139"/>
    </row>
    <row r="25" spans="1:8" ht="12.75" customHeight="1">
      <c r="A25" s="2139"/>
      <c r="B25" s="2139"/>
      <c r="C25" s="2139"/>
      <c r="D25" s="2139"/>
      <c r="E25" s="2139"/>
      <c r="F25" s="2140"/>
      <c r="G25" s="2140"/>
      <c r="H25" s="2139"/>
    </row>
    <row r="26" spans="1:8" ht="12.75" customHeight="1">
      <c r="A26" s="2139"/>
      <c r="B26" s="2139"/>
      <c r="C26" s="2139"/>
      <c r="D26" s="2139"/>
      <c r="E26" s="2139"/>
      <c r="F26" s="2140"/>
      <c r="G26" s="2140"/>
      <c r="H26" s="2139"/>
    </row>
    <row r="27" spans="1:8" ht="12.75" customHeight="1">
      <c r="A27" s="2139"/>
      <c r="B27" s="2139"/>
      <c r="C27" s="2139"/>
      <c r="D27" s="2139"/>
      <c r="E27" s="2139"/>
      <c r="F27" s="2140"/>
      <c r="G27" s="2140"/>
      <c r="H27" s="2139"/>
    </row>
    <row r="28" spans="1:8" ht="12.75" customHeight="1">
      <c r="A28" s="2139"/>
      <c r="B28" s="2139"/>
      <c r="C28" s="2139"/>
      <c r="D28" s="2139"/>
      <c r="E28" s="2139"/>
      <c r="F28" s="2140"/>
      <c r="G28" s="2140"/>
      <c r="H28" s="2139"/>
    </row>
    <row r="29" spans="1:8" ht="6" customHeight="1">
      <c r="A29" s="2139"/>
      <c r="B29" s="2139"/>
      <c r="C29" s="2139"/>
      <c r="D29" s="2139"/>
      <c r="E29" s="2139"/>
      <c r="F29" s="2140"/>
      <c r="G29" s="2140"/>
      <c r="H29" s="2139"/>
    </row>
    <row r="30" spans="1:8" ht="12.75" customHeight="1">
      <c r="A30" s="2139"/>
      <c r="B30" s="2573" t="s">
        <v>2946</v>
      </c>
      <c r="C30" s="2574"/>
      <c r="D30" s="2574"/>
      <c r="E30" s="2574"/>
      <c r="F30" s="2574"/>
      <c r="G30" s="2575"/>
      <c r="H30" s="2139"/>
    </row>
    <row r="31" spans="1:8" ht="3" customHeight="1">
      <c r="A31" s="2139"/>
      <c r="B31" s="2139"/>
      <c r="C31" s="2139"/>
      <c r="D31" s="2139"/>
      <c r="E31" s="2139"/>
      <c r="F31" s="2140"/>
      <c r="G31" s="2140"/>
      <c r="H31" s="2139"/>
    </row>
    <row r="32" spans="1:8" ht="12.75" customHeight="1">
      <c r="A32" s="2139"/>
      <c r="B32" s="2139"/>
      <c r="C32" s="2576" t="s">
        <v>2938</v>
      </c>
      <c r="D32" s="2577" t="s">
        <v>404</v>
      </c>
      <c r="E32" s="2139"/>
      <c r="F32" s="2140"/>
      <c r="G32" s="2140"/>
      <c r="H32" s="2139"/>
    </row>
    <row r="33" spans="1:8" ht="12.75" customHeight="1">
      <c r="A33" s="2139"/>
      <c r="B33" s="2139"/>
      <c r="C33" s="2564" t="s">
        <v>2945</v>
      </c>
      <c r="D33" s="2566" t="s">
        <v>2947</v>
      </c>
      <c r="E33" s="2139"/>
      <c r="F33" s="2140"/>
      <c r="G33" s="2140"/>
      <c r="H33" s="2139"/>
    </row>
    <row r="34" spans="1:8" ht="12.75" customHeight="1">
      <c r="A34" s="2139"/>
      <c r="B34" s="2139"/>
      <c r="C34" s="2567" t="s">
        <v>2944</v>
      </c>
      <c r="D34" s="2569" t="s">
        <v>2948</v>
      </c>
      <c r="E34" s="2139"/>
      <c r="F34" s="2140"/>
      <c r="G34" s="2140"/>
      <c r="H34" s="2139"/>
    </row>
    <row r="35" spans="1:8" ht="12.75" customHeight="1">
      <c r="A35" s="2139"/>
      <c r="B35" s="2139"/>
      <c r="C35" s="2570" t="s">
        <v>2943</v>
      </c>
      <c r="D35" s="2572" t="s">
        <v>2949</v>
      </c>
      <c r="E35" s="2139"/>
      <c r="F35" s="2140"/>
      <c r="G35" s="2140"/>
      <c r="H35" s="2139"/>
    </row>
    <row r="36" spans="1:8" ht="12.75" customHeight="1">
      <c r="A36" s="2139"/>
      <c r="B36" s="2139"/>
      <c r="C36" s="2556"/>
      <c r="D36" s="2568"/>
      <c r="E36" s="2139"/>
      <c r="F36" s="2140"/>
      <c r="G36" s="2140"/>
      <c r="H36" s="2139"/>
    </row>
    <row r="37" spans="1:8" ht="12.75" customHeight="1">
      <c r="A37" s="2139"/>
      <c r="B37" s="2553" t="s">
        <v>2950</v>
      </c>
      <c r="C37" s="2578"/>
      <c r="D37" s="2578"/>
      <c r="E37" s="2578"/>
      <c r="F37" s="2578"/>
      <c r="G37" s="2579"/>
      <c r="H37" s="2139"/>
    </row>
    <row r="38" spans="1:8" ht="3" customHeight="1">
      <c r="A38" s="2139"/>
      <c r="B38" s="2139"/>
      <c r="C38" s="2556"/>
      <c r="D38" s="2568"/>
      <c r="E38" s="2139"/>
      <c r="F38" s="2140"/>
      <c r="G38" s="2140"/>
      <c r="H38" s="2139"/>
    </row>
    <row r="39" spans="1:8" ht="12.75" customHeight="1">
      <c r="A39" s="2139"/>
      <c r="B39" s="2139"/>
      <c r="C39" s="2556" t="s">
        <v>2951</v>
      </c>
      <c r="D39" s="2568"/>
      <c r="E39" s="2139"/>
      <c r="F39" s="2140"/>
      <c r="G39" s="2140"/>
      <c r="H39" s="2139"/>
    </row>
    <row r="40" spans="1:8" ht="12.75" customHeight="1">
      <c r="A40" s="2139"/>
      <c r="B40" s="2139"/>
      <c r="C40" s="2556"/>
      <c r="D40" s="2568"/>
      <c r="E40" s="2139"/>
      <c r="F40" s="2140"/>
      <c r="G40" s="2140"/>
      <c r="H40" s="2139"/>
    </row>
    <row r="41" spans="1:8" ht="12.75" customHeight="1">
      <c r="A41" s="405"/>
      <c r="B41" s="910" t="s">
        <v>86</v>
      </c>
      <c r="C41" s="405"/>
      <c r="D41" s="405"/>
      <c r="E41" s="405"/>
      <c r="F41" s="405"/>
      <c r="G41" s="405"/>
      <c r="H41" s="405"/>
    </row>
    <row r="42" spans="1:8" ht="12.75" customHeight="1">
      <c r="A42" s="2580" t="s">
        <v>210</v>
      </c>
      <c r="B42" s="3256" t="s">
        <v>2952</v>
      </c>
      <c r="C42" s="3256"/>
      <c r="D42" s="3256"/>
      <c r="E42" s="3256"/>
      <c r="F42" s="3256"/>
      <c r="G42" s="3256"/>
      <c r="H42" s="2581"/>
    </row>
    <row r="43" spans="1:8" ht="12.75" customHeight="1">
      <c r="A43" s="2580" t="s">
        <v>209</v>
      </c>
      <c r="B43" s="3256" t="s">
        <v>2953</v>
      </c>
      <c r="C43" s="3256"/>
      <c r="D43" s="3256"/>
      <c r="E43" s="3256"/>
      <c r="F43" s="3256"/>
      <c r="G43" s="3256"/>
      <c r="H43" s="2582"/>
    </row>
    <row r="44" spans="1:8" ht="12.75" customHeight="1">
      <c r="A44" s="2580" t="s">
        <v>246</v>
      </c>
      <c r="B44" s="3256" t="s">
        <v>2954</v>
      </c>
      <c r="C44" s="3256"/>
      <c r="D44" s="3256"/>
      <c r="E44" s="3256"/>
      <c r="F44" s="3256"/>
      <c r="G44" s="3256"/>
      <c r="H44" s="2583"/>
    </row>
    <row r="45" spans="1:8" ht="12.75" customHeight="1">
      <c r="A45" s="2139"/>
      <c r="B45" s="2139"/>
      <c r="C45" s="2139"/>
      <c r="D45" s="2139"/>
      <c r="E45" s="2139"/>
      <c r="F45" s="2140"/>
      <c r="G45" s="2140"/>
      <c r="H45" s="2139"/>
    </row>
  </sheetData>
  <mergeCells count="3">
    <mergeCell ref="B42:G42"/>
    <mergeCell ref="B43:G43"/>
    <mergeCell ref="B44:G44"/>
  </mergeCells>
  <conditionalFormatting sqref="G13:G28 G45 G31:G36 G38:G40">
    <cfRule type="expression" dxfId="215" priority="1">
      <formula>#REF!&lt;&gt;G13</formula>
    </cfRule>
  </conditionalFormatting>
  <pageMargins left="0.5" right="0.5" top="0.5" bottom="0.5" header="0.5" footer="0.5"/>
  <pageSetup orientation="landscape"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B83"/>
  <sheetViews>
    <sheetView showGridLines="0" view="pageBreakPreview" topLeftCell="A7" zoomScaleNormal="100" zoomScaleSheetLayoutView="100" workbookViewId="0">
      <selection activeCell="D31" sqref="D31"/>
    </sheetView>
  </sheetViews>
  <sheetFormatPr defaultRowHeight="12.75"/>
  <cols>
    <col min="1" max="1" width="4.5" style="405" customWidth="1"/>
    <col min="2" max="2" width="46" style="405" customWidth="1"/>
    <col min="3" max="3" width="2.83203125" style="405" customWidth="1"/>
    <col min="4" max="4" width="25.83203125" style="405" customWidth="1"/>
    <col min="5" max="5" width="2.83203125" style="405" customWidth="1"/>
    <col min="6" max="6" width="25.83203125" style="405" customWidth="1"/>
    <col min="7" max="7" width="2.83203125" style="405" customWidth="1"/>
    <col min="8" max="8" width="25.83203125" style="405" customWidth="1"/>
    <col min="9" max="9" width="2.83203125" style="405" customWidth="1"/>
    <col min="10" max="10" width="15.83203125" style="405" customWidth="1"/>
    <col min="11" max="11" width="4.5" style="405" customWidth="1"/>
    <col min="12" max="12" width="17.83203125" style="405" bestFit="1" customWidth="1"/>
    <col min="13" max="13" width="46" style="405" customWidth="1"/>
    <col min="14" max="14" width="9.33203125" style="405"/>
    <col min="15" max="15" width="12" style="405" customWidth="1"/>
    <col min="16" max="16" width="9.33203125" style="405"/>
    <col min="17" max="17" width="13.83203125" style="405" customWidth="1"/>
    <col min="18" max="18" width="15" style="405" customWidth="1"/>
    <col min="19" max="19" width="13.5" style="405" customWidth="1"/>
    <col min="20" max="20" width="36.83203125" style="405" customWidth="1"/>
    <col min="21" max="21" width="17.83203125" style="405" bestFit="1" customWidth="1"/>
    <col min="22" max="22" width="46" style="405" customWidth="1"/>
    <col min="23" max="23" width="9.33203125" style="405"/>
    <col min="24" max="24" width="12" style="405" customWidth="1"/>
    <col min="25" max="25" width="9.33203125" style="405"/>
    <col min="26" max="26" width="13.83203125" style="405" customWidth="1"/>
    <col min="27" max="16384" width="9.33203125" style="405"/>
  </cols>
  <sheetData>
    <row r="1" spans="1:19" s="34" customFormat="1" ht="10.7" customHeight="1" thickBot="1">
      <c r="K1" s="405"/>
      <c r="L1" s="405"/>
      <c r="M1" s="405"/>
      <c r="N1" s="405"/>
      <c r="O1" s="405"/>
      <c r="P1" s="405"/>
    </row>
    <row r="2" spans="1:19" ht="16.5" customHeight="1" thickTop="1">
      <c r="A2" s="34"/>
      <c r="B2" s="10" t="str">
        <f>'MASTER PubCo Inputs'!$C$5</f>
        <v>Kallyope, Inc.</v>
      </c>
      <c r="C2" s="10"/>
      <c r="D2" s="10"/>
      <c r="E2" s="10"/>
      <c r="F2" s="10"/>
      <c r="G2" s="10"/>
      <c r="H2" s="10"/>
      <c r="I2" s="10"/>
      <c r="J2" s="10"/>
    </row>
    <row r="3" spans="1:19" ht="15.75" customHeight="1">
      <c r="A3" s="34"/>
      <c r="B3" s="11" t="str">
        <f>VLOOKUP(B4,Outline!$E$8:$G$69,COLUMNS(Outline!$E$8:$G$8),FALSE)</f>
        <v>Workpaper #12</v>
      </c>
      <c r="C3" s="11"/>
      <c r="D3" s="11"/>
      <c r="E3" s="11"/>
      <c r="F3" s="11"/>
      <c r="G3" s="11"/>
      <c r="H3" s="11"/>
      <c r="I3" s="11"/>
      <c r="J3" s="11"/>
      <c r="P3" s="2587" t="s">
        <v>87</v>
      </c>
      <c r="Q3" s="2588">
        <v>43281</v>
      </c>
      <c r="R3" s="2514"/>
      <c r="S3" s="2591"/>
    </row>
    <row r="4" spans="1:19" ht="16.5" customHeight="1" thickBot="1">
      <c r="A4" s="34"/>
      <c r="B4" s="12" t="s">
        <v>272</v>
      </c>
      <c r="C4" s="12"/>
      <c r="D4" s="12"/>
      <c r="E4" s="12"/>
      <c r="F4" s="12"/>
      <c r="G4" s="12"/>
      <c r="H4" s="12"/>
      <c r="I4" s="13"/>
      <c r="J4" s="13"/>
      <c r="P4" s="705" t="s">
        <v>398</v>
      </c>
      <c r="Q4" s="706" t="s">
        <v>400</v>
      </c>
      <c r="R4" s="16"/>
      <c r="S4" s="204"/>
    </row>
    <row r="5" spans="1:19" s="16" customFormat="1" ht="12" customHeight="1" thickTop="1">
      <c r="B5" s="405"/>
      <c r="C5" s="405"/>
      <c r="D5" s="405"/>
      <c r="E5" s="405"/>
      <c r="F5" s="405"/>
      <c r="G5" s="405"/>
      <c r="H5" s="405"/>
      <c r="I5" s="405"/>
      <c r="J5" s="405"/>
      <c r="K5" s="405"/>
      <c r="P5" s="705" t="s">
        <v>739</v>
      </c>
      <c r="Q5" s="706" t="s">
        <v>740</v>
      </c>
      <c r="S5" s="204"/>
    </row>
    <row r="6" spans="1:19" ht="12.75" customHeight="1">
      <c r="P6" s="705" t="s">
        <v>399</v>
      </c>
      <c r="Q6" s="706" t="s">
        <v>401</v>
      </c>
      <c r="R6" s="16"/>
      <c r="S6" s="204"/>
    </row>
    <row r="7" spans="1:19" s="6" customFormat="1" ht="25.5" customHeight="1">
      <c r="B7" s="456" t="s">
        <v>230</v>
      </c>
      <c r="C7" s="405"/>
      <c r="D7" s="588" t="s">
        <v>226</v>
      </c>
      <c r="E7" s="589"/>
      <c r="F7" s="589" t="s">
        <v>227</v>
      </c>
      <c r="G7" s="589"/>
      <c r="H7" s="590" t="s">
        <v>228</v>
      </c>
      <c r="I7" s="405"/>
      <c r="J7" s="455" t="s">
        <v>70</v>
      </c>
      <c r="L7" s="117" t="s">
        <v>87</v>
      </c>
      <c r="M7" s="118" t="s">
        <v>89</v>
      </c>
      <c r="N7" s="6" t="s">
        <v>90</v>
      </c>
      <c r="P7" s="2589" t="s">
        <v>89</v>
      </c>
      <c r="Q7" s="2590" t="s">
        <v>90</v>
      </c>
      <c r="R7" s="2097"/>
      <c r="S7" s="2592"/>
    </row>
    <row r="8" spans="1:19" ht="12.75" customHeight="1">
      <c r="F8" s="21"/>
      <c r="P8" s="362"/>
      <c r="Q8" s="16"/>
      <c r="R8" s="16"/>
      <c r="S8" s="204"/>
    </row>
    <row r="9" spans="1:19" ht="12.75" customHeight="1">
      <c r="B9" s="17" t="s">
        <v>95</v>
      </c>
      <c r="D9" s="412">
        <f>H23</f>
        <v>3.3004620000000005E-2</v>
      </c>
      <c r="E9" s="18"/>
      <c r="F9" s="412">
        <f>1-F10</f>
        <v>3.3577058934419757E-4</v>
      </c>
      <c r="G9" s="18"/>
      <c r="H9" s="412">
        <f>F9*D9</f>
        <v>1.1081980708481292E-5</v>
      </c>
      <c r="J9" s="3"/>
      <c r="P9" s="362"/>
      <c r="Q9" s="16"/>
      <c r="R9" s="16"/>
      <c r="S9" s="204"/>
    </row>
    <row r="10" spans="1:19" ht="12.75" customHeight="1">
      <c r="B10" s="17" t="s">
        <v>225</v>
      </c>
      <c r="D10" s="412">
        <f>H36</f>
        <v>0.19999641200000001</v>
      </c>
      <c r="E10" s="18"/>
      <c r="F10" s="485">
        <f>R34/R36</f>
        <v>0.9996642294106558</v>
      </c>
      <c r="G10" s="18"/>
      <c r="H10" s="412">
        <f>F10*D10</f>
        <v>0.19992925908687606</v>
      </c>
      <c r="J10" s="3" t="s">
        <v>210</v>
      </c>
      <c r="P10" s="362"/>
      <c r="Q10" s="16"/>
      <c r="R10" s="16"/>
      <c r="S10" s="204"/>
    </row>
    <row r="11" spans="1:19" ht="12.75" customHeight="1">
      <c r="B11" s="5"/>
      <c r="C11" s="5"/>
      <c r="D11" s="19"/>
      <c r="E11" s="19"/>
      <c r="F11" s="19"/>
      <c r="G11" s="19"/>
      <c r="H11" s="19"/>
      <c r="P11" s="362"/>
      <c r="Q11" s="16"/>
      <c r="R11" s="371" t="s">
        <v>94</v>
      </c>
      <c r="S11" s="706" t="s">
        <v>95</v>
      </c>
    </row>
    <row r="12" spans="1:19" ht="12.75" customHeight="1">
      <c r="B12" s="64" t="s">
        <v>242</v>
      </c>
      <c r="C12" s="64"/>
      <c r="D12" s="275"/>
      <c r="E12" s="275"/>
      <c r="F12" s="275"/>
      <c r="G12" s="275"/>
      <c r="H12" s="413">
        <f>SUM(H9:H10)</f>
        <v>0.19994034106758454</v>
      </c>
      <c r="P12" s="2594" t="s">
        <v>2962</v>
      </c>
      <c r="Q12" s="16"/>
      <c r="R12" s="2593" t="e">
        <f ca="1">_xll.ciqfunctions.udf.CIQ(P12, "IQ_MARKETCAP", $Q$3, $Q$6, $Q$7)</f>
        <v>#NAME?</v>
      </c>
      <c r="S12" s="2595" t="e">
        <f ca="1">_xll.ciqfunctions.udf.CIQ(P12, "IQ_TOTAL_DEBT", IQ_LTM, $Q$3,$Q$5, $Q$4, $Q$6, $Q$7)</f>
        <v>#NAME?</v>
      </c>
    </row>
    <row r="13" spans="1:19" ht="12.75" customHeight="1">
      <c r="P13" s="906"/>
      <c r="Q13" s="5"/>
      <c r="R13" s="5"/>
      <c r="S13" s="448"/>
    </row>
    <row r="14" spans="1:19" ht="12.75" customHeight="1">
      <c r="B14" s="29" t="s">
        <v>243</v>
      </c>
      <c r="C14" s="30"/>
      <c r="D14" s="30"/>
      <c r="E14" s="30"/>
      <c r="F14" s="30"/>
      <c r="G14" s="30"/>
      <c r="H14" s="80">
        <f>ROUND(H12,2)</f>
        <v>0.2</v>
      </c>
      <c r="J14" s="411"/>
      <c r="P14" s="2599" t="s">
        <v>2963</v>
      </c>
      <c r="Q14" s="2600"/>
      <c r="R14" s="2601" t="e">
        <f ca="1">SUM(R12:S12)</f>
        <v>#NAME?</v>
      </c>
      <c r="S14" s="2602"/>
    </row>
    <row r="15" spans="1:19" ht="12.75" customHeight="1"/>
    <row r="16" spans="1:19" s="21" customFormat="1" ht="12.75" customHeight="1">
      <c r="B16" s="276" t="s">
        <v>229</v>
      </c>
      <c r="C16" s="277"/>
      <c r="D16" s="277"/>
      <c r="E16" s="277"/>
      <c r="F16" s="277"/>
      <c r="G16" s="277"/>
      <c r="H16" s="278"/>
    </row>
    <row r="17" spans="2:21" ht="12.75" customHeight="1"/>
    <row r="18" spans="2:21" ht="12.75" customHeight="1">
      <c r="B18" s="405" t="s">
        <v>1185</v>
      </c>
      <c r="H18" s="477">
        <f>'YTW Large Pharma'!AE91</f>
        <v>4.1778000000000003E-2</v>
      </c>
      <c r="J18" s="22" t="s">
        <v>209</v>
      </c>
      <c r="L18" s="405" t="s">
        <v>244</v>
      </c>
      <c r="M18" s="18">
        <f>'Capital IQ Sheet-GPC'!C71</f>
        <v>4.8399999999999999E-2</v>
      </c>
      <c r="P18" s="89"/>
      <c r="Q18" s="2587"/>
      <c r="R18" s="2596">
        <v>5</v>
      </c>
      <c r="S18" s="2596">
        <v>2</v>
      </c>
      <c r="T18" s="2597">
        <v>1</v>
      </c>
      <c r="U18"/>
    </row>
    <row r="19" spans="2:21" ht="12.75" customHeight="1">
      <c r="B19" s="405" t="s">
        <v>2964</v>
      </c>
      <c r="H19" s="2968">
        <f>ERP!E44</f>
        <v>0</v>
      </c>
      <c r="J19" s="22" t="s">
        <v>246</v>
      </c>
      <c r="M19" s="18"/>
      <c r="P19" s="89"/>
      <c r="Q19" s="705"/>
      <c r="R19" s="371"/>
      <c r="S19" s="371"/>
      <c r="T19" s="706"/>
      <c r="U19"/>
    </row>
    <row r="20" spans="2:21" ht="12.75" customHeight="1">
      <c r="B20" s="3003" t="s">
        <v>3657</v>
      </c>
      <c r="C20" s="3003"/>
      <c r="D20" s="3003"/>
      <c r="E20" s="3003"/>
      <c r="F20" s="3003"/>
      <c r="G20" s="3003"/>
      <c r="H20" s="3004">
        <f>SUM(H18:H19)</f>
        <v>4.1778000000000003E-2</v>
      </c>
      <c r="J20" s="22"/>
      <c r="M20" s="18"/>
      <c r="P20" s="89"/>
      <c r="Q20" s="705"/>
      <c r="R20" s="371"/>
      <c r="S20" s="371"/>
      <c r="T20" s="706"/>
      <c r="U20"/>
    </row>
    <row r="21" spans="2:21" ht="12.75" customHeight="1">
      <c r="B21" s="405" t="s">
        <v>231</v>
      </c>
      <c r="H21" s="1262">
        <v>0.21</v>
      </c>
      <c r="J21" s="3" t="s">
        <v>247</v>
      </c>
      <c r="Q21" s="705" t="s">
        <v>1342</v>
      </c>
      <c r="R21" s="371" t="s">
        <v>659</v>
      </c>
      <c r="S21" s="371" t="s">
        <v>660</v>
      </c>
      <c r="T21" s="706" t="s">
        <v>661</v>
      </c>
    </row>
    <row r="22" spans="2:21" ht="12.75" customHeight="1">
      <c r="B22" s="5"/>
      <c r="C22" s="5"/>
      <c r="D22" s="5"/>
      <c r="E22" s="5"/>
      <c r="F22" s="5"/>
      <c r="G22" s="5"/>
      <c r="H22" s="19"/>
      <c r="M22" s="43"/>
      <c r="P22" s="996"/>
      <c r="Q22" s="2598" t="e">
        <f ca="1">_xll.ciqfunctions.udf.CIQ(P12, "IQ_FIRSTPRICINGDATE")</f>
        <v>#NAME?</v>
      </c>
      <c r="R22" s="2102" t="e">
        <f ca="1">_xll.ciqfunctions.udf.CIQ($P12, "IQ_BETA_5YR", $Q$3)</f>
        <v>#NAME?</v>
      </c>
      <c r="S22" s="2102" t="e">
        <f ca="1">_xll.ciqfunctions.udf.CIQ($P12, "IQ_BETA_2YR", $Q$3)</f>
        <v>#NAME?</v>
      </c>
      <c r="T22" s="2103" t="e">
        <f ca="1">_xll.ciqfunctions.udf.CIQ($P12, "IQ_BETA_1YR", $Q$3)</f>
        <v>#NAME?</v>
      </c>
      <c r="U22" s="996"/>
    </row>
    <row r="23" spans="2:21" ht="12.75" customHeight="1">
      <c r="B23" s="64" t="s">
        <v>232</v>
      </c>
      <c r="C23" s="116"/>
      <c r="D23" s="116"/>
      <c r="E23" s="116"/>
      <c r="F23" s="116"/>
      <c r="G23" s="116"/>
      <c r="H23" s="413">
        <f>H20*(1-H21)</f>
        <v>3.3004620000000005E-2</v>
      </c>
      <c r="P23" s="996"/>
      <c r="Q23" s="2586"/>
      <c r="R23" s="996"/>
      <c r="S23" s="996"/>
      <c r="T23" s="996"/>
      <c r="U23" s="95"/>
    </row>
    <row r="24" spans="2:21" ht="12.75" customHeight="1">
      <c r="P24" s="996"/>
      <c r="Q24" s="2586"/>
      <c r="R24" s="2963" t="s">
        <v>3651</v>
      </c>
      <c r="S24" s="996"/>
      <c r="T24" s="996"/>
      <c r="U24" s="95"/>
    </row>
    <row r="25" spans="2:21" ht="12.75" customHeight="1">
      <c r="B25" s="276" t="s">
        <v>233</v>
      </c>
      <c r="C25" s="277"/>
      <c r="D25" s="277"/>
      <c r="E25" s="277"/>
      <c r="F25" s="277"/>
      <c r="G25" s="277"/>
      <c r="H25" s="278"/>
      <c r="P25" s="2587" t="s">
        <v>87</v>
      </c>
      <c r="Q25" s="2588">
        <v>43281</v>
      </c>
      <c r="R25" s="2514"/>
      <c r="S25" s="2591"/>
      <c r="U25" s="95"/>
    </row>
    <row r="26" spans="2:21" ht="12.75" customHeight="1">
      <c r="P26" s="705" t="s">
        <v>398</v>
      </c>
      <c r="Q26" s="706" t="s">
        <v>400</v>
      </c>
      <c r="R26" s="16"/>
      <c r="S26" s="204"/>
    </row>
    <row r="27" spans="2:21" ht="12.75" customHeight="1">
      <c r="B27" s="405" t="s">
        <v>234</v>
      </c>
      <c r="D27" s="21"/>
      <c r="E27" s="21"/>
      <c r="F27" s="21"/>
      <c r="H27" s="486">
        <f>R44</f>
        <v>0.51153000000000004</v>
      </c>
      <c r="J27" s="22" t="s">
        <v>248</v>
      </c>
      <c r="L27" s="405" t="s">
        <v>245</v>
      </c>
      <c r="P27" s="705" t="s">
        <v>739</v>
      </c>
      <c r="Q27" s="706" t="s">
        <v>740</v>
      </c>
      <c r="R27" s="16"/>
      <c r="S27" s="204"/>
      <c r="T27" s="16"/>
    </row>
    <row r="28" spans="2:21" ht="12.75" customHeight="1">
      <c r="B28" s="405" t="s">
        <v>235</v>
      </c>
      <c r="F28" s="23" t="s">
        <v>236</v>
      </c>
      <c r="H28" s="2968">
        <f>H70</f>
        <v>6.0400000000000002E-2</v>
      </c>
      <c r="J28" s="22" t="s">
        <v>273</v>
      </c>
      <c r="P28" s="705" t="s">
        <v>399</v>
      </c>
      <c r="Q28" s="706" t="s">
        <v>401</v>
      </c>
      <c r="R28" s="16"/>
      <c r="S28" s="204"/>
    </row>
    <row r="29" spans="2:21" ht="12.75" customHeight="1">
      <c r="B29" s="405" t="s">
        <v>2964</v>
      </c>
      <c r="F29" s="23"/>
      <c r="H29" s="3002">
        <f>H19</f>
        <v>0</v>
      </c>
      <c r="J29" s="22" t="s">
        <v>246</v>
      </c>
      <c r="P29" s="2589" t="s">
        <v>89</v>
      </c>
      <c r="Q29" s="2590" t="s">
        <v>90</v>
      </c>
      <c r="R29" s="2097"/>
      <c r="S29" s="2592"/>
      <c r="T29" s="6"/>
    </row>
    <row r="30" spans="2:21" ht="12.75" customHeight="1">
      <c r="B30" s="405" t="s">
        <v>238</v>
      </c>
      <c r="F30" s="23" t="s">
        <v>237</v>
      </c>
      <c r="H30" s="180">
        <f>H27*H28</f>
        <v>3.0896412000000005E-2</v>
      </c>
      <c r="P30" s="362"/>
      <c r="Q30" s="16"/>
      <c r="R30" s="16"/>
      <c r="S30" s="204"/>
    </row>
    <row r="31" spans="2:21" ht="12.75" customHeight="1">
      <c r="B31" s="405" t="s">
        <v>72</v>
      </c>
      <c r="H31" s="487">
        <f>'Risk-Free Rates'!$E$18</f>
        <v>2.9100000000000001E-2</v>
      </c>
      <c r="J31" s="411" t="str">
        <f>'Risk-Free Rates'!$B$3</f>
        <v>Exhibit H.8</v>
      </c>
      <c r="P31" s="362"/>
      <c r="Q31" s="16"/>
      <c r="R31" s="16"/>
      <c r="S31" s="204"/>
    </row>
    <row r="32" spans="2:21" ht="12.75" customHeight="1">
      <c r="H32" s="487"/>
      <c r="J32" s="411"/>
      <c r="P32" s="362"/>
      <c r="Q32" s="16"/>
      <c r="R32" s="16"/>
      <c r="S32" s="204"/>
    </row>
    <row r="33" spans="1:20" ht="12.75" customHeight="1">
      <c r="B33" s="405" t="s">
        <v>239</v>
      </c>
      <c r="H33" s="2968">
        <f>H55</f>
        <v>0</v>
      </c>
      <c r="J33" s="22" t="s">
        <v>274</v>
      </c>
      <c r="P33" s="362"/>
      <c r="Q33" s="16"/>
      <c r="R33" s="371" t="s">
        <v>94</v>
      </c>
      <c r="S33" s="706" t="s">
        <v>95</v>
      </c>
    </row>
    <row r="34" spans="1:20" ht="12.75" customHeight="1">
      <c r="B34" s="405" t="s">
        <v>240</v>
      </c>
      <c r="H34" s="2968">
        <v>0.14000000000000001</v>
      </c>
      <c r="J34" s="22" t="s">
        <v>275</v>
      </c>
      <c r="P34" s="2594" t="s">
        <v>2962</v>
      </c>
      <c r="Q34" s="16"/>
      <c r="R34" s="2593">
        <v>112194.50996</v>
      </c>
      <c r="S34" s="2595">
        <v>37.684269999999998</v>
      </c>
    </row>
    <row r="35" spans="1:20" ht="12.75" customHeight="1">
      <c r="B35" s="5"/>
      <c r="C35" s="5"/>
      <c r="D35" s="5"/>
      <c r="E35" s="5"/>
      <c r="F35" s="5"/>
      <c r="G35" s="5"/>
      <c r="H35" s="5"/>
      <c r="P35" s="906" t="s">
        <v>110</v>
      </c>
      <c r="Q35" s="5"/>
      <c r="R35" s="405" t="e">
        <f ca="1">IF(R34-R12=0,0,"Check")</f>
        <v>#NAME?</v>
      </c>
      <c r="S35" s="405" t="e">
        <f ca="1">IF(S34-S12=0,0,"Check")</f>
        <v>#NAME?</v>
      </c>
    </row>
    <row r="36" spans="1:20" ht="12.75" customHeight="1">
      <c r="B36" s="64" t="s">
        <v>241</v>
      </c>
      <c r="C36" s="116"/>
      <c r="D36" s="116"/>
      <c r="E36" s="116"/>
      <c r="F36" s="116"/>
      <c r="G36" s="116"/>
      <c r="H36" s="413">
        <f>SUM(H30:H34)</f>
        <v>0.19999641200000001</v>
      </c>
      <c r="P36" s="2599" t="s">
        <v>2963</v>
      </c>
      <c r="Q36" s="2600"/>
      <c r="R36" s="2601">
        <v>112232.19422999999</v>
      </c>
      <c r="S36" s="2602"/>
    </row>
    <row r="37" spans="1:20" ht="12.75" customHeight="1"/>
    <row r="38" spans="1:20" ht="12.75" customHeight="1">
      <c r="B38" s="8" t="s">
        <v>86</v>
      </c>
      <c r="P38" s="21"/>
      <c r="Q38" s="21"/>
      <c r="R38" s="21"/>
      <c r="S38" s="21"/>
      <c r="T38" s="21"/>
    </row>
    <row r="39" spans="1:20" ht="12.75" customHeight="1">
      <c r="A39" s="752" t="s">
        <v>210</v>
      </c>
      <c r="B39" s="753" t="s">
        <v>3654</v>
      </c>
    </row>
    <row r="40" spans="1:20" ht="12.75" customHeight="1">
      <c r="A40" s="752" t="s">
        <v>209</v>
      </c>
      <c r="B40" s="753" t="s">
        <v>4018</v>
      </c>
      <c r="C40" s="78"/>
      <c r="D40" s="78"/>
      <c r="E40" s="78"/>
      <c r="F40" s="78"/>
      <c r="G40" s="78"/>
      <c r="H40" s="78"/>
      <c r="I40" s="78"/>
      <c r="P40" s="89"/>
      <c r="Q40" s="2587"/>
      <c r="R40" s="2596">
        <v>5</v>
      </c>
      <c r="S40" s="2596">
        <v>2</v>
      </c>
      <c r="T40" s="2597">
        <v>1</v>
      </c>
    </row>
    <row r="41" spans="1:20" ht="12.75" customHeight="1">
      <c r="A41" s="752" t="s">
        <v>246</v>
      </c>
      <c r="B41" s="753" t="s">
        <v>3865</v>
      </c>
      <c r="P41" s="2965" t="s">
        <v>110</v>
      </c>
      <c r="Q41" s="2966"/>
      <c r="R41" s="2966" t="e">
        <f ca="1">IF(R44-R22=0,0,"Check")</f>
        <v>#NAME?</v>
      </c>
      <c r="S41" s="2966" t="e">
        <f ca="1">IF(S44-S22=0,0,"Check")</f>
        <v>#NAME?</v>
      </c>
      <c r="T41" s="2967" t="e">
        <f ca="1">IF(T44-T22=0,0,"Check")</f>
        <v>#NAME?</v>
      </c>
    </row>
    <row r="42" spans="1:20" ht="12.75" customHeight="1">
      <c r="A42" s="752" t="s">
        <v>247</v>
      </c>
      <c r="B42" s="753" t="s">
        <v>4381</v>
      </c>
    </row>
    <row r="43" spans="1:20" ht="12.75" customHeight="1">
      <c r="A43" s="752" t="s">
        <v>248</v>
      </c>
      <c r="B43" s="753" t="s">
        <v>3855</v>
      </c>
      <c r="C43" s="78"/>
      <c r="D43" s="78"/>
      <c r="E43" s="78"/>
      <c r="F43" s="78"/>
      <c r="G43" s="78"/>
      <c r="H43" s="78"/>
      <c r="I43" s="78"/>
      <c r="Q43" s="705" t="s">
        <v>1342</v>
      </c>
      <c r="R43" s="371" t="s">
        <v>659</v>
      </c>
      <c r="S43" s="371" t="s">
        <v>660</v>
      </c>
      <c r="T43" s="706" t="s">
        <v>661</v>
      </c>
    </row>
    <row r="44" spans="1:20" ht="12.75" customHeight="1">
      <c r="A44" s="752" t="s">
        <v>273</v>
      </c>
      <c r="B44" s="753" t="s">
        <v>1554</v>
      </c>
      <c r="P44" s="996"/>
      <c r="Q44" s="2964">
        <v>33605</v>
      </c>
      <c r="R44" s="371">
        <v>0.51153000000000004</v>
      </c>
      <c r="S44" s="371">
        <v>0.58235999999999999</v>
      </c>
      <c r="T44" s="706">
        <v>0.54383999999999999</v>
      </c>
    </row>
    <row r="45" spans="1:20" ht="12.75" customHeight="1">
      <c r="A45" s="752" t="s">
        <v>274</v>
      </c>
      <c r="B45" s="753" t="s">
        <v>3856</v>
      </c>
      <c r="C45" s="78"/>
      <c r="D45" s="78"/>
      <c r="E45" s="78"/>
    </row>
    <row r="46" spans="1:20" ht="12.75" customHeight="1">
      <c r="A46" s="752" t="s">
        <v>275</v>
      </c>
      <c r="B46" s="753" t="s">
        <v>3857</v>
      </c>
    </row>
    <row r="47" spans="1:20" ht="12.75" customHeight="1">
      <c r="A47" s="752"/>
      <c r="B47" s="24"/>
    </row>
    <row r="48" spans="1:20" ht="12.75" customHeight="1">
      <c r="A48" s="719"/>
    </row>
    <row r="49" spans="1:28">
      <c r="A49" s="832" t="s">
        <v>1553</v>
      </c>
      <c r="B49" s="833"/>
      <c r="C49" s="517"/>
      <c r="D49" s="834" t="s">
        <v>1238</v>
      </c>
      <c r="E49" s="517"/>
      <c r="F49" s="834" t="s">
        <v>1239</v>
      </c>
      <c r="G49" s="517"/>
      <c r="H49" s="835" t="s">
        <v>724</v>
      </c>
      <c r="L49" s="832" t="s">
        <v>1240</v>
      </c>
      <c r="M49" s="833"/>
      <c r="N49" s="517"/>
      <c r="O49" s="834" t="s">
        <v>1238</v>
      </c>
      <c r="P49" s="517"/>
      <c r="Q49" s="834" t="s">
        <v>1239</v>
      </c>
      <c r="R49" s="517"/>
      <c r="S49" s="835" t="s">
        <v>724</v>
      </c>
      <c r="U49" s="832" t="s">
        <v>758</v>
      </c>
      <c r="V49" s="833"/>
      <c r="W49" s="517"/>
      <c r="X49" s="834" t="s">
        <v>1238</v>
      </c>
      <c r="Y49" s="517"/>
      <c r="Z49" s="834" t="s">
        <v>1239</v>
      </c>
      <c r="AA49" s="517"/>
      <c r="AB49" s="835" t="s">
        <v>724</v>
      </c>
    </row>
    <row r="50" spans="1:28">
      <c r="A50" s="836" t="s">
        <v>725</v>
      </c>
      <c r="B50" s="837"/>
      <c r="C50" s="16"/>
      <c r="D50" s="838">
        <v>2763.7190000000001</v>
      </c>
      <c r="E50" s="16"/>
      <c r="F50" s="838">
        <v>11978.971</v>
      </c>
      <c r="G50" s="16"/>
      <c r="H50" s="839">
        <v>9.5999999999999992E-3</v>
      </c>
      <c r="L50" s="836" t="s">
        <v>725</v>
      </c>
      <c r="M50" s="837"/>
      <c r="N50" s="16"/>
      <c r="O50" s="838">
        <v>2392.6889999999999</v>
      </c>
      <c r="P50" s="16"/>
      <c r="Q50" s="838">
        <v>10711.194</v>
      </c>
      <c r="R50" s="16"/>
      <c r="S50" s="839">
        <v>1.0200000000000001E-2</v>
      </c>
      <c r="U50" s="836" t="s">
        <v>725</v>
      </c>
      <c r="V50" s="837"/>
      <c r="W50" s="16"/>
      <c r="X50" s="838">
        <v>2090.5659999999998</v>
      </c>
      <c r="Y50" s="16"/>
      <c r="Z50" s="838">
        <v>9611.1869999999999</v>
      </c>
      <c r="AA50" s="16"/>
      <c r="AB50" s="839">
        <v>0.01</v>
      </c>
    </row>
    <row r="51" spans="1:28">
      <c r="A51" s="836" t="s">
        <v>726</v>
      </c>
      <c r="B51" s="837"/>
      <c r="C51" s="16"/>
      <c r="D51" s="838">
        <v>657.70500000000004</v>
      </c>
      <c r="E51" s="16"/>
      <c r="F51" s="838">
        <v>2759.9389999999999</v>
      </c>
      <c r="G51" s="16"/>
      <c r="H51" s="839">
        <v>1.6400000000000001E-2</v>
      </c>
      <c r="L51" s="836" t="s">
        <v>726</v>
      </c>
      <c r="M51" s="837"/>
      <c r="N51" s="16"/>
      <c r="O51" s="838">
        <v>569.279</v>
      </c>
      <c r="P51" s="16"/>
      <c r="Q51" s="838">
        <v>2390.8989999999999</v>
      </c>
      <c r="R51" s="16"/>
      <c r="S51" s="839">
        <v>1.7500000000000002E-2</v>
      </c>
      <c r="U51" s="836" t="s">
        <v>726</v>
      </c>
      <c r="V51" s="837"/>
      <c r="W51" s="16"/>
      <c r="X51" s="838">
        <v>448.50200000000001</v>
      </c>
      <c r="Y51" s="16"/>
      <c r="Z51" s="838">
        <v>2083.6019999999999</v>
      </c>
      <c r="AA51" s="16"/>
      <c r="AB51" s="839">
        <v>1.7000000000000001E-2</v>
      </c>
    </row>
    <row r="52" spans="1:28">
      <c r="A52" s="836" t="s">
        <v>727</v>
      </c>
      <c r="B52" s="837"/>
      <c r="C52" s="16"/>
      <c r="D52" s="838">
        <v>2.5310000000000001</v>
      </c>
      <c r="E52" s="16"/>
      <c r="F52" s="838">
        <v>656.84500000000003</v>
      </c>
      <c r="G52" s="16"/>
      <c r="H52" s="839">
        <v>3.4799999999999998E-2</v>
      </c>
      <c r="L52" s="836" t="s">
        <v>727</v>
      </c>
      <c r="M52" s="837"/>
      <c r="N52" s="16"/>
      <c r="O52" s="838">
        <v>2.516</v>
      </c>
      <c r="P52" s="16"/>
      <c r="Q52" s="838">
        <v>567.84299999999996</v>
      </c>
      <c r="R52" s="16"/>
      <c r="S52" s="839">
        <v>3.6700000000000003E-2</v>
      </c>
      <c r="U52" s="836" t="s">
        <v>727</v>
      </c>
      <c r="V52" s="837"/>
      <c r="W52" s="16"/>
      <c r="X52" s="838">
        <v>1.9630000000000001</v>
      </c>
      <c r="Y52" s="16"/>
      <c r="Z52" s="838">
        <v>448.07900000000001</v>
      </c>
      <c r="AA52" s="16"/>
      <c r="AB52" s="839">
        <v>3.5799999999999998E-2</v>
      </c>
    </row>
    <row r="53" spans="1:28">
      <c r="A53" s="836"/>
      <c r="B53" s="837"/>
      <c r="C53" s="16"/>
      <c r="D53" s="837"/>
      <c r="E53" s="16"/>
      <c r="F53" s="837"/>
      <c r="G53" s="16"/>
      <c r="H53" s="840"/>
      <c r="L53" s="836"/>
      <c r="M53" s="837"/>
      <c r="N53" s="16"/>
      <c r="O53" s="837"/>
      <c r="P53" s="16"/>
      <c r="Q53" s="837"/>
      <c r="R53" s="16"/>
      <c r="S53" s="840"/>
      <c r="U53" s="836"/>
      <c r="V53" s="837"/>
      <c r="W53" s="16"/>
      <c r="X53" s="837"/>
      <c r="Y53" s="16"/>
      <c r="Z53" s="837"/>
      <c r="AA53" s="16"/>
      <c r="AB53" s="840"/>
    </row>
    <row r="54" spans="1:28">
      <c r="A54" s="836" t="s">
        <v>728</v>
      </c>
      <c r="B54" s="837"/>
      <c r="C54" s="16"/>
      <c r="D54" s="837"/>
      <c r="E54" s="16"/>
      <c r="F54" s="837"/>
      <c r="G54" s="16"/>
      <c r="H54" s="840"/>
      <c r="L54" s="836" t="s">
        <v>728</v>
      </c>
      <c r="M54" s="837"/>
      <c r="N54" s="16"/>
      <c r="O54" s="837"/>
      <c r="P54" s="16"/>
      <c r="Q54" s="837"/>
      <c r="R54" s="16"/>
      <c r="S54" s="840"/>
      <c r="U54" s="836" t="s">
        <v>728</v>
      </c>
      <c r="V54" s="837"/>
      <c r="W54" s="16"/>
      <c r="X54" s="837"/>
      <c r="Y54" s="16"/>
      <c r="Z54" s="837"/>
      <c r="AA54" s="16"/>
      <c r="AB54" s="840"/>
    </row>
    <row r="55" spans="1:28">
      <c r="A55" s="836" t="s">
        <v>723</v>
      </c>
      <c r="B55" s="837"/>
      <c r="C55" s="16"/>
      <c r="D55" s="838">
        <v>25142.833999999999</v>
      </c>
      <c r="E55" s="16"/>
      <c r="F55" s="838">
        <v>790050.07299999997</v>
      </c>
      <c r="G55" s="16"/>
      <c r="H55" s="839">
        <v>0</v>
      </c>
      <c r="L55" s="836" t="s">
        <v>723</v>
      </c>
      <c r="M55" s="837"/>
      <c r="N55" s="16"/>
      <c r="O55" s="838">
        <v>24361.659</v>
      </c>
      <c r="P55" s="16"/>
      <c r="Q55" s="838">
        <v>609163.49800000002</v>
      </c>
      <c r="R55" s="16"/>
      <c r="S55" s="839">
        <v>-3.5000000000000001E-3</v>
      </c>
      <c r="U55" s="836" t="s">
        <v>723</v>
      </c>
      <c r="V55" s="837"/>
      <c r="W55" s="16"/>
      <c r="X55" s="838">
        <v>22035.312999999998</v>
      </c>
      <c r="Y55" s="16"/>
      <c r="Z55" s="838">
        <v>629010.25399999996</v>
      </c>
      <c r="AA55" s="16"/>
      <c r="AB55" s="839">
        <v>-3.5999999999999999E-3</v>
      </c>
    </row>
    <row r="56" spans="1:28">
      <c r="A56" s="836">
        <v>2</v>
      </c>
      <c r="B56" s="837"/>
      <c r="C56" s="16"/>
      <c r="D56" s="838">
        <v>12067.589</v>
      </c>
      <c r="E56" s="16"/>
      <c r="F56" s="838">
        <v>25096.258000000002</v>
      </c>
      <c r="G56" s="16"/>
      <c r="H56" s="839">
        <v>5.5999999999999999E-3</v>
      </c>
      <c r="L56" s="836">
        <v>2</v>
      </c>
      <c r="M56" s="837"/>
      <c r="N56" s="16"/>
      <c r="O56" s="838">
        <v>10784.101000000001</v>
      </c>
      <c r="P56" s="16"/>
      <c r="Q56" s="838">
        <v>24233.746999999999</v>
      </c>
      <c r="R56" s="16"/>
      <c r="S56" s="839">
        <v>6.1000000000000004E-3</v>
      </c>
      <c r="U56" s="836">
        <v>2</v>
      </c>
      <c r="V56" s="837"/>
      <c r="W56" s="16"/>
      <c r="X56" s="838">
        <v>9618.0529999999999</v>
      </c>
      <c r="Y56" s="16"/>
      <c r="Z56" s="838">
        <v>21809.433000000001</v>
      </c>
      <c r="AA56" s="16"/>
      <c r="AB56" s="839">
        <v>5.7000000000000002E-3</v>
      </c>
    </row>
    <row r="57" spans="1:28">
      <c r="A57" s="836">
        <v>3</v>
      </c>
      <c r="B57" s="837"/>
      <c r="C57" s="16"/>
      <c r="D57" s="838">
        <v>6557.5190000000002</v>
      </c>
      <c r="F57" s="16">
        <v>11978.971</v>
      </c>
      <c r="G57" s="16"/>
      <c r="H57" s="839">
        <v>8.6999999999999994E-3</v>
      </c>
      <c r="L57" s="836">
        <v>3</v>
      </c>
      <c r="M57" s="837"/>
      <c r="N57" s="16"/>
      <c r="O57" s="838">
        <v>5683.991</v>
      </c>
      <c r="Q57" s="16">
        <v>10711.194</v>
      </c>
      <c r="R57" s="16"/>
      <c r="S57" s="839">
        <v>8.8999999999999999E-3</v>
      </c>
      <c r="U57" s="836">
        <v>3</v>
      </c>
      <c r="V57" s="837"/>
      <c r="W57" s="16"/>
      <c r="X57" s="838">
        <v>5205.8410000000003</v>
      </c>
      <c r="Z57" s="16">
        <v>9611.1869999999999</v>
      </c>
      <c r="AA57" s="16"/>
      <c r="AB57" s="839">
        <v>8.6E-3</v>
      </c>
    </row>
    <row r="58" spans="1:28">
      <c r="A58" s="836">
        <v>4</v>
      </c>
      <c r="B58" s="837"/>
      <c r="C58" s="16"/>
      <c r="D58" s="838">
        <v>4097.96</v>
      </c>
      <c r="F58" s="16">
        <v>6545.5479999999998</v>
      </c>
      <c r="G58" s="16"/>
      <c r="H58" s="839">
        <v>8.9999999999999993E-3</v>
      </c>
      <c r="L58" s="836">
        <v>4</v>
      </c>
      <c r="M58" s="837"/>
      <c r="N58" s="16"/>
      <c r="O58" s="838">
        <v>3520.5659999999998</v>
      </c>
      <c r="Q58" s="16">
        <v>5676.7160000000003</v>
      </c>
      <c r="R58" s="16"/>
      <c r="S58" s="839">
        <v>9.7999999999999997E-3</v>
      </c>
      <c r="U58" s="836">
        <v>4</v>
      </c>
      <c r="V58" s="837"/>
      <c r="W58" s="16"/>
      <c r="X58" s="838">
        <v>3195.8180000000002</v>
      </c>
      <c r="Z58" s="16">
        <v>5199.9520000000002</v>
      </c>
      <c r="AA58" s="16"/>
      <c r="AB58" s="839">
        <v>9.9000000000000008E-3</v>
      </c>
    </row>
    <row r="59" spans="1:28">
      <c r="A59" s="836">
        <v>5</v>
      </c>
      <c r="B59" s="837"/>
      <c r="C59" s="16"/>
      <c r="D59" s="838">
        <v>2763.7190000000001</v>
      </c>
      <c r="E59" s="16"/>
      <c r="F59" s="838">
        <v>4091.971</v>
      </c>
      <c r="G59" s="16"/>
      <c r="H59" s="839">
        <v>1.38E-2</v>
      </c>
      <c r="L59" s="836">
        <v>5</v>
      </c>
      <c r="M59" s="837"/>
      <c r="N59" s="16"/>
      <c r="O59" s="838">
        <v>2392.6889999999999</v>
      </c>
      <c r="P59" s="16"/>
      <c r="Q59" s="838">
        <v>3512.913</v>
      </c>
      <c r="R59" s="16"/>
      <c r="S59" s="839">
        <v>1.5100000000000001E-2</v>
      </c>
      <c r="U59" s="836">
        <v>5</v>
      </c>
      <c r="V59" s="837"/>
      <c r="W59" s="16"/>
      <c r="X59" s="838">
        <v>2090.5659999999998</v>
      </c>
      <c r="Y59" s="16"/>
      <c r="Z59" s="838">
        <v>3187.48</v>
      </c>
      <c r="AA59" s="16"/>
      <c r="AB59" s="839">
        <v>1.49E-2</v>
      </c>
    </row>
    <row r="60" spans="1:28">
      <c r="A60" s="836">
        <v>6</v>
      </c>
      <c r="B60" s="837"/>
      <c r="C60" s="16"/>
      <c r="D60" s="838">
        <v>1815.68</v>
      </c>
      <c r="E60" s="16"/>
      <c r="F60" s="838">
        <v>2759.9389999999999</v>
      </c>
      <c r="G60" s="16"/>
      <c r="H60" s="839">
        <v>1.6E-2</v>
      </c>
      <c r="L60" s="836">
        <v>6</v>
      </c>
      <c r="M60" s="837"/>
      <c r="N60" s="16"/>
      <c r="O60" s="838">
        <v>1571.193</v>
      </c>
      <c r="P60" s="16"/>
      <c r="Q60" s="838">
        <v>2390.8989999999999</v>
      </c>
      <c r="R60" s="16"/>
      <c r="S60" s="839">
        <v>1.66E-2</v>
      </c>
      <c r="U60" s="836">
        <v>6</v>
      </c>
      <c r="V60" s="837"/>
      <c r="W60" s="16"/>
      <c r="X60" s="838">
        <v>1400.931</v>
      </c>
      <c r="Y60" s="16"/>
      <c r="Z60" s="838">
        <v>2083.6419999999998</v>
      </c>
      <c r="AA60" s="16"/>
      <c r="AB60" s="839">
        <v>1.6299999999999999E-2</v>
      </c>
    </row>
    <row r="61" spans="1:28">
      <c r="A61" s="836">
        <v>7</v>
      </c>
      <c r="B61" s="837"/>
      <c r="C61" s="16"/>
      <c r="D61" s="838">
        <v>1175.3689999999999</v>
      </c>
      <c r="E61" s="16"/>
      <c r="F61" s="838">
        <v>1814.568</v>
      </c>
      <c r="G61" s="16"/>
      <c r="H61" s="839">
        <v>1.5800000000000002E-2</v>
      </c>
      <c r="L61" s="836">
        <v>7</v>
      </c>
      <c r="M61" s="837"/>
      <c r="N61" s="16"/>
      <c r="O61" s="838">
        <v>1033.3409999999999</v>
      </c>
      <c r="P61" s="16"/>
      <c r="Q61" s="838">
        <v>1569.9839999999999</v>
      </c>
      <c r="R61" s="16"/>
      <c r="S61" s="839">
        <v>1.72E-2</v>
      </c>
      <c r="U61" s="836">
        <v>7</v>
      </c>
      <c r="V61" s="837"/>
      <c r="W61" s="16"/>
      <c r="X61" s="838">
        <v>845.50900000000001</v>
      </c>
      <c r="Y61" s="16"/>
      <c r="Z61" s="838">
        <v>1400.2080000000001</v>
      </c>
      <c r="AA61" s="16"/>
      <c r="AB61" s="839">
        <v>1.6199999999999999E-2</v>
      </c>
    </row>
    <row r="62" spans="1:28">
      <c r="A62" s="836">
        <v>8</v>
      </c>
      <c r="B62" s="837"/>
      <c r="C62" s="16"/>
      <c r="D62" s="838">
        <v>657.70500000000004</v>
      </c>
      <c r="E62" s="16"/>
      <c r="F62" s="838">
        <v>1170.0630000000001</v>
      </c>
      <c r="G62" s="16"/>
      <c r="H62" s="839">
        <v>1.8800000000000001E-2</v>
      </c>
      <c r="L62" s="836">
        <v>8</v>
      </c>
      <c r="M62" s="837"/>
      <c r="N62" s="16"/>
      <c r="O62" s="838">
        <v>569.279</v>
      </c>
      <c r="P62" s="16"/>
      <c r="Q62" s="838">
        <v>1030.4259999999999</v>
      </c>
      <c r="R62" s="16"/>
      <c r="S62" s="839">
        <v>2.0799999999999999E-2</v>
      </c>
      <c r="U62" s="836">
        <v>8</v>
      </c>
      <c r="V62" s="837"/>
      <c r="W62" s="16"/>
      <c r="X62" s="838">
        <v>448.50200000000001</v>
      </c>
      <c r="Y62" s="16"/>
      <c r="Z62" s="838">
        <v>844.47500000000002</v>
      </c>
      <c r="AA62" s="16"/>
      <c r="AB62" s="839">
        <v>2.0400000000000001E-2</v>
      </c>
    </row>
    <row r="63" spans="1:28">
      <c r="A63" s="836">
        <v>9</v>
      </c>
      <c r="B63" s="837"/>
      <c r="C63" s="16"/>
      <c r="D63" s="838">
        <v>299.39999999999998</v>
      </c>
      <c r="E63" s="16"/>
      <c r="F63" s="838">
        <v>656.84500000000003</v>
      </c>
      <c r="G63" s="16"/>
      <c r="H63" s="839">
        <v>2.5000000000000001E-2</v>
      </c>
      <c r="L63" s="836">
        <v>9</v>
      </c>
      <c r="M63" s="837"/>
      <c r="N63" s="16"/>
      <c r="O63" s="838">
        <v>263.71499999999997</v>
      </c>
      <c r="P63" s="16"/>
      <c r="Q63" s="838">
        <v>567.84299999999996</v>
      </c>
      <c r="R63" s="16"/>
      <c r="S63" s="839">
        <v>2.6800000000000001E-2</v>
      </c>
      <c r="U63" s="836">
        <v>9</v>
      </c>
      <c r="V63" s="837"/>
      <c r="W63" s="16"/>
      <c r="X63" s="838">
        <v>209.88</v>
      </c>
      <c r="Y63" s="16"/>
      <c r="Z63" s="838">
        <v>448.07900000000001</v>
      </c>
      <c r="AA63" s="16"/>
      <c r="AB63" s="839">
        <v>2.5399999999999999E-2</v>
      </c>
    </row>
    <row r="64" spans="1:28">
      <c r="A64" s="836" t="s">
        <v>729</v>
      </c>
      <c r="B64" s="837"/>
      <c r="C64" s="16"/>
      <c r="D64" s="838">
        <v>2.5310000000000001</v>
      </c>
      <c r="E64" s="16"/>
      <c r="F64" s="838">
        <v>299.29000000000002</v>
      </c>
      <c r="G64" s="16"/>
      <c r="H64" s="839">
        <v>5.3699999999999998E-2</v>
      </c>
      <c r="L64" s="836" t="s">
        <v>729</v>
      </c>
      <c r="M64" s="837"/>
      <c r="N64" s="16"/>
      <c r="O64" s="838">
        <v>2.516</v>
      </c>
      <c r="P64" s="16"/>
      <c r="Q64" s="838">
        <v>262.89100000000002</v>
      </c>
      <c r="R64" s="16"/>
      <c r="S64" s="839">
        <v>5.5899999999999998E-2</v>
      </c>
      <c r="U64" s="836" t="s">
        <v>729</v>
      </c>
      <c r="V64" s="837"/>
      <c r="W64" s="16"/>
      <c r="X64" s="838">
        <v>1.9630000000000001</v>
      </c>
      <c r="Y64" s="16"/>
      <c r="Z64" s="838">
        <v>209.40600000000001</v>
      </c>
      <c r="AA64" s="16"/>
      <c r="AB64" s="839">
        <v>5.6000000000000001E-2</v>
      </c>
    </row>
    <row r="65" spans="1:28">
      <c r="A65" s="836"/>
      <c r="B65" s="837"/>
      <c r="C65" s="16"/>
      <c r="D65" s="838"/>
      <c r="E65" s="16"/>
      <c r="F65" s="838"/>
      <c r="G65" s="16"/>
      <c r="H65" s="839"/>
      <c r="L65" s="836"/>
      <c r="M65" s="837"/>
      <c r="N65" s="16"/>
      <c r="O65" s="838"/>
      <c r="P65" s="16"/>
      <c r="Q65" s="838"/>
      <c r="R65" s="16"/>
      <c r="S65" s="839"/>
      <c r="U65" s="836"/>
      <c r="V65" s="837"/>
      <c r="W65" s="16"/>
      <c r="X65" s="838"/>
      <c r="Y65" s="16"/>
      <c r="Z65" s="838"/>
      <c r="AA65" s="16"/>
      <c r="AB65" s="839"/>
    </row>
    <row r="66" spans="1:28">
      <c r="A66" s="836" t="s">
        <v>730</v>
      </c>
      <c r="B66" s="837"/>
      <c r="C66" s="16"/>
      <c r="D66" s="838"/>
      <c r="E66" s="16"/>
      <c r="F66" s="838"/>
      <c r="G66" s="16"/>
      <c r="H66" s="839"/>
      <c r="L66" s="836" t="s">
        <v>730</v>
      </c>
      <c r="M66" s="837"/>
      <c r="N66" s="16"/>
      <c r="O66" s="838"/>
      <c r="P66" s="16"/>
      <c r="Q66" s="838"/>
      <c r="R66" s="16"/>
      <c r="S66" s="839"/>
      <c r="U66" s="836" t="s">
        <v>730</v>
      </c>
      <c r="V66" s="837"/>
      <c r="W66" s="16"/>
      <c r="X66" s="838"/>
      <c r="Y66" s="16"/>
      <c r="Z66" s="838"/>
      <c r="AA66" s="16"/>
      <c r="AB66" s="839"/>
    </row>
    <row r="67" spans="1:28">
      <c r="A67" s="836" t="s">
        <v>731</v>
      </c>
      <c r="B67" s="837"/>
      <c r="C67" s="16"/>
      <c r="D67" s="838">
        <v>166.505</v>
      </c>
      <c r="E67" s="16"/>
      <c r="F67" s="838">
        <v>299.29000000000002</v>
      </c>
      <c r="G67" s="16"/>
      <c r="H67" s="839">
        <v>3.8600000000000002E-2</v>
      </c>
      <c r="L67" s="836" t="s">
        <v>731</v>
      </c>
      <c r="M67" s="837"/>
      <c r="N67" s="16"/>
      <c r="O67" s="838">
        <v>127.29600000000001</v>
      </c>
      <c r="P67" s="16"/>
      <c r="Q67" s="838">
        <v>262.89100000000002</v>
      </c>
      <c r="R67" s="16"/>
      <c r="S67" s="839">
        <v>4.0899999999999999E-2</v>
      </c>
      <c r="U67" s="836" t="s">
        <v>731</v>
      </c>
      <c r="V67" s="837"/>
      <c r="W67" s="16"/>
      <c r="X67" s="838">
        <v>108.962</v>
      </c>
      <c r="Y67" s="16"/>
      <c r="Z67" s="838">
        <v>209.40600000000001</v>
      </c>
      <c r="AA67" s="16"/>
      <c r="AB67" s="839">
        <v>4.0399999999999998E-2</v>
      </c>
    </row>
    <row r="68" spans="1:28">
      <c r="A68" s="841" t="s">
        <v>732</v>
      </c>
      <c r="B68" s="842"/>
      <c r="C68" s="5"/>
      <c r="D68" s="843">
        <v>2.5310000000000001</v>
      </c>
      <c r="E68" s="5"/>
      <c r="F68" s="843">
        <v>166.34899999999999</v>
      </c>
      <c r="G68" s="5"/>
      <c r="H68" s="844">
        <v>8.4099999999999994E-2</v>
      </c>
      <c r="L68" s="841" t="s">
        <v>732</v>
      </c>
      <c r="M68" s="842"/>
      <c r="N68" s="5"/>
      <c r="O68" s="843">
        <v>2.516</v>
      </c>
      <c r="P68" s="5"/>
      <c r="Q68" s="843">
        <v>127.279</v>
      </c>
      <c r="R68" s="5"/>
      <c r="S68" s="844">
        <v>8.6400000000000005E-2</v>
      </c>
      <c r="U68" s="841" t="s">
        <v>732</v>
      </c>
      <c r="V68" s="842"/>
      <c r="W68" s="5"/>
      <c r="X68" s="843">
        <v>1.9630000000000001</v>
      </c>
      <c r="Y68" s="5"/>
      <c r="Z68" s="843">
        <v>108.598</v>
      </c>
      <c r="AA68" s="5"/>
      <c r="AB68" s="844">
        <v>8.7599999999999997E-2</v>
      </c>
    </row>
    <row r="69" spans="1:28">
      <c r="A69" s="518"/>
      <c r="B69" s="516"/>
      <c r="C69" s="516"/>
      <c r="D69" s="516"/>
      <c r="E69" s="516"/>
      <c r="F69" s="516"/>
      <c r="G69" s="516"/>
      <c r="H69" s="447"/>
      <c r="L69" s="518"/>
      <c r="M69" s="516"/>
      <c r="N69" s="516"/>
      <c r="O69" s="516"/>
      <c r="P69" s="516"/>
      <c r="Q69" s="516"/>
      <c r="R69" s="516"/>
      <c r="S69" s="447"/>
      <c r="U69" s="518"/>
      <c r="V69" s="516"/>
      <c r="W69" s="516"/>
      <c r="X69" s="516"/>
      <c r="Y69" s="516"/>
      <c r="Z69" s="516"/>
      <c r="AA69" s="516"/>
      <c r="AB69" s="447"/>
    </row>
    <row r="70" spans="1:28" ht="51">
      <c r="A70" s="82"/>
      <c r="B70" s="519" t="s">
        <v>733</v>
      </c>
      <c r="C70" s="5"/>
      <c r="D70" s="5"/>
      <c r="E70" s="5"/>
      <c r="F70" s="5"/>
      <c r="G70" s="5"/>
      <c r="H70" s="520">
        <v>6.0400000000000002E-2</v>
      </c>
      <c r="L70" s="82"/>
      <c r="M70" s="519" t="s">
        <v>733</v>
      </c>
      <c r="N70" s="5"/>
      <c r="O70" s="5"/>
      <c r="P70" s="5"/>
      <c r="Q70" s="5"/>
      <c r="R70" s="5"/>
      <c r="S70" s="520">
        <v>5.9700000000000003E-2</v>
      </c>
      <c r="U70" s="82"/>
      <c r="V70" s="519" t="s">
        <v>733</v>
      </c>
      <c r="W70" s="5"/>
      <c r="X70" s="5"/>
      <c r="Y70" s="5"/>
      <c r="Z70" s="5"/>
      <c r="AA70" s="5"/>
      <c r="AB70" s="520">
        <v>6.0299999999999999E-2</v>
      </c>
    </row>
    <row r="83" spans="2:2">
      <c r="B83" s="18"/>
    </row>
  </sheetData>
  <conditionalFormatting sqref="I4">
    <cfRule type="cellIs" dxfId="214" priority="4" stopIfTrue="1" operator="equal">
      <formula>"input"</formula>
    </cfRule>
  </conditionalFormatting>
  <conditionalFormatting sqref="I4">
    <cfRule type="cellIs" dxfId="213" priority="3" stopIfTrue="1" operator="equal">
      <formula>"input"</formula>
    </cfRule>
  </conditionalFormatting>
  <conditionalFormatting sqref="B4:H4">
    <cfRule type="cellIs" dxfId="212" priority="5" stopIfTrue="1" operator="equal">
      <formula>"input"</formula>
    </cfRule>
  </conditionalFormatting>
  <conditionalFormatting sqref="J4">
    <cfRule type="cellIs" dxfId="211" priority="2" stopIfTrue="1" operator="equal">
      <formula>"input"</formula>
    </cfRule>
  </conditionalFormatting>
  <conditionalFormatting sqref="J4">
    <cfRule type="cellIs" dxfId="210" priority="1" stopIfTrue="1" operator="equal">
      <formula>"input"</formula>
    </cfRule>
  </conditionalFormatting>
  <dataValidations disablePrompts="1" count="1">
    <dataValidation type="list" allowBlank="1" showInputMessage="1" showErrorMessage="1" sqref="M22">
      <formula1>$B$57:$B$59</formula1>
    </dataValidation>
  </dataValidations>
  <pageMargins left="0.5" right="0.5" top="0.5" bottom="0.5" header="0.5" footer="0.5"/>
  <pageSetup scale="92" orientation="landscape" r:id="rId1"/>
  <legacyDrawingHF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outlinePr summaryBelow="0" summaryRight="0"/>
    <pageSetUpPr autoPageBreaks="0"/>
  </sheetPr>
  <dimension ref="A1:AK127"/>
  <sheetViews>
    <sheetView showGridLines="0" tabSelected="1" view="pageBreakPreview" zoomScale="70" zoomScaleNormal="85" zoomScaleSheetLayoutView="70" workbookViewId="0">
      <pane ySplit="6" topLeftCell="A107" activePane="bottomLeft" state="frozen"/>
      <selection activeCell="D31" sqref="D31"/>
      <selection pane="bottomLeft" activeCell="AF90" sqref="AF90"/>
    </sheetView>
  </sheetViews>
  <sheetFormatPr defaultRowHeight="11.25" outlineLevelCol="1"/>
  <cols>
    <col min="1" max="1" width="4.5" style="3006" customWidth="1"/>
    <col min="2" max="2" width="33.5" style="3007" customWidth="1"/>
    <col min="3" max="3" width="12.5" style="3007" customWidth="1" collapsed="1"/>
    <col min="4" max="4" width="24.33203125" style="3007" hidden="1" customWidth="1" outlineLevel="1"/>
    <col min="5" max="5" width="12.6640625" style="3007" customWidth="1" collapsed="1"/>
    <col min="6" max="6" width="16" style="3007" hidden="1" customWidth="1" outlineLevel="1"/>
    <col min="7" max="8" width="11.6640625" style="3007" customWidth="1"/>
    <col min="9" max="9" width="8.83203125" style="3007" customWidth="1" collapsed="1"/>
    <col min="10" max="10" width="9.83203125" style="3007" hidden="1" customWidth="1" outlineLevel="1"/>
    <col min="11" max="11" width="15" style="3007" customWidth="1" collapsed="1"/>
    <col min="12" max="12" width="15" style="3007" customWidth="1"/>
    <col min="13" max="13" width="13.5" style="3007" customWidth="1"/>
    <col min="14" max="14" width="10.83203125" style="3008" customWidth="1" collapsed="1"/>
    <col min="15" max="15" width="24.33203125" style="3007" hidden="1" customWidth="1" outlineLevel="1"/>
    <col min="16" max="16" width="8.1640625" style="3009" customWidth="1" collapsed="1"/>
    <col min="17" max="17" width="15.6640625" style="3007" hidden="1" customWidth="1" outlineLevel="1"/>
    <col min="18" max="18" width="11.1640625" style="3007" hidden="1" customWidth="1" outlineLevel="1"/>
    <col min="19" max="19" width="24.33203125" style="3007" hidden="1" customWidth="1" outlineLevel="1"/>
    <col min="20" max="21" width="17.33203125" style="3007" hidden="1" customWidth="1" outlineLevel="1"/>
    <col min="22" max="25" width="24.33203125" style="3007" hidden="1" customWidth="1" outlineLevel="1"/>
    <col min="26" max="29" width="19.6640625" style="3007" hidden="1" customWidth="1" outlineLevel="1"/>
    <col min="30" max="30" width="24.33203125" style="3007" hidden="1" customWidth="1" outlineLevel="1"/>
    <col min="31" max="31" width="13.33203125" style="3007" customWidth="1"/>
    <col min="32" max="32" width="9.33203125" style="3010" customWidth="1" collapsed="1"/>
    <col min="33" max="33" width="9.33203125" style="3007" hidden="1" customWidth="1" outlineLevel="1"/>
    <col min="34" max="34" width="9.5" style="3007" hidden="1" customWidth="1" outlineLevel="1"/>
    <col min="35" max="35" width="4.5" style="3007" customWidth="1"/>
    <col min="36" max="37" width="9.33203125" style="3007"/>
    <col min="38" max="38" width="9.83203125" style="3007" bestFit="1" customWidth="1"/>
    <col min="39" max="259" width="9.33203125" style="3007"/>
    <col min="260" max="260" width="0" style="3007" hidden="1" customWidth="1"/>
    <col min="261" max="261" width="19.6640625" style="3007" customWidth="1"/>
    <col min="262" max="265" width="24.33203125" style="3007" customWidth="1"/>
    <col min="266" max="266" width="16.1640625" style="3007" customWidth="1"/>
    <col min="267" max="267" width="20.83203125" style="3007" customWidth="1"/>
    <col min="268" max="268" width="19.6640625" style="3007" customWidth="1"/>
    <col min="269" max="270" width="24.33203125" style="3007" customWidth="1"/>
    <col min="271" max="272" width="16.1640625" style="3007" customWidth="1"/>
    <col min="273" max="273" width="24.33203125" style="3007" customWidth="1"/>
    <col min="274" max="274" width="19.6640625" style="3007" customWidth="1"/>
    <col min="275" max="276" width="24.33203125" style="3007" customWidth="1"/>
    <col min="277" max="278" width="17.33203125" style="3007" customWidth="1"/>
    <col min="279" max="282" width="24.33203125" style="3007" customWidth="1"/>
    <col min="283" max="284" width="16.1640625" style="3007" customWidth="1"/>
    <col min="285" max="288" width="19.6640625" style="3007" customWidth="1"/>
    <col min="289" max="289" width="24.33203125" style="3007" customWidth="1"/>
    <col min="290" max="515" width="9.33203125" style="3007"/>
    <col min="516" max="516" width="0" style="3007" hidden="1" customWidth="1"/>
    <col min="517" max="517" width="19.6640625" style="3007" customWidth="1"/>
    <col min="518" max="521" width="24.33203125" style="3007" customWidth="1"/>
    <col min="522" max="522" width="16.1640625" style="3007" customWidth="1"/>
    <col min="523" max="523" width="20.83203125" style="3007" customWidth="1"/>
    <col min="524" max="524" width="19.6640625" style="3007" customWidth="1"/>
    <col min="525" max="526" width="24.33203125" style="3007" customWidth="1"/>
    <col min="527" max="528" width="16.1640625" style="3007" customWidth="1"/>
    <col min="529" max="529" width="24.33203125" style="3007" customWidth="1"/>
    <col min="530" max="530" width="19.6640625" style="3007" customWidth="1"/>
    <col min="531" max="532" width="24.33203125" style="3007" customWidth="1"/>
    <col min="533" max="534" width="17.33203125" style="3007" customWidth="1"/>
    <col min="535" max="538" width="24.33203125" style="3007" customWidth="1"/>
    <col min="539" max="540" width="16.1640625" style="3007" customWidth="1"/>
    <col min="541" max="544" width="19.6640625" style="3007" customWidth="1"/>
    <col min="545" max="545" width="24.33203125" style="3007" customWidth="1"/>
    <col min="546" max="771" width="9.33203125" style="3007"/>
    <col min="772" max="772" width="0" style="3007" hidden="1" customWidth="1"/>
    <col min="773" max="773" width="19.6640625" style="3007" customWidth="1"/>
    <col min="774" max="777" width="24.33203125" style="3007" customWidth="1"/>
    <col min="778" max="778" width="16.1640625" style="3007" customWidth="1"/>
    <col min="779" max="779" width="20.83203125" style="3007" customWidth="1"/>
    <col min="780" max="780" width="19.6640625" style="3007" customWidth="1"/>
    <col min="781" max="782" width="24.33203125" style="3007" customWidth="1"/>
    <col min="783" max="784" width="16.1640625" style="3007" customWidth="1"/>
    <col min="785" max="785" width="24.33203125" style="3007" customWidth="1"/>
    <col min="786" max="786" width="19.6640625" style="3007" customWidth="1"/>
    <col min="787" max="788" width="24.33203125" style="3007" customWidth="1"/>
    <col min="789" max="790" width="17.33203125" style="3007" customWidth="1"/>
    <col min="791" max="794" width="24.33203125" style="3007" customWidth="1"/>
    <col min="795" max="796" width="16.1640625" style="3007" customWidth="1"/>
    <col min="797" max="800" width="19.6640625" style="3007" customWidth="1"/>
    <col min="801" max="801" width="24.33203125" style="3007" customWidth="1"/>
    <col min="802" max="1027" width="9.33203125" style="3007"/>
    <col min="1028" max="1028" width="0" style="3007" hidden="1" customWidth="1"/>
    <col min="1029" max="1029" width="19.6640625" style="3007" customWidth="1"/>
    <col min="1030" max="1033" width="24.33203125" style="3007" customWidth="1"/>
    <col min="1034" max="1034" width="16.1640625" style="3007" customWidth="1"/>
    <col min="1035" max="1035" width="20.83203125" style="3007" customWidth="1"/>
    <col min="1036" max="1036" width="19.6640625" style="3007" customWidth="1"/>
    <col min="1037" max="1038" width="24.33203125" style="3007" customWidth="1"/>
    <col min="1039" max="1040" width="16.1640625" style="3007" customWidth="1"/>
    <col min="1041" max="1041" width="24.33203125" style="3007" customWidth="1"/>
    <col min="1042" max="1042" width="19.6640625" style="3007" customWidth="1"/>
    <col min="1043" max="1044" width="24.33203125" style="3007" customWidth="1"/>
    <col min="1045" max="1046" width="17.33203125" style="3007" customWidth="1"/>
    <col min="1047" max="1050" width="24.33203125" style="3007" customWidth="1"/>
    <col min="1051" max="1052" width="16.1640625" style="3007" customWidth="1"/>
    <col min="1053" max="1056" width="19.6640625" style="3007" customWidth="1"/>
    <col min="1057" max="1057" width="24.33203125" style="3007" customWidth="1"/>
    <col min="1058" max="1283" width="9.33203125" style="3007"/>
    <col min="1284" max="1284" width="0" style="3007" hidden="1" customWidth="1"/>
    <col min="1285" max="1285" width="19.6640625" style="3007" customWidth="1"/>
    <col min="1286" max="1289" width="24.33203125" style="3007" customWidth="1"/>
    <col min="1290" max="1290" width="16.1640625" style="3007" customWidth="1"/>
    <col min="1291" max="1291" width="20.83203125" style="3007" customWidth="1"/>
    <col min="1292" max="1292" width="19.6640625" style="3007" customWidth="1"/>
    <col min="1293" max="1294" width="24.33203125" style="3007" customWidth="1"/>
    <col min="1295" max="1296" width="16.1640625" style="3007" customWidth="1"/>
    <col min="1297" max="1297" width="24.33203125" style="3007" customWidth="1"/>
    <col min="1298" max="1298" width="19.6640625" style="3007" customWidth="1"/>
    <col min="1299" max="1300" width="24.33203125" style="3007" customWidth="1"/>
    <col min="1301" max="1302" width="17.33203125" style="3007" customWidth="1"/>
    <col min="1303" max="1306" width="24.33203125" style="3007" customWidth="1"/>
    <col min="1307" max="1308" width="16.1640625" style="3007" customWidth="1"/>
    <col min="1309" max="1312" width="19.6640625" style="3007" customWidth="1"/>
    <col min="1313" max="1313" width="24.33203125" style="3007" customWidth="1"/>
    <col min="1314" max="1539" width="9.33203125" style="3007"/>
    <col min="1540" max="1540" width="0" style="3007" hidden="1" customWidth="1"/>
    <col min="1541" max="1541" width="19.6640625" style="3007" customWidth="1"/>
    <col min="1542" max="1545" width="24.33203125" style="3007" customWidth="1"/>
    <col min="1546" max="1546" width="16.1640625" style="3007" customWidth="1"/>
    <col min="1547" max="1547" width="20.83203125" style="3007" customWidth="1"/>
    <col min="1548" max="1548" width="19.6640625" style="3007" customWidth="1"/>
    <col min="1549" max="1550" width="24.33203125" style="3007" customWidth="1"/>
    <col min="1551" max="1552" width="16.1640625" style="3007" customWidth="1"/>
    <col min="1553" max="1553" width="24.33203125" style="3007" customWidth="1"/>
    <col min="1554" max="1554" width="19.6640625" style="3007" customWidth="1"/>
    <col min="1555" max="1556" width="24.33203125" style="3007" customWidth="1"/>
    <col min="1557" max="1558" width="17.33203125" style="3007" customWidth="1"/>
    <col min="1559" max="1562" width="24.33203125" style="3007" customWidth="1"/>
    <col min="1563" max="1564" width="16.1640625" style="3007" customWidth="1"/>
    <col min="1565" max="1568" width="19.6640625" style="3007" customWidth="1"/>
    <col min="1569" max="1569" width="24.33203125" style="3007" customWidth="1"/>
    <col min="1570" max="1795" width="9.33203125" style="3007"/>
    <col min="1796" max="1796" width="0" style="3007" hidden="1" customWidth="1"/>
    <col min="1797" max="1797" width="19.6640625" style="3007" customWidth="1"/>
    <col min="1798" max="1801" width="24.33203125" style="3007" customWidth="1"/>
    <col min="1802" max="1802" width="16.1640625" style="3007" customWidth="1"/>
    <col min="1803" max="1803" width="20.83203125" style="3007" customWidth="1"/>
    <col min="1804" max="1804" width="19.6640625" style="3007" customWidth="1"/>
    <col min="1805" max="1806" width="24.33203125" style="3007" customWidth="1"/>
    <col min="1807" max="1808" width="16.1640625" style="3007" customWidth="1"/>
    <col min="1809" max="1809" width="24.33203125" style="3007" customWidth="1"/>
    <col min="1810" max="1810" width="19.6640625" style="3007" customWidth="1"/>
    <col min="1811" max="1812" width="24.33203125" style="3007" customWidth="1"/>
    <col min="1813" max="1814" width="17.33203125" style="3007" customWidth="1"/>
    <col min="1815" max="1818" width="24.33203125" style="3007" customWidth="1"/>
    <col min="1819" max="1820" width="16.1640625" style="3007" customWidth="1"/>
    <col min="1821" max="1824" width="19.6640625" style="3007" customWidth="1"/>
    <col min="1825" max="1825" width="24.33203125" style="3007" customWidth="1"/>
    <col min="1826" max="2051" width="9.33203125" style="3007"/>
    <col min="2052" max="2052" width="0" style="3007" hidden="1" customWidth="1"/>
    <col min="2053" max="2053" width="19.6640625" style="3007" customWidth="1"/>
    <col min="2054" max="2057" width="24.33203125" style="3007" customWidth="1"/>
    <col min="2058" max="2058" width="16.1640625" style="3007" customWidth="1"/>
    <col min="2059" max="2059" width="20.83203125" style="3007" customWidth="1"/>
    <col min="2060" max="2060" width="19.6640625" style="3007" customWidth="1"/>
    <col min="2061" max="2062" width="24.33203125" style="3007" customWidth="1"/>
    <col min="2063" max="2064" width="16.1640625" style="3007" customWidth="1"/>
    <col min="2065" max="2065" width="24.33203125" style="3007" customWidth="1"/>
    <col min="2066" max="2066" width="19.6640625" style="3007" customWidth="1"/>
    <col min="2067" max="2068" width="24.33203125" style="3007" customWidth="1"/>
    <col min="2069" max="2070" width="17.33203125" style="3007" customWidth="1"/>
    <col min="2071" max="2074" width="24.33203125" style="3007" customWidth="1"/>
    <col min="2075" max="2076" width="16.1640625" style="3007" customWidth="1"/>
    <col min="2077" max="2080" width="19.6640625" style="3007" customWidth="1"/>
    <col min="2081" max="2081" width="24.33203125" style="3007" customWidth="1"/>
    <col min="2082" max="2307" width="9.33203125" style="3007"/>
    <col min="2308" max="2308" width="0" style="3007" hidden="1" customWidth="1"/>
    <col min="2309" max="2309" width="19.6640625" style="3007" customWidth="1"/>
    <col min="2310" max="2313" width="24.33203125" style="3007" customWidth="1"/>
    <col min="2314" max="2314" width="16.1640625" style="3007" customWidth="1"/>
    <col min="2315" max="2315" width="20.83203125" style="3007" customWidth="1"/>
    <col min="2316" max="2316" width="19.6640625" style="3007" customWidth="1"/>
    <col min="2317" max="2318" width="24.33203125" style="3007" customWidth="1"/>
    <col min="2319" max="2320" width="16.1640625" style="3007" customWidth="1"/>
    <col min="2321" max="2321" width="24.33203125" style="3007" customWidth="1"/>
    <col min="2322" max="2322" width="19.6640625" style="3007" customWidth="1"/>
    <col min="2323" max="2324" width="24.33203125" style="3007" customWidth="1"/>
    <col min="2325" max="2326" width="17.33203125" style="3007" customWidth="1"/>
    <col min="2327" max="2330" width="24.33203125" style="3007" customWidth="1"/>
    <col min="2331" max="2332" width="16.1640625" style="3007" customWidth="1"/>
    <col min="2333" max="2336" width="19.6640625" style="3007" customWidth="1"/>
    <col min="2337" max="2337" width="24.33203125" style="3007" customWidth="1"/>
    <col min="2338" max="2563" width="9.33203125" style="3007"/>
    <col min="2564" max="2564" width="0" style="3007" hidden="1" customWidth="1"/>
    <col min="2565" max="2565" width="19.6640625" style="3007" customWidth="1"/>
    <col min="2566" max="2569" width="24.33203125" style="3007" customWidth="1"/>
    <col min="2570" max="2570" width="16.1640625" style="3007" customWidth="1"/>
    <col min="2571" max="2571" width="20.83203125" style="3007" customWidth="1"/>
    <col min="2572" max="2572" width="19.6640625" style="3007" customWidth="1"/>
    <col min="2573" max="2574" width="24.33203125" style="3007" customWidth="1"/>
    <col min="2575" max="2576" width="16.1640625" style="3007" customWidth="1"/>
    <col min="2577" max="2577" width="24.33203125" style="3007" customWidth="1"/>
    <col min="2578" max="2578" width="19.6640625" style="3007" customWidth="1"/>
    <col min="2579" max="2580" width="24.33203125" style="3007" customWidth="1"/>
    <col min="2581" max="2582" width="17.33203125" style="3007" customWidth="1"/>
    <col min="2583" max="2586" width="24.33203125" style="3007" customWidth="1"/>
    <col min="2587" max="2588" width="16.1640625" style="3007" customWidth="1"/>
    <col min="2589" max="2592" width="19.6640625" style="3007" customWidth="1"/>
    <col min="2593" max="2593" width="24.33203125" style="3007" customWidth="1"/>
    <col min="2594" max="2819" width="9.33203125" style="3007"/>
    <col min="2820" max="2820" width="0" style="3007" hidden="1" customWidth="1"/>
    <col min="2821" max="2821" width="19.6640625" style="3007" customWidth="1"/>
    <col min="2822" max="2825" width="24.33203125" style="3007" customWidth="1"/>
    <col min="2826" max="2826" width="16.1640625" style="3007" customWidth="1"/>
    <col min="2827" max="2827" width="20.83203125" style="3007" customWidth="1"/>
    <col min="2828" max="2828" width="19.6640625" style="3007" customWidth="1"/>
    <col min="2829" max="2830" width="24.33203125" style="3007" customWidth="1"/>
    <col min="2831" max="2832" width="16.1640625" style="3007" customWidth="1"/>
    <col min="2833" max="2833" width="24.33203125" style="3007" customWidth="1"/>
    <col min="2834" max="2834" width="19.6640625" style="3007" customWidth="1"/>
    <col min="2835" max="2836" width="24.33203125" style="3007" customWidth="1"/>
    <col min="2837" max="2838" width="17.33203125" style="3007" customWidth="1"/>
    <col min="2839" max="2842" width="24.33203125" style="3007" customWidth="1"/>
    <col min="2843" max="2844" width="16.1640625" style="3007" customWidth="1"/>
    <col min="2845" max="2848" width="19.6640625" style="3007" customWidth="1"/>
    <col min="2849" max="2849" width="24.33203125" style="3007" customWidth="1"/>
    <col min="2850" max="3075" width="9.33203125" style="3007"/>
    <col min="3076" max="3076" width="0" style="3007" hidden="1" customWidth="1"/>
    <col min="3077" max="3077" width="19.6640625" style="3007" customWidth="1"/>
    <col min="3078" max="3081" width="24.33203125" style="3007" customWidth="1"/>
    <col min="3082" max="3082" width="16.1640625" style="3007" customWidth="1"/>
    <col min="3083" max="3083" width="20.83203125" style="3007" customWidth="1"/>
    <col min="3084" max="3084" width="19.6640625" style="3007" customWidth="1"/>
    <col min="3085" max="3086" width="24.33203125" style="3007" customWidth="1"/>
    <col min="3087" max="3088" width="16.1640625" style="3007" customWidth="1"/>
    <col min="3089" max="3089" width="24.33203125" style="3007" customWidth="1"/>
    <col min="3090" max="3090" width="19.6640625" style="3007" customWidth="1"/>
    <col min="3091" max="3092" width="24.33203125" style="3007" customWidth="1"/>
    <col min="3093" max="3094" width="17.33203125" style="3007" customWidth="1"/>
    <col min="3095" max="3098" width="24.33203125" style="3007" customWidth="1"/>
    <col min="3099" max="3100" width="16.1640625" style="3007" customWidth="1"/>
    <col min="3101" max="3104" width="19.6640625" style="3007" customWidth="1"/>
    <col min="3105" max="3105" width="24.33203125" style="3007" customWidth="1"/>
    <col min="3106" max="3331" width="9.33203125" style="3007"/>
    <col min="3332" max="3332" width="0" style="3007" hidden="1" customWidth="1"/>
    <col min="3333" max="3333" width="19.6640625" style="3007" customWidth="1"/>
    <col min="3334" max="3337" width="24.33203125" style="3007" customWidth="1"/>
    <col min="3338" max="3338" width="16.1640625" style="3007" customWidth="1"/>
    <col min="3339" max="3339" width="20.83203125" style="3007" customWidth="1"/>
    <col min="3340" max="3340" width="19.6640625" style="3007" customWidth="1"/>
    <col min="3341" max="3342" width="24.33203125" style="3007" customWidth="1"/>
    <col min="3343" max="3344" width="16.1640625" style="3007" customWidth="1"/>
    <col min="3345" max="3345" width="24.33203125" style="3007" customWidth="1"/>
    <col min="3346" max="3346" width="19.6640625" style="3007" customWidth="1"/>
    <col min="3347" max="3348" width="24.33203125" style="3007" customWidth="1"/>
    <col min="3349" max="3350" width="17.33203125" style="3007" customWidth="1"/>
    <col min="3351" max="3354" width="24.33203125" style="3007" customWidth="1"/>
    <col min="3355" max="3356" width="16.1640625" style="3007" customWidth="1"/>
    <col min="3357" max="3360" width="19.6640625" style="3007" customWidth="1"/>
    <col min="3361" max="3361" width="24.33203125" style="3007" customWidth="1"/>
    <col min="3362" max="3587" width="9.33203125" style="3007"/>
    <col min="3588" max="3588" width="0" style="3007" hidden="1" customWidth="1"/>
    <col min="3589" max="3589" width="19.6640625" style="3007" customWidth="1"/>
    <col min="3590" max="3593" width="24.33203125" style="3007" customWidth="1"/>
    <col min="3594" max="3594" width="16.1640625" style="3007" customWidth="1"/>
    <col min="3595" max="3595" width="20.83203125" style="3007" customWidth="1"/>
    <col min="3596" max="3596" width="19.6640625" style="3007" customWidth="1"/>
    <col min="3597" max="3598" width="24.33203125" style="3007" customWidth="1"/>
    <col min="3599" max="3600" width="16.1640625" style="3007" customWidth="1"/>
    <col min="3601" max="3601" width="24.33203125" style="3007" customWidth="1"/>
    <col min="3602" max="3602" width="19.6640625" style="3007" customWidth="1"/>
    <col min="3603" max="3604" width="24.33203125" style="3007" customWidth="1"/>
    <col min="3605" max="3606" width="17.33203125" style="3007" customWidth="1"/>
    <col min="3607" max="3610" width="24.33203125" style="3007" customWidth="1"/>
    <col min="3611" max="3612" width="16.1640625" style="3007" customWidth="1"/>
    <col min="3613" max="3616" width="19.6640625" style="3007" customWidth="1"/>
    <col min="3617" max="3617" width="24.33203125" style="3007" customWidth="1"/>
    <col min="3618" max="3843" width="9.33203125" style="3007"/>
    <col min="3844" max="3844" width="0" style="3007" hidden="1" customWidth="1"/>
    <col min="3845" max="3845" width="19.6640625" style="3007" customWidth="1"/>
    <col min="3846" max="3849" width="24.33203125" style="3007" customWidth="1"/>
    <col min="3850" max="3850" width="16.1640625" style="3007" customWidth="1"/>
    <col min="3851" max="3851" width="20.83203125" style="3007" customWidth="1"/>
    <col min="3852" max="3852" width="19.6640625" style="3007" customWidth="1"/>
    <col min="3853" max="3854" width="24.33203125" style="3007" customWidth="1"/>
    <col min="3855" max="3856" width="16.1640625" style="3007" customWidth="1"/>
    <col min="3857" max="3857" width="24.33203125" style="3007" customWidth="1"/>
    <col min="3858" max="3858" width="19.6640625" style="3007" customWidth="1"/>
    <col min="3859" max="3860" width="24.33203125" style="3007" customWidth="1"/>
    <col min="3861" max="3862" width="17.33203125" style="3007" customWidth="1"/>
    <col min="3863" max="3866" width="24.33203125" style="3007" customWidth="1"/>
    <col min="3867" max="3868" width="16.1640625" style="3007" customWidth="1"/>
    <col min="3869" max="3872" width="19.6640625" style="3007" customWidth="1"/>
    <col min="3873" max="3873" width="24.33203125" style="3007" customWidth="1"/>
    <col min="3874" max="4099" width="9.33203125" style="3007"/>
    <col min="4100" max="4100" width="0" style="3007" hidden="1" customWidth="1"/>
    <col min="4101" max="4101" width="19.6640625" style="3007" customWidth="1"/>
    <col min="4102" max="4105" width="24.33203125" style="3007" customWidth="1"/>
    <col min="4106" max="4106" width="16.1640625" style="3007" customWidth="1"/>
    <col min="4107" max="4107" width="20.83203125" style="3007" customWidth="1"/>
    <col min="4108" max="4108" width="19.6640625" style="3007" customWidth="1"/>
    <col min="4109" max="4110" width="24.33203125" style="3007" customWidth="1"/>
    <col min="4111" max="4112" width="16.1640625" style="3007" customWidth="1"/>
    <col min="4113" max="4113" width="24.33203125" style="3007" customWidth="1"/>
    <col min="4114" max="4114" width="19.6640625" style="3007" customWidth="1"/>
    <col min="4115" max="4116" width="24.33203125" style="3007" customWidth="1"/>
    <col min="4117" max="4118" width="17.33203125" style="3007" customWidth="1"/>
    <col min="4119" max="4122" width="24.33203125" style="3007" customWidth="1"/>
    <col min="4123" max="4124" width="16.1640625" style="3007" customWidth="1"/>
    <col min="4125" max="4128" width="19.6640625" style="3007" customWidth="1"/>
    <col min="4129" max="4129" width="24.33203125" style="3007" customWidth="1"/>
    <col min="4130" max="4355" width="9.33203125" style="3007"/>
    <col min="4356" max="4356" width="0" style="3007" hidden="1" customWidth="1"/>
    <col min="4357" max="4357" width="19.6640625" style="3007" customWidth="1"/>
    <col min="4358" max="4361" width="24.33203125" style="3007" customWidth="1"/>
    <col min="4362" max="4362" width="16.1640625" style="3007" customWidth="1"/>
    <col min="4363" max="4363" width="20.83203125" style="3007" customWidth="1"/>
    <col min="4364" max="4364" width="19.6640625" style="3007" customWidth="1"/>
    <col min="4365" max="4366" width="24.33203125" style="3007" customWidth="1"/>
    <col min="4367" max="4368" width="16.1640625" style="3007" customWidth="1"/>
    <col min="4369" max="4369" width="24.33203125" style="3007" customWidth="1"/>
    <col min="4370" max="4370" width="19.6640625" style="3007" customWidth="1"/>
    <col min="4371" max="4372" width="24.33203125" style="3007" customWidth="1"/>
    <col min="4373" max="4374" width="17.33203125" style="3007" customWidth="1"/>
    <col min="4375" max="4378" width="24.33203125" style="3007" customWidth="1"/>
    <col min="4379" max="4380" width="16.1640625" style="3007" customWidth="1"/>
    <col min="4381" max="4384" width="19.6640625" style="3007" customWidth="1"/>
    <col min="4385" max="4385" width="24.33203125" style="3007" customWidth="1"/>
    <col min="4386" max="4611" width="9.33203125" style="3007"/>
    <col min="4612" max="4612" width="0" style="3007" hidden="1" customWidth="1"/>
    <col min="4613" max="4613" width="19.6640625" style="3007" customWidth="1"/>
    <col min="4614" max="4617" width="24.33203125" style="3007" customWidth="1"/>
    <col min="4618" max="4618" width="16.1640625" style="3007" customWidth="1"/>
    <col min="4619" max="4619" width="20.83203125" style="3007" customWidth="1"/>
    <col min="4620" max="4620" width="19.6640625" style="3007" customWidth="1"/>
    <col min="4621" max="4622" width="24.33203125" style="3007" customWidth="1"/>
    <col min="4623" max="4624" width="16.1640625" style="3007" customWidth="1"/>
    <col min="4625" max="4625" width="24.33203125" style="3007" customWidth="1"/>
    <col min="4626" max="4626" width="19.6640625" style="3007" customWidth="1"/>
    <col min="4627" max="4628" width="24.33203125" style="3007" customWidth="1"/>
    <col min="4629" max="4630" width="17.33203125" style="3007" customWidth="1"/>
    <col min="4631" max="4634" width="24.33203125" style="3007" customWidth="1"/>
    <col min="4635" max="4636" width="16.1640625" style="3007" customWidth="1"/>
    <col min="4637" max="4640" width="19.6640625" style="3007" customWidth="1"/>
    <col min="4641" max="4641" width="24.33203125" style="3007" customWidth="1"/>
    <col min="4642" max="4867" width="9.33203125" style="3007"/>
    <col min="4868" max="4868" width="0" style="3007" hidden="1" customWidth="1"/>
    <col min="4869" max="4869" width="19.6640625" style="3007" customWidth="1"/>
    <col min="4870" max="4873" width="24.33203125" style="3007" customWidth="1"/>
    <col min="4874" max="4874" width="16.1640625" style="3007" customWidth="1"/>
    <col min="4875" max="4875" width="20.83203125" style="3007" customWidth="1"/>
    <col min="4876" max="4876" width="19.6640625" style="3007" customWidth="1"/>
    <col min="4877" max="4878" width="24.33203125" style="3007" customWidth="1"/>
    <col min="4879" max="4880" width="16.1640625" style="3007" customWidth="1"/>
    <col min="4881" max="4881" width="24.33203125" style="3007" customWidth="1"/>
    <col min="4882" max="4882" width="19.6640625" style="3007" customWidth="1"/>
    <col min="4883" max="4884" width="24.33203125" style="3007" customWidth="1"/>
    <col min="4885" max="4886" width="17.33203125" style="3007" customWidth="1"/>
    <col min="4887" max="4890" width="24.33203125" style="3007" customWidth="1"/>
    <col min="4891" max="4892" width="16.1640625" style="3007" customWidth="1"/>
    <col min="4893" max="4896" width="19.6640625" style="3007" customWidth="1"/>
    <col min="4897" max="4897" width="24.33203125" style="3007" customWidth="1"/>
    <col min="4898" max="5123" width="9.33203125" style="3007"/>
    <col min="5124" max="5124" width="0" style="3007" hidden="1" customWidth="1"/>
    <col min="5125" max="5125" width="19.6640625" style="3007" customWidth="1"/>
    <col min="5126" max="5129" width="24.33203125" style="3007" customWidth="1"/>
    <col min="5130" max="5130" width="16.1640625" style="3007" customWidth="1"/>
    <col min="5131" max="5131" width="20.83203125" style="3007" customWidth="1"/>
    <col min="5132" max="5132" width="19.6640625" style="3007" customWidth="1"/>
    <col min="5133" max="5134" width="24.33203125" style="3007" customWidth="1"/>
    <col min="5135" max="5136" width="16.1640625" style="3007" customWidth="1"/>
    <col min="5137" max="5137" width="24.33203125" style="3007" customWidth="1"/>
    <col min="5138" max="5138" width="19.6640625" style="3007" customWidth="1"/>
    <col min="5139" max="5140" width="24.33203125" style="3007" customWidth="1"/>
    <col min="5141" max="5142" width="17.33203125" style="3007" customWidth="1"/>
    <col min="5143" max="5146" width="24.33203125" style="3007" customWidth="1"/>
    <col min="5147" max="5148" width="16.1640625" style="3007" customWidth="1"/>
    <col min="5149" max="5152" width="19.6640625" style="3007" customWidth="1"/>
    <col min="5153" max="5153" width="24.33203125" style="3007" customWidth="1"/>
    <col min="5154" max="5379" width="9.33203125" style="3007"/>
    <col min="5380" max="5380" width="0" style="3007" hidden="1" customWidth="1"/>
    <col min="5381" max="5381" width="19.6640625" style="3007" customWidth="1"/>
    <col min="5382" max="5385" width="24.33203125" style="3007" customWidth="1"/>
    <col min="5386" max="5386" width="16.1640625" style="3007" customWidth="1"/>
    <col min="5387" max="5387" width="20.83203125" style="3007" customWidth="1"/>
    <col min="5388" max="5388" width="19.6640625" style="3007" customWidth="1"/>
    <col min="5389" max="5390" width="24.33203125" style="3007" customWidth="1"/>
    <col min="5391" max="5392" width="16.1640625" style="3007" customWidth="1"/>
    <col min="5393" max="5393" width="24.33203125" style="3007" customWidth="1"/>
    <col min="5394" max="5394" width="19.6640625" style="3007" customWidth="1"/>
    <col min="5395" max="5396" width="24.33203125" style="3007" customWidth="1"/>
    <col min="5397" max="5398" width="17.33203125" style="3007" customWidth="1"/>
    <col min="5399" max="5402" width="24.33203125" style="3007" customWidth="1"/>
    <col min="5403" max="5404" width="16.1640625" style="3007" customWidth="1"/>
    <col min="5405" max="5408" width="19.6640625" style="3007" customWidth="1"/>
    <col min="5409" max="5409" width="24.33203125" style="3007" customWidth="1"/>
    <col min="5410" max="5635" width="9.33203125" style="3007"/>
    <col min="5636" max="5636" width="0" style="3007" hidden="1" customWidth="1"/>
    <col min="5637" max="5637" width="19.6640625" style="3007" customWidth="1"/>
    <col min="5638" max="5641" width="24.33203125" style="3007" customWidth="1"/>
    <col min="5642" max="5642" width="16.1640625" style="3007" customWidth="1"/>
    <col min="5643" max="5643" width="20.83203125" style="3007" customWidth="1"/>
    <col min="5644" max="5644" width="19.6640625" style="3007" customWidth="1"/>
    <col min="5645" max="5646" width="24.33203125" style="3007" customWidth="1"/>
    <col min="5647" max="5648" width="16.1640625" style="3007" customWidth="1"/>
    <col min="5649" max="5649" width="24.33203125" style="3007" customWidth="1"/>
    <col min="5650" max="5650" width="19.6640625" style="3007" customWidth="1"/>
    <col min="5651" max="5652" width="24.33203125" style="3007" customWidth="1"/>
    <col min="5653" max="5654" width="17.33203125" style="3007" customWidth="1"/>
    <col min="5655" max="5658" width="24.33203125" style="3007" customWidth="1"/>
    <col min="5659" max="5660" width="16.1640625" style="3007" customWidth="1"/>
    <col min="5661" max="5664" width="19.6640625" style="3007" customWidth="1"/>
    <col min="5665" max="5665" width="24.33203125" style="3007" customWidth="1"/>
    <col min="5666" max="5891" width="9.33203125" style="3007"/>
    <col min="5892" max="5892" width="0" style="3007" hidden="1" customWidth="1"/>
    <col min="5893" max="5893" width="19.6640625" style="3007" customWidth="1"/>
    <col min="5894" max="5897" width="24.33203125" style="3007" customWidth="1"/>
    <col min="5898" max="5898" width="16.1640625" style="3007" customWidth="1"/>
    <col min="5899" max="5899" width="20.83203125" style="3007" customWidth="1"/>
    <col min="5900" max="5900" width="19.6640625" style="3007" customWidth="1"/>
    <col min="5901" max="5902" width="24.33203125" style="3007" customWidth="1"/>
    <col min="5903" max="5904" width="16.1640625" style="3007" customWidth="1"/>
    <col min="5905" max="5905" width="24.33203125" style="3007" customWidth="1"/>
    <col min="5906" max="5906" width="19.6640625" style="3007" customWidth="1"/>
    <col min="5907" max="5908" width="24.33203125" style="3007" customWidth="1"/>
    <col min="5909" max="5910" width="17.33203125" style="3007" customWidth="1"/>
    <col min="5911" max="5914" width="24.33203125" style="3007" customWidth="1"/>
    <col min="5915" max="5916" width="16.1640625" style="3007" customWidth="1"/>
    <col min="5917" max="5920" width="19.6640625" style="3007" customWidth="1"/>
    <col min="5921" max="5921" width="24.33203125" style="3007" customWidth="1"/>
    <col min="5922" max="6147" width="9.33203125" style="3007"/>
    <col min="6148" max="6148" width="0" style="3007" hidden="1" customWidth="1"/>
    <col min="6149" max="6149" width="19.6640625" style="3007" customWidth="1"/>
    <col min="6150" max="6153" width="24.33203125" style="3007" customWidth="1"/>
    <col min="6154" max="6154" width="16.1640625" style="3007" customWidth="1"/>
    <col min="6155" max="6155" width="20.83203125" style="3007" customWidth="1"/>
    <col min="6156" max="6156" width="19.6640625" style="3007" customWidth="1"/>
    <col min="6157" max="6158" width="24.33203125" style="3007" customWidth="1"/>
    <col min="6159" max="6160" width="16.1640625" style="3007" customWidth="1"/>
    <col min="6161" max="6161" width="24.33203125" style="3007" customWidth="1"/>
    <col min="6162" max="6162" width="19.6640625" style="3007" customWidth="1"/>
    <col min="6163" max="6164" width="24.33203125" style="3007" customWidth="1"/>
    <col min="6165" max="6166" width="17.33203125" style="3007" customWidth="1"/>
    <col min="6167" max="6170" width="24.33203125" style="3007" customWidth="1"/>
    <col min="6171" max="6172" width="16.1640625" style="3007" customWidth="1"/>
    <col min="6173" max="6176" width="19.6640625" style="3007" customWidth="1"/>
    <col min="6177" max="6177" width="24.33203125" style="3007" customWidth="1"/>
    <col min="6178" max="6403" width="9.33203125" style="3007"/>
    <col min="6404" max="6404" width="0" style="3007" hidden="1" customWidth="1"/>
    <col min="6405" max="6405" width="19.6640625" style="3007" customWidth="1"/>
    <col min="6406" max="6409" width="24.33203125" style="3007" customWidth="1"/>
    <col min="6410" max="6410" width="16.1640625" style="3007" customWidth="1"/>
    <col min="6411" max="6411" width="20.83203125" style="3007" customWidth="1"/>
    <col min="6412" max="6412" width="19.6640625" style="3007" customWidth="1"/>
    <col min="6413" max="6414" width="24.33203125" style="3007" customWidth="1"/>
    <col min="6415" max="6416" width="16.1640625" style="3007" customWidth="1"/>
    <col min="6417" max="6417" width="24.33203125" style="3007" customWidth="1"/>
    <col min="6418" max="6418" width="19.6640625" style="3007" customWidth="1"/>
    <col min="6419" max="6420" width="24.33203125" style="3007" customWidth="1"/>
    <col min="6421" max="6422" width="17.33203125" style="3007" customWidth="1"/>
    <col min="6423" max="6426" width="24.33203125" style="3007" customWidth="1"/>
    <col min="6427" max="6428" width="16.1640625" style="3007" customWidth="1"/>
    <col min="6429" max="6432" width="19.6640625" style="3007" customWidth="1"/>
    <col min="6433" max="6433" width="24.33203125" style="3007" customWidth="1"/>
    <col min="6434" max="6659" width="9.33203125" style="3007"/>
    <col min="6660" max="6660" width="0" style="3007" hidden="1" customWidth="1"/>
    <col min="6661" max="6661" width="19.6640625" style="3007" customWidth="1"/>
    <col min="6662" max="6665" width="24.33203125" style="3007" customWidth="1"/>
    <col min="6666" max="6666" width="16.1640625" style="3007" customWidth="1"/>
    <col min="6667" max="6667" width="20.83203125" style="3007" customWidth="1"/>
    <col min="6668" max="6668" width="19.6640625" style="3007" customWidth="1"/>
    <col min="6669" max="6670" width="24.33203125" style="3007" customWidth="1"/>
    <col min="6671" max="6672" width="16.1640625" style="3007" customWidth="1"/>
    <col min="6673" max="6673" width="24.33203125" style="3007" customWidth="1"/>
    <col min="6674" max="6674" width="19.6640625" style="3007" customWidth="1"/>
    <col min="6675" max="6676" width="24.33203125" style="3007" customWidth="1"/>
    <col min="6677" max="6678" width="17.33203125" style="3007" customWidth="1"/>
    <col min="6679" max="6682" width="24.33203125" style="3007" customWidth="1"/>
    <col min="6683" max="6684" width="16.1640625" style="3007" customWidth="1"/>
    <col min="6685" max="6688" width="19.6640625" style="3007" customWidth="1"/>
    <col min="6689" max="6689" width="24.33203125" style="3007" customWidth="1"/>
    <col min="6690" max="6915" width="9.33203125" style="3007"/>
    <col min="6916" max="6916" width="0" style="3007" hidden="1" customWidth="1"/>
    <col min="6917" max="6917" width="19.6640625" style="3007" customWidth="1"/>
    <col min="6918" max="6921" width="24.33203125" style="3007" customWidth="1"/>
    <col min="6922" max="6922" width="16.1640625" style="3007" customWidth="1"/>
    <col min="6923" max="6923" width="20.83203125" style="3007" customWidth="1"/>
    <col min="6924" max="6924" width="19.6640625" style="3007" customWidth="1"/>
    <col min="6925" max="6926" width="24.33203125" style="3007" customWidth="1"/>
    <col min="6927" max="6928" width="16.1640625" style="3007" customWidth="1"/>
    <col min="6929" max="6929" width="24.33203125" style="3007" customWidth="1"/>
    <col min="6930" max="6930" width="19.6640625" style="3007" customWidth="1"/>
    <col min="6931" max="6932" width="24.33203125" style="3007" customWidth="1"/>
    <col min="6933" max="6934" width="17.33203125" style="3007" customWidth="1"/>
    <col min="6935" max="6938" width="24.33203125" style="3007" customWidth="1"/>
    <col min="6939" max="6940" width="16.1640625" style="3007" customWidth="1"/>
    <col min="6941" max="6944" width="19.6640625" style="3007" customWidth="1"/>
    <col min="6945" max="6945" width="24.33203125" style="3007" customWidth="1"/>
    <col min="6946" max="7171" width="9.33203125" style="3007"/>
    <col min="7172" max="7172" width="0" style="3007" hidden="1" customWidth="1"/>
    <col min="7173" max="7173" width="19.6640625" style="3007" customWidth="1"/>
    <col min="7174" max="7177" width="24.33203125" style="3007" customWidth="1"/>
    <col min="7178" max="7178" width="16.1640625" style="3007" customWidth="1"/>
    <col min="7179" max="7179" width="20.83203125" style="3007" customWidth="1"/>
    <col min="7180" max="7180" width="19.6640625" style="3007" customWidth="1"/>
    <col min="7181" max="7182" width="24.33203125" style="3007" customWidth="1"/>
    <col min="7183" max="7184" width="16.1640625" style="3007" customWidth="1"/>
    <col min="7185" max="7185" width="24.33203125" style="3007" customWidth="1"/>
    <col min="7186" max="7186" width="19.6640625" style="3007" customWidth="1"/>
    <col min="7187" max="7188" width="24.33203125" style="3007" customWidth="1"/>
    <col min="7189" max="7190" width="17.33203125" style="3007" customWidth="1"/>
    <col min="7191" max="7194" width="24.33203125" style="3007" customWidth="1"/>
    <col min="7195" max="7196" width="16.1640625" style="3007" customWidth="1"/>
    <col min="7197" max="7200" width="19.6640625" style="3007" customWidth="1"/>
    <col min="7201" max="7201" width="24.33203125" style="3007" customWidth="1"/>
    <col min="7202" max="7427" width="9.33203125" style="3007"/>
    <col min="7428" max="7428" width="0" style="3007" hidden="1" customWidth="1"/>
    <col min="7429" max="7429" width="19.6640625" style="3007" customWidth="1"/>
    <col min="7430" max="7433" width="24.33203125" style="3007" customWidth="1"/>
    <col min="7434" max="7434" width="16.1640625" style="3007" customWidth="1"/>
    <col min="7435" max="7435" width="20.83203125" style="3007" customWidth="1"/>
    <col min="7436" max="7436" width="19.6640625" style="3007" customWidth="1"/>
    <col min="7437" max="7438" width="24.33203125" style="3007" customWidth="1"/>
    <col min="7439" max="7440" width="16.1640625" style="3007" customWidth="1"/>
    <col min="7441" max="7441" width="24.33203125" style="3007" customWidth="1"/>
    <col min="7442" max="7442" width="19.6640625" style="3007" customWidth="1"/>
    <col min="7443" max="7444" width="24.33203125" style="3007" customWidth="1"/>
    <col min="7445" max="7446" width="17.33203125" style="3007" customWidth="1"/>
    <col min="7447" max="7450" width="24.33203125" style="3007" customWidth="1"/>
    <col min="7451" max="7452" width="16.1640625" style="3007" customWidth="1"/>
    <col min="7453" max="7456" width="19.6640625" style="3007" customWidth="1"/>
    <col min="7457" max="7457" width="24.33203125" style="3007" customWidth="1"/>
    <col min="7458" max="7683" width="9.33203125" style="3007"/>
    <col min="7684" max="7684" width="0" style="3007" hidden="1" customWidth="1"/>
    <col min="7685" max="7685" width="19.6640625" style="3007" customWidth="1"/>
    <col min="7686" max="7689" width="24.33203125" style="3007" customWidth="1"/>
    <col min="7690" max="7690" width="16.1640625" style="3007" customWidth="1"/>
    <col min="7691" max="7691" width="20.83203125" style="3007" customWidth="1"/>
    <col min="7692" max="7692" width="19.6640625" style="3007" customWidth="1"/>
    <col min="7693" max="7694" width="24.33203125" style="3007" customWidth="1"/>
    <col min="7695" max="7696" width="16.1640625" style="3007" customWidth="1"/>
    <col min="7697" max="7697" width="24.33203125" style="3007" customWidth="1"/>
    <col min="7698" max="7698" width="19.6640625" style="3007" customWidth="1"/>
    <col min="7699" max="7700" width="24.33203125" style="3007" customWidth="1"/>
    <col min="7701" max="7702" width="17.33203125" style="3007" customWidth="1"/>
    <col min="7703" max="7706" width="24.33203125" style="3007" customWidth="1"/>
    <col min="7707" max="7708" width="16.1640625" style="3007" customWidth="1"/>
    <col min="7709" max="7712" width="19.6640625" style="3007" customWidth="1"/>
    <col min="7713" max="7713" width="24.33203125" style="3007" customWidth="1"/>
    <col min="7714" max="7939" width="9.33203125" style="3007"/>
    <col min="7940" max="7940" width="0" style="3007" hidden="1" customWidth="1"/>
    <col min="7941" max="7941" width="19.6640625" style="3007" customWidth="1"/>
    <col min="7942" max="7945" width="24.33203125" style="3007" customWidth="1"/>
    <col min="7946" max="7946" width="16.1640625" style="3007" customWidth="1"/>
    <col min="7947" max="7947" width="20.83203125" style="3007" customWidth="1"/>
    <col min="7948" max="7948" width="19.6640625" style="3007" customWidth="1"/>
    <col min="7949" max="7950" width="24.33203125" style="3007" customWidth="1"/>
    <col min="7951" max="7952" width="16.1640625" style="3007" customWidth="1"/>
    <col min="7953" max="7953" width="24.33203125" style="3007" customWidth="1"/>
    <col min="7954" max="7954" width="19.6640625" style="3007" customWidth="1"/>
    <col min="7955" max="7956" width="24.33203125" style="3007" customWidth="1"/>
    <col min="7957" max="7958" width="17.33203125" style="3007" customWidth="1"/>
    <col min="7959" max="7962" width="24.33203125" style="3007" customWidth="1"/>
    <col min="7963" max="7964" width="16.1640625" style="3007" customWidth="1"/>
    <col min="7965" max="7968" width="19.6640625" style="3007" customWidth="1"/>
    <col min="7969" max="7969" width="24.33203125" style="3007" customWidth="1"/>
    <col min="7970" max="8195" width="9.33203125" style="3007"/>
    <col min="8196" max="8196" width="0" style="3007" hidden="1" customWidth="1"/>
    <col min="8197" max="8197" width="19.6640625" style="3007" customWidth="1"/>
    <col min="8198" max="8201" width="24.33203125" style="3007" customWidth="1"/>
    <col min="8202" max="8202" width="16.1640625" style="3007" customWidth="1"/>
    <col min="8203" max="8203" width="20.83203125" style="3007" customWidth="1"/>
    <col min="8204" max="8204" width="19.6640625" style="3007" customWidth="1"/>
    <col min="8205" max="8206" width="24.33203125" style="3007" customWidth="1"/>
    <col min="8207" max="8208" width="16.1640625" style="3007" customWidth="1"/>
    <col min="8209" max="8209" width="24.33203125" style="3007" customWidth="1"/>
    <col min="8210" max="8210" width="19.6640625" style="3007" customWidth="1"/>
    <col min="8211" max="8212" width="24.33203125" style="3007" customWidth="1"/>
    <col min="8213" max="8214" width="17.33203125" style="3007" customWidth="1"/>
    <col min="8215" max="8218" width="24.33203125" style="3007" customWidth="1"/>
    <col min="8219" max="8220" width="16.1640625" style="3007" customWidth="1"/>
    <col min="8221" max="8224" width="19.6640625" style="3007" customWidth="1"/>
    <col min="8225" max="8225" width="24.33203125" style="3007" customWidth="1"/>
    <col min="8226" max="8451" width="9.33203125" style="3007"/>
    <col min="8452" max="8452" width="0" style="3007" hidden="1" customWidth="1"/>
    <col min="8453" max="8453" width="19.6640625" style="3007" customWidth="1"/>
    <col min="8454" max="8457" width="24.33203125" style="3007" customWidth="1"/>
    <col min="8458" max="8458" width="16.1640625" style="3007" customWidth="1"/>
    <col min="8459" max="8459" width="20.83203125" style="3007" customWidth="1"/>
    <col min="8460" max="8460" width="19.6640625" style="3007" customWidth="1"/>
    <col min="8461" max="8462" width="24.33203125" style="3007" customWidth="1"/>
    <col min="8463" max="8464" width="16.1640625" style="3007" customWidth="1"/>
    <col min="8465" max="8465" width="24.33203125" style="3007" customWidth="1"/>
    <col min="8466" max="8466" width="19.6640625" style="3007" customWidth="1"/>
    <col min="8467" max="8468" width="24.33203125" style="3007" customWidth="1"/>
    <col min="8469" max="8470" width="17.33203125" style="3007" customWidth="1"/>
    <col min="8471" max="8474" width="24.33203125" style="3007" customWidth="1"/>
    <col min="8475" max="8476" width="16.1640625" style="3007" customWidth="1"/>
    <col min="8477" max="8480" width="19.6640625" style="3007" customWidth="1"/>
    <col min="8481" max="8481" width="24.33203125" style="3007" customWidth="1"/>
    <col min="8482" max="8707" width="9.33203125" style="3007"/>
    <col min="8708" max="8708" width="0" style="3007" hidden="1" customWidth="1"/>
    <col min="8709" max="8709" width="19.6640625" style="3007" customWidth="1"/>
    <col min="8710" max="8713" width="24.33203125" style="3007" customWidth="1"/>
    <col min="8714" max="8714" width="16.1640625" style="3007" customWidth="1"/>
    <col min="8715" max="8715" width="20.83203125" style="3007" customWidth="1"/>
    <col min="8716" max="8716" width="19.6640625" style="3007" customWidth="1"/>
    <col min="8717" max="8718" width="24.33203125" style="3007" customWidth="1"/>
    <col min="8719" max="8720" width="16.1640625" style="3007" customWidth="1"/>
    <col min="8721" max="8721" width="24.33203125" style="3007" customWidth="1"/>
    <col min="8722" max="8722" width="19.6640625" style="3007" customWidth="1"/>
    <col min="8723" max="8724" width="24.33203125" style="3007" customWidth="1"/>
    <col min="8725" max="8726" width="17.33203125" style="3007" customWidth="1"/>
    <col min="8727" max="8730" width="24.33203125" style="3007" customWidth="1"/>
    <col min="8731" max="8732" width="16.1640625" style="3007" customWidth="1"/>
    <col min="8733" max="8736" width="19.6640625" style="3007" customWidth="1"/>
    <col min="8737" max="8737" width="24.33203125" style="3007" customWidth="1"/>
    <col min="8738" max="8963" width="9.33203125" style="3007"/>
    <col min="8964" max="8964" width="0" style="3007" hidden="1" customWidth="1"/>
    <col min="8965" max="8965" width="19.6640625" style="3007" customWidth="1"/>
    <col min="8966" max="8969" width="24.33203125" style="3007" customWidth="1"/>
    <col min="8970" max="8970" width="16.1640625" style="3007" customWidth="1"/>
    <col min="8971" max="8971" width="20.83203125" style="3007" customWidth="1"/>
    <col min="8972" max="8972" width="19.6640625" style="3007" customWidth="1"/>
    <col min="8973" max="8974" width="24.33203125" style="3007" customWidth="1"/>
    <col min="8975" max="8976" width="16.1640625" style="3007" customWidth="1"/>
    <col min="8977" max="8977" width="24.33203125" style="3007" customWidth="1"/>
    <col min="8978" max="8978" width="19.6640625" style="3007" customWidth="1"/>
    <col min="8979" max="8980" width="24.33203125" style="3007" customWidth="1"/>
    <col min="8981" max="8982" width="17.33203125" style="3007" customWidth="1"/>
    <col min="8983" max="8986" width="24.33203125" style="3007" customWidth="1"/>
    <col min="8987" max="8988" width="16.1640625" style="3007" customWidth="1"/>
    <col min="8989" max="8992" width="19.6640625" style="3007" customWidth="1"/>
    <col min="8993" max="8993" width="24.33203125" style="3007" customWidth="1"/>
    <col min="8994" max="9219" width="9.33203125" style="3007"/>
    <col min="9220" max="9220" width="0" style="3007" hidden="1" customWidth="1"/>
    <col min="9221" max="9221" width="19.6640625" style="3007" customWidth="1"/>
    <col min="9222" max="9225" width="24.33203125" style="3007" customWidth="1"/>
    <col min="9226" max="9226" width="16.1640625" style="3007" customWidth="1"/>
    <col min="9227" max="9227" width="20.83203125" style="3007" customWidth="1"/>
    <col min="9228" max="9228" width="19.6640625" style="3007" customWidth="1"/>
    <col min="9229" max="9230" width="24.33203125" style="3007" customWidth="1"/>
    <col min="9231" max="9232" width="16.1640625" style="3007" customWidth="1"/>
    <col min="9233" max="9233" width="24.33203125" style="3007" customWidth="1"/>
    <col min="9234" max="9234" width="19.6640625" style="3007" customWidth="1"/>
    <col min="9235" max="9236" width="24.33203125" style="3007" customWidth="1"/>
    <col min="9237" max="9238" width="17.33203125" style="3007" customWidth="1"/>
    <col min="9239" max="9242" width="24.33203125" style="3007" customWidth="1"/>
    <col min="9243" max="9244" width="16.1640625" style="3007" customWidth="1"/>
    <col min="9245" max="9248" width="19.6640625" style="3007" customWidth="1"/>
    <col min="9249" max="9249" width="24.33203125" style="3007" customWidth="1"/>
    <col min="9250" max="9475" width="9.33203125" style="3007"/>
    <col min="9476" max="9476" width="0" style="3007" hidden="1" customWidth="1"/>
    <col min="9477" max="9477" width="19.6640625" style="3007" customWidth="1"/>
    <col min="9478" max="9481" width="24.33203125" style="3007" customWidth="1"/>
    <col min="9482" max="9482" width="16.1640625" style="3007" customWidth="1"/>
    <col min="9483" max="9483" width="20.83203125" style="3007" customWidth="1"/>
    <col min="9484" max="9484" width="19.6640625" style="3007" customWidth="1"/>
    <col min="9485" max="9486" width="24.33203125" style="3007" customWidth="1"/>
    <col min="9487" max="9488" width="16.1640625" style="3007" customWidth="1"/>
    <col min="9489" max="9489" width="24.33203125" style="3007" customWidth="1"/>
    <col min="9490" max="9490" width="19.6640625" style="3007" customWidth="1"/>
    <col min="9491" max="9492" width="24.33203125" style="3007" customWidth="1"/>
    <col min="9493" max="9494" width="17.33203125" style="3007" customWidth="1"/>
    <col min="9495" max="9498" width="24.33203125" style="3007" customWidth="1"/>
    <col min="9499" max="9500" width="16.1640625" style="3007" customWidth="1"/>
    <col min="9501" max="9504" width="19.6640625" style="3007" customWidth="1"/>
    <col min="9505" max="9505" width="24.33203125" style="3007" customWidth="1"/>
    <col min="9506" max="9731" width="9.33203125" style="3007"/>
    <col min="9732" max="9732" width="0" style="3007" hidden="1" customWidth="1"/>
    <col min="9733" max="9733" width="19.6640625" style="3007" customWidth="1"/>
    <col min="9734" max="9737" width="24.33203125" style="3007" customWidth="1"/>
    <col min="9738" max="9738" width="16.1640625" style="3007" customWidth="1"/>
    <col min="9739" max="9739" width="20.83203125" style="3007" customWidth="1"/>
    <col min="9740" max="9740" width="19.6640625" style="3007" customWidth="1"/>
    <col min="9741" max="9742" width="24.33203125" style="3007" customWidth="1"/>
    <col min="9743" max="9744" width="16.1640625" style="3007" customWidth="1"/>
    <col min="9745" max="9745" width="24.33203125" style="3007" customWidth="1"/>
    <col min="9746" max="9746" width="19.6640625" style="3007" customWidth="1"/>
    <col min="9747" max="9748" width="24.33203125" style="3007" customWidth="1"/>
    <col min="9749" max="9750" width="17.33203125" style="3007" customWidth="1"/>
    <col min="9751" max="9754" width="24.33203125" style="3007" customWidth="1"/>
    <col min="9755" max="9756" width="16.1640625" style="3007" customWidth="1"/>
    <col min="9757" max="9760" width="19.6640625" style="3007" customWidth="1"/>
    <col min="9761" max="9761" width="24.33203125" style="3007" customWidth="1"/>
    <col min="9762" max="9987" width="9.33203125" style="3007"/>
    <col min="9988" max="9988" width="0" style="3007" hidden="1" customWidth="1"/>
    <col min="9989" max="9989" width="19.6640625" style="3007" customWidth="1"/>
    <col min="9990" max="9993" width="24.33203125" style="3007" customWidth="1"/>
    <col min="9994" max="9994" width="16.1640625" style="3007" customWidth="1"/>
    <col min="9995" max="9995" width="20.83203125" style="3007" customWidth="1"/>
    <col min="9996" max="9996" width="19.6640625" style="3007" customWidth="1"/>
    <col min="9997" max="9998" width="24.33203125" style="3007" customWidth="1"/>
    <col min="9999" max="10000" width="16.1640625" style="3007" customWidth="1"/>
    <col min="10001" max="10001" width="24.33203125" style="3007" customWidth="1"/>
    <col min="10002" max="10002" width="19.6640625" style="3007" customWidth="1"/>
    <col min="10003" max="10004" width="24.33203125" style="3007" customWidth="1"/>
    <col min="10005" max="10006" width="17.33203125" style="3007" customWidth="1"/>
    <col min="10007" max="10010" width="24.33203125" style="3007" customWidth="1"/>
    <col min="10011" max="10012" width="16.1640625" style="3007" customWidth="1"/>
    <col min="10013" max="10016" width="19.6640625" style="3007" customWidth="1"/>
    <col min="10017" max="10017" width="24.33203125" style="3007" customWidth="1"/>
    <col min="10018" max="10243" width="9.33203125" style="3007"/>
    <col min="10244" max="10244" width="0" style="3007" hidden="1" customWidth="1"/>
    <col min="10245" max="10245" width="19.6640625" style="3007" customWidth="1"/>
    <col min="10246" max="10249" width="24.33203125" style="3007" customWidth="1"/>
    <col min="10250" max="10250" width="16.1640625" style="3007" customWidth="1"/>
    <col min="10251" max="10251" width="20.83203125" style="3007" customWidth="1"/>
    <col min="10252" max="10252" width="19.6640625" style="3007" customWidth="1"/>
    <col min="10253" max="10254" width="24.33203125" style="3007" customWidth="1"/>
    <col min="10255" max="10256" width="16.1640625" style="3007" customWidth="1"/>
    <col min="10257" max="10257" width="24.33203125" style="3007" customWidth="1"/>
    <col min="10258" max="10258" width="19.6640625" style="3007" customWidth="1"/>
    <col min="10259" max="10260" width="24.33203125" style="3007" customWidth="1"/>
    <col min="10261" max="10262" width="17.33203125" style="3007" customWidth="1"/>
    <col min="10263" max="10266" width="24.33203125" style="3007" customWidth="1"/>
    <col min="10267" max="10268" width="16.1640625" style="3007" customWidth="1"/>
    <col min="10269" max="10272" width="19.6640625" style="3007" customWidth="1"/>
    <col min="10273" max="10273" width="24.33203125" style="3007" customWidth="1"/>
    <col min="10274" max="10499" width="9.33203125" style="3007"/>
    <col min="10500" max="10500" width="0" style="3007" hidden="1" customWidth="1"/>
    <col min="10501" max="10501" width="19.6640625" style="3007" customWidth="1"/>
    <col min="10502" max="10505" width="24.33203125" style="3007" customWidth="1"/>
    <col min="10506" max="10506" width="16.1640625" style="3007" customWidth="1"/>
    <col min="10507" max="10507" width="20.83203125" style="3007" customWidth="1"/>
    <col min="10508" max="10508" width="19.6640625" style="3007" customWidth="1"/>
    <col min="10509" max="10510" width="24.33203125" style="3007" customWidth="1"/>
    <col min="10511" max="10512" width="16.1640625" style="3007" customWidth="1"/>
    <col min="10513" max="10513" width="24.33203125" style="3007" customWidth="1"/>
    <col min="10514" max="10514" width="19.6640625" style="3007" customWidth="1"/>
    <col min="10515" max="10516" width="24.33203125" style="3007" customWidth="1"/>
    <col min="10517" max="10518" width="17.33203125" style="3007" customWidth="1"/>
    <col min="10519" max="10522" width="24.33203125" style="3007" customWidth="1"/>
    <col min="10523" max="10524" width="16.1640625" style="3007" customWidth="1"/>
    <col min="10525" max="10528" width="19.6640625" style="3007" customWidth="1"/>
    <col min="10529" max="10529" width="24.33203125" style="3007" customWidth="1"/>
    <col min="10530" max="10755" width="9.33203125" style="3007"/>
    <col min="10756" max="10756" width="0" style="3007" hidden="1" customWidth="1"/>
    <col min="10757" max="10757" width="19.6640625" style="3007" customWidth="1"/>
    <col min="10758" max="10761" width="24.33203125" style="3007" customWidth="1"/>
    <col min="10762" max="10762" width="16.1640625" style="3007" customWidth="1"/>
    <col min="10763" max="10763" width="20.83203125" style="3007" customWidth="1"/>
    <col min="10764" max="10764" width="19.6640625" style="3007" customWidth="1"/>
    <col min="10765" max="10766" width="24.33203125" style="3007" customWidth="1"/>
    <col min="10767" max="10768" width="16.1640625" style="3007" customWidth="1"/>
    <col min="10769" max="10769" width="24.33203125" style="3007" customWidth="1"/>
    <col min="10770" max="10770" width="19.6640625" style="3007" customWidth="1"/>
    <col min="10771" max="10772" width="24.33203125" style="3007" customWidth="1"/>
    <col min="10773" max="10774" width="17.33203125" style="3007" customWidth="1"/>
    <col min="10775" max="10778" width="24.33203125" style="3007" customWidth="1"/>
    <col min="10779" max="10780" width="16.1640625" style="3007" customWidth="1"/>
    <col min="10781" max="10784" width="19.6640625" style="3007" customWidth="1"/>
    <col min="10785" max="10785" width="24.33203125" style="3007" customWidth="1"/>
    <col min="10786" max="11011" width="9.33203125" style="3007"/>
    <col min="11012" max="11012" width="0" style="3007" hidden="1" customWidth="1"/>
    <col min="11013" max="11013" width="19.6640625" style="3007" customWidth="1"/>
    <col min="11014" max="11017" width="24.33203125" style="3007" customWidth="1"/>
    <col min="11018" max="11018" width="16.1640625" style="3007" customWidth="1"/>
    <col min="11019" max="11019" width="20.83203125" style="3007" customWidth="1"/>
    <col min="11020" max="11020" width="19.6640625" style="3007" customWidth="1"/>
    <col min="11021" max="11022" width="24.33203125" style="3007" customWidth="1"/>
    <col min="11023" max="11024" width="16.1640625" style="3007" customWidth="1"/>
    <col min="11025" max="11025" width="24.33203125" style="3007" customWidth="1"/>
    <col min="11026" max="11026" width="19.6640625" style="3007" customWidth="1"/>
    <col min="11027" max="11028" width="24.33203125" style="3007" customWidth="1"/>
    <col min="11029" max="11030" width="17.33203125" style="3007" customWidth="1"/>
    <col min="11031" max="11034" width="24.33203125" style="3007" customWidth="1"/>
    <col min="11035" max="11036" width="16.1640625" style="3007" customWidth="1"/>
    <col min="11037" max="11040" width="19.6640625" style="3007" customWidth="1"/>
    <col min="11041" max="11041" width="24.33203125" style="3007" customWidth="1"/>
    <col min="11042" max="11267" width="9.33203125" style="3007"/>
    <col min="11268" max="11268" width="0" style="3007" hidden="1" customWidth="1"/>
    <col min="11269" max="11269" width="19.6640625" style="3007" customWidth="1"/>
    <col min="11270" max="11273" width="24.33203125" style="3007" customWidth="1"/>
    <col min="11274" max="11274" width="16.1640625" style="3007" customWidth="1"/>
    <col min="11275" max="11275" width="20.83203125" style="3007" customWidth="1"/>
    <col min="11276" max="11276" width="19.6640625" style="3007" customWidth="1"/>
    <col min="11277" max="11278" width="24.33203125" style="3007" customWidth="1"/>
    <col min="11279" max="11280" width="16.1640625" style="3007" customWidth="1"/>
    <col min="11281" max="11281" width="24.33203125" style="3007" customWidth="1"/>
    <col min="11282" max="11282" width="19.6640625" style="3007" customWidth="1"/>
    <col min="11283" max="11284" width="24.33203125" style="3007" customWidth="1"/>
    <col min="11285" max="11286" width="17.33203125" style="3007" customWidth="1"/>
    <col min="11287" max="11290" width="24.33203125" style="3007" customWidth="1"/>
    <col min="11291" max="11292" width="16.1640625" style="3007" customWidth="1"/>
    <col min="11293" max="11296" width="19.6640625" style="3007" customWidth="1"/>
    <col min="11297" max="11297" width="24.33203125" style="3007" customWidth="1"/>
    <col min="11298" max="11523" width="9.33203125" style="3007"/>
    <col min="11524" max="11524" width="0" style="3007" hidden="1" customWidth="1"/>
    <col min="11525" max="11525" width="19.6640625" style="3007" customWidth="1"/>
    <col min="11526" max="11529" width="24.33203125" style="3007" customWidth="1"/>
    <col min="11530" max="11530" width="16.1640625" style="3007" customWidth="1"/>
    <col min="11531" max="11531" width="20.83203125" style="3007" customWidth="1"/>
    <col min="11532" max="11532" width="19.6640625" style="3007" customWidth="1"/>
    <col min="11533" max="11534" width="24.33203125" style="3007" customWidth="1"/>
    <col min="11535" max="11536" width="16.1640625" style="3007" customWidth="1"/>
    <col min="11537" max="11537" width="24.33203125" style="3007" customWidth="1"/>
    <col min="11538" max="11538" width="19.6640625" style="3007" customWidth="1"/>
    <col min="11539" max="11540" width="24.33203125" style="3007" customWidth="1"/>
    <col min="11541" max="11542" width="17.33203125" style="3007" customWidth="1"/>
    <col min="11543" max="11546" width="24.33203125" style="3007" customWidth="1"/>
    <col min="11547" max="11548" width="16.1640625" style="3007" customWidth="1"/>
    <col min="11549" max="11552" width="19.6640625" style="3007" customWidth="1"/>
    <col min="11553" max="11553" width="24.33203125" style="3007" customWidth="1"/>
    <col min="11554" max="11779" width="9.33203125" style="3007"/>
    <col min="11780" max="11780" width="0" style="3007" hidden="1" customWidth="1"/>
    <col min="11781" max="11781" width="19.6640625" style="3007" customWidth="1"/>
    <col min="11782" max="11785" width="24.33203125" style="3007" customWidth="1"/>
    <col min="11786" max="11786" width="16.1640625" style="3007" customWidth="1"/>
    <col min="11787" max="11787" width="20.83203125" style="3007" customWidth="1"/>
    <col min="11788" max="11788" width="19.6640625" style="3007" customWidth="1"/>
    <col min="11789" max="11790" width="24.33203125" style="3007" customWidth="1"/>
    <col min="11791" max="11792" width="16.1640625" style="3007" customWidth="1"/>
    <col min="11793" max="11793" width="24.33203125" style="3007" customWidth="1"/>
    <col min="11794" max="11794" width="19.6640625" style="3007" customWidth="1"/>
    <col min="11795" max="11796" width="24.33203125" style="3007" customWidth="1"/>
    <col min="11797" max="11798" width="17.33203125" style="3007" customWidth="1"/>
    <col min="11799" max="11802" width="24.33203125" style="3007" customWidth="1"/>
    <col min="11803" max="11804" width="16.1640625" style="3007" customWidth="1"/>
    <col min="11805" max="11808" width="19.6640625" style="3007" customWidth="1"/>
    <col min="11809" max="11809" width="24.33203125" style="3007" customWidth="1"/>
    <col min="11810" max="12035" width="9.33203125" style="3007"/>
    <col min="12036" max="12036" width="0" style="3007" hidden="1" customWidth="1"/>
    <col min="12037" max="12037" width="19.6640625" style="3007" customWidth="1"/>
    <col min="12038" max="12041" width="24.33203125" style="3007" customWidth="1"/>
    <col min="12042" max="12042" width="16.1640625" style="3007" customWidth="1"/>
    <col min="12043" max="12043" width="20.83203125" style="3007" customWidth="1"/>
    <col min="12044" max="12044" width="19.6640625" style="3007" customWidth="1"/>
    <col min="12045" max="12046" width="24.33203125" style="3007" customWidth="1"/>
    <col min="12047" max="12048" width="16.1640625" style="3007" customWidth="1"/>
    <col min="12049" max="12049" width="24.33203125" style="3007" customWidth="1"/>
    <col min="12050" max="12050" width="19.6640625" style="3007" customWidth="1"/>
    <col min="12051" max="12052" width="24.33203125" style="3007" customWidth="1"/>
    <col min="12053" max="12054" width="17.33203125" style="3007" customWidth="1"/>
    <col min="12055" max="12058" width="24.33203125" style="3007" customWidth="1"/>
    <col min="12059" max="12060" width="16.1640625" style="3007" customWidth="1"/>
    <col min="12061" max="12064" width="19.6640625" style="3007" customWidth="1"/>
    <col min="12065" max="12065" width="24.33203125" style="3007" customWidth="1"/>
    <col min="12066" max="12291" width="9.33203125" style="3007"/>
    <col min="12292" max="12292" width="0" style="3007" hidden="1" customWidth="1"/>
    <col min="12293" max="12293" width="19.6640625" style="3007" customWidth="1"/>
    <col min="12294" max="12297" width="24.33203125" style="3007" customWidth="1"/>
    <col min="12298" max="12298" width="16.1640625" style="3007" customWidth="1"/>
    <col min="12299" max="12299" width="20.83203125" style="3007" customWidth="1"/>
    <col min="12300" max="12300" width="19.6640625" style="3007" customWidth="1"/>
    <col min="12301" max="12302" width="24.33203125" style="3007" customWidth="1"/>
    <col min="12303" max="12304" width="16.1640625" style="3007" customWidth="1"/>
    <col min="12305" max="12305" width="24.33203125" style="3007" customWidth="1"/>
    <col min="12306" max="12306" width="19.6640625" style="3007" customWidth="1"/>
    <col min="12307" max="12308" width="24.33203125" style="3007" customWidth="1"/>
    <col min="12309" max="12310" width="17.33203125" style="3007" customWidth="1"/>
    <col min="12311" max="12314" width="24.33203125" style="3007" customWidth="1"/>
    <col min="12315" max="12316" width="16.1640625" style="3007" customWidth="1"/>
    <col min="12317" max="12320" width="19.6640625" style="3007" customWidth="1"/>
    <col min="12321" max="12321" width="24.33203125" style="3007" customWidth="1"/>
    <col min="12322" max="12547" width="9.33203125" style="3007"/>
    <col min="12548" max="12548" width="0" style="3007" hidden="1" customWidth="1"/>
    <col min="12549" max="12549" width="19.6640625" style="3007" customWidth="1"/>
    <col min="12550" max="12553" width="24.33203125" style="3007" customWidth="1"/>
    <col min="12554" max="12554" width="16.1640625" style="3007" customWidth="1"/>
    <col min="12555" max="12555" width="20.83203125" style="3007" customWidth="1"/>
    <col min="12556" max="12556" width="19.6640625" style="3007" customWidth="1"/>
    <col min="12557" max="12558" width="24.33203125" style="3007" customWidth="1"/>
    <col min="12559" max="12560" width="16.1640625" style="3007" customWidth="1"/>
    <col min="12561" max="12561" width="24.33203125" style="3007" customWidth="1"/>
    <col min="12562" max="12562" width="19.6640625" style="3007" customWidth="1"/>
    <col min="12563" max="12564" width="24.33203125" style="3007" customWidth="1"/>
    <col min="12565" max="12566" width="17.33203125" style="3007" customWidth="1"/>
    <col min="12567" max="12570" width="24.33203125" style="3007" customWidth="1"/>
    <col min="12571" max="12572" width="16.1640625" style="3007" customWidth="1"/>
    <col min="12573" max="12576" width="19.6640625" style="3007" customWidth="1"/>
    <col min="12577" max="12577" width="24.33203125" style="3007" customWidth="1"/>
    <col min="12578" max="12803" width="9.33203125" style="3007"/>
    <col min="12804" max="12804" width="0" style="3007" hidden="1" customWidth="1"/>
    <col min="12805" max="12805" width="19.6640625" style="3007" customWidth="1"/>
    <col min="12806" max="12809" width="24.33203125" style="3007" customWidth="1"/>
    <col min="12810" max="12810" width="16.1640625" style="3007" customWidth="1"/>
    <col min="12811" max="12811" width="20.83203125" style="3007" customWidth="1"/>
    <col min="12812" max="12812" width="19.6640625" style="3007" customWidth="1"/>
    <col min="12813" max="12814" width="24.33203125" style="3007" customWidth="1"/>
    <col min="12815" max="12816" width="16.1640625" style="3007" customWidth="1"/>
    <col min="12817" max="12817" width="24.33203125" style="3007" customWidth="1"/>
    <col min="12818" max="12818" width="19.6640625" style="3007" customWidth="1"/>
    <col min="12819" max="12820" width="24.33203125" style="3007" customWidth="1"/>
    <col min="12821" max="12822" width="17.33203125" style="3007" customWidth="1"/>
    <col min="12823" max="12826" width="24.33203125" style="3007" customWidth="1"/>
    <col min="12827" max="12828" width="16.1640625" style="3007" customWidth="1"/>
    <col min="12829" max="12832" width="19.6640625" style="3007" customWidth="1"/>
    <col min="12833" max="12833" width="24.33203125" style="3007" customWidth="1"/>
    <col min="12834" max="13059" width="9.33203125" style="3007"/>
    <col min="13060" max="13060" width="0" style="3007" hidden="1" customWidth="1"/>
    <col min="13061" max="13061" width="19.6640625" style="3007" customWidth="1"/>
    <col min="13062" max="13065" width="24.33203125" style="3007" customWidth="1"/>
    <col min="13066" max="13066" width="16.1640625" style="3007" customWidth="1"/>
    <col min="13067" max="13067" width="20.83203125" style="3007" customWidth="1"/>
    <col min="13068" max="13068" width="19.6640625" style="3007" customWidth="1"/>
    <col min="13069" max="13070" width="24.33203125" style="3007" customWidth="1"/>
    <col min="13071" max="13072" width="16.1640625" style="3007" customWidth="1"/>
    <col min="13073" max="13073" width="24.33203125" style="3007" customWidth="1"/>
    <col min="13074" max="13074" width="19.6640625" style="3007" customWidth="1"/>
    <col min="13075" max="13076" width="24.33203125" style="3007" customWidth="1"/>
    <col min="13077" max="13078" width="17.33203125" style="3007" customWidth="1"/>
    <col min="13079" max="13082" width="24.33203125" style="3007" customWidth="1"/>
    <col min="13083" max="13084" width="16.1640625" style="3007" customWidth="1"/>
    <col min="13085" max="13088" width="19.6640625" style="3007" customWidth="1"/>
    <col min="13089" max="13089" width="24.33203125" style="3007" customWidth="1"/>
    <col min="13090" max="13315" width="9.33203125" style="3007"/>
    <col min="13316" max="13316" width="0" style="3007" hidden="1" customWidth="1"/>
    <col min="13317" max="13317" width="19.6640625" style="3007" customWidth="1"/>
    <col min="13318" max="13321" width="24.33203125" style="3007" customWidth="1"/>
    <col min="13322" max="13322" width="16.1640625" style="3007" customWidth="1"/>
    <col min="13323" max="13323" width="20.83203125" style="3007" customWidth="1"/>
    <col min="13324" max="13324" width="19.6640625" style="3007" customWidth="1"/>
    <col min="13325" max="13326" width="24.33203125" style="3007" customWidth="1"/>
    <col min="13327" max="13328" width="16.1640625" style="3007" customWidth="1"/>
    <col min="13329" max="13329" width="24.33203125" style="3007" customWidth="1"/>
    <col min="13330" max="13330" width="19.6640625" style="3007" customWidth="1"/>
    <col min="13331" max="13332" width="24.33203125" style="3007" customWidth="1"/>
    <col min="13333" max="13334" width="17.33203125" style="3007" customWidth="1"/>
    <col min="13335" max="13338" width="24.33203125" style="3007" customWidth="1"/>
    <col min="13339" max="13340" width="16.1640625" style="3007" customWidth="1"/>
    <col min="13341" max="13344" width="19.6640625" style="3007" customWidth="1"/>
    <col min="13345" max="13345" width="24.33203125" style="3007" customWidth="1"/>
    <col min="13346" max="13571" width="9.33203125" style="3007"/>
    <col min="13572" max="13572" width="0" style="3007" hidden="1" customWidth="1"/>
    <col min="13573" max="13573" width="19.6640625" style="3007" customWidth="1"/>
    <col min="13574" max="13577" width="24.33203125" style="3007" customWidth="1"/>
    <col min="13578" max="13578" width="16.1640625" style="3007" customWidth="1"/>
    <col min="13579" max="13579" width="20.83203125" style="3007" customWidth="1"/>
    <col min="13580" max="13580" width="19.6640625" style="3007" customWidth="1"/>
    <col min="13581" max="13582" width="24.33203125" style="3007" customWidth="1"/>
    <col min="13583" max="13584" width="16.1640625" style="3007" customWidth="1"/>
    <col min="13585" max="13585" width="24.33203125" style="3007" customWidth="1"/>
    <col min="13586" max="13586" width="19.6640625" style="3007" customWidth="1"/>
    <col min="13587" max="13588" width="24.33203125" style="3007" customWidth="1"/>
    <col min="13589" max="13590" width="17.33203125" style="3007" customWidth="1"/>
    <col min="13591" max="13594" width="24.33203125" style="3007" customWidth="1"/>
    <col min="13595" max="13596" width="16.1640625" style="3007" customWidth="1"/>
    <col min="13597" max="13600" width="19.6640625" style="3007" customWidth="1"/>
    <col min="13601" max="13601" width="24.33203125" style="3007" customWidth="1"/>
    <col min="13602" max="13827" width="9.33203125" style="3007"/>
    <col min="13828" max="13828" width="0" style="3007" hidden="1" customWidth="1"/>
    <col min="13829" max="13829" width="19.6640625" style="3007" customWidth="1"/>
    <col min="13830" max="13833" width="24.33203125" style="3007" customWidth="1"/>
    <col min="13834" max="13834" width="16.1640625" style="3007" customWidth="1"/>
    <col min="13835" max="13835" width="20.83203125" style="3007" customWidth="1"/>
    <col min="13836" max="13836" width="19.6640625" style="3007" customWidth="1"/>
    <col min="13837" max="13838" width="24.33203125" style="3007" customWidth="1"/>
    <col min="13839" max="13840" width="16.1640625" style="3007" customWidth="1"/>
    <col min="13841" max="13841" width="24.33203125" style="3007" customWidth="1"/>
    <col min="13842" max="13842" width="19.6640625" style="3007" customWidth="1"/>
    <col min="13843" max="13844" width="24.33203125" style="3007" customWidth="1"/>
    <col min="13845" max="13846" width="17.33203125" style="3007" customWidth="1"/>
    <col min="13847" max="13850" width="24.33203125" style="3007" customWidth="1"/>
    <col min="13851" max="13852" width="16.1640625" style="3007" customWidth="1"/>
    <col min="13853" max="13856" width="19.6640625" style="3007" customWidth="1"/>
    <col min="13857" max="13857" width="24.33203125" style="3007" customWidth="1"/>
    <col min="13858" max="14083" width="9.33203125" style="3007"/>
    <col min="14084" max="14084" width="0" style="3007" hidden="1" customWidth="1"/>
    <col min="14085" max="14085" width="19.6640625" style="3007" customWidth="1"/>
    <col min="14086" max="14089" width="24.33203125" style="3007" customWidth="1"/>
    <col min="14090" max="14090" width="16.1640625" style="3007" customWidth="1"/>
    <col min="14091" max="14091" width="20.83203125" style="3007" customWidth="1"/>
    <col min="14092" max="14092" width="19.6640625" style="3007" customWidth="1"/>
    <col min="14093" max="14094" width="24.33203125" style="3007" customWidth="1"/>
    <col min="14095" max="14096" width="16.1640625" style="3007" customWidth="1"/>
    <col min="14097" max="14097" width="24.33203125" style="3007" customWidth="1"/>
    <col min="14098" max="14098" width="19.6640625" style="3007" customWidth="1"/>
    <col min="14099" max="14100" width="24.33203125" style="3007" customWidth="1"/>
    <col min="14101" max="14102" width="17.33203125" style="3007" customWidth="1"/>
    <col min="14103" max="14106" width="24.33203125" style="3007" customWidth="1"/>
    <col min="14107" max="14108" width="16.1640625" style="3007" customWidth="1"/>
    <col min="14109" max="14112" width="19.6640625" style="3007" customWidth="1"/>
    <col min="14113" max="14113" width="24.33203125" style="3007" customWidth="1"/>
    <col min="14114" max="14339" width="9.33203125" style="3007"/>
    <col min="14340" max="14340" width="0" style="3007" hidden="1" customWidth="1"/>
    <col min="14341" max="14341" width="19.6640625" style="3007" customWidth="1"/>
    <col min="14342" max="14345" width="24.33203125" style="3007" customWidth="1"/>
    <col min="14346" max="14346" width="16.1640625" style="3007" customWidth="1"/>
    <col min="14347" max="14347" width="20.83203125" style="3007" customWidth="1"/>
    <col min="14348" max="14348" width="19.6640625" style="3007" customWidth="1"/>
    <col min="14349" max="14350" width="24.33203125" style="3007" customWidth="1"/>
    <col min="14351" max="14352" width="16.1640625" style="3007" customWidth="1"/>
    <col min="14353" max="14353" width="24.33203125" style="3007" customWidth="1"/>
    <col min="14354" max="14354" width="19.6640625" style="3007" customWidth="1"/>
    <col min="14355" max="14356" width="24.33203125" style="3007" customWidth="1"/>
    <col min="14357" max="14358" width="17.33203125" style="3007" customWidth="1"/>
    <col min="14359" max="14362" width="24.33203125" style="3007" customWidth="1"/>
    <col min="14363" max="14364" width="16.1640625" style="3007" customWidth="1"/>
    <col min="14365" max="14368" width="19.6640625" style="3007" customWidth="1"/>
    <col min="14369" max="14369" width="24.33203125" style="3007" customWidth="1"/>
    <col min="14370" max="14595" width="9.33203125" style="3007"/>
    <col min="14596" max="14596" width="0" style="3007" hidden="1" customWidth="1"/>
    <col min="14597" max="14597" width="19.6640625" style="3007" customWidth="1"/>
    <col min="14598" max="14601" width="24.33203125" style="3007" customWidth="1"/>
    <col min="14602" max="14602" width="16.1640625" style="3007" customWidth="1"/>
    <col min="14603" max="14603" width="20.83203125" style="3007" customWidth="1"/>
    <col min="14604" max="14604" width="19.6640625" style="3007" customWidth="1"/>
    <col min="14605" max="14606" width="24.33203125" style="3007" customWidth="1"/>
    <col min="14607" max="14608" width="16.1640625" style="3007" customWidth="1"/>
    <col min="14609" max="14609" width="24.33203125" style="3007" customWidth="1"/>
    <col min="14610" max="14610" width="19.6640625" style="3007" customWidth="1"/>
    <col min="14611" max="14612" width="24.33203125" style="3007" customWidth="1"/>
    <col min="14613" max="14614" width="17.33203125" style="3007" customWidth="1"/>
    <col min="14615" max="14618" width="24.33203125" style="3007" customWidth="1"/>
    <col min="14619" max="14620" width="16.1640625" style="3007" customWidth="1"/>
    <col min="14621" max="14624" width="19.6640625" style="3007" customWidth="1"/>
    <col min="14625" max="14625" width="24.33203125" style="3007" customWidth="1"/>
    <col min="14626" max="14851" width="9.33203125" style="3007"/>
    <col min="14852" max="14852" width="0" style="3007" hidden="1" customWidth="1"/>
    <col min="14853" max="14853" width="19.6640625" style="3007" customWidth="1"/>
    <col min="14854" max="14857" width="24.33203125" style="3007" customWidth="1"/>
    <col min="14858" max="14858" width="16.1640625" style="3007" customWidth="1"/>
    <col min="14859" max="14859" width="20.83203125" style="3007" customWidth="1"/>
    <col min="14860" max="14860" width="19.6640625" style="3007" customWidth="1"/>
    <col min="14861" max="14862" width="24.33203125" style="3007" customWidth="1"/>
    <col min="14863" max="14864" width="16.1640625" style="3007" customWidth="1"/>
    <col min="14865" max="14865" width="24.33203125" style="3007" customWidth="1"/>
    <col min="14866" max="14866" width="19.6640625" style="3007" customWidth="1"/>
    <col min="14867" max="14868" width="24.33203125" style="3007" customWidth="1"/>
    <col min="14869" max="14870" width="17.33203125" style="3007" customWidth="1"/>
    <col min="14871" max="14874" width="24.33203125" style="3007" customWidth="1"/>
    <col min="14875" max="14876" width="16.1640625" style="3007" customWidth="1"/>
    <col min="14877" max="14880" width="19.6640625" style="3007" customWidth="1"/>
    <col min="14881" max="14881" width="24.33203125" style="3007" customWidth="1"/>
    <col min="14882" max="15107" width="9.33203125" style="3007"/>
    <col min="15108" max="15108" width="0" style="3007" hidden="1" customWidth="1"/>
    <col min="15109" max="15109" width="19.6640625" style="3007" customWidth="1"/>
    <col min="15110" max="15113" width="24.33203125" style="3007" customWidth="1"/>
    <col min="15114" max="15114" width="16.1640625" style="3007" customWidth="1"/>
    <col min="15115" max="15115" width="20.83203125" style="3007" customWidth="1"/>
    <col min="15116" max="15116" width="19.6640625" style="3007" customWidth="1"/>
    <col min="15117" max="15118" width="24.33203125" style="3007" customWidth="1"/>
    <col min="15119" max="15120" width="16.1640625" style="3007" customWidth="1"/>
    <col min="15121" max="15121" width="24.33203125" style="3007" customWidth="1"/>
    <col min="15122" max="15122" width="19.6640625" style="3007" customWidth="1"/>
    <col min="15123" max="15124" width="24.33203125" style="3007" customWidth="1"/>
    <col min="15125" max="15126" width="17.33203125" style="3007" customWidth="1"/>
    <col min="15127" max="15130" width="24.33203125" style="3007" customWidth="1"/>
    <col min="15131" max="15132" width="16.1640625" style="3007" customWidth="1"/>
    <col min="15133" max="15136" width="19.6640625" style="3007" customWidth="1"/>
    <col min="15137" max="15137" width="24.33203125" style="3007" customWidth="1"/>
    <col min="15138" max="15363" width="9.33203125" style="3007"/>
    <col min="15364" max="15364" width="0" style="3007" hidden="1" customWidth="1"/>
    <col min="15365" max="15365" width="19.6640625" style="3007" customWidth="1"/>
    <col min="15366" max="15369" width="24.33203125" style="3007" customWidth="1"/>
    <col min="15370" max="15370" width="16.1640625" style="3007" customWidth="1"/>
    <col min="15371" max="15371" width="20.83203125" style="3007" customWidth="1"/>
    <col min="15372" max="15372" width="19.6640625" style="3007" customWidth="1"/>
    <col min="15373" max="15374" width="24.33203125" style="3007" customWidth="1"/>
    <col min="15375" max="15376" width="16.1640625" style="3007" customWidth="1"/>
    <col min="15377" max="15377" width="24.33203125" style="3007" customWidth="1"/>
    <col min="15378" max="15378" width="19.6640625" style="3007" customWidth="1"/>
    <col min="15379" max="15380" width="24.33203125" style="3007" customWidth="1"/>
    <col min="15381" max="15382" width="17.33203125" style="3007" customWidth="1"/>
    <col min="15383" max="15386" width="24.33203125" style="3007" customWidth="1"/>
    <col min="15387" max="15388" width="16.1640625" style="3007" customWidth="1"/>
    <col min="15389" max="15392" width="19.6640625" style="3007" customWidth="1"/>
    <col min="15393" max="15393" width="24.33203125" style="3007" customWidth="1"/>
    <col min="15394" max="15619" width="9.33203125" style="3007"/>
    <col min="15620" max="15620" width="0" style="3007" hidden="1" customWidth="1"/>
    <col min="15621" max="15621" width="19.6640625" style="3007" customWidth="1"/>
    <col min="15622" max="15625" width="24.33203125" style="3007" customWidth="1"/>
    <col min="15626" max="15626" width="16.1640625" style="3007" customWidth="1"/>
    <col min="15627" max="15627" width="20.83203125" style="3007" customWidth="1"/>
    <col min="15628" max="15628" width="19.6640625" style="3007" customWidth="1"/>
    <col min="15629" max="15630" width="24.33203125" style="3007" customWidth="1"/>
    <col min="15631" max="15632" width="16.1640625" style="3007" customWidth="1"/>
    <col min="15633" max="15633" width="24.33203125" style="3007" customWidth="1"/>
    <col min="15634" max="15634" width="19.6640625" style="3007" customWidth="1"/>
    <col min="15635" max="15636" width="24.33203125" style="3007" customWidth="1"/>
    <col min="15637" max="15638" width="17.33203125" style="3007" customWidth="1"/>
    <col min="15639" max="15642" width="24.33203125" style="3007" customWidth="1"/>
    <col min="15643" max="15644" width="16.1640625" style="3007" customWidth="1"/>
    <col min="15645" max="15648" width="19.6640625" style="3007" customWidth="1"/>
    <col min="15649" max="15649" width="24.33203125" style="3007" customWidth="1"/>
    <col min="15650" max="15875" width="9.33203125" style="3007"/>
    <col min="15876" max="15876" width="0" style="3007" hidden="1" customWidth="1"/>
    <col min="15877" max="15877" width="19.6640625" style="3007" customWidth="1"/>
    <col min="15878" max="15881" width="24.33203125" style="3007" customWidth="1"/>
    <col min="15882" max="15882" width="16.1640625" style="3007" customWidth="1"/>
    <col min="15883" max="15883" width="20.83203125" style="3007" customWidth="1"/>
    <col min="15884" max="15884" width="19.6640625" style="3007" customWidth="1"/>
    <col min="15885" max="15886" width="24.33203125" style="3007" customWidth="1"/>
    <col min="15887" max="15888" width="16.1640625" style="3007" customWidth="1"/>
    <col min="15889" max="15889" width="24.33203125" style="3007" customWidth="1"/>
    <col min="15890" max="15890" width="19.6640625" style="3007" customWidth="1"/>
    <col min="15891" max="15892" width="24.33203125" style="3007" customWidth="1"/>
    <col min="15893" max="15894" width="17.33203125" style="3007" customWidth="1"/>
    <col min="15895" max="15898" width="24.33203125" style="3007" customWidth="1"/>
    <col min="15899" max="15900" width="16.1640625" style="3007" customWidth="1"/>
    <col min="15901" max="15904" width="19.6640625" style="3007" customWidth="1"/>
    <col min="15905" max="15905" width="24.33203125" style="3007" customWidth="1"/>
    <col min="15906" max="16131" width="9.33203125" style="3007"/>
    <col min="16132" max="16132" width="0" style="3007" hidden="1" customWidth="1"/>
    <col min="16133" max="16133" width="19.6640625" style="3007" customWidth="1"/>
    <col min="16134" max="16137" width="24.33203125" style="3007" customWidth="1"/>
    <col min="16138" max="16138" width="16.1640625" style="3007" customWidth="1"/>
    <col min="16139" max="16139" width="20.83203125" style="3007" customWidth="1"/>
    <col min="16140" max="16140" width="19.6640625" style="3007" customWidth="1"/>
    <col min="16141" max="16142" width="24.33203125" style="3007" customWidth="1"/>
    <col min="16143" max="16144" width="16.1640625" style="3007" customWidth="1"/>
    <col min="16145" max="16145" width="24.33203125" style="3007" customWidth="1"/>
    <col min="16146" max="16146" width="19.6640625" style="3007" customWidth="1"/>
    <col min="16147" max="16148" width="24.33203125" style="3007" customWidth="1"/>
    <col min="16149" max="16150" width="17.33203125" style="3007" customWidth="1"/>
    <col min="16151" max="16154" width="24.33203125" style="3007" customWidth="1"/>
    <col min="16155" max="16156" width="16.1640625" style="3007" customWidth="1"/>
    <col min="16157" max="16160" width="19.6640625" style="3007" customWidth="1"/>
    <col min="16161" max="16161" width="24.33203125" style="3007" customWidth="1"/>
    <col min="16162" max="16384" width="9.33203125" style="3007"/>
  </cols>
  <sheetData>
    <row r="1" spans="1:37" ht="12" thickBot="1"/>
    <row r="2" spans="1:37" s="3011" customFormat="1" ht="16.5" customHeight="1" thickTop="1">
      <c r="B2" s="10" t="str">
        <f>'MASTER PubCo Inputs'!$C$5</f>
        <v>Kallyope, Inc.</v>
      </c>
      <c r="C2" s="10"/>
      <c r="D2" s="10"/>
      <c r="E2" s="10"/>
      <c r="F2" s="10"/>
      <c r="G2" s="10"/>
      <c r="H2" s="10"/>
      <c r="I2" s="10"/>
      <c r="J2" s="10"/>
      <c r="K2" s="10"/>
      <c r="L2" s="10"/>
      <c r="M2" s="10"/>
      <c r="N2" s="3012"/>
      <c r="O2" s="10"/>
      <c r="P2" s="372"/>
      <c r="Q2" s="10"/>
      <c r="R2" s="10"/>
      <c r="S2" s="10"/>
      <c r="T2" s="10"/>
      <c r="U2" s="10"/>
      <c r="V2" s="10"/>
      <c r="W2" s="10"/>
      <c r="X2" s="10"/>
      <c r="Y2" s="10"/>
      <c r="Z2" s="10"/>
      <c r="AA2" s="10"/>
      <c r="AB2" s="10"/>
      <c r="AC2" s="10"/>
      <c r="AD2" s="10"/>
      <c r="AE2" s="10"/>
      <c r="AF2" s="3013"/>
      <c r="AG2" s="10"/>
      <c r="AH2" s="10"/>
    </row>
    <row r="3" spans="1:37" s="3011" customFormat="1" ht="16.5" customHeight="1">
      <c r="B3" s="11" t="str">
        <f>VLOOKUP(B4,Outline!$E$8:$G$69,COLUMNS(Outline!$E$8:$G$8),FALSE)</f>
        <v>Workpaper #13</v>
      </c>
      <c r="C3" s="11"/>
      <c r="D3" s="11"/>
      <c r="E3" s="11"/>
      <c r="F3" s="11"/>
      <c r="G3" s="11"/>
      <c r="H3" s="11"/>
      <c r="I3" s="11"/>
      <c r="J3" s="11"/>
      <c r="K3" s="11"/>
      <c r="L3" s="11"/>
      <c r="M3" s="11"/>
      <c r="N3" s="3014"/>
      <c r="O3" s="11"/>
      <c r="P3" s="1920"/>
      <c r="Q3" s="11"/>
      <c r="R3" s="11"/>
      <c r="S3" s="11"/>
      <c r="T3" s="11"/>
      <c r="U3" s="11"/>
      <c r="V3" s="11"/>
      <c r="W3" s="11"/>
      <c r="X3" s="11"/>
      <c r="Y3" s="11"/>
      <c r="Z3" s="11"/>
      <c r="AA3" s="11"/>
      <c r="AB3" s="11"/>
      <c r="AC3" s="11"/>
      <c r="AD3" s="11"/>
      <c r="AE3" s="11"/>
      <c r="AF3" s="3015"/>
      <c r="AG3" s="11"/>
      <c r="AH3" s="11"/>
    </row>
    <row r="4" spans="1:37" s="3011" customFormat="1" ht="16.5" customHeight="1" thickBot="1">
      <c r="B4" s="12" t="s">
        <v>4017</v>
      </c>
      <c r="C4" s="12"/>
      <c r="D4" s="12"/>
      <c r="E4" s="12"/>
      <c r="F4" s="12"/>
      <c r="G4" s="12"/>
      <c r="H4" s="12"/>
      <c r="I4" s="399" t="s">
        <v>210</v>
      </c>
      <c r="J4" s="12"/>
      <c r="K4" s="460"/>
      <c r="L4" s="12"/>
      <c r="M4" s="12"/>
      <c r="N4" s="3016"/>
      <c r="O4" s="12"/>
      <c r="P4" s="373"/>
      <c r="Q4" s="12"/>
      <c r="R4" s="12"/>
      <c r="S4" s="12"/>
      <c r="T4" s="12"/>
      <c r="U4" s="12"/>
      <c r="V4" s="12"/>
      <c r="W4" s="12"/>
      <c r="X4" s="12"/>
      <c r="Y4" s="12"/>
      <c r="Z4" s="12"/>
      <c r="AA4" s="12"/>
      <c r="AB4" s="12"/>
      <c r="AC4" s="12"/>
      <c r="AD4" s="12"/>
      <c r="AE4" s="12"/>
      <c r="AF4" s="3017"/>
      <c r="AG4" s="12"/>
      <c r="AH4" s="12"/>
    </row>
    <row r="5" spans="1:37" s="3011" customFormat="1" ht="12.75" customHeight="1" thickTop="1">
      <c r="B5" s="3018"/>
      <c r="C5" s="3018"/>
      <c r="D5" s="3018"/>
      <c r="E5" s="3018"/>
      <c r="G5" s="3019"/>
      <c r="H5" s="3019"/>
      <c r="I5" s="3020"/>
      <c r="N5" s="3021"/>
      <c r="P5" s="3022"/>
      <c r="AF5" s="3023"/>
    </row>
    <row r="6" spans="1:37" ht="42" customHeight="1">
      <c r="A6" s="3024"/>
      <c r="B6" s="3025" t="s">
        <v>3866</v>
      </c>
      <c r="C6" s="3026" t="s">
        <v>3867</v>
      </c>
      <c r="D6" s="3026" t="s">
        <v>3868</v>
      </c>
      <c r="E6" s="3026" t="s">
        <v>3869</v>
      </c>
      <c r="F6" s="3026" t="s">
        <v>3870</v>
      </c>
      <c r="G6" s="3026" t="s">
        <v>1339</v>
      </c>
      <c r="H6" s="3026" t="s">
        <v>3871</v>
      </c>
      <c r="I6" s="3026" t="s">
        <v>3872</v>
      </c>
      <c r="J6" s="3026" t="s">
        <v>3873</v>
      </c>
      <c r="K6" s="3026" t="s">
        <v>3874</v>
      </c>
      <c r="L6" s="3026" t="s">
        <v>3875</v>
      </c>
      <c r="M6" s="3026" t="s">
        <v>3876</v>
      </c>
      <c r="N6" s="3027" t="s">
        <v>3877</v>
      </c>
      <c r="O6" s="3026" t="s">
        <v>3878</v>
      </c>
      <c r="P6" s="3026" t="s">
        <v>3879</v>
      </c>
      <c r="Q6" s="3026" t="s">
        <v>3880</v>
      </c>
      <c r="R6" s="3026" t="s">
        <v>3881</v>
      </c>
      <c r="S6" s="3026" t="s">
        <v>3882</v>
      </c>
      <c r="T6" s="3026" t="s">
        <v>3883</v>
      </c>
      <c r="U6" s="3026" t="s">
        <v>3884</v>
      </c>
      <c r="V6" s="3026" t="s">
        <v>3885</v>
      </c>
      <c r="W6" s="3026" t="s">
        <v>3886</v>
      </c>
      <c r="X6" s="3026" t="s">
        <v>3887</v>
      </c>
      <c r="Y6" s="3026" t="s">
        <v>3888</v>
      </c>
      <c r="Z6" s="3026" t="s">
        <v>3889</v>
      </c>
      <c r="AA6" s="3026" t="s">
        <v>3890</v>
      </c>
      <c r="AB6" s="3026" t="s">
        <v>3891</v>
      </c>
      <c r="AC6" s="3026" t="s">
        <v>3892</v>
      </c>
      <c r="AD6" s="3026" t="s">
        <v>3893</v>
      </c>
      <c r="AE6" s="3026" t="s">
        <v>3894</v>
      </c>
      <c r="AF6" s="3028" t="s">
        <v>1356</v>
      </c>
      <c r="AG6" s="3026" t="s">
        <v>671</v>
      </c>
      <c r="AH6" s="3028" t="s">
        <v>3895</v>
      </c>
      <c r="AJ6" s="3029" t="s">
        <v>646</v>
      </c>
      <c r="AK6" s="3030">
        <f>'MASTER PubCo Inputs'!C6</f>
        <v>43281</v>
      </c>
    </row>
    <row r="7" spans="1:37" s="3006" customFormat="1" ht="12.75" customHeight="1">
      <c r="A7" s="3024"/>
      <c r="B7" s="3031"/>
      <c r="C7" s="3031"/>
      <c r="D7" s="3031"/>
      <c r="E7" s="3031"/>
      <c r="F7" s="3031"/>
      <c r="G7" s="3031"/>
      <c r="H7" s="3031"/>
      <c r="I7" s="3031"/>
      <c r="J7" s="3031"/>
      <c r="K7" s="3031"/>
      <c r="L7" s="3031"/>
      <c r="M7" s="3031"/>
      <c r="N7" s="3032"/>
      <c r="O7" s="3031"/>
      <c r="P7" s="3031"/>
      <c r="Q7" s="3031"/>
      <c r="R7" s="3031"/>
      <c r="S7" s="3031"/>
      <c r="T7" s="3031"/>
      <c r="U7" s="3031"/>
      <c r="V7" s="3031"/>
      <c r="W7" s="3031"/>
      <c r="X7" s="3031"/>
      <c r="Y7" s="3031"/>
      <c r="Z7" s="3031"/>
      <c r="AA7" s="3031"/>
      <c r="AB7" s="3031"/>
      <c r="AC7" s="3031"/>
      <c r="AD7" s="3031"/>
      <c r="AE7" s="3031"/>
      <c r="AF7" s="3031"/>
      <c r="AG7" s="3031"/>
      <c r="AH7" s="3031"/>
      <c r="AK7" s="3034"/>
    </row>
    <row r="8" spans="1:37" s="3006" customFormat="1" ht="12.75" customHeight="1">
      <c r="A8" s="3024"/>
      <c r="B8" s="3035" t="s">
        <v>852</v>
      </c>
      <c r="C8" s="3036"/>
      <c r="D8" s="3036"/>
      <c r="E8" s="3036"/>
      <c r="F8" s="3036"/>
      <c r="G8" s="3036"/>
      <c r="H8" s="3036"/>
      <c r="I8" s="3036"/>
      <c r="J8" s="3036"/>
      <c r="K8" s="3036"/>
      <c r="L8" s="3036"/>
      <c r="M8" s="3036"/>
      <c r="N8" s="3037"/>
      <c r="O8" s="3036"/>
      <c r="P8" s="3036"/>
      <c r="Q8" s="3036"/>
      <c r="R8" s="3036"/>
      <c r="S8" s="3036"/>
      <c r="T8" s="3036"/>
      <c r="U8" s="3036"/>
      <c r="V8" s="3036"/>
      <c r="W8" s="3036"/>
      <c r="X8" s="3036"/>
      <c r="Y8" s="3036"/>
      <c r="Z8" s="3036"/>
      <c r="AA8" s="3036"/>
      <c r="AB8" s="3036"/>
      <c r="AC8" s="3036"/>
      <c r="AD8" s="3036"/>
      <c r="AE8" s="3036"/>
      <c r="AF8" s="3038"/>
      <c r="AG8" s="3036"/>
      <c r="AH8" s="3038"/>
      <c r="AK8" s="3034"/>
    </row>
    <row r="9" spans="1:37" s="3006" customFormat="1" ht="12.75" customHeight="1">
      <c r="A9" s="3024"/>
      <c r="B9" s="3039"/>
      <c r="C9" s="3031"/>
      <c r="D9" s="3031"/>
      <c r="E9" s="3031"/>
      <c r="F9" s="3031"/>
      <c r="G9" s="3031"/>
      <c r="H9" s="3031"/>
      <c r="I9" s="3031"/>
      <c r="J9" s="3031"/>
      <c r="K9" s="3031"/>
      <c r="L9" s="3031"/>
      <c r="M9" s="3031"/>
      <c r="N9" s="3032"/>
      <c r="O9" s="3031"/>
      <c r="P9" s="3031"/>
      <c r="Q9" s="3031"/>
      <c r="R9" s="3031"/>
      <c r="S9" s="3031"/>
      <c r="T9" s="3031"/>
      <c r="U9" s="3031"/>
      <c r="V9" s="3031"/>
      <c r="W9" s="3031"/>
      <c r="X9" s="3031"/>
      <c r="Y9" s="3031"/>
      <c r="Z9" s="3031"/>
      <c r="AA9" s="3031"/>
      <c r="AB9" s="3031"/>
      <c r="AC9" s="3031"/>
      <c r="AD9" s="3031"/>
      <c r="AE9" s="3031"/>
      <c r="AF9" s="3033"/>
      <c r="AG9" s="3031"/>
      <c r="AH9" s="3031"/>
      <c r="AK9" s="3034"/>
    </row>
    <row r="10" spans="1:37" s="2141" customFormat="1" ht="25.5">
      <c r="A10" s="3040"/>
      <c r="B10" s="3041" t="s">
        <v>852</v>
      </c>
      <c r="C10" s="3042" t="s">
        <v>3896</v>
      </c>
      <c r="D10" s="3041" t="s">
        <v>3897</v>
      </c>
      <c r="E10" s="3042" t="s">
        <v>3898</v>
      </c>
      <c r="F10" s="3041" t="s">
        <v>3899</v>
      </c>
      <c r="G10" s="3043">
        <v>42499</v>
      </c>
      <c r="H10" s="3043">
        <v>53461</v>
      </c>
      <c r="I10" s="3044">
        <v>4.4500000000000005E-2</v>
      </c>
      <c r="J10" s="3044">
        <v>4.1320000000000003E-2</v>
      </c>
      <c r="K10" s="3044">
        <v>4.4909999999999999E-2</v>
      </c>
      <c r="L10" s="3045">
        <v>108.7</v>
      </c>
      <c r="M10" s="3046">
        <v>99.328000000000003</v>
      </c>
      <c r="N10" s="3047">
        <v>2000</v>
      </c>
      <c r="O10" s="3048">
        <v>2000</v>
      </c>
      <c r="P10" s="3042" t="s">
        <v>3900</v>
      </c>
      <c r="Q10" s="3049">
        <v>42499</v>
      </c>
      <c r="R10" s="3041" t="s">
        <v>3901</v>
      </c>
      <c r="S10" s="3041" t="s">
        <v>3079</v>
      </c>
      <c r="T10" s="3041" t="s">
        <v>401</v>
      </c>
      <c r="U10" s="3041" t="s">
        <v>3902</v>
      </c>
      <c r="V10" s="3041" t="s">
        <v>3903</v>
      </c>
      <c r="W10" s="3041" t="s">
        <v>3904</v>
      </c>
      <c r="X10" s="3041" t="s">
        <v>3905</v>
      </c>
      <c r="Y10" s="3041" t="s">
        <v>3906</v>
      </c>
      <c r="Z10" s="3043">
        <v>42502</v>
      </c>
      <c r="AA10" s="3043">
        <v>42688</v>
      </c>
      <c r="AB10" s="3043">
        <v>53280</v>
      </c>
      <c r="AC10" s="3043">
        <v>53280</v>
      </c>
      <c r="AD10" s="3048">
        <v>100</v>
      </c>
      <c r="AE10" s="3050">
        <v>4.8051000000000003E-2</v>
      </c>
      <c r="AF10" s="3045">
        <f t="shared" ref="AF10:AF15" si="0">YEARFRAC(G10,H10,3)</f>
        <v>30.032876712328768</v>
      </c>
      <c r="AG10" s="3044"/>
      <c r="AH10" s="3044"/>
    </row>
    <row r="11" spans="1:37" s="2141" customFormat="1" ht="25.5">
      <c r="A11" s="3040"/>
      <c r="B11" s="3041" t="s">
        <v>852</v>
      </c>
      <c r="C11" s="3042" t="s">
        <v>3896</v>
      </c>
      <c r="D11" s="3041" t="s">
        <v>3897</v>
      </c>
      <c r="E11" s="3042" t="s">
        <v>3898</v>
      </c>
      <c r="F11" s="3041" t="s">
        <v>3907</v>
      </c>
      <c r="G11" s="3043">
        <v>42499</v>
      </c>
      <c r="H11" s="3043">
        <v>49809</v>
      </c>
      <c r="I11" s="3044">
        <v>4.2999999999999997E-2</v>
      </c>
      <c r="J11" s="3044">
        <v>3.9239999999999997E-2</v>
      </c>
      <c r="K11" s="3044">
        <v>4.3410000000000004E-2</v>
      </c>
      <c r="L11" s="3045">
        <v>107.15300000000001</v>
      </c>
      <c r="M11" s="3046">
        <v>99.454999999999998</v>
      </c>
      <c r="N11" s="3047">
        <v>1000</v>
      </c>
      <c r="O11" s="3048">
        <v>1000</v>
      </c>
      <c r="P11" s="3042" t="s">
        <v>3900</v>
      </c>
      <c r="Q11" s="3049">
        <v>42499</v>
      </c>
      <c r="R11" s="3041" t="s">
        <v>3901</v>
      </c>
      <c r="S11" s="3041" t="s">
        <v>3079</v>
      </c>
      <c r="T11" s="3041" t="s">
        <v>401</v>
      </c>
      <c r="U11" s="3041" t="s">
        <v>3902</v>
      </c>
      <c r="V11" s="3041" t="s">
        <v>3903</v>
      </c>
      <c r="W11" s="3041" t="s">
        <v>3904</v>
      </c>
      <c r="X11" s="3041" t="s">
        <v>3905</v>
      </c>
      <c r="Y11" s="3041" t="s">
        <v>3906</v>
      </c>
      <c r="Z11" s="3043">
        <v>42502</v>
      </c>
      <c r="AA11" s="3043">
        <v>42688</v>
      </c>
      <c r="AB11" s="3043">
        <v>49627</v>
      </c>
      <c r="AC11" s="3043">
        <v>49627</v>
      </c>
      <c r="AD11" s="3048">
        <v>100</v>
      </c>
      <c r="AE11" s="3050">
        <v>4.7638E-2</v>
      </c>
      <c r="AF11" s="3045">
        <f t="shared" si="0"/>
        <v>20.027397260273972</v>
      </c>
      <c r="AG11" s="3044"/>
      <c r="AH11" s="3044"/>
    </row>
    <row r="12" spans="1:37" s="2141" customFormat="1" ht="25.5">
      <c r="A12" s="3040"/>
      <c r="B12" s="3041" t="s">
        <v>852</v>
      </c>
      <c r="C12" s="3042" t="s">
        <v>3896</v>
      </c>
      <c r="D12" s="3041" t="s">
        <v>3897</v>
      </c>
      <c r="E12" s="3042" t="s">
        <v>3898</v>
      </c>
      <c r="F12" s="3041" t="s">
        <v>3908</v>
      </c>
      <c r="G12" s="3043">
        <v>42499</v>
      </c>
      <c r="H12" s="3043">
        <v>46156</v>
      </c>
      <c r="I12" s="3044">
        <v>3.2000000000000001E-2</v>
      </c>
      <c r="J12" s="3044">
        <v>3.5159999999999997E-2</v>
      </c>
      <c r="K12" s="3044">
        <v>3.245E-2</v>
      </c>
      <c r="L12" s="3045">
        <v>99.703999999999994</v>
      </c>
      <c r="M12" s="3046">
        <v>99.617999999999995</v>
      </c>
      <c r="N12" s="3047">
        <v>2000</v>
      </c>
      <c r="O12" s="3048">
        <v>2000</v>
      </c>
      <c r="P12" s="3042" t="s">
        <v>3900</v>
      </c>
      <c r="Q12" s="3049">
        <v>42499</v>
      </c>
      <c r="R12" s="3041" t="s">
        <v>3901</v>
      </c>
      <c r="S12" s="3041" t="s">
        <v>3079</v>
      </c>
      <c r="T12" s="3041" t="s">
        <v>401</v>
      </c>
      <c r="U12" s="3041" t="s">
        <v>3902</v>
      </c>
      <c r="V12" s="3041" t="s">
        <v>3903</v>
      </c>
      <c r="W12" s="3041" t="s">
        <v>3904</v>
      </c>
      <c r="X12" s="3041" t="s">
        <v>3905</v>
      </c>
      <c r="Y12" s="3041" t="s">
        <v>3906</v>
      </c>
      <c r="Z12" s="3043">
        <v>42502</v>
      </c>
      <c r="AA12" s="3043">
        <v>42688</v>
      </c>
      <c r="AB12" s="3043">
        <v>45975</v>
      </c>
      <c r="AC12" s="3043">
        <v>46067</v>
      </c>
      <c r="AD12" s="3048">
        <v>100</v>
      </c>
      <c r="AE12" s="3050">
        <v>4.2401999999999995E-2</v>
      </c>
      <c r="AF12" s="3045">
        <f t="shared" si="0"/>
        <v>10.019178082191781</v>
      </c>
      <c r="AG12" s="3044"/>
      <c r="AH12" s="3044"/>
    </row>
    <row r="13" spans="1:37" s="2141" customFormat="1" ht="25.5">
      <c r="A13" s="3040"/>
      <c r="B13" s="3041" t="s">
        <v>852</v>
      </c>
      <c r="C13" s="3042" t="s">
        <v>3896</v>
      </c>
      <c r="D13" s="3041" t="s">
        <v>3897</v>
      </c>
      <c r="E13" s="3042" t="s">
        <v>3898</v>
      </c>
      <c r="F13" s="3041" t="s">
        <v>3909</v>
      </c>
      <c r="G13" s="3043">
        <v>42129</v>
      </c>
      <c r="H13" s="3043">
        <v>53096</v>
      </c>
      <c r="I13" s="3044">
        <v>4.7E-2</v>
      </c>
      <c r="J13" s="3044">
        <v>4.1309999999999999E-2</v>
      </c>
      <c r="K13" s="3044">
        <v>4.7030000000000002E-2</v>
      </c>
      <c r="L13" s="3045">
        <v>112.128</v>
      </c>
      <c r="M13" s="3046">
        <v>99.951999999999998</v>
      </c>
      <c r="N13" s="3047">
        <v>2700</v>
      </c>
      <c r="O13" s="3048">
        <v>2700</v>
      </c>
      <c r="P13" s="3042" t="s">
        <v>3900</v>
      </c>
      <c r="Q13" s="3049">
        <v>42488</v>
      </c>
      <c r="R13" s="3041" t="s">
        <v>3910</v>
      </c>
      <c r="S13" s="3041" t="s">
        <v>3079</v>
      </c>
      <c r="T13" s="3041" t="s">
        <v>401</v>
      </c>
      <c r="U13" s="3041" t="s">
        <v>3902</v>
      </c>
      <c r="V13" s="3041" t="s">
        <v>3903</v>
      </c>
      <c r="W13" s="3041" t="s">
        <v>3904</v>
      </c>
      <c r="X13" s="3041" t="s">
        <v>3905</v>
      </c>
      <c r="Y13" s="3041" t="s">
        <v>3906</v>
      </c>
      <c r="Z13" s="3043">
        <v>42138</v>
      </c>
      <c r="AA13" s="3043">
        <v>42322</v>
      </c>
      <c r="AB13" s="3043">
        <v>52915</v>
      </c>
      <c r="AC13" s="3043">
        <v>52915</v>
      </c>
      <c r="AD13" s="3048">
        <v>100</v>
      </c>
      <c r="AE13" s="3050">
        <v>4.7868000000000001E-2</v>
      </c>
      <c r="AF13" s="3045">
        <f t="shared" si="0"/>
        <v>30.046575342465754</v>
      </c>
      <c r="AG13" s="3044"/>
      <c r="AH13" s="3044"/>
    </row>
    <row r="14" spans="1:37" s="2141" customFormat="1" ht="25.5">
      <c r="A14" s="3040"/>
      <c r="B14" s="3041" t="s">
        <v>852</v>
      </c>
      <c r="C14" s="3042" t="s">
        <v>3896</v>
      </c>
      <c r="D14" s="3041" t="s">
        <v>3897</v>
      </c>
      <c r="E14" s="3042" t="s">
        <v>3898</v>
      </c>
      <c r="F14" s="3041" t="s">
        <v>3911</v>
      </c>
      <c r="G14" s="3043">
        <v>42129</v>
      </c>
      <c r="H14" s="3043">
        <v>49443</v>
      </c>
      <c r="I14" s="3044">
        <v>4.4999999999999998E-2</v>
      </c>
      <c r="J14" s="3044">
        <v>3.9120000000000002E-2</v>
      </c>
      <c r="K14" s="3044">
        <v>4.5530000000000001E-2</v>
      </c>
      <c r="L14" s="3045">
        <v>109.834</v>
      </c>
      <c r="M14" s="3046">
        <v>99.308999999999997</v>
      </c>
      <c r="N14" s="3047">
        <v>2500</v>
      </c>
      <c r="O14" s="3048">
        <v>2500</v>
      </c>
      <c r="P14" s="3042" t="s">
        <v>3900</v>
      </c>
      <c r="Q14" s="3049">
        <v>42488</v>
      </c>
      <c r="R14" s="3041" t="s">
        <v>3910</v>
      </c>
      <c r="S14" s="3041" t="s">
        <v>3079</v>
      </c>
      <c r="T14" s="3041" t="s">
        <v>401</v>
      </c>
      <c r="U14" s="3041" t="s">
        <v>3902</v>
      </c>
      <c r="V14" s="3041" t="s">
        <v>3903</v>
      </c>
      <c r="W14" s="3041" t="s">
        <v>3904</v>
      </c>
      <c r="X14" s="3041" t="s">
        <v>3905</v>
      </c>
      <c r="Y14" s="3041" t="s">
        <v>3906</v>
      </c>
      <c r="Z14" s="3043">
        <v>42138</v>
      </c>
      <c r="AA14" s="3043">
        <v>42322</v>
      </c>
      <c r="AB14" s="3043">
        <v>49262</v>
      </c>
      <c r="AC14" s="3043">
        <v>49262</v>
      </c>
      <c r="AD14" s="3048">
        <v>100</v>
      </c>
      <c r="AE14" s="3050">
        <v>4.7301999999999997E-2</v>
      </c>
      <c r="AF14" s="3045">
        <f t="shared" si="0"/>
        <v>20.038356164383561</v>
      </c>
      <c r="AG14" s="3044"/>
      <c r="AH14" s="3044"/>
    </row>
    <row r="15" spans="1:37" s="2141" customFormat="1" ht="25.5">
      <c r="A15" s="3040"/>
      <c r="B15" s="3041" t="s">
        <v>852</v>
      </c>
      <c r="C15" s="3042" t="s">
        <v>3896</v>
      </c>
      <c r="D15" s="3041" t="s">
        <v>3897</v>
      </c>
      <c r="E15" s="3042" t="s">
        <v>3898</v>
      </c>
      <c r="F15" s="3041" t="s">
        <v>3912</v>
      </c>
      <c r="G15" s="3043">
        <v>42129</v>
      </c>
      <c r="H15" s="3043">
        <v>45791</v>
      </c>
      <c r="I15" s="3044">
        <v>3.6000000000000004E-2</v>
      </c>
      <c r="J15" s="3044">
        <v>3.4369999999999998E-2</v>
      </c>
      <c r="K15" s="3044">
        <v>3.6209999999999999E-2</v>
      </c>
      <c r="L15" s="3045">
        <v>102.80800000000001</v>
      </c>
      <c r="M15" s="3046">
        <v>99.825000000000003</v>
      </c>
      <c r="N15" s="3047">
        <v>3750</v>
      </c>
      <c r="O15" s="3048">
        <v>3750</v>
      </c>
      <c r="P15" s="3042" t="s">
        <v>3900</v>
      </c>
      <c r="Q15" s="3049">
        <v>42488</v>
      </c>
      <c r="R15" s="3041" t="s">
        <v>3910</v>
      </c>
      <c r="S15" s="3041" t="s">
        <v>3079</v>
      </c>
      <c r="T15" s="3041" t="s">
        <v>401</v>
      </c>
      <c r="U15" s="3041" t="s">
        <v>3902</v>
      </c>
      <c r="V15" s="3041" t="s">
        <v>3903</v>
      </c>
      <c r="W15" s="3041" t="s">
        <v>3904</v>
      </c>
      <c r="X15" s="3041" t="s">
        <v>3905</v>
      </c>
      <c r="Y15" s="3041" t="s">
        <v>3906</v>
      </c>
      <c r="Z15" s="3043">
        <v>42138</v>
      </c>
      <c r="AA15" s="3043">
        <v>42322</v>
      </c>
      <c r="AB15" s="3043">
        <v>45610</v>
      </c>
      <c r="AC15" s="3043">
        <v>45702</v>
      </c>
      <c r="AD15" s="3048">
        <v>100</v>
      </c>
      <c r="AE15" s="3050">
        <v>4.1778000000000003E-2</v>
      </c>
      <c r="AF15" s="3045">
        <f t="shared" si="0"/>
        <v>10.032876712328767</v>
      </c>
      <c r="AG15" s="3044"/>
      <c r="AH15" s="3044"/>
    </row>
    <row r="16" spans="1:37" s="2141" customFormat="1" ht="12.75">
      <c r="A16" s="3040"/>
      <c r="B16" s="3041"/>
      <c r="C16" s="3042"/>
      <c r="D16" s="3041"/>
      <c r="E16" s="3042"/>
      <c r="F16" s="3041"/>
      <c r="G16" s="3043"/>
      <c r="H16" s="3043"/>
      <c r="I16" s="3044"/>
      <c r="J16" s="3044"/>
      <c r="K16" s="3044"/>
      <c r="L16" s="3045"/>
      <c r="M16" s="3046"/>
      <c r="N16" s="3047"/>
      <c r="O16" s="3048"/>
      <c r="P16" s="3042"/>
      <c r="Q16" s="3048"/>
      <c r="R16" s="3041"/>
      <c r="S16" s="3041"/>
      <c r="T16" s="3041"/>
      <c r="U16" s="3041"/>
      <c r="V16" s="3041"/>
      <c r="W16" s="3041"/>
      <c r="X16" s="3041"/>
      <c r="Y16" s="3041"/>
      <c r="Z16" s="3048"/>
      <c r="AA16" s="3048"/>
      <c r="AB16" s="3048"/>
      <c r="AC16" s="3048"/>
      <c r="AD16" s="3048"/>
      <c r="AE16" s="3051"/>
      <c r="AF16" s="3045"/>
      <c r="AG16" s="3044"/>
      <c r="AH16" s="3044"/>
    </row>
    <row r="17" spans="1:37" s="2141" customFormat="1" ht="12.75">
      <c r="A17" s="3052"/>
      <c r="C17" s="3053"/>
      <c r="E17" s="3053"/>
      <c r="I17" s="3054"/>
      <c r="J17" s="3054"/>
      <c r="K17" s="3054"/>
      <c r="L17" s="3055"/>
      <c r="M17" s="3055"/>
      <c r="N17" s="3056"/>
      <c r="P17" s="3053"/>
      <c r="AE17" s="3054"/>
      <c r="AF17" s="3045"/>
      <c r="AG17" s="3054"/>
      <c r="AH17" s="3054"/>
    </row>
    <row r="18" spans="1:37" s="2141" customFormat="1" ht="12.75">
      <c r="A18" s="3052"/>
      <c r="B18" s="3035" t="s">
        <v>3913</v>
      </c>
      <c r="C18" s="3036"/>
      <c r="D18" s="3036"/>
      <c r="E18" s="3036"/>
      <c r="F18" s="3036"/>
      <c r="G18" s="3036"/>
      <c r="H18" s="3036"/>
      <c r="I18" s="3057"/>
      <c r="J18" s="3057"/>
      <c r="K18" s="3057"/>
      <c r="L18" s="3058"/>
      <c r="M18" s="3058"/>
      <c r="N18" s="3037"/>
      <c r="O18" s="3036"/>
      <c r="P18" s="3036"/>
      <c r="Q18" s="3036"/>
      <c r="R18" s="3036"/>
      <c r="S18" s="3036"/>
      <c r="T18" s="3036"/>
      <c r="U18" s="3036"/>
      <c r="V18" s="3036"/>
      <c r="W18" s="3036"/>
      <c r="X18" s="3036"/>
      <c r="Y18" s="3036"/>
      <c r="Z18" s="3036"/>
      <c r="AA18" s="3036"/>
      <c r="AB18" s="3036"/>
      <c r="AC18" s="3036"/>
      <c r="AD18" s="3036"/>
      <c r="AE18" s="3057"/>
      <c r="AF18" s="3218"/>
      <c r="AG18" s="3057"/>
      <c r="AH18" s="3059"/>
    </row>
    <row r="19" spans="1:37" s="2141" customFormat="1" ht="12.75">
      <c r="A19" s="3052"/>
      <c r="C19" s="3053"/>
      <c r="E19" s="3053"/>
      <c r="I19" s="3054"/>
      <c r="J19" s="3054"/>
      <c r="K19" s="3054"/>
      <c r="L19" s="3055"/>
      <c r="M19" s="3055"/>
      <c r="N19" s="3056"/>
      <c r="P19" s="3053"/>
      <c r="AE19" s="3054"/>
      <c r="AF19" s="3045"/>
      <c r="AG19" s="3054"/>
      <c r="AH19" s="3054"/>
    </row>
    <row r="20" spans="1:37" s="3052" customFormat="1" ht="25.5">
      <c r="B20" s="3060" t="s">
        <v>3913</v>
      </c>
      <c r="C20" s="3040" t="s">
        <v>3896</v>
      </c>
      <c r="D20" s="3060" t="s">
        <v>3914</v>
      </c>
      <c r="E20" s="3040" t="s">
        <v>3898</v>
      </c>
      <c r="F20" s="3060" t="s">
        <v>3915</v>
      </c>
      <c r="G20" s="3049">
        <v>43039</v>
      </c>
      <c r="H20" s="3049">
        <v>46693</v>
      </c>
      <c r="I20" s="3051">
        <v>3.2000000000000001E-2</v>
      </c>
      <c r="J20" s="3051">
        <v>3.456E-2</v>
      </c>
      <c r="K20" s="3051">
        <v>3.2469999999999999E-2</v>
      </c>
      <c r="L20" s="3045">
        <v>99.876000000000005</v>
      </c>
      <c r="M20" s="3061">
        <v>99.600999999999999</v>
      </c>
      <c r="N20" s="3061">
        <v>1000</v>
      </c>
      <c r="O20" s="3062">
        <v>1000</v>
      </c>
      <c r="P20" s="3040" t="s">
        <v>77</v>
      </c>
      <c r="Q20" s="3049">
        <v>43039</v>
      </c>
      <c r="R20" s="3060" t="s">
        <v>3901</v>
      </c>
      <c r="S20" s="3060" t="s">
        <v>3079</v>
      </c>
      <c r="T20" s="3060" t="s">
        <v>401</v>
      </c>
      <c r="U20" s="3060" t="s">
        <v>3902</v>
      </c>
      <c r="V20" s="3060" t="s">
        <v>3903</v>
      </c>
      <c r="W20" s="3060" t="s">
        <v>3904</v>
      </c>
      <c r="X20" s="3060" t="s">
        <v>3905</v>
      </c>
      <c r="Y20" s="3060" t="s">
        <v>3906</v>
      </c>
      <c r="Z20" s="3063">
        <v>43041</v>
      </c>
      <c r="AA20" s="3063">
        <v>43222</v>
      </c>
      <c r="AB20" s="3063" t="s">
        <v>3079</v>
      </c>
      <c r="AC20" s="3063">
        <v>46693</v>
      </c>
      <c r="AD20" s="3064">
        <v>100</v>
      </c>
      <c r="AE20" s="3050">
        <v>4.0656999999999999E-2</v>
      </c>
      <c r="AF20" s="3045">
        <f>YEARFRAC(G20,H20,3)</f>
        <v>10.010958904109589</v>
      </c>
      <c r="AG20" s="3065"/>
      <c r="AH20" s="3065"/>
    </row>
    <row r="21" spans="1:37" s="2141" customFormat="1" ht="25.5">
      <c r="A21" s="3052"/>
      <c r="B21" s="3041" t="s">
        <v>3913</v>
      </c>
      <c r="C21" s="3042" t="s">
        <v>3896</v>
      </c>
      <c r="D21" s="3041" t="s">
        <v>3914</v>
      </c>
      <c r="E21" s="3042" t="s">
        <v>3898</v>
      </c>
      <c r="F21" s="3041" t="s">
        <v>3916</v>
      </c>
      <c r="G21" s="3043">
        <v>42713</v>
      </c>
      <c r="H21" s="3043">
        <v>55319</v>
      </c>
      <c r="I21" s="3066">
        <v>4.6630000000000005E-2</v>
      </c>
      <c r="J21" s="3066">
        <v>4.2119999999999998E-2</v>
      </c>
      <c r="K21" s="3066" t="s">
        <v>3079</v>
      </c>
      <c r="L21" s="3046">
        <v>111.851</v>
      </c>
      <c r="M21" s="3067" t="s">
        <v>3079</v>
      </c>
      <c r="N21" s="3067">
        <v>3541.38</v>
      </c>
      <c r="O21" s="3068">
        <v>3541.38</v>
      </c>
      <c r="P21" s="3042" t="s">
        <v>77</v>
      </c>
      <c r="Q21" s="3048">
        <v>42502</v>
      </c>
      <c r="R21" s="3041" t="s">
        <v>3901</v>
      </c>
      <c r="S21" s="3041" t="s">
        <v>3079</v>
      </c>
      <c r="T21" s="3041" t="s">
        <v>401</v>
      </c>
      <c r="U21" s="3041" t="s">
        <v>3902</v>
      </c>
      <c r="V21" s="3041" t="s">
        <v>3903</v>
      </c>
      <c r="W21" s="3041" t="s">
        <v>3904</v>
      </c>
      <c r="X21" s="3041" t="s">
        <v>3905</v>
      </c>
      <c r="Y21" s="3041" t="s">
        <v>3906</v>
      </c>
      <c r="Z21" s="3043">
        <v>42719</v>
      </c>
      <c r="AA21" s="3043">
        <v>42901</v>
      </c>
      <c r="AB21" s="3043">
        <v>55137</v>
      </c>
      <c r="AC21" s="3043">
        <v>55137</v>
      </c>
      <c r="AD21" s="3048">
        <v>100</v>
      </c>
      <c r="AE21" s="3050">
        <v>4.7774000000000004E-2</v>
      </c>
      <c r="AF21" s="3045">
        <f>YEARFRAC(G21,H21,3)</f>
        <v>34.536986301369865</v>
      </c>
      <c r="AG21" s="3044"/>
      <c r="AH21" s="3044"/>
    </row>
    <row r="22" spans="1:37" s="2141" customFormat="1" ht="25.5">
      <c r="A22" s="3052"/>
      <c r="B22" s="3041" t="s">
        <v>3913</v>
      </c>
      <c r="C22" s="3042" t="s">
        <v>3896</v>
      </c>
      <c r="D22" s="3041" t="s">
        <v>3914</v>
      </c>
      <c r="E22" s="3042" t="s">
        <v>3898</v>
      </c>
      <c r="F22" s="3041" t="s">
        <v>3917</v>
      </c>
      <c r="G22" s="3043">
        <v>42713</v>
      </c>
      <c r="H22" s="3043">
        <v>54224</v>
      </c>
      <c r="I22" s="3066">
        <v>4.5629999999999997E-2</v>
      </c>
      <c r="J22" s="3066">
        <v>4.1820000000000003E-2</v>
      </c>
      <c r="K22" s="3066" t="s">
        <v>3079</v>
      </c>
      <c r="L22" s="3046">
        <v>111.501</v>
      </c>
      <c r="M22" s="3067" t="s">
        <v>3079</v>
      </c>
      <c r="N22" s="3067">
        <v>1415.21</v>
      </c>
      <c r="O22" s="3068">
        <v>1415.21</v>
      </c>
      <c r="P22" s="3042" t="s">
        <v>77</v>
      </c>
      <c r="Q22" s="3048">
        <v>42502</v>
      </c>
      <c r="R22" s="3041" t="s">
        <v>3901</v>
      </c>
      <c r="S22" s="3041" t="s">
        <v>3079</v>
      </c>
      <c r="T22" s="3041" t="s">
        <v>401</v>
      </c>
      <c r="U22" s="3041" t="s">
        <v>3902</v>
      </c>
      <c r="V22" s="3041" t="s">
        <v>3903</v>
      </c>
      <c r="W22" s="3041" t="s">
        <v>3904</v>
      </c>
      <c r="X22" s="3041" t="s">
        <v>3905</v>
      </c>
      <c r="Y22" s="3041" t="s">
        <v>3906</v>
      </c>
      <c r="Z22" s="3043">
        <v>42719</v>
      </c>
      <c r="AA22" s="3043">
        <v>42901</v>
      </c>
      <c r="AB22" s="3043">
        <v>54041</v>
      </c>
      <c r="AC22" s="3043">
        <v>54041</v>
      </c>
      <c r="AD22" s="3048">
        <v>100</v>
      </c>
      <c r="AE22" s="3050">
        <v>4.7259000000000002E-2</v>
      </c>
      <c r="AF22" s="3045">
        <f t="shared" ref="AF22:AF29" si="1">YEARFRAC(G22,H22,3)</f>
        <v>31.536986301369861</v>
      </c>
      <c r="AG22" s="3044"/>
      <c r="AH22" s="3044"/>
    </row>
    <row r="23" spans="1:37" s="2141" customFormat="1" ht="25.5">
      <c r="A23" s="3052"/>
      <c r="B23" s="3069" t="s">
        <v>3913</v>
      </c>
      <c r="C23" s="3070" t="s">
        <v>3896</v>
      </c>
      <c r="D23" s="3069" t="s">
        <v>3914</v>
      </c>
      <c r="E23" s="3070" t="s">
        <v>3898</v>
      </c>
      <c r="F23" s="3069" t="s">
        <v>3918</v>
      </c>
      <c r="G23" s="3071">
        <v>42592</v>
      </c>
      <c r="H23" s="3071">
        <v>46253</v>
      </c>
      <c r="I23" s="3072">
        <v>2.6000000000000002E-2</v>
      </c>
      <c r="J23" s="3072">
        <v>3.3590000000000002E-2</v>
      </c>
      <c r="K23" s="3072">
        <v>2.6600000000000002E-2</v>
      </c>
      <c r="L23" s="3046">
        <v>95.753</v>
      </c>
      <c r="M23" s="3073">
        <v>99.489000000000004</v>
      </c>
      <c r="N23" s="3073">
        <v>1250</v>
      </c>
      <c r="O23" s="3074">
        <v>1250</v>
      </c>
      <c r="P23" s="3070" t="s">
        <v>77</v>
      </c>
      <c r="Q23" s="3075">
        <v>42592</v>
      </c>
      <c r="R23" s="3069" t="s">
        <v>3901</v>
      </c>
      <c r="S23" s="3069" t="s">
        <v>3079</v>
      </c>
      <c r="T23" s="3069" t="s">
        <v>401</v>
      </c>
      <c r="U23" s="3069" t="s">
        <v>3902</v>
      </c>
      <c r="V23" s="3069" t="s">
        <v>3903</v>
      </c>
      <c r="W23" s="3069" t="s">
        <v>3904</v>
      </c>
      <c r="X23" s="3069" t="s">
        <v>3905</v>
      </c>
      <c r="Y23" s="3069" t="s">
        <v>3906</v>
      </c>
      <c r="Z23" s="3043">
        <v>42601</v>
      </c>
      <c r="AA23" s="3043">
        <v>42785</v>
      </c>
      <c r="AB23" s="3043">
        <v>46072</v>
      </c>
      <c r="AC23" s="3043">
        <v>46161</v>
      </c>
      <c r="AD23" s="3075">
        <v>100</v>
      </c>
      <c r="AE23" s="3050">
        <v>4.0811E-2</v>
      </c>
      <c r="AF23" s="3045">
        <f>YEARFRAC(G23,H23,3)</f>
        <v>10.03013698630137</v>
      </c>
      <c r="AG23" s="3076"/>
      <c r="AH23" s="3076"/>
    </row>
    <row r="24" spans="1:37" s="2141" customFormat="1" ht="25.5">
      <c r="A24" s="3052"/>
      <c r="B24" s="3041" t="s">
        <v>3913</v>
      </c>
      <c r="C24" s="3042" t="s">
        <v>3896</v>
      </c>
      <c r="D24" s="3041" t="s">
        <v>3914</v>
      </c>
      <c r="E24" s="3042" t="s">
        <v>3898</v>
      </c>
      <c r="F24" s="3041" t="s">
        <v>3919</v>
      </c>
      <c r="G24" s="3043">
        <v>42530</v>
      </c>
      <c r="H24" s="3043">
        <v>55319</v>
      </c>
      <c r="I24" s="3066">
        <v>4.6630000000000005E-2</v>
      </c>
      <c r="J24" s="3066">
        <v>4.2119999999999998E-2</v>
      </c>
      <c r="K24" s="3066">
        <v>4.6630000000000005E-2</v>
      </c>
      <c r="L24" s="3046">
        <v>111.851</v>
      </c>
      <c r="M24" s="3067">
        <v>100</v>
      </c>
      <c r="N24" s="3067">
        <v>3541.44</v>
      </c>
      <c r="O24" s="3068">
        <v>0.06</v>
      </c>
      <c r="P24" s="3042" t="s">
        <v>77</v>
      </c>
      <c r="Q24" s="3048">
        <v>42502</v>
      </c>
      <c r="R24" s="3041" t="s">
        <v>3901</v>
      </c>
      <c r="S24" s="3041" t="s">
        <v>3079</v>
      </c>
      <c r="T24" s="3041" t="s">
        <v>401</v>
      </c>
      <c r="U24" s="3041" t="s">
        <v>3920</v>
      </c>
      <c r="V24" s="3041" t="s">
        <v>3903</v>
      </c>
      <c r="W24" s="3041" t="s">
        <v>3904</v>
      </c>
      <c r="X24" s="3041" t="s">
        <v>3905</v>
      </c>
      <c r="Y24" s="3041" t="s">
        <v>3906</v>
      </c>
      <c r="Z24" s="3043">
        <v>42535</v>
      </c>
      <c r="AA24" s="3043">
        <v>42719</v>
      </c>
      <c r="AB24" s="3043">
        <v>55137</v>
      </c>
      <c r="AC24" s="3043">
        <v>55137</v>
      </c>
      <c r="AD24" s="3048">
        <v>100</v>
      </c>
      <c r="AE24" s="3050">
        <v>4.7774000000000004E-2</v>
      </c>
      <c r="AF24" s="3045">
        <f t="shared" si="1"/>
        <v>35.038356164383565</v>
      </c>
      <c r="AG24" s="3044"/>
      <c r="AH24" s="3044"/>
    </row>
    <row r="25" spans="1:37" s="2141" customFormat="1" ht="25.5">
      <c r="A25" s="3052"/>
      <c r="B25" s="3041" t="s">
        <v>3913</v>
      </c>
      <c r="C25" s="3042" t="s">
        <v>3896</v>
      </c>
      <c r="D25" s="3041" t="s">
        <v>3914</v>
      </c>
      <c r="E25" s="3042" t="s">
        <v>3898</v>
      </c>
      <c r="F25" s="3041" t="s">
        <v>3921</v>
      </c>
      <c r="G25" s="3043">
        <v>42502</v>
      </c>
      <c r="H25" s="3043">
        <v>55319</v>
      </c>
      <c r="I25" s="3066">
        <v>4.6630000000000005E-2</v>
      </c>
      <c r="J25" s="3066">
        <v>4.2119999999999998E-2</v>
      </c>
      <c r="K25" s="3066" t="s">
        <v>3079</v>
      </c>
      <c r="L25" s="3046">
        <v>111.851</v>
      </c>
      <c r="M25" s="3067" t="s">
        <v>3079</v>
      </c>
      <c r="N25" s="3067">
        <v>3541.44</v>
      </c>
      <c r="O25" s="3068">
        <v>0.06</v>
      </c>
      <c r="P25" s="3042" t="s">
        <v>77</v>
      </c>
      <c r="Q25" s="3048">
        <v>42502</v>
      </c>
      <c r="R25" s="3041" t="s">
        <v>3901</v>
      </c>
      <c r="S25" s="3041" t="s">
        <v>3079</v>
      </c>
      <c r="T25" s="3041" t="s">
        <v>401</v>
      </c>
      <c r="U25" s="3041" t="s">
        <v>3902</v>
      </c>
      <c r="V25" s="3041" t="s">
        <v>3903</v>
      </c>
      <c r="W25" s="3041" t="s">
        <v>3904</v>
      </c>
      <c r="X25" s="3041" t="s">
        <v>3905</v>
      </c>
      <c r="Y25" s="3041" t="s">
        <v>3906</v>
      </c>
      <c r="Z25" s="3043">
        <v>42535</v>
      </c>
      <c r="AA25" s="3043">
        <v>42719</v>
      </c>
      <c r="AB25" s="3043">
        <v>55137</v>
      </c>
      <c r="AC25" s="3043">
        <v>55137</v>
      </c>
      <c r="AD25" s="3048">
        <v>100</v>
      </c>
      <c r="AE25" s="3050">
        <v>4.7774000000000004E-2</v>
      </c>
      <c r="AF25" s="3045">
        <f t="shared" si="1"/>
        <v>35.115068493150687</v>
      </c>
      <c r="AG25" s="3044"/>
      <c r="AH25" s="3044"/>
    </row>
    <row r="26" spans="1:37" s="2141" customFormat="1" ht="25.5">
      <c r="A26" s="3052"/>
      <c r="B26" s="3041" t="s">
        <v>3913</v>
      </c>
      <c r="C26" s="3042" t="s">
        <v>3896</v>
      </c>
      <c r="D26" s="3041" t="s">
        <v>3914</v>
      </c>
      <c r="E26" s="3042" t="s">
        <v>3898</v>
      </c>
      <c r="F26" s="3041" t="s">
        <v>3922</v>
      </c>
      <c r="G26" s="3043">
        <v>42502</v>
      </c>
      <c r="H26" s="3043">
        <v>54224</v>
      </c>
      <c r="I26" s="3066">
        <v>4.5629999999999997E-2</v>
      </c>
      <c r="J26" s="3066">
        <v>4.1820000000000003E-2</v>
      </c>
      <c r="K26" s="3066" t="s">
        <v>3079</v>
      </c>
      <c r="L26" s="3046">
        <v>111.501</v>
      </c>
      <c r="M26" s="3067" t="s">
        <v>3079</v>
      </c>
      <c r="N26" s="3067">
        <v>1415.46</v>
      </c>
      <c r="O26" s="3068">
        <v>0.25</v>
      </c>
      <c r="P26" s="3042" t="s">
        <v>77</v>
      </c>
      <c r="Q26" s="3048">
        <v>42502</v>
      </c>
      <c r="R26" s="3041" t="s">
        <v>3901</v>
      </c>
      <c r="S26" s="3041" t="s">
        <v>3079</v>
      </c>
      <c r="T26" s="3041" t="s">
        <v>401</v>
      </c>
      <c r="U26" s="3041" t="s">
        <v>3902</v>
      </c>
      <c r="V26" s="3041" t="s">
        <v>3903</v>
      </c>
      <c r="W26" s="3041" t="s">
        <v>3904</v>
      </c>
      <c r="X26" s="3041" t="s">
        <v>3905</v>
      </c>
      <c r="Y26" s="3041" t="s">
        <v>3906</v>
      </c>
      <c r="Z26" s="3043">
        <v>42535</v>
      </c>
      <c r="AA26" s="3043">
        <v>42719</v>
      </c>
      <c r="AB26" s="3043">
        <v>54041</v>
      </c>
      <c r="AC26" s="3043">
        <v>54041</v>
      </c>
      <c r="AD26" s="3048">
        <v>100</v>
      </c>
      <c r="AE26" s="3050">
        <v>4.7259000000000002E-2</v>
      </c>
      <c r="AF26" s="3045">
        <f t="shared" si="1"/>
        <v>32.115068493150687</v>
      </c>
      <c r="AG26" s="3044"/>
      <c r="AH26" s="3044"/>
    </row>
    <row r="27" spans="1:37" s="2141" customFormat="1" ht="25.5">
      <c r="A27" s="3052"/>
      <c r="B27" s="3041" t="s">
        <v>3913</v>
      </c>
      <c r="C27" s="3042" t="s">
        <v>3896</v>
      </c>
      <c r="D27" s="3041" t="s">
        <v>3914</v>
      </c>
      <c r="E27" s="3042" t="s">
        <v>3898</v>
      </c>
      <c r="F27" s="3041" t="s">
        <v>3923</v>
      </c>
      <c r="G27" s="3043">
        <v>42502</v>
      </c>
      <c r="H27" s="3043">
        <v>54224</v>
      </c>
      <c r="I27" s="3066">
        <v>4.5629999999999997E-2</v>
      </c>
      <c r="J27" s="3066">
        <v>4.1820000000000003E-2</v>
      </c>
      <c r="K27" s="3066">
        <v>4.5629999999999997E-2</v>
      </c>
      <c r="L27" s="3046">
        <v>111.501</v>
      </c>
      <c r="M27" s="3067">
        <v>100</v>
      </c>
      <c r="N27" s="3067">
        <v>1415.46</v>
      </c>
      <c r="O27" s="3068">
        <v>0.25</v>
      </c>
      <c r="P27" s="3042" t="s">
        <v>77</v>
      </c>
      <c r="Q27" s="3048">
        <v>42502</v>
      </c>
      <c r="R27" s="3041" t="s">
        <v>3901</v>
      </c>
      <c r="S27" s="3041" t="s">
        <v>3079</v>
      </c>
      <c r="T27" s="3041" t="s">
        <v>401</v>
      </c>
      <c r="U27" s="3041" t="s">
        <v>3920</v>
      </c>
      <c r="V27" s="3041" t="s">
        <v>3903</v>
      </c>
      <c r="W27" s="3041" t="s">
        <v>3904</v>
      </c>
      <c r="X27" s="3041" t="s">
        <v>3905</v>
      </c>
      <c r="Y27" s="3041" t="s">
        <v>3906</v>
      </c>
      <c r="Z27" s="3043">
        <v>42535</v>
      </c>
      <c r="AA27" s="3043">
        <v>42719</v>
      </c>
      <c r="AB27" s="3043">
        <v>54041</v>
      </c>
      <c r="AC27" s="3043">
        <v>54041</v>
      </c>
      <c r="AD27" s="3048">
        <v>100</v>
      </c>
      <c r="AE27" s="3050">
        <v>4.7259000000000002E-2</v>
      </c>
      <c r="AF27" s="3045">
        <f t="shared" si="1"/>
        <v>32.115068493150687</v>
      </c>
      <c r="AG27" s="3044"/>
      <c r="AH27" s="3044"/>
    </row>
    <row r="28" spans="1:37" s="2141" customFormat="1" ht="25.5">
      <c r="A28" s="3006"/>
      <c r="B28" s="3041" t="s">
        <v>3913</v>
      </c>
      <c r="C28" s="3042" t="s">
        <v>3896</v>
      </c>
      <c r="D28" s="3041" t="s">
        <v>3914</v>
      </c>
      <c r="E28" s="3042" t="s">
        <v>3898</v>
      </c>
      <c r="F28" s="3041" t="s">
        <v>3924</v>
      </c>
      <c r="G28" s="3043">
        <v>42122</v>
      </c>
      <c r="H28" s="3043">
        <v>53083</v>
      </c>
      <c r="I28" s="3066">
        <v>4.4000000000000004E-2</v>
      </c>
      <c r="J28" s="3066">
        <v>4.1070000000000002E-2</v>
      </c>
      <c r="K28" s="3066">
        <v>4.4359999999999997E-2</v>
      </c>
      <c r="L28" s="3046">
        <v>108.804</v>
      </c>
      <c r="M28" s="3067">
        <v>99.406000000000006</v>
      </c>
      <c r="N28" s="3067">
        <v>1250</v>
      </c>
      <c r="O28" s="3068">
        <v>2250</v>
      </c>
      <c r="P28" s="3042" t="s">
        <v>77</v>
      </c>
      <c r="Q28" s="3048">
        <v>42122</v>
      </c>
      <c r="R28" s="3041" t="s">
        <v>3901</v>
      </c>
      <c r="S28" s="3041" t="s">
        <v>3079</v>
      </c>
      <c r="T28" s="3041" t="s">
        <v>401</v>
      </c>
      <c r="U28" s="3041" t="s">
        <v>3902</v>
      </c>
      <c r="V28" s="3041" t="s">
        <v>3903</v>
      </c>
      <c r="W28" s="3041" t="s">
        <v>3904</v>
      </c>
      <c r="X28" s="3041" t="s">
        <v>3905</v>
      </c>
      <c r="Y28" s="3041" t="s">
        <v>3906</v>
      </c>
      <c r="Z28" s="3043">
        <v>42125</v>
      </c>
      <c r="AA28" s="3043">
        <v>42309</v>
      </c>
      <c r="AB28" s="3043">
        <v>52902</v>
      </c>
      <c r="AC28" s="3043">
        <v>52902</v>
      </c>
      <c r="AD28" s="3048">
        <v>100</v>
      </c>
      <c r="AE28" s="3050">
        <v>4.7476000000000004E-2</v>
      </c>
      <c r="AF28" s="3045">
        <f t="shared" si="1"/>
        <v>30.030136986301368</v>
      </c>
      <c r="AG28" s="3044"/>
      <c r="AH28" s="3044"/>
      <c r="AI28" s="3007"/>
      <c r="AJ28" s="3007"/>
      <c r="AK28" s="3007"/>
    </row>
    <row r="29" spans="1:37" s="2141" customFormat="1" ht="25.5">
      <c r="A29" s="3006"/>
      <c r="B29" s="3041" t="s">
        <v>3913</v>
      </c>
      <c r="C29" s="3042" t="s">
        <v>3896</v>
      </c>
      <c r="D29" s="3041" t="s">
        <v>3914</v>
      </c>
      <c r="E29" s="3042" t="s">
        <v>3898</v>
      </c>
      <c r="F29" s="3041" t="s">
        <v>3925</v>
      </c>
      <c r="G29" s="3043">
        <v>42122</v>
      </c>
      <c r="H29" s="3043">
        <v>45778</v>
      </c>
      <c r="I29" s="3066">
        <v>3.125E-2</v>
      </c>
      <c r="J29" s="3066">
        <v>3.2509999999999997E-2</v>
      </c>
      <c r="K29" s="3066">
        <v>3.1890000000000002E-2</v>
      </c>
      <c r="L29" s="3046">
        <v>100.40900000000001</v>
      </c>
      <c r="M29" s="3067">
        <v>99.456000000000003</v>
      </c>
      <c r="N29" s="3067">
        <v>1000</v>
      </c>
      <c r="O29" s="3068">
        <v>1000</v>
      </c>
      <c r="P29" s="3042" t="s">
        <v>77</v>
      </c>
      <c r="Q29" s="3048">
        <v>42122</v>
      </c>
      <c r="R29" s="3041" t="s">
        <v>3901</v>
      </c>
      <c r="S29" s="3041" t="s">
        <v>3079</v>
      </c>
      <c r="T29" s="3041" t="s">
        <v>401</v>
      </c>
      <c r="U29" s="3041" t="s">
        <v>3902</v>
      </c>
      <c r="V29" s="3041" t="s">
        <v>3903</v>
      </c>
      <c r="W29" s="3041" t="s">
        <v>3904</v>
      </c>
      <c r="X29" s="3041" t="s">
        <v>3905</v>
      </c>
      <c r="Y29" s="3041" t="s">
        <v>3906</v>
      </c>
      <c r="Z29" s="3043">
        <v>42125</v>
      </c>
      <c r="AA29" s="3043">
        <v>42309</v>
      </c>
      <c r="AB29" s="3043">
        <v>45597</v>
      </c>
      <c r="AC29" s="3043">
        <v>45689</v>
      </c>
      <c r="AD29" s="3048">
        <v>100</v>
      </c>
      <c r="AE29" s="3050">
        <v>3.8877999999999996E-2</v>
      </c>
      <c r="AF29" s="3045">
        <f t="shared" si="1"/>
        <v>10.016438356164384</v>
      </c>
      <c r="AG29" s="3044"/>
      <c r="AH29" s="3044"/>
      <c r="AI29" s="3007"/>
      <c r="AJ29" s="3007"/>
      <c r="AK29" s="3007"/>
    </row>
    <row r="30" spans="1:37" ht="12.75">
      <c r="I30" s="3077"/>
      <c r="J30" s="3077"/>
      <c r="K30" s="3077"/>
      <c r="L30" s="3078"/>
      <c r="M30" s="3078"/>
      <c r="AE30" s="3077"/>
      <c r="AF30" s="3045"/>
      <c r="AG30" s="3077"/>
      <c r="AH30" s="3077"/>
    </row>
    <row r="31" spans="1:37" ht="12.75">
      <c r="B31" s="3035" t="s">
        <v>3926</v>
      </c>
      <c r="C31" s="3036"/>
      <c r="D31" s="3036"/>
      <c r="E31" s="3036"/>
      <c r="F31" s="3036"/>
      <c r="G31" s="3036"/>
      <c r="H31" s="3036"/>
      <c r="I31" s="3057"/>
      <c r="J31" s="3057"/>
      <c r="K31" s="3057"/>
      <c r="L31" s="3058"/>
      <c r="M31" s="3058"/>
      <c r="N31" s="3037"/>
      <c r="O31" s="3036"/>
      <c r="P31" s="3036"/>
      <c r="Q31" s="3036"/>
      <c r="R31" s="3036"/>
      <c r="S31" s="3036"/>
      <c r="T31" s="3036"/>
      <c r="U31" s="3036"/>
      <c r="V31" s="3036"/>
      <c r="W31" s="3036"/>
      <c r="X31" s="3036"/>
      <c r="Y31" s="3036"/>
      <c r="Z31" s="3036"/>
      <c r="AA31" s="3036"/>
      <c r="AB31" s="3036"/>
      <c r="AC31" s="3036"/>
      <c r="AD31" s="3036"/>
      <c r="AE31" s="3057"/>
      <c r="AF31" s="3218"/>
      <c r="AG31" s="3057"/>
      <c r="AH31" s="3059"/>
    </row>
    <row r="32" spans="1:37" ht="12.75">
      <c r="I32" s="3077"/>
      <c r="J32" s="3077"/>
      <c r="K32" s="3077"/>
      <c r="L32" s="3078"/>
      <c r="M32" s="3078"/>
      <c r="AE32" s="3077"/>
      <c r="AF32" s="3219"/>
      <c r="AG32" s="3077"/>
      <c r="AH32" s="3077"/>
    </row>
    <row r="33" spans="2:34" ht="25.5">
      <c r="B33" s="3041" t="s">
        <v>3926</v>
      </c>
      <c r="C33" s="3042" t="s">
        <v>3896</v>
      </c>
      <c r="D33" s="3041" t="s">
        <v>3927</v>
      </c>
      <c r="E33" s="3042" t="s">
        <v>3898</v>
      </c>
      <c r="F33" s="3041" t="s">
        <v>3928</v>
      </c>
      <c r="G33" s="3043">
        <v>42257</v>
      </c>
      <c r="H33" s="3043">
        <v>53220</v>
      </c>
      <c r="I33" s="3066">
        <v>5.2000000000000005E-2</v>
      </c>
      <c r="J33" s="3066">
        <v>4.233E-2</v>
      </c>
      <c r="K33" s="3066">
        <v>5.2469999999999996E-2</v>
      </c>
      <c r="L33" s="3046">
        <v>118.708</v>
      </c>
      <c r="M33" s="3067">
        <v>99.293999999999997</v>
      </c>
      <c r="N33" s="3067">
        <v>1750</v>
      </c>
      <c r="O33" s="3068">
        <v>1750</v>
      </c>
      <c r="P33" s="3042" t="s">
        <v>3900</v>
      </c>
      <c r="Q33" s="3048">
        <v>42257</v>
      </c>
      <c r="R33" s="3041" t="s">
        <v>3901</v>
      </c>
      <c r="S33" s="3041" t="s">
        <v>3079</v>
      </c>
      <c r="T33" s="3041" t="s">
        <v>401</v>
      </c>
      <c r="U33" s="3041" t="s">
        <v>3902</v>
      </c>
      <c r="V33" s="3041" t="s">
        <v>3903</v>
      </c>
      <c r="W33" s="3041" t="s">
        <v>3904</v>
      </c>
      <c r="X33" s="3041" t="s">
        <v>3905</v>
      </c>
      <c r="Y33" s="3041" t="s">
        <v>3906</v>
      </c>
      <c r="Z33" s="3048">
        <v>42262</v>
      </c>
      <c r="AA33" s="3048">
        <v>42444</v>
      </c>
      <c r="AB33" s="3048">
        <v>53036</v>
      </c>
      <c r="AC33" s="3048">
        <v>53036</v>
      </c>
      <c r="AD33" s="3048">
        <v>100</v>
      </c>
      <c r="AE33" s="3050">
        <v>4.836E-2</v>
      </c>
      <c r="AF33" s="3045">
        <f>YEARFRAC(G33,H33,3)</f>
        <v>30.035616438356165</v>
      </c>
      <c r="AG33" s="3044"/>
      <c r="AH33" s="3044"/>
    </row>
    <row r="34" spans="2:34" ht="25.5">
      <c r="B34" s="3041" t="s">
        <v>3926</v>
      </c>
      <c r="C34" s="3042" t="s">
        <v>3896</v>
      </c>
      <c r="D34" s="3041" t="s">
        <v>3927</v>
      </c>
      <c r="E34" s="3042" t="s">
        <v>3898</v>
      </c>
      <c r="F34" s="3041" t="s">
        <v>3929</v>
      </c>
      <c r="G34" s="3043">
        <v>42257</v>
      </c>
      <c r="H34" s="3043">
        <v>45915</v>
      </c>
      <c r="I34" s="3066">
        <v>4.0500000000000001E-2</v>
      </c>
      <c r="J34" s="3066">
        <v>3.3910000000000003E-2</v>
      </c>
      <c r="K34" s="3066">
        <v>4.079E-2</v>
      </c>
      <c r="L34" s="3046">
        <v>105.82</v>
      </c>
      <c r="M34" s="3067">
        <v>99.763999999999996</v>
      </c>
      <c r="N34" s="3067">
        <v>1750</v>
      </c>
      <c r="O34" s="3068">
        <v>1750</v>
      </c>
      <c r="P34" s="3042" t="s">
        <v>3900</v>
      </c>
      <c r="Q34" s="3048">
        <v>42257</v>
      </c>
      <c r="R34" s="3041" t="s">
        <v>3901</v>
      </c>
      <c r="S34" s="3041" t="s">
        <v>3079</v>
      </c>
      <c r="T34" s="3041" t="s">
        <v>401</v>
      </c>
      <c r="U34" s="3041" t="s">
        <v>3902</v>
      </c>
      <c r="V34" s="3041" t="s">
        <v>3903</v>
      </c>
      <c r="W34" s="3041" t="s">
        <v>3904</v>
      </c>
      <c r="X34" s="3041" t="s">
        <v>3905</v>
      </c>
      <c r="Y34" s="3041" t="s">
        <v>3906</v>
      </c>
      <c r="Z34" s="3048">
        <v>42262</v>
      </c>
      <c r="AA34" s="3048">
        <v>42444</v>
      </c>
      <c r="AB34" s="3048">
        <v>45731</v>
      </c>
      <c r="AC34" s="3048">
        <v>45823</v>
      </c>
      <c r="AD34" s="3048">
        <v>100</v>
      </c>
      <c r="AE34" s="3050">
        <v>4.0198999999999999E-2</v>
      </c>
      <c r="AF34" s="3045">
        <f>YEARFRAC(G34,H34,3)</f>
        <v>10.021917808219179</v>
      </c>
      <c r="AG34" s="3044"/>
      <c r="AH34" s="3044"/>
    </row>
    <row r="35" spans="2:34" ht="12.75">
      <c r="I35" s="3077"/>
      <c r="J35" s="3077"/>
      <c r="K35" s="3077"/>
      <c r="L35" s="3078"/>
      <c r="M35" s="3078"/>
      <c r="AE35" s="3077"/>
      <c r="AF35" s="3045"/>
      <c r="AG35" s="3077"/>
      <c r="AH35" s="3077"/>
    </row>
    <row r="36" spans="2:34" ht="12.75">
      <c r="B36" s="3035" t="s">
        <v>853</v>
      </c>
      <c r="C36" s="3036"/>
      <c r="D36" s="3036"/>
      <c r="E36" s="3036"/>
      <c r="F36" s="3036"/>
      <c r="G36" s="3036"/>
      <c r="H36" s="3036"/>
      <c r="I36" s="3057"/>
      <c r="J36" s="3057"/>
      <c r="K36" s="3057"/>
      <c r="L36" s="3058"/>
      <c r="M36" s="3058"/>
      <c r="N36" s="3037"/>
      <c r="O36" s="3036"/>
      <c r="P36" s="3036"/>
      <c r="Q36" s="3036"/>
      <c r="R36" s="3036"/>
      <c r="S36" s="3036"/>
      <c r="T36" s="3036"/>
      <c r="U36" s="3036"/>
      <c r="V36" s="3036"/>
      <c r="W36" s="3036"/>
      <c r="X36" s="3036"/>
      <c r="Y36" s="3036"/>
      <c r="Z36" s="3036"/>
      <c r="AA36" s="3036"/>
      <c r="AB36" s="3036"/>
      <c r="AC36" s="3036"/>
      <c r="AD36" s="3036"/>
      <c r="AE36" s="3057"/>
      <c r="AF36" s="3218"/>
      <c r="AG36" s="3057"/>
      <c r="AH36" s="3059"/>
    </row>
    <row r="37" spans="2:34" ht="12.75">
      <c r="I37" s="3077"/>
      <c r="J37" s="3077"/>
      <c r="K37" s="3077"/>
      <c r="L37" s="3078"/>
      <c r="M37" s="3078"/>
      <c r="AE37" s="3077"/>
      <c r="AF37" s="3045"/>
      <c r="AG37" s="3077"/>
      <c r="AH37" s="3077"/>
    </row>
    <row r="38" spans="2:34" s="3006" customFormat="1" ht="25.5">
      <c r="B38" s="3060" t="s">
        <v>853</v>
      </c>
      <c r="C38" s="3040" t="s">
        <v>3896</v>
      </c>
      <c r="D38" s="3060" t="s">
        <v>3930</v>
      </c>
      <c r="E38" s="3040" t="s">
        <v>3898</v>
      </c>
      <c r="F38" s="3060" t="s">
        <v>3931</v>
      </c>
      <c r="G38" s="3049">
        <v>43139</v>
      </c>
      <c r="H38" s="3049">
        <v>46803</v>
      </c>
      <c r="I38" s="3051">
        <v>3.9E-2</v>
      </c>
      <c r="J38" s="3051">
        <v>4.0899999999999999E-2</v>
      </c>
      <c r="K38" s="3051">
        <v>3.9419999999999997E-2</v>
      </c>
      <c r="L38" s="3045">
        <v>98.441999999999993</v>
      </c>
      <c r="M38" s="3045">
        <v>99.656000000000006</v>
      </c>
      <c r="N38" s="3061">
        <v>1500</v>
      </c>
      <c r="O38" s="3064">
        <v>1500</v>
      </c>
      <c r="P38" s="3040" t="s">
        <v>3932</v>
      </c>
      <c r="Q38" s="3063">
        <v>43139</v>
      </c>
      <c r="R38" s="3060" t="s">
        <v>3901</v>
      </c>
      <c r="S38" s="3060" t="s">
        <v>3079</v>
      </c>
      <c r="T38" s="3060" t="s">
        <v>401</v>
      </c>
      <c r="U38" s="3060" t="s">
        <v>3902</v>
      </c>
      <c r="V38" s="3060" t="s">
        <v>3903</v>
      </c>
      <c r="W38" s="3060" t="s">
        <v>3904</v>
      </c>
      <c r="X38" s="3060" t="s">
        <v>3905</v>
      </c>
      <c r="Y38" s="3060" t="s">
        <v>3906</v>
      </c>
      <c r="Z38" s="3063">
        <v>43151</v>
      </c>
      <c r="AA38" s="3063">
        <v>43332</v>
      </c>
      <c r="AB38" s="3064">
        <v>46619</v>
      </c>
      <c r="AC38" s="3063">
        <v>46711</v>
      </c>
      <c r="AD38" s="3064">
        <v>100</v>
      </c>
      <c r="AE38" s="3050">
        <v>4.6429999999999999E-2</v>
      </c>
      <c r="AF38" s="3045">
        <f>YEARFRAC(G38,H38,3)</f>
        <v>10.038356164383561</v>
      </c>
      <c r="AG38" s="3065"/>
      <c r="AH38" s="3065"/>
    </row>
    <row r="39" spans="2:34" s="3006" customFormat="1" ht="25.5">
      <c r="B39" s="3060" t="s">
        <v>853</v>
      </c>
      <c r="C39" s="3040" t="s">
        <v>3896</v>
      </c>
      <c r="D39" s="3060" t="s">
        <v>3930</v>
      </c>
      <c r="E39" s="3040" t="s">
        <v>3898</v>
      </c>
      <c r="F39" s="3060" t="s">
        <v>3933</v>
      </c>
      <c r="G39" s="3049">
        <v>43139</v>
      </c>
      <c r="H39" s="3049">
        <v>54108</v>
      </c>
      <c r="I39" s="3051">
        <v>4.5499999999999999E-2</v>
      </c>
      <c r="J39" s="3051">
        <v>4.6199999999999998E-2</v>
      </c>
      <c r="K39" s="3051">
        <v>4.5870000000000001E-2</v>
      </c>
      <c r="L39" s="3045">
        <v>98.837000000000003</v>
      </c>
      <c r="M39" s="3045">
        <v>99.4</v>
      </c>
      <c r="N39" s="3061">
        <v>1500</v>
      </c>
      <c r="O39" s="3064">
        <v>1500</v>
      </c>
      <c r="P39" s="3040" t="s">
        <v>3932</v>
      </c>
      <c r="Q39" s="3063">
        <v>43139</v>
      </c>
      <c r="R39" s="3060" t="s">
        <v>3901</v>
      </c>
      <c r="S39" s="3060" t="s">
        <v>3079</v>
      </c>
      <c r="T39" s="3060" t="s">
        <v>401</v>
      </c>
      <c r="U39" s="3060" t="s">
        <v>3902</v>
      </c>
      <c r="V39" s="3060" t="s">
        <v>3903</v>
      </c>
      <c r="W39" s="3060" t="s">
        <v>3904</v>
      </c>
      <c r="X39" s="3060" t="s">
        <v>3905</v>
      </c>
      <c r="Y39" s="3060" t="s">
        <v>3906</v>
      </c>
      <c r="Z39" s="3063">
        <v>43151</v>
      </c>
      <c r="AA39" s="3063">
        <v>43332</v>
      </c>
      <c r="AB39" s="3064">
        <v>53924</v>
      </c>
      <c r="AC39" s="3063">
        <v>53924</v>
      </c>
      <c r="AD39" s="3064">
        <v>100</v>
      </c>
      <c r="AE39" s="3050">
        <v>5.1688999999999999E-2</v>
      </c>
      <c r="AF39" s="3045">
        <f t="shared" ref="AF39:AF40" si="2">YEARFRAC(G39,H39,3)</f>
        <v>30.052054794520547</v>
      </c>
      <c r="AG39" s="3065"/>
      <c r="AH39" s="3065"/>
    </row>
    <row r="40" spans="2:34" s="3006" customFormat="1" ht="25.5">
      <c r="B40" s="3060" t="s">
        <v>853</v>
      </c>
      <c r="C40" s="3040" t="s">
        <v>3896</v>
      </c>
      <c r="D40" s="3060" t="s">
        <v>3930</v>
      </c>
      <c r="E40" s="3040" t="s">
        <v>3898</v>
      </c>
      <c r="F40" s="3060" t="s">
        <v>3934</v>
      </c>
      <c r="G40" s="3049">
        <v>43039</v>
      </c>
      <c r="H40" s="3049">
        <v>54011</v>
      </c>
      <c r="I40" s="3051">
        <v>4.3499999999999997E-2</v>
      </c>
      <c r="J40" s="3051">
        <v>4.3119999999999999E-2</v>
      </c>
      <c r="K40" s="3051">
        <v>4.3659999999999997E-2</v>
      </c>
      <c r="L40" s="3045">
        <v>103.873</v>
      </c>
      <c r="M40" s="3045">
        <v>99.733000000000004</v>
      </c>
      <c r="N40" s="3061">
        <v>1250</v>
      </c>
      <c r="O40" s="3064">
        <v>1250</v>
      </c>
      <c r="P40" s="3040" t="s">
        <v>3932</v>
      </c>
      <c r="Q40" s="3063">
        <v>43039</v>
      </c>
      <c r="R40" s="3060" t="s">
        <v>3901</v>
      </c>
      <c r="S40" s="3060" t="s">
        <v>3079</v>
      </c>
      <c r="T40" s="3060" t="s">
        <v>401</v>
      </c>
      <c r="U40" s="3060" t="s">
        <v>3902</v>
      </c>
      <c r="V40" s="3060" t="s">
        <v>3903</v>
      </c>
      <c r="W40" s="3060" t="s">
        <v>3904</v>
      </c>
      <c r="X40" s="3060" t="s">
        <v>3905</v>
      </c>
      <c r="Y40" s="3060" t="s">
        <v>3906</v>
      </c>
      <c r="Z40" s="3063">
        <v>43048</v>
      </c>
      <c r="AA40" s="3063">
        <v>43235</v>
      </c>
      <c r="AB40" s="3064" t="s">
        <v>3079</v>
      </c>
      <c r="AC40" s="3063">
        <v>17302</v>
      </c>
      <c r="AD40" s="3064">
        <v>100</v>
      </c>
      <c r="AE40" s="3050">
        <v>5.1653999999999999E-2</v>
      </c>
      <c r="AF40" s="3045">
        <f t="shared" si="2"/>
        <v>30.06027397260274</v>
      </c>
      <c r="AG40" s="3065"/>
      <c r="AH40" s="3065"/>
    </row>
    <row r="41" spans="2:34" s="3006" customFormat="1" ht="25.5">
      <c r="B41" s="3060" t="s">
        <v>853</v>
      </c>
      <c r="C41" s="3040" t="s">
        <v>3896</v>
      </c>
      <c r="D41" s="3060" t="s">
        <v>3930</v>
      </c>
      <c r="E41" s="3040" t="s">
        <v>3898</v>
      </c>
      <c r="F41" s="3060" t="s">
        <v>3935</v>
      </c>
      <c r="G41" s="3049">
        <v>43039</v>
      </c>
      <c r="H41" s="3049">
        <v>46706</v>
      </c>
      <c r="I41" s="3051">
        <v>3.4500000000000003E-2</v>
      </c>
      <c r="J41" s="3051">
        <v>3.7080000000000002E-2</v>
      </c>
      <c r="K41" s="3051">
        <v>3.4680000000000002E-2</v>
      </c>
      <c r="L41" s="3045">
        <v>99.926000000000002</v>
      </c>
      <c r="M41" s="3045">
        <v>99.847999999999999</v>
      </c>
      <c r="N41" s="3061">
        <v>1000</v>
      </c>
      <c r="O41" s="3064">
        <v>1000</v>
      </c>
      <c r="P41" s="3040" t="s">
        <v>3932</v>
      </c>
      <c r="Q41" s="3063">
        <v>43039</v>
      </c>
      <c r="R41" s="3060" t="s">
        <v>3901</v>
      </c>
      <c r="S41" s="3060" t="s">
        <v>3079</v>
      </c>
      <c r="T41" s="3060" t="s">
        <v>401</v>
      </c>
      <c r="U41" s="3060" t="s">
        <v>3902</v>
      </c>
      <c r="V41" s="3060" t="s">
        <v>3903</v>
      </c>
      <c r="W41" s="3060" t="s">
        <v>3904</v>
      </c>
      <c r="X41" s="3060" t="s">
        <v>3905</v>
      </c>
      <c r="Y41" s="3060" t="s">
        <v>3906</v>
      </c>
      <c r="Z41" s="3063">
        <v>43048</v>
      </c>
      <c r="AA41" s="3063">
        <v>43235</v>
      </c>
      <c r="AB41" s="3064" t="s">
        <v>3079</v>
      </c>
      <c r="AC41" s="3063">
        <v>46614</v>
      </c>
      <c r="AD41" s="3064">
        <v>100</v>
      </c>
      <c r="AE41" s="3050">
        <v>4.5248999999999998E-2</v>
      </c>
      <c r="AF41" s="3045">
        <f>YEARFRAC(G41,H41,3)</f>
        <v>10.046575342465754</v>
      </c>
      <c r="AG41" s="3065"/>
      <c r="AH41" s="3065"/>
    </row>
    <row r="42" spans="2:34" ht="25.5">
      <c r="B42" s="3041" t="s">
        <v>853</v>
      </c>
      <c r="C42" s="3042" t="s">
        <v>3896</v>
      </c>
      <c r="D42" s="3041" t="s">
        <v>3930</v>
      </c>
      <c r="E42" s="3042" t="s">
        <v>3898</v>
      </c>
      <c r="F42" s="3041" t="s">
        <v>3936</v>
      </c>
      <c r="G42" s="3043">
        <v>42219</v>
      </c>
      <c r="H42" s="3043">
        <v>45884</v>
      </c>
      <c r="I42" s="3066">
        <v>3.875E-2</v>
      </c>
      <c r="J42" s="3066">
        <v>3.5400000000000001E-2</v>
      </c>
      <c r="K42" s="3066">
        <v>3.993E-2</v>
      </c>
      <c r="L42" s="3046">
        <v>103.509</v>
      </c>
      <c r="M42" s="3046">
        <v>99.034000000000006</v>
      </c>
      <c r="N42" s="3067">
        <v>2500</v>
      </c>
      <c r="O42" s="3048">
        <v>2500</v>
      </c>
      <c r="P42" s="3042" t="s">
        <v>3932</v>
      </c>
      <c r="Q42" s="3048">
        <v>42219</v>
      </c>
      <c r="R42" s="3041" t="s">
        <v>3901</v>
      </c>
      <c r="S42" s="3041" t="s">
        <v>3079</v>
      </c>
      <c r="T42" s="3041" t="s">
        <v>401</v>
      </c>
      <c r="U42" s="3041" t="s">
        <v>3902</v>
      </c>
      <c r="V42" s="3041" t="s">
        <v>3903</v>
      </c>
      <c r="W42" s="3041" t="s">
        <v>3904</v>
      </c>
      <c r="X42" s="3041" t="s">
        <v>3905</v>
      </c>
      <c r="Y42" s="3041" t="s">
        <v>3906</v>
      </c>
      <c r="Z42" s="3048">
        <v>42228</v>
      </c>
      <c r="AA42" s="3048">
        <v>42415</v>
      </c>
      <c r="AB42" s="3048">
        <v>45703</v>
      </c>
      <c r="AC42" s="3048">
        <v>45792</v>
      </c>
      <c r="AD42" s="3048">
        <v>100</v>
      </c>
      <c r="AE42" s="3050">
        <v>4.3575000000000003E-2</v>
      </c>
      <c r="AF42" s="3045">
        <f>YEARFRAC(G42,H42,3)</f>
        <v>10.04109589041096</v>
      </c>
      <c r="AG42" s="3044"/>
      <c r="AH42" s="3044"/>
    </row>
    <row r="43" spans="2:34" ht="25.5">
      <c r="B43" s="3041" t="s">
        <v>853</v>
      </c>
      <c r="C43" s="3042" t="s">
        <v>3896</v>
      </c>
      <c r="D43" s="3041" t="s">
        <v>3930</v>
      </c>
      <c r="E43" s="3042" t="s">
        <v>3898</v>
      </c>
      <c r="F43" s="3041" t="s">
        <v>3937</v>
      </c>
      <c r="G43" s="3043">
        <v>42219</v>
      </c>
      <c r="H43" s="3043">
        <v>53189</v>
      </c>
      <c r="I43" s="3066">
        <v>0.05</v>
      </c>
      <c r="J43" s="3066">
        <v>4.394E-2</v>
      </c>
      <c r="K43" s="3066">
        <v>5.0199999999999995E-2</v>
      </c>
      <c r="L43" s="3046">
        <v>113.459</v>
      </c>
      <c r="M43" s="3046">
        <v>99.691000000000003</v>
      </c>
      <c r="N43" s="3067">
        <v>2000</v>
      </c>
      <c r="O43" s="3048">
        <v>2000</v>
      </c>
      <c r="P43" s="3042" t="s">
        <v>3932</v>
      </c>
      <c r="Q43" s="3048">
        <v>42219</v>
      </c>
      <c r="R43" s="3041" t="s">
        <v>3901</v>
      </c>
      <c r="S43" s="3041" t="s">
        <v>3079</v>
      </c>
      <c r="T43" s="3041" t="s">
        <v>401</v>
      </c>
      <c r="U43" s="3041" t="s">
        <v>3902</v>
      </c>
      <c r="V43" s="3041" t="s">
        <v>3903</v>
      </c>
      <c r="W43" s="3041" t="s">
        <v>3904</v>
      </c>
      <c r="X43" s="3041" t="s">
        <v>3905</v>
      </c>
      <c r="Y43" s="3041" t="s">
        <v>3906</v>
      </c>
      <c r="Z43" s="3048">
        <v>42228</v>
      </c>
      <c r="AA43" s="3048">
        <v>42415</v>
      </c>
      <c r="AB43" s="3048">
        <v>53008</v>
      </c>
      <c r="AC43" s="3048">
        <v>53008</v>
      </c>
      <c r="AD43" s="3048">
        <v>100</v>
      </c>
      <c r="AE43" s="3050">
        <v>5.1241000000000002E-2</v>
      </c>
      <c r="AF43" s="3045">
        <f>YEARFRAC(G43,H43,3)</f>
        <v>30.054794520547944</v>
      </c>
      <c r="AG43" s="3044"/>
      <c r="AH43" s="3044"/>
    </row>
    <row r="44" spans="2:34" ht="12.75">
      <c r="I44" s="3077"/>
      <c r="J44" s="3077"/>
      <c r="K44" s="3077"/>
      <c r="L44" s="3078"/>
      <c r="M44" s="3078"/>
      <c r="AE44" s="3077"/>
      <c r="AF44" s="3045"/>
      <c r="AG44" s="3077"/>
      <c r="AH44" s="3077"/>
    </row>
    <row r="45" spans="2:34" ht="12.75">
      <c r="B45" s="3035" t="s">
        <v>854</v>
      </c>
      <c r="C45" s="3036"/>
      <c r="D45" s="3036"/>
      <c r="E45" s="3036"/>
      <c r="F45" s="3036"/>
      <c r="G45" s="3036"/>
      <c r="H45" s="3036"/>
      <c r="I45" s="3057"/>
      <c r="J45" s="3057"/>
      <c r="K45" s="3057"/>
      <c r="L45" s="3058"/>
      <c r="M45" s="3058"/>
      <c r="N45" s="3037"/>
      <c r="O45" s="3036"/>
      <c r="P45" s="3036"/>
      <c r="Q45" s="3036"/>
      <c r="R45" s="3036"/>
      <c r="S45" s="3036"/>
      <c r="T45" s="3036"/>
      <c r="U45" s="3036"/>
      <c r="V45" s="3036"/>
      <c r="W45" s="3036"/>
      <c r="X45" s="3036"/>
      <c r="Y45" s="3036"/>
      <c r="Z45" s="3036"/>
      <c r="AA45" s="3036"/>
      <c r="AB45" s="3036"/>
      <c r="AC45" s="3036"/>
      <c r="AD45" s="3036"/>
      <c r="AE45" s="3057"/>
      <c r="AF45" s="3218"/>
      <c r="AG45" s="3057"/>
      <c r="AH45" s="3059"/>
    </row>
    <row r="46" spans="2:34" ht="12.75">
      <c r="I46" s="3077"/>
      <c r="J46" s="3077"/>
      <c r="K46" s="3077"/>
      <c r="L46" s="3078"/>
      <c r="M46" s="3078"/>
      <c r="AE46" s="3077"/>
      <c r="AF46" s="3045"/>
      <c r="AG46" s="3077"/>
      <c r="AH46" s="3077"/>
    </row>
    <row r="47" spans="2:34" s="3006" customFormat="1" ht="25.5">
      <c r="B47" s="3060" t="s">
        <v>854</v>
      </c>
      <c r="C47" s="3040" t="s">
        <v>3896</v>
      </c>
      <c r="D47" s="3060" t="s">
        <v>3938</v>
      </c>
      <c r="E47" s="3040" t="s">
        <v>3898</v>
      </c>
      <c r="F47" s="3060" t="s">
        <v>3939</v>
      </c>
      <c r="G47" s="3049">
        <v>42859</v>
      </c>
      <c r="H47" s="3049">
        <v>46522</v>
      </c>
      <c r="I47" s="3051">
        <v>3.1E-2</v>
      </c>
      <c r="J47" s="3051">
        <v>3.159E-2</v>
      </c>
      <c r="K47" s="3051">
        <v>3.1040000000000002E-2</v>
      </c>
      <c r="L47" s="3045">
        <v>101.504</v>
      </c>
      <c r="M47" s="3045">
        <v>99.965000000000003</v>
      </c>
      <c r="N47" s="3061">
        <v>750</v>
      </c>
      <c r="O47" s="3061">
        <v>750</v>
      </c>
      <c r="P47" s="3040" t="s">
        <v>3940</v>
      </c>
      <c r="Q47" s="3064">
        <v>42859</v>
      </c>
      <c r="R47" s="3060" t="s">
        <v>3901</v>
      </c>
      <c r="S47" s="3060" t="s">
        <v>3079</v>
      </c>
      <c r="T47" s="3060" t="s">
        <v>401</v>
      </c>
      <c r="U47" s="3060" t="s">
        <v>3902</v>
      </c>
      <c r="V47" s="3060" t="s">
        <v>3903</v>
      </c>
      <c r="W47" s="3060" t="s">
        <v>3904</v>
      </c>
      <c r="X47" s="3060" t="s">
        <v>3905</v>
      </c>
      <c r="Y47" s="3060" t="s">
        <v>3906</v>
      </c>
      <c r="Z47" s="3064">
        <v>42864</v>
      </c>
      <c r="AA47" s="3064">
        <v>43054</v>
      </c>
      <c r="AB47" s="3064">
        <v>46341</v>
      </c>
      <c r="AC47" s="3064">
        <v>46433</v>
      </c>
      <c r="AD47" s="3064">
        <v>100</v>
      </c>
      <c r="AE47" s="3050">
        <v>3.6600000000000001E-2</v>
      </c>
      <c r="AF47" s="3045">
        <f>YEARFRAC(G47,H47,3)</f>
        <v>10.035616438356165</v>
      </c>
      <c r="AG47" s="3065"/>
      <c r="AH47" s="3065"/>
    </row>
    <row r="48" spans="2:34" s="3006" customFormat="1" ht="25.5">
      <c r="B48" s="3060" t="s">
        <v>854</v>
      </c>
      <c r="C48" s="3040" t="s">
        <v>3896</v>
      </c>
      <c r="D48" s="3060" t="s">
        <v>3938</v>
      </c>
      <c r="E48" s="3040" t="s">
        <v>3898</v>
      </c>
      <c r="F48" s="3060" t="s">
        <v>3941</v>
      </c>
      <c r="G48" s="3049">
        <v>42859</v>
      </c>
      <c r="H48" s="3049">
        <v>53827</v>
      </c>
      <c r="I48" s="3051">
        <v>3.95E-2</v>
      </c>
      <c r="J48" s="3051">
        <v>3.6819999999999999E-2</v>
      </c>
      <c r="K48" s="3051">
        <v>3.9809999999999998E-2</v>
      </c>
      <c r="L48" s="3045">
        <v>107.367</v>
      </c>
      <c r="M48" s="3045">
        <v>99.459000000000003</v>
      </c>
      <c r="N48" s="3061">
        <v>750</v>
      </c>
      <c r="O48" s="3061">
        <v>750</v>
      </c>
      <c r="P48" s="3040" t="s">
        <v>3940</v>
      </c>
      <c r="Q48" s="3064">
        <v>42859</v>
      </c>
      <c r="R48" s="3060" t="s">
        <v>3901</v>
      </c>
      <c r="S48" s="3060" t="s">
        <v>3079</v>
      </c>
      <c r="T48" s="3060" t="s">
        <v>401</v>
      </c>
      <c r="U48" s="3060" t="s">
        <v>3902</v>
      </c>
      <c r="V48" s="3060" t="s">
        <v>3903</v>
      </c>
      <c r="W48" s="3060" t="s">
        <v>3904</v>
      </c>
      <c r="X48" s="3060" t="s">
        <v>3905</v>
      </c>
      <c r="Y48" s="3060" t="s">
        <v>3906</v>
      </c>
      <c r="Z48" s="3064">
        <v>42864</v>
      </c>
      <c r="AA48" s="3064">
        <v>43054</v>
      </c>
      <c r="AB48" s="3064">
        <v>53646</v>
      </c>
      <c r="AC48" s="3064">
        <v>53646</v>
      </c>
      <c r="AD48" s="3064">
        <v>100</v>
      </c>
      <c r="AE48" s="3050">
        <v>4.0458000000000001E-2</v>
      </c>
      <c r="AF48" s="3045">
        <f>YEARFRAC(G48,H48,3)</f>
        <v>30.049315068493151</v>
      </c>
      <c r="AG48" s="3065"/>
      <c r="AH48" s="3065"/>
    </row>
    <row r="49" spans="1:34" ht="25.5">
      <c r="B49" s="3041" t="s">
        <v>854</v>
      </c>
      <c r="C49" s="3042" t="s">
        <v>3896</v>
      </c>
      <c r="D49" s="3041" t="s">
        <v>3938</v>
      </c>
      <c r="E49" s="3042" t="s">
        <v>3898</v>
      </c>
      <c r="F49" s="3041" t="s">
        <v>3942</v>
      </c>
      <c r="G49" s="3043">
        <v>42059</v>
      </c>
      <c r="H49" s="3043">
        <v>45809</v>
      </c>
      <c r="I49" s="3066">
        <v>2.75E-2</v>
      </c>
      <c r="J49" s="3066">
        <v>2.8809999999999999E-2</v>
      </c>
      <c r="K49" s="3066">
        <v>2.7719999999999998E-2</v>
      </c>
      <c r="L49" s="3046">
        <v>100.27800000000001</v>
      </c>
      <c r="M49" s="3046">
        <v>99.807000000000002</v>
      </c>
      <c r="N49" s="3067">
        <v>800</v>
      </c>
      <c r="O49" s="3067">
        <v>800</v>
      </c>
      <c r="P49" s="3042" t="s">
        <v>3940</v>
      </c>
      <c r="Q49" s="3048">
        <v>42059</v>
      </c>
      <c r="R49" s="3041" t="s">
        <v>3901</v>
      </c>
      <c r="S49" s="3041" t="s">
        <v>3079</v>
      </c>
      <c r="T49" s="3041" t="s">
        <v>401</v>
      </c>
      <c r="U49" s="3041" t="s">
        <v>3902</v>
      </c>
      <c r="V49" s="3041" t="s">
        <v>3903</v>
      </c>
      <c r="W49" s="3041" t="s">
        <v>3904</v>
      </c>
      <c r="X49" s="3041" t="s">
        <v>3905</v>
      </c>
      <c r="Y49" s="3041" t="s">
        <v>3906</v>
      </c>
      <c r="Z49" s="3048">
        <v>42068</v>
      </c>
      <c r="AA49" s="3048">
        <v>42156</v>
      </c>
      <c r="AB49" s="3048">
        <v>45627</v>
      </c>
      <c r="AC49" s="3048">
        <v>45717</v>
      </c>
      <c r="AD49" s="3048">
        <v>100</v>
      </c>
      <c r="AE49" s="3050">
        <v>3.6345999999999996E-2</v>
      </c>
      <c r="AF49" s="3045">
        <f>YEARFRAC(G49,H49,3)</f>
        <v>10.273972602739725</v>
      </c>
      <c r="AG49" s="3044"/>
      <c r="AH49" s="3044"/>
    </row>
    <row r="50" spans="1:34" ht="25.5">
      <c r="B50" s="3041" t="s">
        <v>854</v>
      </c>
      <c r="C50" s="3042" t="s">
        <v>3896</v>
      </c>
      <c r="D50" s="3041" t="s">
        <v>3938</v>
      </c>
      <c r="E50" s="3042" t="s">
        <v>3898</v>
      </c>
      <c r="F50" s="3041" t="s">
        <v>3943</v>
      </c>
      <c r="G50" s="3043">
        <v>42059</v>
      </c>
      <c r="H50" s="3043">
        <v>53022</v>
      </c>
      <c r="I50" s="3066">
        <v>3.7000000000000005E-2</v>
      </c>
      <c r="J50" s="3066">
        <v>3.6720000000000003E-2</v>
      </c>
      <c r="K50" s="3066">
        <v>3.7269999999999998E-2</v>
      </c>
      <c r="L50" s="3046">
        <v>103.379</v>
      </c>
      <c r="M50" s="3046">
        <v>99.515000000000001</v>
      </c>
      <c r="N50" s="3067">
        <v>800</v>
      </c>
      <c r="O50" s="3067">
        <v>800</v>
      </c>
      <c r="P50" s="3042" t="s">
        <v>3940</v>
      </c>
      <c r="Q50" s="3048">
        <v>42059</v>
      </c>
      <c r="R50" s="3041" t="s">
        <v>3901</v>
      </c>
      <c r="S50" s="3041" t="s">
        <v>3079</v>
      </c>
      <c r="T50" s="3041" t="s">
        <v>401</v>
      </c>
      <c r="U50" s="3041" t="s">
        <v>3902</v>
      </c>
      <c r="V50" s="3041" t="s">
        <v>3903</v>
      </c>
      <c r="W50" s="3041" t="s">
        <v>3904</v>
      </c>
      <c r="X50" s="3041" t="s">
        <v>3905</v>
      </c>
      <c r="Y50" s="3041" t="s">
        <v>3906</v>
      </c>
      <c r="Z50" s="3048">
        <v>42068</v>
      </c>
      <c r="AA50" s="3048">
        <v>42248</v>
      </c>
      <c r="AB50" s="3048">
        <v>52841</v>
      </c>
      <c r="AC50" s="3048" t="s">
        <v>3079</v>
      </c>
      <c r="AD50" s="3048" t="s">
        <v>3079</v>
      </c>
      <c r="AE50" s="3050">
        <v>4.0677000000000005E-2</v>
      </c>
      <c r="AF50" s="3045">
        <f>YEARFRAC(G50,H50,3)</f>
        <v>30.035616438356165</v>
      </c>
      <c r="AG50" s="3044"/>
      <c r="AH50" s="3044"/>
    </row>
    <row r="51" spans="1:34" ht="12.75">
      <c r="I51" s="3077"/>
      <c r="J51" s="3077"/>
      <c r="K51" s="3077"/>
      <c r="L51" s="3078"/>
      <c r="M51" s="3078"/>
      <c r="AE51" s="3077"/>
      <c r="AF51" s="3045"/>
      <c r="AG51" s="3077"/>
      <c r="AH51" s="3077"/>
    </row>
    <row r="52" spans="1:34" ht="12.75">
      <c r="B52" s="3035" t="s">
        <v>3944</v>
      </c>
      <c r="C52" s="3036"/>
      <c r="D52" s="3036"/>
      <c r="E52" s="3036"/>
      <c r="F52" s="3036"/>
      <c r="G52" s="3036"/>
      <c r="H52" s="3036"/>
      <c r="I52" s="3057"/>
      <c r="J52" s="3057"/>
      <c r="K52" s="3057"/>
      <c r="L52" s="3058"/>
      <c r="M52" s="3058"/>
      <c r="N52" s="3037"/>
      <c r="O52" s="3036"/>
      <c r="P52" s="3036"/>
      <c r="Q52" s="3036"/>
      <c r="R52" s="3036"/>
      <c r="S52" s="3036"/>
      <c r="T52" s="3036"/>
      <c r="U52" s="3036"/>
      <c r="V52" s="3036"/>
      <c r="W52" s="3036"/>
      <c r="X52" s="3036"/>
      <c r="Y52" s="3036"/>
      <c r="Z52" s="3036"/>
      <c r="AA52" s="3036"/>
      <c r="AB52" s="3036"/>
      <c r="AC52" s="3036"/>
      <c r="AD52" s="3036"/>
      <c r="AE52" s="3057"/>
      <c r="AF52" s="3218"/>
      <c r="AG52" s="3057"/>
      <c r="AH52" s="3059"/>
    </row>
    <row r="53" spans="1:34" ht="12.75">
      <c r="I53" s="3077"/>
      <c r="J53" s="3077"/>
      <c r="K53" s="3077"/>
      <c r="L53" s="3078"/>
      <c r="M53" s="3078"/>
      <c r="AE53" s="3077"/>
      <c r="AF53" s="3045"/>
      <c r="AG53" s="3077"/>
      <c r="AH53" s="3077"/>
    </row>
    <row r="54" spans="1:34" ht="25.5">
      <c r="B54" s="3041" t="s">
        <v>3944</v>
      </c>
      <c r="C54" s="3042" t="s">
        <v>3896</v>
      </c>
      <c r="D54" s="3041" t="s">
        <v>3945</v>
      </c>
      <c r="E54" s="3042" t="s">
        <v>3898</v>
      </c>
      <c r="F54" s="3041" t="s">
        <v>3946</v>
      </c>
      <c r="G54" s="3043">
        <v>42628</v>
      </c>
      <c r="H54" s="3043">
        <v>53752</v>
      </c>
      <c r="I54" s="3066">
        <v>4.1500000000000002E-2</v>
      </c>
      <c r="J54" s="3066">
        <v>3.9899999999999998E-2</v>
      </c>
      <c r="K54" s="3066">
        <v>4.1919999999999999E-2</v>
      </c>
      <c r="L54" s="3046">
        <v>106.36799999999999</v>
      </c>
      <c r="M54" s="3046">
        <v>99.283000000000001</v>
      </c>
      <c r="N54" s="3067">
        <v>1750</v>
      </c>
      <c r="O54" s="3047">
        <v>1750</v>
      </c>
      <c r="P54" s="3042" t="s">
        <v>77</v>
      </c>
      <c r="Q54" s="3048">
        <v>42628</v>
      </c>
      <c r="R54" s="3041" t="s">
        <v>3901</v>
      </c>
      <c r="S54" s="3041" t="s">
        <v>3079</v>
      </c>
      <c r="T54" s="3041" t="s">
        <v>401</v>
      </c>
      <c r="U54" s="3041" t="s">
        <v>3902</v>
      </c>
      <c r="V54" s="3041" t="s">
        <v>3903</v>
      </c>
      <c r="W54" s="3041" t="s">
        <v>3904</v>
      </c>
      <c r="X54" s="3041" t="s">
        <v>3905</v>
      </c>
      <c r="Y54" s="3041" t="s">
        <v>3906</v>
      </c>
      <c r="Z54" s="3048">
        <v>42633</v>
      </c>
      <c r="AA54" s="3048">
        <v>42795</v>
      </c>
      <c r="AB54" s="3048">
        <v>53571</v>
      </c>
      <c r="AC54" s="3048">
        <v>53571</v>
      </c>
      <c r="AD54" s="3048">
        <v>100</v>
      </c>
      <c r="AE54" s="3050">
        <v>4.5046999999999997E-2</v>
      </c>
      <c r="AF54" s="3045">
        <f t="shared" ref="AF54:AF59" si="3">YEARFRAC(G54,H54,3)</f>
        <v>30.476712328767125</v>
      </c>
      <c r="AG54" s="3044"/>
      <c r="AH54" s="3044"/>
    </row>
    <row r="55" spans="1:34" s="3087" customFormat="1" ht="25.5">
      <c r="A55" s="3079"/>
      <c r="B55" s="3039" t="s">
        <v>3944</v>
      </c>
      <c r="C55" s="3080" t="s">
        <v>3896</v>
      </c>
      <c r="D55" s="3039" t="s">
        <v>3945</v>
      </c>
      <c r="E55" s="3080" t="s">
        <v>3898</v>
      </c>
      <c r="F55" s="3039" t="s">
        <v>3947</v>
      </c>
      <c r="G55" s="3081">
        <v>42628</v>
      </c>
      <c r="H55" s="3081">
        <v>46447</v>
      </c>
      <c r="I55" s="3072">
        <v>2.9500000000000002E-2</v>
      </c>
      <c r="J55" s="3072">
        <v>3.3160000000000002E-2</v>
      </c>
      <c r="K55" s="3072">
        <v>2.9529999999999997E-2</v>
      </c>
      <c r="L55" s="3082">
        <v>98.353999999999999</v>
      </c>
      <c r="M55" s="3082">
        <v>99.974000000000004</v>
      </c>
      <c r="N55" s="3083">
        <v>1250</v>
      </c>
      <c r="O55" s="3084">
        <v>1250</v>
      </c>
      <c r="P55" s="3080" t="s">
        <v>77</v>
      </c>
      <c r="Q55" s="3085">
        <v>42628</v>
      </c>
      <c r="R55" s="3039" t="s">
        <v>3901</v>
      </c>
      <c r="S55" s="3039" t="s">
        <v>3079</v>
      </c>
      <c r="T55" s="3039" t="s">
        <v>401</v>
      </c>
      <c r="U55" s="3039" t="s">
        <v>3902</v>
      </c>
      <c r="V55" s="3039" t="s">
        <v>3903</v>
      </c>
      <c r="W55" s="3039" t="s">
        <v>3904</v>
      </c>
      <c r="X55" s="3039" t="s">
        <v>3905</v>
      </c>
      <c r="Y55" s="3039" t="s">
        <v>3906</v>
      </c>
      <c r="Z55" s="3085">
        <v>42633</v>
      </c>
      <c r="AA55" s="3085">
        <v>42795</v>
      </c>
      <c r="AB55" s="3085">
        <v>46266</v>
      </c>
      <c r="AC55" s="3085">
        <v>46357</v>
      </c>
      <c r="AD55" s="3085">
        <v>100</v>
      </c>
      <c r="AE55" s="3050">
        <v>3.8584E-2</v>
      </c>
      <c r="AF55" s="3045">
        <f t="shared" si="3"/>
        <v>10.463013698630137</v>
      </c>
      <c r="AG55" s="3086"/>
      <c r="AH55" s="3086"/>
    </row>
    <row r="56" spans="1:34" s="3087" customFormat="1" ht="25.5">
      <c r="A56" s="3079"/>
      <c r="B56" s="3039" t="s">
        <v>3944</v>
      </c>
      <c r="C56" s="3080" t="s">
        <v>3896</v>
      </c>
      <c r="D56" s="3039" t="s">
        <v>3945</v>
      </c>
      <c r="E56" s="3080" t="s">
        <v>3898</v>
      </c>
      <c r="F56" s="3039" t="s">
        <v>3948</v>
      </c>
      <c r="G56" s="3081">
        <v>42628</v>
      </c>
      <c r="H56" s="3081">
        <v>49919</v>
      </c>
      <c r="I56" s="3072">
        <v>0.04</v>
      </c>
      <c r="J56" s="3072">
        <v>3.8670000000000003E-2</v>
      </c>
      <c r="K56" s="3072">
        <v>4.0419999999999998E-2</v>
      </c>
      <c r="L56" s="3082">
        <v>105.79300000000001</v>
      </c>
      <c r="M56" s="3082">
        <v>99.43</v>
      </c>
      <c r="N56" s="3083">
        <v>750</v>
      </c>
      <c r="O56" s="3084">
        <v>750</v>
      </c>
      <c r="P56" s="3080" t="s">
        <v>77</v>
      </c>
      <c r="Q56" s="3085">
        <v>42628</v>
      </c>
      <c r="R56" s="3039" t="s">
        <v>3901</v>
      </c>
      <c r="S56" s="3039" t="s">
        <v>3079</v>
      </c>
      <c r="T56" s="3039" t="s">
        <v>401</v>
      </c>
      <c r="U56" s="3039" t="s">
        <v>3902</v>
      </c>
      <c r="V56" s="3039" t="s">
        <v>3903</v>
      </c>
      <c r="W56" s="3039" t="s">
        <v>3904</v>
      </c>
      <c r="X56" s="3039" t="s">
        <v>3905</v>
      </c>
      <c r="Y56" s="3039" t="s">
        <v>3906</v>
      </c>
      <c r="Z56" s="3085">
        <v>42633</v>
      </c>
      <c r="AA56" s="3085">
        <v>42795</v>
      </c>
      <c r="AB56" s="3085">
        <v>49735</v>
      </c>
      <c r="AC56" s="3085">
        <v>49735</v>
      </c>
      <c r="AD56" s="3085">
        <v>100</v>
      </c>
      <c r="AE56" s="3050">
        <v>4.3455000000000001E-2</v>
      </c>
      <c r="AF56" s="3045">
        <f t="shared" si="3"/>
        <v>19.975342465753425</v>
      </c>
      <c r="AG56" s="3086"/>
      <c r="AH56" s="3086"/>
    </row>
    <row r="57" spans="1:34" ht="25.5">
      <c r="B57" s="3041" t="s">
        <v>3944</v>
      </c>
      <c r="C57" s="3042" t="s">
        <v>3896</v>
      </c>
      <c r="D57" s="3041" t="s">
        <v>3945</v>
      </c>
      <c r="E57" s="3042" t="s">
        <v>3898</v>
      </c>
      <c r="F57" s="3041" t="s">
        <v>3949</v>
      </c>
      <c r="G57" s="3043">
        <v>42256</v>
      </c>
      <c r="H57" s="3043">
        <v>53387</v>
      </c>
      <c r="I57" s="3066">
        <v>4.7500000000000001E-2</v>
      </c>
      <c r="J57" s="3066">
        <v>4.0129999999999999E-2</v>
      </c>
      <c r="K57" s="3066">
        <v>4.7759999999999997E-2</v>
      </c>
      <c r="L57" s="3046">
        <v>115.67400000000001</v>
      </c>
      <c r="M57" s="3046">
        <v>99.587000000000003</v>
      </c>
      <c r="N57" s="3067">
        <v>2250</v>
      </c>
      <c r="O57" s="3047">
        <v>2250</v>
      </c>
      <c r="P57" s="3042" t="s">
        <v>77</v>
      </c>
      <c r="Q57" s="3048">
        <v>42382</v>
      </c>
      <c r="R57" s="3041" t="s">
        <v>3950</v>
      </c>
      <c r="S57" s="3041" t="s">
        <v>3079</v>
      </c>
      <c r="T57" s="3041" t="s">
        <v>401</v>
      </c>
      <c r="U57" s="3041" t="s">
        <v>3902</v>
      </c>
      <c r="V57" s="3041" t="s">
        <v>3903</v>
      </c>
      <c r="W57" s="3041" t="s">
        <v>3904</v>
      </c>
      <c r="X57" s="3041" t="s">
        <v>3905</v>
      </c>
      <c r="Y57" s="3041" t="s">
        <v>3906</v>
      </c>
      <c r="Z57" s="3048">
        <v>42261</v>
      </c>
      <c r="AA57" s="3048">
        <v>42430</v>
      </c>
      <c r="AB57" s="3048">
        <v>53206</v>
      </c>
      <c r="AC57" s="3048">
        <v>53206</v>
      </c>
      <c r="AD57" s="3048">
        <v>100</v>
      </c>
      <c r="AE57" s="3050">
        <v>4.5666000000000005E-2</v>
      </c>
      <c r="AF57" s="3045">
        <f t="shared" si="3"/>
        <v>30.495890410958904</v>
      </c>
      <c r="AG57" s="3044"/>
      <c r="AH57" s="3044"/>
    </row>
    <row r="58" spans="1:34" ht="25.5">
      <c r="B58" s="3041" t="s">
        <v>3944</v>
      </c>
      <c r="C58" s="3042" t="s">
        <v>3896</v>
      </c>
      <c r="D58" s="3041" t="s">
        <v>3945</v>
      </c>
      <c r="E58" s="3042" t="s">
        <v>3898</v>
      </c>
      <c r="F58" s="3041" t="s">
        <v>3951</v>
      </c>
      <c r="G58" s="3043">
        <v>42256</v>
      </c>
      <c r="H58" s="3043">
        <v>46082</v>
      </c>
      <c r="I58" s="3066">
        <v>3.6499999999999998E-2</v>
      </c>
      <c r="J58" s="3066">
        <v>3.295E-2</v>
      </c>
      <c r="K58" s="3066">
        <v>3.6970000000000003E-2</v>
      </c>
      <c r="L58" s="3046">
        <v>103.74</v>
      </c>
      <c r="M58" s="3046">
        <v>99.596000000000004</v>
      </c>
      <c r="N58" s="3067">
        <v>2750</v>
      </c>
      <c r="O58" s="3047">
        <v>2750</v>
      </c>
      <c r="P58" s="3042" t="s">
        <v>77</v>
      </c>
      <c r="Q58" s="3048">
        <v>42382</v>
      </c>
      <c r="R58" s="3041" t="s">
        <v>3950</v>
      </c>
      <c r="S58" s="3041" t="s">
        <v>3079</v>
      </c>
      <c r="T58" s="3041" t="s">
        <v>401</v>
      </c>
      <c r="U58" s="3041" t="s">
        <v>3902</v>
      </c>
      <c r="V58" s="3041" t="s">
        <v>3903</v>
      </c>
      <c r="W58" s="3041" t="s">
        <v>3904</v>
      </c>
      <c r="X58" s="3041" t="s">
        <v>3905</v>
      </c>
      <c r="Y58" s="3041" t="s">
        <v>3906</v>
      </c>
      <c r="Z58" s="3048">
        <v>42261</v>
      </c>
      <c r="AA58" s="3048">
        <v>42430</v>
      </c>
      <c r="AB58" s="3048">
        <v>45901</v>
      </c>
      <c r="AC58" s="3048">
        <v>45992</v>
      </c>
      <c r="AD58" s="3048">
        <v>100</v>
      </c>
      <c r="AE58" s="3050">
        <v>3.9026999999999999E-2</v>
      </c>
      <c r="AF58" s="3045">
        <f t="shared" si="3"/>
        <v>10.482191780821918</v>
      </c>
      <c r="AG58" s="3044"/>
      <c r="AH58" s="3044"/>
    </row>
    <row r="59" spans="1:34" ht="25.5">
      <c r="B59" s="3041" t="s">
        <v>3944</v>
      </c>
      <c r="C59" s="3042" t="s">
        <v>3896</v>
      </c>
      <c r="D59" s="3041" t="s">
        <v>3945</v>
      </c>
      <c r="E59" s="3042" t="s">
        <v>3898</v>
      </c>
      <c r="F59" s="3041" t="s">
        <v>3952</v>
      </c>
      <c r="G59" s="3043">
        <v>42256</v>
      </c>
      <c r="H59" s="3043">
        <v>49553</v>
      </c>
      <c r="I59" s="3066">
        <v>4.5999999999999999E-2</v>
      </c>
      <c r="J59" s="3066">
        <v>3.771E-2</v>
      </c>
      <c r="K59" s="3066">
        <v>4.6260000000000003E-2</v>
      </c>
      <c r="L59" s="3046">
        <v>112.67700000000001</v>
      </c>
      <c r="M59" s="3046">
        <v>99.665000000000006</v>
      </c>
      <c r="N59" s="3067">
        <v>1000</v>
      </c>
      <c r="O59" s="3047">
        <v>1000</v>
      </c>
      <c r="P59" s="3042" t="s">
        <v>77</v>
      </c>
      <c r="Q59" s="3048">
        <v>42382</v>
      </c>
      <c r="R59" s="3041" t="s">
        <v>3950</v>
      </c>
      <c r="S59" s="3041" t="s">
        <v>3079</v>
      </c>
      <c r="T59" s="3041" t="s">
        <v>401</v>
      </c>
      <c r="U59" s="3041" t="s">
        <v>3902</v>
      </c>
      <c r="V59" s="3041" t="s">
        <v>3903</v>
      </c>
      <c r="W59" s="3041" t="s">
        <v>3904</v>
      </c>
      <c r="X59" s="3041" t="s">
        <v>3905</v>
      </c>
      <c r="Y59" s="3041" t="s">
        <v>3906</v>
      </c>
      <c r="Z59" s="3048">
        <v>42261</v>
      </c>
      <c r="AA59" s="3048">
        <v>42430</v>
      </c>
      <c r="AB59" s="3048">
        <v>49369</v>
      </c>
      <c r="AC59" s="3048">
        <v>49369</v>
      </c>
      <c r="AD59" s="3048">
        <v>100</v>
      </c>
      <c r="AE59" s="3050">
        <v>4.3832000000000003E-2</v>
      </c>
      <c r="AF59" s="3045">
        <f t="shared" si="3"/>
        <v>19.991780821917807</v>
      </c>
      <c r="AG59" s="3044"/>
      <c r="AH59" s="3044"/>
    </row>
    <row r="60" spans="1:34" ht="12.75">
      <c r="I60" s="3077"/>
      <c r="J60" s="3077"/>
      <c r="K60" s="3077"/>
      <c r="L60" s="3078"/>
      <c r="M60" s="3078"/>
      <c r="AE60" s="3077"/>
      <c r="AF60" s="3045"/>
      <c r="AG60" s="3077"/>
      <c r="AH60" s="3077"/>
    </row>
    <row r="61" spans="1:34" ht="12.75">
      <c r="B61" s="3035" t="s">
        <v>850</v>
      </c>
      <c r="C61" s="3036"/>
      <c r="D61" s="3036"/>
      <c r="E61" s="3036"/>
      <c r="F61" s="3036"/>
      <c r="G61" s="3036"/>
      <c r="H61" s="3036"/>
      <c r="I61" s="3057"/>
      <c r="J61" s="3057"/>
      <c r="K61" s="3057"/>
      <c r="L61" s="3058"/>
      <c r="M61" s="3058"/>
      <c r="N61" s="3037"/>
      <c r="O61" s="3036"/>
      <c r="P61" s="3036"/>
      <c r="Q61" s="3036"/>
      <c r="R61" s="3036"/>
      <c r="S61" s="3036"/>
      <c r="T61" s="3036"/>
      <c r="U61" s="3036"/>
      <c r="V61" s="3036"/>
      <c r="W61" s="3036"/>
      <c r="X61" s="3036"/>
      <c r="Y61" s="3036"/>
      <c r="Z61" s="3036"/>
      <c r="AA61" s="3036"/>
      <c r="AB61" s="3036"/>
      <c r="AC61" s="3036"/>
      <c r="AD61" s="3036"/>
      <c r="AE61" s="3057"/>
      <c r="AF61" s="3218"/>
      <c r="AG61" s="3057"/>
      <c r="AH61" s="3059"/>
    </row>
    <row r="62" spans="1:34" ht="12.75">
      <c r="I62" s="3077"/>
      <c r="J62" s="3077"/>
      <c r="K62" s="3077"/>
      <c r="L62" s="3078"/>
      <c r="M62" s="3078"/>
      <c r="AE62" s="3077"/>
      <c r="AF62" s="3045"/>
      <c r="AG62" s="3077"/>
      <c r="AH62" s="3077"/>
    </row>
    <row r="63" spans="1:34" s="3006" customFormat="1" ht="25.5">
      <c r="B63" s="3060" t="s">
        <v>850</v>
      </c>
      <c r="C63" s="3040" t="s">
        <v>3896</v>
      </c>
      <c r="D63" s="3060" t="s">
        <v>3953</v>
      </c>
      <c r="E63" s="3040" t="s">
        <v>3898</v>
      </c>
      <c r="F63" s="3060" t="s">
        <v>3954</v>
      </c>
      <c r="G63" s="3049">
        <v>43047</v>
      </c>
      <c r="H63" s="3049">
        <v>54072</v>
      </c>
      <c r="I63" s="3051">
        <v>3.5000000000000003E-2</v>
      </c>
      <c r="J63" s="3051">
        <v>3.6249999999999998E-2</v>
      </c>
      <c r="K63" s="3051">
        <v>3.5209999999999998E-2</v>
      </c>
      <c r="L63" s="3045">
        <v>102.298</v>
      </c>
      <c r="M63" s="3045">
        <v>99.623000000000005</v>
      </c>
      <c r="N63" s="3088">
        <v>750</v>
      </c>
      <c r="O63" s="3088">
        <v>750</v>
      </c>
      <c r="P63" s="3040" t="s">
        <v>3955</v>
      </c>
      <c r="Q63" s="3063">
        <v>43053</v>
      </c>
      <c r="R63" s="3060" t="s">
        <v>3901</v>
      </c>
      <c r="S63" s="3060" t="s">
        <v>3079</v>
      </c>
      <c r="T63" s="3060" t="s">
        <v>401</v>
      </c>
      <c r="U63" s="3060" t="s">
        <v>3902</v>
      </c>
      <c r="V63" s="3060" t="s">
        <v>3903</v>
      </c>
      <c r="W63" s="3060" t="s">
        <v>3904</v>
      </c>
      <c r="X63" s="3060" t="s">
        <v>3905</v>
      </c>
      <c r="Y63" s="3060" t="s">
        <v>3906</v>
      </c>
      <c r="Z63" s="3063">
        <v>43049</v>
      </c>
      <c r="AA63" s="3063">
        <v>43296</v>
      </c>
      <c r="AB63" s="3063">
        <v>53888</v>
      </c>
      <c r="AC63" s="3063">
        <v>53888</v>
      </c>
      <c r="AD63" s="3064">
        <v>100</v>
      </c>
      <c r="AE63" s="3050">
        <v>3.9724000000000002E-2</v>
      </c>
      <c r="AF63" s="3045">
        <f t="shared" ref="AF63:AF71" si="4">YEARFRAC(G63,H63,3)</f>
        <v>30.205479452054796</v>
      </c>
      <c r="AG63" s="3065"/>
      <c r="AH63" s="3065"/>
    </row>
    <row r="64" spans="1:34" s="3006" customFormat="1" ht="25.5">
      <c r="B64" s="3060" t="s">
        <v>850</v>
      </c>
      <c r="C64" s="3040" t="s">
        <v>3896</v>
      </c>
      <c r="D64" s="3060" t="s">
        <v>3953</v>
      </c>
      <c r="E64" s="3040" t="s">
        <v>3898</v>
      </c>
      <c r="F64" s="3060" t="s">
        <v>3956</v>
      </c>
      <c r="G64" s="3049">
        <v>43047</v>
      </c>
      <c r="H64" s="3049">
        <v>50420</v>
      </c>
      <c r="I64" s="3051">
        <v>3.4000000000000002E-2</v>
      </c>
      <c r="J64" s="3051">
        <v>3.4669999999999999E-2</v>
      </c>
      <c r="K64" s="3051">
        <v>3.4209999999999997E-2</v>
      </c>
      <c r="L64" s="3045">
        <v>102.426</v>
      </c>
      <c r="M64" s="3045">
        <v>99.703000000000003</v>
      </c>
      <c r="N64" s="3088">
        <v>1000</v>
      </c>
      <c r="O64" s="3088">
        <v>1000</v>
      </c>
      <c r="P64" s="3040" t="s">
        <v>3955</v>
      </c>
      <c r="Q64" s="3063">
        <v>43048</v>
      </c>
      <c r="R64" s="3060" t="s">
        <v>3901</v>
      </c>
      <c r="S64" s="3060" t="s">
        <v>3079</v>
      </c>
      <c r="T64" s="3060" t="s">
        <v>401</v>
      </c>
      <c r="U64" s="3060" t="s">
        <v>3902</v>
      </c>
      <c r="V64" s="3060" t="s">
        <v>3903</v>
      </c>
      <c r="W64" s="3060" t="s">
        <v>3904</v>
      </c>
      <c r="X64" s="3060" t="s">
        <v>3905</v>
      </c>
      <c r="Y64" s="3060" t="s">
        <v>3906</v>
      </c>
      <c r="Z64" s="3063">
        <v>43049</v>
      </c>
      <c r="AA64" s="3063">
        <v>43296</v>
      </c>
      <c r="AB64" s="3063">
        <v>50236</v>
      </c>
      <c r="AC64" s="3063">
        <v>50236</v>
      </c>
      <c r="AD64" s="3064">
        <v>100</v>
      </c>
      <c r="AE64" s="3050">
        <v>3.8789999999999998E-2</v>
      </c>
      <c r="AF64" s="3045">
        <f t="shared" si="4"/>
        <v>20.2</v>
      </c>
      <c r="AG64" s="3065"/>
      <c r="AH64" s="3065"/>
    </row>
    <row r="65" spans="2:34" s="3006" customFormat="1" ht="25.5">
      <c r="B65" s="3060" t="s">
        <v>850</v>
      </c>
      <c r="C65" s="3040" t="s">
        <v>3896</v>
      </c>
      <c r="D65" s="3060" t="s">
        <v>3953</v>
      </c>
      <c r="E65" s="3040" t="s">
        <v>3898</v>
      </c>
      <c r="F65" s="3060" t="s">
        <v>3957</v>
      </c>
      <c r="G65" s="3049">
        <v>43047</v>
      </c>
      <c r="H65" s="3049">
        <v>46767</v>
      </c>
      <c r="I65" s="3051">
        <v>2.9000000000000001E-2</v>
      </c>
      <c r="J65" s="3051">
        <v>3.0519999999999999E-2</v>
      </c>
      <c r="K65" s="3051">
        <v>2.9139999999999999E-2</v>
      </c>
      <c r="L65" s="3045">
        <v>100.149</v>
      </c>
      <c r="M65" s="3045">
        <v>99.881</v>
      </c>
      <c r="N65" s="3088">
        <v>1500</v>
      </c>
      <c r="O65" s="3088">
        <v>1500</v>
      </c>
      <c r="P65" s="3040" t="s">
        <v>3955</v>
      </c>
      <c r="Q65" s="3063">
        <v>43048</v>
      </c>
      <c r="R65" s="3060" t="s">
        <v>3901</v>
      </c>
      <c r="S65" s="3060" t="s">
        <v>3079</v>
      </c>
      <c r="T65" s="3060" t="s">
        <v>401</v>
      </c>
      <c r="U65" s="3060" t="s">
        <v>3902</v>
      </c>
      <c r="V65" s="3060" t="s">
        <v>3903</v>
      </c>
      <c r="W65" s="3060" t="s">
        <v>3904</v>
      </c>
      <c r="X65" s="3060" t="s">
        <v>3905</v>
      </c>
      <c r="Y65" s="3060" t="s">
        <v>3906</v>
      </c>
      <c r="Z65" s="3063">
        <v>43049</v>
      </c>
      <c r="AA65" s="3063">
        <v>43296</v>
      </c>
      <c r="AB65" s="3063">
        <v>46583</v>
      </c>
      <c r="AC65" s="3063">
        <v>46675</v>
      </c>
      <c r="AD65" s="3064">
        <v>100</v>
      </c>
      <c r="AE65" s="3050">
        <v>3.4693999999999996E-2</v>
      </c>
      <c r="AF65" s="3045">
        <f t="shared" si="4"/>
        <v>10.191780821917808</v>
      </c>
      <c r="AG65" s="3065"/>
      <c r="AH65" s="3065"/>
    </row>
    <row r="66" spans="2:34" ht="25.5">
      <c r="B66" s="3060" t="s">
        <v>850</v>
      </c>
      <c r="C66" s="3040" t="s">
        <v>3896</v>
      </c>
      <c r="D66" s="3060" t="s">
        <v>3953</v>
      </c>
      <c r="E66" s="3040" t="s">
        <v>3898</v>
      </c>
      <c r="F66" s="3060" t="s">
        <v>3958</v>
      </c>
      <c r="G66" s="3049">
        <v>42794</v>
      </c>
      <c r="H66" s="3049">
        <v>46449</v>
      </c>
      <c r="I66" s="3051">
        <v>2.9499999999999998E-2</v>
      </c>
      <c r="J66" s="3051">
        <v>3.0349999999999999E-2</v>
      </c>
      <c r="K66" s="3051">
        <v>2.962E-2</v>
      </c>
      <c r="L66" s="3045">
        <v>101.33</v>
      </c>
      <c r="M66" s="3045">
        <v>99.897000000000006</v>
      </c>
      <c r="N66" s="3088">
        <v>1000</v>
      </c>
      <c r="O66" s="3088">
        <v>1000</v>
      </c>
      <c r="P66" s="3040" t="s">
        <v>3955</v>
      </c>
      <c r="Q66" s="3064">
        <v>42794</v>
      </c>
      <c r="R66" s="3060" t="s">
        <v>3901</v>
      </c>
      <c r="S66" s="3060" t="s">
        <v>3079</v>
      </c>
      <c r="T66" s="3060" t="s">
        <v>401</v>
      </c>
      <c r="U66" s="3060" t="s">
        <v>3902</v>
      </c>
      <c r="V66" s="3060" t="s">
        <v>3903</v>
      </c>
      <c r="W66" s="3060" t="s">
        <v>3904</v>
      </c>
      <c r="X66" s="3060" t="s">
        <v>3905</v>
      </c>
      <c r="Y66" s="3060" t="s">
        <v>3906</v>
      </c>
      <c r="Z66" s="3064">
        <v>42797</v>
      </c>
      <c r="AA66" s="3064">
        <v>42981</v>
      </c>
      <c r="AB66" s="3064">
        <v>46268</v>
      </c>
      <c r="AC66" s="3064">
        <v>46359</v>
      </c>
      <c r="AD66" s="3064">
        <v>100</v>
      </c>
      <c r="AE66" s="3050">
        <v>3.4768E-2</v>
      </c>
      <c r="AF66" s="3045">
        <f t="shared" si="4"/>
        <v>10.013698630136986</v>
      </c>
      <c r="AG66" s="3065"/>
      <c r="AH66" s="3065"/>
    </row>
    <row r="67" spans="2:34" ht="25.5">
      <c r="B67" s="3060" t="s">
        <v>850</v>
      </c>
      <c r="C67" s="3040" t="s">
        <v>3896</v>
      </c>
      <c r="D67" s="3060" t="s">
        <v>3953</v>
      </c>
      <c r="E67" s="3040" t="s">
        <v>3898</v>
      </c>
      <c r="F67" s="3060" t="s">
        <v>3959</v>
      </c>
      <c r="G67" s="3049">
        <v>42794</v>
      </c>
      <c r="H67" s="3049">
        <v>50102</v>
      </c>
      <c r="I67" s="3051">
        <v>3.6249999999999998E-2</v>
      </c>
      <c r="J67" s="3051">
        <v>3.4569999999999997E-2</v>
      </c>
      <c r="K67" s="3051">
        <v>3.6429999999999997E-2</v>
      </c>
      <c r="L67" s="3045">
        <v>105.648</v>
      </c>
      <c r="M67" s="3045">
        <v>99.745999999999995</v>
      </c>
      <c r="N67" s="3088">
        <v>1500</v>
      </c>
      <c r="O67" s="3088">
        <v>1500</v>
      </c>
      <c r="P67" s="3040" t="s">
        <v>3955</v>
      </c>
      <c r="Q67" s="3064">
        <v>42803</v>
      </c>
      <c r="R67" s="3060" t="s">
        <v>3901</v>
      </c>
      <c r="S67" s="3060" t="s">
        <v>3079</v>
      </c>
      <c r="T67" s="3060" t="s">
        <v>401</v>
      </c>
      <c r="U67" s="3060" t="s">
        <v>3902</v>
      </c>
      <c r="V67" s="3060" t="s">
        <v>3903</v>
      </c>
      <c r="W67" s="3060" t="s">
        <v>3904</v>
      </c>
      <c r="X67" s="3060" t="s">
        <v>3905</v>
      </c>
      <c r="Y67" s="3060" t="s">
        <v>3906</v>
      </c>
      <c r="Z67" s="3064">
        <v>42797</v>
      </c>
      <c r="AA67" s="3064">
        <v>42981</v>
      </c>
      <c r="AB67" s="3064">
        <v>49921</v>
      </c>
      <c r="AC67" s="3064">
        <v>49921</v>
      </c>
      <c r="AD67" s="3064">
        <v>100</v>
      </c>
      <c r="AE67" s="3050">
        <v>3.8223E-2</v>
      </c>
      <c r="AF67" s="3045">
        <f t="shared" si="4"/>
        <v>20.021917808219179</v>
      </c>
      <c r="AG67" s="3065"/>
      <c r="AH67" s="3065"/>
    </row>
    <row r="68" spans="2:34" s="3006" customFormat="1" ht="25.5">
      <c r="B68" s="3060" t="s">
        <v>850</v>
      </c>
      <c r="C68" s="3040" t="s">
        <v>3896</v>
      </c>
      <c r="D68" s="3060" t="s">
        <v>3953</v>
      </c>
      <c r="E68" s="3040" t="s">
        <v>3898</v>
      </c>
      <c r="F68" s="3060" t="s">
        <v>3960</v>
      </c>
      <c r="G68" s="3049">
        <v>42794</v>
      </c>
      <c r="H68" s="3049">
        <v>53754</v>
      </c>
      <c r="I68" s="3051">
        <v>3.7499999999999999E-2</v>
      </c>
      <c r="J68" s="3051">
        <v>3.5869999999999999E-2</v>
      </c>
      <c r="K68" s="3051">
        <v>3.7629999999999997E-2</v>
      </c>
      <c r="L68" s="3045">
        <v>106.78100000000001</v>
      </c>
      <c r="M68" s="3045">
        <v>99.766999999999996</v>
      </c>
      <c r="N68" s="3088">
        <v>1000</v>
      </c>
      <c r="O68" s="3088">
        <v>1000</v>
      </c>
      <c r="P68" s="3040" t="s">
        <v>3955</v>
      </c>
      <c r="Q68" s="3064">
        <v>42803</v>
      </c>
      <c r="R68" s="3060" t="s">
        <v>3901</v>
      </c>
      <c r="S68" s="3060" t="s">
        <v>3079</v>
      </c>
      <c r="T68" s="3060" t="s">
        <v>401</v>
      </c>
      <c r="U68" s="3060" t="s">
        <v>3902</v>
      </c>
      <c r="V68" s="3060" t="s">
        <v>3903</v>
      </c>
      <c r="W68" s="3060" t="s">
        <v>3904</v>
      </c>
      <c r="X68" s="3060" t="s">
        <v>3905</v>
      </c>
      <c r="Y68" s="3060" t="s">
        <v>3906</v>
      </c>
      <c r="Z68" s="3064">
        <v>42797</v>
      </c>
      <c r="AA68" s="3064">
        <v>42981</v>
      </c>
      <c r="AB68" s="3064">
        <v>53573</v>
      </c>
      <c r="AC68" s="3064">
        <v>53573</v>
      </c>
      <c r="AD68" s="3064">
        <v>100</v>
      </c>
      <c r="AE68" s="3050">
        <v>3.9410000000000001E-2</v>
      </c>
      <c r="AF68" s="3045">
        <f t="shared" si="4"/>
        <v>30.027397260273972</v>
      </c>
      <c r="AG68" s="3065"/>
      <c r="AH68" s="3065"/>
    </row>
    <row r="69" spans="2:34" s="3079" customFormat="1" ht="25.5">
      <c r="B69" s="3089" t="s">
        <v>850</v>
      </c>
      <c r="C69" s="3090" t="s">
        <v>3896</v>
      </c>
      <c r="D69" s="3089" t="s">
        <v>3953</v>
      </c>
      <c r="E69" s="3090" t="s">
        <v>3898</v>
      </c>
      <c r="F69" s="3089" t="s">
        <v>3961</v>
      </c>
      <c r="G69" s="3091">
        <v>42426</v>
      </c>
      <c r="H69" s="3091">
        <v>49735</v>
      </c>
      <c r="I69" s="3092">
        <v>3.5499999999999997E-2</v>
      </c>
      <c r="J69" s="3092">
        <v>3.4419999999999999E-2</v>
      </c>
      <c r="K69" s="3092">
        <v>3.5869999999999999E-2</v>
      </c>
      <c r="L69" s="3093">
        <v>103.67400000000001</v>
      </c>
      <c r="M69" s="3093">
        <v>99.474999999999994</v>
      </c>
      <c r="N69" s="3094">
        <v>1000</v>
      </c>
      <c r="O69" s="3094">
        <v>1000</v>
      </c>
      <c r="P69" s="3090" t="s">
        <v>3955</v>
      </c>
      <c r="Q69" s="3095">
        <v>42439</v>
      </c>
      <c r="R69" s="3089" t="s">
        <v>3901</v>
      </c>
      <c r="S69" s="3089" t="s">
        <v>3079</v>
      </c>
      <c r="T69" s="3089" t="s">
        <v>401</v>
      </c>
      <c r="U69" s="3089" t="s">
        <v>3902</v>
      </c>
      <c r="V69" s="3089" t="s">
        <v>3903</v>
      </c>
      <c r="W69" s="3089" t="s">
        <v>3904</v>
      </c>
      <c r="X69" s="3089" t="s">
        <v>3905</v>
      </c>
      <c r="Y69" s="3089" t="s">
        <v>3906</v>
      </c>
      <c r="Z69" s="3095">
        <v>42430</v>
      </c>
      <c r="AA69" s="3095">
        <v>42614</v>
      </c>
      <c r="AB69" s="3095">
        <v>49553</v>
      </c>
      <c r="AC69" s="3095">
        <v>49553</v>
      </c>
      <c r="AD69" s="3095">
        <v>100</v>
      </c>
      <c r="AE69" s="3050">
        <v>3.8838999999999999E-2</v>
      </c>
      <c r="AF69" s="3045">
        <f t="shared" si="4"/>
        <v>20.024657534246575</v>
      </c>
      <c r="AG69" s="3096"/>
      <c r="AH69" s="3096"/>
    </row>
    <row r="70" spans="2:34" s="3079" customFormat="1" ht="25.5">
      <c r="B70" s="3089" t="s">
        <v>850</v>
      </c>
      <c r="C70" s="3090" t="s">
        <v>3896</v>
      </c>
      <c r="D70" s="3089" t="s">
        <v>3953</v>
      </c>
      <c r="E70" s="3090" t="s">
        <v>3898</v>
      </c>
      <c r="F70" s="3089" t="s">
        <v>3962</v>
      </c>
      <c r="G70" s="3091">
        <v>42426</v>
      </c>
      <c r="H70" s="3091">
        <v>53387</v>
      </c>
      <c r="I70" s="3092">
        <v>3.6999999999999998E-2</v>
      </c>
      <c r="J70" s="3092">
        <v>3.5889999999999998E-2</v>
      </c>
      <c r="K70" s="3092">
        <v>3.737E-2</v>
      </c>
      <c r="L70" s="3093">
        <v>105.399</v>
      </c>
      <c r="M70" s="3093">
        <v>99.335999999999999</v>
      </c>
      <c r="N70" s="3094">
        <v>2000</v>
      </c>
      <c r="O70" s="3094">
        <v>2000</v>
      </c>
      <c r="P70" s="3090" t="s">
        <v>3955</v>
      </c>
      <c r="Q70" s="3095">
        <v>42425</v>
      </c>
      <c r="R70" s="3089" t="s">
        <v>3901</v>
      </c>
      <c r="S70" s="3089" t="s">
        <v>3079</v>
      </c>
      <c r="T70" s="3089" t="s">
        <v>401</v>
      </c>
      <c r="U70" s="3089" t="s">
        <v>3902</v>
      </c>
      <c r="V70" s="3089" t="s">
        <v>3903</v>
      </c>
      <c r="W70" s="3089" t="s">
        <v>3904</v>
      </c>
      <c r="X70" s="3089" t="s">
        <v>3905</v>
      </c>
      <c r="Y70" s="3089" t="s">
        <v>3906</v>
      </c>
      <c r="Z70" s="3095">
        <v>42430</v>
      </c>
      <c r="AA70" s="3095">
        <v>42614</v>
      </c>
      <c r="AB70" s="3095">
        <v>53206</v>
      </c>
      <c r="AC70" s="3095">
        <v>53206</v>
      </c>
      <c r="AD70" s="3095">
        <v>100</v>
      </c>
      <c r="AE70" s="3050">
        <v>3.9586000000000003E-2</v>
      </c>
      <c r="AF70" s="3045">
        <f t="shared" si="4"/>
        <v>30.030136986301368</v>
      </c>
      <c r="AG70" s="3096"/>
      <c r="AH70" s="3096"/>
    </row>
    <row r="71" spans="2:34" s="3079" customFormat="1" ht="25.5">
      <c r="B71" s="3089" t="s">
        <v>850</v>
      </c>
      <c r="C71" s="3090" t="s">
        <v>3896</v>
      </c>
      <c r="D71" s="3089" t="s">
        <v>3953</v>
      </c>
      <c r="E71" s="3090" t="s">
        <v>3898</v>
      </c>
      <c r="F71" s="3089" t="s">
        <v>3963</v>
      </c>
      <c r="G71" s="3091">
        <v>42425</v>
      </c>
      <c r="H71" s="3091">
        <v>46082</v>
      </c>
      <c r="I71" s="3092">
        <v>2.4500000000000001E-2</v>
      </c>
      <c r="J71" s="3092">
        <v>3.0280000000000001E-2</v>
      </c>
      <c r="K71" s="3092">
        <v>2.4660000000000001E-2</v>
      </c>
      <c r="L71" s="3093">
        <v>97.518000000000001</v>
      </c>
      <c r="M71" s="3093">
        <v>99.858999999999995</v>
      </c>
      <c r="N71" s="3094">
        <v>2000</v>
      </c>
      <c r="O71" s="3094">
        <v>2000</v>
      </c>
      <c r="P71" s="3090" t="s">
        <v>3955</v>
      </c>
      <c r="Q71" s="3095">
        <v>42439</v>
      </c>
      <c r="R71" s="3089" t="s">
        <v>3901</v>
      </c>
      <c r="S71" s="3089" t="s">
        <v>3079</v>
      </c>
      <c r="T71" s="3089" t="s">
        <v>401</v>
      </c>
      <c r="U71" s="3089" t="s">
        <v>3902</v>
      </c>
      <c r="V71" s="3089" t="s">
        <v>3903</v>
      </c>
      <c r="W71" s="3089" t="s">
        <v>3904</v>
      </c>
      <c r="X71" s="3089" t="s">
        <v>3905</v>
      </c>
      <c r="Y71" s="3089" t="s">
        <v>3906</v>
      </c>
      <c r="Z71" s="3095">
        <v>42430</v>
      </c>
      <c r="AA71" s="3095">
        <v>42614</v>
      </c>
      <c r="AB71" s="3095">
        <v>45901</v>
      </c>
      <c r="AC71" s="3095">
        <v>45992</v>
      </c>
      <c r="AD71" s="3095">
        <v>100</v>
      </c>
      <c r="AE71" s="3050">
        <v>3.4367000000000002E-2</v>
      </c>
      <c r="AF71" s="3045">
        <f t="shared" si="4"/>
        <v>10.019178082191781</v>
      </c>
      <c r="AG71" s="3096"/>
      <c r="AH71" s="3096"/>
    </row>
    <row r="72" spans="2:34" ht="12.75">
      <c r="AF72" s="3045"/>
    </row>
    <row r="73" spans="2:34" ht="12.75">
      <c r="I73" s="3077"/>
      <c r="J73" s="3077"/>
      <c r="K73" s="3077"/>
      <c r="L73" s="3078"/>
      <c r="M73" s="3078"/>
      <c r="AE73" s="3077"/>
      <c r="AF73" s="3045"/>
      <c r="AG73" s="3077"/>
      <c r="AH73" s="3077"/>
    </row>
    <row r="74" spans="2:34" ht="12.75">
      <c r="B74" s="3035" t="s">
        <v>3964</v>
      </c>
      <c r="C74" s="3036"/>
      <c r="D74" s="3036"/>
      <c r="E74" s="3036"/>
      <c r="F74" s="3036"/>
      <c r="G74" s="3036"/>
      <c r="H74" s="3036"/>
      <c r="I74" s="3057"/>
      <c r="J74" s="3057"/>
      <c r="K74" s="3057"/>
      <c r="L74" s="3058"/>
      <c r="M74" s="3058"/>
      <c r="N74" s="3037"/>
      <c r="O74" s="3036"/>
      <c r="P74" s="3036"/>
      <c r="Q74" s="3036"/>
      <c r="R74" s="3036"/>
      <c r="S74" s="3036"/>
      <c r="T74" s="3036"/>
      <c r="U74" s="3036"/>
      <c r="V74" s="3036"/>
      <c r="W74" s="3036"/>
      <c r="X74" s="3036"/>
      <c r="Y74" s="3036"/>
      <c r="Z74" s="3036"/>
      <c r="AA74" s="3036"/>
      <c r="AB74" s="3036"/>
      <c r="AC74" s="3036"/>
      <c r="AD74" s="3036"/>
      <c r="AE74" s="3057"/>
      <c r="AF74" s="3218"/>
      <c r="AG74" s="3057"/>
      <c r="AH74" s="3059"/>
    </row>
    <row r="75" spans="2:34" ht="12.75">
      <c r="I75" s="3077"/>
      <c r="J75" s="3077"/>
      <c r="K75" s="3077"/>
      <c r="L75" s="3078"/>
      <c r="M75" s="3078"/>
      <c r="AE75" s="3077"/>
      <c r="AF75" s="3045"/>
      <c r="AG75" s="3077"/>
      <c r="AH75" s="3077"/>
    </row>
    <row r="76" spans="2:34" ht="25.5">
      <c r="B76" s="3041" t="s">
        <v>3964</v>
      </c>
      <c r="C76" s="3042" t="s">
        <v>3896</v>
      </c>
      <c r="D76" s="3041" t="s">
        <v>3965</v>
      </c>
      <c r="E76" s="3042" t="s">
        <v>3898</v>
      </c>
      <c r="F76" s="3041" t="s">
        <v>3966</v>
      </c>
      <c r="G76" s="3043">
        <v>42040</v>
      </c>
      <c r="H76" s="3043">
        <v>45698</v>
      </c>
      <c r="I76" s="3066">
        <v>2.75E-2</v>
      </c>
      <c r="J76" s="3066">
        <v>2.998E-2</v>
      </c>
      <c r="K76" s="3066">
        <v>2.7690000000000003E-2</v>
      </c>
      <c r="L76" s="3046">
        <v>99.594999999999999</v>
      </c>
      <c r="M76" s="3046">
        <v>99.834999999999994</v>
      </c>
      <c r="N76" s="3047">
        <v>2500</v>
      </c>
      <c r="O76" s="3047">
        <v>2500</v>
      </c>
      <c r="P76" s="3042" t="s">
        <v>3967</v>
      </c>
      <c r="Q76" s="3048">
        <v>42040</v>
      </c>
      <c r="R76" s="3041" t="s">
        <v>3901</v>
      </c>
      <c r="S76" s="3041" t="s">
        <v>3079</v>
      </c>
      <c r="T76" s="3041" t="s">
        <v>401</v>
      </c>
      <c r="U76" s="3041" t="s">
        <v>3902</v>
      </c>
      <c r="V76" s="3041" t="s">
        <v>3903</v>
      </c>
      <c r="W76" s="3041" t="s">
        <v>3904</v>
      </c>
      <c r="X76" s="3041" t="s">
        <v>3905</v>
      </c>
      <c r="Y76" s="3041" t="s">
        <v>3906</v>
      </c>
      <c r="Z76" s="3048">
        <v>42045</v>
      </c>
      <c r="AA76" s="3048">
        <v>42226</v>
      </c>
      <c r="AB76" s="3048">
        <v>45514</v>
      </c>
      <c r="AC76" s="3048">
        <v>45606</v>
      </c>
      <c r="AD76" s="3048">
        <v>100</v>
      </c>
      <c r="AE76" s="3050">
        <v>3.5557999999999999E-2</v>
      </c>
      <c r="AF76" s="3045">
        <f>YEARFRAC(G76,H76,3)</f>
        <v>10.021917808219179</v>
      </c>
      <c r="AG76" s="3044"/>
      <c r="AH76" s="3044"/>
    </row>
    <row r="77" spans="2:34" ht="25.5">
      <c r="B77" s="3041" t="s">
        <v>3964</v>
      </c>
      <c r="C77" s="3042" t="s">
        <v>3896</v>
      </c>
      <c r="D77" s="3041" t="s">
        <v>3965</v>
      </c>
      <c r="E77" s="3042" t="s">
        <v>3898</v>
      </c>
      <c r="F77" s="3041" t="s">
        <v>3968</v>
      </c>
      <c r="G77" s="3043">
        <v>42040</v>
      </c>
      <c r="H77" s="3043">
        <v>53003</v>
      </c>
      <c r="I77" s="3066">
        <v>3.7000000000000005E-2</v>
      </c>
      <c r="J77" s="3066">
        <v>3.644E-2</v>
      </c>
      <c r="K77" s="3066">
        <v>3.7319999999999999E-2</v>
      </c>
      <c r="L77" s="3046">
        <v>104.39400000000001</v>
      </c>
      <c r="M77" s="3046">
        <v>99.424999999999997</v>
      </c>
      <c r="N77" s="3047">
        <v>2000</v>
      </c>
      <c r="O77" s="3047">
        <v>2000</v>
      </c>
      <c r="P77" s="3042" t="s">
        <v>3967</v>
      </c>
      <c r="Q77" s="3048">
        <v>42040</v>
      </c>
      <c r="R77" s="3041" t="s">
        <v>3901</v>
      </c>
      <c r="S77" s="3041" t="s">
        <v>3079</v>
      </c>
      <c r="T77" s="3041" t="s">
        <v>401</v>
      </c>
      <c r="U77" s="3041" t="s">
        <v>3902</v>
      </c>
      <c r="V77" s="3041" t="s">
        <v>3903</v>
      </c>
      <c r="W77" s="3041" t="s">
        <v>3904</v>
      </c>
      <c r="X77" s="3041" t="s">
        <v>3905</v>
      </c>
      <c r="Y77" s="3041" t="s">
        <v>3906</v>
      </c>
      <c r="Z77" s="3048">
        <v>42045</v>
      </c>
      <c r="AA77" s="3048">
        <v>42226</v>
      </c>
      <c r="AB77" s="3048">
        <v>52819</v>
      </c>
      <c r="AC77" s="3048">
        <v>52819</v>
      </c>
      <c r="AD77" s="3048">
        <v>100</v>
      </c>
      <c r="AE77" s="3050">
        <v>4.0773999999999998E-2</v>
      </c>
      <c r="AF77" s="3045">
        <f>YEARFRAC(G77,H77,3)</f>
        <v>30.035616438356165</v>
      </c>
      <c r="AG77" s="3044"/>
      <c r="AH77" s="3044"/>
    </row>
    <row r="78" spans="2:34" ht="12.75">
      <c r="I78" s="3077"/>
      <c r="J78" s="3077"/>
      <c r="K78" s="3077"/>
      <c r="L78" s="3078"/>
      <c r="M78" s="3078"/>
      <c r="AE78" s="3077"/>
      <c r="AF78" s="3045"/>
      <c r="AG78" s="3077"/>
      <c r="AH78" s="3077"/>
    </row>
    <row r="79" spans="2:34" ht="12.75">
      <c r="B79" s="3035" t="s">
        <v>851</v>
      </c>
      <c r="C79" s="3036"/>
      <c r="D79" s="3036"/>
      <c r="E79" s="3036"/>
      <c r="F79" s="3036"/>
      <c r="G79" s="3036"/>
      <c r="H79" s="3036"/>
      <c r="I79" s="3057"/>
      <c r="J79" s="3057"/>
      <c r="K79" s="3057"/>
      <c r="L79" s="3058"/>
      <c r="M79" s="3058"/>
      <c r="N79" s="3037"/>
      <c r="O79" s="3036"/>
      <c r="P79" s="3036"/>
      <c r="Q79" s="3036"/>
      <c r="R79" s="3036"/>
      <c r="S79" s="3036"/>
      <c r="T79" s="3036"/>
      <c r="U79" s="3036"/>
      <c r="V79" s="3036"/>
      <c r="W79" s="3036"/>
      <c r="X79" s="3036"/>
      <c r="Y79" s="3036"/>
      <c r="Z79" s="3036"/>
      <c r="AA79" s="3036"/>
      <c r="AB79" s="3036"/>
      <c r="AC79" s="3036"/>
      <c r="AD79" s="3036"/>
      <c r="AE79" s="3057"/>
      <c r="AF79" s="3218"/>
      <c r="AG79" s="3057"/>
      <c r="AH79" s="3059"/>
    </row>
    <row r="80" spans="2:34" ht="12.75">
      <c r="I80" s="3077"/>
      <c r="J80" s="3077"/>
      <c r="K80" s="3077"/>
      <c r="L80" s="3078"/>
      <c r="M80" s="3078"/>
      <c r="AE80" s="3077"/>
      <c r="AF80" s="3219"/>
      <c r="AG80" s="3077"/>
      <c r="AH80" s="3077"/>
    </row>
    <row r="81" spans="1:36" ht="25.5">
      <c r="B81" s="3060" t="s">
        <v>851</v>
      </c>
      <c r="C81" s="3040" t="s">
        <v>3896</v>
      </c>
      <c r="D81" s="3060" t="s">
        <v>3969</v>
      </c>
      <c r="E81" s="3040" t="s">
        <v>3898</v>
      </c>
      <c r="F81" s="3060" t="s">
        <v>3970</v>
      </c>
      <c r="G81" s="3049">
        <v>42790</v>
      </c>
      <c r="H81" s="3049">
        <v>53768</v>
      </c>
      <c r="I81" s="3051">
        <v>4.2000000000000003E-2</v>
      </c>
      <c r="J81" s="3051">
        <v>3.8309999999999997E-2</v>
      </c>
      <c r="K81" s="3051">
        <v>4.2000000000000003E-2</v>
      </c>
      <c r="L81" s="3045">
        <v>101.33</v>
      </c>
      <c r="M81" s="3045">
        <v>100</v>
      </c>
      <c r="N81" s="3088">
        <v>1065</v>
      </c>
      <c r="O81" s="3088">
        <v>1065</v>
      </c>
      <c r="P81" s="3040" t="s">
        <v>3967</v>
      </c>
      <c r="Q81" s="3064">
        <v>42790</v>
      </c>
      <c r="R81" s="3060" t="s">
        <v>3901</v>
      </c>
      <c r="S81" s="3060" t="s">
        <v>3079</v>
      </c>
      <c r="T81" s="3060" t="s">
        <v>401</v>
      </c>
      <c r="U81" s="3060" t="s">
        <v>3902</v>
      </c>
      <c r="V81" s="3060" t="s">
        <v>3903</v>
      </c>
      <c r="W81" s="3060" t="s">
        <v>3904</v>
      </c>
      <c r="X81" s="3060" t="s">
        <v>3905</v>
      </c>
      <c r="Y81" s="3060" t="s">
        <v>3906</v>
      </c>
      <c r="Z81" s="3064">
        <v>42811</v>
      </c>
      <c r="AA81" s="3064">
        <v>42995</v>
      </c>
      <c r="AB81" s="3064">
        <v>53587</v>
      </c>
      <c r="AC81" s="3064">
        <v>43907</v>
      </c>
      <c r="AD81" s="3064">
        <v>100</v>
      </c>
      <c r="AE81" s="3050">
        <v>4.1787999999999999E-2</v>
      </c>
      <c r="AF81" s="3045">
        <f>YEARFRAC(G81,H81,3)</f>
        <v>30.076712328767123</v>
      </c>
      <c r="AG81" s="3065"/>
      <c r="AH81" s="3065"/>
    </row>
    <row r="82" spans="1:36" ht="25.5">
      <c r="B82" s="3041" t="s">
        <v>851</v>
      </c>
      <c r="C82" s="3042" t="s">
        <v>3896</v>
      </c>
      <c r="D82" s="3041" t="s">
        <v>3969</v>
      </c>
      <c r="E82" s="3042" t="s">
        <v>3898</v>
      </c>
      <c r="F82" s="3041" t="s">
        <v>3971</v>
      </c>
      <c r="G82" s="3043">
        <v>42688</v>
      </c>
      <c r="H82" s="3043">
        <v>46371</v>
      </c>
      <c r="I82" s="3066">
        <v>0.03</v>
      </c>
      <c r="J82" s="3066">
        <v>3.1829999999999997E-2</v>
      </c>
      <c r="K82" s="3066">
        <v>3.099E-2</v>
      </c>
      <c r="L82" s="3046">
        <v>100.60299999999999</v>
      </c>
      <c r="M82" s="3046">
        <v>99.147999999999996</v>
      </c>
      <c r="N82" s="3047">
        <v>1750</v>
      </c>
      <c r="O82" s="3047">
        <v>1750</v>
      </c>
      <c r="P82" s="3042" t="s">
        <v>3967</v>
      </c>
      <c r="Q82" s="3048">
        <v>42968</v>
      </c>
      <c r="R82" s="3041" t="s">
        <v>3901</v>
      </c>
      <c r="S82" s="3041" t="s">
        <v>3079</v>
      </c>
      <c r="T82" s="3041" t="s">
        <v>401</v>
      </c>
      <c r="U82" s="3041" t="s">
        <v>3902</v>
      </c>
      <c r="V82" s="3041" t="s">
        <v>3903</v>
      </c>
      <c r="W82" s="3041" t="s">
        <v>3904</v>
      </c>
      <c r="X82" s="3041" t="s">
        <v>3905</v>
      </c>
      <c r="Y82" s="3041" t="s">
        <v>3906</v>
      </c>
      <c r="Z82" s="3048">
        <v>42695</v>
      </c>
      <c r="AA82" s="3048">
        <v>42901</v>
      </c>
      <c r="AB82" s="3048">
        <v>46188</v>
      </c>
      <c r="AC82" s="3048" t="s">
        <v>3079</v>
      </c>
      <c r="AD82" s="3048" t="s">
        <v>3079</v>
      </c>
      <c r="AE82" s="3050">
        <v>3.5589000000000003E-2</v>
      </c>
      <c r="AF82" s="3045">
        <f t="shared" ref="AF82:AF85" si="5">YEARFRAC(G82,H82,3)</f>
        <v>10.09041095890411</v>
      </c>
      <c r="AG82" s="3044"/>
      <c r="AH82" s="3044"/>
      <c r="AJ82" s="3007" t="s">
        <v>3972</v>
      </c>
    </row>
    <row r="83" spans="1:36" ht="25.5">
      <c r="B83" s="3041" t="s">
        <v>851</v>
      </c>
      <c r="C83" s="3042" t="s">
        <v>3896</v>
      </c>
      <c r="D83" s="3041" t="s">
        <v>3969</v>
      </c>
      <c r="E83" s="3042" t="s">
        <v>3898</v>
      </c>
      <c r="F83" s="3041" t="s">
        <v>3973</v>
      </c>
      <c r="G83" s="3043">
        <v>42688</v>
      </c>
      <c r="H83" s="3043">
        <v>50024</v>
      </c>
      <c r="I83" s="3066">
        <v>0.04</v>
      </c>
      <c r="J83" s="3066">
        <v>3.517E-2</v>
      </c>
      <c r="K83" s="3066">
        <v>4.0349999999999997E-2</v>
      </c>
      <c r="L83" s="3046">
        <v>109.548</v>
      </c>
      <c r="M83" s="3046">
        <v>99.519000000000005</v>
      </c>
      <c r="N83" s="3047">
        <v>1000</v>
      </c>
      <c r="O83" s="3047">
        <v>1000</v>
      </c>
      <c r="P83" s="3042" t="s">
        <v>3967</v>
      </c>
      <c r="Q83" s="3048">
        <v>42710</v>
      </c>
      <c r="R83" s="3041" t="s">
        <v>3901</v>
      </c>
      <c r="S83" s="3041" t="s">
        <v>3079</v>
      </c>
      <c r="T83" s="3041" t="s">
        <v>401</v>
      </c>
      <c r="U83" s="3041" t="s">
        <v>3902</v>
      </c>
      <c r="V83" s="3041" t="s">
        <v>3903</v>
      </c>
      <c r="W83" s="3041" t="s">
        <v>3904</v>
      </c>
      <c r="X83" s="3041" t="s">
        <v>3905</v>
      </c>
      <c r="Y83" s="3041" t="s">
        <v>3906</v>
      </c>
      <c r="Z83" s="3048">
        <v>42695</v>
      </c>
      <c r="AA83" s="3048">
        <v>42901</v>
      </c>
      <c r="AB83" s="3048">
        <v>49841</v>
      </c>
      <c r="AC83" s="3048" t="s">
        <v>3079</v>
      </c>
      <c r="AD83" s="3048" t="s">
        <v>3079</v>
      </c>
      <c r="AE83" s="3050">
        <v>4.0261999999999999E-2</v>
      </c>
      <c r="AF83" s="3045">
        <f t="shared" si="5"/>
        <v>20.098630136986301</v>
      </c>
      <c r="AG83" s="3044"/>
      <c r="AH83" s="3044"/>
      <c r="AJ83" s="3007" t="s">
        <v>3974</v>
      </c>
    </row>
    <row r="84" spans="1:36" ht="25.5">
      <c r="B84" s="3041" t="s">
        <v>851</v>
      </c>
      <c r="C84" s="3042" t="s">
        <v>3896</v>
      </c>
      <c r="D84" s="3041" t="s">
        <v>3969</v>
      </c>
      <c r="E84" s="3042" t="s">
        <v>3898</v>
      </c>
      <c r="F84" s="3041" t="s">
        <v>3975</v>
      </c>
      <c r="G84" s="3043">
        <v>42688</v>
      </c>
      <c r="H84" s="3043">
        <v>53676</v>
      </c>
      <c r="I84" s="3066">
        <v>4.1250000000000002E-2</v>
      </c>
      <c r="J84" s="3066">
        <v>3.7810000000000003E-2</v>
      </c>
      <c r="K84" s="3066">
        <v>4.1349999999999998E-2</v>
      </c>
      <c r="L84" s="3046">
        <v>111.01300000000001</v>
      </c>
      <c r="M84" s="3046">
        <v>99.825999999999993</v>
      </c>
      <c r="N84" s="3047">
        <v>1250</v>
      </c>
      <c r="O84" s="3047">
        <v>1250</v>
      </c>
      <c r="P84" s="3042" t="s">
        <v>3967</v>
      </c>
      <c r="Q84" s="3048">
        <v>42710</v>
      </c>
      <c r="R84" s="3041" t="s">
        <v>3901</v>
      </c>
      <c r="S84" s="3041" t="s">
        <v>3079</v>
      </c>
      <c r="T84" s="3041" t="s">
        <v>401</v>
      </c>
      <c r="U84" s="3041" t="s">
        <v>3902</v>
      </c>
      <c r="V84" s="3041" t="s">
        <v>3903</v>
      </c>
      <c r="W84" s="3041" t="s">
        <v>3904</v>
      </c>
      <c r="X84" s="3041" t="s">
        <v>3905</v>
      </c>
      <c r="Y84" s="3041" t="s">
        <v>3906</v>
      </c>
      <c r="Z84" s="3048">
        <v>42695</v>
      </c>
      <c r="AA84" s="3048">
        <v>42901</v>
      </c>
      <c r="AB84" s="3048">
        <v>53493</v>
      </c>
      <c r="AC84" s="3048" t="s">
        <v>3079</v>
      </c>
      <c r="AD84" s="3048" t="s">
        <v>3079</v>
      </c>
      <c r="AE84" s="3050">
        <v>4.1287999999999998E-2</v>
      </c>
      <c r="AF84" s="3045">
        <f t="shared" si="5"/>
        <v>30.104109589041094</v>
      </c>
      <c r="AG84" s="3044"/>
      <c r="AH84" s="3044"/>
      <c r="AJ84" s="3007" t="s">
        <v>3976</v>
      </c>
    </row>
    <row r="85" spans="1:36" s="3087" customFormat="1" ht="25.5">
      <c r="A85" s="3079"/>
      <c r="B85" s="3039" t="s">
        <v>851</v>
      </c>
      <c r="C85" s="3080" t="s">
        <v>3896</v>
      </c>
      <c r="D85" s="3039" t="s">
        <v>3969</v>
      </c>
      <c r="E85" s="3080" t="s">
        <v>3898</v>
      </c>
      <c r="F85" s="3039" t="s">
        <v>3977</v>
      </c>
      <c r="G85" s="3081">
        <v>42521</v>
      </c>
      <c r="H85" s="3081">
        <v>46176</v>
      </c>
      <c r="I85" s="3072">
        <v>2.75E-2</v>
      </c>
      <c r="J85" s="3072">
        <v>3.1350000000000003E-2</v>
      </c>
      <c r="K85" s="3072">
        <v>2.7530000000000002E-2</v>
      </c>
      <c r="L85" s="3082">
        <v>98.710999999999999</v>
      </c>
      <c r="M85" s="3082">
        <v>99.974000000000004</v>
      </c>
      <c r="N85" s="3084">
        <v>1250</v>
      </c>
      <c r="O85" s="3083">
        <v>1250</v>
      </c>
      <c r="P85" s="3080" t="s">
        <v>3079</v>
      </c>
      <c r="Q85" s="3085" t="s">
        <v>3079</v>
      </c>
      <c r="R85" s="3039" t="s">
        <v>3079</v>
      </c>
      <c r="S85" s="3039" t="s">
        <v>3079</v>
      </c>
      <c r="T85" s="3039" t="s">
        <v>401</v>
      </c>
      <c r="U85" s="3039" t="s">
        <v>3902</v>
      </c>
      <c r="V85" s="3039" t="s">
        <v>3903</v>
      </c>
      <c r="W85" s="3039" t="s">
        <v>3904</v>
      </c>
      <c r="X85" s="3039" t="s">
        <v>3905</v>
      </c>
      <c r="Y85" s="3039" t="s">
        <v>3906</v>
      </c>
      <c r="Z85" s="3085">
        <v>42524</v>
      </c>
      <c r="AA85" s="3085">
        <v>42707</v>
      </c>
      <c r="AB85" s="3085">
        <v>45994</v>
      </c>
      <c r="AC85" s="3085" t="s">
        <v>3079</v>
      </c>
      <c r="AD85" s="3085" t="s">
        <v>3079</v>
      </c>
      <c r="AE85" s="3050">
        <v>3.5923999999999998E-2</v>
      </c>
      <c r="AF85" s="3045">
        <f t="shared" si="5"/>
        <v>10.013698630136986</v>
      </c>
      <c r="AG85" s="3086"/>
      <c r="AH85" s="3086"/>
    </row>
    <row r="86" spans="1:36" ht="25.5">
      <c r="B86" s="3041" t="s">
        <v>851</v>
      </c>
      <c r="C86" s="3042" t="s">
        <v>3896</v>
      </c>
      <c r="D86" s="3041" t="s">
        <v>3969</v>
      </c>
      <c r="E86" s="3042" t="s">
        <v>3898</v>
      </c>
      <c r="F86" s="3041" t="s">
        <v>3978</v>
      </c>
      <c r="G86" s="3043">
        <v>42272</v>
      </c>
      <c r="H86" s="3043">
        <v>51394</v>
      </c>
      <c r="I86" s="3066">
        <v>5.5999999999999994E-2</v>
      </c>
      <c r="J86" s="3066">
        <v>3.7990000000000003E-2</v>
      </c>
      <c r="K86" s="3066">
        <v>5.636E-2</v>
      </c>
      <c r="L86" s="3046">
        <v>130.25</v>
      </c>
      <c r="M86" s="3046">
        <v>99.480999999999995</v>
      </c>
      <c r="N86" s="3047">
        <v>494.77</v>
      </c>
      <c r="O86" s="3067">
        <v>494.77</v>
      </c>
      <c r="P86" s="3042" t="s">
        <v>3967</v>
      </c>
      <c r="Q86" s="3048">
        <v>42251</v>
      </c>
      <c r="R86" s="3041" t="s">
        <v>3979</v>
      </c>
      <c r="S86" s="3041" t="s">
        <v>686</v>
      </c>
      <c r="T86" s="3041" t="s">
        <v>401</v>
      </c>
      <c r="U86" s="3041" t="s">
        <v>3902</v>
      </c>
      <c r="V86" s="3041" t="s">
        <v>3903</v>
      </c>
      <c r="W86" s="3041" t="s">
        <v>3904</v>
      </c>
      <c r="X86" s="3041" t="s">
        <v>3905</v>
      </c>
      <c r="Y86" s="3041" t="s">
        <v>3906</v>
      </c>
      <c r="Z86" s="3048">
        <v>42262</v>
      </c>
      <c r="AA86" s="3048">
        <v>42444</v>
      </c>
      <c r="AB86" s="3048">
        <v>51210</v>
      </c>
      <c r="AC86" s="3048" t="s">
        <v>3079</v>
      </c>
      <c r="AD86" s="3048" t="s">
        <v>3079</v>
      </c>
      <c r="AE86" s="3050">
        <v>4.3968E-2</v>
      </c>
      <c r="AF86" s="3045">
        <f>YEARFRAC(G86,H86,3)</f>
        <v>24.991780821917807</v>
      </c>
      <c r="AG86" s="3044"/>
      <c r="AH86" s="3044"/>
    </row>
    <row r="87" spans="1:36" ht="12.75">
      <c r="I87" s="3077"/>
      <c r="J87" s="3077"/>
      <c r="K87" s="3077"/>
      <c r="L87" s="3078"/>
      <c r="M87" s="3078"/>
      <c r="AE87" s="3077"/>
      <c r="AF87" s="3045"/>
      <c r="AG87" s="3077"/>
      <c r="AH87" s="3077"/>
    </row>
    <row r="88" spans="1:36" ht="12.75">
      <c r="B88" s="3220" t="s">
        <v>111</v>
      </c>
      <c r="C88" s="3221"/>
      <c r="D88" s="3221"/>
      <c r="E88" s="3221"/>
      <c r="F88" s="3221"/>
      <c r="G88" s="3221"/>
      <c r="H88" s="3221"/>
      <c r="I88" s="3221"/>
      <c r="J88" s="3221"/>
      <c r="K88" s="3221"/>
      <c r="L88" s="3221"/>
      <c r="M88" s="3221"/>
      <c r="N88" s="3221"/>
      <c r="O88" s="3221"/>
      <c r="P88" s="3222"/>
      <c r="Q88" s="3221"/>
      <c r="R88" s="3221"/>
      <c r="S88" s="3221"/>
      <c r="T88" s="3221"/>
      <c r="U88" s="3221"/>
      <c r="V88" s="3221"/>
      <c r="W88" s="3221"/>
      <c r="X88" s="3221"/>
      <c r="Y88" s="3221"/>
      <c r="Z88" s="3221"/>
      <c r="AA88" s="3221"/>
      <c r="AB88" s="3221"/>
      <c r="AC88" s="3221"/>
      <c r="AD88" s="3221"/>
      <c r="AE88" s="3223">
        <f>MAX(AE10:AE87)</f>
        <v>5.1688999999999999E-2</v>
      </c>
      <c r="AF88" s="3306">
        <f>MAX(AF10:AF87)</f>
        <v>35.115068493150687</v>
      </c>
      <c r="AG88" s="3097"/>
      <c r="AH88" s="3098"/>
      <c r="AJ88" s="3099"/>
    </row>
    <row r="89" spans="1:36" ht="12.75">
      <c r="B89" s="3100" t="s">
        <v>115</v>
      </c>
      <c r="C89" s="3101"/>
      <c r="D89" s="3101"/>
      <c r="E89" s="3101"/>
      <c r="F89" s="3101"/>
      <c r="G89" s="3101"/>
      <c r="H89" s="3101"/>
      <c r="I89" s="3101"/>
      <c r="J89" s="3101"/>
      <c r="K89" s="3101"/>
      <c r="L89" s="3101"/>
      <c r="M89" s="3101"/>
      <c r="N89" s="3101"/>
      <c r="O89" s="3101"/>
      <c r="P89" s="3102"/>
      <c r="Q89" s="3101"/>
      <c r="R89" s="3101"/>
      <c r="S89" s="3101"/>
      <c r="T89" s="3101"/>
      <c r="U89" s="3101"/>
      <c r="V89" s="3101"/>
      <c r="W89" s="3101"/>
      <c r="X89" s="3101"/>
      <c r="Y89" s="3101"/>
      <c r="Z89" s="3101"/>
      <c r="AA89" s="3101"/>
      <c r="AB89" s="3101"/>
      <c r="AC89" s="3101"/>
      <c r="AD89" s="3101"/>
      <c r="AE89" s="3136">
        <f>QUARTILE(AE10:AE87,3)</f>
        <v>4.7259000000000002E-2</v>
      </c>
      <c r="AF89" s="3307">
        <f>QUARTILE(AF10:AF87,3)</f>
        <v>30.053424657534244</v>
      </c>
      <c r="AG89" s="3101"/>
      <c r="AH89" s="3103"/>
      <c r="AJ89" s="3099"/>
    </row>
    <row r="90" spans="1:36" ht="12.75">
      <c r="B90" s="3100" t="s">
        <v>113</v>
      </c>
      <c r="C90" s="3101"/>
      <c r="D90" s="3101"/>
      <c r="E90" s="3101"/>
      <c r="F90" s="3101"/>
      <c r="G90" s="3101"/>
      <c r="H90" s="3101"/>
      <c r="I90" s="3101"/>
      <c r="J90" s="3101"/>
      <c r="K90" s="3101"/>
      <c r="L90" s="3101"/>
      <c r="M90" s="3101"/>
      <c r="N90" s="3101"/>
      <c r="O90" s="3101"/>
      <c r="P90" s="3102"/>
      <c r="Q90" s="3101"/>
      <c r="R90" s="3101"/>
      <c r="S90" s="3101"/>
      <c r="T90" s="3101"/>
      <c r="U90" s="3101"/>
      <c r="V90" s="3101"/>
      <c r="W90" s="3101"/>
      <c r="X90" s="3101"/>
      <c r="Y90" s="3101"/>
      <c r="Z90" s="3101"/>
      <c r="AA90" s="3101"/>
      <c r="AB90" s="3101"/>
      <c r="AC90" s="3101"/>
      <c r="AD90" s="3101"/>
      <c r="AE90" s="3136">
        <f>AVERAGE(AE10:AE87)</f>
        <v>4.2541196078431376E-2</v>
      </c>
      <c r="AF90" s="3307">
        <f>AVERAGE(AF10:AF87)</f>
        <v>21.363524039752892</v>
      </c>
      <c r="AG90" s="3101"/>
      <c r="AH90" s="3103"/>
      <c r="AJ90" s="3099"/>
    </row>
    <row r="91" spans="1:36" ht="12.75">
      <c r="B91" s="3100" t="s">
        <v>44</v>
      </c>
      <c r="C91" s="3101"/>
      <c r="D91" s="3101"/>
      <c r="E91" s="3101"/>
      <c r="F91" s="3101"/>
      <c r="G91" s="3101"/>
      <c r="H91" s="3101"/>
      <c r="I91" s="3101"/>
      <c r="J91" s="3101"/>
      <c r="K91" s="3101"/>
      <c r="L91" s="3101"/>
      <c r="M91" s="3101"/>
      <c r="N91" s="3101"/>
      <c r="O91" s="3101"/>
      <c r="P91" s="3102"/>
      <c r="Q91" s="3101"/>
      <c r="R91" s="3101"/>
      <c r="S91" s="3101"/>
      <c r="T91" s="3101"/>
      <c r="U91" s="3101"/>
      <c r="V91" s="3101"/>
      <c r="W91" s="3101"/>
      <c r="X91" s="3101"/>
      <c r="Y91" s="3101"/>
      <c r="Z91" s="3101"/>
      <c r="AA91" s="3101"/>
      <c r="AB91" s="3101"/>
      <c r="AC91" s="3101"/>
      <c r="AD91" s="3101"/>
      <c r="AE91" s="3136">
        <f>MEDIAN(AE10:AE87)</f>
        <v>4.1778000000000003E-2</v>
      </c>
      <c r="AF91" s="3307">
        <f>MEDIAN(AF10:AF87)</f>
        <v>20.098630136986301</v>
      </c>
      <c r="AG91" s="3101"/>
      <c r="AH91" s="3103"/>
      <c r="AJ91" s="3099"/>
    </row>
    <row r="92" spans="1:36" ht="12.75">
      <c r="B92" s="3100" t="s">
        <v>114</v>
      </c>
      <c r="C92" s="3101"/>
      <c r="D92" s="3101"/>
      <c r="E92" s="3101"/>
      <c r="F92" s="3101"/>
      <c r="G92" s="3101"/>
      <c r="H92" s="3101"/>
      <c r="I92" s="3101"/>
      <c r="J92" s="3101"/>
      <c r="K92" s="3101"/>
      <c r="L92" s="3101"/>
      <c r="M92" s="3101"/>
      <c r="N92" s="3101"/>
      <c r="O92" s="3101"/>
      <c r="P92" s="3102"/>
      <c r="Q92" s="3101"/>
      <c r="R92" s="3101"/>
      <c r="S92" s="3101"/>
      <c r="T92" s="3101"/>
      <c r="U92" s="3101"/>
      <c r="V92" s="3101"/>
      <c r="W92" s="3101"/>
      <c r="X92" s="3101"/>
      <c r="Y92" s="3101"/>
      <c r="Z92" s="3101"/>
      <c r="AA92" s="3101"/>
      <c r="AB92" s="3101"/>
      <c r="AC92" s="3101"/>
      <c r="AD92" s="3101"/>
      <c r="AE92" s="3136">
        <f>QUARTILE(AE10:AE87,1)</f>
        <v>3.8952500000000001E-2</v>
      </c>
      <c r="AF92" s="3307">
        <f>QUARTILE(AF10:AF87,1)</f>
        <v>10.043835616438358</v>
      </c>
      <c r="AG92" s="3101"/>
      <c r="AH92" s="3103"/>
      <c r="AJ92" s="3099"/>
    </row>
    <row r="93" spans="1:36" ht="12.75">
      <c r="B93" s="3104" t="s">
        <v>112</v>
      </c>
      <c r="C93" s="3105"/>
      <c r="D93" s="3105"/>
      <c r="E93" s="3105"/>
      <c r="F93" s="3105"/>
      <c r="G93" s="3105"/>
      <c r="H93" s="3105"/>
      <c r="I93" s="3105"/>
      <c r="J93" s="3105"/>
      <c r="K93" s="3105"/>
      <c r="L93" s="3105"/>
      <c r="M93" s="3105"/>
      <c r="N93" s="3105"/>
      <c r="O93" s="3105"/>
      <c r="P93" s="3106"/>
      <c r="Q93" s="3105"/>
      <c r="R93" s="3105"/>
      <c r="S93" s="3105"/>
      <c r="T93" s="3105"/>
      <c r="U93" s="3105"/>
      <c r="V93" s="3105"/>
      <c r="W93" s="3105"/>
      <c r="X93" s="3105"/>
      <c r="Y93" s="3105"/>
      <c r="Z93" s="3105"/>
      <c r="AA93" s="3105"/>
      <c r="AB93" s="3105"/>
      <c r="AC93" s="3105"/>
      <c r="AD93" s="3105"/>
      <c r="AE93" s="3137">
        <f>MIN(AE10:AE87)</f>
        <v>3.4367000000000002E-2</v>
      </c>
      <c r="AF93" s="3308">
        <f>MIN(AF10:AF87)</f>
        <v>10.010958904109589</v>
      </c>
      <c r="AG93" s="3105"/>
      <c r="AH93" s="3107"/>
      <c r="AJ93" s="3099"/>
    </row>
    <row r="94" spans="1:36" ht="12.75">
      <c r="AF94" s="3045"/>
    </row>
    <row r="95" spans="1:36" ht="12.75">
      <c r="A95" s="3052"/>
      <c r="B95" s="3108" t="s">
        <v>86</v>
      </c>
      <c r="AF95" s="3045"/>
    </row>
    <row r="96" spans="1:36" ht="12.75">
      <c r="A96" s="3109" t="s">
        <v>210</v>
      </c>
      <c r="B96" s="3052" t="s">
        <v>3980</v>
      </c>
      <c r="C96" s="3006"/>
      <c r="D96" s="3006"/>
      <c r="E96" s="3006"/>
      <c r="F96" s="3006"/>
      <c r="G96" s="3006"/>
      <c r="H96" s="3006"/>
      <c r="I96" s="3006"/>
      <c r="J96" s="3006"/>
      <c r="K96" s="3006"/>
      <c r="L96" s="3006"/>
      <c r="M96" s="3006"/>
      <c r="N96" s="3110"/>
      <c r="O96" s="3006"/>
      <c r="P96" s="3111"/>
      <c r="Q96" s="3006"/>
      <c r="R96" s="3006"/>
      <c r="S96" s="3006"/>
      <c r="T96" s="3006"/>
      <c r="U96" s="3006"/>
      <c r="V96" s="3006"/>
      <c r="W96" s="3006"/>
      <c r="X96" s="3006"/>
      <c r="Y96" s="3006"/>
      <c r="Z96" s="3006"/>
      <c r="AA96" s="3006"/>
      <c r="AB96" s="3006"/>
      <c r="AC96" s="3006"/>
      <c r="AD96" s="3006"/>
      <c r="AE96" s="3006"/>
      <c r="AF96" s="3045"/>
      <c r="AG96" s="3006"/>
      <c r="AH96" s="3006"/>
    </row>
    <row r="97" spans="1:34" ht="12.75">
      <c r="AF97" s="3045"/>
    </row>
    <row r="98" spans="1:34" ht="12.75">
      <c r="B98" s="3108" t="s">
        <v>3981</v>
      </c>
      <c r="AF98" s="3045"/>
    </row>
    <row r="99" spans="1:34" ht="12.75">
      <c r="AF99" s="3045"/>
    </row>
    <row r="100" spans="1:34" ht="12.75">
      <c r="AF100" s="3045"/>
    </row>
    <row r="101" spans="1:34" s="2141" customFormat="1" ht="25.5">
      <c r="A101" s="3052"/>
      <c r="B101" s="3112" t="s">
        <v>3913</v>
      </c>
      <c r="C101" s="3113" t="s">
        <v>3896</v>
      </c>
      <c r="D101" s="3112" t="s">
        <v>3914</v>
      </c>
      <c r="E101" s="3113" t="s">
        <v>3898</v>
      </c>
      <c r="F101" s="3112" t="s">
        <v>3915</v>
      </c>
      <c r="G101" s="3114">
        <v>43039</v>
      </c>
      <c r="H101" s="3114">
        <v>46693</v>
      </c>
      <c r="I101" s="3115">
        <v>3.2000000000000001E-2</v>
      </c>
      <c r="J101" s="3115">
        <v>3.3430000000000001E-2</v>
      </c>
      <c r="K101" s="3115">
        <v>3.2469999999999999E-2</v>
      </c>
      <c r="L101" s="3116">
        <v>98.716999999999999</v>
      </c>
      <c r="M101" s="3117">
        <v>99.600999999999999</v>
      </c>
      <c r="N101" s="3117">
        <v>1000</v>
      </c>
      <c r="O101" s="3118">
        <v>1000</v>
      </c>
      <c r="P101" s="3113" t="s">
        <v>77</v>
      </c>
      <c r="Q101" s="3119">
        <v>43039</v>
      </c>
      <c r="R101" s="3112" t="s">
        <v>3901</v>
      </c>
      <c r="S101" s="3112" t="s">
        <v>3079</v>
      </c>
      <c r="T101" s="3112" t="s">
        <v>401</v>
      </c>
      <c r="U101" s="3112" t="s">
        <v>3902</v>
      </c>
      <c r="V101" s="3112" t="s">
        <v>3903</v>
      </c>
      <c r="W101" s="3112" t="s">
        <v>3904</v>
      </c>
      <c r="X101" s="3112" t="s">
        <v>3905</v>
      </c>
      <c r="Y101" s="3112" t="s">
        <v>3906</v>
      </c>
      <c r="Z101" s="3119">
        <v>43041</v>
      </c>
      <c r="AA101" s="3119">
        <v>43222</v>
      </c>
      <c r="AB101" s="3119">
        <v>46509</v>
      </c>
      <c r="AC101" s="3119">
        <v>46601</v>
      </c>
      <c r="AD101" s="3119">
        <v>100</v>
      </c>
      <c r="AE101" s="3115" t="s">
        <v>13</v>
      </c>
      <c r="AF101" s="3045">
        <f>YEARFRAC(G101,H101,3)</f>
        <v>10.010958904109589</v>
      </c>
      <c r="AG101" s="3120"/>
      <c r="AH101" s="3120"/>
    </row>
    <row r="102" spans="1:34" s="2141" customFormat="1" ht="25.5">
      <c r="A102" s="3052"/>
      <c r="B102" s="3121" t="s">
        <v>3913</v>
      </c>
      <c r="C102" s="3122" t="s">
        <v>3896</v>
      </c>
      <c r="D102" s="3121" t="s">
        <v>3914</v>
      </c>
      <c r="E102" s="3122" t="s">
        <v>3898</v>
      </c>
      <c r="F102" s="3121" t="s">
        <v>3982</v>
      </c>
      <c r="G102" s="3123">
        <v>42863</v>
      </c>
      <c r="H102" s="3123">
        <v>43595</v>
      </c>
      <c r="I102" s="3124">
        <v>1.6289999999999999E-2</v>
      </c>
      <c r="J102" s="3124">
        <v>1.4959999999999999E-2</v>
      </c>
      <c r="K102" s="3124" t="s">
        <v>3079</v>
      </c>
      <c r="L102" s="3125">
        <v>100.238</v>
      </c>
      <c r="M102" s="3126">
        <v>100</v>
      </c>
      <c r="N102" s="3126">
        <v>300</v>
      </c>
      <c r="O102" s="3127">
        <v>300</v>
      </c>
      <c r="P102" s="3122" t="s">
        <v>77</v>
      </c>
      <c r="Q102" s="3128">
        <v>42863</v>
      </c>
      <c r="R102" s="3121" t="s">
        <v>3901</v>
      </c>
      <c r="S102" s="3121" t="s">
        <v>3079</v>
      </c>
      <c r="T102" s="3121" t="s">
        <v>401</v>
      </c>
      <c r="U102" s="3121" t="s">
        <v>3902</v>
      </c>
      <c r="V102" s="3121" t="s">
        <v>3983</v>
      </c>
      <c r="W102" s="3121" t="s">
        <v>3984</v>
      </c>
      <c r="X102" s="3121" t="s">
        <v>3985</v>
      </c>
      <c r="Y102" s="3121" t="s">
        <v>3906</v>
      </c>
      <c r="Z102" s="3128">
        <v>42866</v>
      </c>
      <c r="AA102" s="3128">
        <v>42957</v>
      </c>
      <c r="AB102" s="3128">
        <v>43506</v>
      </c>
      <c r="AC102" s="3128" t="s">
        <v>3079</v>
      </c>
      <c r="AD102" s="3128" t="s">
        <v>3079</v>
      </c>
      <c r="AE102" s="3066" t="s">
        <v>13</v>
      </c>
      <c r="AF102" s="3045">
        <f t="shared" ref="AF102:AF127" si="6">YEARFRAC(G102,H102,3)</f>
        <v>2.0054794520547947</v>
      </c>
      <c r="AG102" s="3129"/>
      <c r="AH102" s="3129"/>
    </row>
    <row r="103" spans="1:34" s="2141" customFormat="1" ht="25.5">
      <c r="A103" s="3052"/>
      <c r="B103" s="3121" t="s">
        <v>3913</v>
      </c>
      <c r="C103" s="3122" t="s">
        <v>3896</v>
      </c>
      <c r="D103" s="3121" t="s">
        <v>3914</v>
      </c>
      <c r="E103" s="3122" t="s">
        <v>3898</v>
      </c>
      <c r="F103" s="3121" t="s">
        <v>3986</v>
      </c>
      <c r="G103" s="3123">
        <v>42863</v>
      </c>
      <c r="H103" s="3123">
        <v>43595</v>
      </c>
      <c r="I103" s="3124">
        <v>1.9E-2</v>
      </c>
      <c r="J103" s="3124">
        <v>1.8370000000000001E-2</v>
      </c>
      <c r="K103" s="3124">
        <v>1.9259999999999999E-2</v>
      </c>
      <c r="L103" s="3125">
        <v>100.104</v>
      </c>
      <c r="M103" s="3126">
        <v>99.948999999999998</v>
      </c>
      <c r="N103" s="3126">
        <v>700</v>
      </c>
      <c r="O103" s="3127">
        <v>700</v>
      </c>
      <c r="P103" s="3122" t="s">
        <v>77</v>
      </c>
      <c r="Q103" s="3128">
        <v>42863</v>
      </c>
      <c r="R103" s="3121" t="s">
        <v>3901</v>
      </c>
      <c r="S103" s="3121" t="s">
        <v>3079</v>
      </c>
      <c r="T103" s="3121" t="s">
        <v>401</v>
      </c>
      <c r="U103" s="3121" t="s">
        <v>3902</v>
      </c>
      <c r="V103" s="3121" t="s">
        <v>3903</v>
      </c>
      <c r="W103" s="3121" t="s">
        <v>3904</v>
      </c>
      <c r="X103" s="3121" t="s">
        <v>3905</v>
      </c>
      <c r="Y103" s="3121" t="s">
        <v>3906</v>
      </c>
      <c r="Z103" s="3128">
        <v>42866</v>
      </c>
      <c r="AA103" s="3128">
        <v>43049</v>
      </c>
      <c r="AB103" s="3128">
        <v>43414</v>
      </c>
      <c r="AC103" s="3128" t="s">
        <v>3079</v>
      </c>
      <c r="AD103" s="3128" t="s">
        <v>3079</v>
      </c>
      <c r="AE103" s="3066" t="s">
        <v>13</v>
      </c>
      <c r="AF103" s="3045">
        <f t="shared" si="6"/>
        <v>2.0054794520547947</v>
      </c>
      <c r="AG103" s="3129"/>
      <c r="AH103" s="3129"/>
    </row>
    <row r="104" spans="1:34" s="2141" customFormat="1" ht="25.5">
      <c r="A104" s="3052"/>
      <c r="B104" s="3121" t="s">
        <v>3913</v>
      </c>
      <c r="C104" s="3122" t="s">
        <v>3896</v>
      </c>
      <c r="D104" s="3121" t="s">
        <v>3914</v>
      </c>
      <c r="E104" s="3122" t="s">
        <v>3898</v>
      </c>
      <c r="F104" s="3121" t="s">
        <v>3987</v>
      </c>
      <c r="G104" s="3123">
        <v>42863</v>
      </c>
      <c r="H104" s="3123">
        <v>43962</v>
      </c>
      <c r="I104" s="3124">
        <v>1.7590000000000001E-2</v>
      </c>
      <c r="J104" s="3124">
        <v>1.6129999999999999E-2</v>
      </c>
      <c r="K104" s="3124" t="s">
        <v>3079</v>
      </c>
      <c r="L104" s="3125">
        <v>100.40300000000001</v>
      </c>
      <c r="M104" s="3126">
        <v>100</v>
      </c>
      <c r="N104" s="3126">
        <v>300</v>
      </c>
      <c r="O104" s="3127">
        <v>300</v>
      </c>
      <c r="P104" s="3122" t="s">
        <v>77</v>
      </c>
      <c r="Q104" s="3128">
        <v>42863</v>
      </c>
      <c r="R104" s="3121" t="s">
        <v>3901</v>
      </c>
      <c r="S104" s="3121" t="s">
        <v>3079</v>
      </c>
      <c r="T104" s="3121" t="s">
        <v>401</v>
      </c>
      <c r="U104" s="3121" t="s">
        <v>3902</v>
      </c>
      <c r="V104" s="3121" t="s">
        <v>3983</v>
      </c>
      <c r="W104" s="3121" t="s">
        <v>3984</v>
      </c>
      <c r="X104" s="3121" t="s">
        <v>3985</v>
      </c>
      <c r="Y104" s="3121" t="s">
        <v>3906</v>
      </c>
      <c r="Z104" s="3128">
        <v>42866</v>
      </c>
      <c r="AA104" s="3128">
        <v>42958</v>
      </c>
      <c r="AB104" s="3128">
        <v>43872</v>
      </c>
      <c r="AC104" s="3128" t="s">
        <v>3079</v>
      </c>
      <c r="AD104" s="3128" t="s">
        <v>3079</v>
      </c>
      <c r="AE104" s="3066">
        <v>1.5831999999999999E-2</v>
      </c>
      <c r="AF104" s="3045">
        <f t="shared" si="6"/>
        <v>3.010958904109589</v>
      </c>
      <c r="AG104" s="3129"/>
      <c r="AH104" s="3129"/>
    </row>
    <row r="105" spans="1:34" s="2141" customFormat="1" ht="25.5">
      <c r="A105" s="3052"/>
      <c r="B105" s="3121" t="s">
        <v>3913</v>
      </c>
      <c r="C105" s="3122" t="s">
        <v>3896</v>
      </c>
      <c r="D105" s="3121" t="s">
        <v>3914</v>
      </c>
      <c r="E105" s="3122" t="s">
        <v>3898</v>
      </c>
      <c r="F105" s="3121" t="s">
        <v>3988</v>
      </c>
      <c r="G105" s="3123">
        <v>42863</v>
      </c>
      <c r="H105" s="3123">
        <v>43962</v>
      </c>
      <c r="I105" s="3124">
        <v>2.1999999999999999E-2</v>
      </c>
      <c r="J105" s="3124">
        <v>1.89E-2</v>
      </c>
      <c r="K105" s="3124">
        <v>2.2190000000000001E-2</v>
      </c>
      <c r="L105" s="3125">
        <v>100.807</v>
      </c>
      <c r="M105" s="3126">
        <v>99.944999999999993</v>
      </c>
      <c r="N105" s="3126">
        <v>700</v>
      </c>
      <c r="O105" s="3127">
        <v>700</v>
      </c>
      <c r="P105" s="3122" t="s">
        <v>77</v>
      </c>
      <c r="Q105" s="3128">
        <v>42863</v>
      </c>
      <c r="R105" s="3121" t="s">
        <v>3901</v>
      </c>
      <c r="S105" s="3121" t="s">
        <v>3079</v>
      </c>
      <c r="T105" s="3121" t="s">
        <v>401</v>
      </c>
      <c r="U105" s="3121" t="s">
        <v>3902</v>
      </c>
      <c r="V105" s="3121" t="s">
        <v>3903</v>
      </c>
      <c r="W105" s="3121" t="s">
        <v>3904</v>
      </c>
      <c r="X105" s="3121" t="s">
        <v>3905</v>
      </c>
      <c r="Y105" s="3121" t="s">
        <v>3906</v>
      </c>
      <c r="Z105" s="3128">
        <v>42866</v>
      </c>
      <c r="AA105" s="3128">
        <v>43050</v>
      </c>
      <c r="AB105" s="3128">
        <v>43780</v>
      </c>
      <c r="AC105" s="3128" t="s">
        <v>3079</v>
      </c>
      <c r="AD105" s="3128" t="s">
        <v>3079</v>
      </c>
      <c r="AE105" s="3066" t="s">
        <v>13</v>
      </c>
      <c r="AF105" s="3045">
        <f t="shared" si="6"/>
        <v>3.010958904109589</v>
      </c>
      <c r="AG105" s="3129"/>
      <c r="AH105" s="3129"/>
    </row>
    <row r="106" spans="1:34" s="2141" customFormat="1" ht="25.5">
      <c r="A106" s="3052"/>
      <c r="B106" s="3121" t="s">
        <v>3913</v>
      </c>
      <c r="C106" s="3122" t="s">
        <v>3896</v>
      </c>
      <c r="D106" s="3121" t="s">
        <v>3914</v>
      </c>
      <c r="E106" s="3122" t="s">
        <v>3898</v>
      </c>
      <c r="F106" s="3121" t="s">
        <v>3989</v>
      </c>
      <c r="G106" s="3123">
        <v>42863</v>
      </c>
      <c r="H106" s="3123">
        <v>44692</v>
      </c>
      <c r="I106" s="3124">
        <v>2.6499999999999999E-2</v>
      </c>
      <c r="J106" s="3124">
        <v>2.392E-2</v>
      </c>
      <c r="K106" s="3124">
        <v>2.6960000000000001E-2</v>
      </c>
      <c r="L106" s="3125">
        <v>101.13500000000001</v>
      </c>
      <c r="M106" s="3126">
        <v>99.786000000000001</v>
      </c>
      <c r="N106" s="3126">
        <v>1500</v>
      </c>
      <c r="O106" s="3127">
        <v>1500</v>
      </c>
      <c r="P106" s="3122" t="s">
        <v>77</v>
      </c>
      <c r="Q106" s="3128">
        <v>42863</v>
      </c>
      <c r="R106" s="3121" t="s">
        <v>3901</v>
      </c>
      <c r="S106" s="3121" t="s">
        <v>3079</v>
      </c>
      <c r="T106" s="3121" t="s">
        <v>401</v>
      </c>
      <c r="U106" s="3121" t="s">
        <v>3902</v>
      </c>
      <c r="V106" s="3121" t="s">
        <v>3903</v>
      </c>
      <c r="W106" s="3121" t="s">
        <v>3904</v>
      </c>
      <c r="X106" s="3121" t="s">
        <v>3905</v>
      </c>
      <c r="Y106" s="3121" t="s">
        <v>3906</v>
      </c>
      <c r="Z106" s="3128">
        <v>42866</v>
      </c>
      <c r="AA106" s="3128">
        <v>43050</v>
      </c>
      <c r="AB106" s="3128">
        <v>44511</v>
      </c>
      <c r="AC106" s="3128" t="s">
        <v>3079</v>
      </c>
      <c r="AD106" s="3128" t="s">
        <v>3079</v>
      </c>
      <c r="AE106" s="3066" t="s">
        <v>13</v>
      </c>
      <c r="AF106" s="3045">
        <f t="shared" si="6"/>
        <v>5.0109589041095894</v>
      </c>
      <c r="AG106" s="3129"/>
      <c r="AH106" s="3129"/>
    </row>
    <row r="107" spans="1:34" ht="25.5">
      <c r="B107" s="3112" t="s">
        <v>853</v>
      </c>
      <c r="C107" s="3113" t="s">
        <v>3896</v>
      </c>
      <c r="D107" s="3112" t="s">
        <v>3930</v>
      </c>
      <c r="E107" s="3113" t="s">
        <v>3898</v>
      </c>
      <c r="F107" s="3112" t="s">
        <v>3990</v>
      </c>
      <c r="G107" s="3114">
        <v>43039</v>
      </c>
      <c r="H107" s="3114">
        <v>46706</v>
      </c>
      <c r="I107" s="3115">
        <v>3.4500000000000003E-2</v>
      </c>
      <c r="J107" s="3115">
        <v>3.5389999999999998E-2</v>
      </c>
      <c r="K107" s="3115">
        <v>3.4680000000000002E-2</v>
      </c>
      <c r="L107" s="3116">
        <v>99.180999999999997</v>
      </c>
      <c r="M107" s="3116">
        <v>99.847999999999999</v>
      </c>
      <c r="N107" s="3117">
        <v>1000</v>
      </c>
      <c r="O107" s="3119">
        <v>1000</v>
      </c>
      <c r="P107" s="3113" t="s">
        <v>3932</v>
      </c>
      <c r="Q107" s="3119">
        <v>43039</v>
      </c>
      <c r="R107" s="3112" t="s">
        <v>3901</v>
      </c>
      <c r="S107" s="3112" t="s">
        <v>3079</v>
      </c>
      <c r="T107" s="3112" t="s">
        <v>401</v>
      </c>
      <c r="U107" s="3112" t="s">
        <v>3902</v>
      </c>
      <c r="V107" s="3112" t="s">
        <v>3903</v>
      </c>
      <c r="W107" s="3112" t="s">
        <v>3904</v>
      </c>
      <c r="X107" s="3112" t="s">
        <v>3905</v>
      </c>
      <c r="Y107" s="3112" t="s">
        <v>3906</v>
      </c>
      <c r="Z107" s="3119">
        <v>43048</v>
      </c>
      <c r="AA107" s="3119">
        <v>43235</v>
      </c>
      <c r="AB107" s="3119">
        <v>46522</v>
      </c>
      <c r="AC107" s="3119">
        <v>46614</v>
      </c>
      <c r="AD107" s="3119">
        <v>100</v>
      </c>
      <c r="AE107" s="3115" t="s">
        <v>13</v>
      </c>
      <c r="AF107" s="3045">
        <f>YEARFRAC(G107,H107,3)</f>
        <v>10.046575342465754</v>
      </c>
      <c r="AG107" s="3120"/>
      <c r="AH107" s="3120"/>
    </row>
    <row r="108" spans="1:34" ht="25.5">
      <c r="B108" s="3112" t="s">
        <v>853</v>
      </c>
      <c r="C108" s="3113" t="s">
        <v>3896</v>
      </c>
      <c r="D108" s="3112" t="s">
        <v>3930</v>
      </c>
      <c r="E108" s="3113" t="s">
        <v>3898</v>
      </c>
      <c r="F108" s="3112" t="s">
        <v>3934</v>
      </c>
      <c r="G108" s="3114">
        <v>43039</v>
      </c>
      <c r="H108" s="3114">
        <v>54011</v>
      </c>
      <c r="I108" s="3115">
        <v>4.3499999999999997E-2</v>
      </c>
      <c r="J108" s="3115">
        <v>4.36E-2</v>
      </c>
      <c r="K108" s="3115">
        <v>4.3659999999999997E-2</v>
      </c>
      <c r="L108" s="3116">
        <v>100.004</v>
      </c>
      <c r="M108" s="3116">
        <v>99.733000000000004</v>
      </c>
      <c r="N108" s="3117">
        <v>1250</v>
      </c>
      <c r="O108" s="3119">
        <v>1250</v>
      </c>
      <c r="P108" s="3113" t="s">
        <v>3932</v>
      </c>
      <c r="Q108" s="3119">
        <v>43039</v>
      </c>
      <c r="R108" s="3112" t="s">
        <v>3901</v>
      </c>
      <c r="S108" s="3112" t="s">
        <v>3079</v>
      </c>
      <c r="T108" s="3112" t="s">
        <v>401</v>
      </c>
      <c r="U108" s="3112" t="s">
        <v>3902</v>
      </c>
      <c r="V108" s="3112" t="s">
        <v>3903</v>
      </c>
      <c r="W108" s="3112" t="s">
        <v>3904</v>
      </c>
      <c r="X108" s="3112" t="s">
        <v>3905</v>
      </c>
      <c r="Y108" s="3112" t="s">
        <v>3906</v>
      </c>
      <c r="Z108" s="3119">
        <v>43048</v>
      </c>
      <c r="AA108" s="3119">
        <v>43235</v>
      </c>
      <c r="AB108" s="3119">
        <v>53827</v>
      </c>
      <c r="AC108" s="3119">
        <v>53827</v>
      </c>
      <c r="AD108" s="3119">
        <v>100</v>
      </c>
      <c r="AE108" s="3115" t="s">
        <v>13</v>
      </c>
      <c r="AF108" s="3045">
        <f>YEARFRAC(G108,H108,3)</f>
        <v>30.06027397260274</v>
      </c>
      <c r="AG108" s="3120"/>
      <c r="AH108" s="3120"/>
    </row>
    <row r="109" spans="1:34" ht="25.5">
      <c r="B109" s="3041" t="s">
        <v>853</v>
      </c>
      <c r="C109" s="3042" t="s">
        <v>3896</v>
      </c>
      <c r="D109" s="3041" t="s">
        <v>3930</v>
      </c>
      <c r="E109" s="3042" t="s">
        <v>3898</v>
      </c>
      <c r="F109" s="3041" t="s">
        <v>3991</v>
      </c>
      <c r="G109" s="3043">
        <v>43039</v>
      </c>
      <c r="H109" s="3043">
        <v>44972</v>
      </c>
      <c r="I109" s="3066">
        <v>2.75E-2</v>
      </c>
      <c r="J109" s="3066">
        <v>2.8910000000000002E-2</v>
      </c>
      <c r="K109" s="3066">
        <v>2.7609999999999999E-2</v>
      </c>
      <c r="L109" s="3046">
        <v>99.296000000000006</v>
      </c>
      <c r="M109" s="3046">
        <v>99.944000000000003</v>
      </c>
      <c r="N109" s="3067">
        <v>750</v>
      </c>
      <c r="O109" s="3048">
        <v>750</v>
      </c>
      <c r="P109" s="3042" t="s">
        <v>3932</v>
      </c>
      <c r="Q109" s="3048">
        <v>43039</v>
      </c>
      <c r="R109" s="3041" t="s">
        <v>3901</v>
      </c>
      <c r="S109" s="3041" t="s">
        <v>3079</v>
      </c>
      <c r="T109" s="3041" t="s">
        <v>401</v>
      </c>
      <c r="U109" s="3041" t="s">
        <v>3902</v>
      </c>
      <c r="V109" s="3041" t="s">
        <v>3903</v>
      </c>
      <c r="W109" s="3041" t="s">
        <v>3904</v>
      </c>
      <c r="X109" s="3041" t="s">
        <v>3905</v>
      </c>
      <c r="Y109" s="3041" t="s">
        <v>3906</v>
      </c>
      <c r="Z109" s="3048">
        <v>43048</v>
      </c>
      <c r="AA109" s="3048">
        <v>43146</v>
      </c>
      <c r="AB109" s="3048">
        <v>44788</v>
      </c>
      <c r="AC109" s="3048">
        <v>44941</v>
      </c>
      <c r="AD109" s="3048">
        <v>100</v>
      </c>
      <c r="AE109" s="3066" t="s">
        <v>13</v>
      </c>
      <c r="AF109" s="3045">
        <f>YEARFRAC(G109,H109,3)</f>
        <v>5.2958904109589042</v>
      </c>
      <c r="AG109" s="3044"/>
      <c r="AH109" s="3044"/>
    </row>
    <row r="110" spans="1:34" ht="25.5">
      <c r="B110" s="3121" t="s">
        <v>853</v>
      </c>
      <c r="C110" s="3122" t="s">
        <v>3896</v>
      </c>
      <c r="D110" s="3121" t="s">
        <v>3930</v>
      </c>
      <c r="E110" s="3122" t="s">
        <v>3898</v>
      </c>
      <c r="F110" s="3121" t="s">
        <v>3992</v>
      </c>
      <c r="G110" s="3123">
        <v>42948</v>
      </c>
      <c r="H110" s="3123">
        <v>44423</v>
      </c>
      <c r="I110" s="3124">
        <v>2.2499999999999999E-2</v>
      </c>
      <c r="J110" s="3124">
        <v>2.196E-2</v>
      </c>
      <c r="K110" s="3124">
        <v>2.3269999999999999E-2</v>
      </c>
      <c r="L110" s="3125">
        <v>100.221</v>
      </c>
      <c r="M110" s="3125">
        <v>99.706000000000003</v>
      </c>
      <c r="N110" s="3126">
        <v>500</v>
      </c>
      <c r="O110" s="3128">
        <v>500</v>
      </c>
      <c r="P110" s="3122" t="s">
        <v>3932</v>
      </c>
      <c r="Q110" s="3128">
        <v>42948</v>
      </c>
      <c r="R110" s="3121" t="s">
        <v>3901</v>
      </c>
      <c r="S110" s="3121" t="s">
        <v>3079</v>
      </c>
      <c r="T110" s="3121" t="s">
        <v>401</v>
      </c>
      <c r="U110" s="3121" t="s">
        <v>3902</v>
      </c>
      <c r="V110" s="3121" t="s">
        <v>3903</v>
      </c>
      <c r="W110" s="3121" t="s">
        <v>3904</v>
      </c>
      <c r="X110" s="3121" t="s">
        <v>3905</v>
      </c>
      <c r="Y110" s="3121" t="s">
        <v>3906</v>
      </c>
      <c r="Z110" s="3128">
        <v>42957</v>
      </c>
      <c r="AA110" s="3128">
        <v>43146</v>
      </c>
      <c r="AB110" s="3128">
        <v>44242</v>
      </c>
      <c r="AC110" s="3128" t="s">
        <v>3079</v>
      </c>
      <c r="AD110" s="3128" t="s">
        <v>3079</v>
      </c>
      <c r="AE110" s="3066">
        <v>2.3911999999999999E-2</v>
      </c>
      <c r="AF110" s="3045">
        <f t="shared" si="6"/>
        <v>4.0410958904109586</v>
      </c>
      <c r="AG110" s="3129"/>
      <c r="AH110" s="3129"/>
    </row>
    <row r="111" spans="1:34" ht="25.5">
      <c r="B111" s="3121" t="s">
        <v>854</v>
      </c>
      <c r="C111" s="3122" t="s">
        <v>3896</v>
      </c>
      <c r="D111" s="3121" t="s">
        <v>3938</v>
      </c>
      <c r="E111" s="3122" t="s">
        <v>3898</v>
      </c>
      <c r="F111" s="3121" t="s">
        <v>3993</v>
      </c>
      <c r="G111" s="3123">
        <v>42859</v>
      </c>
      <c r="H111" s="3123">
        <v>44696</v>
      </c>
      <c r="I111" s="3124">
        <v>2.35E-2</v>
      </c>
      <c r="J111" s="3124">
        <v>2.0619999999999999E-2</v>
      </c>
      <c r="K111" s="3124">
        <v>2.3820000000000001E-2</v>
      </c>
      <c r="L111" s="3125">
        <v>101.279</v>
      </c>
      <c r="M111" s="3125">
        <v>99.849000000000004</v>
      </c>
      <c r="N111" s="3126">
        <v>750</v>
      </c>
      <c r="O111" s="3126">
        <v>750</v>
      </c>
      <c r="P111" s="3122" t="s">
        <v>3940</v>
      </c>
      <c r="Q111" s="3128">
        <v>42859</v>
      </c>
      <c r="R111" s="3121" t="s">
        <v>3901</v>
      </c>
      <c r="S111" s="3121" t="s">
        <v>3079</v>
      </c>
      <c r="T111" s="3121" t="s">
        <v>401</v>
      </c>
      <c r="U111" s="3121" t="s">
        <v>3902</v>
      </c>
      <c r="V111" s="3121" t="s">
        <v>3903</v>
      </c>
      <c r="W111" s="3121" t="s">
        <v>3904</v>
      </c>
      <c r="X111" s="3121" t="s">
        <v>3905</v>
      </c>
      <c r="Y111" s="3121" t="s">
        <v>3906</v>
      </c>
      <c r="Z111" s="3128">
        <v>42864</v>
      </c>
      <c r="AA111" s="3128">
        <v>43054</v>
      </c>
      <c r="AB111" s="3128">
        <v>44515</v>
      </c>
      <c r="AC111" s="3128" t="s">
        <v>3079</v>
      </c>
      <c r="AD111" s="3128" t="s">
        <v>3079</v>
      </c>
      <c r="AE111" s="3066" t="s">
        <v>13</v>
      </c>
      <c r="AF111" s="3045">
        <f t="shared" si="6"/>
        <v>5.0328767123287674</v>
      </c>
      <c r="AG111" s="3129"/>
      <c r="AH111" s="3129"/>
    </row>
    <row r="112" spans="1:34" ht="25.5">
      <c r="B112" s="3041" t="s">
        <v>854</v>
      </c>
      <c r="C112" s="3042" t="s">
        <v>3896</v>
      </c>
      <c r="D112" s="3041" t="s">
        <v>3938</v>
      </c>
      <c r="E112" s="3042" t="s">
        <v>3898</v>
      </c>
      <c r="F112" s="3041" t="s">
        <v>3994</v>
      </c>
      <c r="G112" s="3043">
        <v>42514</v>
      </c>
      <c r="H112" s="3043">
        <v>46897</v>
      </c>
      <c r="I112" s="3066">
        <v>4.4999999999999997E-3</v>
      </c>
      <c r="J112" s="3066">
        <v>4.4999999999999997E-3</v>
      </c>
      <c r="K112" s="3130" t="s">
        <v>3079</v>
      </c>
      <c r="L112" s="3046">
        <v>100</v>
      </c>
      <c r="M112" s="3046">
        <v>100</v>
      </c>
      <c r="N112" s="3067">
        <v>403.06</v>
      </c>
      <c r="O112" s="3067">
        <v>418.05</v>
      </c>
      <c r="P112" s="3042" t="s">
        <v>3940</v>
      </c>
      <c r="Q112" s="3048">
        <v>42500</v>
      </c>
      <c r="R112" s="3041" t="s">
        <v>3901</v>
      </c>
      <c r="S112" s="3041" t="s">
        <v>3079</v>
      </c>
      <c r="T112" s="3041" t="s">
        <v>3995</v>
      </c>
      <c r="U112" s="3041" t="s">
        <v>3902</v>
      </c>
      <c r="V112" s="3041" t="s">
        <v>3903</v>
      </c>
      <c r="W112" s="3041" t="s">
        <v>3996</v>
      </c>
      <c r="X112" s="3041" t="s">
        <v>3905</v>
      </c>
      <c r="Y112" s="3041" t="s">
        <v>3997</v>
      </c>
      <c r="Z112" s="3048">
        <v>42514</v>
      </c>
      <c r="AA112" s="3048">
        <v>42879</v>
      </c>
      <c r="AB112" s="3048" t="s">
        <v>3079</v>
      </c>
      <c r="AC112" s="3048">
        <v>46807</v>
      </c>
      <c r="AD112" s="3048">
        <v>100</v>
      </c>
      <c r="AE112" s="3066">
        <v>5.96E-3</v>
      </c>
      <c r="AF112" s="3045">
        <f>YEARFRAC(G112,H112,3)</f>
        <v>12.008219178082191</v>
      </c>
      <c r="AG112" s="3044"/>
      <c r="AH112" s="3044"/>
    </row>
    <row r="113" spans="2:34" ht="25.5">
      <c r="B113" s="3121" t="s">
        <v>854</v>
      </c>
      <c r="C113" s="3122" t="s">
        <v>3896</v>
      </c>
      <c r="D113" s="3121" t="s">
        <v>3938</v>
      </c>
      <c r="E113" s="3122" t="s">
        <v>3898</v>
      </c>
      <c r="F113" s="3121" t="s">
        <v>3998</v>
      </c>
      <c r="G113" s="3123">
        <v>42514</v>
      </c>
      <c r="H113" s="3123">
        <v>43244</v>
      </c>
      <c r="I113" s="3131" t="s">
        <v>3079</v>
      </c>
      <c r="J113" s="3124">
        <v>-5.7200000000000003E-3</v>
      </c>
      <c r="K113" s="3131" t="s">
        <v>3079</v>
      </c>
      <c r="L113" s="3125">
        <v>100.41</v>
      </c>
      <c r="M113" s="3125">
        <v>100.3</v>
      </c>
      <c r="N113" s="3126">
        <v>201.53</v>
      </c>
      <c r="O113" s="3126">
        <v>209.03</v>
      </c>
      <c r="P113" s="3122" t="s">
        <v>3940</v>
      </c>
      <c r="Q113" s="3128">
        <v>42500</v>
      </c>
      <c r="R113" s="3121" t="s">
        <v>3901</v>
      </c>
      <c r="S113" s="3121" t="s">
        <v>3079</v>
      </c>
      <c r="T113" s="3121" t="s">
        <v>3995</v>
      </c>
      <c r="U113" s="3121" t="s">
        <v>3902</v>
      </c>
      <c r="V113" s="3121" t="s">
        <v>3999</v>
      </c>
      <c r="W113" s="3121" t="s">
        <v>3079</v>
      </c>
      <c r="X113" s="3121" t="s">
        <v>3079</v>
      </c>
      <c r="Y113" s="3121" t="s">
        <v>3997</v>
      </c>
      <c r="Z113" s="3128" t="s">
        <v>3079</v>
      </c>
      <c r="AA113" s="3128" t="s">
        <v>3079</v>
      </c>
      <c r="AB113" s="3128" t="s">
        <v>3079</v>
      </c>
      <c r="AC113" s="3128" t="s">
        <v>3079</v>
      </c>
      <c r="AD113" s="3128" t="s">
        <v>3079</v>
      </c>
      <c r="AE113" s="3066">
        <v>-5.5900000000000004E-3</v>
      </c>
      <c r="AF113" s="3045">
        <f t="shared" si="6"/>
        <v>2</v>
      </c>
      <c r="AG113" s="3129"/>
      <c r="AH113" s="3129"/>
    </row>
    <row r="114" spans="2:34" ht="25.5">
      <c r="B114" s="3121" t="s">
        <v>854</v>
      </c>
      <c r="C114" s="3122" t="s">
        <v>3896</v>
      </c>
      <c r="D114" s="3121" t="s">
        <v>3938</v>
      </c>
      <c r="E114" s="3122" t="s">
        <v>3898</v>
      </c>
      <c r="F114" s="3121" t="s">
        <v>4000</v>
      </c>
      <c r="G114" s="3123">
        <v>42514</v>
      </c>
      <c r="H114" s="3123">
        <v>45436</v>
      </c>
      <c r="I114" s="3124">
        <v>1.5E-3</v>
      </c>
      <c r="J114" s="3124">
        <v>1.0300000000000001E-3</v>
      </c>
      <c r="K114" s="3131" t="s">
        <v>3079</v>
      </c>
      <c r="L114" s="3125">
        <v>100.3</v>
      </c>
      <c r="M114" s="3125">
        <v>100.04</v>
      </c>
      <c r="N114" s="3126">
        <v>604.58000000000004</v>
      </c>
      <c r="O114" s="3126">
        <v>627.08000000000004</v>
      </c>
      <c r="P114" s="3122" t="s">
        <v>3940</v>
      </c>
      <c r="Q114" s="3128">
        <v>42500</v>
      </c>
      <c r="R114" s="3121" t="s">
        <v>3901</v>
      </c>
      <c r="S114" s="3121" t="s">
        <v>3079</v>
      </c>
      <c r="T114" s="3121" t="s">
        <v>3995</v>
      </c>
      <c r="U114" s="3121" t="s">
        <v>3902</v>
      </c>
      <c r="V114" s="3121" t="s">
        <v>3903</v>
      </c>
      <c r="W114" s="3121" t="s">
        <v>3996</v>
      </c>
      <c r="X114" s="3121" t="s">
        <v>3905</v>
      </c>
      <c r="Y114" s="3121" t="s">
        <v>3997</v>
      </c>
      <c r="Z114" s="3128">
        <v>42514</v>
      </c>
      <c r="AA114" s="3128">
        <v>42879</v>
      </c>
      <c r="AB114" s="3128" t="s">
        <v>3079</v>
      </c>
      <c r="AC114" s="3128">
        <v>45346</v>
      </c>
      <c r="AD114" s="3128">
        <v>100</v>
      </c>
      <c r="AE114" s="3066">
        <v>1.7599999999999998E-3</v>
      </c>
      <c r="AF114" s="3045">
        <f t="shared" si="6"/>
        <v>8.0054794520547947</v>
      </c>
      <c r="AG114" s="3129"/>
      <c r="AH114" s="3129"/>
    </row>
    <row r="115" spans="2:34" ht="25.5">
      <c r="B115" s="3121" t="s">
        <v>850</v>
      </c>
      <c r="C115" s="3122" t="s">
        <v>3896</v>
      </c>
      <c r="D115" s="3121" t="s">
        <v>3953</v>
      </c>
      <c r="E115" s="3122" t="s">
        <v>3898</v>
      </c>
      <c r="F115" s="3121" t="s">
        <v>4001</v>
      </c>
      <c r="G115" s="3123">
        <v>42794</v>
      </c>
      <c r="H115" s="3123">
        <v>44623</v>
      </c>
      <c r="I115" s="3124">
        <v>2.2499999999999999E-2</v>
      </c>
      <c r="J115" s="3124">
        <v>1.8460000000000001E-2</v>
      </c>
      <c r="K115" s="3124">
        <v>2.308E-2</v>
      </c>
      <c r="L115" s="3125">
        <v>101.736</v>
      </c>
      <c r="M115" s="3125">
        <v>99.727999999999994</v>
      </c>
      <c r="N115" s="3132">
        <v>1000</v>
      </c>
      <c r="O115" s="3132">
        <v>1000</v>
      </c>
      <c r="P115" s="3122" t="s">
        <v>3955</v>
      </c>
      <c r="Q115" s="3128">
        <v>42794</v>
      </c>
      <c r="R115" s="3121" t="s">
        <v>3901</v>
      </c>
      <c r="S115" s="3121" t="s">
        <v>3079</v>
      </c>
      <c r="T115" s="3121" t="s">
        <v>401</v>
      </c>
      <c r="U115" s="3121" t="s">
        <v>3902</v>
      </c>
      <c r="V115" s="3121" t="s">
        <v>3903</v>
      </c>
      <c r="W115" s="3121" t="s">
        <v>3904</v>
      </c>
      <c r="X115" s="3121" t="s">
        <v>3905</v>
      </c>
      <c r="Y115" s="3121" t="s">
        <v>3906</v>
      </c>
      <c r="Z115" s="3128">
        <v>42797</v>
      </c>
      <c r="AA115" s="3128">
        <v>42981</v>
      </c>
      <c r="AB115" s="3128">
        <v>44442</v>
      </c>
      <c r="AC115" s="3128">
        <v>44595</v>
      </c>
      <c r="AD115" s="3128">
        <v>100</v>
      </c>
      <c r="AE115" s="3066" t="s">
        <v>13</v>
      </c>
      <c r="AF115" s="3045">
        <f t="shared" si="6"/>
        <v>5.0109589041095894</v>
      </c>
      <c r="AG115" s="3129"/>
      <c r="AH115" s="3129"/>
    </row>
    <row r="116" spans="2:34" ht="25.5">
      <c r="B116" s="3121" t="s">
        <v>850</v>
      </c>
      <c r="C116" s="3122" t="s">
        <v>3896</v>
      </c>
      <c r="D116" s="3121" t="s">
        <v>3953</v>
      </c>
      <c r="E116" s="3122" t="s">
        <v>3898</v>
      </c>
      <c r="F116" s="3121" t="s">
        <v>4002</v>
      </c>
      <c r="G116" s="3123">
        <v>42425</v>
      </c>
      <c r="H116" s="3123">
        <v>43525</v>
      </c>
      <c r="I116" s="3124">
        <v>1.125E-2</v>
      </c>
      <c r="J116" s="3124">
        <v>1.374E-2</v>
      </c>
      <c r="K116" s="3124">
        <v>1.129E-2</v>
      </c>
      <c r="L116" s="3125">
        <v>99.635000000000005</v>
      </c>
      <c r="M116" s="3125">
        <v>99.988</v>
      </c>
      <c r="N116" s="3132">
        <v>700</v>
      </c>
      <c r="O116" s="3132">
        <v>700</v>
      </c>
      <c r="P116" s="3122" t="s">
        <v>3955</v>
      </c>
      <c r="Q116" s="3128">
        <v>42439</v>
      </c>
      <c r="R116" s="3121" t="s">
        <v>3901</v>
      </c>
      <c r="S116" s="3121" t="s">
        <v>3079</v>
      </c>
      <c r="T116" s="3121" t="s">
        <v>401</v>
      </c>
      <c r="U116" s="3121" t="s">
        <v>3902</v>
      </c>
      <c r="V116" s="3121" t="s">
        <v>3903</v>
      </c>
      <c r="W116" s="3121" t="s">
        <v>3904</v>
      </c>
      <c r="X116" s="3121" t="s">
        <v>3905</v>
      </c>
      <c r="Y116" s="3121" t="s">
        <v>3906</v>
      </c>
      <c r="Z116" s="3128">
        <v>42430</v>
      </c>
      <c r="AA116" s="3128">
        <v>42614</v>
      </c>
      <c r="AB116" s="3128">
        <v>43344</v>
      </c>
      <c r="AC116" s="3128" t="s">
        <v>3079</v>
      </c>
      <c r="AD116" s="3128" t="s">
        <v>3079</v>
      </c>
      <c r="AE116" s="3066" t="s">
        <v>13</v>
      </c>
      <c r="AF116" s="3045">
        <f t="shared" si="6"/>
        <v>3.0136986301369864</v>
      </c>
      <c r="AG116" s="3129"/>
      <c r="AH116" s="3129"/>
    </row>
    <row r="117" spans="2:34" ht="25.5">
      <c r="B117" s="3121" t="s">
        <v>850</v>
      </c>
      <c r="C117" s="3122" t="s">
        <v>3896</v>
      </c>
      <c r="D117" s="3121" t="s">
        <v>3953</v>
      </c>
      <c r="E117" s="3122" t="s">
        <v>3898</v>
      </c>
      <c r="F117" s="3121" t="s">
        <v>4003</v>
      </c>
      <c r="G117" s="3123">
        <v>42425</v>
      </c>
      <c r="H117" s="3123">
        <v>43525</v>
      </c>
      <c r="I117" s="3124" t="s">
        <v>3079</v>
      </c>
      <c r="J117" s="3124">
        <v>1.3299999999999999E-2</v>
      </c>
      <c r="K117" s="3124" t="s">
        <v>3079</v>
      </c>
      <c r="L117" s="3125">
        <v>100.384</v>
      </c>
      <c r="M117" s="3125">
        <v>100</v>
      </c>
      <c r="N117" s="3132">
        <v>300</v>
      </c>
      <c r="O117" s="3132">
        <v>300</v>
      </c>
      <c r="P117" s="3122" t="s">
        <v>3955</v>
      </c>
      <c r="Q117" s="3128">
        <v>42425</v>
      </c>
      <c r="R117" s="3121" t="s">
        <v>3901</v>
      </c>
      <c r="S117" s="3121" t="s">
        <v>3079</v>
      </c>
      <c r="T117" s="3121" t="s">
        <v>401</v>
      </c>
      <c r="U117" s="3121" t="s">
        <v>3902</v>
      </c>
      <c r="V117" s="3121" t="s">
        <v>3983</v>
      </c>
      <c r="W117" s="3121" t="s">
        <v>3984</v>
      </c>
      <c r="X117" s="3121" t="s">
        <v>3985</v>
      </c>
      <c r="Y117" s="3121" t="s">
        <v>3906</v>
      </c>
      <c r="Z117" s="3128">
        <v>42430</v>
      </c>
      <c r="AA117" s="3128">
        <v>42522</v>
      </c>
      <c r="AB117" s="3128">
        <v>43435</v>
      </c>
      <c r="AC117" s="3128" t="s">
        <v>3079</v>
      </c>
      <c r="AD117" s="3128" t="s">
        <v>3079</v>
      </c>
      <c r="AE117" s="3066" t="s">
        <v>13</v>
      </c>
      <c r="AF117" s="3045">
        <f t="shared" si="6"/>
        <v>3.0136986301369864</v>
      </c>
      <c r="AG117" s="3129"/>
      <c r="AH117" s="3129"/>
    </row>
    <row r="118" spans="2:34" ht="25.5">
      <c r="B118" s="3121" t="s">
        <v>850</v>
      </c>
      <c r="C118" s="3122" t="s">
        <v>3896</v>
      </c>
      <c r="D118" s="3121" t="s">
        <v>3953</v>
      </c>
      <c r="E118" s="3122" t="s">
        <v>3898</v>
      </c>
      <c r="F118" s="3121" t="s">
        <v>4004</v>
      </c>
      <c r="G118" s="3123">
        <v>42425</v>
      </c>
      <c r="H118" s="3123">
        <v>44256</v>
      </c>
      <c r="I118" s="3124">
        <v>1.6500000000000001E-2</v>
      </c>
      <c r="J118" s="3124">
        <v>1.66E-2</v>
      </c>
      <c r="K118" s="3124">
        <v>1.6500000000000001E-2</v>
      </c>
      <c r="L118" s="3125">
        <v>99.968000000000004</v>
      </c>
      <c r="M118" s="3125">
        <v>100</v>
      </c>
      <c r="N118" s="3132">
        <v>1000</v>
      </c>
      <c r="O118" s="3132">
        <v>1000</v>
      </c>
      <c r="P118" s="3122" t="s">
        <v>3955</v>
      </c>
      <c r="Q118" s="3128">
        <v>42439</v>
      </c>
      <c r="R118" s="3121" t="s">
        <v>3901</v>
      </c>
      <c r="S118" s="3121" t="s">
        <v>3079</v>
      </c>
      <c r="T118" s="3121" t="s">
        <v>401</v>
      </c>
      <c r="U118" s="3121" t="s">
        <v>3902</v>
      </c>
      <c r="V118" s="3121" t="s">
        <v>3903</v>
      </c>
      <c r="W118" s="3121" t="s">
        <v>3904</v>
      </c>
      <c r="X118" s="3121" t="s">
        <v>3905</v>
      </c>
      <c r="Y118" s="3121" t="s">
        <v>3906</v>
      </c>
      <c r="Z118" s="3128">
        <v>42430</v>
      </c>
      <c r="AA118" s="3128">
        <v>42614</v>
      </c>
      <c r="AB118" s="3128">
        <v>44075</v>
      </c>
      <c r="AC118" s="3128">
        <v>44228</v>
      </c>
      <c r="AD118" s="3128">
        <v>100</v>
      </c>
      <c r="AE118" s="3066" t="s">
        <v>13</v>
      </c>
      <c r="AF118" s="3045">
        <f t="shared" si="6"/>
        <v>5.0164383561643833</v>
      </c>
      <c r="AG118" s="3129"/>
      <c r="AH118" s="3129"/>
    </row>
    <row r="119" spans="2:34" s="3006" customFormat="1" ht="25.5">
      <c r="B119" s="3133" t="s">
        <v>850</v>
      </c>
      <c r="C119" s="3090" t="s">
        <v>3896</v>
      </c>
      <c r="D119" s="3089" t="s">
        <v>3953</v>
      </c>
      <c r="E119" s="3090" t="s">
        <v>3898</v>
      </c>
      <c r="F119" s="3089" t="s">
        <v>4005</v>
      </c>
      <c r="G119" s="3091">
        <v>42425</v>
      </c>
      <c r="H119" s="3091">
        <v>44986</v>
      </c>
      <c r="I119" s="3092">
        <v>2.0500000000000001E-2</v>
      </c>
      <c r="J119" s="3092">
        <v>1.9789999999999999E-2</v>
      </c>
      <c r="K119" s="3092">
        <v>2.0910000000000002E-2</v>
      </c>
      <c r="L119" s="3093">
        <v>99.08</v>
      </c>
      <c r="M119" s="3093">
        <v>99.733999999999995</v>
      </c>
      <c r="N119" s="3094">
        <v>500</v>
      </c>
      <c r="O119" s="3094">
        <v>500</v>
      </c>
      <c r="P119" s="3090" t="s">
        <v>3955</v>
      </c>
      <c r="Q119" s="3095">
        <v>42439</v>
      </c>
      <c r="R119" s="3089" t="s">
        <v>3901</v>
      </c>
      <c r="S119" s="3089" t="s">
        <v>3079</v>
      </c>
      <c r="T119" s="3089" t="s">
        <v>401</v>
      </c>
      <c r="U119" s="3089" t="s">
        <v>3902</v>
      </c>
      <c r="V119" s="3089" t="s">
        <v>3903</v>
      </c>
      <c r="W119" s="3089" t="s">
        <v>3904</v>
      </c>
      <c r="X119" s="3089" t="s">
        <v>3905</v>
      </c>
      <c r="Y119" s="3089" t="s">
        <v>3906</v>
      </c>
      <c r="Z119" s="3095">
        <v>42430</v>
      </c>
      <c r="AA119" s="3095">
        <v>42614</v>
      </c>
      <c r="AB119" s="3095">
        <v>44805</v>
      </c>
      <c r="AC119" s="3095">
        <v>44927</v>
      </c>
      <c r="AD119" s="3095">
        <v>100</v>
      </c>
      <c r="AE119" s="3092">
        <v>2.2381000000000002E-2</v>
      </c>
      <c r="AF119" s="3045">
        <f>YEARFRAC(G119,H119,3)</f>
        <v>7.0164383561643833</v>
      </c>
      <c r="AG119" s="3096"/>
      <c r="AH119" s="3134"/>
    </row>
    <row r="120" spans="2:34" ht="25.5">
      <c r="B120" s="3060" t="s">
        <v>851</v>
      </c>
      <c r="C120" s="3040" t="s">
        <v>3896</v>
      </c>
      <c r="D120" s="3060" t="s">
        <v>3969</v>
      </c>
      <c r="E120" s="3040" t="s">
        <v>3898</v>
      </c>
      <c r="F120" s="3060" t="s">
        <v>4006</v>
      </c>
      <c r="G120" s="3049">
        <v>43088</v>
      </c>
      <c r="H120" s="3049">
        <v>52397</v>
      </c>
      <c r="I120" s="3051">
        <v>2.7349999999999999E-2</v>
      </c>
      <c r="J120" s="3051">
        <v>2.87E-2</v>
      </c>
      <c r="K120" s="3051" t="s">
        <v>13</v>
      </c>
      <c r="L120" s="3125"/>
      <c r="M120" s="3045">
        <v>100</v>
      </c>
      <c r="N120" s="3088">
        <v>1835.29</v>
      </c>
      <c r="O120" s="3088">
        <v>1923.99</v>
      </c>
      <c r="P120" s="3040" t="s">
        <v>3967</v>
      </c>
      <c r="Q120" s="3064">
        <v>43076</v>
      </c>
      <c r="R120" s="3060" t="s">
        <v>3901</v>
      </c>
      <c r="S120" s="3060" t="s">
        <v>3079</v>
      </c>
      <c r="T120" s="3060" t="s">
        <v>4007</v>
      </c>
      <c r="U120" s="3060" t="s">
        <v>3902</v>
      </c>
      <c r="V120" s="3060" t="s">
        <v>3903</v>
      </c>
      <c r="W120" s="3060" t="s">
        <v>3996</v>
      </c>
      <c r="X120" s="3060" t="s">
        <v>4008</v>
      </c>
      <c r="Y120" s="3060" t="s">
        <v>3997</v>
      </c>
      <c r="Z120" s="3064">
        <v>43088</v>
      </c>
      <c r="AA120" s="3064">
        <v>43266</v>
      </c>
      <c r="AB120" s="3064" t="s">
        <v>3079</v>
      </c>
      <c r="AC120" s="3064" t="s">
        <v>3079</v>
      </c>
      <c r="AD120" s="3064" t="s">
        <v>3079</v>
      </c>
      <c r="AE120" s="3124">
        <v>2.7759999999999996E-2</v>
      </c>
      <c r="AF120" s="3045">
        <f t="shared" ref="AF120:AF122" si="7">YEARFRAC(G120,H120,3)</f>
        <v>25.504109589041096</v>
      </c>
      <c r="AG120" s="3065"/>
      <c r="AH120" s="3065"/>
    </row>
    <row r="121" spans="2:34" ht="25.5">
      <c r="B121" s="3060" t="s">
        <v>851</v>
      </c>
      <c r="C121" s="3040" t="s">
        <v>3896</v>
      </c>
      <c r="D121" s="3060" t="s">
        <v>3969</v>
      </c>
      <c r="E121" s="3040" t="s">
        <v>3898</v>
      </c>
      <c r="F121" s="3060" t="s">
        <v>4009</v>
      </c>
      <c r="G121" s="3049">
        <v>43088</v>
      </c>
      <c r="H121" s="3049">
        <v>52397</v>
      </c>
      <c r="I121" s="3051">
        <v>2.7349999999999999E-2</v>
      </c>
      <c r="J121" s="3051">
        <v>2.8500000000000001E-2</v>
      </c>
      <c r="K121" s="3051" t="s">
        <v>13</v>
      </c>
      <c r="L121" s="3125"/>
      <c r="M121" s="3045">
        <v>100</v>
      </c>
      <c r="N121" s="3088">
        <v>1835.29</v>
      </c>
      <c r="O121" s="3088">
        <v>1923.99</v>
      </c>
      <c r="P121" s="3040" t="s">
        <v>3967</v>
      </c>
      <c r="Q121" s="3064">
        <v>43076</v>
      </c>
      <c r="R121" s="3060" t="s">
        <v>3901</v>
      </c>
      <c r="S121" s="3060" t="s">
        <v>3079</v>
      </c>
      <c r="T121" s="3060" t="s">
        <v>4007</v>
      </c>
      <c r="U121" s="3060" t="s">
        <v>3902</v>
      </c>
      <c r="V121" s="3060" t="s">
        <v>3903</v>
      </c>
      <c r="W121" s="3060" t="s">
        <v>3996</v>
      </c>
      <c r="X121" s="3060" t="s">
        <v>4008</v>
      </c>
      <c r="Y121" s="3060" t="s">
        <v>4010</v>
      </c>
      <c r="Z121" s="3064">
        <v>43088</v>
      </c>
      <c r="AA121" s="3064">
        <v>43266</v>
      </c>
      <c r="AB121" s="3064" t="s">
        <v>3079</v>
      </c>
      <c r="AC121" s="3064" t="s">
        <v>3079</v>
      </c>
      <c r="AD121" s="3064" t="s">
        <v>3079</v>
      </c>
      <c r="AE121" s="3124">
        <v>2.7571999999999999E-2</v>
      </c>
      <c r="AF121" s="3045">
        <f t="shared" si="7"/>
        <v>25.504109589041096</v>
      </c>
      <c r="AG121" s="3065"/>
      <c r="AH121" s="3065"/>
    </row>
    <row r="122" spans="2:34" ht="25.5">
      <c r="B122" s="3060" t="s">
        <v>851</v>
      </c>
      <c r="C122" s="3040" t="s">
        <v>3896</v>
      </c>
      <c r="D122" s="3060" t="s">
        <v>3969</v>
      </c>
      <c r="E122" s="3040" t="s">
        <v>3898</v>
      </c>
      <c r="F122" s="3060" t="s">
        <v>4011</v>
      </c>
      <c r="G122" s="3049">
        <v>42794</v>
      </c>
      <c r="H122" s="3049">
        <v>46452</v>
      </c>
      <c r="I122" s="3051">
        <v>0.01</v>
      </c>
      <c r="J122" s="3051">
        <v>1.013E-2</v>
      </c>
      <c r="K122" s="3051">
        <v>1.1180000000000001E-2</v>
      </c>
      <c r="L122" s="3125"/>
      <c r="M122" s="3045">
        <v>98.888999999999996</v>
      </c>
      <c r="N122" s="3088">
        <v>796.18</v>
      </c>
      <c r="O122" s="3088">
        <v>916.87</v>
      </c>
      <c r="P122" s="3040" t="s">
        <v>3967</v>
      </c>
      <c r="Q122" s="3064">
        <v>42794</v>
      </c>
      <c r="R122" s="3060" t="s">
        <v>3901</v>
      </c>
      <c r="S122" s="3060" t="s">
        <v>3079</v>
      </c>
      <c r="T122" s="3060" t="s">
        <v>4012</v>
      </c>
      <c r="U122" s="3060" t="s">
        <v>3902</v>
      </c>
      <c r="V122" s="3060" t="s">
        <v>3903</v>
      </c>
      <c r="W122" s="3060" t="s">
        <v>3996</v>
      </c>
      <c r="X122" s="3060" t="s">
        <v>4013</v>
      </c>
      <c r="Y122" s="3060" t="s">
        <v>3906</v>
      </c>
      <c r="Z122" s="3064">
        <v>42800</v>
      </c>
      <c r="AA122" s="3064">
        <v>43165</v>
      </c>
      <c r="AB122" s="3064">
        <v>46087</v>
      </c>
      <c r="AC122" s="3064">
        <v>46362</v>
      </c>
      <c r="AD122" s="3064">
        <v>100</v>
      </c>
      <c r="AE122" s="3124">
        <v>1.0098000000000001E-2</v>
      </c>
      <c r="AF122" s="3045">
        <f t="shared" si="7"/>
        <v>10.021917808219179</v>
      </c>
      <c r="AG122" s="3065"/>
      <c r="AH122" s="3065"/>
    </row>
    <row r="123" spans="2:34" ht="25.5">
      <c r="B123" s="3041" t="s">
        <v>851</v>
      </c>
      <c r="C123" s="3042" t="s">
        <v>3896</v>
      </c>
      <c r="D123" s="3041" t="s">
        <v>3969</v>
      </c>
      <c r="E123" s="3042" t="s">
        <v>3898</v>
      </c>
      <c r="F123" s="3041" t="s">
        <v>3971</v>
      </c>
      <c r="G123" s="3043">
        <v>42688</v>
      </c>
      <c r="H123" s="3043">
        <v>46371</v>
      </c>
      <c r="I123" s="3066">
        <v>0.03</v>
      </c>
      <c r="J123" s="3066">
        <v>2.717E-2</v>
      </c>
      <c r="K123" s="3066">
        <v>3.099E-2</v>
      </c>
      <c r="L123" s="3046">
        <v>102.309</v>
      </c>
      <c r="M123" s="3046">
        <v>99.147999999999996</v>
      </c>
      <c r="N123" s="3047">
        <v>1750</v>
      </c>
      <c r="O123" s="3047">
        <v>1750</v>
      </c>
      <c r="P123" s="3042" t="s">
        <v>3967</v>
      </c>
      <c r="Q123" s="3048">
        <v>42968</v>
      </c>
      <c r="R123" s="3041" t="s">
        <v>3901</v>
      </c>
      <c r="S123" s="3041" t="s">
        <v>3079</v>
      </c>
      <c r="T123" s="3041" t="s">
        <v>401</v>
      </c>
      <c r="U123" s="3041" t="s">
        <v>3902</v>
      </c>
      <c r="V123" s="3041" t="s">
        <v>3903</v>
      </c>
      <c r="W123" s="3041" t="s">
        <v>3904</v>
      </c>
      <c r="X123" s="3041" t="s">
        <v>3905</v>
      </c>
      <c r="Y123" s="3041" t="s">
        <v>3906</v>
      </c>
      <c r="Z123" s="3048">
        <v>42695</v>
      </c>
      <c r="AA123" s="3048">
        <v>42901</v>
      </c>
      <c r="AB123" s="3048">
        <v>46188</v>
      </c>
      <c r="AC123" s="3048" t="s">
        <v>3079</v>
      </c>
      <c r="AD123" s="3048" t="s">
        <v>3079</v>
      </c>
      <c r="AE123" s="3135">
        <v>2.8486999999999998E-2</v>
      </c>
      <c r="AF123" s="3045">
        <f t="shared" si="6"/>
        <v>10.09041095890411</v>
      </c>
      <c r="AG123" s="3044"/>
      <c r="AH123" s="3044"/>
    </row>
    <row r="124" spans="2:34" ht="25.5">
      <c r="B124" s="3041" t="s">
        <v>851</v>
      </c>
      <c r="C124" s="3042" t="s">
        <v>3896</v>
      </c>
      <c r="D124" s="3041" t="s">
        <v>3969</v>
      </c>
      <c r="E124" s="3042" t="s">
        <v>3898</v>
      </c>
      <c r="F124" s="3041" t="s">
        <v>3973</v>
      </c>
      <c r="G124" s="3043">
        <v>42688</v>
      </c>
      <c r="H124" s="3043">
        <v>50024</v>
      </c>
      <c r="I124" s="3066">
        <v>0.04</v>
      </c>
      <c r="J124" s="3066">
        <v>3.4000000000000002E-2</v>
      </c>
      <c r="K124" s="3066">
        <v>4.0349999999999997E-2</v>
      </c>
      <c r="L124" s="3046">
        <v>108.435</v>
      </c>
      <c r="M124" s="3046">
        <v>99.519000000000005</v>
      </c>
      <c r="N124" s="3047">
        <v>1000</v>
      </c>
      <c r="O124" s="3047">
        <v>1000</v>
      </c>
      <c r="P124" s="3042" t="s">
        <v>3967</v>
      </c>
      <c r="Q124" s="3048">
        <v>42710</v>
      </c>
      <c r="R124" s="3041" t="s">
        <v>3901</v>
      </c>
      <c r="S124" s="3041" t="s">
        <v>3079</v>
      </c>
      <c r="T124" s="3041" t="s">
        <v>401</v>
      </c>
      <c r="U124" s="3041" t="s">
        <v>3902</v>
      </c>
      <c r="V124" s="3041" t="s">
        <v>3903</v>
      </c>
      <c r="W124" s="3041" t="s">
        <v>3904</v>
      </c>
      <c r="X124" s="3041" t="s">
        <v>3905</v>
      </c>
      <c r="Y124" s="3041" t="s">
        <v>3906</v>
      </c>
      <c r="Z124" s="3048">
        <v>42695</v>
      </c>
      <c r="AA124" s="3048">
        <v>42901</v>
      </c>
      <c r="AB124" s="3048">
        <v>49841</v>
      </c>
      <c r="AC124" s="3048" t="s">
        <v>3079</v>
      </c>
      <c r="AD124" s="3048" t="s">
        <v>3079</v>
      </c>
      <c r="AE124" s="3135">
        <v>3.4823E-2</v>
      </c>
      <c r="AF124" s="3045">
        <f t="shared" si="6"/>
        <v>20.098630136986301</v>
      </c>
      <c r="AG124" s="3044"/>
      <c r="AH124" s="3044"/>
    </row>
    <row r="125" spans="2:34" ht="25.5">
      <c r="B125" s="3041" t="s">
        <v>851</v>
      </c>
      <c r="C125" s="3042" t="s">
        <v>3896</v>
      </c>
      <c r="D125" s="3041" t="s">
        <v>3969</v>
      </c>
      <c r="E125" s="3042" t="s">
        <v>3898</v>
      </c>
      <c r="F125" s="3041" t="s">
        <v>3975</v>
      </c>
      <c r="G125" s="3043">
        <v>42688</v>
      </c>
      <c r="H125" s="3043">
        <v>53676</v>
      </c>
      <c r="I125" s="3066">
        <v>4.1250000000000002E-2</v>
      </c>
      <c r="J125" s="3066">
        <v>3.6839999999999998E-2</v>
      </c>
      <c r="K125" s="3066">
        <v>4.1349999999999998E-2</v>
      </c>
      <c r="L125" s="3046">
        <v>107.852</v>
      </c>
      <c r="M125" s="3046">
        <v>99.825999999999993</v>
      </c>
      <c r="N125" s="3047">
        <v>1250</v>
      </c>
      <c r="O125" s="3047">
        <v>1250</v>
      </c>
      <c r="P125" s="3042" t="s">
        <v>3967</v>
      </c>
      <c r="Q125" s="3048">
        <v>42710</v>
      </c>
      <c r="R125" s="3041" t="s">
        <v>3901</v>
      </c>
      <c r="S125" s="3041" t="s">
        <v>3079</v>
      </c>
      <c r="T125" s="3041" t="s">
        <v>401</v>
      </c>
      <c r="U125" s="3041" t="s">
        <v>3902</v>
      </c>
      <c r="V125" s="3041" t="s">
        <v>3903</v>
      </c>
      <c r="W125" s="3041" t="s">
        <v>3904</v>
      </c>
      <c r="X125" s="3041" t="s">
        <v>3905</v>
      </c>
      <c r="Y125" s="3041" t="s">
        <v>3906</v>
      </c>
      <c r="Z125" s="3048">
        <v>42695</v>
      </c>
      <c r="AA125" s="3048">
        <v>42901</v>
      </c>
      <c r="AB125" s="3048">
        <v>53493</v>
      </c>
      <c r="AC125" s="3048" t="s">
        <v>3079</v>
      </c>
      <c r="AD125" s="3048" t="s">
        <v>3079</v>
      </c>
      <c r="AE125" s="3135">
        <v>3.7444999999999999E-2</v>
      </c>
      <c r="AF125" s="3045">
        <f t="shared" si="6"/>
        <v>30.104109589041094</v>
      </c>
      <c r="AG125" s="3044"/>
      <c r="AH125" s="3044"/>
    </row>
    <row r="126" spans="2:34" ht="25.5">
      <c r="B126" s="3121" t="s">
        <v>851</v>
      </c>
      <c r="C126" s="3122" t="s">
        <v>3896</v>
      </c>
      <c r="D126" s="3121" t="s">
        <v>3969</v>
      </c>
      <c r="E126" s="3122" t="s">
        <v>3898</v>
      </c>
      <c r="F126" s="3121" t="s">
        <v>4014</v>
      </c>
      <c r="G126" s="3123">
        <v>42688</v>
      </c>
      <c r="H126" s="3123">
        <v>43814</v>
      </c>
      <c r="I126" s="3124">
        <v>1.7000000000000001E-2</v>
      </c>
      <c r="J126" s="3124">
        <v>1.546E-2</v>
      </c>
      <c r="K126" s="3124">
        <v>1.7239999999999998E-2</v>
      </c>
      <c r="L126" s="3125">
        <v>100.343</v>
      </c>
      <c r="M126" s="3125">
        <v>99.927999999999997</v>
      </c>
      <c r="N126" s="3132">
        <v>1000</v>
      </c>
      <c r="O126" s="3132">
        <v>1000</v>
      </c>
      <c r="P126" s="3122" t="s">
        <v>3967</v>
      </c>
      <c r="Q126" s="3128">
        <v>42968</v>
      </c>
      <c r="R126" s="3121" t="s">
        <v>3901</v>
      </c>
      <c r="S126" s="3121" t="s">
        <v>3079</v>
      </c>
      <c r="T126" s="3121" t="s">
        <v>401</v>
      </c>
      <c r="U126" s="3121" t="s">
        <v>3902</v>
      </c>
      <c r="V126" s="3121" t="s">
        <v>3903</v>
      </c>
      <c r="W126" s="3121" t="s">
        <v>3904</v>
      </c>
      <c r="X126" s="3121" t="s">
        <v>3905</v>
      </c>
      <c r="Y126" s="3121" t="s">
        <v>3906</v>
      </c>
      <c r="Z126" s="3128">
        <v>42695</v>
      </c>
      <c r="AA126" s="3128">
        <v>42901</v>
      </c>
      <c r="AB126" s="3128">
        <v>43631</v>
      </c>
      <c r="AC126" s="3128" t="s">
        <v>3079</v>
      </c>
      <c r="AD126" s="3128" t="s">
        <v>3079</v>
      </c>
      <c r="AE126" s="3066" t="s">
        <v>13</v>
      </c>
      <c r="AF126" s="3045">
        <f t="shared" si="6"/>
        <v>3.0849315068493151</v>
      </c>
      <c r="AG126" s="3129"/>
      <c r="AH126" s="3129"/>
    </row>
    <row r="127" spans="2:34" ht="25.5">
      <c r="B127" s="3121" t="s">
        <v>851</v>
      </c>
      <c r="C127" s="3122" t="s">
        <v>3896</v>
      </c>
      <c r="D127" s="3121" t="s">
        <v>3969</v>
      </c>
      <c r="E127" s="3122" t="s">
        <v>3898</v>
      </c>
      <c r="F127" s="3121" t="s">
        <v>4015</v>
      </c>
      <c r="G127" s="3123">
        <v>42688</v>
      </c>
      <c r="H127" s="3123">
        <v>44545</v>
      </c>
      <c r="I127" s="3124">
        <v>2.1999999999999999E-2</v>
      </c>
      <c r="J127" s="3124">
        <v>1.8929999999999999E-2</v>
      </c>
      <c r="K127" s="3124">
        <v>2.2190000000000001E-2</v>
      </c>
      <c r="L127" s="3125">
        <v>101.254</v>
      </c>
      <c r="M127" s="3125">
        <v>99.909000000000006</v>
      </c>
      <c r="N127" s="3132">
        <v>1000</v>
      </c>
      <c r="O127" s="3132">
        <v>1000</v>
      </c>
      <c r="P127" s="3122" t="s">
        <v>3967</v>
      </c>
      <c r="Q127" s="3128">
        <v>42968</v>
      </c>
      <c r="R127" s="3121" t="s">
        <v>3901</v>
      </c>
      <c r="S127" s="3121" t="s">
        <v>3079</v>
      </c>
      <c r="T127" s="3121" t="s">
        <v>401</v>
      </c>
      <c r="U127" s="3121" t="s">
        <v>3902</v>
      </c>
      <c r="V127" s="3121" t="s">
        <v>3903</v>
      </c>
      <c r="W127" s="3121" t="s">
        <v>3904</v>
      </c>
      <c r="X127" s="3121" t="s">
        <v>3905</v>
      </c>
      <c r="Y127" s="3121" t="s">
        <v>3906</v>
      </c>
      <c r="Z127" s="3128">
        <v>42695</v>
      </c>
      <c r="AA127" s="3128">
        <v>42901</v>
      </c>
      <c r="AB127" s="3128">
        <v>44362</v>
      </c>
      <c r="AC127" s="3128" t="s">
        <v>3079</v>
      </c>
      <c r="AD127" s="3128" t="s">
        <v>3079</v>
      </c>
      <c r="AE127" s="3066" t="s">
        <v>13</v>
      </c>
      <c r="AF127" s="3045">
        <f t="shared" si="6"/>
        <v>5.087671232876712</v>
      </c>
      <c r="AG127" s="3129"/>
      <c r="AH127" s="3129"/>
    </row>
  </sheetData>
  <conditionalFormatting sqref="B4:AH4">
    <cfRule type="cellIs" dxfId="209" priority="1" stopIfTrue="1" operator="equal">
      <formula>"input"</formula>
    </cfRule>
  </conditionalFormatting>
  <pageMargins left="0.5" right="0.5" top="0.5" bottom="0.5" header="0.5" footer="0.5"/>
  <pageSetup scale="82" fitToWidth="0" fitToHeight="0" orientation="landscape" r:id="rId1"/>
  <headerFooter alignWithMargins="0"/>
  <rowBreaks count="3" manualBreakCount="3">
    <brk id="30" max="34" man="1"/>
    <brk id="56" max="34" man="1"/>
    <brk id="78" max="34" man="1"/>
  </rowBreaks>
  <legacy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X65"/>
  <sheetViews>
    <sheetView showGridLines="0" view="pageBreakPreview" zoomScaleNormal="100" zoomScaleSheetLayoutView="100" workbookViewId="0">
      <selection activeCell="D31" sqref="D31"/>
    </sheetView>
  </sheetViews>
  <sheetFormatPr defaultColWidth="9.33203125" defaultRowHeight="15"/>
  <cols>
    <col min="1" max="1" width="4.5" style="2603" customWidth="1"/>
    <col min="2" max="2" width="37.33203125" style="2604" customWidth="1"/>
    <col min="3" max="16" width="9" style="2604" customWidth="1"/>
    <col min="17" max="17" width="4.5" style="2603" customWidth="1"/>
    <col min="18" max="16384" width="9.33203125" style="2604"/>
  </cols>
  <sheetData>
    <row r="1" spans="1:24" ht="15.75" thickBot="1">
      <c r="Q1" s="2605"/>
    </row>
    <row r="2" spans="1:24" ht="16.5" thickTop="1">
      <c r="B2" s="10" t="str">
        <f>'MASTER PubCo Inputs'!$C$5</f>
        <v>Kallyope, Inc.</v>
      </c>
      <c r="C2" s="10"/>
      <c r="D2" s="10"/>
      <c r="E2" s="10"/>
      <c r="F2" s="10"/>
      <c r="G2" s="10"/>
      <c r="H2" s="10"/>
      <c r="I2" s="10"/>
      <c r="J2" s="10"/>
      <c r="K2" s="10"/>
      <c r="L2" s="10"/>
      <c r="M2" s="10"/>
      <c r="N2" s="10"/>
      <c r="O2" s="10"/>
      <c r="P2" s="10"/>
      <c r="Q2" s="2605"/>
    </row>
    <row r="3" spans="1:24" ht="15.75">
      <c r="B3" s="11" t="str">
        <f>VLOOKUP(B4,Outline!$E$8:$G$69,COLUMNS(Outline!$E$8:$G$8),FALSE)</f>
        <v>Workpaper #14</v>
      </c>
      <c r="C3" s="11"/>
      <c r="D3" s="11"/>
      <c r="E3" s="11"/>
      <c r="F3" s="11"/>
      <c r="G3" s="11"/>
      <c r="H3" s="11"/>
      <c r="I3" s="11"/>
      <c r="J3" s="11"/>
      <c r="K3" s="11"/>
      <c r="L3" s="11"/>
      <c r="M3" s="11"/>
      <c r="N3" s="11"/>
      <c r="O3" s="11"/>
      <c r="P3" s="11"/>
      <c r="Q3" s="2605"/>
    </row>
    <row r="4" spans="1:24" ht="16.5" thickBot="1">
      <c r="A4" s="2606"/>
      <c r="B4" s="2607" t="s">
        <v>3173</v>
      </c>
      <c r="C4" s="12"/>
      <c r="D4" s="12"/>
      <c r="E4" s="12"/>
      <c r="F4" s="12"/>
      <c r="G4" s="13"/>
      <c r="H4" s="13"/>
      <c r="I4" s="13"/>
      <c r="J4" s="13"/>
      <c r="K4" s="13"/>
      <c r="L4" s="13"/>
      <c r="M4" s="13"/>
      <c r="N4" s="13"/>
      <c r="O4" s="13"/>
      <c r="P4" s="13" t="s">
        <v>88</v>
      </c>
      <c r="Q4" s="2605"/>
    </row>
    <row r="5" spans="1:24" s="2608" customFormat="1" ht="13.5" thickTop="1">
      <c r="A5" s="2606"/>
      <c r="Q5" s="2605"/>
    </row>
    <row r="6" spans="1:24" s="2612" customFormat="1" ht="11.25" customHeight="1">
      <c r="A6" s="2606"/>
      <c r="B6" s="2609" t="s">
        <v>2965</v>
      </c>
      <c r="C6" s="2610">
        <v>2012</v>
      </c>
      <c r="D6" s="2610">
        <f t="shared" ref="D6:O6" si="0">C6+1</f>
        <v>2013</v>
      </c>
      <c r="E6" s="2610">
        <f t="shared" si="0"/>
        <v>2014</v>
      </c>
      <c r="F6" s="2610">
        <f t="shared" si="0"/>
        <v>2015</v>
      </c>
      <c r="G6" s="2610">
        <f t="shared" si="0"/>
        <v>2016</v>
      </c>
      <c r="H6" s="2610">
        <f t="shared" si="0"/>
        <v>2017</v>
      </c>
      <c r="I6" s="2610">
        <f t="shared" si="0"/>
        <v>2018</v>
      </c>
      <c r="J6" s="2610">
        <f t="shared" si="0"/>
        <v>2019</v>
      </c>
      <c r="K6" s="2610">
        <f t="shared" si="0"/>
        <v>2020</v>
      </c>
      <c r="L6" s="2610">
        <f t="shared" si="0"/>
        <v>2021</v>
      </c>
      <c r="M6" s="2610">
        <f t="shared" si="0"/>
        <v>2022</v>
      </c>
      <c r="N6" s="2610">
        <f t="shared" si="0"/>
        <v>2023</v>
      </c>
      <c r="O6" s="2610">
        <f t="shared" si="0"/>
        <v>2024</v>
      </c>
      <c r="P6" s="2611" t="s">
        <v>2966</v>
      </c>
      <c r="Q6" s="2605"/>
    </row>
    <row r="7" spans="1:24" s="2616" customFormat="1" ht="12.75">
      <c r="A7" s="2606"/>
      <c r="B7" s="2613"/>
      <c r="C7" s="2614"/>
      <c r="D7" s="2614"/>
      <c r="E7" s="2614"/>
      <c r="F7" s="2614"/>
      <c r="G7" s="2614"/>
      <c r="H7" s="2614"/>
      <c r="I7" s="2614"/>
      <c r="J7" s="2614"/>
      <c r="K7" s="2614"/>
      <c r="L7" s="2614"/>
      <c r="M7" s="2614"/>
      <c r="N7" s="2614"/>
      <c r="O7" s="2614"/>
      <c r="P7" s="2615"/>
      <c r="Q7" s="2605"/>
      <c r="X7" s="2617"/>
    </row>
    <row r="8" spans="1:24" s="2616" customFormat="1" ht="12.75">
      <c r="A8" s="2606"/>
      <c r="B8" s="2618" t="s">
        <v>2967</v>
      </c>
      <c r="C8" s="2619"/>
      <c r="D8" s="2619"/>
      <c r="E8" s="2619"/>
      <c r="F8" s="2619"/>
      <c r="G8" s="2619"/>
      <c r="H8" s="2619"/>
      <c r="I8" s="2619"/>
      <c r="J8" s="2619"/>
      <c r="K8" s="2619"/>
      <c r="L8" s="2619"/>
      <c r="M8" s="2619"/>
      <c r="N8" s="2619"/>
      <c r="O8" s="2619"/>
      <c r="P8" s="2620"/>
      <c r="Q8" s="2605"/>
      <c r="X8" s="2617"/>
    </row>
    <row r="9" spans="1:24" s="2624" customFormat="1" ht="12.75">
      <c r="A9" s="2606"/>
      <c r="B9" s="2621"/>
      <c r="C9" s="2621"/>
      <c r="D9" s="2621"/>
      <c r="E9" s="2621"/>
      <c r="F9" s="2621"/>
      <c r="G9" s="2621"/>
      <c r="H9" s="2622"/>
      <c r="I9" s="2622"/>
      <c r="J9" s="2622"/>
      <c r="K9" s="2622"/>
      <c r="L9" s="2622"/>
      <c r="M9" s="2622"/>
      <c r="N9" s="2622"/>
      <c r="O9" s="2622"/>
      <c r="P9" s="2623"/>
      <c r="Q9" s="2605"/>
      <c r="X9" s="2625"/>
    </row>
    <row r="10" spans="1:24" s="2624" customFormat="1" ht="12.75">
      <c r="A10" s="2606"/>
      <c r="B10" s="2626" t="s">
        <v>204</v>
      </c>
      <c r="C10" s="2627"/>
      <c r="D10" s="2627"/>
      <c r="E10" s="2627"/>
      <c r="F10" s="2627"/>
      <c r="G10" s="2627"/>
      <c r="H10" s="2628"/>
      <c r="I10" s="2628"/>
      <c r="J10" s="2628"/>
      <c r="K10" s="2628"/>
      <c r="L10" s="2628"/>
      <c r="M10" s="2628"/>
      <c r="N10" s="2628"/>
      <c r="O10" s="2628"/>
      <c r="P10" s="2629"/>
      <c r="Q10" s="2605"/>
      <c r="R10" s="2630" t="s">
        <v>2968</v>
      </c>
      <c r="S10" s="2631"/>
      <c r="T10" s="2631"/>
      <c r="U10" s="2632"/>
      <c r="X10" s="2625"/>
    </row>
    <row r="11" spans="1:24" s="2624" customFormat="1" ht="12.75">
      <c r="A11" s="2606"/>
      <c r="B11" s="2633" t="s">
        <v>861</v>
      </c>
      <c r="C11" s="2621"/>
      <c r="D11" s="2621"/>
      <c r="E11" s="2621"/>
      <c r="F11" s="2621"/>
      <c r="G11" s="2621"/>
      <c r="H11" s="2622"/>
      <c r="I11" s="2622"/>
      <c r="J11" s="2622"/>
      <c r="K11" s="2622"/>
      <c r="L11" s="2622"/>
      <c r="M11" s="2622"/>
      <c r="N11" s="2622"/>
      <c r="O11" s="2622"/>
      <c r="P11" s="2634"/>
      <c r="Q11" s="2605"/>
      <c r="R11" s="2635"/>
      <c r="U11" s="2636"/>
      <c r="X11" s="2625"/>
    </row>
    <row r="12" spans="1:24" s="2624" customFormat="1" ht="12.75">
      <c r="A12" s="2606"/>
      <c r="B12" s="2637" t="str">
        <f>World!A29</f>
        <v>Lipase inhibitors</v>
      </c>
      <c r="C12" s="2638">
        <f>SUM(World!B30:B32)/1000000</f>
        <v>226.81579887278843</v>
      </c>
      <c r="D12" s="2638">
        <f>SUM(World!C30:C32)/1000000</f>
        <v>231.46838751417954</v>
      </c>
      <c r="E12" s="2638">
        <f>SUM(World!D30:D32)/1000000</f>
        <v>260.44480419718457</v>
      </c>
      <c r="F12" s="2638">
        <f>SUM(World!E30:E32)/1000000</f>
        <v>222.73445971079923</v>
      </c>
      <c r="G12" s="2638">
        <f>SUM(World!F30:F32)/1000000</f>
        <v>230.5157731251619</v>
      </c>
      <c r="H12" s="2638">
        <f>SUM(World!G30:G32)/1000000</f>
        <v>238.70899211666702</v>
      </c>
      <c r="I12" s="2638">
        <f>SUM(World!H30:H32)/1000000</f>
        <v>224.43227274996286</v>
      </c>
      <c r="J12" s="2638">
        <f>SUM(World!I30:I32)/1000000</f>
        <v>243.71110199353819</v>
      </c>
      <c r="K12" s="2638">
        <f>SUM(World!J30:J32)/1000000</f>
        <v>292.56408984857904</v>
      </c>
      <c r="L12" s="2638">
        <f>SUM(World!K30:K32)/1000000</f>
        <v>274.8175393104932</v>
      </c>
      <c r="M12" s="2638">
        <f>SUM(World!L30:L32)/1000000</f>
        <v>283.38472190653266</v>
      </c>
      <c r="N12" s="2638"/>
      <c r="O12" s="2638"/>
      <c r="P12" s="2634"/>
      <c r="Q12" s="2605"/>
      <c r="R12" s="2635">
        <v>1</v>
      </c>
      <c r="U12" s="2636"/>
      <c r="X12" s="2625"/>
    </row>
    <row r="13" spans="1:24" s="2624" customFormat="1" ht="12.75">
      <c r="A13" s="2606"/>
      <c r="B13" s="2637" t="str">
        <f>World!A34&amp;" - "&amp;World!A35</f>
        <v>GLP-1 analogs - Victoza</v>
      </c>
      <c r="C13" s="2638">
        <f>World!B35/1000000</f>
        <v>0</v>
      </c>
      <c r="D13" s="2638">
        <f>World!C35/1000000</f>
        <v>0</v>
      </c>
      <c r="E13" s="2638">
        <f>World!D35/1000000</f>
        <v>29.862963388950575</v>
      </c>
      <c r="F13" s="2638">
        <f>World!E35/1000000</f>
        <v>1728.2532113308205</v>
      </c>
      <c r="G13" s="2638">
        <f>World!F35/1000000</f>
        <v>2658.6231975310147</v>
      </c>
      <c r="H13" s="2638">
        <f>World!G35/1000000</f>
        <v>3138.9072012323609</v>
      </c>
      <c r="I13" s="2638">
        <f>World!H35/1000000</f>
        <v>3670.2124145012426</v>
      </c>
      <c r="J13" s="2638">
        <f>World!I35/1000000</f>
        <v>4255.572220026118</v>
      </c>
      <c r="K13" s="2638">
        <f>World!J35/1000000</f>
        <v>4896.0079253098311</v>
      </c>
      <c r="L13" s="2638">
        <f>World!K35/1000000</f>
        <v>5428.333627751972</v>
      </c>
      <c r="M13" s="2638">
        <f>World!L35/1000000</f>
        <v>6181.9520601912054</v>
      </c>
      <c r="N13" s="2638"/>
      <c r="O13" s="2638"/>
      <c r="P13" s="2634"/>
      <c r="Q13" s="2605"/>
      <c r="R13" s="2635">
        <v>1</v>
      </c>
      <c r="U13" s="2636"/>
      <c r="X13" s="2625"/>
    </row>
    <row r="14" spans="1:24" s="2624" customFormat="1" ht="12.75">
      <c r="A14" s="2606"/>
      <c r="B14" s="2637" t="str">
        <f>World!A37</f>
        <v xml:space="preserve">Anorexigants (Amphetamine-Like Analogs) </v>
      </c>
      <c r="C14" s="2638">
        <f>SUM(World!B38:B42)/1000000</f>
        <v>141.15377515965983</v>
      </c>
      <c r="D14" s="2638">
        <f>SUM(World!C38:C42)/1000000</f>
        <v>218.13676511063736</v>
      </c>
      <c r="E14" s="2638">
        <f>SUM(World!D38:D42)/1000000</f>
        <v>362.15159543157336</v>
      </c>
      <c r="F14" s="2638">
        <f>SUM(World!E38:E42)/1000000</f>
        <v>458.51210931316882</v>
      </c>
      <c r="G14" s="2638">
        <f>SUM(World!F38:F42)/1000000</f>
        <v>581.93538128003468</v>
      </c>
      <c r="H14" s="2638">
        <f>SUM(World!G38:G42)/1000000</f>
        <v>694.02787940243411</v>
      </c>
      <c r="I14" s="2638">
        <f>SUM(World!H38:H42)/1000000</f>
        <v>825.15508865044262</v>
      </c>
      <c r="J14" s="2638">
        <f>SUM(World!I38:I42)/1000000</f>
        <v>1013.7302898718169</v>
      </c>
      <c r="K14" s="2638">
        <f>SUM(World!J38:J42)/1000000</f>
        <v>1204.2438722125833</v>
      </c>
      <c r="L14" s="2638">
        <f>SUM(World!K38:K42)/1000000</f>
        <v>1323.7183038728435</v>
      </c>
      <c r="M14" s="2638">
        <f>SUM(World!L38:L42)/1000000</f>
        <v>1492.7664855798166</v>
      </c>
      <c r="N14" s="2638"/>
      <c r="O14" s="2638"/>
      <c r="P14" s="2634"/>
      <c r="Q14" s="2954"/>
      <c r="R14" s="2635">
        <v>1</v>
      </c>
      <c r="U14" s="2636"/>
      <c r="X14" s="2625"/>
    </row>
    <row r="15" spans="1:24" s="2624" customFormat="1" ht="12.75">
      <c r="A15" s="2606"/>
      <c r="B15" s="2637" t="str">
        <f>World!A44</f>
        <v>Combination Therapy</v>
      </c>
      <c r="C15" s="2638">
        <f>SUM(World!B45:B48)/1000000</f>
        <v>39.54278688113007</v>
      </c>
      <c r="D15" s="2638">
        <f>SUM(World!C45:C48)/1000000</f>
        <v>69.111668070257849</v>
      </c>
      <c r="E15" s="2638">
        <f>SUM(World!D45:D48)/1000000</f>
        <v>91.157041990509541</v>
      </c>
      <c r="F15" s="2638">
        <f>SUM(World!E45:E48)/1000000</f>
        <v>128.19909932010538</v>
      </c>
      <c r="G15" s="2638">
        <f>SUM(World!F45:F48)/1000000</f>
        <v>195.0651096544988</v>
      </c>
      <c r="H15" s="2638">
        <f>SUM(World!G45:G48)/1000000</f>
        <v>274.11999759300255</v>
      </c>
      <c r="I15" s="2638">
        <f>SUM(World!H45:H48)/1000000</f>
        <v>386.87342833173466</v>
      </c>
      <c r="J15" s="2638">
        <f>SUM(World!I45:I48)/1000000</f>
        <v>499.36279177651022</v>
      </c>
      <c r="K15" s="2638">
        <f>SUM(World!J45:J48)/1000000</f>
        <v>410.65769519154054</v>
      </c>
      <c r="L15" s="2638">
        <f>SUM(World!K45:K48)/1000000</f>
        <v>427.67996862482909</v>
      </c>
      <c r="M15" s="2638">
        <f>SUM(World!L45:L48)/1000000</f>
        <v>401.09067128008206</v>
      </c>
      <c r="N15" s="2638"/>
      <c r="O15" s="2638"/>
      <c r="P15" s="2634"/>
      <c r="Q15" s="2605"/>
      <c r="R15" s="2635">
        <v>1</v>
      </c>
      <c r="U15" s="2636"/>
      <c r="X15" s="2625"/>
    </row>
    <row r="16" spans="1:24" s="2624" customFormat="1" ht="12.75">
      <c r="A16" s="2606"/>
      <c r="B16" s="2637"/>
      <c r="C16" s="2638"/>
      <c r="D16" s="2638"/>
      <c r="E16" s="2638"/>
      <c r="F16" s="2638"/>
      <c r="G16" s="2638"/>
      <c r="H16" s="2638"/>
      <c r="I16" s="2638"/>
      <c r="J16" s="2638"/>
      <c r="K16" s="2638"/>
      <c r="L16" s="2638"/>
      <c r="M16" s="2638"/>
      <c r="N16" s="2638"/>
      <c r="O16" s="2638"/>
      <c r="P16" s="2634"/>
      <c r="Q16" s="2605"/>
      <c r="R16" s="2635"/>
      <c r="U16" s="2636"/>
      <c r="X16" s="2625"/>
    </row>
    <row r="17" spans="1:24" s="2624" customFormat="1" ht="12.75">
      <c r="A17" s="2606"/>
      <c r="B17" s="2637"/>
      <c r="C17" s="2621"/>
      <c r="D17" s="2621"/>
      <c r="E17" s="2621"/>
      <c r="F17" s="2621"/>
      <c r="G17" s="2621"/>
      <c r="H17" s="2621"/>
      <c r="I17" s="2621"/>
      <c r="J17" s="2621"/>
      <c r="K17" s="2621"/>
      <c r="L17" s="2621"/>
      <c r="M17" s="2621"/>
      <c r="N17" s="2621"/>
      <c r="O17" s="2621"/>
      <c r="P17" s="2634"/>
      <c r="Q17" s="2605"/>
      <c r="R17" s="2635"/>
      <c r="U17" s="2636"/>
      <c r="X17" s="2625"/>
    </row>
    <row r="18" spans="1:24" s="2616" customFormat="1" ht="12.75">
      <c r="A18" s="2606"/>
      <c r="B18" s="2639" t="s">
        <v>3172</v>
      </c>
      <c r="C18" s="2640">
        <f t="shared" ref="C18:I18" si="1">SUMPRODUCT(C12:C16,$R$12:$R$16)</f>
        <v>407.51236091357828</v>
      </c>
      <c r="D18" s="2640">
        <f t="shared" si="1"/>
        <v>518.71682069507483</v>
      </c>
      <c r="E18" s="2640">
        <f t="shared" si="1"/>
        <v>743.61640500821807</v>
      </c>
      <c r="F18" s="2640">
        <f t="shared" si="1"/>
        <v>2537.6988796748938</v>
      </c>
      <c r="G18" s="2640">
        <f t="shared" si="1"/>
        <v>3666.1394615907102</v>
      </c>
      <c r="H18" s="2640">
        <f t="shared" si="1"/>
        <v>4345.764070344464</v>
      </c>
      <c r="I18" s="2640">
        <f t="shared" si="1"/>
        <v>5106.6732042333824</v>
      </c>
      <c r="J18" s="2640">
        <f t="shared" ref="J18:M18" si="2">SUMPRODUCT(J12:J16,$R$12:$R$16)</f>
        <v>6012.3764036679841</v>
      </c>
      <c r="K18" s="2640">
        <f t="shared" si="2"/>
        <v>6803.4735825625339</v>
      </c>
      <c r="L18" s="2640">
        <f t="shared" si="2"/>
        <v>7454.5494395601372</v>
      </c>
      <c r="M18" s="2640">
        <f t="shared" si="2"/>
        <v>8359.1939389576364</v>
      </c>
      <c r="N18" s="2852"/>
      <c r="O18" s="2852"/>
      <c r="P18" s="2641">
        <f>(M18/C18)^(1/10)-1</f>
        <v>0.35270271429861344</v>
      </c>
      <c r="Q18" s="2605"/>
      <c r="R18" s="2642"/>
      <c r="S18" s="2643"/>
      <c r="T18" s="2643"/>
      <c r="U18" s="2644"/>
      <c r="X18" s="2617"/>
    </row>
    <row r="19" spans="1:24" s="2616" customFormat="1" ht="12.75">
      <c r="A19" s="2606"/>
      <c r="B19" s="2614"/>
      <c r="C19" s="2614"/>
      <c r="D19" s="2614"/>
      <c r="E19" s="2614"/>
      <c r="F19" s="2614"/>
      <c r="G19" s="2614"/>
      <c r="H19" s="2614"/>
      <c r="I19" s="2614"/>
      <c r="J19" s="2614"/>
      <c r="K19" s="2614"/>
      <c r="L19" s="2614"/>
      <c r="M19" s="2614"/>
      <c r="N19" s="2614"/>
      <c r="O19" s="2614"/>
      <c r="P19" s="2615"/>
      <c r="Q19" s="2605"/>
      <c r="X19" s="2617"/>
    </row>
    <row r="20" spans="1:24" s="2608" customFormat="1" ht="12.75">
      <c r="A20" s="2606"/>
      <c r="B20" s="2645" t="s">
        <v>43</v>
      </c>
      <c r="C20" s="2646">
        <f t="shared" ref="C20:M20" si="3">AVERAGEIFS(C12:C16,C12:C16,"&lt;&gt;0",$R12:$R16,"&lt;&gt;0")</f>
        <v>135.83745363785943</v>
      </c>
      <c r="D20" s="2646">
        <f t="shared" si="3"/>
        <v>172.90560689835829</v>
      </c>
      <c r="E20" s="2646">
        <f t="shared" si="3"/>
        <v>185.90410125205452</v>
      </c>
      <c r="F20" s="2646">
        <f t="shared" si="3"/>
        <v>634.42471991872344</v>
      </c>
      <c r="G20" s="2646">
        <f t="shared" si="3"/>
        <v>916.53486539767755</v>
      </c>
      <c r="H20" s="2646">
        <f>AVERAGEIFS(H12:H16,H12:H16,"&lt;&gt;0",$R12:$R16,"&lt;&gt;0")</f>
        <v>1086.441017586116</v>
      </c>
      <c r="I20" s="2646">
        <f t="shared" si="3"/>
        <v>1276.6683010583456</v>
      </c>
      <c r="J20" s="2646">
        <f t="shared" si="3"/>
        <v>1503.094100916996</v>
      </c>
      <c r="K20" s="2646">
        <f t="shared" si="3"/>
        <v>1700.8683956406335</v>
      </c>
      <c r="L20" s="2646">
        <f t="shared" si="3"/>
        <v>1863.6373598900343</v>
      </c>
      <c r="M20" s="2647">
        <f t="shared" si="3"/>
        <v>2089.7984847394091</v>
      </c>
      <c r="N20" s="136"/>
      <c r="O20" s="136"/>
      <c r="Q20" s="2605"/>
    </row>
    <row r="21" spans="1:24" s="2608" customFormat="1" ht="12.75">
      <c r="A21" s="2606"/>
      <c r="B21" s="2648" t="s">
        <v>2970</v>
      </c>
      <c r="C21" s="2649">
        <f>C20/C18</f>
        <v>0.33333333333333331</v>
      </c>
      <c r="D21" s="2649">
        <f t="shared" ref="D21:I21" si="4">D20/D18</f>
        <v>0.33333333333333337</v>
      </c>
      <c r="E21" s="2649">
        <f t="shared" si="4"/>
        <v>0.25</v>
      </c>
      <c r="F21" s="2649">
        <f t="shared" si="4"/>
        <v>0.25</v>
      </c>
      <c r="G21" s="2649">
        <f t="shared" si="4"/>
        <v>0.25</v>
      </c>
      <c r="H21" s="2649">
        <f t="shared" si="4"/>
        <v>0.25</v>
      </c>
      <c r="I21" s="2649">
        <f t="shared" si="4"/>
        <v>0.25</v>
      </c>
      <c r="J21" s="2649">
        <f t="shared" ref="J21:K21" si="5">J20/J18</f>
        <v>0.25</v>
      </c>
      <c r="K21" s="2649">
        <f t="shared" si="5"/>
        <v>0.25</v>
      </c>
      <c r="L21" s="2649">
        <f t="shared" ref="L21:M21" si="6">L20/L18</f>
        <v>0.25</v>
      </c>
      <c r="M21" s="2650">
        <f t="shared" si="6"/>
        <v>0.25</v>
      </c>
      <c r="N21" s="2651"/>
      <c r="O21" s="2651"/>
      <c r="Q21" s="2605"/>
    </row>
    <row r="22" spans="1:24" s="2608" customFormat="1" ht="12.75">
      <c r="A22" s="2606"/>
      <c r="B22" s="2648" t="s">
        <v>44</v>
      </c>
      <c r="C22" s="2652">
        <f t="array" ref="C22">MEDIAN(IF(C12:C16&lt;&gt;0,IF($R12:$R16=1,C12:C16,"")))</f>
        <v>141.15377515965983</v>
      </c>
      <c r="D22" s="2652">
        <f t="array" ref="D22">MEDIAN(IF(D12:D16&lt;&gt;0,IF($R12:$R16=1,D12:D16,"")))</f>
        <v>218.13676511063736</v>
      </c>
      <c r="E22" s="2652">
        <f t="array" ref="E22">MEDIAN(IF(E12:E16&lt;&gt;0,IF($R12:$R16=1,E12:E16,"")))</f>
        <v>175.80092309384708</v>
      </c>
      <c r="F22" s="2652">
        <f t="array" ref="F22">MEDIAN(IF(F12:F16&lt;&gt;0,IF($R12:$R16=1,F12:F16,"")))</f>
        <v>340.62328451198402</v>
      </c>
      <c r="G22" s="2652">
        <f t="array" ref="G22">MEDIAN(IF(G12:G16&lt;&gt;0,IF($R12:$R16=1,G12:G16,"")))</f>
        <v>406.22557720259829</v>
      </c>
      <c r="H22" s="2652">
        <f t="array" ref="H22">MEDIAN(IF(H12:H16&lt;&gt;0,IF($R12:$R16=1,H12:H16,"")))</f>
        <v>484.07393849771836</v>
      </c>
      <c r="I22" s="2652">
        <f t="array" ref="I22">MEDIAN(IF(I12:I16&lt;&gt;0,IF($R12:$R16=1,I12:I16,"")))</f>
        <v>606.01425849108864</v>
      </c>
      <c r="J22" s="2652">
        <f t="array" ref="J22">MEDIAN(IF(J12:J16&lt;&gt;0,IF($R12:$R16=1,J12:J16,"")))</f>
        <v>756.54654082416357</v>
      </c>
      <c r="K22" s="2652">
        <f t="array" ref="K22">MEDIAN(IF(K12:K16&lt;&gt;0,IF($R12:$R16=1,K12:K16,"")))</f>
        <v>807.45078370206193</v>
      </c>
      <c r="L22" s="2652">
        <f t="array" ref="L22">MEDIAN(IF(L12:L16&lt;&gt;0,IF($R12:$R16=1,L12:L16,"")))</f>
        <v>875.69913624883634</v>
      </c>
      <c r="M22" s="2653">
        <f t="array" ref="M22">MEDIAN(IF(M12:M16&lt;&gt;0,IF($R12:$R16=1,M12:M16,"")))</f>
        <v>946.92857842994931</v>
      </c>
      <c r="N22" s="136"/>
      <c r="O22" s="136"/>
      <c r="Q22" s="2605"/>
    </row>
    <row r="23" spans="1:24" s="2608" customFormat="1" ht="12.75">
      <c r="A23" s="2606"/>
      <c r="B23" s="2654" t="s">
        <v>2970</v>
      </c>
      <c r="C23" s="2655">
        <f>C22/C18</f>
        <v>0.34637912539196453</v>
      </c>
      <c r="D23" s="2655">
        <f t="shared" ref="D23:I23" si="7">D22/D18</f>
        <v>0.42053150468175776</v>
      </c>
      <c r="E23" s="2655">
        <f t="shared" si="7"/>
        <v>0.23641345445022049</v>
      </c>
      <c r="F23" s="2655">
        <f t="shared" si="7"/>
        <v>0.13422525707842117</v>
      </c>
      <c r="G23" s="2655">
        <f t="shared" si="7"/>
        <v>0.11080472564083529</v>
      </c>
      <c r="H23" s="2655">
        <f t="shared" si="7"/>
        <v>0.11138983402275415</v>
      </c>
      <c r="I23" s="2655">
        <f t="shared" si="7"/>
        <v>0.11867104752046963</v>
      </c>
      <c r="J23" s="2655">
        <f t="shared" ref="J23:K23" si="8">J22/J18</f>
        <v>0.12583153316259699</v>
      </c>
      <c r="K23" s="2655">
        <f t="shared" si="8"/>
        <v>0.1186821369853743</v>
      </c>
      <c r="L23" s="2655">
        <f t="shared" ref="L23:M23" si="9">L22/L18</f>
        <v>0.11747177255296436</v>
      </c>
      <c r="M23" s="2656">
        <f t="shared" si="9"/>
        <v>0.11327989102117042</v>
      </c>
      <c r="N23" s="2651"/>
      <c r="O23" s="2651"/>
      <c r="Q23" s="2605"/>
    </row>
    <row r="24" spans="1:24" s="2606" customFormat="1" ht="12.75">
      <c r="B24" s="2657"/>
      <c r="C24" s="2605"/>
      <c r="D24" s="2605"/>
      <c r="E24" s="2605"/>
      <c r="F24" s="2605"/>
      <c r="G24" s="2605"/>
      <c r="H24" s="2605"/>
      <c r="I24" s="2605"/>
      <c r="J24" s="2605"/>
      <c r="K24" s="2605"/>
      <c r="L24" s="2605"/>
      <c r="M24" s="2605"/>
      <c r="N24" s="2605"/>
      <c r="O24" s="2605"/>
      <c r="Q24" s="2605"/>
    </row>
    <row r="25" spans="1:24" s="2606" customFormat="1" ht="12.75">
      <c r="B25" s="2658" t="s">
        <v>3632</v>
      </c>
      <c r="C25" s="2659"/>
      <c r="D25" s="2659"/>
      <c r="E25" s="2659"/>
      <c r="F25" s="2659"/>
      <c r="G25" s="2659"/>
      <c r="H25" s="2659"/>
      <c r="I25" s="2659"/>
      <c r="J25" s="2659"/>
      <c r="K25" s="2659"/>
      <c r="L25" s="2659"/>
      <c r="M25" s="2659"/>
      <c r="N25" s="2659"/>
      <c r="O25" s="2659"/>
      <c r="P25" s="2660"/>
      <c r="Q25" s="2605"/>
    </row>
    <row r="26" spans="1:24" s="2606" customFormat="1" ht="12.75">
      <c r="B26" s="2657"/>
      <c r="C26" s="2605"/>
      <c r="D26" s="2605"/>
      <c r="E26" s="2605"/>
      <c r="F26" s="2605"/>
      <c r="G26" s="2605"/>
      <c r="H26" s="2605"/>
      <c r="I26" s="2605"/>
      <c r="J26" s="2605"/>
      <c r="K26" s="2605"/>
      <c r="L26" s="2605"/>
      <c r="M26" s="2605"/>
      <c r="N26" s="2605"/>
      <c r="O26" s="2605"/>
      <c r="Q26" s="2605"/>
    </row>
    <row r="27" spans="1:24" s="2606" customFormat="1" ht="12.75">
      <c r="B27" s="2609" t="s">
        <v>2965</v>
      </c>
      <c r="C27" s="2610">
        <f>C6</f>
        <v>2012</v>
      </c>
      <c r="D27" s="2610">
        <f t="shared" ref="D27" si="10">C27+1</f>
        <v>2013</v>
      </c>
      <c r="E27" s="2610">
        <f t="shared" ref="E27" si="11">D27+1</f>
        <v>2014</v>
      </c>
      <c r="F27" s="2610">
        <f t="shared" ref="F27" si="12">E27+1</f>
        <v>2015</v>
      </c>
      <c r="G27" s="2610">
        <f t="shared" ref="G27" si="13">F27+1</f>
        <v>2016</v>
      </c>
      <c r="H27" s="2610">
        <f t="shared" ref="H27" si="14">G27+1</f>
        <v>2017</v>
      </c>
      <c r="I27" s="2610">
        <f t="shared" ref="I27" si="15">H27+1</f>
        <v>2018</v>
      </c>
      <c r="J27" s="2610">
        <f t="shared" ref="J27" si="16">I27+1</f>
        <v>2019</v>
      </c>
      <c r="K27" s="2610">
        <f t="shared" ref="K27" si="17">J27+1</f>
        <v>2020</v>
      </c>
      <c r="L27" s="2610">
        <f t="shared" ref="L27" si="18">K27+1</f>
        <v>2021</v>
      </c>
      <c r="M27" s="2610">
        <f t="shared" ref="M27" si="19">L27+1</f>
        <v>2022</v>
      </c>
      <c r="N27" s="2610">
        <f t="shared" ref="N27" si="20">M27+1</f>
        <v>2023</v>
      </c>
      <c r="O27" s="2610">
        <f t="shared" ref="O27" si="21">N27+1</f>
        <v>2024</v>
      </c>
      <c r="P27" s="2611" t="s">
        <v>2966</v>
      </c>
      <c r="Q27" s="2605"/>
    </row>
    <row r="28" spans="1:24" s="2606" customFormat="1" ht="12.75">
      <c r="B28" s="2661" t="str">
        <f>B10</f>
        <v>Summary</v>
      </c>
      <c r="C28" s="2662"/>
      <c r="D28" s="2662"/>
      <c r="E28" s="2662"/>
      <c r="F28" s="2662"/>
      <c r="G28" s="2662"/>
      <c r="H28" s="2662"/>
      <c r="I28" s="2662"/>
      <c r="J28" s="2662"/>
      <c r="K28" s="2662"/>
      <c r="L28" s="2662"/>
      <c r="M28" s="2662"/>
      <c r="N28" s="2662"/>
      <c r="O28" s="2662"/>
      <c r="P28" s="2663"/>
      <c r="Q28" s="2605"/>
    </row>
    <row r="29" spans="1:24" s="2606" customFormat="1" ht="12.75">
      <c r="B29" s="2633" t="str">
        <f>B11</f>
        <v>Marketed</v>
      </c>
      <c r="C29" s="2605"/>
      <c r="D29" s="2605"/>
      <c r="E29" s="2605"/>
      <c r="F29" s="2605"/>
      <c r="G29" s="2605"/>
      <c r="H29" s="2605"/>
      <c r="I29" s="2605"/>
      <c r="J29" s="2605"/>
      <c r="K29" s="2605"/>
      <c r="L29" s="2605"/>
      <c r="M29" s="2605"/>
      <c r="N29" s="2605"/>
      <c r="O29" s="2605"/>
      <c r="P29" s="2664"/>
      <c r="Q29" s="2605"/>
      <c r="R29" s="2630" t="s">
        <v>2968</v>
      </c>
      <c r="S29" s="2665"/>
      <c r="T29" s="2665"/>
      <c r="U29" s="2666"/>
    </row>
    <row r="30" spans="1:24" s="2606" customFormat="1" ht="12.75">
      <c r="B30" s="2667" t="str">
        <f>'Sheet 1'!C8</f>
        <v>Saxenda</v>
      </c>
      <c r="C30" s="2953"/>
      <c r="D30" s="2953"/>
      <c r="E30" s="2953"/>
      <c r="F30" s="2953"/>
      <c r="G30" s="2953"/>
      <c r="H30" s="2638">
        <f>'Sheet 1'!I8</f>
        <v>389.27607491610001</v>
      </c>
      <c r="I30" s="2638">
        <f>'Sheet 1'!J8</f>
        <v>539.70361111267096</v>
      </c>
      <c r="J30" s="2638">
        <f>'Sheet 1'!K8</f>
        <v>647.72400209444504</v>
      </c>
      <c r="K30" s="2638">
        <f>'Sheet 1'!L8</f>
        <v>744.31783630379402</v>
      </c>
      <c r="L30" s="2638">
        <f>'Sheet 1'!M8</f>
        <v>852.43999684455196</v>
      </c>
      <c r="M30" s="2638">
        <f>'Sheet 1'!N8</f>
        <v>953.96929054813199</v>
      </c>
      <c r="N30" s="2638">
        <f>'Sheet 1'!O8</f>
        <v>976.00232643677202</v>
      </c>
      <c r="O30" s="2638">
        <f>'Sheet 1'!P8</f>
        <v>1042.9551774579199</v>
      </c>
      <c r="P30" s="2664"/>
      <c r="Q30" s="2605"/>
      <c r="R30" s="2668">
        <v>1</v>
      </c>
      <c r="U30" s="2664"/>
    </row>
    <row r="31" spans="1:24" s="2606" customFormat="1" ht="12.75">
      <c r="B31" s="2667" t="str">
        <f>'Sheet 1'!C9</f>
        <v>Contrave</v>
      </c>
      <c r="C31" s="2953"/>
      <c r="D31" s="2953"/>
      <c r="E31" s="2953"/>
      <c r="F31" s="2953"/>
      <c r="G31" s="2953"/>
      <c r="H31" s="2638">
        <f>'Sheet 1'!I9</f>
        <v>84.087599999999995</v>
      </c>
      <c r="I31" s="2638">
        <f>'Sheet 1'!J9</f>
        <v>153.27505381642999</v>
      </c>
      <c r="J31" s="2638">
        <f>'Sheet 1'!K9</f>
        <v>204.17952186593399</v>
      </c>
      <c r="K31" s="2638">
        <f>'Sheet 1'!L9</f>
        <v>225.911253723698</v>
      </c>
      <c r="L31" s="2638">
        <f>'Sheet 1'!M9</f>
        <v>240.84212696038401</v>
      </c>
      <c r="M31" s="2638">
        <f>'Sheet 1'!N9</f>
        <v>258.167816793562</v>
      </c>
      <c r="N31" s="2638">
        <f>'Sheet 1'!O9</f>
        <v>277.36595694713299</v>
      </c>
      <c r="O31" s="2638">
        <f>'Sheet 1'!P9</f>
        <v>296.07155955633499</v>
      </c>
      <c r="P31" s="2664"/>
      <c r="Q31" s="2605"/>
      <c r="R31" s="2668">
        <v>1</v>
      </c>
      <c r="U31" s="2664"/>
    </row>
    <row r="32" spans="1:24" s="2606" customFormat="1" ht="12.75">
      <c r="B32" s="2667" t="str">
        <f>'Sheet 1'!C10</f>
        <v>Alli</v>
      </c>
      <c r="C32" s="2953"/>
      <c r="D32" s="2953"/>
      <c r="E32" s="2953"/>
      <c r="F32" s="2953"/>
      <c r="G32" s="2953"/>
      <c r="H32" s="2638">
        <f>'Sheet 1'!I10</f>
        <v>175.23962610600199</v>
      </c>
      <c r="I32" s="2638">
        <f>'Sheet 1'!J10</f>
        <v>190.102601054015</v>
      </c>
      <c r="J32" s="2638">
        <f>'Sheet 1'!K10</f>
        <v>191.33766836971699</v>
      </c>
      <c r="K32" s="2638">
        <f>'Sheet 1'!L10</f>
        <v>191.33766836971699</v>
      </c>
      <c r="L32" s="2638">
        <f>'Sheet 1'!M10</f>
        <v>191.33766836971699</v>
      </c>
      <c r="M32" s="2638">
        <f>'Sheet 1'!N10</f>
        <v>191.33766836971699</v>
      </c>
      <c r="N32" s="2638">
        <f>'Sheet 1'!O10</f>
        <v>191.33766836971699</v>
      </c>
      <c r="O32" s="2638">
        <f>'Sheet 1'!P10</f>
        <v>191.33766836971699</v>
      </c>
      <c r="P32" s="2664"/>
      <c r="Q32" s="2605"/>
      <c r="R32" s="2668">
        <v>1</v>
      </c>
      <c r="U32" s="2664"/>
    </row>
    <row r="33" spans="2:21" s="2606" customFormat="1" ht="12.75">
      <c r="B33" s="2667" t="str">
        <f>'Sheet 1'!C11</f>
        <v>Qsymia</v>
      </c>
      <c r="C33" s="2953"/>
      <c r="D33" s="2953"/>
      <c r="E33" s="2953"/>
      <c r="F33" s="2953"/>
      <c r="G33" s="2953"/>
      <c r="H33" s="2638">
        <f>'Sheet 1'!I11</f>
        <v>44.982999999999997</v>
      </c>
      <c r="I33" s="2638">
        <f>'Sheet 1'!J11</f>
        <v>64.3674281098546</v>
      </c>
      <c r="J33" s="2638">
        <f>'Sheet 1'!K11</f>
        <v>72.355967689822293</v>
      </c>
      <c r="K33" s="2638">
        <f>'Sheet 1'!L11</f>
        <v>80.895441033925707</v>
      </c>
      <c r="L33" s="2638">
        <f>'Sheet 1'!M11</f>
        <v>83.925576736672099</v>
      </c>
      <c r="M33" s="2638">
        <f>'Sheet 1'!N11</f>
        <v>87.139357027463703</v>
      </c>
      <c r="N33" s="2638">
        <f>'Sheet 1'!O11</f>
        <v>90.444959612277898</v>
      </c>
      <c r="O33" s="2638">
        <f>'Sheet 1'!P11</f>
        <v>93.8423844911147</v>
      </c>
      <c r="P33" s="2664"/>
      <c r="Q33" s="2954"/>
      <c r="R33" s="2668">
        <v>1</v>
      </c>
      <c r="U33" s="2664"/>
    </row>
    <row r="34" spans="2:21" s="2606" customFormat="1" ht="12.75">
      <c r="B34" s="2667" t="str">
        <f>'Sheet 1'!C12</f>
        <v>Kybella</v>
      </c>
      <c r="C34" s="2953"/>
      <c r="D34" s="2953"/>
      <c r="E34" s="2953"/>
      <c r="F34" s="2953"/>
      <c r="G34" s="2953"/>
      <c r="H34" s="2638">
        <f>'Sheet 1'!I12</f>
        <v>56.3</v>
      </c>
      <c r="I34" s="2638">
        <f>'Sheet 1'!J12</f>
        <v>46.253599999999999</v>
      </c>
      <c r="J34" s="2638">
        <f>'Sheet 1'!K12</f>
        <v>50.474407999999997</v>
      </c>
      <c r="K34" s="2638">
        <f>'Sheet 1'!L12</f>
        <v>54.396128400000002</v>
      </c>
      <c r="L34" s="2638">
        <f>'Sheet 1'!M12</f>
        <v>58.035334820000003</v>
      </c>
      <c r="M34" s="2638">
        <f>'Sheet 1'!N12</f>
        <v>61.255256561000003</v>
      </c>
      <c r="N34" s="2638">
        <f>'Sheet 1'!O12</f>
        <v>64.347019389050004</v>
      </c>
      <c r="O34" s="2638">
        <f>'Sheet 1'!P12</f>
        <v>67.378782217099996</v>
      </c>
      <c r="P34" s="2664"/>
      <c r="Q34" s="2605"/>
      <c r="R34" s="2668">
        <v>1</v>
      </c>
      <c r="U34" s="2664"/>
    </row>
    <row r="35" spans="2:21" s="2606" customFormat="1" ht="12.75">
      <c r="B35" s="2667" t="str">
        <f>'Sheet 1'!C13</f>
        <v>Belviq</v>
      </c>
      <c r="C35" s="2953"/>
      <c r="D35" s="2953"/>
      <c r="E35" s="2953"/>
      <c r="F35" s="2953"/>
      <c r="G35" s="2953"/>
      <c r="H35" s="2638">
        <f>'Sheet 1'!I13</f>
        <v>43.318537254369701</v>
      </c>
      <c r="I35" s="2638">
        <f>'Sheet 1'!J13</f>
        <v>32.654211773485798</v>
      </c>
      <c r="J35" s="2638">
        <f>'Sheet 1'!K13</f>
        <v>36.757874198643499</v>
      </c>
      <c r="K35" s="2638">
        <f>'Sheet 1'!L13</f>
        <v>47.152280962556901</v>
      </c>
      <c r="L35" s="2638">
        <f>'Sheet 1'!M13</f>
        <v>51.681687261915798</v>
      </c>
      <c r="M35" s="2638">
        <f>'Sheet 1'!N13</f>
        <v>56.211093561274701</v>
      </c>
      <c r="N35" s="2638">
        <f>'Sheet 1'!O13</f>
        <v>60.740499860633697</v>
      </c>
      <c r="O35" s="2638">
        <f>'Sheet 1'!P13</f>
        <v>65.269906159992601</v>
      </c>
      <c r="P35" s="2664"/>
      <c r="Q35" s="2605"/>
      <c r="R35" s="2668">
        <v>1</v>
      </c>
      <c r="U35" s="2664"/>
    </row>
    <row r="36" spans="2:21" s="2606" customFormat="1" ht="12.75">
      <c r="B36" s="2667" t="str">
        <f>'Sheet 1'!C14</f>
        <v>XLS-Medical</v>
      </c>
      <c r="C36" s="2953"/>
      <c r="D36" s="2953"/>
      <c r="E36" s="2953"/>
      <c r="F36" s="2953"/>
      <c r="G36" s="2953"/>
      <c r="H36" s="2638">
        <f>'Sheet 1'!I14</f>
        <v>41.3807835514624</v>
      </c>
      <c r="I36" s="2638">
        <f>'Sheet 1'!J14</f>
        <v>42.918371301571199</v>
      </c>
      <c r="J36" s="2638">
        <f>'Sheet 1'!K14</f>
        <v>45.045271709922297</v>
      </c>
      <c r="K36" s="2638">
        <f>'Sheet 1'!L14</f>
        <v>47.297535295418399</v>
      </c>
      <c r="L36" s="2638">
        <f>'Sheet 1'!M14</f>
        <v>49.662412060189297</v>
      </c>
      <c r="M36" s="2638">
        <f>'Sheet 1'!N14</f>
        <v>52.1455326631988</v>
      </c>
      <c r="N36" s="2638">
        <f>'Sheet 1'!O14</f>
        <v>54.752809296358699</v>
      </c>
      <c r="O36" s="2638">
        <f>'Sheet 1'!P14</f>
        <v>57.490449761176599</v>
      </c>
      <c r="P36" s="2664"/>
      <c r="Q36" s="2605"/>
      <c r="R36" s="2668">
        <v>1</v>
      </c>
      <c r="U36" s="2664"/>
    </row>
    <row r="37" spans="2:21" s="2606" customFormat="1" ht="12.75">
      <c r="B37" s="2667" t="str">
        <f>'Sheet 1'!C15</f>
        <v>Sibutramine Hydrochloride</v>
      </c>
      <c r="C37" s="2953"/>
      <c r="D37" s="2953"/>
      <c r="E37" s="2953"/>
      <c r="F37" s="2953"/>
      <c r="G37" s="2953"/>
      <c r="H37" s="2638">
        <f>'Sheet 1'!I15</f>
        <v>17.845056572846602</v>
      </c>
      <c r="I37" s="2638">
        <f>'Sheet 1'!J15</f>
        <v>19.629562230131199</v>
      </c>
      <c r="J37" s="2638">
        <f>'Sheet 1'!K15</f>
        <v>21.592518453144301</v>
      </c>
      <c r="K37" s="2638">
        <f>'Sheet 1'!L15</f>
        <v>23.751770298458801</v>
      </c>
      <c r="L37" s="2638">
        <f>'Sheet 1'!M15</f>
        <v>26.126947328304698</v>
      </c>
      <c r="M37" s="2638">
        <f>'Sheet 1'!N15</f>
        <v>28.7396420611351</v>
      </c>
      <c r="N37" s="2638">
        <f>'Sheet 1'!O15</f>
        <v>31.613606267248599</v>
      </c>
      <c r="O37" s="2638">
        <f>'Sheet 1'!P15</f>
        <v>34.774966893973499</v>
      </c>
      <c r="P37" s="2664"/>
      <c r="Q37" s="2605"/>
      <c r="R37" s="2668">
        <v>1</v>
      </c>
      <c r="U37" s="2664"/>
    </row>
    <row r="38" spans="2:21" s="2606" customFormat="1" ht="12.75">
      <c r="B38" s="2667" t="str">
        <f>'Sheet 1'!C16</f>
        <v>Meridia</v>
      </c>
      <c r="C38" s="2953"/>
      <c r="D38" s="2953"/>
      <c r="E38" s="2953"/>
      <c r="F38" s="2953"/>
      <c r="G38" s="2953"/>
      <c r="H38" s="2638">
        <f>'Sheet 1'!I16</f>
        <v>35.784378784666202</v>
      </c>
      <c r="I38" s="2638">
        <f>'Sheet 1'!J16</f>
        <v>35.054085340081201</v>
      </c>
      <c r="J38" s="2638">
        <f>'Sheet 1'!K16</f>
        <v>34.3237918954961</v>
      </c>
      <c r="K38" s="2638">
        <f>'Sheet 1'!L16</f>
        <v>33.593498450911099</v>
      </c>
      <c r="L38" s="2638">
        <f>'Sheet 1'!M16</f>
        <v>32.863205006326098</v>
      </c>
      <c r="M38" s="2638">
        <f>'Sheet 1'!N16</f>
        <v>32.132911561741103</v>
      </c>
      <c r="N38" s="2638">
        <f>'Sheet 1'!O16</f>
        <v>31.402618117156099</v>
      </c>
      <c r="O38" s="2638">
        <f>'Sheet 1'!P16</f>
        <v>30.672324672571001</v>
      </c>
      <c r="P38" s="2664"/>
      <c r="Q38" s="2605"/>
      <c r="R38" s="2668">
        <v>1</v>
      </c>
      <c r="U38" s="2664"/>
    </row>
    <row r="39" spans="2:21" s="2606" customFormat="1" ht="12.75">
      <c r="B39" s="2667" t="str">
        <f>'Sheet 1'!C17</f>
        <v>Cametor</v>
      </c>
      <c r="C39" s="2953"/>
      <c r="D39" s="2953"/>
      <c r="E39" s="2953"/>
      <c r="F39" s="2953"/>
      <c r="G39" s="2953"/>
      <c r="H39" s="2638">
        <f>'Sheet 1'!I17</f>
        <v>19.403094811853101</v>
      </c>
      <c r="I39" s="2638">
        <f>'Sheet 1'!J17</f>
        <v>20.8727205938475</v>
      </c>
      <c r="J39" s="2638">
        <f>'Sheet 1'!K17</f>
        <v>22.298615627613099</v>
      </c>
      <c r="K39" s="2638">
        <f>'Sheet 1'!L17</f>
        <v>22.298615627613099</v>
      </c>
      <c r="L39" s="2638">
        <f>'Sheet 1'!M17</f>
        <v>23.692279104338901</v>
      </c>
      <c r="M39" s="2638">
        <f>'Sheet 1'!N17</f>
        <v>25.085942581064799</v>
      </c>
      <c r="N39" s="2638">
        <f>'Sheet 1'!O17</f>
        <v>26.479606057790601</v>
      </c>
      <c r="O39" s="2638">
        <f>'Sheet 1'!P17</f>
        <v>27.8732695345164</v>
      </c>
      <c r="P39" s="2664"/>
      <c r="Q39" s="2605"/>
      <c r="R39" s="2668">
        <v>1</v>
      </c>
      <c r="U39" s="2664"/>
    </row>
    <row r="40" spans="2:21" s="2606" customFormat="1" ht="12.75">
      <c r="B40" s="2667" t="str">
        <f>'Sheet 1'!C19</f>
        <v>Tenuate</v>
      </c>
      <c r="C40" s="2953"/>
      <c r="D40" s="2953"/>
      <c r="E40" s="2953"/>
      <c r="F40" s="2953"/>
      <c r="G40" s="2953"/>
      <c r="H40" s="2638">
        <f>'Sheet 1'!I19</f>
        <v>3.1</v>
      </c>
      <c r="I40" s="2638">
        <f>'Sheet 1'!J19</f>
        <v>2.7</v>
      </c>
      <c r="J40" s="2638">
        <f>'Sheet 1'!K19</f>
        <v>2.2999999999999998</v>
      </c>
      <c r="K40" s="2638">
        <f>'Sheet 1'!L19</f>
        <v>1.9</v>
      </c>
      <c r="L40" s="2638">
        <f>'Sheet 1'!M19</f>
        <v>1.5</v>
      </c>
      <c r="M40" s="2638">
        <f>'Sheet 1'!N19</f>
        <v>1.1000000000000001</v>
      </c>
      <c r="N40" s="2638">
        <f>'Sheet 1'!O19</f>
        <v>0.70000000000000095</v>
      </c>
      <c r="O40" s="2638">
        <f>'Sheet 1'!P19</f>
        <v>0.30000000000000099</v>
      </c>
      <c r="P40" s="2664"/>
      <c r="Q40" s="2605"/>
      <c r="R40" s="2668">
        <v>1</v>
      </c>
      <c r="U40" s="2664"/>
    </row>
    <row r="41" spans="2:21" s="2606" customFormat="1" ht="12.75">
      <c r="B41" s="2670"/>
      <c r="C41" s="2605"/>
      <c r="D41" s="2605"/>
      <c r="E41" s="2605"/>
      <c r="F41" s="2605"/>
      <c r="G41" s="2605"/>
      <c r="H41" s="2605"/>
      <c r="I41" s="2605"/>
      <c r="J41" s="1011"/>
      <c r="K41" s="1011"/>
      <c r="L41" s="1011"/>
      <c r="M41" s="1011"/>
      <c r="N41" s="2605"/>
      <c r="O41" s="2605"/>
      <c r="P41" s="2664"/>
      <c r="Q41" s="2605"/>
      <c r="R41" s="2668"/>
      <c r="U41" s="2664"/>
    </row>
    <row r="42" spans="2:21" s="2606" customFormat="1" ht="12.75">
      <c r="B42" s="2633" t="s">
        <v>2969</v>
      </c>
      <c r="C42" s="2605"/>
      <c r="D42" s="2605"/>
      <c r="E42" s="2605"/>
      <c r="F42" s="2605"/>
      <c r="G42" s="2605"/>
      <c r="H42" s="2605"/>
      <c r="I42" s="2605"/>
      <c r="J42" s="1011"/>
      <c r="K42" s="1011"/>
      <c r="L42" s="1011"/>
      <c r="M42" s="1011"/>
      <c r="N42" s="2605"/>
      <c r="O42" s="2605"/>
      <c r="P42" s="2664"/>
      <c r="Q42" s="2605"/>
      <c r="R42" s="2668"/>
      <c r="U42" s="2664"/>
    </row>
    <row r="43" spans="2:21" s="2606" customFormat="1" ht="12.75">
      <c r="B43" s="2667" t="str">
        <f>'Sheet 1'!C21</f>
        <v>Ozempic</v>
      </c>
      <c r="C43" s="2669"/>
      <c r="D43" s="2669"/>
      <c r="E43" s="2669"/>
      <c r="F43" s="2669"/>
      <c r="G43" s="2669"/>
      <c r="H43" s="2887">
        <f>'Sheet 1'!I21</f>
        <v>0</v>
      </c>
      <c r="I43" s="2887">
        <f>'Sheet 1'!J21</f>
        <v>0</v>
      </c>
      <c r="J43" s="2887">
        <f>'Sheet 1'!K21</f>
        <v>0</v>
      </c>
      <c r="K43" s="2887">
        <f>'Sheet 1'!L21</f>
        <v>0</v>
      </c>
      <c r="L43" s="2887">
        <f>'Sheet 1'!M21</f>
        <v>0</v>
      </c>
      <c r="M43" s="2887">
        <f>'Sheet 1'!N21</f>
        <v>63.982403158359901</v>
      </c>
      <c r="N43" s="2887">
        <f>'Sheet 1'!O21</f>
        <v>126.519325717923</v>
      </c>
      <c r="O43" s="2887">
        <f>'Sheet 1'!P21</f>
        <v>187.724368497988</v>
      </c>
      <c r="P43" s="2664"/>
      <c r="Q43" s="2954" t="s">
        <v>246</v>
      </c>
      <c r="R43" s="2668">
        <v>1</v>
      </c>
      <c r="U43" s="2664"/>
    </row>
    <row r="44" spans="2:21" s="2606" customFormat="1" ht="12.75">
      <c r="B44" s="2667" t="str">
        <f>'Sheet 1'!C22</f>
        <v>Setmelanotide</v>
      </c>
      <c r="C44" s="2669"/>
      <c r="D44" s="2669"/>
      <c r="E44" s="2669"/>
      <c r="F44" s="2669"/>
      <c r="G44" s="2669"/>
      <c r="H44" s="2887">
        <f>'Sheet 1'!I22</f>
        <v>0</v>
      </c>
      <c r="I44" s="2887">
        <f>'Sheet 1'!J22</f>
        <v>0</v>
      </c>
      <c r="J44" s="2887">
        <f>'Sheet 1'!K22</f>
        <v>0.32109885736448501</v>
      </c>
      <c r="K44" s="2887">
        <f>'Sheet 1'!L22</f>
        <v>9.1271334779744109</v>
      </c>
      <c r="L44" s="2887">
        <f>'Sheet 1'!M22</f>
        <v>44.980863187672298</v>
      </c>
      <c r="M44" s="2887">
        <f>'Sheet 1'!N22</f>
        <v>122.894502103604</v>
      </c>
      <c r="N44" s="2887">
        <f>'Sheet 1'!O22</f>
        <v>225.02063405880199</v>
      </c>
      <c r="O44" s="2887">
        <f>'Sheet 1'!P22</f>
        <v>347.42406521825598</v>
      </c>
      <c r="P44" s="2664"/>
      <c r="Q44" s="2954" t="s">
        <v>246</v>
      </c>
      <c r="R44" s="2668">
        <v>1</v>
      </c>
      <c r="U44" s="2664"/>
    </row>
    <row r="45" spans="2:21" s="2606" customFormat="1" ht="12.75">
      <c r="B45" s="2667"/>
      <c r="C45" s="2605"/>
      <c r="D45" s="2605"/>
      <c r="E45" s="2605"/>
      <c r="F45" s="2605"/>
      <c r="G45" s="2605"/>
      <c r="H45" s="2605"/>
      <c r="I45" s="2605"/>
      <c r="J45" s="1011"/>
      <c r="K45" s="1011"/>
      <c r="L45" s="1011"/>
      <c r="M45" s="1011"/>
      <c r="N45" s="2671"/>
      <c r="O45" s="2671"/>
      <c r="P45" s="2664"/>
      <c r="Q45" s="2605"/>
      <c r="R45" s="2668"/>
      <c r="U45" s="2664"/>
    </row>
    <row r="46" spans="2:21" s="2606" customFormat="1" ht="12.75">
      <c r="B46" s="2672" t="str">
        <f>B18</f>
        <v>Total Obesity Drug Sales</v>
      </c>
      <c r="C46" s="2852"/>
      <c r="D46" s="2852"/>
      <c r="E46" s="2852"/>
      <c r="F46" s="2852"/>
      <c r="G46" s="2852"/>
      <c r="H46" s="2640">
        <f t="shared" ref="H46:O46" si="22">SUMPRODUCT(H30:H44,$R$30:$R$44)</f>
        <v>910.71815199729986</v>
      </c>
      <c r="I46" s="2640">
        <f t="shared" si="22"/>
        <v>1147.5312453320873</v>
      </c>
      <c r="J46" s="2640">
        <f t="shared" si="22"/>
        <v>1328.710738762102</v>
      </c>
      <c r="K46" s="2640">
        <f t="shared" si="22"/>
        <v>1481.9791619440673</v>
      </c>
      <c r="L46" s="2640">
        <f>SUMPRODUCT(L30:L44,$R$30:$R$44)</f>
        <v>1657.0880976800722</v>
      </c>
      <c r="M46" s="2640">
        <f t="shared" si="22"/>
        <v>1934.161416990253</v>
      </c>
      <c r="N46" s="2640">
        <f t="shared" si="22"/>
        <v>2156.7270301308627</v>
      </c>
      <c r="O46" s="2640">
        <f t="shared" si="22"/>
        <v>2443.1149228306608</v>
      </c>
      <c r="P46" s="2641">
        <f>(O46/H46)^(1/7)-1</f>
        <v>0.15139103436672396</v>
      </c>
      <c r="Q46" s="2605"/>
      <c r="R46" s="2673"/>
      <c r="S46" s="2674"/>
      <c r="T46" s="2674"/>
      <c r="U46" s="2675"/>
    </row>
    <row r="47" spans="2:21" s="2606" customFormat="1" ht="12.75">
      <c r="B47" s="2657"/>
      <c r="C47" s="2605"/>
      <c r="D47" s="2605"/>
      <c r="E47" s="2605"/>
      <c r="F47" s="2605"/>
      <c r="G47" s="2676"/>
      <c r="H47" s="2676"/>
      <c r="I47" s="2676"/>
      <c r="J47" s="2676"/>
      <c r="K47" s="2676"/>
      <c r="L47" s="2676"/>
      <c r="M47" s="2676"/>
      <c r="N47" s="2676"/>
      <c r="O47" s="2676"/>
      <c r="Q47" s="2605"/>
      <c r="R47" s="2677">
        <f>COUNTIF(G47:M47,"Check")</f>
        <v>0</v>
      </c>
      <c r="S47" s="2678" t="s">
        <v>579</v>
      </c>
    </row>
    <row r="48" spans="2:21" s="2606" customFormat="1" ht="12.75">
      <c r="B48" s="2657"/>
      <c r="C48" s="2605"/>
      <c r="D48" s="2605"/>
      <c r="E48" s="2605"/>
      <c r="F48" s="2605"/>
      <c r="G48" s="2676"/>
      <c r="H48" s="2676"/>
      <c r="I48" s="2676"/>
      <c r="J48" s="2676"/>
      <c r="K48" s="2676"/>
      <c r="L48" s="2676"/>
      <c r="M48" s="2676"/>
      <c r="N48" s="2676"/>
      <c r="O48" s="2676"/>
      <c r="Q48" s="2605"/>
      <c r="R48" s="2679"/>
      <c r="S48" s="2679"/>
    </row>
    <row r="49" spans="1:17" s="2606" customFormat="1" ht="12.75">
      <c r="B49" s="2645" t="s">
        <v>43</v>
      </c>
      <c r="C49" s="2646"/>
      <c r="D49" s="2646"/>
      <c r="E49" s="2646"/>
      <c r="F49" s="2646"/>
      <c r="G49" s="2646"/>
      <c r="H49" s="2646">
        <f t="shared" ref="H49:O49" si="23">AVERAGEIFS(H30:H44,H30:H44,"&lt;&gt;0",$R30:$R44,"&lt;&gt;0")</f>
        <v>82.79255927248181</v>
      </c>
      <c r="I49" s="2646">
        <f t="shared" si="23"/>
        <v>104.32102230291703</v>
      </c>
      <c r="J49" s="2646">
        <f t="shared" si="23"/>
        <v>110.72589489684184</v>
      </c>
      <c r="K49" s="2646">
        <f t="shared" si="23"/>
        <v>123.49826349533895</v>
      </c>
      <c r="L49" s="2646">
        <f t="shared" si="23"/>
        <v>138.09067480667269</v>
      </c>
      <c r="M49" s="2646">
        <f t="shared" si="23"/>
        <v>148.78164746078869</v>
      </c>
      <c r="N49" s="2646">
        <f t="shared" si="23"/>
        <v>165.90207924083558</v>
      </c>
      <c r="O49" s="2647">
        <f t="shared" si="23"/>
        <v>187.93191714082008</v>
      </c>
      <c r="Q49" s="2605"/>
    </row>
    <row r="50" spans="1:17" s="2606" customFormat="1" ht="12.75">
      <c r="B50" s="2648" t="s">
        <v>2970</v>
      </c>
      <c r="C50" s="2649"/>
      <c r="D50" s="2649"/>
      <c r="E50" s="2649"/>
      <c r="F50" s="2649"/>
      <c r="G50" s="2649"/>
      <c r="H50" s="2649">
        <f t="shared" ref="H50:O50" si="24">H49/H46</f>
        <v>9.0909090909090912E-2</v>
      </c>
      <c r="I50" s="2649">
        <f t="shared" si="24"/>
        <v>9.0909090909090912E-2</v>
      </c>
      <c r="J50" s="2649">
        <f t="shared" si="24"/>
        <v>8.3333333333333343E-2</v>
      </c>
      <c r="K50" s="2649">
        <f t="shared" si="24"/>
        <v>8.3333333333333343E-2</v>
      </c>
      <c r="L50" s="2649">
        <f t="shared" si="24"/>
        <v>8.3333333333333343E-2</v>
      </c>
      <c r="M50" s="2649">
        <f t="shared" si="24"/>
        <v>7.6923076923076927E-2</v>
      </c>
      <c r="N50" s="2649">
        <f t="shared" si="24"/>
        <v>7.6923076923076913E-2</v>
      </c>
      <c r="O50" s="2650">
        <f t="shared" si="24"/>
        <v>7.6923076923076927E-2</v>
      </c>
      <c r="Q50" s="2605"/>
    </row>
    <row r="51" spans="1:17" s="2606" customFormat="1" ht="12.75">
      <c r="B51" s="2648" t="s">
        <v>44</v>
      </c>
      <c r="C51" s="2652"/>
      <c r="D51" s="2652"/>
      <c r="E51" s="2652"/>
      <c r="F51" s="2652"/>
      <c r="G51" s="2652"/>
      <c r="H51" s="2652">
        <f t="array" ref="H51">MEDIAN(IF(H30:H44&lt;&gt;0,IF($R30:$R44=1,H30:H44,"")))</f>
        <v>43.318537254369701</v>
      </c>
      <c r="I51" s="2652">
        <f t="array" ref="I51">MEDIAN(IF(I30:I44&lt;&gt;0,IF($R30:$R44=1,I30:I44,"")))</f>
        <v>42.918371301571199</v>
      </c>
      <c r="J51" s="2652">
        <f t="array" ref="J51">MEDIAN(IF(J30:J44&lt;&gt;0,IF($R30:$R44=1,J30:J44,"")))</f>
        <v>40.901572954282898</v>
      </c>
      <c r="K51" s="2652">
        <f t="array" ref="K51">MEDIAN(IF(K30:K44&lt;&gt;0,IF($R30:$R44=1,K30:K44,"")))</f>
        <v>47.22490812898765</v>
      </c>
      <c r="L51" s="2652">
        <f t="array" ref="L51">MEDIAN(IF(L30:L44&lt;&gt;0,IF($R30:$R44=1,L30:L44,"")))</f>
        <v>50.672049661052547</v>
      </c>
      <c r="M51" s="2652">
        <f t="array" ref="M51">MEDIAN(IF(M30:M44&lt;&gt;0,IF($R30:$R44=1,M30:M44,"")))</f>
        <v>61.255256561000003</v>
      </c>
      <c r="N51" s="2652">
        <f t="array" ref="N51">MEDIAN(IF(N30:N44&lt;&gt;0,IF($R30:$R44=1,N30:N44,"")))</f>
        <v>64.347019389050004</v>
      </c>
      <c r="O51" s="2653">
        <f t="array" ref="O51">MEDIAN(IF(O30:O44&lt;&gt;0,IF($R30:$R44=1,O30:O44,"")))</f>
        <v>67.378782217099996</v>
      </c>
      <c r="Q51" s="2605"/>
    </row>
    <row r="52" spans="1:17" s="2606" customFormat="1" ht="12.75">
      <c r="B52" s="2654" t="s">
        <v>2970</v>
      </c>
      <c r="C52" s="2655"/>
      <c r="D52" s="2655"/>
      <c r="E52" s="2655"/>
      <c r="F52" s="2655"/>
      <c r="G52" s="2655"/>
      <c r="H52" s="2655">
        <f t="shared" ref="H52:O52" si="25">H51/H46</f>
        <v>4.7565250741261313E-2</v>
      </c>
      <c r="I52" s="2655">
        <f t="shared" si="25"/>
        <v>3.7400612380842781E-2</v>
      </c>
      <c r="J52" s="2655">
        <f t="shared" si="25"/>
        <v>3.0782902373761946E-2</v>
      </c>
      <c r="K52" s="2655">
        <f t="shared" si="25"/>
        <v>3.1866108067968912E-2</v>
      </c>
      <c r="L52" s="2655">
        <f t="shared" si="25"/>
        <v>3.0578971469286124E-2</v>
      </c>
      <c r="M52" s="2655">
        <f t="shared" si="25"/>
        <v>3.1670188445967071E-2</v>
      </c>
      <c r="N52" s="2655">
        <f t="shared" si="25"/>
        <v>2.9835495401170749E-2</v>
      </c>
      <c r="O52" s="2656">
        <f t="shared" si="25"/>
        <v>2.7579047382279124E-2</v>
      </c>
      <c r="Q52" s="2605"/>
    </row>
    <row r="53" spans="1:17" s="2606" customFormat="1" ht="12.75">
      <c r="B53" s="2657"/>
      <c r="C53" s="2605"/>
      <c r="D53" s="2605"/>
      <c r="E53" s="2605"/>
      <c r="F53" s="2605"/>
      <c r="G53" s="2605"/>
      <c r="H53" s="2605"/>
      <c r="I53" s="2605"/>
      <c r="J53" s="2605"/>
      <c r="K53" s="2605"/>
      <c r="L53" s="2605"/>
      <c r="M53" s="2605"/>
      <c r="N53" s="2605"/>
      <c r="O53" s="2605"/>
      <c r="Q53" s="2605"/>
    </row>
    <row r="54" spans="1:17" s="2606" customFormat="1" ht="12.75">
      <c r="B54" s="2680" t="s">
        <v>86</v>
      </c>
      <c r="C54" s="2605"/>
      <c r="D54" s="2605"/>
      <c r="E54" s="2605"/>
      <c r="F54" s="2605"/>
      <c r="G54" s="2605"/>
      <c r="H54" s="2605"/>
      <c r="I54" s="2605"/>
      <c r="J54" s="2605"/>
      <c r="K54" s="2605"/>
      <c r="L54" s="2605"/>
      <c r="M54" s="2605"/>
      <c r="N54" s="2605"/>
      <c r="O54" s="2605"/>
      <c r="Q54" s="2605"/>
    </row>
    <row r="55" spans="1:17" s="2606" customFormat="1" ht="12.75">
      <c r="A55" s="2955" t="s">
        <v>210</v>
      </c>
      <c r="B55" s="3257" t="s">
        <v>3631</v>
      </c>
      <c r="C55" s="3257"/>
      <c r="D55" s="3257"/>
      <c r="E55" s="3257"/>
      <c r="F55" s="3257"/>
      <c r="G55" s="3257"/>
      <c r="H55" s="3257"/>
      <c r="I55" s="3257"/>
      <c r="J55" s="3257"/>
      <c r="K55" s="3257"/>
      <c r="L55" s="3257"/>
      <c r="M55" s="3257"/>
      <c r="N55" s="3257"/>
      <c r="O55" s="3257"/>
      <c r="P55" s="3257"/>
      <c r="Q55" s="2605"/>
    </row>
    <row r="56" spans="1:17" s="2606" customFormat="1" ht="12.75">
      <c r="A56" s="2681" t="s">
        <v>209</v>
      </c>
      <c r="B56" s="3257" t="s">
        <v>3633</v>
      </c>
      <c r="C56" s="3257"/>
      <c r="D56" s="3257"/>
      <c r="E56" s="3257"/>
      <c r="F56" s="3257"/>
      <c r="G56" s="3257"/>
      <c r="H56" s="3257"/>
      <c r="I56" s="3257"/>
      <c r="J56" s="3257"/>
      <c r="K56" s="3257"/>
      <c r="L56" s="3257"/>
      <c r="M56" s="3257"/>
      <c r="N56" s="3257"/>
      <c r="O56" s="3257"/>
      <c r="P56" s="3257"/>
      <c r="Q56" s="2605"/>
    </row>
    <row r="57" spans="1:17" s="2606" customFormat="1" ht="12.75">
      <c r="A57" s="2682" t="str">
        <f>Q43</f>
        <v>(3)</v>
      </c>
      <c r="B57" s="2956" t="s">
        <v>2972</v>
      </c>
      <c r="C57" s="2605"/>
      <c r="D57" s="2605"/>
      <c r="E57" s="2605"/>
      <c r="F57" s="2605"/>
      <c r="G57" s="2605"/>
      <c r="H57" s="2605"/>
      <c r="I57" s="2605"/>
      <c r="J57" s="2605"/>
      <c r="K57" s="2605"/>
      <c r="L57" s="2605"/>
      <c r="M57" s="2605"/>
      <c r="N57" s="2605"/>
      <c r="O57" s="2605"/>
      <c r="Q57" s="2605"/>
    </row>
    <row r="58" spans="1:17" s="2606" customFormat="1" ht="12.75">
      <c r="B58" s="2657"/>
      <c r="C58" s="2605"/>
      <c r="D58" s="2605"/>
      <c r="E58" s="2605"/>
      <c r="F58" s="2605"/>
      <c r="G58" s="2605"/>
      <c r="H58" s="2605"/>
      <c r="I58" s="2605"/>
      <c r="J58" s="2605"/>
      <c r="K58" s="2605"/>
      <c r="L58" s="2605"/>
      <c r="M58" s="2605"/>
      <c r="N58" s="2605"/>
      <c r="O58" s="2605"/>
      <c r="Q58" s="2605"/>
    </row>
    <row r="59" spans="1:17" s="2606" customFormat="1" ht="12.75">
      <c r="B59" s="2683" t="s">
        <v>2973</v>
      </c>
      <c r="C59" s="2684">
        <v>750</v>
      </c>
      <c r="D59" s="2605"/>
      <c r="E59" s="2605"/>
      <c r="F59" s="2605"/>
      <c r="G59" s="2605"/>
      <c r="H59" s="2605"/>
      <c r="I59" s="2605"/>
      <c r="J59" s="2605"/>
      <c r="K59" s="2605"/>
      <c r="L59" s="2605"/>
      <c r="M59" s="2605"/>
      <c r="N59" s="2605"/>
      <c r="O59" s="2605"/>
      <c r="Q59" s="2605"/>
    </row>
    <row r="60" spans="1:17" s="2606" customFormat="1" ht="12.75">
      <c r="B60" s="2657"/>
      <c r="C60" s="2605"/>
      <c r="D60" s="2605"/>
      <c r="E60" s="2605"/>
      <c r="F60" s="2605"/>
      <c r="G60" s="2605"/>
      <c r="H60" s="2605"/>
      <c r="I60" s="2605"/>
      <c r="J60" s="2605"/>
      <c r="K60" s="2605"/>
      <c r="L60" s="2605"/>
      <c r="M60" s="2605"/>
      <c r="N60" s="2605"/>
      <c r="O60" s="2605"/>
      <c r="Q60" s="2605"/>
    </row>
    <row r="61" spans="1:17" s="2606" customFormat="1" ht="12.75">
      <c r="B61" s="2657"/>
      <c r="C61" s="2605"/>
      <c r="D61" s="2605"/>
      <c r="E61" s="2605"/>
      <c r="F61" s="2605"/>
      <c r="G61" s="2605"/>
      <c r="H61" s="2605"/>
      <c r="I61" s="2605"/>
      <c r="J61" s="2605"/>
      <c r="K61" s="2605"/>
      <c r="L61" s="2605"/>
      <c r="M61" s="2605"/>
      <c r="N61" s="2605"/>
      <c r="O61" s="2605"/>
      <c r="Q61" s="2605"/>
    </row>
    <row r="62" spans="1:17" s="2606" customFormat="1" ht="12.75">
      <c r="B62" s="2657"/>
      <c r="C62" s="2605"/>
      <c r="D62" s="2605"/>
      <c r="E62" s="2605"/>
      <c r="F62" s="2605"/>
      <c r="G62" s="2605"/>
      <c r="H62" s="2605"/>
      <c r="I62" s="2605"/>
      <c r="J62" s="2605"/>
      <c r="K62" s="2605"/>
      <c r="L62" s="2605"/>
      <c r="M62" s="2605"/>
      <c r="N62" s="2605"/>
      <c r="O62" s="2605"/>
      <c r="Q62" s="2605"/>
    </row>
    <row r="63" spans="1:17" s="2606" customFormat="1" ht="12.75">
      <c r="B63" s="2657"/>
      <c r="C63" s="2605"/>
      <c r="D63" s="2605"/>
      <c r="E63" s="2605"/>
      <c r="F63" s="2605"/>
      <c r="G63" s="2605"/>
      <c r="H63" s="2605"/>
      <c r="I63" s="2605"/>
      <c r="J63" s="2605"/>
      <c r="K63" s="2605"/>
      <c r="L63" s="2605"/>
      <c r="M63" s="2605"/>
      <c r="N63" s="2605"/>
      <c r="O63" s="2605"/>
      <c r="Q63" s="2605"/>
    </row>
    <row r="64" spans="1:17" s="2608" customFormat="1" ht="12.75">
      <c r="A64" s="2606"/>
      <c r="B64" s="2657"/>
      <c r="C64" s="2605"/>
      <c r="D64" s="2605"/>
      <c r="E64" s="2605"/>
      <c r="F64" s="2605"/>
      <c r="G64" s="2605"/>
      <c r="H64" s="2605"/>
      <c r="I64" s="2605"/>
      <c r="J64" s="2605"/>
      <c r="K64" s="2605"/>
      <c r="L64" s="2605"/>
      <c r="M64" s="2605"/>
      <c r="N64" s="2605"/>
      <c r="O64" s="2605"/>
      <c r="P64" s="2606"/>
      <c r="Q64" s="2605"/>
    </row>
    <row r="65" spans="1:17" s="2608" customFormat="1" ht="12.75">
      <c r="A65" s="2606"/>
      <c r="Q65" s="2606"/>
    </row>
  </sheetData>
  <mergeCells count="2">
    <mergeCell ref="B55:P55"/>
    <mergeCell ref="B56:P56"/>
  </mergeCells>
  <conditionalFormatting sqref="B4:P4">
    <cfRule type="cellIs" dxfId="208" priority="3" stopIfTrue="1" operator="equal">
      <formula>"input"</formula>
    </cfRule>
  </conditionalFormatting>
  <conditionalFormatting sqref="J12:O13 J15:O15 N14:O14">
    <cfRule type="cellIs" dxfId="207" priority="2" operator="equal">
      <formula>0</formula>
    </cfRule>
  </conditionalFormatting>
  <pageMargins left="0.5" right="0.5" top="0.5" bottom="0.5" header="0.5" footer="0.5"/>
  <pageSetup scale="88" fitToWidth="0" orientation="landscape" r:id="rId1"/>
  <rowBreaks count="1" manualBreakCount="1">
    <brk id="24" max="14" man="1"/>
  </rowBreak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X72"/>
  <sheetViews>
    <sheetView showGridLines="0" view="pageBreakPreview" zoomScaleNormal="100" zoomScaleSheetLayoutView="100" workbookViewId="0">
      <selection activeCell="D31" sqref="D31"/>
    </sheetView>
  </sheetViews>
  <sheetFormatPr defaultColWidth="9.33203125" defaultRowHeight="15"/>
  <cols>
    <col min="1" max="1" width="4.5" style="2603" customWidth="1"/>
    <col min="2" max="2" width="40" style="2604" customWidth="1"/>
    <col min="3" max="15" width="10.33203125" style="2604" customWidth="1"/>
    <col min="16" max="16" width="9.83203125" style="2604" customWidth="1"/>
    <col min="17" max="17" width="4.5" style="2603" customWidth="1"/>
    <col min="18" max="16384" width="9.33203125" style="2604"/>
  </cols>
  <sheetData>
    <row r="1" spans="1:24" ht="15.75" thickBot="1">
      <c r="Q1" s="2605"/>
    </row>
    <row r="2" spans="1:24" ht="16.5" thickTop="1">
      <c r="B2" s="10" t="str">
        <f>'MASTER PubCo Inputs'!$C$5</f>
        <v>Kallyope, Inc.</v>
      </c>
      <c r="C2" s="10"/>
      <c r="D2" s="10"/>
      <c r="E2" s="10"/>
      <c r="F2" s="10"/>
      <c r="G2" s="10"/>
      <c r="H2" s="10"/>
      <c r="I2" s="10"/>
      <c r="J2" s="10"/>
      <c r="K2" s="10"/>
      <c r="L2" s="10"/>
      <c r="M2" s="10"/>
      <c r="N2" s="10"/>
      <c r="O2" s="10"/>
      <c r="P2" s="10"/>
      <c r="Q2" s="2605"/>
    </row>
    <row r="3" spans="1:24" ht="15.75">
      <c r="B3" s="11" t="str">
        <f>VLOOKUP(B4,Outline!$E$8:$G$69,COLUMNS(Outline!$E$8:$G$8),FALSE)</f>
        <v>Workpaper #15</v>
      </c>
      <c r="C3" s="11"/>
      <c r="D3" s="11"/>
      <c r="E3" s="11"/>
      <c r="F3" s="11"/>
      <c r="G3" s="11"/>
      <c r="H3" s="11"/>
      <c r="I3" s="11"/>
      <c r="J3" s="11"/>
      <c r="K3" s="11"/>
      <c r="L3" s="11"/>
      <c r="M3" s="11"/>
      <c r="N3" s="11"/>
      <c r="O3" s="11"/>
      <c r="P3" s="11"/>
      <c r="Q3" s="2605"/>
    </row>
    <row r="4" spans="1:24" ht="16.5" thickBot="1">
      <c r="A4" s="2606"/>
      <c r="B4" s="2607" t="s">
        <v>3568</v>
      </c>
      <c r="C4" s="12"/>
      <c r="D4" s="12"/>
      <c r="E4" s="12"/>
      <c r="F4" s="12"/>
      <c r="G4" s="13"/>
      <c r="H4" s="13"/>
      <c r="I4" s="13"/>
      <c r="J4" s="13"/>
      <c r="K4" s="13"/>
      <c r="L4" s="13"/>
      <c r="M4" s="13"/>
      <c r="N4" s="13"/>
      <c r="O4" s="13"/>
      <c r="P4" s="13" t="s">
        <v>88</v>
      </c>
      <c r="Q4" s="2605"/>
    </row>
    <row r="5" spans="1:24" s="2608" customFormat="1" ht="13.5" thickTop="1">
      <c r="A5" s="2606"/>
      <c r="Q5" s="2605"/>
    </row>
    <row r="6" spans="1:24" s="2612" customFormat="1" ht="11.25" customHeight="1">
      <c r="A6" s="2606"/>
      <c r="B6" s="2609" t="s">
        <v>2965</v>
      </c>
      <c r="C6" s="2610">
        <v>2012</v>
      </c>
      <c r="D6" s="2610">
        <f t="shared" ref="D6:O6" si="0">C6+1</f>
        <v>2013</v>
      </c>
      <c r="E6" s="2610">
        <f t="shared" si="0"/>
        <v>2014</v>
      </c>
      <c r="F6" s="2610">
        <f t="shared" si="0"/>
        <v>2015</v>
      </c>
      <c r="G6" s="2610">
        <f t="shared" si="0"/>
        <v>2016</v>
      </c>
      <c r="H6" s="2610">
        <f t="shared" si="0"/>
        <v>2017</v>
      </c>
      <c r="I6" s="2610">
        <f t="shared" si="0"/>
        <v>2018</v>
      </c>
      <c r="J6" s="2610">
        <f t="shared" si="0"/>
        <v>2019</v>
      </c>
      <c r="K6" s="2610">
        <f t="shared" si="0"/>
        <v>2020</v>
      </c>
      <c r="L6" s="2610">
        <f t="shared" si="0"/>
        <v>2021</v>
      </c>
      <c r="M6" s="2610">
        <f t="shared" si="0"/>
        <v>2022</v>
      </c>
      <c r="N6" s="2610">
        <f t="shared" si="0"/>
        <v>2023</v>
      </c>
      <c r="O6" s="2610">
        <f t="shared" si="0"/>
        <v>2024</v>
      </c>
      <c r="P6" s="2611" t="s">
        <v>2966</v>
      </c>
      <c r="Q6" s="2605"/>
    </row>
    <row r="7" spans="1:24" s="2616" customFormat="1" ht="12.75">
      <c r="A7" s="2606"/>
      <c r="B7" s="2613"/>
      <c r="C7" s="2614"/>
      <c r="D7" s="2614"/>
      <c r="E7" s="2614"/>
      <c r="F7" s="2614"/>
      <c r="G7" s="2614"/>
      <c r="H7" s="2614"/>
      <c r="I7" s="2614"/>
      <c r="J7" s="2614"/>
      <c r="K7" s="2614"/>
      <c r="L7" s="2614"/>
      <c r="M7" s="2614"/>
      <c r="N7" s="2614"/>
      <c r="O7" s="2614"/>
      <c r="P7" s="2615"/>
      <c r="Q7" s="2605"/>
      <c r="X7" s="2617"/>
    </row>
    <row r="8" spans="1:24" s="2616" customFormat="1" ht="12.75">
      <c r="A8" s="2606"/>
      <c r="B8" s="2618" t="s">
        <v>2967</v>
      </c>
      <c r="C8" s="2619"/>
      <c r="D8" s="2619"/>
      <c r="E8" s="2619"/>
      <c r="F8" s="2619"/>
      <c r="G8" s="2619"/>
      <c r="H8" s="2619"/>
      <c r="I8" s="2619"/>
      <c r="J8" s="2619"/>
      <c r="K8" s="2619"/>
      <c r="L8" s="2619"/>
      <c r="M8" s="2619"/>
      <c r="N8" s="2619"/>
      <c r="O8" s="2619"/>
      <c r="P8" s="2620"/>
      <c r="Q8" s="2605"/>
      <c r="X8" s="2617"/>
    </row>
    <row r="9" spans="1:24" s="2624" customFormat="1" ht="12.75">
      <c r="A9" s="2606"/>
      <c r="B9" s="2621"/>
      <c r="C9" s="2621"/>
      <c r="D9" s="2621"/>
      <c r="E9" s="2621"/>
      <c r="F9" s="2621"/>
      <c r="G9" s="2621"/>
      <c r="H9" s="2622"/>
      <c r="I9" s="2622"/>
      <c r="J9" s="2622"/>
      <c r="K9" s="2622"/>
      <c r="L9" s="2622"/>
      <c r="M9" s="2622"/>
      <c r="N9" s="2622"/>
      <c r="O9" s="2622"/>
      <c r="P9" s="2623"/>
      <c r="Q9" s="2605"/>
      <c r="X9" s="2625"/>
    </row>
    <row r="10" spans="1:24" s="2624" customFormat="1" ht="12.75">
      <c r="A10" s="2606"/>
      <c r="B10" s="2626" t="s">
        <v>204</v>
      </c>
      <c r="C10" s="2627"/>
      <c r="D10" s="2627"/>
      <c r="E10" s="2627"/>
      <c r="F10" s="2627"/>
      <c r="G10" s="2627"/>
      <c r="H10" s="2628"/>
      <c r="I10" s="2628"/>
      <c r="J10" s="2628"/>
      <c r="K10" s="2628"/>
      <c r="L10" s="2628"/>
      <c r="M10" s="2628"/>
      <c r="N10" s="2628"/>
      <c r="O10" s="2628"/>
      <c r="P10" s="2629"/>
      <c r="Q10" s="2605"/>
      <c r="R10" s="2630" t="s">
        <v>2968</v>
      </c>
      <c r="S10" s="2631"/>
      <c r="T10" s="2631"/>
      <c r="U10" s="2632"/>
      <c r="X10" s="2625"/>
    </row>
    <row r="11" spans="1:24" s="2624" customFormat="1" ht="12.75">
      <c r="A11" s="2606"/>
      <c r="B11" s="2633" t="s">
        <v>861</v>
      </c>
      <c r="C11" s="2621"/>
      <c r="D11" s="2621"/>
      <c r="E11" s="2621"/>
      <c r="F11" s="2621"/>
      <c r="G11" s="2621"/>
      <c r="H11" s="2622"/>
      <c r="I11" s="2622"/>
      <c r="J11" s="2622"/>
      <c r="K11" s="2622"/>
      <c r="L11" s="2622"/>
      <c r="M11" s="2622"/>
      <c r="N11" s="2622"/>
      <c r="O11" s="2622"/>
      <c r="P11" s="2634"/>
      <c r="Q11" s="2605"/>
      <c r="R11" s="2635"/>
      <c r="U11" s="2636"/>
      <c r="X11" s="2625"/>
    </row>
    <row r="12" spans="1:24" s="2624" customFormat="1" ht="12.75">
      <c r="A12" s="2606"/>
      <c r="B12" s="2884" t="s">
        <v>3561</v>
      </c>
      <c r="C12" s="2638">
        <f>'World (2)'!B29/1000000</f>
        <v>2547.8563507037729</v>
      </c>
      <c r="D12" s="2638">
        <f>'World (2)'!C29/1000000</f>
        <v>2711.1684920779981</v>
      </c>
      <c r="E12" s="2638">
        <f>'World (2)'!D29/1000000</f>
        <v>2880.0423643345612</v>
      </c>
      <c r="F12" s="2638">
        <f>'World (2)'!E29/1000000</f>
        <v>3055.0570793827219</v>
      </c>
      <c r="G12" s="2638">
        <f>'World (2)'!F29/1000000</f>
        <v>3235.5785892410468</v>
      </c>
      <c r="H12" s="2638">
        <f>'World (2)'!G29/1000000</f>
        <v>3422.3758731876105</v>
      </c>
      <c r="I12" s="2638">
        <f>'World (2)'!H29/1000000</f>
        <v>3616.4856249768486</v>
      </c>
      <c r="J12" s="2638">
        <f>'World (2)'!I29/1000000</f>
        <v>3816.8529061256372</v>
      </c>
      <c r="K12" s="2638">
        <f>'World (2)'!J29/1000000</f>
        <v>4024.8536012621585</v>
      </c>
      <c r="L12" s="2638">
        <f>'World (2)'!K29/1000000</f>
        <v>4236.1952569419127</v>
      </c>
      <c r="M12" s="2638">
        <f>'World (2)'!L29/1000000</f>
        <v>4458.6640231897509</v>
      </c>
      <c r="N12" s="2638"/>
      <c r="O12" s="2638"/>
      <c r="P12" s="2634"/>
      <c r="Q12" s="2605"/>
      <c r="R12" s="2635">
        <v>1</v>
      </c>
      <c r="U12" s="2636"/>
      <c r="X12" s="2625"/>
    </row>
    <row r="13" spans="1:24" s="2624" customFormat="1" ht="12.75">
      <c r="A13" s="2606"/>
      <c r="B13" s="2884" t="s">
        <v>3562</v>
      </c>
      <c r="C13" s="2638">
        <f>'World (2)'!B30/1000000</f>
        <v>1299.2245278924354</v>
      </c>
      <c r="D13" s="2638">
        <f>'World (2)'!C30/1000000</f>
        <v>1336.0526046850193</v>
      </c>
      <c r="E13" s="2638">
        <f>'World (2)'!D30/1000000</f>
        <v>1370.1607353687361</v>
      </c>
      <c r="F13" s="2638">
        <f>'World (2)'!E30/1000000</f>
        <v>1401.831041149783</v>
      </c>
      <c r="G13" s="2638">
        <f>'World (2)'!F30/1000000</f>
        <v>1430.4268232271156</v>
      </c>
      <c r="H13" s="2638">
        <f>'World (2)'!G30/1000000</f>
        <v>1455.5147776582417</v>
      </c>
      <c r="I13" s="2638">
        <f>'World (2)'!H30/1000000</f>
        <v>1477.6743109038644</v>
      </c>
      <c r="J13" s="2638">
        <f>'World (2)'!I30/1000000</f>
        <v>1496.4176936690187</v>
      </c>
      <c r="K13" s="2638">
        <f>'World (2)'!J30/1000000</f>
        <v>1511.8491454703578</v>
      </c>
      <c r="L13" s="2638">
        <f>'World (2)'!K30/1000000</f>
        <v>1522.2177798130749</v>
      </c>
      <c r="M13" s="2638">
        <f>'World (2)'!L30/1000000</f>
        <v>1530.1914972618888</v>
      </c>
      <c r="N13" s="2638"/>
      <c r="O13" s="2638"/>
      <c r="P13" s="2634"/>
      <c r="Q13" s="2605"/>
      <c r="R13" s="2635">
        <v>1</v>
      </c>
      <c r="U13" s="2636"/>
      <c r="X13" s="2625"/>
    </row>
    <row r="14" spans="1:24" s="2624" customFormat="1" ht="12.75">
      <c r="A14" s="2606"/>
      <c r="B14" s="2884" t="s">
        <v>3181</v>
      </c>
      <c r="C14" s="2638">
        <f>'World (2)'!B31/1000000</f>
        <v>221.03233214826696</v>
      </c>
      <c r="D14" s="2638">
        <f>'World (2)'!C31/1000000</f>
        <v>225.48521430779465</v>
      </c>
      <c r="E14" s="2638">
        <f>'World (2)'!D31/1000000</f>
        <v>229.59949711353389</v>
      </c>
      <c r="F14" s="2638">
        <f>'World (2)'!E31/1000000</f>
        <v>233.47714367590063</v>
      </c>
      <c r="G14" s="2638">
        <f>'World (2)'!F31/1000000</f>
        <v>236.94539141496023</v>
      </c>
      <c r="H14" s="2638">
        <f>'World (2)'!G31/1000000</f>
        <v>239.87297933068859</v>
      </c>
      <c r="I14" s="2638">
        <f>'World (2)'!H31/1000000</f>
        <v>242.37080639872485</v>
      </c>
      <c r="J14" s="2638">
        <f>'World (2)'!I31/1000000</f>
        <v>244.51562313120348</v>
      </c>
      <c r="K14" s="2638">
        <f>'World (2)'!J31/1000000</f>
        <v>246.22639454628768</v>
      </c>
      <c r="L14" s="2638">
        <f>'World (2)'!K31/1000000</f>
        <v>247.41711135552364</v>
      </c>
      <c r="M14" s="2638">
        <f>'World (2)'!L31/1000000</f>
        <v>248.17761174107736</v>
      </c>
      <c r="N14" s="2638"/>
      <c r="O14" s="2638"/>
      <c r="P14" s="2634"/>
      <c r="Q14" s="2605"/>
      <c r="R14" s="2635">
        <v>1</v>
      </c>
      <c r="U14" s="2636"/>
      <c r="X14" s="2625"/>
    </row>
    <row r="15" spans="1:24" s="2624" customFormat="1" ht="12.75">
      <c r="A15" s="2606"/>
      <c r="B15" s="2637" t="s">
        <v>3563</v>
      </c>
      <c r="C15" s="2638">
        <f>'World (2)'!B32/1000000</f>
        <v>2787.6179072921441</v>
      </c>
      <c r="D15" s="2638">
        <f>'World (2)'!C32/1000000</f>
        <v>2882.7625319036497</v>
      </c>
      <c r="E15" s="2638">
        <f>'World (2)'!D32/1000000</f>
        <v>2990.1190647209255</v>
      </c>
      <c r="F15" s="2638">
        <f>'World (2)'!E32/1000000</f>
        <v>3164.745403567335</v>
      </c>
      <c r="G15" s="2638">
        <f>'World (2)'!F32/1000000</f>
        <v>3352.4580102043356</v>
      </c>
      <c r="H15" s="2638">
        <f>'World (2)'!G32/1000000</f>
        <v>3558.4797422640127</v>
      </c>
      <c r="I15" s="2638">
        <f>'World (2)'!H32/1000000</f>
        <v>3782.6381772697046</v>
      </c>
      <c r="J15" s="2638">
        <f>'World (2)'!I32/1000000</f>
        <v>4033.3110189293793</v>
      </c>
      <c r="K15" s="2638">
        <f>'World (2)'!J32/1000000</f>
        <v>4300.5922923112621</v>
      </c>
      <c r="L15" s="2638">
        <f>'World (2)'!K32/1000000</f>
        <v>4573.245895496907</v>
      </c>
      <c r="M15" s="2638">
        <f>'World (2)'!L32/1000000</f>
        <v>4870.0355991409842</v>
      </c>
      <c r="N15" s="2638"/>
      <c r="O15" s="2638"/>
      <c r="P15" s="2634"/>
      <c r="Q15" s="2605"/>
      <c r="R15" s="2635">
        <v>1</v>
      </c>
      <c r="U15" s="2636"/>
      <c r="X15" s="2625"/>
    </row>
    <row r="16" spans="1:24" s="2624" customFormat="1" ht="12.75">
      <c r="A16" s="2606"/>
      <c r="B16" s="2637" t="s">
        <v>3564</v>
      </c>
      <c r="C16" s="2638">
        <f>'World (2)'!B35/1000000</f>
        <v>2585.5505712644922</v>
      </c>
      <c r="D16" s="2638">
        <f>'World (2)'!C35/1000000</f>
        <v>3078.863479578778</v>
      </c>
      <c r="E16" s="2638">
        <f>'World (2)'!D35/1000000</f>
        <v>3915.6734916759492</v>
      </c>
      <c r="F16" s="2638">
        <f>'World (2)'!E35/1000000</f>
        <v>4694.8631603491267</v>
      </c>
      <c r="G16" s="2638">
        <f>'World (2)'!F35/1000000</f>
        <v>5413.0261924581573</v>
      </c>
      <c r="H16" s="2638">
        <f>'World (2)'!G35/1000000</f>
        <v>5942.2278876263699</v>
      </c>
      <c r="I16" s="2638">
        <f>'World (2)'!H35/1000000</f>
        <v>6482.6900120288765</v>
      </c>
      <c r="J16" s="2638">
        <f>'World (2)'!I35/1000000</f>
        <v>7036.7513788963342</v>
      </c>
      <c r="K16" s="2638">
        <f>'World (2)'!J35/1000000</f>
        <v>7639.0015564063206</v>
      </c>
      <c r="L16" s="2638">
        <f>'World (2)'!K35/1000000</f>
        <v>8319.7532002608477</v>
      </c>
      <c r="M16" s="2638">
        <f>'World (2)'!L35/1000000</f>
        <v>9001.2309389680104</v>
      </c>
      <c r="N16" s="2638"/>
      <c r="O16" s="2638"/>
      <c r="P16" s="2634"/>
      <c r="Q16" s="2605"/>
      <c r="R16" s="2635">
        <v>1</v>
      </c>
      <c r="U16" s="2636"/>
      <c r="X16" s="2625"/>
    </row>
    <row r="17" spans="1:24" s="2624" customFormat="1" ht="12.75">
      <c r="A17" s="2606"/>
      <c r="B17" s="2637" t="s">
        <v>3565</v>
      </c>
      <c r="C17" s="2638">
        <f>'World (2)'!B44/1000000</f>
        <v>7213.4920231185142</v>
      </c>
      <c r="D17" s="2638">
        <f>'World (2)'!C44/1000000</f>
        <v>8302.8594520935221</v>
      </c>
      <c r="E17" s="2638">
        <f>'World (2)'!D44/1000000</f>
        <v>9237.8938406256366</v>
      </c>
      <c r="F17" s="2638">
        <f>'World (2)'!E44/1000000</f>
        <v>10191.378910341098</v>
      </c>
      <c r="G17" s="2638">
        <f>'World (2)'!F44/1000000</f>
        <v>11210.007727739992</v>
      </c>
      <c r="H17" s="2638">
        <f>'World (2)'!G44/1000000</f>
        <v>12184.803929686255</v>
      </c>
      <c r="I17" s="2638">
        <f>'World (2)'!H44/1000000</f>
        <v>13221.932965892849</v>
      </c>
      <c r="J17" s="2638">
        <f>'World (2)'!I44/1000000</f>
        <v>14186.366817869543</v>
      </c>
      <c r="K17" s="2638">
        <f>'World (2)'!J44/1000000</f>
        <v>15101.477019535161</v>
      </c>
      <c r="L17" s="2638">
        <f>'World (2)'!K44/1000000</f>
        <v>16005.792556048904</v>
      </c>
      <c r="M17" s="2638">
        <f>'World (2)'!L44/1000000</f>
        <v>16925.584682252305</v>
      </c>
      <c r="N17" s="2638"/>
      <c r="O17" s="2638"/>
      <c r="P17" s="2634"/>
      <c r="Q17" s="2605"/>
      <c r="R17" s="2635">
        <v>1</v>
      </c>
      <c r="U17" s="2636"/>
      <c r="X17" s="2625"/>
    </row>
    <row r="18" spans="1:24" s="2624" customFormat="1" ht="12.75">
      <c r="A18" s="2606"/>
      <c r="B18" s="2637" t="s">
        <v>3566</v>
      </c>
      <c r="C18" s="2638">
        <f>'World (2)'!B52/1000000</f>
        <v>0</v>
      </c>
      <c r="D18" s="2638">
        <f>'World (2)'!C52/1000000</f>
        <v>44.036506500422149</v>
      </c>
      <c r="E18" s="2638">
        <f>'World (2)'!D52/1000000</f>
        <v>392.36518639342739</v>
      </c>
      <c r="F18" s="2638">
        <f>'World (2)'!E52/1000000</f>
        <v>910.06878718492715</v>
      </c>
      <c r="G18" s="2638">
        <f>'World (2)'!F52/1000000</f>
        <v>1559.0992158862036</v>
      </c>
      <c r="H18" s="2638">
        <f>'World (2)'!G52/1000000</f>
        <v>2177.2495305238622</v>
      </c>
      <c r="I18" s="2638">
        <f>'World (2)'!H52/1000000</f>
        <v>2828.1467279604949</v>
      </c>
      <c r="J18" s="2638">
        <f>'World (2)'!I52/1000000</f>
        <v>3371.4227589455031</v>
      </c>
      <c r="K18" s="2638">
        <f>'World (2)'!J52/1000000</f>
        <v>3873.8021722566787</v>
      </c>
      <c r="L18" s="2638">
        <f>'World (2)'!K52/1000000</f>
        <v>4326.2752598002826</v>
      </c>
      <c r="M18" s="2638">
        <f>'World (2)'!L52/1000000</f>
        <v>4778.8412595594518</v>
      </c>
      <c r="N18" s="2638"/>
      <c r="O18" s="2638"/>
      <c r="P18" s="2634"/>
      <c r="Q18" s="2605"/>
      <c r="R18" s="2635">
        <v>1</v>
      </c>
      <c r="U18" s="2636"/>
      <c r="X18" s="2625"/>
    </row>
    <row r="19" spans="1:24" s="2624" customFormat="1" ht="12.75">
      <c r="A19" s="2606"/>
      <c r="B19" s="2637" t="s">
        <v>3567</v>
      </c>
      <c r="C19" s="2638">
        <f>'World (2)'!B58/1000000</f>
        <v>0</v>
      </c>
      <c r="D19" s="2638">
        <f>'World (2)'!C58/1000000</f>
        <v>0</v>
      </c>
      <c r="E19" s="2638">
        <f>'World (2)'!D58/1000000</f>
        <v>0</v>
      </c>
      <c r="F19" s="2638">
        <f>'World (2)'!E58/1000000</f>
        <v>0</v>
      </c>
      <c r="G19" s="2638">
        <f>'World (2)'!F58/1000000</f>
        <v>0</v>
      </c>
      <c r="H19" s="2638">
        <f>'World (2)'!G58/1000000</f>
        <v>21.532957619687501</v>
      </c>
      <c r="I19" s="2638">
        <f>'World (2)'!H58/1000000</f>
        <v>218.0503225740533</v>
      </c>
      <c r="J19" s="2638">
        <f>'World (2)'!I58/1000000</f>
        <v>444.38430581182769</v>
      </c>
      <c r="K19" s="2638">
        <f>'World (2)'!J58/1000000</f>
        <v>661.32738926945808</v>
      </c>
      <c r="L19" s="2638">
        <f>'World (2)'!K58/1000000</f>
        <v>876.67643153029451</v>
      </c>
      <c r="M19" s="2638">
        <f>'World (2)'!L58/1000000</f>
        <v>1066.3478518539209</v>
      </c>
      <c r="N19" s="2638"/>
      <c r="O19" s="2638"/>
      <c r="P19" s="2634"/>
      <c r="Q19" s="2605"/>
      <c r="R19" s="2635">
        <v>1</v>
      </c>
      <c r="U19" s="2636"/>
      <c r="X19" s="2625"/>
    </row>
    <row r="20" spans="1:24" s="2624" customFormat="1" ht="12.75">
      <c r="A20" s="2606"/>
      <c r="B20" s="2637" t="s">
        <v>3209</v>
      </c>
      <c r="C20" s="2958">
        <f>'World (2)'!B60/1000000</f>
        <v>11390.807054740681</v>
      </c>
      <c r="D20" s="2958">
        <f>'World (2)'!C60/1000000</f>
        <v>12527.26078554993</v>
      </c>
      <c r="E20" s="2958">
        <f>'World (2)'!D60/1000000</f>
        <v>13758.466092831297</v>
      </c>
      <c r="F20" s="2958">
        <f>'World (2)'!E60/1000000</f>
        <v>14604.803054211416</v>
      </c>
      <c r="G20" s="2958">
        <f>'World (2)'!F60/1000000</f>
        <v>15891.51746549002</v>
      </c>
      <c r="H20" s="2958">
        <f>'World (2)'!G60/1000000</f>
        <v>17219.178343109827</v>
      </c>
      <c r="I20" s="2958">
        <f>'World (2)'!H60/1000000</f>
        <v>18562.164268364868</v>
      </c>
      <c r="J20" s="2958">
        <f>'World (2)'!I60/1000000</f>
        <v>19966.490128994388</v>
      </c>
      <c r="K20" s="2958">
        <f>'World (2)'!J60/1000000</f>
        <v>21451.908579170136</v>
      </c>
      <c r="L20" s="2958">
        <f>'World (2)'!K60/1000000</f>
        <v>23010.328610569286</v>
      </c>
      <c r="M20" s="2958">
        <f>'World (2)'!L60/1000000</f>
        <v>24845.812408688755</v>
      </c>
      <c r="N20" s="2638"/>
      <c r="O20" s="2638"/>
      <c r="P20" s="2634"/>
      <c r="Q20" s="2954" t="s">
        <v>246</v>
      </c>
      <c r="R20" s="2635">
        <v>0</v>
      </c>
      <c r="U20" s="2636"/>
      <c r="X20" s="2625"/>
    </row>
    <row r="21" spans="1:24" s="2624" customFormat="1" ht="12.75">
      <c r="A21" s="2606"/>
      <c r="B21" s="2637"/>
      <c r="C21" s="2621"/>
      <c r="D21" s="2621"/>
      <c r="E21" s="2621"/>
      <c r="F21" s="2621"/>
      <c r="G21" s="2621"/>
      <c r="H21" s="2621"/>
      <c r="I21" s="2621"/>
      <c r="J21" s="2621"/>
      <c r="K21" s="2621"/>
      <c r="L21" s="2621"/>
      <c r="M21" s="2621"/>
      <c r="N21" s="2621"/>
      <c r="O21" s="2621"/>
      <c r="P21" s="2634"/>
      <c r="Q21" s="2605"/>
      <c r="R21" s="2635"/>
      <c r="U21" s="2636"/>
      <c r="X21" s="2625"/>
    </row>
    <row r="22" spans="1:24" s="2616" customFormat="1" ht="12.75">
      <c r="A22" s="2606"/>
      <c r="B22" s="2639" t="s">
        <v>3569</v>
      </c>
      <c r="C22" s="2640">
        <f t="shared" ref="C22:M22" si="1">SUMPRODUCT(C12:C20,$R$12:$R$20)</f>
        <v>16654.773712419625</v>
      </c>
      <c r="D22" s="2640">
        <f t="shared" si="1"/>
        <v>18581.228281147181</v>
      </c>
      <c r="E22" s="2640">
        <f t="shared" si="1"/>
        <v>21015.854180232771</v>
      </c>
      <c r="F22" s="2640">
        <f t="shared" si="1"/>
        <v>23651.421525650894</v>
      </c>
      <c r="G22" s="2640">
        <f t="shared" si="1"/>
        <v>26437.54195017181</v>
      </c>
      <c r="H22" s="2640">
        <f t="shared" si="1"/>
        <v>29002.05767789673</v>
      </c>
      <c r="I22" s="2640">
        <f t="shared" si="1"/>
        <v>31869.988948005415</v>
      </c>
      <c r="J22" s="2640">
        <f t="shared" si="1"/>
        <v>34630.022503378445</v>
      </c>
      <c r="K22" s="2640">
        <f t="shared" si="1"/>
        <v>37359.129571057681</v>
      </c>
      <c r="L22" s="2640">
        <f t="shared" si="1"/>
        <v>40107.573491247749</v>
      </c>
      <c r="M22" s="2640">
        <f t="shared" si="1"/>
        <v>42879.073463967383</v>
      </c>
      <c r="N22" s="2852"/>
      <c r="O22" s="2852"/>
      <c r="P22" s="2641">
        <f>(M22/C22)^(1/10)-1</f>
        <v>9.9184677174362745E-2</v>
      </c>
      <c r="Q22" s="2605"/>
      <c r="R22" s="2642"/>
      <c r="S22" s="2643"/>
      <c r="T22" s="2643"/>
      <c r="U22" s="2644"/>
      <c r="X22" s="2617"/>
    </row>
    <row r="23" spans="1:24" s="2616" customFormat="1" ht="12.75">
      <c r="A23" s="2606"/>
      <c r="B23" s="2614"/>
      <c r="C23" s="2614"/>
      <c r="D23" s="2614"/>
      <c r="E23" s="2614"/>
      <c r="F23" s="2614"/>
      <c r="G23" s="2614"/>
      <c r="H23" s="2614"/>
      <c r="I23" s="2614"/>
      <c r="J23" s="2614"/>
      <c r="K23" s="2614"/>
      <c r="L23" s="2614"/>
      <c r="M23" s="2614"/>
      <c r="N23" s="2614"/>
      <c r="O23" s="2614"/>
      <c r="P23" s="2615"/>
      <c r="Q23" s="2605"/>
      <c r="X23" s="2617"/>
    </row>
    <row r="24" spans="1:24" s="2608" customFormat="1" ht="12.75">
      <c r="A24" s="2606"/>
      <c r="B24" s="2645" t="s">
        <v>43</v>
      </c>
      <c r="C24" s="2646">
        <f t="shared" ref="C24:M24" si="2">AVERAGEIFS(C12:C20,C12:C20,"&lt;&gt;0",$R12:$R20,"&lt;&gt;0")</f>
        <v>2775.795618736604</v>
      </c>
      <c r="D24" s="2646">
        <f t="shared" si="2"/>
        <v>2654.461183021026</v>
      </c>
      <c r="E24" s="2646">
        <f t="shared" si="2"/>
        <v>3002.2648828903957</v>
      </c>
      <c r="F24" s="2646">
        <f t="shared" si="2"/>
        <v>3378.7745036644133</v>
      </c>
      <c r="G24" s="2646">
        <f t="shared" si="2"/>
        <v>3776.7917071674015</v>
      </c>
      <c r="H24" s="2646">
        <f t="shared" si="2"/>
        <v>3625.2572097370912</v>
      </c>
      <c r="I24" s="2646">
        <f t="shared" si="2"/>
        <v>3983.7486185006769</v>
      </c>
      <c r="J24" s="2646">
        <f t="shared" si="2"/>
        <v>4328.7528129223056</v>
      </c>
      <c r="K24" s="2646">
        <f t="shared" si="2"/>
        <v>4669.8911963822102</v>
      </c>
      <c r="L24" s="2646">
        <f t="shared" si="2"/>
        <v>5013.4466864059686</v>
      </c>
      <c r="M24" s="2647">
        <f t="shared" si="2"/>
        <v>5359.8841829959229</v>
      </c>
      <c r="N24" s="136"/>
      <c r="O24" s="136"/>
      <c r="Q24" s="2605"/>
    </row>
    <row r="25" spans="1:24" s="2608" customFormat="1" ht="12.75">
      <c r="A25" s="2606"/>
      <c r="B25" s="2648" t="s">
        <v>2970</v>
      </c>
      <c r="C25" s="2649">
        <f>C24/C22</f>
        <v>0.16666666666666666</v>
      </c>
      <c r="D25" s="2649">
        <f t="shared" ref="D25:M25" si="3">D24/D22</f>
        <v>0.14285714285714288</v>
      </c>
      <c r="E25" s="2649">
        <f t="shared" si="3"/>
        <v>0.14285714285714285</v>
      </c>
      <c r="F25" s="2649">
        <f t="shared" si="3"/>
        <v>0.14285714285714285</v>
      </c>
      <c r="G25" s="2649">
        <f t="shared" si="3"/>
        <v>0.14285714285714285</v>
      </c>
      <c r="H25" s="2649">
        <f t="shared" si="3"/>
        <v>0.125</v>
      </c>
      <c r="I25" s="2649">
        <f t="shared" si="3"/>
        <v>0.125</v>
      </c>
      <c r="J25" s="2649">
        <f t="shared" si="3"/>
        <v>0.125</v>
      </c>
      <c r="K25" s="2649">
        <f t="shared" si="3"/>
        <v>0.125</v>
      </c>
      <c r="L25" s="2649">
        <f t="shared" si="3"/>
        <v>0.125</v>
      </c>
      <c r="M25" s="2650">
        <f t="shared" si="3"/>
        <v>0.125</v>
      </c>
      <c r="N25" s="2651"/>
      <c r="O25" s="2651"/>
      <c r="Q25" s="2605"/>
    </row>
    <row r="26" spans="1:24" s="2608" customFormat="1" ht="12.75">
      <c r="A26" s="2606"/>
      <c r="B26" s="2648" t="s">
        <v>44</v>
      </c>
      <c r="C26" s="2652">
        <f t="array" ref="C26">MEDIAN(IF(C12:C20&lt;&gt;0,IF($R12:$R20=1,C12:C20,"")))</f>
        <v>2566.7034609841326</v>
      </c>
      <c r="D26" s="2652">
        <f t="array" ref="D26">MEDIAN(IF(D12:D20&lt;&gt;0,IF($R12:$R20=1,D12:D20,"")))</f>
        <v>2711.1684920779981</v>
      </c>
      <c r="E26" s="2652">
        <f t="array" ref="E26">MEDIAN(IF(E12:E20&lt;&gt;0,IF($R12:$R20=1,E12:E20,"")))</f>
        <v>2880.0423643345612</v>
      </c>
      <c r="F26" s="2652">
        <f t="array" ref="F26">MEDIAN(IF(F12:F20&lt;&gt;0,IF($R12:$R20=1,F12:F20,"")))</f>
        <v>3055.0570793827219</v>
      </c>
      <c r="G26" s="2652">
        <f t="array" ref="G26">MEDIAN(IF(G12:G20&lt;&gt;0,IF($R12:$R20=1,G12:G20,"")))</f>
        <v>3235.5785892410468</v>
      </c>
      <c r="H26" s="2652">
        <f t="array" ref="H26">MEDIAN(IF(H12:H20&lt;&gt;0,IF($R12:$R20=1,H12:H20,"")))</f>
        <v>2799.8127018557361</v>
      </c>
      <c r="I26" s="2652">
        <f t="array" ref="I26">MEDIAN(IF(I12:I20&lt;&gt;0,IF($R12:$R20=1,I12:I20,"")))</f>
        <v>3222.316176468672</v>
      </c>
      <c r="J26" s="2652">
        <f t="array" ref="J26">MEDIAN(IF(J12:J20&lt;&gt;0,IF($R12:$R20=1,J12:J20,"")))</f>
        <v>3594.1378325355699</v>
      </c>
      <c r="K26" s="2652">
        <f t="array" ref="K26">MEDIAN(IF(K12:K20&lt;&gt;0,IF($R12:$R20=1,K12:K20,"")))</f>
        <v>3949.3278867594186</v>
      </c>
      <c r="L26" s="2652">
        <f t="array" ref="L26">MEDIAN(IF(L12:L20&lt;&gt;0,IF($R12:$R20=1,L12:L20,"")))</f>
        <v>4281.2352583710981</v>
      </c>
      <c r="M26" s="2653">
        <f t="array" ref="M26">MEDIAN(IF(M12:M20&lt;&gt;0,IF($R12:$R20=1,M12:M20,"")))</f>
        <v>4618.7526413746018</v>
      </c>
      <c r="N26" s="136"/>
      <c r="O26" s="136"/>
      <c r="Q26" s="2605"/>
    </row>
    <row r="27" spans="1:24" s="2608" customFormat="1" ht="12.75">
      <c r="A27" s="2606"/>
      <c r="B27" s="2654" t="s">
        <v>2970</v>
      </c>
      <c r="C27" s="2655">
        <f>C26/C22</f>
        <v>0.15411217860439119</v>
      </c>
      <c r="D27" s="2655">
        <f t="shared" ref="D27:M27" si="4">D26/D22</f>
        <v>0.14590900294943332</v>
      </c>
      <c r="E27" s="2655">
        <f t="shared" si="4"/>
        <v>0.13704141357449512</v>
      </c>
      <c r="F27" s="2655">
        <f t="shared" si="4"/>
        <v>0.12917012518970128</v>
      </c>
      <c r="G27" s="2655">
        <f t="shared" si="4"/>
        <v>0.12238575716832176</v>
      </c>
      <c r="H27" s="2655">
        <f t="shared" si="4"/>
        <v>9.6538415754877649E-2</v>
      </c>
      <c r="I27" s="2655">
        <f t="shared" si="4"/>
        <v>0.10110816736478162</v>
      </c>
      <c r="J27" s="2655">
        <f t="shared" si="4"/>
        <v>0.10378675994752623</v>
      </c>
      <c r="K27" s="2655">
        <f t="shared" si="4"/>
        <v>0.10571252414346892</v>
      </c>
      <c r="L27" s="2655">
        <f t="shared" si="4"/>
        <v>0.10674381134788288</v>
      </c>
      <c r="M27" s="2656">
        <f t="shared" si="4"/>
        <v>0.10771577527802421</v>
      </c>
      <c r="N27" s="2651"/>
      <c r="O27" s="2651"/>
      <c r="Q27" s="2605"/>
    </row>
    <row r="28" spans="1:24" s="2606" customFormat="1" ht="12.75">
      <c r="B28" s="2657"/>
      <c r="C28" s="2605"/>
      <c r="D28" s="2605"/>
      <c r="E28" s="2605"/>
      <c r="F28" s="2605"/>
      <c r="G28" s="2605"/>
      <c r="H28" s="2605"/>
      <c r="I28" s="2605"/>
      <c r="J28" s="2605"/>
      <c r="K28" s="2605"/>
      <c r="L28" s="2605"/>
      <c r="M28" s="2605"/>
      <c r="N28" s="2605"/>
      <c r="O28" s="2605"/>
      <c r="Q28" s="2605"/>
    </row>
    <row r="29" spans="1:24" s="2606" customFormat="1" ht="12.75">
      <c r="B29" s="2658" t="s">
        <v>3632</v>
      </c>
      <c r="C29" s="2659"/>
      <c r="D29" s="2659"/>
      <c r="E29" s="2659"/>
      <c r="F29" s="2659"/>
      <c r="G29" s="2659"/>
      <c r="H29" s="2659"/>
      <c r="I29" s="2659"/>
      <c r="J29" s="2659"/>
      <c r="K29" s="2659"/>
      <c r="L29" s="2659"/>
      <c r="M29" s="2659"/>
      <c r="N29" s="2659"/>
      <c r="O29" s="2659"/>
      <c r="P29" s="2660"/>
      <c r="Q29" s="2605"/>
    </row>
    <row r="30" spans="1:24" s="2606" customFormat="1" ht="12.75">
      <c r="B30" s="2657"/>
      <c r="C30" s="2605"/>
      <c r="D30" s="2605"/>
      <c r="E30" s="2605"/>
      <c r="F30" s="2605"/>
      <c r="G30" s="2605"/>
      <c r="H30" s="2605"/>
      <c r="I30" s="2605"/>
      <c r="J30" s="2605"/>
      <c r="K30" s="2605"/>
      <c r="L30" s="2605"/>
      <c r="M30" s="2605"/>
      <c r="N30" s="2605"/>
      <c r="O30" s="2605"/>
      <c r="Q30" s="2605"/>
    </row>
    <row r="31" spans="1:24" s="2606" customFormat="1" ht="12.75">
      <c r="B31" s="2609" t="s">
        <v>2965</v>
      </c>
      <c r="C31" s="2610">
        <f>C6</f>
        <v>2012</v>
      </c>
      <c r="D31" s="2610">
        <f t="shared" ref="D31:O31" si="5">C31+1</f>
        <v>2013</v>
      </c>
      <c r="E31" s="2610">
        <f t="shared" si="5"/>
        <v>2014</v>
      </c>
      <c r="F31" s="2610">
        <f t="shared" si="5"/>
        <v>2015</v>
      </c>
      <c r="G31" s="2610">
        <f t="shared" si="5"/>
        <v>2016</v>
      </c>
      <c r="H31" s="2610">
        <f t="shared" si="5"/>
        <v>2017</v>
      </c>
      <c r="I31" s="2610">
        <f t="shared" si="5"/>
        <v>2018</v>
      </c>
      <c r="J31" s="2610">
        <f t="shared" si="5"/>
        <v>2019</v>
      </c>
      <c r="K31" s="2610">
        <f t="shared" si="5"/>
        <v>2020</v>
      </c>
      <c r="L31" s="2610">
        <f t="shared" si="5"/>
        <v>2021</v>
      </c>
      <c r="M31" s="2610">
        <f t="shared" si="5"/>
        <v>2022</v>
      </c>
      <c r="N31" s="2610">
        <f t="shared" si="5"/>
        <v>2023</v>
      </c>
      <c r="O31" s="2610">
        <f t="shared" si="5"/>
        <v>2024</v>
      </c>
      <c r="P31" s="2611" t="s">
        <v>2966</v>
      </c>
      <c r="Q31" s="2605"/>
    </row>
    <row r="32" spans="1:24" s="2606" customFormat="1" ht="12.75">
      <c r="B32" s="2661" t="str">
        <f>B10</f>
        <v>Summary</v>
      </c>
      <c r="C32" s="2662"/>
      <c r="D32" s="2662"/>
      <c r="E32" s="2662"/>
      <c r="F32" s="2662"/>
      <c r="G32" s="2662"/>
      <c r="H32" s="2662"/>
      <c r="I32" s="2662"/>
      <c r="J32" s="2662"/>
      <c r="K32" s="2662"/>
      <c r="L32" s="2662"/>
      <c r="M32" s="2662"/>
      <c r="N32" s="2662"/>
      <c r="O32" s="2662"/>
      <c r="P32" s="2663"/>
      <c r="Q32" s="2605"/>
    </row>
    <row r="33" spans="2:21" s="2606" customFormat="1" ht="12.75">
      <c r="B33" s="2633" t="str">
        <f>B11</f>
        <v>Marketed</v>
      </c>
      <c r="C33" s="2605"/>
      <c r="D33" s="2605"/>
      <c r="E33" s="2605"/>
      <c r="F33" s="2605"/>
      <c r="G33" s="2605"/>
      <c r="H33" s="2605"/>
      <c r="I33" s="2605"/>
      <c r="J33" s="2605"/>
      <c r="K33" s="2605"/>
      <c r="L33" s="2605"/>
      <c r="M33" s="2605"/>
      <c r="N33" s="2605"/>
      <c r="O33" s="2605"/>
      <c r="P33" s="2664"/>
      <c r="Q33" s="2605"/>
      <c r="R33" s="2630" t="s">
        <v>2968</v>
      </c>
      <c r="S33" s="2665"/>
      <c r="T33" s="2665"/>
      <c r="U33" s="2666"/>
    </row>
    <row r="34" spans="2:21" s="2606" customFormat="1" ht="12.75">
      <c r="B34" s="2667" t="str">
        <f>'Sheet 1_diabetes'!C8</f>
        <v>Trulicity</v>
      </c>
      <c r="C34" s="2851"/>
      <c r="D34" s="2851"/>
      <c r="E34" s="2851"/>
      <c r="F34" s="2851"/>
      <c r="G34" s="2851"/>
      <c r="H34" s="2638">
        <f>'Sheet 1_diabetes'!AG8</f>
        <v>2029.8</v>
      </c>
      <c r="I34" s="2638">
        <f>'Sheet 1_diabetes'!AH8</f>
        <v>2872.39314492944</v>
      </c>
      <c r="J34" s="2638">
        <f>'Sheet 1_diabetes'!AI8</f>
        <v>3397.0548113713799</v>
      </c>
      <c r="K34" s="2638">
        <f>'Sheet 1_diabetes'!AJ8</f>
        <v>3858.4359272104198</v>
      </c>
      <c r="L34" s="2638">
        <f>'Sheet 1_diabetes'!AK8</f>
        <v>4174.8157549587904</v>
      </c>
      <c r="M34" s="2638">
        <f>'Sheet 1_diabetes'!AL8</f>
        <v>4406.8895510298698</v>
      </c>
      <c r="N34" s="2638">
        <f>'Sheet 1_diabetes'!AM8</f>
        <v>4571.7423902816299</v>
      </c>
      <c r="O34" s="2638">
        <f>'Sheet 1_diabetes'!AN8</f>
        <v>4725.8168121402095</v>
      </c>
      <c r="P34" s="2664"/>
      <c r="Q34" s="2605"/>
      <c r="R34" s="2668">
        <v>1</v>
      </c>
      <c r="T34" s="2606" t="s">
        <v>3641</v>
      </c>
      <c r="U34" s="2664"/>
    </row>
    <row r="35" spans="2:21" s="2606" customFormat="1" ht="12.75">
      <c r="B35" s="2667" t="str">
        <f>'Sheet 1_diabetes'!C10</f>
        <v>Jardiance</v>
      </c>
      <c r="C35" s="2851"/>
      <c r="D35" s="2851"/>
      <c r="E35" s="2851"/>
      <c r="F35" s="2851"/>
      <c r="G35" s="2851"/>
      <c r="H35" s="2638">
        <f>'Sheet 1_diabetes'!AG10</f>
        <v>1139.0809373070899</v>
      </c>
      <c r="I35" s="2638">
        <f>'Sheet 1_diabetes'!AH10</f>
        <v>1548.5873075310899</v>
      </c>
      <c r="J35" s="2638">
        <f>'Sheet 1_diabetes'!AI10</f>
        <v>1979.6644693267499</v>
      </c>
      <c r="K35" s="2638">
        <f>'Sheet 1_diabetes'!AJ10</f>
        <v>2185.00889879541</v>
      </c>
      <c r="L35" s="2638">
        <f>'Sheet 1_diabetes'!AK10</f>
        <v>2553.1259110420701</v>
      </c>
      <c r="M35" s="2638">
        <f>'Sheet 1_diabetes'!AL10</f>
        <v>2826.5259708953699</v>
      </c>
      <c r="N35" s="2638">
        <f>'Sheet 1_diabetes'!AM10</f>
        <v>3040.48628411653</v>
      </c>
      <c r="O35" s="2638">
        <f>'Sheet 1_diabetes'!AN10</f>
        <v>3246.26582404084</v>
      </c>
      <c r="P35" s="2664"/>
      <c r="Q35" s="2605"/>
      <c r="R35" s="2668">
        <v>1</v>
      </c>
      <c r="T35" s="2606" t="s">
        <v>3644</v>
      </c>
      <c r="U35" s="2664"/>
    </row>
    <row r="36" spans="2:21" s="2606" customFormat="1" ht="12.75">
      <c r="B36" s="2667" t="str">
        <f>'Sheet 1_diabetes'!C11</f>
        <v>Tresiba</v>
      </c>
      <c r="C36" s="2851"/>
      <c r="D36" s="2851"/>
      <c r="E36" s="2851"/>
      <c r="F36" s="2851"/>
      <c r="G36" s="2851"/>
      <c r="H36" s="2958">
        <f>'Sheet 1_diabetes'!AG11</f>
        <v>1113.2809527362499</v>
      </c>
      <c r="I36" s="2958">
        <f>'Sheet 1_diabetes'!AH11</f>
        <v>1416.3768608701</v>
      </c>
      <c r="J36" s="2958">
        <f>'Sheet 1_diabetes'!AI11</f>
        <v>1755.5809650782401</v>
      </c>
      <c r="K36" s="2958">
        <f>'Sheet 1_diabetes'!AJ11</f>
        <v>2084.4825364582098</v>
      </c>
      <c r="L36" s="2958">
        <f>'Sheet 1_diabetes'!AK11</f>
        <v>2393.8726324435902</v>
      </c>
      <c r="M36" s="2958">
        <f>'Sheet 1_diabetes'!AL11</f>
        <v>2688.6279114331001</v>
      </c>
      <c r="N36" s="2958">
        <f>'Sheet 1_diabetes'!AM11</f>
        <v>2989.3151618172301</v>
      </c>
      <c r="O36" s="2958">
        <f>'Sheet 1_diabetes'!AN11</f>
        <v>3194.6733434405801</v>
      </c>
      <c r="P36" s="2664"/>
      <c r="Q36" s="2605"/>
      <c r="R36" s="2668">
        <v>0</v>
      </c>
      <c r="T36" s="2606" t="s">
        <v>3636</v>
      </c>
      <c r="U36" s="2664"/>
    </row>
    <row r="37" spans="2:21" s="2606" customFormat="1" ht="12.75">
      <c r="B37" s="2667" t="str">
        <f>'Sheet 1_diabetes'!C12</f>
        <v>Farxiga</v>
      </c>
      <c r="C37" s="2851"/>
      <c r="D37" s="2851"/>
      <c r="E37" s="2851"/>
      <c r="F37" s="2851"/>
      <c r="G37" s="2851"/>
      <c r="H37" s="2638">
        <f>'Sheet 1_diabetes'!AG12</f>
        <v>1021</v>
      </c>
      <c r="I37" s="2638">
        <f>'Sheet 1_diabetes'!AH12</f>
        <v>1346.80510971084</v>
      </c>
      <c r="J37" s="2638">
        <f>'Sheet 1_diabetes'!AI12</f>
        <v>1576.2737127523901</v>
      </c>
      <c r="K37" s="2638">
        <f>'Sheet 1_diabetes'!AJ12</f>
        <v>1728.34684411383</v>
      </c>
      <c r="L37" s="2638">
        <f>'Sheet 1_diabetes'!AK12</f>
        <v>1849.2760366889599</v>
      </c>
      <c r="M37" s="2638">
        <f>'Sheet 1_diabetes'!AL12</f>
        <v>1940.75258587096</v>
      </c>
      <c r="N37" s="2638">
        <f>'Sheet 1_diabetes'!AM12</f>
        <v>2016.93959339197</v>
      </c>
      <c r="O37" s="2638">
        <f>'Sheet 1_diabetes'!AN12</f>
        <v>2114.8108528309399</v>
      </c>
      <c r="P37" s="2664"/>
      <c r="Q37" s="2954"/>
      <c r="R37" s="2668">
        <v>1</v>
      </c>
      <c r="T37" s="2606" t="s">
        <v>3644</v>
      </c>
      <c r="U37" s="2664"/>
    </row>
    <row r="38" spans="2:21" s="2606" customFormat="1" ht="12.75">
      <c r="B38" s="2667" t="str">
        <f>'Sheet 1_diabetes'!C14</f>
        <v>NovoRapid</v>
      </c>
      <c r="C38" s="2851"/>
      <c r="D38" s="2851"/>
      <c r="E38" s="2851"/>
      <c r="F38" s="2851"/>
      <c r="G38" s="2851"/>
      <c r="H38" s="2958">
        <f>'Sheet 1_diabetes'!AG14</f>
        <v>3042.6437939870798</v>
      </c>
      <c r="I38" s="2958">
        <f>'Sheet 1_diabetes'!AH14</f>
        <v>3020.9235451853001</v>
      </c>
      <c r="J38" s="2958">
        <f>'Sheet 1_diabetes'!AI14</f>
        <v>2901.0050534911902</v>
      </c>
      <c r="K38" s="2958">
        <f>'Sheet 1_diabetes'!AJ14</f>
        <v>2781.2676907571499</v>
      </c>
      <c r="L38" s="2958">
        <f>'Sheet 1_diabetes'!AK14</f>
        <v>2670.5173152288298</v>
      </c>
      <c r="M38" s="2958">
        <f>'Sheet 1_diabetes'!AL14</f>
        <v>2590.93721810429</v>
      </c>
      <c r="N38" s="2958">
        <f>'Sheet 1_diabetes'!AM14</f>
        <v>2505.1467034576699</v>
      </c>
      <c r="O38" s="2958">
        <f>'Sheet 1_diabetes'!AN14</f>
        <v>2433.69008710349</v>
      </c>
      <c r="P38" s="2664"/>
      <c r="Q38" s="2954" t="s">
        <v>246</v>
      </c>
      <c r="R38" s="2668">
        <v>0</v>
      </c>
      <c r="T38" s="2606" t="s">
        <v>3639</v>
      </c>
      <c r="U38" s="2664"/>
    </row>
    <row r="39" spans="2:21" s="2606" customFormat="1" ht="12.75">
      <c r="B39" s="2667" t="str">
        <f>'Sheet 1_diabetes'!C16</f>
        <v>Lantus</v>
      </c>
      <c r="C39" s="2851"/>
      <c r="D39" s="2851"/>
      <c r="E39" s="2851"/>
      <c r="F39" s="2851"/>
      <c r="G39" s="2851"/>
      <c r="H39" s="2958">
        <f>'Sheet 1_diabetes'!AG16</f>
        <v>5223.0477105489599</v>
      </c>
      <c r="I39" s="2958">
        <f>'Sheet 1_diabetes'!AH16</f>
        <v>4302.7265365431103</v>
      </c>
      <c r="J39" s="2958">
        <f>'Sheet 1_diabetes'!AI16</f>
        <v>3718.85218886241</v>
      </c>
      <c r="K39" s="2958">
        <f>'Sheet 1_diabetes'!AJ16</f>
        <v>3301.2064001088502</v>
      </c>
      <c r="L39" s="2958">
        <f>'Sheet 1_diabetes'!AK16</f>
        <v>2947.7817666821802</v>
      </c>
      <c r="M39" s="2958">
        <f>'Sheet 1_diabetes'!AL16</f>
        <v>2679.9826906346898</v>
      </c>
      <c r="N39" s="2958">
        <f>'Sheet 1_diabetes'!AM16</f>
        <v>2438.7583785983102</v>
      </c>
      <c r="O39" s="2958">
        <f>'Sheet 1_diabetes'!AN16</f>
        <v>2192.8588535735198</v>
      </c>
      <c r="P39" s="2664"/>
      <c r="Q39" s="2954" t="s">
        <v>246</v>
      </c>
      <c r="R39" s="2668">
        <v>0</v>
      </c>
      <c r="T39" s="2606" t="s">
        <v>3637</v>
      </c>
      <c r="U39" s="2664"/>
    </row>
    <row r="40" spans="2:21" s="2606" customFormat="1" ht="12.75">
      <c r="B40" s="2667" t="str">
        <f>'Sheet 1_diabetes'!C17</f>
        <v>Tradjenta</v>
      </c>
      <c r="C40" s="2851"/>
      <c r="D40" s="2851"/>
      <c r="E40" s="2851"/>
      <c r="F40" s="2851"/>
      <c r="G40" s="2851"/>
      <c r="H40" s="2638">
        <f>'Sheet 1_diabetes'!AG17</f>
        <v>1506.34413633963</v>
      </c>
      <c r="I40" s="2638">
        <f>'Sheet 1_diabetes'!AH17</f>
        <v>1765.1251570434899</v>
      </c>
      <c r="J40" s="2638">
        <f>'Sheet 1_diabetes'!AI17</f>
        <v>1878.3217904719099</v>
      </c>
      <c r="K40" s="2638">
        <f>'Sheet 1_diabetes'!AJ17</f>
        <v>1969.25161947789</v>
      </c>
      <c r="L40" s="2638">
        <f>'Sheet 1_diabetes'!AK17</f>
        <v>1985.6454308012501</v>
      </c>
      <c r="M40" s="2638">
        <f>'Sheet 1_diabetes'!AL17</f>
        <v>1953.10999778927</v>
      </c>
      <c r="N40" s="2638">
        <f>'Sheet 1_diabetes'!AM17</f>
        <v>1834.8770340016299</v>
      </c>
      <c r="O40" s="2638">
        <f>'Sheet 1_diabetes'!AN17</f>
        <v>1716.7035480347699</v>
      </c>
      <c r="P40" s="2664"/>
      <c r="Q40" s="2605"/>
      <c r="R40" s="2668">
        <v>1</v>
      </c>
      <c r="T40" s="2606" t="s">
        <v>3638</v>
      </c>
      <c r="U40" s="2664"/>
    </row>
    <row r="41" spans="2:21" s="2606" customFormat="1" ht="12.75">
      <c r="B41" s="2667" t="str">
        <f>'Sheet 1_diabetes'!C18</f>
        <v>Humalog</v>
      </c>
      <c r="C41" s="2851"/>
      <c r="D41" s="2851"/>
      <c r="E41" s="2851"/>
      <c r="F41" s="2851"/>
      <c r="G41" s="2851"/>
      <c r="H41" s="2958">
        <f>'Sheet 1_diabetes'!AG18</f>
        <v>2865.2</v>
      </c>
      <c r="I41" s="2958">
        <f>'Sheet 1_diabetes'!AH18</f>
        <v>2924.4052492516998</v>
      </c>
      <c r="J41" s="2958">
        <f>'Sheet 1_diabetes'!AI18</f>
        <v>2728.2398072393598</v>
      </c>
      <c r="K41" s="2958">
        <f>'Sheet 1_diabetes'!AJ18</f>
        <v>2499.1305316141902</v>
      </c>
      <c r="L41" s="2958">
        <f>'Sheet 1_diabetes'!AK18</f>
        <v>2288.1289297409098</v>
      </c>
      <c r="M41" s="2958">
        <f>'Sheet 1_diabetes'!AL18</f>
        <v>2119.5658544848602</v>
      </c>
      <c r="N41" s="2958">
        <f>'Sheet 1_diabetes'!AM18</f>
        <v>1971.1468948966999</v>
      </c>
      <c r="O41" s="2958">
        <f>'Sheet 1_diabetes'!AN18</f>
        <v>1831.5754426916899</v>
      </c>
      <c r="P41" s="2664"/>
      <c r="Q41" s="2954" t="s">
        <v>246</v>
      </c>
      <c r="R41" s="2668">
        <v>0</v>
      </c>
      <c r="T41" s="2606" t="s">
        <v>3639</v>
      </c>
      <c r="U41" s="2664"/>
    </row>
    <row r="42" spans="2:21" s="2606" customFormat="1" ht="12.75">
      <c r="B42" s="2667" t="str">
        <f>'Sheet 1_diabetes'!C19</f>
        <v>Toujeo</v>
      </c>
      <c r="C42" s="2851"/>
      <c r="D42" s="2851"/>
      <c r="E42" s="2851"/>
      <c r="F42" s="2851"/>
      <c r="G42" s="2851"/>
      <c r="H42" s="2638">
        <f>'Sheet 1_diabetes'!AG19</f>
        <v>922.11313972478399</v>
      </c>
      <c r="I42" s="2638">
        <f>'Sheet 1_diabetes'!AH19</f>
        <v>1085.86455215776</v>
      </c>
      <c r="J42" s="2638">
        <f>'Sheet 1_diabetes'!AI19</f>
        <v>1192.97733183066</v>
      </c>
      <c r="K42" s="2638">
        <f>'Sheet 1_diabetes'!AJ19</f>
        <v>1300.4371479675499</v>
      </c>
      <c r="L42" s="2638">
        <f>'Sheet 1_diabetes'!AK19</f>
        <v>1389.2399037205701</v>
      </c>
      <c r="M42" s="2638">
        <f>'Sheet 1_diabetes'!AL19</f>
        <v>1454.11983614008</v>
      </c>
      <c r="N42" s="2638">
        <f>'Sheet 1_diabetes'!AM19</f>
        <v>1512.5269947969</v>
      </c>
      <c r="O42" s="2638">
        <f>'Sheet 1_diabetes'!AN19</f>
        <v>1567.7256292380901</v>
      </c>
      <c r="P42" s="2664"/>
      <c r="Q42" s="2605"/>
      <c r="R42" s="2668">
        <v>1</v>
      </c>
      <c r="T42" s="2606" t="s">
        <v>3637</v>
      </c>
      <c r="U42" s="2664"/>
    </row>
    <row r="43" spans="2:21" s="2606" customFormat="1" ht="12.75">
      <c r="B43" s="2667" t="str">
        <f>'Sheet 1_diabetes'!C20</f>
        <v>NovoMix 30</v>
      </c>
      <c r="C43" s="2851"/>
      <c r="D43" s="2851"/>
      <c r="E43" s="2851"/>
      <c r="F43" s="2851"/>
      <c r="G43" s="2851"/>
      <c r="H43" s="2638">
        <f>'Sheet 1_diabetes'!AG20</f>
        <v>1558.47178002125</v>
      </c>
      <c r="I43" s="2638">
        <f>'Sheet 1_diabetes'!AH20</f>
        <v>1561.33793252139</v>
      </c>
      <c r="J43" s="2638">
        <f>'Sheet 1_diabetes'!AI20</f>
        <v>1534.9225794311601</v>
      </c>
      <c r="K43" s="2638">
        <f>'Sheet 1_diabetes'!AJ20</f>
        <v>1510.11470575112</v>
      </c>
      <c r="L43" s="2638">
        <f>'Sheet 1_diabetes'!AK20</f>
        <v>1522.94168654537</v>
      </c>
      <c r="M43" s="2638">
        <f>'Sheet 1_diabetes'!AL20</f>
        <v>1533.2106868507899</v>
      </c>
      <c r="N43" s="2638">
        <f>'Sheet 1_diabetes'!AM20</f>
        <v>1539.5280711371099</v>
      </c>
      <c r="O43" s="2638">
        <f>'Sheet 1_diabetes'!AN20</f>
        <v>1539.5970121053299</v>
      </c>
      <c r="P43" s="2664"/>
      <c r="Q43" s="2605"/>
      <c r="R43" s="2668">
        <v>1</v>
      </c>
      <c r="T43" s="2606" t="s">
        <v>3640</v>
      </c>
      <c r="U43" s="2664"/>
    </row>
    <row r="44" spans="2:21" s="2606" customFormat="1" ht="12.75">
      <c r="B44" s="2667" t="str">
        <f>'Sheet 1_diabetes'!C21</f>
        <v>Victoza</v>
      </c>
      <c r="C44" s="2851"/>
      <c r="D44" s="2851"/>
      <c r="E44" s="2851"/>
      <c r="F44" s="2851"/>
      <c r="G44" s="2851"/>
      <c r="H44" s="2958">
        <f>'Sheet 1_diabetes'!AG21</f>
        <v>3520.9580343601801</v>
      </c>
      <c r="I44" s="2958">
        <f>'Sheet 1_diabetes'!AH21</f>
        <v>3974.8513720835399</v>
      </c>
      <c r="J44" s="2958">
        <f>'Sheet 1_diabetes'!AI21</f>
        <v>3870.1200448527402</v>
      </c>
      <c r="K44" s="2958">
        <f>'Sheet 1_diabetes'!AJ21</f>
        <v>3573.0600885866402</v>
      </c>
      <c r="L44" s="2958">
        <f>'Sheet 1_diabetes'!AK21</f>
        <v>3211.0540493237399</v>
      </c>
      <c r="M44" s="2958">
        <f>'Sheet 1_diabetes'!AL21</f>
        <v>2793.0886774711198</v>
      </c>
      <c r="N44" s="2958">
        <f>'Sheet 1_diabetes'!AM21</f>
        <v>1727.5004319055599</v>
      </c>
      <c r="O44" s="2958">
        <f>'Sheet 1_diabetes'!AN21</f>
        <v>1195.4286358578499</v>
      </c>
      <c r="P44" s="2664"/>
      <c r="Q44" s="2954" t="s">
        <v>246</v>
      </c>
      <c r="R44" s="2668">
        <v>0</v>
      </c>
      <c r="T44" s="2606" t="s">
        <v>3641</v>
      </c>
      <c r="U44" s="2664"/>
    </row>
    <row r="45" spans="2:21" s="2606" customFormat="1" ht="12.75">
      <c r="B45" s="2667" t="str">
        <f>'Sheet 1_diabetes'!C24</f>
        <v>Humulin R</v>
      </c>
      <c r="C45" s="2851"/>
      <c r="D45" s="2851"/>
      <c r="E45" s="2851"/>
      <c r="F45" s="2851"/>
      <c r="G45" s="2851"/>
      <c r="H45" s="2958">
        <f>'Sheet 1_diabetes'!AG24</f>
        <v>1335.4</v>
      </c>
      <c r="I45" s="2958">
        <f>'Sheet 1_diabetes'!AH24</f>
        <v>1331.3544640748501</v>
      </c>
      <c r="J45" s="2958">
        <f>'Sheet 1_diabetes'!AI24</f>
        <v>1313.4591203208399</v>
      </c>
      <c r="K45" s="2958">
        <f>'Sheet 1_diabetes'!AJ24</f>
        <v>1292.9404723406201</v>
      </c>
      <c r="L45" s="2958">
        <f>'Sheet 1_diabetes'!AK24</f>
        <v>1273.624305559</v>
      </c>
      <c r="M45" s="2958">
        <f>'Sheet 1_diabetes'!AL24</f>
        <v>1253.64808085703</v>
      </c>
      <c r="N45" s="2958">
        <f>'Sheet 1_diabetes'!AM24</f>
        <v>1231.37731529236</v>
      </c>
      <c r="O45" s="2958">
        <f>'Sheet 1_diabetes'!AN24</f>
        <v>1211.60487864066</v>
      </c>
      <c r="P45" s="2664"/>
      <c r="Q45" s="2954" t="s">
        <v>246</v>
      </c>
      <c r="R45" s="2668">
        <v>0</v>
      </c>
      <c r="T45" s="2606" t="s">
        <v>3642</v>
      </c>
      <c r="U45" s="2664"/>
    </row>
    <row r="46" spans="2:21" s="2606" customFormat="1" ht="12.75">
      <c r="B46" s="2667" t="str">
        <f>'Sheet 1_diabetes'!C25</f>
        <v>Human Insulin &amp; Devices</v>
      </c>
      <c r="C46" s="2851"/>
      <c r="D46" s="2851"/>
      <c r="E46" s="2851"/>
      <c r="F46" s="2851"/>
      <c r="G46" s="2851"/>
      <c r="H46" s="2958">
        <f>'Sheet 1_diabetes'!AG25</f>
        <v>1530.36246157493</v>
      </c>
      <c r="I46" s="2958">
        <f>'Sheet 1_diabetes'!AH25</f>
        <v>1469.08235633756</v>
      </c>
      <c r="J46" s="2958">
        <f>'Sheet 1_diabetes'!AI25</f>
        <v>1393.7269778648499</v>
      </c>
      <c r="K46" s="2958">
        <f>'Sheet 1_diabetes'!AJ25</f>
        <v>1338.7657079005701</v>
      </c>
      <c r="L46" s="2958">
        <f>'Sheet 1_diabetes'!AK25</f>
        <v>1292.69122460068</v>
      </c>
      <c r="M46" s="2958">
        <f>'Sheet 1_diabetes'!AL25</f>
        <v>1252.9483311715301</v>
      </c>
      <c r="N46" s="2958">
        <f>'Sheet 1_diabetes'!AM25</f>
        <v>1216.3026124186899</v>
      </c>
      <c r="O46" s="2958">
        <f>'Sheet 1_diabetes'!AN25</f>
        <v>1169.0548600033001</v>
      </c>
      <c r="P46" s="2664"/>
      <c r="Q46" s="2954" t="s">
        <v>246</v>
      </c>
      <c r="R46" s="2668">
        <v>0</v>
      </c>
      <c r="T46" s="2606" t="s">
        <v>3643</v>
      </c>
      <c r="U46" s="2664"/>
    </row>
    <row r="47" spans="2:21" s="2606" customFormat="1" ht="12.75">
      <c r="B47" s="2667" t="str">
        <f>'Sheet 1_diabetes'!C26</f>
        <v>Levemir</v>
      </c>
      <c r="C47" s="2851"/>
      <c r="D47" s="2851"/>
      <c r="E47" s="2851"/>
      <c r="F47" s="2851"/>
      <c r="G47" s="2851"/>
      <c r="H47" s="2958">
        <f>'Sheet 1_diabetes'!AG26</f>
        <v>2145.1208531091002</v>
      </c>
      <c r="I47" s="2958">
        <f>'Sheet 1_diabetes'!AH26</f>
        <v>1781.7860195243099</v>
      </c>
      <c r="J47" s="2958">
        <f>'Sheet 1_diabetes'!AI26</f>
        <v>1555.94379526647</v>
      </c>
      <c r="K47" s="2958">
        <f>'Sheet 1_diabetes'!AJ26</f>
        <v>1409.2101928319501</v>
      </c>
      <c r="L47" s="2958">
        <f>'Sheet 1_diabetes'!AK26</f>
        <v>1301.4267376641899</v>
      </c>
      <c r="M47" s="2958">
        <f>'Sheet 1_diabetes'!AL26</f>
        <v>1221.0902374653899</v>
      </c>
      <c r="N47" s="2958">
        <f>'Sheet 1_diabetes'!AM26</f>
        <v>1160.2007774962401</v>
      </c>
      <c r="O47" s="2958">
        <f>'Sheet 1_diabetes'!AN26</f>
        <v>1106.8429066291101</v>
      </c>
      <c r="P47" s="2664"/>
      <c r="Q47" s="2954" t="s">
        <v>246</v>
      </c>
      <c r="R47" s="2668">
        <v>0</v>
      </c>
      <c r="T47" s="2606" t="s">
        <v>3636</v>
      </c>
      <c r="U47" s="2664"/>
    </row>
    <row r="48" spans="2:21" s="2606" customFormat="1" ht="12.75">
      <c r="B48" s="2667" t="str">
        <f>'Sheet 1_diabetes'!C30</f>
        <v>Januvia</v>
      </c>
      <c r="C48" s="2851"/>
      <c r="D48" s="2851"/>
      <c r="E48" s="2851"/>
      <c r="F48" s="2851"/>
      <c r="G48" s="2851"/>
      <c r="H48" s="2638">
        <f>'Sheet 1_diabetes'!AG30</f>
        <v>3737</v>
      </c>
      <c r="I48" s="2638">
        <f>'Sheet 1_diabetes'!AH30</f>
        <v>3693.94108986535</v>
      </c>
      <c r="J48" s="2638">
        <f>'Sheet 1_diabetes'!AI30</f>
        <v>3593.2614371979998</v>
      </c>
      <c r="K48" s="2638">
        <f>'Sheet 1_diabetes'!AJ30</f>
        <v>3501.62156612646</v>
      </c>
      <c r="L48" s="2638">
        <f>'Sheet 1_diabetes'!AK30</f>
        <v>3403.0041833938499</v>
      </c>
      <c r="M48" s="2638">
        <f>'Sheet 1_diabetes'!AL30</f>
        <v>2508.2003998964601</v>
      </c>
      <c r="N48" s="2638">
        <f>'Sheet 1_diabetes'!AM30</f>
        <v>1117.3553385549801</v>
      </c>
      <c r="O48" s="2638">
        <f>'Sheet 1_diabetes'!AN30</f>
        <v>677.60986338442103</v>
      </c>
      <c r="P48" s="2664"/>
      <c r="Q48" s="2605"/>
      <c r="R48" s="2668">
        <v>1</v>
      </c>
      <c r="T48" s="2606" t="s">
        <v>3635</v>
      </c>
      <c r="U48" s="2664"/>
    </row>
    <row r="49" spans="1:21" s="2606" customFormat="1" ht="12.75">
      <c r="B49" s="2667" t="str">
        <f>'Sheet 1_diabetes'!C32</f>
        <v>Janumet</v>
      </c>
      <c r="C49" s="2851"/>
      <c r="D49" s="2851"/>
      <c r="E49" s="2851"/>
      <c r="F49" s="2851"/>
      <c r="G49" s="2851"/>
      <c r="H49" s="2638">
        <f>'Sheet 1_diabetes'!AG32</f>
        <v>2158</v>
      </c>
      <c r="I49" s="2638">
        <f>'Sheet 1_diabetes'!AH32</f>
        <v>2240.3749064623698</v>
      </c>
      <c r="J49" s="2638">
        <f>'Sheet 1_diabetes'!AI32</f>
        <v>2239.2067113199901</v>
      </c>
      <c r="K49" s="2638">
        <f>'Sheet 1_diabetes'!AJ32</f>
        <v>2228.3231913353802</v>
      </c>
      <c r="L49" s="2638">
        <f>'Sheet 1_diabetes'!AK32</f>
        <v>2199.3362612036199</v>
      </c>
      <c r="M49" s="2638">
        <f>'Sheet 1_diabetes'!AL32</f>
        <v>1714.9816771494</v>
      </c>
      <c r="N49" s="2638">
        <f>'Sheet 1_diabetes'!AM32</f>
        <v>963.97388491117795</v>
      </c>
      <c r="O49" s="2638">
        <f>'Sheet 1_diabetes'!AN32</f>
        <v>608.51472838956704</v>
      </c>
      <c r="P49" s="2664"/>
      <c r="Q49" s="2605"/>
      <c r="R49" s="2668">
        <v>1</v>
      </c>
      <c r="T49" s="2606" t="s">
        <v>3635</v>
      </c>
      <c r="U49" s="2664"/>
    </row>
    <row r="50" spans="1:21" s="2606" customFormat="1" ht="12.75">
      <c r="B50" s="2667" t="str">
        <f>'Sheet 1_diabetes'!C38</f>
        <v>Galvus</v>
      </c>
      <c r="C50" s="2851"/>
      <c r="D50" s="2851"/>
      <c r="E50" s="2851"/>
      <c r="F50" s="2851"/>
      <c r="G50" s="2851"/>
      <c r="H50" s="2638">
        <f>'Sheet 1_diabetes'!AG38</f>
        <v>1233</v>
      </c>
      <c r="I50" s="2638">
        <f>'Sheet 1_diabetes'!AH38</f>
        <v>1311.5615228673801</v>
      </c>
      <c r="J50" s="2638">
        <f>'Sheet 1_diabetes'!AI38</f>
        <v>1346.1599190107499</v>
      </c>
      <c r="K50" s="2638">
        <f>'Sheet 1_diabetes'!AJ38</f>
        <v>1381.73884136128</v>
      </c>
      <c r="L50" s="2638">
        <f>'Sheet 1_diabetes'!AK38</f>
        <v>1415.9341283573499</v>
      </c>
      <c r="M50" s="2638">
        <f>'Sheet 1_diabetes'!AL38</f>
        <v>1118.2989299306801</v>
      </c>
      <c r="N50" s="2638">
        <f>'Sheet 1_diabetes'!AM38</f>
        <v>694.49439400597998</v>
      </c>
      <c r="O50" s="2638">
        <f>'Sheet 1_diabetes'!AN38</f>
        <v>554.26110090453994</v>
      </c>
      <c r="P50" s="2664"/>
      <c r="Q50" s="2605"/>
      <c r="R50" s="2668">
        <v>1</v>
      </c>
      <c r="T50" s="2606" t="s">
        <v>3635</v>
      </c>
      <c r="U50" s="2664"/>
    </row>
    <row r="51" spans="1:21" s="2606" customFormat="1" ht="12.75">
      <c r="B51" s="2667"/>
      <c r="C51" s="2638"/>
      <c r="D51" s="2638"/>
      <c r="E51" s="2638"/>
      <c r="F51" s="2638"/>
      <c r="G51" s="2638"/>
      <c r="H51" s="2638"/>
      <c r="I51" s="2638"/>
      <c r="J51" s="2638"/>
      <c r="K51" s="2638"/>
      <c r="L51" s="2638"/>
      <c r="M51" s="2638"/>
      <c r="N51" s="2638"/>
      <c r="O51" s="2638"/>
      <c r="P51" s="2664"/>
      <c r="Q51" s="2605"/>
      <c r="R51" s="2668"/>
      <c r="U51" s="2664"/>
    </row>
    <row r="52" spans="1:21" s="2606" customFormat="1" ht="12.75">
      <c r="B52" s="2667"/>
      <c r="C52" s="2605"/>
      <c r="D52" s="2605"/>
      <c r="E52" s="1011"/>
      <c r="F52" s="1011"/>
      <c r="G52" s="1011"/>
      <c r="H52" s="2605"/>
      <c r="I52" s="2605"/>
      <c r="J52" s="1011"/>
      <c r="K52" s="1011"/>
      <c r="L52" s="1011"/>
      <c r="M52" s="1011"/>
      <c r="N52" s="2671"/>
      <c r="O52" s="2671"/>
      <c r="P52" s="2664"/>
      <c r="Q52" s="2605"/>
      <c r="R52" s="2668"/>
      <c r="U52" s="2664"/>
    </row>
    <row r="53" spans="1:21" s="2606" customFormat="1" ht="12.75">
      <c r="B53" s="2672" t="str">
        <f>B22</f>
        <v>Total Diabetes Drug Sales</v>
      </c>
      <c r="C53" s="2852"/>
      <c r="D53" s="2852"/>
      <c r="E53" s="2852"/>
      <c r="F53" s="2852"/>
      <c r="G53" s="2852"/>
      <c r="H53" s="2640">
        <f>SUMPRODUCT(H34:H50,$R$34:$R$50)</f>
        <v>15304.809993392753</v>
      </c>
      <c r="I53" s="2640">
        <f t="shared" ref="I53:O53" si="6">SUMPRODUCT(I34:I50,$R$34:$R$50)</f>
        <v>17425.990723089108</v>
      </c>
      <c r="J53" s="2640">
        <f t="shared" si="6"/>
        <v>18737.842762712993</v>
      </c>
      <c r="K53" s="2640">
        <f t="shared" si="6"/>
        <v>19663.27874213934</v>
      </c>
      <c r="L53" s="2640">
        <f t="shared" si="6"/>
        <v>20493.319296711827</v>
      </c>
      <c r="M53" s="2640">
        <f t="shared" si="6"/>
        <v>19456.089635552882</v>
      </c>
      <c r="N53" s="2640">
        <f t="shared" si="6"/>
        <v>17291.923985197907</v>
      </c>
      <c r="O53" s="2640">
        <f t="shared" si="6"/>
        <v>16751.305371068709</v>
      </c>
      <c r="P53" s="2641">
        <f>(O53/H53)^(1/7)-1</f>
        <v>1.2984870715566865E-2</v>
      </c>
      <c r="Q53" s="2605"/>
      <c r="R53" s="2673"/>
      <c r="S53" s="2674"/>
      <c r="T53" s="2674"/>
      <c r="U53" s="2675"/>
    </row>
    <row r="54" spans="1:21" s="2606" customFormat="1" ht="12.75">
      <c r="B54" s="2657"/>
      <c r="C54" s="2605"/>
      <c r="D54" s="2605"/>
      <c r="E54" s="2605"/>
      <c r="F54" s="2605"/>
      <c r="G54" s="2676"/>
      <c r="H54" s="2676"/>
      <c r="I54" s="2676"/>
      <c r="J54" s="2676"/>
      <c r="K54" s="2676"/>
      <c r="L54" s="2676"/>
      <c r="M54" s="2676"/>
      <c r="N54" s="2676"/>
      <c r="O54" s="2676"/>
      <c r="Q54" s="2605"/>
      <c r="R54" s="2677">
        <f>COUNTIF(G54:M54,"Check")</f>
        <v>0</v>
      </c>
      <c r="S54" s="2678" t="s">
        <v>579</v>
      </c>
    </row>
    <row r="55" spans="1:21" s="2606" customFormat="1" ht="12.75">
      <c r="B55" s="2657"/>
      <c r="C55" s="2605"/>
      <c r="D55" s="2605"/>
      <c r="E55" s="2605"/>
      <c r="F55" s="2605"/>
      <c r="G55" s="2676"/>
      <c r="H55" s="2676"/>
      <c r="I55" s="2676"/>
      <c r="J55" s="2676"/>
      <c r="K55" s="2676"/>
      <c r="L55" s="2676"/>
      <c r="M55" s="2676"/>
      <c r="N55" s="2676"/>
      <c r="O55" s="2676"/>
      <c r="Q55" s="2605"/>
      <c r="R55" s="2679"/>
      <c r="S55" s="2679"/>
    </row>
    <row r="56" spans="1:21" s="2606" customFormat="1" ht="12.75">
      <c r="B56" s="2952" t="s">
        <v>43</v>
      </c>
      <c r="C56" s="2951"/>
      <c r="D56" s="2951"/>
      <c r="E56" s="2951"/>
      <c r="F56" s="2951"/>
      <c r="G56" s="2951"/>
      <c r="H56" s="2951">
        <f t="array" ref="H56">AVERAGEIFS(H34:H50,H34:H50,"&lt;&gt;0",$R34:$R50,"&lt;&gt;0")</f>
        <v>1700.5344437103058</v>
      </c>
      <c r="I56" s="2951">
        <f t="array" ref="I56">AVERAGEIFS(I34:I50,I34:I50,"&lt;&gt;0",$R34:$R50,"&lt;&gt;0")</f>
        <v>1936.2211914543452</v>
      </c>
      <c r="J56" s="2951">
        <f t="array" ref="J56">AVERAGEIFS(J34:J50,J34:J50,"&lt;&gt;0",$R34:$R50,"&lt;&gt;0")</f>
        <v>2081.9825291903326</v>
      </c>
      <c r="K56" s="2951">
        <f t="array" ref="K56">AVERAGEIFS(K34:K50,K34:K50,"&lt;&gt;0",$R34:$R50,"&lt;&gt;0")</f>
        <v>2184.8087491265933</v>
      </c>
      <c r="L56" s="2951">
        <f t="array" ref="L56">AVERAGEIFS(L34:L50,L34:L50,"&lt;&gt;0",$R34:$R50,"&lt;&gt;0")</f>
        <v>2277.0354774124253</v>
      </c>
      <c r="M56" s="2951">
        <f t="array" ref="M56">AVERAGEIFS(M34:M50,M34:M50,"&lt;&gt;0",$R34:$R50,"&lt;&gt;0")</f>
        <v>2161.7877372836538</v>
      </c>
      <c r="N56" s="2951">
        <f t="array" ref="N56">AVERAGEIFS(N34:N50,N34:N50,"&lt;&gt;0",$R34:$R50,"&lt;&gt;0")</f>
        <v>1921.3248872442118</v>
      </c>
      <c r="O56" s="2957">
        <f t="array" ref="O56">AVERAGEIFS(O34:O50,O34:O50,"&lt;&gt;0",$R34:$R50,"&lt;&gt;0")</f>
        <v>1861.2561523409677</v>
      </c>
      <c r="P56" s="1011"/>
      <c r="Q56" s="2605"/>
    </row>
    <row r="57" spans="1:21" s="2606" customFormat="1" ht="12.75">
      <c r="B57" s="2648" t="s">
        <v>2970</v>
      </c>
      <c r="C57" s="2649"/>
      <c r="D57" s="2649"/>
      <c r="E57" s="2649"/>
      <c r="F57" s="2649"/>
      <c r="G57" s="2649"/>
      <c r="H57" s="2649">
        <f t="shared" ref="H57:O57" si="7">H56/H53</f>
        <v>0.1111111111111111</v>
      </c>
      <c r="I57" s="2649">
        <f t="shared" si="7"/>
        <v>0.1111111111111111</v>
      </c>
      <c r="J57" s="2649">
        <f t="shared" si="7"/>
        <v>0.1111111111111111</v>
      </c>
      <c r="K57" s="2649">
        <f t="shared" si="7"/>
        <v>0.1111111111111111</v>
      </c>
      <c r="L57" s="2649">
        <f t="shared" si="7"/>
        <v>0.11111111111111112</v>
      </c>
      <c r="M57" s="2649">
        <f t="shared" si="7"/>
        <v>0.11111111111111112</v>
      </c>
      <c r="N57" s="2649">
        <f t="shared" si="7"/>
        <v>0.1111111111111111</v>
      </c>
      <c r="O57" s="2650">
        <f t="shared" si="7"/>
        <v>0.1111111111111111</v>
      </c>
      <c r="P57" s="1011"/>
      <c r="Q57" s="2605"/>
    </row>
    <row r="58" spans="1:21" s="2606" customFormat="1" ht="12.75">
      <c r="B58" s="2648" t="s">
        <v>44</v>
      </c>
      <c r="C58" s="2652"/>
      <c r="D58" s="2652"/>
      <c r="E58" s="2652"/>
      <c r="F58" s="2652"/>
      <c r="G58" s="2652"/>
      <c r="H58" s="2652">
        <f t="array" ref="H58">MEDIAN(IF(H34:H50&lt;&gt;0,IF($R34:$R50=1,H34:H50,"")))</f>
        <v>1506.34413633963</v>
      </c>
      <c r="I58" s="2652">
        <f t="array" ref="I58">MEDIAN(IF(I34:I50&lt;&gt;0,IF($R34:$R50=1,I34:I50,"")))</f>
        <v>1561.33793252139</v>
      </c>
      <c r="J58" s="2652">
        <f t="array" ref="J58">MEDIAN(IF(J34:J50&lt;&gt;0,IF($R34:$R50=1,J34:J50,"")))</f>
        <v>1878.3217904719099</v>
      </c>
      <c r="K58" s="2652">
        <f t="array" ref="K58">MEDIAN(IF(K34:K50&lt;&gt;0,IF($R34:$R50=1,K34:K50,"")))</f>
        <v>1969.25161947789</v>
      </c>
      <c r="L58" s="2652">
        <f t="array" ref="L58">MEDIAN(IF(L34:L50&lt;&gt;0,IF($R34:$R50=1,L34:L50,"")))</f>
        <v>1985.6454308012501</v>
      </c>
      <c r="M58" s="2652">
        <f t="array" ref="M58">MEDIAN(IF(M34:M50&lt;&gt;0,IF($R34:$R50=1,M34:M50,"")))</f>
        <v>1940.75258587096</v>
      </c>
      <c r="N58" s="2652">
        <f t="array" ref="N58">MEDIAN(IF(N34:N50&lt;&gt;0,IF($R34:$R50=1,N34:N50,"")))</f>
        <v>1539.5280711371099</v>
      </c>
      <c r="O58" s="2653">
        <f t="array" ref="O58">MEDIAN(IF(O34:O50&lt;&gt;0,IF($R34:$R50=1,O34:O50,"")))</f>
        <v>1567.7256292380901</v>
      </c>
      <c r="P58" s="1011"/>
      <c r="Q58" s="2605"/>
    </row>
    <row r="59" spans="1:21" s="2606" customFormat="1" ht="12.75">
      <c r="B59" s="2654" t="s">
        <v>2970</v>
      </c>
      <c r="C59" s="2655"/>
      <c r="D59" s="2655"/>
      <c r="E59" s="2655"/>
      <c r="F59" s="2655"/>
      <c r="G59" s="2655"/>
      <c r="H59" s="2655">
        <f t="shared" ref="H59:O59" si="8">H58/H53</f>
        <v>9.8422923054251224E-2</v>
      </c>
      <c r="I59" s="2655">
        <f t="shared" si="8"/>
        <v>8.9598230443945256E-2</v>
      </c>
      <c r="J59" s="2655">
        <f t="shared" si="8"/>
        <v>0.1002421577690704</v>
      </c>
      <c r="K59" s="2655">
        <f t="shared" si="8"/>
        <v>0.10014869062796176</v>
      </c>
      <c r="L59" s="2655">
        <f t="shared" si="8"/>
        <v>9.6892328765884633E-2</v>
      </c>
      <c r="M59" s="2655">
        <f t="shared" si="8"/>
        <v>9.975039292194389E-2</v>
      </c>
      <c r="N59" s="2655">
        <f t="shared" si="8"/>
        <v>8.90316238062904E-2</v>
      </c>
      <c r="O59" s="2656">
        <f t="shared" si="8"/>
        <v>9.3588266377480009E-2</v>
      </c>
      <c r="P59" s="1011"/>
      <c r="Q59" s="2605"/>
    </row>
    <row r="60" spans="1:21" s="2606" customFormat="1" ht="12.75">
      <c r="B60" s="2657"/>
      <c r="C60" s="2605"/>
      <c r="D60" s="2605"/>
      <c r="E60" s="2605"/>
      <c r="F60" s="2605"/>
      <c r="G60" s="2605"/>
      <c r="H60" s="2605"/>
      <c r="I60" s="2605"/>
      <c r="J60" s="2605"/>
      <c r="K60" s="2605"/>
      <c r="L60" s="2605"/>
      <c r="M60" s="2605"/>
      <c r="N60" s="2605"/>
      <c r="O60" s="2605"/>
      <c r="Q60" s="2605"/>
    </row>
    <row r="61" spans="1:21" s="2606" customFormat="1" ht="12.75">
      <c r="B61" s="2680" t="s">
        <v>86</v>
      </c>
      <c r="C61" s="2605"/>
      <c r="D61" s="2605"/>
      <c r="E61" s="2605"/>
      <c r="F61" s="2605"/>
      <c r="G61" s="2605"/>
      <c r="H61" s="2605"/>
      <c r="I61" s="2605"/>
      <c r="J61" s="2605"/>
      <c r="K61" s="2605"/>
      <c r="L61" s="2605"/>
      <c r="M61" s="2605"/>
      <c r="N61" s="2605"/>
      <c r="O61" s="2605"/>
      <c r="Q61" s="2605"/>
    </row>
    <row r="62" spans="1:21" s="2606" customFormat="1" ht="12.75">
      <c r="A62" s="2955" t="s">
        <v>210</v>
      </c>
      <c r="B62" s="3257" t="s">
        <v>3645</v>
      </c>
      <c r="C62" s="3257"/>
      <c r="D62" s="3257"/>
      <c r="E62" s="3257"/>
      <c r="F62" s="3257"/>
      <c r="G62" s="3257"/>
      <c r="H62" s="3257"/>
      <c r="I62" s="3257"/>
      <c r="J62" s="3257"/>
      <c r="K62" s="3257"/>
      <c r="L62" s="3257"/>
      <c r="M62" s="3257"/>
      <c r="N62" s="3257"/>
      <c r="O62" s="3257"/>
      <c r="P62" s="3257"/>
      <c r="Q62" s="2605"/>
    </row>
    <row r="63" spans="1:21" s="2606" customFormat="1" ht="12.75">
      <c r="A63" s="2955" t="s">
        <v>209</v>
      </c>
      <c r="B63" s="3257" t="s">
        <v>3646</v>
      </c>
      <c r="C63" s="3257"/>
      <c r="D63" s="3257"/>
      <c r="E63" s="3257"/>
      <c r="F63" s="3257"/>
      <c r="G63" s="3257"/>
      <c r="H63" s="3257"/>
      <c r="I63" s="3257"/>
      <c r="J63" s="3257"/>
      <c r="K63" s="3257"/>
      <c r="L63" s="3257"/>
      <c r="M63" s="3257"/>
      <c r="N63" s="3257"/>
      <c r="O63" s="3257"/>
      <c r="P63" s="3257"/>
      <c r="Q63" s="2605"/>
    </row>
    <row r="64" spans="1:21" s="2606" customFormat="1" ht="12.75">
      <c r="A64" s="2959" t="s">
        <v>246</v>
      </c>
      <c r="B64" s="2960" t="s">
        <v>3647</v>
      </c>
      <c r="C64" s="2961"/>
      <c r="D64" s="2961"/>
      <c r="E64" s="2961"/>
      <c r="F64" s="2961"/>
      <c r="G64" s="2961"/>
      <c r="H64" s="2961"/>
      <c r="I64" s="2961"/>
      <c r="J64" s="2961"/>
      <c r="K64" s="2961"/>
      <c r="L64" s="2961"/>
      <c r="M64" s="2961"/>
      <c r="N64" s="2961"/>
      <c r="O64" s="2961"/>
      <c r="P64" s="2962"/>
      <c r="Q64" s="2605"/>
    </row>
    <row r="65" spans="1:17" s="2606" customFormat="1" ht="12.75">
      <c r="B65" s="2657"/>
      <c r="C65" s="2605"/>
      <c r="D65" s="2605"/>
      <c r="E65" s="2605"/>
      <c r="F65" s="2605"/>
      <c r="G65" s="2605"/>
      <c r="H65" s="2605"/>
      <c r="I65" s="2605"/>
      <c r="J65" s="2605"/>
      <c r="K65" s="2605"/>
      <c r="L65" s="2605"/>
      <c r="M65" s="2605"/>
      <c r="N65" s="2605"/>
      <c r="O65" s="2605"/>
      <c r="Q65" s="2605"/>
    </row>
    <row r="66" spans="1:17" s="2606" customFormat="1" ht="12.75">
      <c r="B66" s="2683" t="s">
        <v>2973</v>
      </c>
      <c r="C66" s="2684">
        <v>4000</v>
      </c>
      <c r="D66" s="2605"/>
      <c r="E66" s="2605"/>
      <c r="F66" s="2605"/>
      <c r="G66" s="2605"/>
      <c r="H66" s="2605"/>
      <c r="I66" s="2605"/>
      <c r="J66" s="2605"/>
      <c r="K66" s="2605"/>
      <c r="L66" s="2605"/>
      <c r="M66" s="2605"/>
      <c r="N66" s="2605"/>
      <c r="O66" s="2605"/>
      <c r="Q66" s="2605"/>
    </row>
    <row r="67" spans="1:17" s="2606" customFormat="1" ht="12.75">
      <c r="B67" s="2657"/>
      <c r="C67" s="2605"/>
      <c r="D67" s="2605"/>
      <c r="E67" s="2605"/>
      <c r="F67" s="2605"/>
      <c r="G67" s="2605"/>
      <c r="H67" s="2605"/>
      <c r="I67" s="2605"/>
      <c r="J67" s="2605"/>
      <c r="K67" s="2605"/>
      <c r="L67" s="2605"/>
      <c r="M67" s="2605"/>
      <c r="N67" s="2605"/>
      <c r="O67" s="2605"/>
      <c r="Q67" s="2605"/>
    </row>
    <row r="68" spans="1:17" s="2606" customFormat="1" ht="12.75">
      <c r="B68" s="2657"/>
      <c r="C68" s="2605"/>
      <c r="D68" s="2605"/>
      <c r="E68" s="2605"/>
      <c r="F68" s="2605"/>
      <c r="G68" s="2605"/>
      <c r="H68" s="2605"/>
      <c r="I68" s="2605"/>
      <c r="J68" s="2605"/>
      <c r="K68" s="2605"/>
      <c r="L68" s="2605"/>
      <c r="M68" s="2605"/>
      <c r="N68" s="2605"/>
      <c r="O68" s="2605"/>
      <c r="Q68" s="2605"/>
    </row>
    <row r="69" spans="1:17" s="2606" customFormat="1" ht="12.75">
      <c r="B69" s="2657"/>
      <c r="C69" s="2605"/>
      <c r="D69" s="2605"/>
      <c r="E69" s="2605"/>
      <c r="F69" s="2605"/>
      <c r="G69" s="2605"/>
      <c r="H69" s="2605"/>
      <c r="I69" s="2605"/>
      <c r="J69" s="2605"/>
      <c r="K69" s="2605"/>
      <c r="L69" s="2605"/>
      <c r="M69" s="2605"/>
      <c r="N69" s="2605"/>
      <c r="O69" s="2605"/>
      <c r="Q69" s="2605"/>
    </row>
    <row r="70" spans="1:17" s="2606" customFormat="1" ht="12.75">
      <c r="B70" s="2657"/>
      <c r="C70" s="2605"/>
      <c r="D70" s="2605"/>
      <c r="E70" s="2605"/>
      <c r="F70" s="2605"/>
      <c r="G70" s="2605"/>
      <c r="H70" s="2605"/>
      <c r="I70" s="2605"/>
      <c r="J70" s="2605"/>
      <c r="K70" s="2605"/>
      <c r="L70" s="2605"/>
      <c r="M70" s="2605"/>
      <c r="N70" s="2605"/>
      <c r="O70" s="2605"/>
      <c r="Q70" s="2605"/>
    </row>
    <row r="71" spans="1:17" s="2608" customFormat="1" ht="12.75">
      <c r="A71" s="2606"/>
      <c r="B71" s="2657"/>
      <c r="C71" s="2605"/>
      <c r="D71" s="2605"/>
      <c r="E71" s="2605"/>
      <c r="F71" s="2605"/>
      <c r="G71" s="2605"/>
      <c r="H71" s="2605"/>
      <c r="I71" s="2605"/>
      <c r="J71" s="2605"/>
      <c r="K71" s="2605"/>
      <c r="L71" s="2605"/>
      <c r="M71" s="2605"/>
      <c r="N71" s="2605"/>
      <c r="O71" s="2605"/>
      <c r="P71" s="2606"/>
      <c r="Q71" s="2605"/>
    </row>
    <row r="72" spans="1:17" s="2608" customFormat="1" ht="12.75">
      <c r="A72" s="2606"/>
      <c r="Q72" s="2606"/>
    </row>
  </sheetData>
  <mergeCells count="2">
    <mergeCell ref="B62:P62"/>
    <mergeCell ref="B63:P63"/>
  </mergeCells>
  <conditionalFormatting sqref="B4:P4">
    <cfRule type="cellIs" dxfId="206" priority="2" stopIfTrue="1" operator="equal">
      <formula>"input"</formula>
    </cfRule>
  </conditionalFormatting>
  <conditionalFormatting sqref="J12:O20">
    <cfRule type="cellIs" dxfId="205" priority="1" operator="equal">
      <formula>0</formula>
    </cfRule>
  </conditionalFormatting>
  <pageMargins left="0.5" right="0.5" top="0.5" bottom="0.5" header="0.5" footer="0.5"/>
  <pageSetup scale="80" fitToWidth="0" orientation="landscape" r:id="rId1"/>
  <rowBreaks count="1" manualBreakCount="1">
    <brk id="28" max="14" man="1"/>
  </rowBreak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AH65"/>
  <sheetViews>
    <sheetView showGridLines="0" view="pageBreakPreview" topLeftCell="A34" zoomScale="80" zoomScaleNormal="100" zoomScaleSheetLayoutView="80" workbookViewId="0">
      <selection activeCell="D31" sqref="D31"/>
    </sheetView>
  </sheetViews>
  <sheetFormatPr defaultColWidth="9.33203125" defaultRowHeight="15"/>
  <cols>
    <col min="1" max="1" width="4.5" style="2603" customWidth="1"/>
    <col min="2" max="2" width="30.33203125" style="2604" customWidth="1"/>
    <col min="3" max="5" width="11.83203125" style="2604" bestFit="1" customWidth="1"/>
    <col min="6" max="6" width="11.83203125" style="2604" customWidth="1"/>
    <col min="7" max="13" width="11.83203125" style="2604" bestFit="1" customWidth="1"/>
    <col min="14" max="15" width="10.1640625" style="2604" customWidth="1"/>
    <col min="16" max="16" width="9.83203125" style="2604" customWidth="1"/>
    <col min="17" max="17" width="4.5" style="2603" customWidth="1"/>
    <col min="18" max="32" width="9.33203125" style="2604"/>
    <col min="33" max="33" width="13.1640625" style="2604" customWidth="1"/>
    <col min="34" max="16384" width="9.33203125" style="2604"/>
  </cols>
  <sheetData>
    <row r="1" spans="1:24" ht="15.75" thickBot="1">
      <c r="Q1" s="2605"/>
    </row>
    <row r="2" spans="1:24" ht="16.5" thickTop="1">
      <c r="B2" s="10" t="str">
        <f>'MASTER PubCo Inputs'!$C$5</f>
        <v>Kallyope, Inc.</v>
      </c>
      <c r="C2" s="10"/>
      <c r="D2" s="10"/>
      <c r="E2" s="10"/>
      <c r="F2" s="10"/>
      <c r="G2" s="10"/>
      <c r="H2" s="10"/>
      <c r="I2" s="10"/>
      <c r="J2" s="10"/>
      <c r="K2" s="10"/>
      <c r="L2" s="10"/>
      <c r="M2" s="10"/>
      <c r="N2" s="10"/>
      <c r="O2" s="10"/>
      <c r="P2" s="10"/>
      <c r="Q2" s="2605"/>
    </row>
    <row r="3" spans="1:24" ht="15.75">
      <c r="B3" s="11" t="str">
        <f>VLOOKUP(B4,Outline!$E$8:$G$69,COLUMNS(Outline!$E$8:$G$8),FALSE)</f>
        <v>Workpaper #16</v>
      </c>
      <c r="C3" s="11"/>
      <c r="D3" s="11"/>
      <c r="E3" s="11"/>
      <c r="F3" s="11"/>
      <c r="G3" s="11"/>
      <c r="H3" s="11"/>
      <c r="I3" s="11"/>
      <c r="J3" s="11"/>
      <c r="K3" s="11"/>
      <c r="L3" s="11"/>
      <c r="M3" s="11"/>
      <c r="N3" s="11"/>
      <c r="O3" s="11"/>
      <c r="P3" s="11"/>
      <c r="Q3" s="2605"/>
    </row>
    <row r="4" spans="1:24" ht="16.5" thickBot="1">
      <c r="A4" s="2606"/>
      <c r="B4" s="2607" t="s">
        <v>3648</v>
      </c>
      <c r="C4" s="12"/>
      <c r="D4" s="12"/>
      <c r="E4" s="12"/>
      <c r="F4" s="12"/>
      <c r="G4" s="13"/>
      <c r="H4" s="13"/>
      <c r="I4" s="13"/>
      <c r="J4" s="13"/>
      <c r="K4" s="13"/>
      <c r="L4" s="13"/>
      <c r="M4" s="13"/>
      <c r="N4" s="13"/>
      <c r="O4" s="13"/>
      <c r="P4" s="13" t="s">
        <v>88</v>
      </c>
      <c r="Q4" s="2605"/>
    </row>
    <row r="5" spans="1:24" s="2608" customFormat="1" ht="13.5" thickTop="1">
      <c r="A5" s="2606"/>
      <c r="Q5" s="2605"/>
    </row>
    <row r="6" spans="1:24" s="2612" customFormat="1" ht="11.25" customHeight="1">
      <c r="A6" s="2606"/>
      <c r="B6" s="2609" t="s">
        <v>2965</v>
      </c>
      <c r="C6" s="2610">
        <v>2012</v>
      </c>
      <c r="D6" s="2610">
        <f t="shared" ref="D6:O6" si="0">C6+1</f>
        <v>2013</v>
      </c>
      <c r="E6" s="2610">
        <f t="shared" si="0"/>
        <v>2014</v>
      </c>
      <c r="F6" s="2610">
        <f t="shared" si="0"/>
        <v>2015</v>
      </c>
      <c r="G6" s="2610">
        <f t="shared" si="0"/>
        <v>2016</v>
      </c>
      <c r="H6" s="2610">
        <f t="shared" si="0"/>
        <v>2017</v>
      </c>
      <c r="I6" s="2610">
        <f t="shared" si="0"/>
        <v>2018</v>
      </c>
      <c r="J6" s="2610">
        <f t="shared" si="0"/>
        <v>2019</v>
      </c>
      <c r="K6" s="2610">
        <f t="shared" si="0"/>
        <v>2020</v>
      </c>
      <c r="L6" s="2610">
        <f t="shared" si="0"/>
        <v>2021</v>
      </c>
      <c r="M6" s="2610">
        <f t="shared" si="0"/>
        <v>2022</v>
      </c>
      <c r="N6" s="2610">
        <f t="shared" si="0"/>
        <v>2023</v>
      </c>
      <c r="O6" s="2610">
        <f t="shared" si="0"/>
        <v>2024</v>
      </c>
      <c r="P6" s="2611" t="s">
        <v>2966</v>
      </c>
      <c r="Q6" s="2605"/>
    </row>
    <row r="7" spans="1:24" s="2616" customFormat="1" ht="12.75">
      <c r="A7" s="2606"/>
      <c r="B7" s="2613"/>
      <c r="C7" s="2614"/>
      <c r="D7" s="2614"/>
      <c r="E7" s="2614"/>
      <c r="F7" s="2614"/>
      <c r="G7" s="2614"/>
      <c r="H7" s="2614"/>
      <c r="I7" s="2614"/>
      <c r="J7" s="2614"/>
      <c r="K7" s="2614"/>
      <c r="L7" s="2614"/>
      <c r="M7" s="2614"/>
      <c r="N7" s="2614"/>
      <c r="O7" s="2614"/>
      <c r="P7" s="2615"/>
      <c r="Q7" s="2605"/>
      <c r="X7" s="2617"/>
    </row>
    <row r="8" spans="1:24" s="2616" customFormat="1" ht="12.75">
      <c r="A8" s="2606"/>
      <c r="B8" s="2618" t="s">
        <v>2967</v>
      </c>
      <c r="C8" s="2619"/>
      <c r="D8" s="2619"/>
      <c r="E8" s="2619"/>
      <c r="F8" s="2619"/>
      <c r="G8" s="2619"/>
      <c r="H8" s="2619"/>
      <c r="I8" s="2619"/>
      <c r="J8" s="2619"/>
      <c r="K8" s="2619"/>
      <c r="L8" s="2619"/>
      <c r="M8" s="2619"/>
      <c r="N8" s="2619"/>
      <c r="O8" s="2619"/>
      <c r="P8" s="2620"/>
      <c r="Q8" s="2605"/>
      <c r="X8" s="2617"/>
    </row>
    <row r="9" spans="1:24" s="2624" customFormat="1" ht="12.75">
      <c r="A9" s="2606"/>
      <c r="B9" s="2621"/>
      <c r="C9" s="2621"/>
      <c r="D9" s="2621"/>
      <c r="E9" s="2621"/>
      <c r="F9" s="2621"/>
      <c r="G9" s="2621"/>
      <c r="H9" s="2622"/>
      <c r="I9" s="2622"/>
      <c r="J9" s="2622"/>
      <c r="K9" s="2622"/>
      <c r="L9" s="2622"/>
      <c r="M9" s="2622"/>
      <c r="N9" s="2622"/>
      <c r="O9" s="2622"/>
      <c r="P9" s="2623"/>
      <c r="Q9" s="2605"/>
      <c r="X9" s="2625"/>
    </row>
    <row r="10" spans="1:24" s="2624" customFormat="1" ht="12.75">
      <c r="A10" s="2606"/>
      <c r="B10" s="2626" t="s">
        <v>204</v>
      </c>
      <c r="C10" s="2627"/>
      <c r="D10" s="2627"/>
      <c r="E10" s="2627"/>
      <c r="F10" s="2627"/>
      <c r="G10" s="2627"/>
      <c r="H10" s="2628"/>
      <c r="I10" s="2628"/>
      <c r="J10" s="2628"/>
      <c r="K10" s="2628"/>
      <c r="L10" s="2628"/>
      <c r="M10" s="2628"/>
      <c r="N10" s="2628"/>
      <c r="O10" s="2628"/>
      <c r="P10" s="2629"/>
      <c r="Q10" s="2605"/>
      <c r="R10" s="2630" t="s">
        <v>2968</v>
      </c>
      <c r="S10" s="2631"/>
      <c r="T10" s="2631"/>
      <c r="U10" s="2632"/>
      <c r="X10" s="2625"/>
    </row>
    <row r="11" spans="1:24" s="2624" customFormat="1" ht="12.75">
      <c r="A11" s="2606"/>
      <c r="B11" s="2633" t="s">
        <v>861</v>
      </c>
      <c r="C11" s="2621"/>
      <c r="D11" s="2621"/>
      <c r="E11" s="2621"/>
      <c r="F11" s="2621"/>
      <c r="G11" s="2621"/>
      <c r="H11" s="2622"/>
      <c r="I11" s="2622"/>
      <c r="J11" s="2622"/>
      <c r="K11" s="2622"/>
      <c r="L11" s="2622"/>
      <c r="M11" s="2622"/>
      <c r="N11" s="2622"/>
      <c r="O11" s="2622"/>
      <c r="P11" s="2634"/>
      <c r="Q11" s="2605"/>
      <c r="R11" s="2635"/>
      <c r="U11" s="2636"/>
      <c r="X11" s="2625"/>
    </row>
    <row r="12" spans="1:24" s="2624" customFormat="1" ht="12.75">
      <c r="A12" s="2606"/>
      <c r="B12" s="2884" t="str">
        <f>Global!A20</f>
        <v>Vitamin E</v>
      </c>
      <c r="C12" s="2638">
        <f>Global!B20/1000000</f>
        <v>42.506332149978334</v>
      </c>
      <c r="D12" s="2638">
        <f>Global!C20/1000000</f>
        <v>42.860885884096078</v>
      </c>
      <c r="E12" s="2638">
        <f>Global!D20/1000000</f>
        <v>43.198550986755372</v>
      </c>
      <c r="F12" s="2638">
        <f>Global!E20/1000000</f>
        <v>43.525379477315042</v>
      </c>
      <c r="G12" s="2638">
        <f>Global!F20/1000000</f>
        <v>43.844637848091025</v>
      </c>
      <c r="H12" s="2638">
        <f>Global!G20/1000000</f>
        <v>40.488404845206986</v>
      </c>
      <c r="I12" s="2638"/>
      <c r="J12" s="2638"/>
      <c r="K12" s="2638"/>
      <c r="L12" s="2638"/>
      <c r="M12" s="2638"/>
      <c r="N12" s="2638"/>
      <c r="O12" s="2638"/>
      <c r="P12" s="2634"/>
      <c r="Q12" s="2605"/>
      <c r="R12" s="2635">
        <v>1</v>
      </c>
      <c r="U12" s="2636"/>
      <c r="X12" s="2625"/>
    </row>
    <row r="13" spans="1:24" s="2624" customFormat="1" ht="12.75">
      <c r="A13" s="2606"/>
      <c r="B13" s="2884" t="str">
        <f>Global!A21</f>
        <v>Pioglitazone</v>
      </c>
      <c r="C13" s="2638">
        <f>Global!B21/1000000</f>
        <v>193.69076494145236</v>
      </c>
      <c r="D13" s="2638">
        <f>Global!C21/1000000</f>
        <v>195.79451268363431</v>
      </c>
      <c r="E13" s="2638">
        <f>Global!D21/1000000</f>
        <v>197.82894201677269</v>
      </c>
      <c r="F13" s="2638">
        <f>Global!E21/1000000</f>
        <v>199.83839838123649</v>
      </c>
      <c r="G13" s="2638">
        <f>Global!F21/1000000</f>
        <v>201.80285346345963</v>
      </c>
      <c r="H13" s="2638">
        <f>Global!G21/1000000</f>
        <v>27.569557565666258</v>
      </c>
      <c r="I13" s="2638"/>
      <c r="J13" s="2638"/>
      <c r="K13" s="2638"/>
      <c r="L13" s="2638"/>
      <c r="M13" s="2638"/>
      <c r="N13" s="2638"/>
      <c r="O13" s="2638"/>
      <c r="P13" s="2634"/>
      <c r="Q13" s="2605"/>
      <c r="R13" s="2635">
        <v>1</v>
      </c>
      <c r="U13" s="2636"/>
      <c r="X13" s="2625"/>
    </row>
    <row r="14" spans="1:24" s="2624" customFormat="1" ht="12.75">
      <c r="A14" s="2606"/>
      <c r="B14" s="2884" t="str">
        <f>Global!A22</f>
        <v>GFT505</v>
      </c>
      <c r="C14" s="2638">
        <f>Global!B22/1000000</f>
        <v>0</v>
      </c>
      <c r="D14" s="2638">
        <f>Global!C22/1000000</f>
        <v>0</v>
      </c>
      <c r="E14" s="2638">
        <f>Global!D22/1000000</f>
        <v>0</v>
      </c>
      <c r="F14" s="2638">
        <f>Global!E22/1000000</f>
        <v>0</v>
      </c>
      <c r="G14" s="2638">
        <f>Global!F22/1000000</f>
        <v>0</v>
      </c>
      <c r="H14" s="2638">
        <f>Global!G22/1000000</f>
        <v>581.79136085168784</v>
      </c>
      <c r="I14" s="2638"/>
      <c r="J14" s="2638"/>
      <c r="K14" s="2638"/>
      <c r="L14" s="2638"/>
      <c r="M14" s="2638"/>
      <c r="N14" s="2638"/>
      <c r="O14" s="2638"/>
      <c r="P14" s="2634"/>
      <c r="Q14" s="2605"/>
      <c r="R14" s="2635">
        <v>1</v>
      </c>
      <c r="U14" s="2636"/>
      <c r="X14" s="2625"/>
    </row>
    <row r="15" spans="1:24" s="2624" customFormat="1" ht="12.75">
      <c r="A15" s="2606"/>
      <c r="B15" s="2884" t="str">
        <f>Global!A23</f>
        <v>OCA</v>
      </c>
      <c r="C15" s="2638">
        <f>Global!B23/1000000</f>
        <v>0</v>
      </c>
      <c r="D15" s="2638">
        <f>Global!C23/1000000</f>
        <v>0</v>
      </c>
      <c r="E15" s="2638">
        <f>Global!D23/1000000</f>
        <v>0</v>
      </c>
      <c r="F15" s="2638">
        <f>Global!E23/1000000</f>
        <v>0</v>
      </c>
      <c r="G15" s="2638">
        <f>Global!F23/1000000</f>
        <v>0</v>
      </c>
      <c r="H15" s="2638">
        <f>Global!G23/1000000</f>
        <v>706.28631039751019</v>
      </c>
      <c r="I15" s="2638"/>
      <c r="J15" s="2638"/>
      <c r="K15" s="2638"/>
      <c r="L15" s="2638"/>
      <c r="M15" s="2638"/>
      <c r="N15" s="2638"/>
      <c r="O15" s="2638"/>
      <c r="P15" s="2634"/>
      <c r="Q15" s="2605"/>
      <c r="R15" s="2635">
        <v>1</v>
      </c>
      <c r="U15" s="2636"/>
      <c r="X15" s="2625"/>
    </row>
    <row r="16" spans="1:24" s="2624" customFormat="1" ht="12.75">
      <c r="A16" s="2606"/>
      <c r="B16" s="2637"/>
      <c r="C16" s="2621"/>
      <c r="D16" s="2621"/>
      <c r="E16" s="2621"/>
      <c r="F16" s="2621"/>
      <c r="G16" s="2621"/>
      <c r="H16" s="2621"/>
      <c r="I16" s="2621"/>
      <c r="J16" s="2621"/>
      <c r="K16" s="2621"/>
      <c r="L16" s="2621"/>
      <c r="M16" s="2621"/>
      <c r="N16" s="2621"/>
      <c r="O16" s="2621"/>
      <c r="P16" s="2634"/>
      <c r="Q16" s="2605"/>
      <c r="R16" s="2635"/>
      <c r="U16" s="2636"/>
      <c r="X16" s="2625"/>
    </row>
    <row r="17" spans="1:34" s="2616" customFormat="1" ht="12.75">
      <c r="A17" s="2606"/>
      <c r="B17" s="2639" t="s">
        <v>3569</v>
      </c>
      <c r="C17" s="2640">
        <f t="shared" ref="C17:M17" si="1">SUMPRODUCT(C12:C15,$R$12:$R$15)</f>
        <v>236.19709709143069</v>
      </c>
      <c r="D17" s="2640">
        <f t="shared" si="1"/>
        <v>238.6553985677304</v>
      </c>
      <c r="E17" s="2640">
        <f t="shared" si="1"/>
        <v>241.02749300352806</v>
      </c>
      <c r="F17" s="2640">
        <f t="shared" si="1"/>
        <v>243.36377785855154</v>
      </c>
      <c r="G17" s="2640">
        <f t="shared" si="1"/>
        <v>245.64749131155065</v>
      </c>
      <c r="H17" s="2640">
        <f t="shared" si="1"/>
        <v>1356.1356336600711</v>
      </c>
      <c r="I17" s="2640">
        <f t="shared" si="1"/>
        <v>0</v>
      </c>
      <c r="J17" s="2640">
        <f t="shared" si="1"/>
        <v>0</v>
      </c>
      <c r="K17" s="2640">
        <f t="shared" si="1"/>
        <v>0</v>
      </c>
      <c r="L17" s="2640">
        <f t="shared" si="1"/>
        <v>0</v>
      </c>
      <c r="M17" s="2640">
        <f t="shared" si="1"/>
        <v>0</v>
      </c>
      <c r="N17" s="2640"/>
      <c r="O17" s="2640"/>
      <c r="P17" s="2641">
        <f>(H17/C17)^(1/5)-1</f>
        <v>0.41842283522922474</v>
      </c>
      <c r="Q17" s="2605"/>
      <c r="R17" s="2642"/>
      <c r="S17" s="2643"/>
      <c r="T17" s="2643"/>
      <c r="U17" s="2644"/>
      <c r="X17" s="2617"/>
    </row>
    <row r="18" spans="1:34" s="2616" customFormat="1" ht="12.75">
      <c r="A18" s="2606"/>
      <c r="B18" s="2614"/>
      <c r="C18" s="2614"/>
      <c r="D18" s="2614"/>
      <c r="E18" s="2614"/>
      <c r="F18" s="2614"/>
      <c r="G18" s="2614"/>
      <c r="H18" s="2614"/>
      <c r="I18" s="2614"/>
      <c r="J18" s="2614"/>
      <c r="K18" s="2614"/>
      <c r="L18" s="2614"/>
      <c r="M18" s="2614"/>
      <c r="N18" s="2614"/>
      <c r="O18" s="2614"/>
      <c r="P18" s="2615"/>
      <c r="Q18" s="2605"/>
      <c r="X18" s="2617"/>
    </row>
    <row r="19" spans="1:34" s="2608" customFormat="1" ht="12.75">
      <c r="A19" s="2606"/>
      <c r="B19" s="2952" t="s">
        <v>43</v>
      </c>
      <c r="C19" s="2951">
        <f t="shared" ref="C19:H19" si="2">AVERAGEIFS(C12:C15,C12:C15,"&lt;&gt;0",$R12:$R15,"&lt;&gt;0")</f>
        <v>118.09854854571535</v>
      </c>
      <c r="D19" s="2951">
        <f t="shared" si="2"/>
        <v>119.3276992838652</v>
      </c>
      <c r="E19" s="2951">
        <f t="shared" si="2"/>
        <v>120.51374650176403</v>
      </c>
      <c r="F19" s="2951">
        <f t="shared" si="2"/>
        <v>121.68188892927577</v>
      </c>
      <c r="G19" s="2951">
        <f t="shared" si="2"/>
        <v>122.82374565577533</v>
      </c>
      <c r="H19" s="2957">
        <f t="shared" si="2"/>
        <v>339.03390841501778</v>
      </c>
      <c r="I19"/>
      <c r="J19"/>
      <c r="K19"/>
      <c r="L19"/>
      <c r="M19"/>
      <c r="N19" s="136"/>
      <c r="O19" s="136"/>
      <c r="Q19" s="2605"/>
    </row>
    <row r="20" spans="1:34" s="2608" customFormat="1" ht="12.75">
      <c r="A20" s="2606"/>
      <c r="B20" s="2648" t="s">
        <v>2970</v>
      </c>
      <c r="C20" s="2649">
        <f>C19/C17</f>
        <v>0.5</v>
      </c>
      <c r="D20" s="2649">
        <f t="shared" ref="D20:H20" si="3">D19/D17</f>
        <v>0.5</v>
      </c>
      <c r="E20" s="2649">
        <f t="shared" si="3"/>
        <v>0.5</v>
      </c>
      <c r="F20" s="2649">
        <f t="shared" si="3"/>
        <v>0.5</v>
      </c>
      <c r="G20" s="2649">
        <f t="shared" si="3"/>
        <v>0.5</v>
      </c>
      <c r="H20" s="2650">
        <f t="shared" si="3"/>
        <v>0.25</v>
      </c>
      <c r="I20"/>
      <c r="J20"/>
      <c r="K20"/>
      <c r="L20"/>
      <c r="M20"/>
      <c r="N20" s="2651"/>
      <c r="O20" s="2651"/>
      <c r="Q20" s="2605"/>
    </row>
    <row r="21" spans="1:34" s="2608" customFormat="1" ht="12.75">
      <c r="A21" s="2606"/>
      <c r="B21" s="2648" t="s">
        <v>44</v>
      </c>
      <c r="C21" s="2652">
        <f t="array" ref="C21">MEDIAN(IF(C12:C15&lt;&gt;0,IF($R12:$R15=1,C12:C15,"")))</f>
        <v>118.09854854571535</v>
      </c>
      <c r="D21" s="2652">
        <f t="array" ref="D21">MEDIAN(IF(D12:D15&lt;&gt;0,IF($R12:$R15=1,D12:D15,"")))</f>
        <v>119.32769928386519</v>
      </c>
      <c r="E21" s="2652">
        <f t="array" ref="E21">MEDIAN(IF(E12:E15&lt;&gt;0,IF($R12:$R15=1,E12:E15,"")))</f>
        <v>120.51374650176402</v>
      </c>
      <c r="F21" s="2652">
        <f t="array" ref="F21">MEDIAN(IF(F12:F15&lt;&gt;0,IF($R12:$R15=1,F12:F15,"")))</f>
        <v>121.68188892927576</v>
      </c>
      <c r="G21" s="2652">
        <f t="array" ref="G21">MEDIAN(IF(G12:G15&lt;&gt;0,IF($R12:$R15=1,G12:G15,"")))</f>
        <v>122.82374565577533</v>
      </c>
      <c r="H21" s="2653">
        <f t="array" ref="H21">MEDIAN(IF(H12:H15&lt;&gt;0,IF($R12:$R15=1,H12:H15,"")))</f>
        <v>311.13988284844743</v>
      </c>
      <c r="I21"/>
      <c r="J21"/>
      <c r="K21"/>
      <c r="L21"/>
      <c r="M21"/>
      <c r="N21" s="136"/>
      <c r="O21" s="136"/>
      <c r="Q21" s="2605"/>
    </row>
    <row r="22" spans="1:34" s="2608" customFormat="1" ht="12.75">
      <c r="A22" s="2606"/>
      <c r="B22" s="2654" t="s">
        <v>2970</v>
      </c>
      <c r="C22" s="2655">
        <f>C21/C17</f>
        <v>0.5</v>
      </c>
      <c r="D22" s="2655">
        <f t="shared" ref="D22:H22" si="4">D21/D17</f>
        <v>0.49999999999999994</v>
      </c>
      <c r="E22" s="2655">
        <f t="shared" si="4"/>
        <v>0.49999999999999994</v>
      </c>
      <c r="F22" s="2655">
        <f t="shared" si="4"/>
        <v>0.49999999999999994</v>
      </c>
      <c r="G22" s="2655">
        <f t="shared" si="4"/>
        <v>0.5</v>
      </c>
      <c r="H22" s="2656">
        <f t="shared" si="4"/>
        <v>0.22943124207179247</v>
      </c>
      <c r="I22"/>
      <c r="J22"/>
      <c r="K22"/>
      <c r="L22"/>
      <c r="M22"/>
      <c r="N22" s="2651"/>
      <c r="O22" s="2651"/>
      <c r="Q22" s="2605"/>
    </row>
    <row r="23" spans="1:34" s="2606" customFormat="1" ht="12.75">
      <c r="B23" s="2657"/>
      <c r="C23" s="2605"/>
      <c r="D23" s="2605"/>
      <c r="E23" s="2605"/>
      <c r="F23" s="2605"/>
      <c r="G23" s="2605"/>
      <c r="H23" s="2605"/>
      <c r="I23" s="2605"/>
      <c r="J23" s="2605"/>
      <c r="K23" s="2605"/>
      <c r="L23" s="2605"/>
      <c r="M23" s="2605"/>
      <c r="N23" s="2605"/>
      <c r="O23" s="2605"/>
      <c r="Q23" s="2605"/>
    </row>
    <row r="24" spans="1:34" s="2606" customFormat="1" ht="12.75">
      <c r="B24" s="2658" t="s">
        <v>2971</v>
      </c>
      <c r="C24" s="2659"/>
      <c r="D24" s="2659"/>
      <c r="E24" s="2659"/>
      <c r="F24" s="2659"/>
      <c r="G24" s="2659"/>
      <c r="H24" s="2659"/>
      <c r="I24" s="2659"/>
      <c r="J24" s="2659"/>
      <c r="K24" s="2659"/>
      <c r="L24" s="2659"/>
      <c r="M24" s="2659"/>
      <c r="N24" s="2659"/>
      <c r="O24" s="2659"/>
      <c r="P24" s="2660"/>
      <c r="Q24" s="2605"/>
    </row>
    <row r="25" spans="1:34" s="2606" customFormat="1" ht="12.75">
      <c r="B25" s="2657"/>
      <c r="C25" s="2605"/>
      <c r="D25" s="2605"/>
      <c r="E25" s="2605"/>
      <c r="F25" s="2605"/>
      <c r="G25" s="2605"/>
      <c r="H25" s="2605"/>
      <c r="I25" s="2605"/>
      <c r="J25" s="2605"/>
      <c r="K25" s="2605"/>
      <c r="L25" s="2605"/>
      <c r="M25" s="2605"/>
      <c r="N25" s="2605"/>
      <c r="O25" s="2605"/>
      <c r="Q25" s="2605"/>
    </row>
    <row r="26" spans="1:34" s="2606" customFormat="1" ht="12.75">
      <c r="B26" s="2609" t="s">
        <v>2965</v>
      </c>
      <c r="C26" s="2610">
        <v>2012</v>
      </c>
      <c r="D26" s="2610">
        <f t="shared" ref="D26:O26" si="5">C26+1</f>
        <v>2013</v>
      </c>
      <c r="E26" s="2610">
        <f t="shared" si="5"/>
        <v>2014</v>
      </c>
      <c r="F26" s="2610">
        <f t="shared" si="5"/>
        <v>2015</v>
      </c>
      <c r="G26" s="2610">
        <f t="shared" si="5"/>
        <v>2016</v>
      </c>
      <c r="H26" s="2610">
        <f t="shared" si="5"/>
        <v>2017</v>
      </c>
      <c r="I26" s="2610">
        <f t="shared" si="5"/>
        <v>2018</v>
      </c>
      <c r="J26" s="2610">
        <f t="shared" si="5"/>
        <v>2019</v>
      </c>
      <c r="K26" s="2610">
        <f t="shared" si="5"/>
        <v>2020</v>
      </c>
      <c r="L26" s="2610">
        <f t="shared" si="5"/>
        <v>2021</v>
      </c>
      <c r="M26" s="2610">
        <f t="shared" si="5"/>
        <v>2022</v>
      </c>
      <c r="N26" s="2610">
        <f t="shared" si="5"/>
        <v>2023</v>
      </c>
      <c r="O26" s="2610">
        <f t="shared" si="5"/>
        <v>2024</v>
      </c>
      <c r="P26" s="2611" t="s">
        <v>2966</v>
      </c>
      <c r="Q26" s="2605"/>
    </row>
    <row r="27" spans="1:34" s="2606" customFormat="1" ht="12.75">
      <c r="B27" s="2661" t="str">
        <f>B10</f>
        <v>Summary</v>
      </c>
      <c r="C27" s="2662"/>
      <c r="D27" s="2662"/>
      <c r="E27" s="2662"/>
      <c r="F27" s="2662"/>
      <c r="G27" s="2662"/>
      <c r="H27" s="2662"/>
      <c r="I27" s="2662"/>
      <c r="J27" s="2662"/>
      <c r="K27" s="2662"/>
      <c r="L27" s="2662"/>
      <c r="M27" s="2662"/>
      <c r="N27" s="2662"/>
      <c r="O27" s="2662"/>
      <c r="P27" s="2663"/>
      <c r="Q27" s="2605"/>
    </row>
    <row r="28" spans="1:34" s="2606" customFormat="1" ht="12.75">
      <c r="B28" s="2633" t="s">
        <v>2969</v>
      </c>
      <c r="C28" s="2605"/>
      <c r="D28" s="2605"/>
      <c r="E28" s="2605"/>
      <c r="F28" s="2605"/>
      <c r="G28" s="2605"/>
      <c r="H28" s="2605"/>
      <c r="I28" s="2605"/>
      <c r="J28" s="2605"/>
      <c r="K28" s="2605"/>
      <c r="L28" s="2605"/>
      <c r="M28" s="2605"/>
      <c r="N28" s="2605"/>
      <c r="O28" s="2605"/>
      <c r="P28" s="2664"/>
      <c r="Q28" s="2605"/>
      <c r="R28" s="2630" t="s">
        <v>2968</v>
      </c>
      <c r="S28" s="2665"/>
      <c r="T28" s="2665"/>
      <c r="U28" s="2666"/>
    </row>
    <row r="29" spans="1:34" s="2606" customFormat="1" ht="12.75">
      <c r="B29" s="2667"/>
      <c r="C29" s="2638"/>
      <c r="D29" s="2638"/>
      <c r="E29" s="2638"/>
      <c r="F29" s="2638"/>
      <c r="G29" s="2638"/>
      <c r="H29" s="2638"/>
      <c r="I29" s="2638"/>
      <c r="J29" s="1011"/>
      <c r="K29" s="1011"/>
      <c r="L29" s="1011"/>
      <c r="M29" s="1011"/>
      <c r="N29" s="1011"/>
      <c r="O29" s="1011"/>
      <c r="P29" s="2664"/>
      <c r="Q29" s="2605"/>
      <c r="R29" s="2668"/>
      <c r="U29" s="2664"/>
    </row>
    <row r="30" spans="1:34" s="2606" customFormat="1" ht="12.75">
      <c r="B30" s="2667" t="str">
        <f>'Sheet 1 NASH'!C8</f>
        <v>Ocaliva</v>
      </c>
      <c r="C30" s="2851"/>
      <c r="D30" s="2851"/>
      <c r="E30" s="2851"/>
      <c r="F30" s="2851"/>
      <c r="G30" s="2851"/>
      <c r="H30" s="2638">
        <f>'Sheet 1 NASH'!P8</f>
        <v>0</v>
      </c>
      <c r="I30" s="2638">
        <f>'Sheet 1 NASH'!Q8</f>
        <v>0</v>
      </c>
      <c r="J30" s="2638">
        <f>'Sheet 1 NASH'!R8</f>
        <v>0</v>
      </c>
      <c r="K30" s="2638">
        <f>'Sheet 1 NASH'!S8</f>
        <v>94.234161028050707</v>
      </c>
      <c r="L30" s="2638">
        <f>'Sheet 1 NASH'!T8</f>
        <v>276.13700338539297</v>
      </c>
      <c r="M30" s="2638">
        <f>'Sheet 1 NASH'!U8</f>
        <v>538.485376029083</v>
      </c>
      <c r="N30" s="2638">
        <f>'Sheet 1 NASH'!V8</f>
        <v>907.33261726155695</v>
      </c>
      <c r="O30" s="2638">
        <f>'Sheet 1 NASH'!W8</f>
        <v>1335.4003385242499</v>
      </c>
      <c r="P30" s="2664"/>
      <c r="Q30" s="2954" t="s">
        <v>246</v>
      </c>
      <c r="R30" s="2668">
        <v>1</v>
      </c>
      <c r="T30" s="2638" t="str">
        <f>'Sheet 1 NASH'!AO8</f>
        <v>Phase III</v>
      </c>
      <c r="U30" s="2664"/>
      <c r="X30" s="2638"/>
      <c r="Y30" s="2638"/>
      <c r="Z30" s="2638"/>
      <c r="AA30" s="2638"/>
      <c r="AB30" s="2638"/>
      <c r="AC30" s="2638"/>
      <c r="AD30" s="2638"/>
      <c r="AE30" s="2638"/>
      <c r="AF30" s="2638"/>
      <c r="AH30" s="2638"/>
    </row>
    <row r="31" spans="1:34" s="2606" customFormat="1" ht="12.75">
      <c r="B31" s="2667" t="str">
        <f>'Sheet 1 NASH'!C9</f>
        <v>Elafibranor</v>
      </c>
      <c r="C31" s="2851"/>
      <c r="D31" s="2851"/>
      <c r="E31" s="2851"/>
      <c r="F31" s="2851"/>
      <c r="G31" s="2851"/>
      <c r="H31" s="2638">
        <f>'Sheet 1 NASH'!P9+'Sheet 1 NASH'!P11</f>
        <v>0</v>
      </c>
      <c r="I31" s="2638">
        <f>'Sheet 1 NASH'!Q9+'Sheet 1 NASH'!Q11</f>
        <v>0</v>
      </c>
      <c r="J31" s="2638">
        <f>'Sheet 1 NASH'!R9+'Sheet 1 NASH'!R11</f>
        <v>0</v>
      </c>
      <c r="K31" s="2638">
        <f>'Sheet 1 NASH'!S9+'Sheet 1 NASH'!S11</f>
        <v>0</v>
      </c>
      <c r="L31" s="2638">
        <f>'Sheet 1 NASH'!T9+'Sheet 1 NASH'!T11</f>
        <v>124.059810660396</v>
      </c>
      <c r="M31" s="2638">
        <f>'Sheet 1 NASH'!U9+'Sheet 1 NASH'!U11</f>
        <v>320.71513495054899</v>
      </c>
      <c r="N31" s="2638">
        <f>'Sheet 1 NASH'!V9+'Sheet 1 NASH'!V11</f>
        <v>752.32547590126399</v>
      </c>
      <c r="O31" s="2638">
        <f>'Sheet 1 NASH'!W9+'Sheet 1 NASH'!W11</f>
        <v>1516.5311806548402</v>
      </c>
      <c r="P31" s="2664"/>
      <c r="Q31" s="2954" t="s">
        <v>246</v>
      </c>
      <c r="R31" s="2668">
        <v>1</v>
      </c>
      <c r="T31" s="2638" t="str">
        <f>'Sheet 1 NASH'!AO9</f>
        <v>Phase III</v>
      </c>
      <c r="U31" s="2664"/>
      <c r="X31" s="2638"/>
      <c r="Y31" s="2638"/>
      <c r="Z31" s="2638"/>
      <c r="AA31" s="2638"/>
      <c r="AB31" s="2638"/>
      <c r="AC31" s="2638"/>
      <c r="AD31" s="2638"/>
      <c r="AE31" s="2638"/>
      <c r="AF31" s="2638"/>
      <c r="AH31" s="2638"/>
    </row>
    <row r="32" spans="1:34" s="2606" customFormat="1" ht="12.75">
      <c r="B32" s="2667" t="str">
        <f>'Sheet 1 NASH'!C10</f>
        <v>MGL-3196</v>
      </c>
      <c r="C32" s="2851"/>
      <c r="D32" s="2851"/>
      <c r="E32" s="2851"/>
      <c r="F32" s="2851"/>
      <c r="G32" s="2851"/>
      <c r="H32" s="2638">
        <f>'Sheet 1 NASH'!P10</f>
        <v>0</v>
      </c>
      <c r="I32" s="2638">
        <f>'Sheet 1 NASH'!Q10</f>
        <v>0</v>
      </c>
      <c r="J32" s="2638">
        <f>'Sheet 1 NASH'!R10</f>
        <v>0</v>
      </c>
      <c r="K32" s="2638">
        <f>'Sheet 1 NASH'!S10</f>
        <v>0</v>
      </c>
      <c r="L32" s="2638" t="str">
        <f>'Sheet 1 NASH'!T10</f>
        <v>-</v>
      </c>
      <c r="M32" s="2638">
        <f>'Sheet 1 NASH'!U10</f>
        <v>140.435043583073</v>
      </c>
      <c r="N32" s="2638">
        <f>'Sheet 1 NASH'!V10</f>
        <v>491.38355611446201</v>
      </c>
      <c r="O32" s="2638">
        <f>'Sheet 1 NASH'!W10</f>
        <v>988.85425714709595</v>
      </c>
      <c r="P32" s="2664"/>
      <c r="Q32" s="2954" t="s">
        <v>247</v>
      </c>
      <c r="R32" s="2668">
        <v>1</v>
      </c>
      <c r="T32" s="2638" t="str">
        <f>'Sheet 1 NASH'!AO10</f>
        <v>Phase II</v>
      </c>
      <c r="U32" s="2664"/>
      <c r="X32" s="2638"/>
      <c r="Y32" s="2638"/>
      <c r="Z32" s="2638"/>
      <c r="AA32" s="2638"/>
      <c r="AB32" s="2638"/>
      <c r="AC32" s="2638"/>
      <c r="AD32" s="2638"/>
      <c r="AE32" s="2638"/>
      <c r="AF32" s="2638"/>
      <c r="AH32" s="2638"/>
    </row>
    <row r="33" spans="2:34" s="2606" customFormat="1" ht="12.75">
      <c r="B33" s="2667" t="str">
        <f>'Sheet 1 NASH'!C12</f>
        <v>GR-MD-02</v>
      </c>
      <c r="C33" s="2669"/>
      <c r="D33" s="2669"/>
      <c r="E33" s="2669"/>
      <c r="F33" s="2669"/>
      <c r="G33" s="2669"/>
      <c r="H33" s="2887">
        <f>'Sheet 1 NASH'!P12</f>
        <v>0</v>
      </c>
      <c r="I33" s="2887">
        <f>'Sheet 1 NASH'!Q12</f>
        <v>0</v>
      </c>
      <c r="J33" s="2887">
        <f>'Sheet 1 NASH'!R12</f>
        <v>0</v>
      </c>
      <c r="K33" s="2887">
        <f>'Sheet 1 NASH'!S12</f>
        <v>0</v>
      </c>
      <c r="L33" s="2887">
        <f>'Sheet 1 NASH'!T12</f>
        <v>28.8273333333333</v>
      </c>
      <c r="M33" s="2887">
        <f>'Sheet 1 NASH'!U12</f>
        <v>98.010999999999996</v>
      </c>
      <c r="N33" s="2887">
        <f>'Sheet 1 NASH'!V12</f>
        <v>214.30033333333299</v>
      </c>
      <c r="O33" s="2887">
        <f>'Sheet 1 NASH'!W12</f>
        <v>370.51566666666702</v>
      </c>
      <c r="P33" s="2664"/>
      <c r="Q33" s="2954" t="s">
        <v>247</v>
      </c>
      <c r="R33" s="2668">
        <v>1</v>
      </c>
      <c r="T33" s="2887" t="str">
        <f>'Sheet 1 NASH'!AO12</f>
        <v>Phase II</v>
      </c>
      <c r="U33" s="2664"/>
      <c r="X33" s="2887"/>
      <c r="Y33" s="2887"/>
      <c r="Z33" s="2887"/>
      <c r="AA33" s="2887"/>
      <c r="AB33" s="2887"/>
      <c r="AC33" s="2887"/>
      <c r="AD33" s="2887"/>
      <c r="AE33" s="2887"/>
      <c r="AF33" s="2887"/>
      <c r="AH33" s="2887"/>
    </row>
    <row r="34" spans="2:34" s="2606" customFormat="1" ht="12.75">
      <c r="B34" s="2667" t="str">
        <f>'Sheet 1 NASH'!C13</f>
        <v>MN-001</v>
      </c>
      <c r="C34" s="2669"/>
      <c r="D34" s="2669"/>
      <c r="E34" s="2669"/>
      <c r="F34" s="2669"/>
      <c r="G34" s="2669"/>
      <c r="H34" s="2887">
        <f>'Sheet 1 NASH'!P13</f>
        <v>0</v>
      </c>
      <c r="I34" s="2887">
        <f>'Sheet 1 NASH'!Q13</f>
        <v>0</v>
      </c>
      <c r="J34" s="2887">
        <f>'Sheet 1 NASH'!R13</f>
        <v>0</v>
      </c>
      <c r="K34" s="2887">
        <f>'Sheet 1 NASH'!S13</f>
        <v>0</v>
      </c>
      <c r="L34" s="2887">
        <f>'Sheet 1 NASH'!T13</f>
        <v>74.403999999999996</v>
      </c>
      <c r="M34" s="2887">
        <f>'Sheet 1 NASH'!U13</f>
        <v>113.73650000000001</v>
      </c>
      <c r="N34" s="2887">
        <f>'Sheet 1 NASH'!V13</f>
        <v>185.45224999999999</v>
      </c>
      <c r="O34" s="2887">
        <f>'Sheet 1 NASH'!W13</f>
        <v>267.73950000000002</v>
      </c>
      <c r="P34" s="2664"/>
      <c r="Q34" s="2954" t="s">
        <v>247</v>
      </c>
      <c r="R34" s="2668">
        <v>1</v>
      </c>
      <c r="T34" s="2887" t="str">
        <f>'Sheet 1 NASH'!AO13</f>
        <v>Phase II</v>
      </c>
      <c r="U34" s="2664"/>
      <c r="X34" s="2887"/>
      <c r="Y34" s="2887"/>
      <c r="Z34" s="2887"/>
      <c r="AA34" s="2887"/>
      <c r="AB34" s="2887"/>
      <c r="AC34" s="2887"/>
      <c r="AD34" s="2887"/>
      <c r="AE34" s="2887"/>
      <c r="AF34" s="2887"/>
      <c r="AH34" s="2887"/>
    </row>
    <row r="35" spans="2:34" s="2606" customFormat="1" ht="12.75">
      <c r="B35" s="2667" t="str">
        <f>'Sheet 1 NASH'!C14</f>
        <v>IMM-124E</v>
      </c>
      <c r="C35" s="2669"/>
      <c r="D35" s="2669"/>
      <c r="E35" s="2669"/>
      <c r="F35" s="2669"/>
      <c r="G35" s="2669"/>
      <c r="H35" s="2887">
        <f>'Sheet 1 NASH'!P14</f>
        <v>0</v>
      </c>
      <c r="I35" s="2887">
        <f>'Sheet 1 NASH'!Q14</f>
        <v>0</v>
      </c>
      <c r="J35" s="2887">
        <f>'Sheet 1 NASH'!R14</f>
        <v>0</v>
      </c>
      <c r="K35" s="2887">
        <f>'Sheet 1 NASH'!S14</f>
        <v>0</v>
      </c>
      <c r="L35" s="2887">
        <f>'Sheet 1 NASH'!T14</f>
        <v>0</v>
      </c>
      <c r="M35" s="2887">
        <f>'Sheet 1 NASH'!U14</f>
        <v>26.6</v>
      </c>
      <c r="N35" s="2887">
        <f>'Sheet 1 NASH'!V14</f>
        <v>64.2</v>
      </c>
      <c r="O35" s="2887">
        <f>'Sheet 1 NASH'!W14</f>
        <v>124.2</v>
      </c>
      <c r="P35" s="2664"/>
      <c r="Q35" s="2954" t="s">
        <v>247</v>
      </c>
      <c r="R35" s="2668">
        <v>1</v>
      </c>
      <c r="T35" s="2887" t="str">
        <f>'Sheet 1 NASH'!AO14</f>
        <v>Phase II</v>
      </c>
      <c r="U35" s="2664"/>
      <c r="X35" s="2887"/>
      <c r="Y35" s="2887"/>
      <c r="Z35" s="2887"/>
      <c r="AA35" s="2887"/>
      <c r="AB35" s="2887"/>
      <c r="AC35" s="2887"/>
      <c r="AD35" s="2887"/>
      <c r="AE35" s="2887"/>
      <c r="AF35" s="2887"/>
      <c r="AH35" s="2887"/>
    </row>
    <row r="36" spans="2:34" s="2606" customFormat="1" ht="12.75">
      <c r="B36" s="2667" t="str">
        <f>'Sheet 1 NASH'!C15</f>
        <v>SHP626</v>
      </c>
      <c r="C36" s="2669"/>
      <c r="D36" s="2669"/>
      <c r="E36" s="2669"/>
      <c r="F36" s="2669"/>
      <c r="G36" s="2669"/>
      <c r="H36" s="2887">
        <f>'Sheet 1 NASH'!P15</f>
        <v>0</v>
      </c>
      <c r="I36" s="2887">
        <f>'Sheet 1 NASH'!Q15</f>
        <v>0</v>
      </c>
      <c r="J36" s="2887">
        <f>'Sheet 1 NASH'!R15</f>
        <v>0</v>
      </c>
      <c r="K36" s="2887">
        <f>'Sheet 1 NASH'!S15</f>
        <v>4.5</v>
      </c>
      <c r="L36" s="2887">
        <f>'Sheet 1 NASH'!T15</f>
        <v>23</v>
      </c>
      <c r="M36" s="2887">
        <f>'Sheet 1 NASH'!U15</f>
        <v>45.5</v>
      </c>
      <c r="N36" s="2887">
        <f>'Sheet 1 NASH'!V15</f>
        <v>68</v>
      </c>
      <c r="O36" s="2887">
        <f>'Sheet 1 NASH'!W15</f>
        <v>90.5</v>
      </c>
      <c r="P36" s="2664"/>
      <c r="Q36" s="2954" t="s">
        <v>247</v>
      </c>
      <c r="R36" s="2668">
        <v>1</v>
      </c>
      <c r="T36" s="2887" t="str">
        <f>'Sheet 1 NASH'!AO15</f>
        <v>Phase II</v>
      </c>
      <c r="U36" s="2664"/>
      <c r="X36" s="2887"/>
      <c r="Y36" s="2887"/>
      <c r="Z36" s="2887"/>
      <c r="AA36" s="2887"/>
      <c r="AB36" s="2887"/>
      <c r="AC36" s="2887"/>
      <c r="AD36" s="2887"/>
      <c r="AE36" s="2887"/>
      <c r="AF36" s="2887"/>
      <c r="AH36" s="2887"/>
    </row>
    <row r="37" spans="2:34" s="2606" customFormat="1" ht="12.75">
      <c r="B37" s="2667" t="str">
        <f>'Sheet 1 NASH'!C16</f>
        <v>Aramchol</v>
      </c>
      <c r="C37" s="2669"/>
      <c r="D37" s="2669"/>
      <c r="E37" s="2669"/>
      <c r="F37" s="2669"/>
      <c r="G37" s="2669"/>
      <c r="H37" s="2887">
        <f>'Sheet 1 NASH'!P16+'Sheet 1 NASH'!P19</f>
        <v>0</v>
      </c>
      <c r="I37" s="2887">
        <f>'Sheet 1 NASH'!Q16+'Sheet 1 NASH'!Q19</f>
        <v>0</v>
      </c>
      <c r="J37" s="2887">
        <f>'Sheet 1 NASH'!R16+'Sheet 1 NASH'!R19</f>
        <v>0</v>
      </c>
      <c r="K37" s="2887">
        <f>'Sheet 1 NASH'!S16+'Sheet 1 NASH'!S19</f>
        <v>0</v>
      </c>
      <c r="L37" s="2887">
        <f>'Sheet 1 NASH'!T16+'Sheet 1 NASH'!T19</f>
        <v>3.8923865504081099</v>
      </c>
      <c r="M37" s="2887">
        <f>'Sheet 1 NASH'!U16+'Sheet 1 NASH'!U19</f>
        <v>19.050791616755333</v>
      </c>
      <c r="N37" s="2887">
        <f>'Sheet 1 NASH'!V16+'Sheet 1 NASH'!V19</f>
        <v>56.362027931767571</v>
      </c>
      <c r="O37" s="2887">
        <f>'Sheet 1 NASH'!W16+'Sheet 1 NASH'!W19</f>
        <v>124.9328941137141</v>
      </c>
      <c r="P37" s="2664"/>
      <c r="Q37" s="2954" t="s">
        <v>247</v>
      </c>
      <c r="R37" s="2668">
        <v>1</v>
      </c>
      <c r="T37" s="2887" t="str">
        <f>'Sheet 1 NASH'!AO16</f>
        <v>Phase II</v>
      </c>
      <c r="U37" s="2664"/>
      <c r="X37" s="2887"/>
      <c r="Y37" s="2887"/>
      <c r="Z37" s="2887"/>
      <c r="AA37" s="2887"/>
      <c r="AB37" s="2887"/>
      <c r="AC37" s="2887"/>
      <c r="AD37" s="2887"/>
      <c r="AE37" s="2887"/>
      <c r="AF37" s="2887"/>
      <c r="AH37" s="2887"/>
    </row>
    <row r="38" spans="2:34" s="2606" customFormat="1" ht="12.75">
      <c r="B38" s="2667" t="str">
        <f>'Sheet 1 NASH'!C17</f>
        <v>Seladelpar</v>
      </c>
      <c r="C38" s="2669"/>
      <c r="D38" s="2669"/>
      <c r="E38" s="2669"/>
      <c r="F38" s="2669"/>
      <c r="G38" s="2669"/>
      <c r="H38" s="2887">
        <f>'Sheet 1 NASH'!P17</f>
        <v>0</v>
      </c>
      <c r="I38" s="2887">
        <f>'Sheet 1 NASH'!Q17</f>
        <v>0</v>
      </c>
      <c r="J38" s="2887">
        <f>'Sheet 1 NASH'!R17</f>
        <v>0</v>
      </c>
      <c r="K38" s="2887">
        <f>'Sheet 1 NASH'!S17</f>
        <v>0</v>
      </c>
      <c r="L38" s="2887">
        <f>'Sheet 1 NASH'!T17</f>
        <v>0</v>
      </c>
      <c r="M38" s="2887">
        <f>'Sheet 1 NASH'!U17</f>
        <v>25.054915282938499</v>
      </c>
      <c r="N38" s="2887">
        <f>'Sheet 1 NASH'!V17</f>
        <v>39.833598278583899</v>
      </c>
      <c r="O38" s="2887">
        <f>'Sheet 1 NASH'!W17</f>
        <v>50.0328455729871</v>
      </c>
      <c r="P38" s="2664"/>
      <c r="Q38" s="2954" t="s">
        <v>247</v>
      </c>
      <c r="R38" s="2668">
        <v>1</v>
      </c>
      <c r="T38" s="2887" t="str">
        <f>'Sheet 1 NASH'!AO17</f>
        <v>Phase II</v>
      </c>
      <c r="U38" s="2664"/>
      <c r="X38" s="2887"/>
      <c r="Y38" s="2887"/>
      <c r="Z38" s="2887"/>
      <c r="AA38" s="2887"/>
      <c r="AB38" s="2887"/>
      <c r="AC38" s="2887"/>
      <c r="AD38" s="2887"/>
      <c r="AE38" s="2887"/>
      <c r="AF38" s="2887"/>
      <c r="AH38" s="2887"/>
    </row>
    <row r="39" spans="2:34" s="2606" customFormat="1" ht="12.75">
      <c r="B39" s="2667" t="str">
        <f>'Sheet 1 NASH'!C18</f>
        <v>EDP-305</v>
      </c>
      <c r="C39" s="2669"/>
      <c r="D39" s="2669"/>
      <c r="E39" s="2669"/>
      <c r="F39" s="2669"/>
      <c r="G39" s="2669"/>
      <c r="H39" s="2887">
        <f>'Sheet 1 NASH'!P18</f>
        <v>0</v>
      </c>
      <c r="I39" s="2887">
        <f>'Sheet 1 NASH'!Q18</f>
        <v>0</v>
      </c>
      <c r="J39" s="2887">
        <f>'Sheet 1 NASH'!R18</f>
        <v>0</v>
      </c>
      <c r="K39" s="2887">
        <f>'Sheet 1 NASH'!S18</f>
        <v>0</v>
      </c>
      <c r="L39" s="2887">
        <f>'Sheet 1 NASH'!T18</f>
        <v>0</v>
      </c>
      <c r="M39" s="2887">
        <f>'Sheet 1 NASH'!U18</f>
        <v>0</v>
      </c>
      <c r="N39" s="2887">
        <f>'Sheet 1 NASH'!V18</f>
        <v>0</v>
      </c>
      <c r="O39" s="2887">
        <f>'Sheet 1 NASH'!W18</f>
        <v>36.863342814625597</v>
      </c>
      <c r="P39" s="2664"/>
      <c r="Q39" s="2954" t="s">
        <v>247</v>
      </c>
      <c r="R39" s="2668">
        <v>1</v>
      </c>
      <c r="T39" s="2887" t="str">
        <f>'Sheet 1 NASH'!AO18</f>
        <v>Phase II</v>
      </c>
      <c r="U39" s="2664"/>
      <c r="X39" s="2887"/>
      <c r="Y39" s="2887"/>
      <c r="Z39" s="2887"/>
      <c r="AA39" s="2887"/>
      <c r="AB39" s="2887"/>
      <c r="AC39" s="2887"/>
      <c r="AD39" s="2887"/>
      <c r="AE39" s="2887"/>
      <c r="AF39" s="2887"/>
      <c r="AH39" s="2887"/>
    </row>
    <row r="40" spans="2:34" s="2606" customFormat="1" ht="12.75">
      <c r="B40" s="2667" t="str">
        <f>'Sheet 1 NASH'!C20</f>
        <v>GKT831</v>
      </c>
      <c r="C40" s="2669"/>
      <c r="D40" s="2669"/>
      <c r="E40" s="2669"/>
      <c r="F40" s="2669"/>
      <c r="G40" s="2669"/>
      <c r="H40" s="2887">
        <f>'Sheet 1 NASH'!P20</f>
        <v>0</v>
      </c>
      <c r="I40" s="2887">
        <f>'Sheet 1 NASH'!Q20</f>
        <v>0</v>
      </c>
      <c r="J40" s="2887">
        <f>'Sheet 1 NASH'!R20</f>
        <v>0</v>
      </c>
      <c r="K40" s="2887">
        <f>'Sheet 1 NASH'!S20</f>
        <v>0</v>
      </c>
      <c r="L40" s="2887">
        <f>'Sheet 1 NASH'!T20</f>
        <v>0</v>
      </c>
      <c r="M40" s="2887">
        <f>'Sheet 1 NASH'!U20</f>
        <v>0</v>
      </c>
      <c r="N40" s="2887">
        <f>'Sheet 1 NASH'!V20</f>
        <v>0</v>
      </c>
      <c r="O40" s="2887">
        <f>'Sheet 1 NASH'!W20</f>
        <v>36.106876354007902</v>
      </c>
      <c r="P40" s="2664"/>
      <c r="Q40" s="2954" t="s">
        <v>248</v>
      </c>
      <c r="R40" s="2668">
        <v>1</v>
      </c>
      <c r="T40" s="2887" t="str">
        <f>'Sheet 1 NASH'!AO20</f>
        <v>Pre-clinical</v>
      </c>
      <c r="U40" s="2664"/>
      <c r="X40" s="2887"/>
      <c r="Y40" s="2887"/>
      <c r="Z40" s="2887"/>
      <c r="AA40" s="2887"/>
      <c r="AB40" s="2887"/>
      <c r="AC40" s="2887"/>
      <c r="AD40" s="2887"/>
      <c r="AE40" s="2887"/>
      <c r="AF40" s="2887"/>
      <c r="AH40" s="2887"/>
    </row>
    <row r="41" spans="2:34" s="2606" customFormat="1" ht="12.75">
      <c r="B41" s="2667" t="str">
        <f>'Sheet 1 NASH'!C21</f>
        <v>Gemcabene</v>
      </c>
      <c r="C41" s="2669"/>
      <c r="D41" s="2669"/>
      <c r="E41" s="2669"/>
      <c r="F41" s="2669"/>
      <c r="G41" s="2669"/>
      <c r="H41" s="2887">
        <f>'Sheet 1 NASH'!P21</f>
        <v>0</v>
      </c>
      <c r="I41" s="2887">
        <f>'Sheet 1 NASH'!Q21</f>
        <v>0</v>
      </c>
      <c r="J41" s="2887">
        <f>'Sheet 1 NASH'!R21</f>
        <v>0</v>
      </c>
      <c r="K41" s="2887">
        <f>'Sheet 1 NASH'!S21</f>
        <v>0</v>
      </c>
      <c r="L41" s="2887">
        <f>'Sheet 1 NASH'!T21</f>
        <v>0</v>
      </c>
      <c r="M41" s="2887">
        <f>'Sheet 1 NASH'!U21</f>
        <v>6.7398148148148103</v>
      </c>
      <c r="N41" s="2887">
        <f>'Sheet 1 NASH'!V21</f>
        <v>16.9711711711712</v>
      </c>
      <c r="O41" s="2887">
        <f>'Sheet 1 NASH'!W21</f>
        <v>33.907407407407398</v>
      </c>
      <c r="P41" s="2664"/>
      <c r="Q41" s="2954" t="s">
        <v>247</v>
      </c>
      <c r="R41" s="2668">
        <v>1</v>
      </c>
      <c r="T41" s="2887" t="str">
        <f>'Sheet 1 NASH'!AO21</f>
        <v>Phase II</v>
      </c>
      <c r="U41" s="2664"/>
      <c r="X41" s="2887"/>
      <c r="Y41" s="2887"/>
      <c r="Z41" s="2887"/>
      <c r="AA41" s="2887"/>
      <c r="AB41" s="2887"/>
      <c r="AC41" s="2887"/>
      <c r="AD41" s="2887"/>
      <c r="AE41" s="2887"/>
      <c r="AF41" s="2887"/>
      <c r="AH41" s="2887"/>
    </row>
    <row r="42" spans="2:34" s="2606" customFormat="1" ht="12.75">
      <c r="B42" s="2667"/>
      <c r="C42" s="2638"/>
      <c r="D42" s="2638"/>
      <c r="E42" s="2638"/>
      <c r="F42" s="2638"/>
      <c r="G42" s="2638"/>
      <c r="H42" s="2638"/>
      <c r="I42" s="2638"/>
      <c r="J42" s="2638"/>
      <c r="K42" s="2638"/>
      <c r="L42" s="2638"/>
      <c r="M42" s="2638"/>
      <c r="N42" s="2638"/>
      <c r="O42" s="2638"/>
      <c r="P42" s="2664"/>
      <c r="Q42" s="2605"/>
      <c r="R42" s="2668">
        <v>1</v>
      </c>
      <c r="U42" s="2664"/>
    </row>
    <row r="43" spans="2:34" s="2606" customFormat="1" ht="12.75">
      <c r="B43" s="2667"/>
      <c r="C43" s="2605"/>
      <c r="D43" s="2605"/>
      <c r="E43" s="2605"/>
      <c r="F43" s="2605"/>
      <c r="G43" s="2605"/>
      <c r="H43" s="2605"/>
      <c r="I43" s="2605"/>
      <c r="J43" s="1011"/>
      <c r="K43" s="1011"/>
      <c r="L43" s="1011"/>
      <c r="M43" s="1011"/>
      <c r="N43" s="2671"/>
      <c r="O43" s="2671"/>
      <c r="P43" s="2664"/>
      <c r="Q43" s="2605"/>
      <c r="R43" s="2668"/>
      <c r="U43" s="2664"/>
    </row>
    <row r="44" spans="2:34" s="2606" customFormat="1" ht="12.75">
      <c r="B44" s="2672" t="str">
        <f>B17</f>
        <v>Total Diabetes Drug Sales</v>
      </c>
      <c r="C44" s="2852"/>
      <c r="D44" s="2852"/>
      <c r="E44" s="2852"/>
      <c r="F44" s="2852"/>
      <c r="G44" s="2852"/>
      <c r="H44" s="2640">
        <f>SUMPRODUCT(H30:H43,$R$30:$R$43)</f>
        <v>0</v>
      </c>
      <c r="I44" s="2640">
        <f t="shared" ref="I44:O44" si="6">SUMPRODUCT(I30:I43,$R$30:$R$43)</f>
        <v>0</v>
      </c>
      <c r="J44" s="2640">
        <f t="shared" si="6"/>
        <v>0</v>
      </c>
      <c r="K44" s="2640">
        <f t="shared" si="6"/>
        <v>98.734161028050707</v>
      </c>
      <c r="L44" s="2640">
        <f t="shared" si="6"/>
        <v>530.32053392953037</v>
      </c>
      <c r="M44" s="2640">
        <f t="shared" si="6"/>
        <v>1334.3285762772134</v>
      </c>
      <c r="N44" s="2640">
        <f t="shared" si="6"/>
        <v>2796.1610299921381</v>
      </c>
      <c r="O44" s="2640">
        <f t="shared" si="6"/>
        <v>4975.5843092555951</v>
      </c>
      <c r="P44" s="2641">
        <f>(O44/K44)^(1/5)-1</f>
        <v>1.1901574125143237</v>
      </c>
      <c r="Q44" s="2605"/>
      <c r="R44" s="2673"/>
      <c r="S44" s="2674"/>
      <c r="T44" s="2674"/>
      <c r="U44" s="2675"/>
    </row>
    <row r="45" spans="2:34" s="2606" customFormat="1" ht="12.75">
      <c r="B45" s="2657"/>
      <c r="C45" s="2605"/>
      <c r="D45" s="2605"/>
      <c r="E45" s="2605"/>
      <c r="F45" s="2605"/>
      <c r="G45" s="2676"/>
      <c r="H45" s="2676"/>
      <c r="I45" s="2676"/>
      <c r="J45" s="2676"/>
      <c r="K45" s="2676"/>
      <c r="L45" s="2676"/>
      <c r="M45" s="2676"/>
      <c r="N45" s="2676"/>
      <c r="O45" s="2676"/>
      <c r="Q45" s="2605"/>
      <c r="R45" s="2677">
        <f>COUNTIF(G45:M45,"Check")</f>
        <v>0</v>
      </c>
      <c r="S45" s="2678" t="s">
        <v>579</v>
      </c>
    </row>
    <row r="46" spans="2:34" s="2606" customFormat="1" ht="12.75">
      <c r="B46" s="2657"/>
      <c r="C46" s="2605"/>
      <c r="D46" s="2605"/>
      <c r="E46" s="2605"/>
      <c r="F46" s="2605"/>
      <c r="G46" s="2676"/>
      <c r="H46" s="2676"/>
      <c r="I46" s="2676"/>
      <c r="J46" s="2676"/>
      <c r="K46" s="2676"/>
      <c r="L46" s="2676"/>
      <c r="M46" s="2676"/>
      <c r="N46" s="2676"/>
      <c r="O46" s="2676"/>
      <c r="Q46" s="2605"/>
      <c r="R46" s="2679"/>
      <c r="S46" s="2679"/>
    </row>
    <row r="47" spans="2:34" s="2606" customFormat="1" ht="12.75">
      <c r="B47" s="2952" t="s">
        <v>43</v>
      </c>
      <c r="C47" s="2951"/>
      <c r="D47" s="2951"/>
      <c r="E47" s="2951"/>
      <c r="F47" s="2951"/>
      <c r="G47" s="2951"/>
      <c r="H47" s="2951"/>
      <c r="I47" s="2951"/>
      <c r="J47" s="2951"/>
      <c r="K47" s="2951">
        <f t="shared" ref="K47:O47" si="7">AVERAGEIFS(K29:K42,K29:K42,"&lt;&gt;0",$R29:$R42,"&lt;&gt;0")</f>
        <v>49.367080514025353</v>
      </c>
      <c r="L47" s="2951">
        <f t="shared" si="7"/>
        <v>88.386755654921728</v>
      </c>
      <c r="M47" s="2951">
        <f t="shared" si="7"/>
        <v>133.43285762772135</v>
      </c>
      <c r="N47" s="2951">
        <f t="shared" si="7"/>
        <v>279.61610299921381</v>
      </c>
      <c r="O47" s="2957">
        <f t="shared" si="7"/>
        <v>414.6320257712996</v>
      </c>
      <c r="P47" s="2671"/>
      <c r="Q47" s="2605"/>
    </row>
    <row r="48" spans="2:34" s="2606" customFormat="1" ht="12.75">
      <c r="B48" s="2648" t="s">
        <v>2970</v>
      </c>
      <c r="C48" s="2649"/>
      <c r="D48" s="2649"/>
      <c r="E48" s="2649"/>
      <c r="F48" s="2649"/>
      <c r="G48" s="2649"/>
      <c r="H48" s="2649"/>
      <c r="I48" s="2649"/>
      <c r="J48" s="2649"/>
      <c r="K48" s="2649">
        <f t="shared" ref="K48:O48" si="8">K47/K44</f>
        <v>0.5</v>
      </c>
      <c r="L48" s="2649">
        <f t="shared" si="8"/>
        <v>0.16666666666666666</v>
      </c>
      <c r="M48" s="2649">
        <f t="shared" si="8"/>
        <v>0.1</v>
      </c>
      <c r="N48" s="2649">
        <f t="shared" si="8"/>
        <v>0.1</v>
      </c>
      <c r="O48" s="2650">
        <f t="shared" si="8"/>
        <v>8.3333333333333329E-2</v>
      </c>
      <c r="P48" s="2671"/>
      <c r="Q48" s="2605"/>
    </row>
    <row r="49" spans="1:17" s="2606" customFormat="1" ht="12.75">
      <c r="B49" s="2648" t="s">
        <v>44</v>
      </c>
      <c r="C49" s="2652"/>
      <c r="D49" s="2652"/>
      <c r="E49" s="2652"/>
      <c r="F49" s="2652"/>
      <c r="G49" s="2652"/>
      <c r="H49" s="2652"/>
      <c r="I49" s="2652"/>
      <c r="J49" s="2652"/>
      <c r="K49" s="2652">
        <f t="array" ref="K49">MEDIAN(IF(K30:K43&lt;&gt;0,IF($R30:$R43=1,K30:K43,"")))</f>
        <v>49.367080514025353</v>
      </c>
      <c r="L49" s="2652">
        <f t="array" ref="L49">MEDIAN(IF(L30:L43&lt;&gt;0,IF($R30:$R43=1,L30:L43,"")))</f>
        <v>51.615666666666648</v>
      </c>
      <c r="M49" s="2652">
        <f t="array" ref="M49">MEDIAN(IF(M30:M43&lt;&gt;0,IF($R30:$R43=1,M30:M43,"")))</f>
        <v>71.755499999999998</v>
      </c>
      <c r="N49" s="2652">
        <f t="array" ref="N49">MEDIAN(IF(N30:N43&lt;&gt;0,IF($R30:$R43=1,N30:N43,"")))</f>
        <v>126.726125</v>
      </c>
      <c r="O49" s="2653">
        <f t="array" ref="O49">MEDIAN(IF(O30:O43&lt;&gt;0,IF($R30:$R43=1,O30:O43,"")))</f>
        <v>124.56644705685704</v>
      </c>
      <c r="P49" s="2671"/>
      <c r="Q49" s="2605"/>
    </row>
    <row r="50" spans="1:17" s="2606" customFormat="1" ht="12.75">
      <c r="B50" s="2654" t="s">
        <v>2970</v>
      </c>
      <c r="C50" s="2655"/>
      <c r="D50" s="2655"/>
      <c r="E50" s="2655"/>
      <c r="F50" s="2655"/>
      <c r="G50" s="2655"/>
      <c r="H50" s="2655"/>
      <c r="I50" s="2655"/>
      <c r="J50" s="2655"/>
      <c r="K50" s="2655">
        <f t="shared" ref="K50:O50" si="9">K49/K44</f>
        <v>0.5</v>
      </c>
      <c r="L50" s="2655">
        <f t="shared" si="9"/>
        <v>9.7329187471223585E-2</v>
      </c>
      <c r="M50" s="2655">
        <f t="shared" si="9"/>
        <v>5.3776484499941067E-2</v>
      </c>
      <c r="N50" s="2655">
        <f t="shared" si="9"/>
        <v>4.5321468842714083E-2</v>
      </c>
      <c r="O50" s="2656">
        <f t="shared" si="9"/>
        <v>2.5035541418751202E-2</v>
      </c>
      <c r="P50" s="2671"/>
      <c r="Q50" s="2605"/>
    </row>
    <row r="51" spans="1:17" s="2606" customFormat="1" ht="12.75">
      <c r="B51" s="2657"/>
      <c r="C51" s="2605"/>
      <c r="D51" s="2605"/>
      <c r="E51" s="2605"/>
      <c r="F51" s="2605"/>
      <c r="G51" s="2605"/>
      <c r="H51" s="2605"/>
      <c r="I51" s="2605"/>
      <c r="J51" s="2605"/>
      <c r="K51" s="2605"/>
      <c r="L51" s="2605"/>
      <c r="M51" s="2605"/>
      <c r="N51" s="2605"/>
      <c r="O51" s="2605"/>
      <c r="Q51" s="2605"/>
    </row>
    <row r="52" spans="1:17" s="2606" customFormat="1" ht="12.75">
      <c r="B52" s="2680" t="s">
        <v>86</v>
      </c>
      <c r="C52" s="2605"/>
      <c r="D52" s="2605"/>
      <c r="E52" s="2605"/>
      <c r="F52" s="2605"/>
      <c r="G52" s="2605"/>
      <c r="H52" s="2605"/>
      <c r="I52" s="2605"/>
      <c r="J52" s="2605"/>
      <c r="K52" s="2605"/>
      <c r="L52" s="2605"/>
      <c r="M52" s="2605"/>
      <c r="N52" s="2605"/>
      <c r="O52" s="2605"/>
      <c r="Q52" s="2605"/>
    </row>
    <row r="53" spans="1:17" s="2606" customFormat="1" ht="12.75">
      <c r="A53" s="2955" t="s">
        <v>210</v>
      </c>
      <c r="B53" s="3257" t="s">
        <v>3652</v>
      </c>
      <c r="C53" s="3257"/>
      <c r="D53" s="3257"/>
      <c r="E53" s="3257"/>
      <c r="F53" s="3257"/>
      <c r="G53" s="3257"/>
      <c r="H53" s="3257"/>
      <c r="I53" s="3257"/>
      <c r="J53" s="3257"/>
      <c r="K53" s="3257"/>
      <c r="L53" s="3257"/>
      <c r="M53" s="3257"/>
      <c r="N53" s="3257"/>
      <c r="O53" s="3257"/>
      <c r="P53" s="3257"/>
      <c r="Q53" s="2605"/>
    </row>
    <row r="54" spans="1:17" s="2606" customFormat="1" ht="12.75">
      <c r="A54" s="2955" t="s">
        <v>209</v>
      </c>
      <c r="B54" s="3257" t="s">
        <v>3653</v>
      </c>
      <c r="C54" s="3257"/>
      <c r="D54" s="3257"/>
      <c r="E54" s="3257"/>
      <c r="F54" s="3257"/>
      <c r="G54" s="3257"/>
      <c r="H54" s="3257"/>
      <c r="I54" s="3257"/>
      <c r="J54" s="3257"/>
      <c r="K54" s="3257"/>
      <c r="L54" s="3257"/>
      <c r="M54" s="3257"/>
      <c r="N54" s="3257"/>
      <c r="O54" s="3257"/>
      <c r="P54" s="3257"/>
      <c r="Q54" s="2605"/>
    </row>
    <row r="55" spans="1:17" s="2606" customFormat="1" ht="12.75">
      <c r="A55" s="2682" t="str">
        <f>Q30</f>
        <v>(3)</v>
      </c>
      <c r="B55" s="2956" t="s">
        <v>2972</v>
      </c>
      <c r="C55" s="2605"/>
      <c r="D55" s="2605"/>
      <c r="E55" s="2605"/>
      <c r="F55" s="2605"/>
      <c r="G55" s="2605"/>
      <c r="H55" s="2605"/>
      <c r="I55" s="2605"/>
      <c r="J55" s="2605"/>
      <c r="K55" s="2605"/>
      <c r="L55" s="2605"/>
      <c r="M55" s="2605"/>
      <c r="N55" s="2605"/>
      <c r="O55" s="2605"/>
      <c r="Q55" s="2605"/>
    </row>
    <row r="56" spans="1:17" s="2606" customFormat="1" ht="12.75">
      <c r="A56" s="2682" t="str">
        <f>Q39</f>
        <v>(4)</v>
      </c>
      <c r="B56" s="2956" t="s">
        <v>3649</v>
      </c>
      <c r="C56" s="2605"/>
      <c r="D56" s="2605"/>
      <c r="E56" s="2605"/>
      <c r="F56" s="2605"/>
      <c r="G56" s="2605"/>
      <c r="H56" s="2605"/>
      <c r="I56" s="2605"/>
      <c r="J56" s="2605"/>
      <c r="K56" s="2605"/>
      <c r="L56" s="2605"/>
      <c r="M56" s="2605"/>
      <c r="N56" s="2605"/>
      <c r="O56" s="2605"/>
      <c r="Q56" s="2605"/>
    </row>
    <row r="57" spans="1:17" s="2606" customFormat="1" ht="12.75" customHeight="1">
      <c r="A57" s="2681" t="str">
        <f>Q40</f>
        <v>(5)</v>
      </c>
      <c r="B57" s="2956" t="s">
        <v>3650</v>
      </c>
      <c r="C57" s="2605"/>
      <c r="D57" s="2605"/>
      <c r="E57" s="2605"/>
      <c r="F57" s="2605"/>
      <c r="G57" s="2605"/>
      <c r="H57" s="2605"/>
      <c r="I57" s="2605"/>
      <c r="J57" s="2605"/>
      <c r="K57" s="2605"/>
      <c r="L57" s="2605"/>
      <c r="M57" s="2605"/>
      <c r="N57" s="2605"/>
      <c r="O57" s="2605"/>
      <c r="Q57" s="2605"/>
    </row>
    <row r="58" spans="1:17" s="2606" customFormat="1" ht="12.75">
      <c r="B58" s="2657"/>
      <c r="C58" s="2605"/>
      <c r="D58" s="2605"/>
      <c r="E58" s="2605"/>
      <c r="F58" s="2605"/>
      <c r="G58" s="2605"/>
      <c r="H58" s="2605"/>
      <c r="I58" s="2605"/>
      <c r="J58" s="2605"/>
      <c r="K58" s="2605"/>
      <c r="L58" s="2605"/>
      <c r="M58" s="2605"/>
      <c r="N58" s="2605"/>
      <c r="O58" s="2605"/>
      <c r="Q58" s="2605"/>
    </row>
    <row r="59" spans="1:17" s="2606" customFormat="1" ht="12.75">
      <c r="B59" s="2683" t="s">
        <v>2973</v>
      </c>
      <c r="C59" s="2684">
        <v>4000</v>
      </c>
      <c r="D59" s="2605"/>
      <c r="E59" s="2605"/>
      <c r="F59" s="2605"/>
      <c r="G59" s="2605"/>
      <c r="H59" s="2605"/>
      <c r="I59" s="2605"/>
      <c r="J59" s="2605"/>
      <c r="K59" s="2605"/>
      <c r="L59" s="2605"/>
      <c r="M59" s="2605"/>
      <c r="N59" s="2605"/>
      <c r="O59" s="2605"/>
      <c r="Q59" s="2605"/>
    </row>
    <row r="60" spans="1:17" s="2606" customFormat="1" ht="12.75">
      <c r="B60" s="2657"/>
      <c r="C60" s="2605"/>
      <c r="D60" s="2605"/>
      <c r="E60" s="2605"/>
      <c r="F60" s="2605"/>
      <c r="G60" s="2605"/>
      <c r="H60" s="2605"/>
      <c r="I60" s="2605"/>
      <c r="J60" s="2605"/>
      <c r="K60" s="2605"/>
      <c r="L60" s="2605"/>
      <c r="M60" s="2605"/>
      <c r="N60" s="2605"/>
      <c r="O60" s="2605"/>
      <c r="Q60" s="2605"/>
    </row>
    <row r="61" spans="1:17" s="2606" customFormat="1" ht="12.75">
      <c r="B61" s="2657"/>
      <c r="C61" s="2605"/>
      <c r="D61" s="2605"/>
      <c r="E61" s="2605"/>
      <c r="F61" s="2605"/>
      <c r="G61" s="2605"/>
      <c r="H61" s="2605"/>
      <c r="I61" s="2605"/>
      <c r="J61" s="2605"/>
      <c r="K61" s="2605"/>
      <c r="L61" s="2605"/>
      <c r="M61" s="2605"/>
      <c r="N61" s="2605"/>
      <c r="O61" s="2605"/>
      <c r="Q61" s="2605"/>
    </row>
    <row r="62" spans="1:17" s="2606" customFormat="1" ht="12.75">
      <c r="B62" s="2657"/>
      <c r="C62" s="2605"/>
      <c r="D62" s="2605"/>
      <c r="E62" s="2605"/>
      <c r="F62" s="2605"/>
      <c r="G62" s="2605"/>
      <c r="H62" s="2605"/>
      <c r="I62" s="2605"/>
      <c r="J62" s="2605"/>
      <c r="K62" s="2605"/>
      <c r="L62" s="2605"/>
      <c r="M62" s="2605"/>
      <c r="N62" s="2605"/>
      <c r="O62" s="2605"/>
      <c r="Q62" s="2605"/>
    </row>
    <row r="63" spans="1:17" s="2606" customFormat="1" ht="12.75">
      <c r="B63" s="2657"/>
      <c r="C63" s="2605"/>
      <c r="D63" s="2605"/>
      <c r="E63" s="2605"/>
      <c r="F63" s="2605"/>
      <c r="G63" s="2605"/>
      <c r="H63" s="2605"/>
      <c r="I63" s="2605"/>
      <c r="J63" s="2605"/>
      <c r="K63" s="2605"/>
      <c r="L63" s="2605"/>
      <c r="M63" s="2605"/>
      <c r="N63" s="2605"/>
      <c r="O63" s="2605"/>
      <c r="Q63" s="2605"/>
    </row>
    <row r="64" spans="1:17" s="2608" customFormat="1" ht="12.75">
      <c r="A64" s="2606"/>
      <c r="B64" s="2657"/>
      <c r="C64" s="2605"/>
      <c r="D64" s="2605"/>
      <c r="E64" s="2605"/>
      <c r="F64" s="2605"/>
      <c r="G64" s="2605"/>
      <c r="H64" s="2605"/>
      <c r="I64" s="2605"/>
      <c r="J64" s="2605"/>
      <c r="K64" s="2605"/>
      <c r="L64" s="2605"/>
      <c r="M64" s="2605"/>
      <c r="N64" s="2605"/>
      <c r="O64" s="2605"/>
      <c r="P64" s="2606"/>
      <c r="Q64" s="2605"/>
    </row>
    <row r="65" spans="1:17" s="2608" customFormat="1" ht="12.75">
      <c r="A65" s="2606"/>
      <c r="Q65" s="2606"/>
    </row>
  </sheetData>
  <mergeCells count="2">
    <mergeCell ref="B53:P53"/>
    <mergeCell ref="B54:P54"/>
  </mergeCells>
  <conditionalFormatting sqref="B4:P4">
    <cfRule type="cellIs" dxfId="204" priority="5" stopIfTrue="1" operator="equal">
      <formula>"input"</formula>
    </cfRule>
  </conditionalFormatting>
  <conditionalFormatting sqref="J12:O15">
    <cfRule type="cellIs" dxfId="203" priority="4" operator="equal">
      <formula>0</formula>
    </cfRule>
  </conditionalFormatting>
  <conditionalFormatting sqref="I12:I15">
    <cfRule type="cellIs" dxfId="202" priority="2" operator="equal">
      <formula>0</formula>
    </cfRule>
  </conditionalFormatting>
  <pageMargins left="0.5" right="0.5" top="0.5" bottom="0.5" header="0.5" footer="0.5"/>
  <pageSetup scale="75" fitToWidth="0" orientation="landscape" r:id="rId1"/>
  <rowBreaks count="1" manualBreakCount="1">
    <brk id="23" max="14" man="1"/>
  </rowBreak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G112"/>
  <sheetViews>
    <sheetView showGridLines="0" view="pageBreakPreview" zoomScale="70" zoomScaleNormal="100" zoomScaleSheetLayoutView="70" workbookViewId="0">
      <selection activeCell="D31" sqref="D31"/>
    </sheetView>
  </sheetViews>
  <sheetFormatPr defaultColWidth="12.1640625" defaultRowHeight="12.75"/>
  <cols>
    <col min="1" max="1" width="4.5" customWidth="1"/>
    <col min="2" max="4" width="30.83203125" customWidth="1"/>
    <col min="5" max="5" width="22.33203125" customWidth="1"/>
    <col min="6" max="6" width="28.5" customWidth="1"/>
    <col min="7" max="7" width="4.5" customWidth="1"/>
  </cols>
  <sheetData>
    <row r="1" spans="1:7" ht="13.5" thickBot="1">
      <c r="A1" s="2685"/>
      <c r="B1" s="2685"/>
      <c r="C1" s="2685"/>
      <c r="D1" s="2685"/>
      <c r="E1" s="2685"/>
      <c r="F1" s="2686"/>
      <c r="G1" s="2687"/>
    </row>
    <row r="2" spans="1:7" ht="16.5" thickTop="1">
      <c r="A2" s="2685"/>
      <c r="B2" s="10" t="str">
        <f>'MASTER PubCo Inputs'!$C$5</f>
        <v>Kallyope, Inc.</v>
      </c>
      <c r="C2" s="10"/>
      <c r="D2" s="10"/>
      <c r="E2" s="10"/>
      <c r="F2" s="372"/>
      <c r="G2" s="252"/>
    </row>
    <row r="3" spans="1:7" ht="15.75">
      <c r="A3" s="2685"/>
      <c r="B3" s="11" t="str">
        <f>VLOOKUP(B4,Outline!$E$8:$G$69,COLUMNS(Outline!$E$8:$G$8),FALSE)</f>
        <v>Workpaper #17</v>
      </c>
      <c r="C3" s="11"/>
      <c r="D3" s="11"/>
      <c r="E3" s="11"/>
      <c r="F3" s="1920"/>
      <c r="G3" s="252"/>
    </row>
    <row r="4" spans="1:7" ht="16.5" thickBot="1">
      <c r="A4" s="2685"/>
      <c r="B4" s="12" t="s">
        <v>2974</v>
      </c>
      <c r="C4" s="12"/>
      <c r="D4" s="12"/>
      <c r="E4" s="12"/>
      <c r="F4" s="373"/>
      <c r="G4" s="252"/>
    </row>
    <row r="5" spans="1:7" ht="13.5" thickTop="1">
      <c r="A5" s="2685"/>
      <c r="B5" s="2688"/>
      <c r="C5" s="2685"/>
      <c r="D5" s="2685"/>
      <c r="E5" s="2685"/>
      <c r="F5" s="2686"/>
      <c r="G5" s="2687"/>
    </row>
    <row r="6" spans="1:7">
      <c r="A6" s="2685"/>
      <c r="B6" s="2689"/>
      <c r="C6" s="2689"/>
      <c r="D6" s="2690"/>
      <c r="E6" s="2685"/>
      <c r="F6" s="2686"/>
      <c r="G6" s="2685"/>
    </row>
    <row r="7" spans="1:7" ht="15" customHeight="1">
      <c r="A7" s="2685"/>
      <c r="B7" s="2688" t="s">
        <v>2975</v>
      </c>
      <c r="C7" s="2685"/>
      <c r="D7" s="2685"/>
      <c r="E7" s="2685"/>
      <c r="F7" s="2686"/>
      <c r="G7" s="2685"/>
    </row>
    <row r="8" spans="1:7" ht="12.75" customHeight="1">
      <c r="A8" s="2685"/>
      <c r="B8" s="2691"/>
      <c r="C8" s="2691"/>
      <c r="D8" s="2691"/>
      <c r="E8" s="2691"/>
      <c r="F8" s="2692"/>
      <c r="G8" s="2685"/>
    </row>
    <row r="9" spans="1:7" ht="12.75" customHeight="1">
      <c r="A9" s="2685"/>
      <c r="B9" s="2693"/>
      <c r="C9" s="2694"/>
      <c r="D9" s="2694"/>
      <c r="E9" s="2694"/>
      <c r="F9" s="2692"/>
      <c r="G9" s="2685"/>
    </row>
    <row r="10" spans="1:7" ht="12.75" customHeight="1">
      <c r="A10" s="2685"/>
      <c r="B10" s="2695"/>
      <c r="C10" s="2696"/>
      <c r="D10" s="2695"/>
      <c r="E10" s="2696"/>
      <c r="F10" s="2695"/>
      <c r="G10" s="2685"/>
    </row>
    <row r="11" spans="1:7" ht="12.75" customHeight="1">
      <c r="A11" s="2685"/>
      <c r="B11" s="2691"/>
      <c r="C11" s="2691"/>
      <c r="D11" s="2691"/>
      <c r="E11" s="2691"/>
      <c r="F11" s="2692"/>
      <c r="G11" s="2685"/>
    </row>
    <row r="12" spans="1:7" ht="12.75" customHeight="1">
      <c r="A12" s="2685"/>
      <c r="B12" s="2685"/>
      <c r="C12" s="2685"/>
      <c r="D12" s="2685"/>
      <c r="E12" s="2685"/>
      <c r="F12" s="2685"/>
      <c r="G12" s="2685"/>
    </row>
    <row r="13" spans="1:7" ht="12.75" customHeight="1">
      <c r="A13" s="2685"/>
      <c r="B13" s="2685"/>
      <c r="C13" s="2685"/>
      <c r="D13" s="2685"/>
      <c r="E13" s="2685"/>
      <c r="F13" s="2685"/>
      <c r="G13" s="2685"/>
    </row>
    <row r="14" spans="1:7" ht="12.75" customHeight="1">
      <c r="A14" s="2685"/>
      <c r="B14" s="2685"/>
      <c r="C14" s="2685"/>
      <c r="D14" s="2685"/>
      <c r="E14" s="2685"/>
      <c r="F14" s="2685"/>
      <c r="G14" s="2685"/>
    </row>
    <row r="15" spans="1:7" ht="12.75" customHeight="1">
      <c r="A15" s="2685"/>
      <c r="B15" s="2685"/>
      <c r="C15" s="2685"/>
      <c r="D15" s="2685"/>
      <c r="E15" s="2685"/>
      <c r="F15" s="2685"/>
      <c r="G15" s="2685"/>
    </row>
    <row r="16" spans="1:7" ht="12.75" customHeight="1">
      <c r="A16" s="2685"/>
      <c r="B16" s="2691"/>
      <c r="C16" s="2691"/>
      <c r="D16" s="2691"/>
      <c r="E16" s="2691"/>
      <c r="F16" s="2692"/>
      <c r="G16" s="2685"/>
    </row>
    <row r="17" spans="1:7" ht="12.75" customHeight="1">
      <c r="A17" s="2685"/>
      <c r="B17" s="2693"/>
      <c r="C17" s="2694"/>
      <c r="D17" s="2694"/>
      <c r="E17" s="2694"/>
      <c r="F17" s="2692"/>
      <c r="G17" s="2685"/>
    </row>
    <row r="18" spans="1:7" ht="12.75" customHeight="1">
      <c r="A18" s="2685"/>
      <c r="B18" s="2695"/>
      <c r="C18" s="2696"/>
      <c r="D18" s="2695"/>
      <c r="E18" s="2696"/>
      <c r="F18" s="2695"/>
      <c r="G18" s="2685"/>
    </row>
    <row r="19" spans="1:7" ht="12.75" customHeight="1">
      <c r="A19" s="2685"/>
      <c r="B19" s="2691"/>
      <c r="C19" s="2691"/>
      <c r="D19" s="2691"/>
      <c r="E19" s="2691"/>
      <c r="F19" s="2692"/>
      <c r="G19" s="2685"/>
    </row>
    <row r="20" spans="1:7" ht="12.75" customHeight="1">
      <c r="A20" s="2685"/>
      <c r="B20" s="2691"/>
      <c r="C20" s="2691"/>
      <c r="D20" s="2691"/>
      <c r="E20" s="2691"/>
      <c r="F20" s="2692"/>
      <c r="G20" s="2685"/>
    </row>
    <row r="21" spans="1:7" ht="12.75" customHeight="1">
      <c r="A21" s="2685"/>
      <c r="B21" s="2693"/>
      <c r="C21" s="2694"/>
      <c r="D21" s="2694"/>
      <c r="E21" s="2694"/>
      <c r="F21" s="2692"/>
      <c r="G21" s="2685"/>
    </row>
    <row r="22" spans="1:7" ht="12.75" customHeight="1">
      <c r="A22" s="2685"/>
      <c r="B22" s="2695"/>
      <c r="C22" s="2697"/>
      <c r="D22" s="2697"/>
      <c r="E22" s="2697"/>
      <c r="F22" s="2697"/>
      <c r="G22" s="2685"/>
    </row>
    <row r="23" spans="1:7" ht="12.75" customHeight="1">
      <c r="A23" s="2685"/>
      <c r="B23" s="2691"/>
      <c r="C23" s="2697"/>
      <c r="D23" s="2697"/>
      <c r="E23" s="2697"/>
      <c r="F23" s="2697"/>
      <c r="G23" s="2685"/>
    </row>
    <row r="24" spans="1:7" ht="12.75" customHeight="1">
      <c r="A24" s="2685"/>
      <c r="B24" s="2691"/>
      <c r="C24" s="2691"/>
      <c r="D24" s="2691"/>
      <c r="E24" s="2698"/>
      <c r="F24" s="2699"/>
      <c r="G24" s="2685"/>
    </row>
    <row r="25" spans="1:7" ht="12.75" customHeight="1">
      <c r="A25" s="2685"/>
      <c r="B25" s="2700"/>
      <c r="C25" s="2701"/>
      <c r="D25" s="2701"/>
      <c r="E25" s="2701"/>
      <c r="F25" s="2702"/>
      <c r="G25" s="2685"/>
    </row>
    <row r="26" spans="1:7" ht="12.75" customHeight="1">
      <c r="A26" s="2685"/>
      <c r="B26" s="2703"/>
      <c r="C26" s="2697"/>
      <c r="D26" s="2697"/>
      <c r="E26" s="2697"/>
      <c r="F26" s="2697"/>
      <c r="G26" s="2685"/>
    </row>
    <row r="27" spans="1:7" ht="15" customHeight="1">
      <c r="A27" s="2685"/>
      <c r="B27" s="2704" t="s">
        <v>2976</v>
      </c>
      <c r="C27" s="2697"/>
      <c r="D27" s="2697"/>
      <c r="E27" s="2697"/>
      <c r="F27" s="2697"/>
      <c r="G27" s="2685"/>
    </row>
    <row r="28" spans="1:7" ht="12.75" customHeight="1">
      <c r="A28" s="2685"/>
      <c r="B28" s="2703"/>
      <c r="C28" s="2697"/>
      <c r="D28" s="2697"/>
      <c r="E28" s="2697"/>
      <c r="F28" s="2697"/>
      <c r="G28" s="2685"/>
    </row>
    <row r="29" spans="1:7" ht="12.75" customHeight="1">
      <c r="A29" s="2685"/>
      <c r="B29" s="2703"/>
      <c r="C29" s="2697"/>
      <c r="D29" s="2697"/>
      <c r="E29" s="2697"/>
      <c r="F29" s="2697"/>
      <c r="G29" s="2685"/>
    </row>
    <row r="30" spans="1:7" ht="12.75" customHeight="1">
      <c r="A30" s="2685"/>
      <c r="B30" s="2703"/>
      <c r="C30" s="2697"/>
      <c r="D30" s="2697"/>
      <c r="E30" s="2697"/>
      <c r="F30" s="2697"/>
      <c r="G30" s="2685"/>
    </row>
    <row r="31" spans="1:7" ht="12.75" customHeight="1">
      <c r="A31" s="2685"/>
      <c r="B31" s="2703"/>
      <c r="C31" s="2697"/>
      <c r="D31" s="2697"/>
      <c r="E31" s="2697"/>
      <c r="F31" s="2697"/>
      <c r="G31" s="2685"/>
    </row>
    <row r="32" spans="1:7" ht="12.75" customHeight="1">
      <c r="A32" s="2685"/>
      <c r="B32" s="2703"/>
      <c r="C32" s="2697"/>
      <c r="D32" s="2697"/>
      <c r="E32" s="2697"/>
      <c r="F32" s="2697"/>
      <c r="G32" s="2685"/>
    </row>
    <row r="33" spans="1:7" ht="12.75" customHeight="1">
      <c r="A33" s="2685"/>
      <c r="B33" s="2703"/>
      <c r="C33" s="2697"/>
      <c r="D33" s="2697"/>
      <c r="E33" s="2697"/>
      <c r="F33" s="2697"/>
      <c r="G33" s="2685"/>
    </row>
    <row r="34" spans="1:7" ht="12.75" customHeight="1">
      <c r="A34" s="2685"/>
      <c r="B34" s="2703"/>
      <c r="C34" s="2697"/>
      <c r="D34" s="2697"/>
      <c r="E34" s="2697"/>
      <c r="F34" s="2697"/>
      <c r="G34" s="2685"/>
    </row>
    <row r="35" spans="1:7" ht="12.75" customHeight="1">
      <c r="A35" s="2685"/>
      <c r="B35" s="2703"/>
      <c r="C35" s="2697"/>
      <c r="D35" s="2697"/>
      <c r="E35" s="2697"/>
      <c r="F35" s="2697"/>
      <c r="G35" s="2685"/>
    </row>
    <row r="36" spans="1:7" ht="12.75" customHeight="1">
      <c r="A36" s="2685"/>
      <c r="B36" s="2703"/>
      <c r="C36" s="2697"/>
      <c r="D36" s="2697"/>
      <c r="E36" s="2697"/>
      <c r="F36" s="2697"/>
      <c r="G36" s="2685"/>
    </row>
    <row r="37" spans="1:7" ht="12.75" customHeight="1">
      <c r="A37" s="2685"/>
      <c r="B37" s="2703"/>
      <c r="C37" s="2697"/>
      <c r="D37" s="2697"/>
      <c r="E37" s="2697"/>
      <c r="F37" s="2697"/>
      <c r="G37" s="2685"/>
    </row>
    <row r="38" spans="1:7" ht="12.75" customHeight="1">
      <c r="A38" s="2685"/>
      <c r="B38" s="2703"/>
      <c r="C38" s="2697"/>
      <c r="D38" s="2697"/>
      <c r="E38" s="2697"/>
      <c r="F38" s="2697"/>
      <c r="G38" s="2685"/>
    </row>
    <row r="39" spans="1:7" ht="12.75" customHeight="1">
      <c r="A39" s="2685"/>
      <c r="B39" s="2703"/>
      <c r="C39" s="2697"/>
      <c r="D39" s="2697"/>
      <c r="E39" s="2697"/>
      <c r="F39" s="2697"/>
      <c r="G39" s="2685"/>
    </row>
    <row r="40" spans="1:7" ht="12.75" customHeight="1">
      <c r="A40" s="2685"/>
      <c r="B40" s="2703"/>
      <c r="C40" s="2697"/>
      <c r="D40" s="2697"/>
      <c r="E40" s="2697"/>
      <c r="F40" s="2697"/>
      <c r="G40" s="2685"/>
    </row>
    <row r="41" spans="1:7" ht="12.75" customHeight="1">
      <c r="A41" s="2685"/>
      <c r="B41" s="2703"/>
      <c r="C41" s="2697"/>
      <c r="D41" s="2697"/>
      <c r="E41" s="2697"/>
      <c r="F41" s="2697"/>
      <c r="G41" s="2685"/>
    </row>
    <row r="42" spans="1:7" ht="12.75" customHeight="1">
      <c r="A42" s="2685"/>
      <c r="B42" s="2703"/>
      <c r="C42" s="2697"/>
      <c r="D42" s="2697"/>
      <c r="E42" s="2697"/>
      <c r="F42" s="2697"/>
      <c r="G42" s="2685"/>
    </row>
    <row r="43" spans="1:7" ht="12.75" customHeight="1">
      <c r="A43" s="2685"/>
      <c r="B43" s="2688"/>
      <c r="C43" s="2697"/>
      <c r="D43" s="2697"/>
      <c r="E43" s="2697"/>
      <c r="F43" s="2697"/>
      <c r="G43" s="2685"/>
    </row>
    <row r="44" spans="1:7" ht="15" customHeight="1">
      <c r="A44" s="2685"/>
      <c r="B44" s="2704" t="s">
        <v>2977</v>
      </c>
      <c r="C44" s="2697"/>
      <c r="D44" s="2697"/>
      <c r="E44" s="2697"/>
      <c r="F44" s="2697"/>
      <c r="G44" s="2685"/>
    </row>
    <row r="45" spans="1:7" ht="12.75" customHeight="1">
      <c r="A45" s="2685"/>
      <c r="B45" s="2703"/>
      <c r="C45" s="2697"/>
      <c r="D45" s="2697"/>
      <c r="E45" s="2697"/>
      <c r="F45" s="2697"/>
      <c r="G45" s="2685"/>
    </row>
    <row r="46" spans="1:7" ht="12.75" customHeight="1">
      <c r="A46" s="2685"/>
      <c r="B46" s="2703"/>
      <c r="C46" s="2697"/>
      <c r="D46" s="2697"/>
      <c r="E46" s="2697"/>
      <c r="F46" s="2697"/>
      <c r="G46" s="2685"/>
    </row>
    <row r="47" spans="1:7" ht="12.75" customHeight="1">
      <c r="A47" s="2685"/>
      <c r="B47" s="2703"/>
      <c r="C47" s="2697"/>
      <c r="D47" s="2697"/>
      <c r="E47" s="2697"/>
      <c r="F47" s="2697"/>
      <c r="G47" s="2685"/>
    </row>
    <row r="48" spans="1:7" ht="12.75" customHeight="1">
      <c r="A48" s="2685"/>
      <c r="B48" s="2703"/>
      <c r="C48" s="2697"/>
      <c r="D48" s="2697"/>
      <c r="E48" s="2697"/>
      <c r="F48" s="2697"/>
      <c r="G48" s="2685"/>
    </row>
    <row r="49" spans="1:7" ht="12.75" customHeight="1">
      <c r="A49" s="2685"/>
      <c r="B49" s="2703"/>
      <c r="C49" s="2697"/>
      <c r="D49" s="2697"/>
      <c r="E49" s="2697"/>
      <c r="F49" s="2697"/>
      <c r="G49" s="2685"/>
    </row>
    <row r="50" spans="1:7" ht="12.75" customHeight="1">
      <c r="A50" s="2685"/>
      <c r="B50" s="2703"/>
      <c r="C50" s="2697"/>
      <c r="D50" s="2697"/>
      <c r="E50" s="2697"/>
      <c r="F50" s="2697"/>
      <c r="G50" s="2685"/>
    </row>
    <row r="51" spans="1:7" ht="12.75" customHeight="1">
      <c r="A51" s="2685"/>
      <c r="B51" s="2703"/>
      <c r="C51" s="2697"/>
      <c r="D51" s="2697"/>
      <c r="E51" s="2697"/>
      <c r="F51" s="2697"/>
      <c r="G51" s="2685"/>
    </row>
    <row r="52" spans="1:7" ht="12.75" customHeight="1">
      <c r="A52" s="2685"/>
      <c r="B52" s="2703"/>
      <c r="C52" s="2697"/>
      <c r="D52" s="2697"/>
      <c r="E52" s="2697"/>
      <c r="F52" s="2697"/>
      <c r="G52" s="2685"/>
    </row>
    <row r="53" spans="1:7" ht="12.75" customHeight="1">
      <c r="A53" s="2685"/>
      <c r="B53" s="2703"/>
      <c r="C53" s="2697"/>
      <c r="D53" s="2697"/>
      <c r="E53" s="2697"/>
      <c r="F53" s="2697"/>
      <c r="G53" s="2685"/>
    </row>
    <row r="54" spans="1:7" ht="12.75" customHeight="1">
      <c r="A54" s="2685"/>
      <c r="B54" s="2703"/>
      <c r="C54" s="2697"/>
      <c r="D54" s="2697"/>
      <c r="E54" s="2697"/>
      <c r="F54" s="2697"/>
      <c r="G54" s="2685"/>
    </row>
    <row r="55" spans="1:7" ht="12.75" customHeight="1">
      <c r="A55" s="2685"/>
      <c r="B55" s="2703"/>
      <c r="C55" s="2697"/>
      <c r="D55" s="2697"/>
      <c r="E55" s="2697"/>
      <c r="F55" s="2697"/>
      <c r="G55" s="2685"/>
    </row>
    <row r="56" spans="1:7" ht="12.75" customHeight="1">
      <c r="A56" s="2685"/>
      <c r="B56" s="2703"/>
      <c r="C56" s="2697"/>
      <c r="D56" s="2697"/>
      <c r="E56" s="2697"/>
      <c r="F56" s="2697"/>
      <c r="G56" s="2685"/>
    </row>
    <row r="57" spans="1:7" ht="12.75" customHeight="1">
      <c r="A57" s="2685"/>
      <c r="B57" s="2703"/>
      <c r="C57" s="2697"/>
      <c r="D57" s="2697"/>
      <c r="E57" s="2697"/>
      <c r="F57" s="2697"/>
      <c r="G57" s="2685"/>
    </row>
    <row r="58" spans="1:7" ht="12.75" customHeight="1">
      <c r="A58" s="2685"/>
      <c r="B58" s="2703"/>
      <c r="C58" s="2697"/>
      <c r="D58" s="2697"/>
      <c r="E58" s="2697"/>
      <c r="F58" s="2697"/>
      <c r="G58" s="2685"/>
    </row>
    <row r="59" spans="1:7" ht="12.75" customHeight="1">
      <c r="A59" s="2685"/>
      <c r="B59" s="2703"/>
      <c r="C59" s="2697"/>
      <c r="D59" s="2697"/>
      <c r="E59" s="2697"/>
      <c r="F59" s="2697"/>
      <c r="G59" s="2685"/>
    </row>
    <row r="60" spans="1:7" ht="12.75" customHeight="1">
      <c r="A60" s="2685"/>
      <c r="B60" s="2703"/>
      <c r="C60" s="2697"/>
      <c r="D60" s="2697"/>
      <c r="E60" s="2697"/>
      <c r="F60" s="2697"/>
      <c r="G60" s="2685"/>
    </row>
    <row r="61" spans="1:7" ht="12.75" customHeight="1">
      <c r="A61" s="2685"/>
      <c r="B61" s="2703"/>
      <c r="C61" s="2697"/>
      <c r="D61" s="2697"/>
      <c r="E61" s="2697"/>
      <c r="F61" s="2697"/>
      <c r="G61" s="2685"/>
    </row>
    <row r="62" spans="1:7" ht="15" customHeight="1">
      <c r="A62" s="2685"/>
      <c r="B62" s="2688" t="s">
        <v>2978</v>
      </c>
      <c r="C62" s="2697"/>
      <c r="D62" s="2697"/>
      <c r="E62" s="2697"/>
      <c r="F62" s="2697"/>
      <c r="G62" s="2685"/>
    </row>
    <row r="63" spans="1:7" ht="12.75" customHeight="1">
      <c r="A63" s="2685"/>
      <c r="B63" s="2703"/>
      <c r="C63" s="2697"/>
      <c r="D63" s="2697"/>
      <c r="E63" s="2697"/>
      <c r="F63" s="2697"/>
      <c r="G63" s="2685"/>
    </row>
    <row r="64" spans="1:7" ht="12.75" customHeight="1">
      <c r="A64" s="2685"/>
      <c r="B64" s="2703"/>
      <c r="C64" s="2697"/>
      <c r="D64" s="2697"/>
      <c r="E64" s="2697"/>
      <c r="F64" s="2697"/>
      <c r="G64" s="2685"/>
    </row>
    <row r="65" spans="1:7" ht="12.75" customHeight="1">
      <c r="A65" s="2685"/>
      <c r="B65" s="2703"/>
      <c r="C65" s="2697"/>
      <c r="D65" s="2697"/>
      <c r="E65" s="2697"/>
      <c r="F65" s="2697"/>
      <c r="G65" s="2685"/>
    </row>
    <row r="66" spans="1:7" ht="12.75" customHeight="1">
      <c r="A66" s="2685"/>
      <c r="B66" s="2703"/>
      <c r="C66" s="2697"/>
      <c r="D66" s="2697"/>
      <c r="E66" s="2697"/>
      <c r="F66" s="2697"/>
      <c r="G66" s="2685"/>
    </row>
    <row r="67" spans="1:7" ht="12.75" customHeight="1">
      <c r="A67" s="2685"/>
      <c r="B67" s="2703"/>
      <c r="C67" s="2697"/>
      <c r="D67" s="2697"/>
      <c r="E67" s="2697"/>
      <c r="F67" s="2697"/>
      <c r="G67" s="2685"/>
    </row>
    <row r="68" spans="1:7" ht="12.75" customHeight="1">
      <c r="A68" s="2685"/>
      <c r="B68" s="2703"/>
      <c r="C68" s="2697"/>
      <c r="D68" s="2697"/>
      <c r="E68" s="2697"/>
      <c r="F68" s="2697"/>
      <c r="G68" s="2685"/>
    </row>
    <row r="69" spans="1:7" ht="12.75" customHeight="1">
      <c r="A69" s="2685"/>
      <c r="B69" s="2703"/>
      <c r="C69" s="2697"/>
      <c r="D69" s="2697"/>
      <c r="E69" s="2697"/>
      <c r="F69" s="2697"/>
      <c r="G69" s="2685"/>
    </row>
    <row r="70" spans="1:7" ht="12.75" customHeight="1">
      <c r="A70" s="2685"/>
      <c r="B70" s="2703"/>
      <c r="C70" s="2697"/>
      <c r="D70" s="2697"/>
      <c r="E70" s="2697"/>
      <c r="F70" s="2697"/>
      <c r="G70" s="2685"/>
    </row>
    <row r="71" spans="1:7" ht="12.75" customHeight="1">
      <c r="A71" s="2685"/>
      <c r="B71" s="2703"/>
      <c r="C71" s="2697"/>
      <c r="D71" s="2697"/>
      <c r="E71" s="2697"/>
      <c r="F71" s="2697"/>
      <c r="G71" s="2685"/>
    </row>
    <row r="72" spans="1:7" ht="12.75" customHeight="1">
      <c r="A72" s="2685"/>
      <c r="B72" s="2703"/>
      <c r="C72" s="2697"/>
      <c r="D72" s="2697"/>
      <c r="E72" s="2697"/>
      <c r="F72" s="2697"/>
      <c r="G72" s="2685"/>
    </row>
    <row r="73" spans="1:7" ht="12.75" customHeight="1">
      <c r="A73" s="2685"/>
      <c r="B73" s="2703"/>
      <c r="C73" s="2697"/>
      <c r="D73" s="2697"/>
      <c r="E73" s="2697"/>
      <c r="F73" s="2697"/>
      <c r="G73" s="2685"/>
    </row>
    <row r="74" spans="1:7" ht="12.75" customHeight="1">
      <c r="A74" s="2685"/>
      <c r="B74" s="2703"/>
      <c r="C74" s="2697"/>
      <c r="D74" s="2697"/>
      <c r="E74" s="2697"/>
      <c r="F74" s="2697"/>
      <c r="G74" s="2685"/>
    </row>
    <row r="75" spans="1:7" ht="12.75" customHeight="1">
      <c r="A75" s="2685"/>
      <c r="B75" s="2703"/>
      <c r="C75" s="2697"/>
      <c r="D75" s="2697"/>
      <c r="E75" s="2697"/>
      <c r="F75" s="2697"/>
      <c r="G75" s="2685"/>
    </row>
    <row r="76" spans="1:7" ht="12.75" customHeight="1">
      <c r="A76" s="2685"/>
      <c r="B76" s="2703"/>
      <c r="C76" s="2697"/>
      <c r="D76" s="2697"/>
      <c r="E76" s="2697"/>
      <c r="F76" s="2697"/>
      <c r="G76" s="2685"/>
    </row>
    <row r="77" spans="1:7" ht="12.75" customHeight="1">
      <c r="A77" s="2685"/>
      <c r="B77" s="2703"/>
      <c r="C77" s="2697"/>
      <c r="D77" s="2697"/>
      <c r="E77" s="2697"/>
      <c r="F77" s="2697"/>
      <c r="G77" s="2685"/>
    </row>
    <row r="78" spans="1:7" ht="12.75" customHeight="1">
      <c r="A78" s="2685"/>
      <c r="B78" s="2703"/>
      <c r="C78" s="2697"/>
      <c r="D78" s="2697"/>
      <c r="E78" s="2697"/>
      <c r="F78" s="2697"/>
      <c r="G78" s="2685"/>
    </row>
    <row r="79" spans="1:7" ht="12.75" customHeight="1">
      <c r="A79" s="2685"/>
      <c r="B79" s="2703"/>
      <c r="C79" s="2697"/>
      <c r="D79" s="2697"/>
      <c r="E79" s="2697"/>
      <c r="F79" s="2697"/>
      <c r="G79" s="2685"/>
    </row>
    <row r="80" spans="1:7" ht="12.75" customHeight="1">
      <c r="A80" s="2685"/>
      <c r="B80" s="2703"/>
      <c r="C80" s="2697"/>
      <c r="D80" s="2697"/>
      <c r="E80" s="2697"/>
      <c r="F80" s="2697"/>
      <c r="G80" s="2685"/>
    </row>
    <row r="81" spans="1:7" ht="15" customHeight="1">
      <c r="A81" s="2685"/>
      <c r="B81" s="2688" t="s">
        <v>2979</v>
      </c>
      <c r="C81" s="2697"/>
      <c r="D81" s="2697"/>
      <c r="E81" s="2697"/>
      <c r="F81" s="2697"/>
      <c r="G81" s="2685"/>
    </row>
    <row r="82" spans="1:7" ht="12.75" customHeight="1">
      <c r="A82" s="2685"/>
      <c r="B82" s="2703"/>
      <c r="C82" s="2697"/>
      <c r="D82" s="2697"/>
      <c r="E82" s="2697"/>
      <c r="F82" s="2697"/>
      <c r="G82" s="2685"/>
    </row>
    <row r="83" spans="1:7" ht="12.75" customHeight="1">
      <c r="A83" s="2685"/>
      <c r="B83" s="2703"/>
      <c r="C83" s="2697"/>
      <c r="D83" s="2697"/>
      <c r="E83" s="2697"/>
      <c r="F83" s="2697"/>
      <c r="G83" s="2685"/>
    </row>
    <row r="84" spans="1:7" ht="12.75" customHeight="1">
      <c r="A84" s="2685"/>
      <c r="B84" s="2703"/>
      <c r="C84" s="2697"/>
      <c r="D84" s="2697"/>
      <c r="E84" s="2697"/>
      <c r="F84" s="2697"/>
      <c r="G84" s="2685"/>
    </row>
    <row r="85" spans="1:7" ht="12.75" customHeight="1">
      <c r="A85" s="2685"/>
      <c r="B85" s="2703"/>
      <c r="C85" s="2697"/>
      <c r="D85" s="2697"/>
      <c r="E85" s="2697"/>
      <c r="F85" s="2697"/>
      <c r="G85" s="2685"/>
    </row>
    <row r="86" spans="1:7" ht="12.75" customHeight="1">
      <c r="A86" s="2685"/>
      <c r="B86" s="2703"/>
      <c r="C86" s="2697"/>
      <c r="D86" s="2697"/>
      <c r="E86" s="2697"/>
      <c r="F86" s="2697"/>
      <c r="G86" s="2685"/>
    </row>
    <row r="87" spans="1:7" ht="12.75" customHeight="1">
      <c r="A87" s="2685"/>
      <c r="B87" s="2703"/>
      <c r="C87" s="2697"/>
      <c r="D87" s="2697"/>
      <c r="E87" s="2697"/>
      <c r="F87" s="2697"/>
      <c r="G87" s="2685"/>
    </row>
    <row r="88" spans="1:7" ht="12.75" customHeight="1">
      <c r="A88" s="2685"/>
      <c r="B88" s="2703"/>
      <c r="C88" s="2697"/>
      <c r="D88" s="2697"/>
      <c r="E88" s="2697"/>
      <c r="F88" s="2697"/>
      <c r="G88" s="2685"/>
    </row>
    <row r="89" spans="1:7" ht="12.75" customHeight="1">
      <c r="A89" s="2685"/>
      <c r="B89" s="2703"/>
      <c r="C89" s="2697"/>
      <c r="D89" s="2697"/>
      <c r="E89" s="2697"/>
      <c r="F89" s="2697"/>
      <c r="G89" s="2685"/>
    </row>
    <row r="90" spans="1:7" ht="12.75" customHeight="1">
      <c r="A90" s="2685"/>
      <c r="B90" s="2703"/>
      <c r="C90" s="2697"/>
      <c r="D90" s="2697"/>
      <c r="E90" s="2697"/>
      <c r="F90" s="2697"/>
      <c r="G90" s="2685"/>
    </row>
    <row r="91" spans="1:7" ht="12.75" customHeight="1">
      <c r="A91" s="2685"/>
      <c r="B91" s="2703"/>
      <c r="C91" s="2697"/>
      <c r="D91" s="2697"/>
      <c r="E91" s="2697"/>
      <c r="F91" s="2697"/>
      <c r="G91" s="2685"/>
    </row>
    <row r="92" spans="1:7" ht="12.75" customHeight="1">
      <c r="A92" s="2685"/>
      <c r="B92" s="2703"/>
      <c r="C92" s="2697"/>
      <c r="D92" s="2697"/>
      <c r="E92" s="2697"/>
      <c r="F92" s="2697"/>
      <c r="G92" s="2685"/>
    </row>
    <row r="93" spans="1:7" ht="12.75" customHeight="1">
      <c r="A93" s="2685"/>
      <c r="B93" s="2703"/>
      <c r="C93" s="2697"/>
      <c r="D93" s="2697"/>
      <c r="E93" s="2697"/>
      <c r="F93" s="2697"/>
      <c r="G93" s="2685"/>
    </row>
    <row r="94" spans="1:7" ht="12.75" customHeight="1">
      <c r="A94" s="2685"/>
      <c r="B94" s="2703"/>
      <c r="C94" s="2697"/>
      <c r="D94" s="2697"/>
      <c r="E94" s="2697"/>
      <c r="F94" s="2697"/>
      <c r="G94" s="2685"/>
    </row>
    <row r="95" spans="1:7" ht="12.75" customHeight="1">
      <c r="A95" s="2685"/>
      <c r="B95" s="2703"/>
      <c r="C95" s="2697"/>
      <c r="D95" s="2697"/>
      <c r="E95" s="2697"/>
      <c r="F95" s="2697"/>
      <c r="G95" s="2685"/>
    </row>
    <row r="96" spans="1:7" ht="12.75" customHeight="1">
      <c r="A96" s="2685"/>
      <c r="B96" s="2703"/>
      <c r="C96" s="2697"/>
      <c r="D96" s="2697"/>
      <c r="E96" s="2697"/>
      <c r="F96" s="2697"/>
      <c r="G96" s="2685"/>
    </row>
    <row r="97" spans="1:7" ht="12.75" customHeight="1">
      <c r="A97" s="2685"/>
      <c r="B97" s="2703"/>
      <c r="C97" s="2697"/>
      <c r="D97" s="2697"/>
      <c r="E97" s="2697"/>
      <c r="F97" s="2697"/>
      <c r="G97" s="2685"/>
    </row>
    <row r="98" spans="1:7" ht="12.75" customHeight="1">
      <c r="A98" s="2685"/>
      <c r="B98" s="2703"/>
      <c r="C98" s="2697"/>
      <c r="D98" s="2697"/>
      <c r="E98" s="2697"/>
      <c r="F98" s="2697"/>
      <c r="G98" s="2685"/>
    </row>
    <row r="99" spans="1:7" ht="12.75" customHeight="1">
      <c r="A99" s="2685"/>
      <c r="B99" s="2703"/>
      <c r="C99" s="2697"/>
      <c r="D99" s="2697"/>
      <c r="E99" s="2697"/>
      <c r="F99" s="2697"/>
      <c r="G99" s="2685"/>
    </row>
    <row r="100" spans="1:7" ht="12.75" customHeight="1">
      <c r="A100" s="2685"/>
      <c r="B100" s="2703"/>
      <c r="C100" s="2697"/>
      <c r="D100" s="2697"/>
      <c r="E100" s="2697"/>
      <c r="F100" s="2697"/>
      <c r="G100" s="2685"/>
    </row>
    <row r="101" spans="1:7" ht="12.75" customHeight="1">
      <c r="A101" s="2685"/>
      <c r="B101" s="2703"/>
      <c r="C101" s="2697"/>
      <c r="D101" s="2697"/>
      <c r="E101" s="2697"/>
      <c r="F101" s="2697"/>
      <c r="G101" s="2685"/>
    </row>
    <row r="102" spans="1:7" ht="12.75" customHeight="1">
      <c r="A102" s="2685"/>
      <c r="B102" s="2703"/>
      <c r="C102" s="2697"/>
      <c r="D102" s="2697"/>
      <c r="E102" s="2697"/>
      <c r="F102" s="2697"/>
      <c r="G102" s="2685"/>
    </row>
    <row r="103" spans="1:7" ht="12.75" customHeight="1">
      <c r="A103" s="2685"/>
      <c r="B103" s="2703"/>
      <c r="C103" s="2697"/>
      <c r="D103" s="2697"/>
      <c r="E103" s="2697"/>
      <c r="F103" s="2697"/>
      <c r="G103" s="2685"/>
    </row>
    <row r="104" spans="1:7" ht="12.75" customHeight="1">
      <c r="A104" s="2685"/>
      <c r="B104" s="2703"/>
      <c r="C104" s="2697"/>
      <c r="D104" s="2697"/>
      <c r="E104" s="2697"/>
      <c r="F104" s="2697"/>
      <c r="G104" s="2685"/>
    </row>
    <row r="105" spans="1:7" ht="12.75" customHeight="1">
      <c r="A105" s="2685"/>
      <c r="B105" s="2703"/>
      <c r="C105" s="2697"/>
      <c r="D105" s="2697"/>
      <c r="E105" s="2697"/>
      <c r="F105" s="2697"/>
      <c r="G105" s="2685"/>
    </row>
    <row r="106" spans="1:7" ht="12.75" customHeight="1">
      <c r="A106" s="2685"/>
      <c r="B106" s="2703"/>
      <c r="C106" s="2697"/>
      <c r="D106" s="2697"/>
      <c r="E106" s="2697"/>
      <c r="F106" s="2697"/>
      <c r="G106" s="2685"/>
    </row>
    <row r="107" spans="1:7" ht="12.75" customHeight="1">
      <c r="A107" s="2685"/>
      <c r="B107" s="2703"/>
      <c r="C107" s="2697"/>
      <c r="D107" s="2697"/>
      <c r="E107" s="2697"/>
      <c r="F107" s="2697"/>
      <c r="G107" s="2685"/>
    </row>
    <row r="108" spans="1:7" ht="12.75" customHeight="1">
      <c r="A108" s="2685"/>
      <c r="B108" s="2705" t="s">
        <v>86</v>
      </c>
      <c r="C108" s="2685"/>
      <c r="D108" s="2685"/>
      <c r="E108" s="2685"/>
      <c r="F108" s="2686"/>
      <c r="G108" s="2685"/>
    </row>
    <row r="109" spans="1:7" ht="12.75" customHeight="1">
      <c r="A109" s="2706" t="s">
        <v>210</v>
      </c>
      <c r="B109" s="3258" t="s">
        <v>2980</v>
      </c>
      <c r="C109" s="3258"/>
      <c r="D109" s="3258"/>
      <c r="E109" s="3258"/>
      <c r="F109" s="3258"/>
      <c r="G109" s="3258"/>
    </row>
    <row r="110" spans="1:7" ht="12.75" customHeight="1">
      <c r="A110" s="2706" t="s">
        <v>209</v>
      </c>
      <c r="B110" s="3258" t="s">
        <v>2981</v>
      </c>
      <c r="C110" s="3258"/>
      <c r="D110" s="3258"/>
      <c r="E110" s="3258"/>
      <c r="F110" s="3258"/>
      <c r="G110" s="3258"/>
    </row>
    <row r="111" spans="1:7">
      <c r="A111" s="2706" t="s">
        <v>246</v>
      </c>
      <c r="B111" s="3259" t="s">
        <v>2982</v>
      </c>
      <c r="C111" s="3258"/>
      <c r="D111" s="3258"/>
      <c r="E111" s="3258"/>
      <c r="F111" s="3258"/>
      <c r="G111" s="3258"/>
    </row>
    <row r="112" spans="1:7" ht="12.75" customHeight="1">
      <c r="A112" s="2706" t="s">
        <v>247</v>
      </c>
      <c r="B112" s="3258" t="s">
        <v>2983</v>
      </c>
      <c r="C112" s="3258"/>
      <c r="D112" s="3258"/>
      <c r="E112" s="3258"/>
      <c r="F112" s="3258"/>
      <c r="G112" s="3258"/>
    </row>
  </sheetData>
  <mergeCells count="4">
    <mergeCell ref="B109:G109"/>
    <mergeCell ref="B110:G110"/>
    <mergeCell ref="B111:G111"/>
    <mergeCell ref="B112:G112"/>
  </mergeCells>
  <conditionalFormatting sqref="B4:G4">
    <cfRule type="cellIs" dxfId="201" priority="1" stopIfTrue="1" operator="equal">
      <formula>"input"</formula>
    </cfRule>
  </conditionalFormatting>
  <pageMargins left="0.5" right="0.5" top="0.5" bottom="0.5" header="0.5" footer="0.5"/>
  <pageSetup fitToWidth="0" fitToHeight="0" orientation="landscape" r:id="rId1"/>
  <rowBreaks count="2" manualBreakCount="2">
    <brk id="42" max="7" man="1"/>
    <brk id="79" max="7" man="1"/>
  </rowBreaks>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G45"/>
  <sheetViews>
    <sheetView showGridLines="0" view="pageBreakPreview" zoomScale="96" zoomScaleNormal="100" zoomScaleSheetLayoutView="96" workbookViewId="0">
      <selection activeCell="D31" sqref="D31"/>
    </sheetView>
  </sheetViews>
  <sheetFormatPr defaultColWidth="9.33203125" defaultRowHeight="12.75"/>
  <cols>
    <col min="1" max="1" width="3.6640625" customWidth="1"/>
    <col min="2" max="6" width="28.83203125" customWidth="1"/>
    <col min="7" max="7" width="4.5" customWidth="1"/>
    <col min="8" max="8" width="12.5" customWidth="1"/>
    <col min="9" max="9" width="17.83203125" customWidth="1"/>
  </cols>
  <sheetData>
    <row r="1" spans="1:7" ht="13.5" thickBot="1">
      <c r="A1" s="2685"/>
      <c r="B1" s="2685"/>
      <c r="C1" s="2685"/>
      <c r="D1" s="2685"/>
      <c r="E1" s="2685"/>
      <c r="F1" s="2685"/>
      <c r="G1" s="2685"/>
    </row>
    <row r="2" spans="1:7" ht="16.5" customHeight="1" thickTop="1">
      <c r="A2" s="2685"/>
      <c r="B2" s="10" t="str">
        <f>'MASTER PubCo Inputs'!$C$5</f>
        <v>Kallyope, Inc.</v>
      </c>
      <c r="C2" s="10"/>
      <c r="D2" s="10"/>
      <c r="E2" s="10"/>
      <c r="F2" s="10"/>
      <c r="G2" s="2685"/>
    </row>
    <row r="3" spans="1:7" ht="15.75" customHeight="1">
      <c r="A3" s="2685"/>
      <c r="B3" s="11" t="str">
        <f>VLOOKUP(B4,Outline!$E$8:$G$69,COLUMNS(Outline!$E$8:$G$8),FALSE)</f>
        <v>Workpaper #18</v>
      </c>
      <c r="C3" s="11"/>
      <c r="D3" s="11"/>
      <c r="E3" s="11"/>
      <c r="F3" s="11"/>
      <c r="G3" s="2685"/>
    </row>
    <row r="4" spans="1:7" ht="16.5" customHeight="1" thickBot="1">
      <c r="A4" s="2685"/>
      <c r="B4" s="12" t="s">
        <v>2984</v>
      </c>
      <c r="C4" s="12"/>
      <c r="D4" s="12"/>
      <c r="E4" s="12"/>
      <c r="F4" s="12"/>
      <c r="G4" s="2685"/>
    </row>
    <row r="5" spans="1:7" ht="13.5" thickTop="1">
      <c r="A5" s="2685"/>
      <c r="B5" s="2685"/>
      <c r="C5" s="2685"/>
      <c r="D5" s="2685"/>
      <c r="E5" s="2707"/>
      <c r="F5" s="2685"/>
      <c r="G5" s="2685"/>
    </row>
    <row r="6" spans="1:7" ht="43.5" customHeight="1">
      <c r="A6" s="2708"/>
      <c r="B6" s="2709" t="s">
        <v>514</v>
      </c>
      <c r="C6" s="2710" t="s">
        <v>2985</v>
      </c>
      <c r="D6" s="2711" t="s">
        <v>2986</v>
      </c>
      <c r="E6" s="2711" t="s">
        <v>2987</v>
      </c>
      <c r="F6" s="2712" t="s">
        <v>2988</v>
      </c>
      <c r="G6" s="2708"/>
    </row>
    <row r="7" spans="1:7" ht="3.75" customHeight="1">
      <c r="A7" s="2685"/>
      <c r="B7" s="2685"/>
      <c r="C7" s="2685"/>
      <c r="D7" s="2685"/>
      <c r="E7" s="2685"/>
      <c r="F7" s="2713"/>
      <c r="G7" s="2685"/>
    </row>
    <row r="8" spans="1:7" ht="13.5" customHeight="1">
      <c r="A8" s="2685"/>
      <c r="B8" s="2714" t="s">
        <v>2989</v>
      </c>
      <c r="C8" s="2715" t="s">
        <v>2990</v>
      </c>
      <c r="D8" s="2715" t="s">
        <v>2991</v>
      </c>
      <c r="E8" s="2716">
        <v>0.7</v>
      </c>
      <c r="F8" s="2717" t="s">
        <v>2992</v>
      </c>
      <c r="G8" s="2718"/>
    </row>
    <row r="9" spans="1:7">
      <c r="A9" s="2718"/>
      <c r="B9" s="2719" t="s">
        <v>2993</v>
      </c>
      <c r="C9" s="2720" t="s">
        <v>2994</v>
      </c>
      <c r="D9" s="2720" t="s">
        <v>2995</v>
      </c>
      <c r="E9" s="2721">
        <v>0.33</v>
      </c>
      <c r="F9" s="2722" t="s">
        <v>2996</v>
      </c>
      <c r="G9" s="2718"/>
    </row>
    <row r="10" spans="1:7" ht="28.5" customHeight="1">
      <c r="A10" s="2718"/>
      <c r="B10" s="2719" t="s">
        <v>2997</v>
      </c>
      <c r="C10" s="2720" t="s">
        <v>2998</v>
      </c>
      <c r="D10" s="2720" t="s">
        <v>2999</v>
      </c>
      <c r="E10" s="2721" t="s">
        <v>3000</v>
      </c>
      <c r="F10" s="2722" t="s">
        <v>3001</v>
      </c>
      <c r="G10" s="2718"/>
    </row>
    <row r="11" spans="1:7">
      <c r="A11" s="2718"/>
      <c r="B11" s="2723" t="s">
        <v>3002</v>
      </c>
      <c r="C11" s="2724" t="s">
        <v>3003</v>
      </c>
      <c r="D11" s="2725" t="s">
        <v>3004</v>
      </c>
      <c r="E11" s="2725" t="s">
        <v>3004</v>
      </c>
      <c r="F11" s="2726" t="s">
        <v>3005</v>
      </c>
      <c r="G11" s="2727"/>
    </row>
    <row r="12" spans="1:7">
      <c r="A12" s="2685"/>
      <c r="B12" s="2685"/>
      <c r="C12" s="2685"/>
      <c r="D12" s="2685"/>
      <c r="E12" s="2685"/>
      <c r="F12" s="2685"/>
      <c r="G12" s="2685"/>
    </row>
    <row r="13" spans="1:7" ht="12.75" customHeight="1">
      <c r="A13" s="2685"/>
      <c r="B13" s="2685"/>
      <c r="C13" s="2685"/>
      <c r="D13" s="2685"/>
      <c r="E13" s="2685"/>
      <c r="F13" s="2685"/>
      <c r="G13" s="2685"/>
    </row>
    <row r="14" spans="1:7" ht="12.75" customHeight="1">
      <c r="A14" s="2685"/>
      <c r="B14" s="2728" t="s">
        <v>3006</v>
      </c>
      <c r="C14" s="2685"/>
      <c r="D14" s="2685"/>
      <c r="E14" s="2685"/>
      <c r="F14" s="2685"/>
      <c r="G14" s="2685"/>
    </row>
    <row r="15" spans="1:7" ht="6" customHeight="1">
      <c r="A15" s="2685"/>
      <c r="B15" s="2685"/>
      <c r="C15" s="2685"/>
      <c r="D15" s="2685"/>
      <c r="E15" s="2685"/>
      <c r="F15" s="2685"/>
      <c r="G15" s="2685"/>
    </row>
    <row r="16" spans="1:7" ht="14.25" customHeight="1">
      <c r="A16" s="2685"/>
      <c r="B16" s="3260" t="s">
        <v>3007</v>
      </c>
      <c r="C16" s="3261"/>
      <c r="D16" s="3261"/>
      <c r="E16" s="3261"/>
      <c r="F16" s="3262"/>
      <c r="G16" s="2685"/>
    </row>
    <row r="17" spans="1:7" ht="78.75" customHeight="1">
      <c r="A17" s="2685"/>
      <c r="B17" s="3263" t="s">
        <v>3008</v>
      </c>
      <c r="C17" s="3264"/>
      <c r="D17" s="3264"/>
      <c r="E17" s="3264"/>
      <c r="F17" s="3265"/>
      <c r="G17" s="2685"/>
    </row>
    <row r="18" spans="1:7" ht="12.75" customHeight="1">
      <c r="A18" s="2685"/>
      <c r="B18" s="2729"/>
      <c r="C18" s="2729"/>
      <c r="D18" s="2729"/>
      <c r="E18" s="2729"/>
      <c r="F18" s="2729"/>
      <c r="G18" s="2685"/>
    </row>
    <row r="19" spans="1:7" ht="12.75" customHeight="1">
      <c r="A19" s="2685"/>
      <c r="B19" s="2730" t="s">
        <v>3009</v>
      </c>
      <c r="C19" s="2731"/>
      <c r="D19" s="2731"/>
      <c r="E19" s="2731"/>
      <c r="F19" s="2732"/>
      <c r="G19" s="2685"/>
    </row>
    <row r="20" spans="1:7" ht="46.5" customHeight="1">
      <c r="A20" s="2685"/>
      <c r="B20" s="3266" t="s">
        <v>3010</v>
      </c>
      <c r="C20" s="3267"/>
      <c r="D20" s="3267"/>
      <c r="E20" s="3267"/>
      <c r="F20" s="3268"/>
      <c r="G20" s="2685"/>
    </row>
    <row r="21" spans="1:7" ht="12.75" customHeight="1">
      <c r="A21" s="2685"/>
      <c r="B21" s="2733"/>
      <c r="C21" s="2685"/>
      <c r="D21" s="2685"/>
      <c r="E21" s="2685"/>
      <c r="F21" s="2685"/>
      <c r="G21" s="2685"/>
    </row>
    <row r="22" spans="1:7" ht="12.75" customHeight="1">
      <c r="A22" s="2685"/>
      <c r="B22" s="2734" t="s">
        <v>3011</v>
      </c>
      <c r="C22" s="2735"/>
      <c r="D22" s="2735"/>
      <c r="E22" s="2735"/>
      <c r="F22" s="2736"/>
      <c r="G22" s="2685"/>
    </row>
    <row r="23" spans="1:7" ht="7.5" customHeight="1">
      <c r="A23" s="2685"/>
      <c r="B23" s="2737"/>
      <c r="C23" s="2738"/>
      <c r="D23" s="2738"/>
      <c r="E23" s="2738"/>
      <c r="F23" s="2739"/>
      <c r="G23" s="2685"/>
    </row>
    <row r="24" spans="1:7" ht="12.75" customHeight="1">
      <c r="A24" s="2685"/>
      <c r="B24" s="2740" t="s">
        <v>3012</v>
      </c>
      <c r="C24" s="2738" t="s">
        <v>3013</v>
      </c>
      <c r="D24" s="2738"/>
      <c r="E24" s="2738"/>
      <c r="F24" s="2739"/>
      <c r="G24" s="2685"/>
    </row>
    <row r="25" spans="1:7" ht="12.75" customHeight="1">
      <c r="A25" s="2685"/>
      <c r="B25" s="2740" t="s">
        <v>3014</v>
      </c>
      <c r="C25" s="2741" t="s">
        <v>3015</v>
      </c>
      <c r="D25" s="2741"/>
      <c r="E25" s="2738"/>
      <c r="F25" s="2739"/>
      <c r="G25" s="2685"/>
    </row>
    <row r="26" spans="1:7" ht="12.75" customHeight="1">
      <c r="A26" s="2685"/>
      <c r="B26" s="2740" t="s">
        <v>3016</v>
      </c>
      <c r="C26" s="2741" t="s">
        <v>3017</v>
      </c>
      <c r="D26" s="2741"/>
      <c r="E26" s="2738"/>
      <c r="F26" s="2739"/>
      <c r="G26" s="2685"/>
    </row>
    <row r="27" spans="1:7" ht="12.75" customHeight="1">
      <c r="A27" s="2685"/>
      <c r="B27" s="2740" t="s">
        <v>3018</v>
      </c>
      <c r="C27" s="2741" t="s">
        <v>3019</v>
      </c>
      <c r="D27" s="2741"/>
      <c r="E27" s="2738"/>
      <c r="F27" s="2739"/>
      <c r="G27" s="2685"/>
    </row>
    <row r="28" spans="1:7" ht="12.75" customHeight="1">
      <c r="A28" s="2685"/>
      <c r="B28" s="2740" t="s">
        <v>3020</v>
      </c>
      <c r="C28" s="2741" t="s">
        <v>3021</v>
      </c>
      <c r="D28" s="2741"/>
      <c r="E28" s="2738"/>
      <c r="F28" s="2739"/>
      <c r="G28" s="2685"/>
    </row>
    <row r="29" spans="1:7" ht="12.75" customHeight="1">
      <c r="A29" s="2685"/>
      <c r="B29" s="2740" t="s">
        <v>3022</v>
      </c>
      <c r="C29" s="2741" t="s">
        <v>3023</v>
      </c>
      <c r="D29" s="2741"/>
      <c r="E29" s="2738"/>
      <c r="F29" s="2739"/>
      <c r="G29" s="2685"/>
    </row>
    <row r="30" spans="1:7" ht="12.75" customHeight="1">
      <c r="A30" s="2685"/>
      <c r="B30" s="2742" t="s">
        <v>3024</v>
      </c>
      <c r="C30" s="2743" t="s">
        <v>3025</v>
      </c>
      <c r="D30" s="2743"/>
      <c r="E30" s="2744"/>
      <c r="F30" s="2745"/>
      <c r="G30" s="2685"/>
    </row>
    <row r="31" spans="1:7" ht="12.75" customHeight="1">
      <c r="A31" s="2685"/>
      <c r="B31" s="2746"/>
      <c r="C31" s="2746"/>
      <c r="D31" s="2746"/>
      <c r="E31" s="2746"/>
      <c r="F31" s="2746"/>
      <c r="G31" s="2685"/>
    </row>
    <row r="32" spans="1:7" ht="12.75" customHeight="1">
      <c r="A32" s="2685"/>
      <c r="B32" s="2747" t="s">
        <v>3026</v>
      </c>
      <c r="C32" s="2735"/>
      <c r="D32" s="2735"/>
      <c r="E32" s="2735"/>
      <c r="F32" s="2736"/>
      <c r="G32" s="2685"/>
    </row>
    <row r="33" spans="1:7" ht="7.5" customHeight="1">
      <c r="A33" s="2685"/>
      <c r="B33" s="2737"/>
      <c r="C33" s="2738"/>
      <c r="D33" s="2738"/>
      <c r="E33" s="2738"/>
      <c r="F33" s="2739"/>
      <c r="G33" s="2685"/>
    </row>
    <row r="34" spans="1:7" ht="26.25" customHeight="1">
      <c r="A34" s="2685"/>
      <c r="B34" s="3269" t="s">
        <v>3027</v>
      </c>
      <c r="C34" s="3270"/>
      <c r="D34" s="3270"/>
      <c r="E34" s="3270"/>
      <c r="F34" s="3271"/>
      <c r="G34" s="2685"/>
    </row>
    <row r="35" spans="1:7" ht="64.5" customHeight="1">
      <c r="A35" s="2685"/>
      <c r="B35" s="3266" t="s">
        <v>3028</v>
      </c>
      <c r="C35" s="3267"/>
      <c r="D35" s="3267"/>
      <c r="E35" s="3267"/>
      <c r="F35" s="3268"/>
      <c r="G35" s="2685"/>
    </row>
    <row r="36" spans="1:7">
      <c r="A36" s="2685"/>
      <c r="B36" s="2746"/>
      <c r="C36" s="2746"/>
      <c r="D36" s="2746"/>
      <c r="E36" s="2746"/>
      <c r="F36" s="2746"/>
      <c r="G36" s="2685"/>
    </row>
    <row r="37" spans="1:7">
      <c r="A37" s="2685"/>
      <c r="B37" s="2748" t="s">
        <v>3029</v>
      </c>
      <c r="C37" s="2746"/>
      <c r="D37" s="2746"/>
      <c r="E37" s="2746"/>
      <c r="F37" s="2746"/>
      <c r="G37" s="2685"/>
    </row>
    <row r="38" spans="1:7">
      <c r="A38" s="2685"/>
      <c r="B38" s="2685"/>
      <c r="C38" s="2685"/>
      <c r="D38" s="2685"/>
      <c r="E38" s="2685"/>
      <c r="F38" s="2685"/>
      <c r="G38" s="2685"/>
    </row>
    <row r="39" spans="1:7">
      <c r="A39" s="2685"/>
      <c r="B39" s="2705" t="s">
        <v>86</v>
      </c>
      <c r="C39" s="2685"/>
      <c r="D39" s="2685"/>
      <c r="E39" s="2685"/>
      <c r="F39" s="2685"/>
      <c r="G39" s="2685"/>
    </row>
    <row r="40" spans="1:7">
      <c r="A40" s="2749" t="s">
        <v>210</v>
      </c>
      <c r="B40" s="3258" t="s">
        <v>3030</v>
      </c>
      <c r="C40" s="3258"/>
      <c r="D40" s="3258"/>
      <c r="E40" s="3258"/>
      <c r="F40" s="3258"/>
      <c r="G40" s="2685"/>
    </row>
    <row r="41" spans="1:7" ht="25.5" customHeight="1">
      <c r="A41" s="2749" t="s">
        <v>209</v>
      </c>
      <c r="B41" s="3258" t="s">
        <v>3031</v>
      </c>
      <c r="C41" s="3258"/>
      <c r="D41" s="3258"/>
      <c r="E41" s="3258"/>
      <c r="F41" s="3258"/>
      <c r="G41" s="2685"/>
    </row>
    <row r="42" spans="1:7">
      <c r="A42" s="2749" t="s">
        <v>246</v>
      </c>
      <c r="B42" s="3258" t="s">
        <v>3032</v>
      </c>
      <c r="C42" s="3258"/>
      <c r="D42" s="3258"/>
      <c r="E42" s="3258"/>
      <c r="F42" s="3258"/>
      <c r="G42" s="2685"/>
    </row>
    <row r="43" spans="1:7">
      <c r="A43" s="2749" t="s">
        <v>247</v>
      </c>
      <c r="B43" s="3258" t="s">
        <v>3033</v>
      </c>
      <c r="C43" s="3258"/>
      <c r="D43" s="3258"/>
      <c r="E43" s="3258"/>
      <c r="F43" s="3258"/>
      <c r="G43" s="2685"/>
    </row>
    <row r="44" spans="1:7">
      <c r="A44" s="2749" t="s">
        <v>248</v>
      </c>
      <c r="B44" s="3258" t="s">
        <v>3034</v>
      </c>
      <c r="C44" s="3258"/>
      <c r="D44" s="3258"/>
      <c r="E44" s="3258"/>
      <c r="F44" s="3258"/>
      <c r="G44" s="2685"/>
    </row>
    <row r="45" spans="1:7">
      <c r="A45" s="2685"/>
      <c r="B45" s="2685"/>
      <c r="C45" s="2685"/>
      <c r="D45" s="2685"/>
      <c r="E45" s="2685"/>
      <c r="F45" s="2685"/>
      <c r="G45" s="2685"/>
    </row>
  </sheetData>
  <mergeCells count="10">
    <mergeCell ref="B41:F41"/>
    <mergeCell ref="B42:F42"/>
    <mergeCell ref="B43:F43"/>
    <mergeCell ref="B44:F44"/>
    <mergeCell ref="B16:F16"/>
    <mergeCell ref="B17:F17"/>
    <mergeCell ref="B20:F20"/>
    <mergeCell ref="B34:F34"/>
    <mergeCell ref="B35:F35"/>
    <mergeCell ref="B40:F40"/>
  </mergeCells>
  <conditionalFormatting sqref="C4:F4">
    <cfRule type="cellIs" dxfId="200" priority="2" stopIfTrue="1" operator="equal">
      <formula>"input"</formula>
    </cfRule>
  </conditionalFormatting>
  <conditionalFormatting sqref="B4">
    <cfRule type="cellIs" dxfId="199" priority="1" stopIfTrue="1" operator="equal">
      <formula>"input"</formula>
    </cfRule>
  </conditionalFormatting>
  <pageMargins left="0.5" right="0.5" top="0.5" bottom="0.5" header="0.5" footer="0.5"/>
  <pageSetup fitToWidth="0" fitToHeight="0" orientation="landscape" r:id="rId1"/>
  <rowBreaks count="1" manualBreakCount="1">
    <brk id="20" max="6" man="1"/>
  </rowBreaks>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N111"/>
  <sheetViews>
    <sheetView showGridLines="0" view="pageBreakPreview" topLeftCell="A3" zoomScale="85" zoomScaleNormal="100" zoomScaleSheetLayoutView="85" workbookViewId="0">
      <selection activeCell="D31" sqref="D31"/>
    </sheetView>
  </sheetViews>
  <sheetFormatPr defaultRowHeight="12.75" outlineLevelRow="1"/>
  <cols>
    <col min="1" max="1" width="4.5" style="405" customWidth="1"/>
    <col min="2" max="2" width="33.6640625" style="405" customWidth="1"/>
    <col min="3" max="6" width="28.1640625" style="405" customWidth="1"/>
    <col min="7" max="7" width="4.5" style="405" customWidth="1"/>
    <col min="8" max="8" width="27.5" style="405" hidden="1" customWidth="1"/>
    <col min="9" max="9" width="1.6640625" style="405" hidden="1" customWidth="1"/>
    <col min="10" max="10" width="0.1640625" style="405" hidden="1" customWidth="1"/>
    <col min="11" max="16384" width="9.33203125" style="405"/>
  </cols>
  <sheetData>
    <row r="1" spans="2:6" ht="13.5" thickBot="1"/>
    <row r="2" spans="2:6" ht="16.5" thickTop="1">
      <c r="B2" s="10" t="str">
        <f>'MASTER PubCo Inputs'!$C$5</f>
        <v>Kallyope, Inc.</v>
      </c>
      <c r="C2" s="10"/>
      <c r="D2" s="10"/>
      <c r="E2" s="10"/>
      <c r="F2" s="10"/>
    </row>
    <row r="3" spans="2:6" ht="15.75">
      <c r="B3" s="11" t="str">
        <f>VLOOKUP(B4,Outline!$E$8:$G$69,COLUMNS(Outline!$E$8:$G$8),FALSE)</f>
        <v>Workpaper #19</v>
      </c>
      <c r="C3" s="11"/>
      <c r="D3" s="11"/>
      <c r="E3" s="11"/>
      <c r="F3" s="11"/>
    </row>
    <row r="4" spans="2:6" ht="16.5" thickBot="1">
      <c r="B4" s="12" t="s">
        <v>2856</v>
      </c>
      <c r="C4" s="12"/>
      <c r="D4" s="12"/>
      <c r="E4" s="12"/>
      <c r="F4" s="12"/>
    </row>
    <row r="5" spans="2:6" ht="13.5" thickTop="1"/>
    <row r="6" spans="2:6" s="720" customFormat="1" ht="15" customHeight="1">
      <c r="B6" s="721" t="s">
        <v>778</v>
      </c>
      <c r="F6" s="722"/>
    </row>
    <row r="7" spans="2:6" s="720" customFormat="1" ht="12.75" customHeight="1">
      <c r="B7" s="1978" t="s">
        <v>517</v>
      </c>
      <c r="C7" s="1979" t="s">
        <v>510</v>
      </c>
      <c r="D7" s="1979" t="s">
        <v>518</v>
      </c>
      <c r="E7" s="1979" t="s">
        <v>519</v>
      </c>
      <c r="F7" s="1980" t="s">
        <v>520</v>
      </c>
    </row>
    <row r="8" spans="2:6" s="720" customFormat="1" ht="12.75" customHeight="1">
      <c r="B8" s="723">
        <v>0.67</v>
      </c>
      <c r="C8" s="723">
        <v>0.41</v>
      </c>
      <c r="D8" s="723">
        <v>0.65</v>
      </c>
      <c r="E8" s="723">
        <v>0.83</v>
      </c>
      <c r="F8" s="724">
        <f>PRODUCT(B8:E8)</f>
        <v>0.14820065000000002</v>
      </c>
    </row>
    <row r="9" spans="2:6" s="720" customFormat="1" ht="12.75" customHeight="1">
      <c r="B9" s="725"/>
      <c r="C9" s="725"/>
      <c r="D9" s="726"/>
      <c r="E9" s="725"/>
      <c r="F9" s="726"/>
    </row>
    <row r="10" spans="2:6" s="720" customFormat="1" ht="15" customHeight="1">
      <c r="B10" s="727" t="s">
        <v>619</v>
      </c>
      <c r="C10" s="728"/>
      <c r="F10" s="722"/>
    </row>
    <row r="11" spans="2:6" s="720" customFormat="1" ht="12.75" customHeight="1">
      <c r="B11" s="1978" t="s">
        <v>521</v>
      </c>
      <c r="C11" s="1979"/>
      <c r="D11" s="1980"/>
      <c r="F11" s="722"/>
    </row>
    <row r="12" spans="2:6" s="720" customFormat="1" ht="12.75" customHeight="1">
      <c r="B12" s="1981" t="s">
        <v>522</v>
      </c>
      <c r="C12" s="1982" t="s">
        <v>523</v>
      </c>
      <c r="D12" s="1982" t="s">
        <v>779</v>
      </c>
      <c r="F12" s="722"/>
    </row>
    <row r="13" spans="2:6" s="720" customFormat="1" ht="12.75" customHeight="1">
      <c r="B13" s="729">
        <v>0.19</v>
      </c>
      <c r="C13" s="729">
        <v>0.09</v>
      </c>
      <c r="D13" s="729">
        <v>0.14499999999999999</v>
      </c>
      <c r="F13" s="722"/>
    </row>
    <row r="14" spans="2:6" s="720" customFormat="1" ht="12.75" customHeight="1">
      <c r="B14" s="729"/>
      <c r="C14" s="729"/>
      <c r="D14" s="729"/>
      <c r="F14" s="722"/>
    </row>
    <row r="15" spans="2:6" s="720" customFormat="1" ht="15" customHeight="1">
      <c r="B15" s="730" t="s">
        <v>2548</v>
      </c>
      <c r="F15" s="722"/>
    </row>
    <row r="16" spans="2:6" s="720" customFormat="1" ht="12.75" customHeight="1">
      <c r="B16" s="1978" t="s">
        <v>517</v>
      </c>
      <c r="C16" s="1979" t="s">
        <v>510</v>
      </c>
      <c r="D16" s="1979" t="s">
        <v>518</v>
      </c>
      <c r="E16" s="1979" t="s">
        <v>519</v>
      </c>
      <c r="F16" s="1980" t="s">
        <v>520</v>
      </c>
    </row>
    <row r="17" spans="2:6" s="720" customFormat="1" ht="12.75" customHeight="1">
      <c r="B17" s="723">
        <v>0.54</v>
      </c>
      <c r="C17" s="723">
        <v>0.23</v>
      </c>
      <c r="D17" s="723">
        <v>0.37</v>
      </c>
      <c r="E17" s="723">
        <v>0.72</v>
      </c>
      <c r="F17" s="724">
        <f>PRODUCT(B17:E17)</f>
        <v>3.3086880000000006E-2</v>
      </c>
    </row>
    <row r="18" spans="2:6" s="720" customFormat="1">
      <c r="B18" s="1983"/>
      <c r="C18" s="1983"/>
      <c r="D18" s="1984"/>
      <c r="F18" s="722"/>
    </row>
    <row r="19" spans="2:6" s="720" customFormat="1" ht="12.75" customHeight="1">
      <c r="B19" s="727" t="s">
        <v>2549</v>
      </c>
      <c r="C19" s="729"/>
      <c r="D19" s="729"/>
      <c r="F19" s="722"/>
    </row>
    <row r="20" spans="2:6" s="720" customFormat="1" ht="12.75" customHeight="1">
      <c r="B20" s="1985" t="s">
        <v>2550</v>
      </c>
      <c r="C20" s="1980" t="s">
        <v>2551</v>
      </c>
      <c r="D20" s="729"/>
      <c r="F20" s="722"/>
    </row>
    <row r="21" spans="2:6" s="720" customFormat="1" ht="12.75" customHeight="1">
      <c r="B21" s="723">
        <v>0.12</v>
      </c>
      <c r="C21" s="723">
        <v>0.04</v>
      </c>
      <c r="D21" s="729"/>
      <c r="F21" s="722"/>
    </row>
    <row r="22" spans="2:6" s="720" customFormat="1">
      <c r="B22" s="1983"/>
      <c r="C22" s="1983"/>
      <c r="D22" s="1984"/>
      <c r="F22" s="722"/>
    </row>
    <row r="23" spans="2:6" s="720" customFormat="1" ht="15" customHeight="1">
      <c r="B23" s="730" t="s">
        <v>2552</v>
      </c>
      <c r="F23" s="722"/>
    </row>
    <row r="24" spans="2:6" s="720" customFormat="1" ht="12.75" customHeight="1">
      <c r="B24" s="1978" t="s">
        <v>517</v>
      </c>
      <c r="C24" s="1979" t="s">
        <v>510</v>
      </c>
      <c r="D24" s="1979" t="s">
        <v>518</v>
      </c>
      <c r="E24" s="1979" t="s">
        <v>519</v>
      </c>
      <c r="F24" s="1980" t="s">
        <v>520</v>
      </c>
    </row>
    <row r="25" spans="2:6" s="720" customFormat="1" ht="12.75" customHeight="1">
      <c r="B25" s="723">
        <v>0.65400000000000003</v>
      </c>
      <c r="C25" s="723">
        <v>0.28999999999999998</v>
      </c>
      <c r="D25" s="723">
        <v>0.39800000000000002</v>
      </c>
      <c r="E25" s="723">
        <v>0.76100000000000001</v>
      </c>
      <c r="F25" s="724">
        <f>PRODUCT(B25:E25)</f>
        <v>5.7443841480000001E-2</v>
      </c>
    </row>
    <row r="26" spans="2:6" s="720" customFormat="1" ht="12.75" customHeight="1">
      <c r="B26" s="729"/>
      <c r="C26" s="729"/>
      <c r="D26" s="729"/>
      <c r="F26" s="722"/>
    </row>
    <row r="27" spans="2:6" s="720" customFormat="1" ht="16.5" customHeight="1">
      <c r="B27" s="727" t="s">
        <v>2553</v>
      </c>
      <c r="C27" s="729"/>
      <c r="D27" s="729"/>
      <c r="F27" s="722"/>
    </row>
    <row r="28" spans="2:6" s="720" customFormat="1" ht="12.75" customHeight="1">
      <c r="B28" s="1985" t="s">
        <v>780</v>
      </c>
      <c r="C28" s="1980" t="s">
        <v>781</v>
      </c>
      <c r="D28" s="729"/>
      <c r="F28" s="722"/>
    </row>
    <row r="29" spans="2:6" s="720" customFormat="1" ht="12.75" customHeight="1">
      <c r="B29" s="723">
        <v>0.7</v>
      </c>
      <c r="C29" s="723">
        <v>0.65</v>
      </c>
      <c r="D29" s="729"/>
      <c r="F29" s="722"/>
    </row>
    <row r="30" spans="2:6" s="720" customFormat="1" ht="12.75" customHeight="1">
      <c r="B30" s="729"/>
      <c r="C30" s="729"/>
      <c r="D30" s="729"/>
      <c r="F30" s="722"/>
    </row>
    <row r="31" spans="2:6" s="720" customFormat="1" ht="12.75" customHeight="1">
      <c r="B31" s="727" t="s">
        <v>2554</v>
      </c>
      <c r="C31" s="729"/>
      <c r="D31" s="729"/>
      <c r="F31" s="722"/>
    </row>
    <row r="32" spans="2:6" s="720" customFormat="1" ht="12.75" customHeight="1">
      <c r="B32" s="1986" t="s">
        <v>856</v>
      </c>
      <c r="C32" s="729"/>
      <c r="D32" s="729"/>
      <c r="F32" s="722"/>
    </row>
    <row r="33" spans="2:9" s="720" customFormat="1" ht="12.75" customHeight="1">
      <c r="B33" s="723">
        <v>0.6</v>
      </c>
      <c r="C33" s="1987"/>
      <c r="D33" s="729"/>
      <c r="F33" s="722"/>
    </row>
    <row r="34" spans="2:9" s="720" customFormat="1" ht="12.75" customHeight="1">
      <c r="B34" s="723"/>
      <c r="C34" s="723"/>
      <c r="D34" s="729"/>
      <c r="F34" s="722"/>
    </row>
    <row r="35" spans="2:9" s="720" customFormat="1" ht="12.75" customHeight="1">
      <c r="B35" s="1988" t="s">
        <v>2555</v>
      </c>
      <c r="C35" s="1989"/>
      <c r="D35" s="1989"/>
      <c r="E35" s="1990"/>
      <c r="F35" s="1991"/>
    </row>
    <row r="36" spans="2:9" s="720" customFormat="1" ht="12.75" customHeight="1">
      <c r="C36" s="729"/>
      <c r="D36" s="729"/>
      <c r="F36" s="722"/>
    </row>
    <row r="37" spans="2:9" s="720" customFormat="1" ht="12.75" customHeight="1">
      <c r="B37" s="730" t="s">
        <v>2556</v>
      </c>
      <c r="C37" s="731"/>
      <c r="D37" s="731"/>
      <c r="E37" s="731"/>
      <c r="F37" s="732"/>
    </row>
    <row r="38" spans="2:9" s="720" customFormat="1" ht="12.75" customHeight="1">
      <c r="B38" s="1978" t="s">
        <v>517</v>
      </c>
      <c r="C38" s="1979" t="s">
        <v>510</v>
      </c>
      <c r="D38" s="1992" t="s">
        <v>518</v>
      </c>
      <c r="E38" s="1979" t="s">
        <v>519</v>
      </c>
      <c r="F38" s="1993" t="s">
        <v>524</v>
      </c>
    </row>
    <row r="39" spans="2:9" s="720" customFormat="1" ht="12.75" customHeight="1">
      <c r="B39" s="733">
        <v>0.47799999999999998</v>
      </c>
      <c r="C39" s="733">
        <v>0.52</v>
      </c>
      <c r="D39" s="733">
        <v>0.78900000000000003</v>
      </c>
      <c r="E39" s="734">
        <v>0.92800000000000005</v>
      </c>
      <c r="F39" s="736">
        <f>PRODUCT(B39:E39)</f>
        <v>0.18199364352000003</v>
      </c>
    </row>
    <row r="40" spans="2:9" s="720" customFormat="1" ht="12.75" customHeight="1">
      <c r="B40" s="731"/>
      <c r="C40" s="731"/>
      <c r="D40" s="731"/>
      <c r="E40" s="731"/>
      <c r="F40" s="732"/>
    </row>
    <row r="41" spans="2:9" s="720" customFormat="1" ht="12.75" customHeight="1">
      <c r="B41" s="730" t="s">
        <v>2557</v>
      </c>
      <c r="F41" s="722"/>
    </row>
    <row r="42" spans="2:9" s="720" customFormat="1" ht="12.75" customHeight="1">
      <c r="B42" s="1978" t="s">
        <v>517</v>
      </c>
      <c r="C42" s="1979" t="s">
        <v>510</v>
      </c>
      <c r="D42" s="1979" t="s">
        <v>518</v>
      </c>
      <c r="E42" s="1979" t="s">
        <v>519</v>
      </c>
      <c r="F42" s="1980" t="s">
        <v>520</v>
      </c>
    </row>
    <row r="43" spans="2:9" s="720" customFormat="1" ht="12.75" customHeight="1">
      <c r="B43" s="723">
        <v>0.61099999999999999</v>
      </c>
      <c r="C43" s="723">
        <v>0.45200000000000001</v>
      </c>
      <c r="D43" s="723">
        <v>0.71399999999999997</v>
      </c>
      <c r="E43" s="723">
        <v>0.77800000000000002</v>
      </c>
      <c r="F43" s="724">
        <f>PRODUCT(B43:E43)</f>
        <v>0.15341133662400003</v>
      </c>
      <c r="I43" s="731"/>
    </row>
    <row r="44" spans="2:9" s="720" customFormat="1" ht="12.75" customHeight="1">
      <c r="B44" s="731"/>
      <c r="C44" s="731"/>
      <c r="D44" s="731"/>
      <c r="E44" s="731"/>
      <c r="F44" s="732"/>
    </row>
    <row r="45" spans="2:9" s="720" customFormat="1" ht="12.75" customHeight="1">
      <c r="B45" s="730" t="s">
        <v>2558</v>
      </c>
      <c r="F45" s="722"/>
    </row>
    <row r="46" spans="2:9" s="720" customFormat="1" ht="12.75" customHeight="1">
      <c r="B46" s="1978" t="s">
        <v>517</v>
      </c>
      <c r="C46" s="1979" t="s">
        <v>510</v>
      </c>
      <c r="D46" s="1979" t="s">
        <v>518</v>
      </c>
      <c r="E46" s="1979" t="s">
        <v>519</v>
      </c>
      <c r="F46" s="1980" t="s">
        <v>520</v>
      </c>
    </row>
    <row r="47" spans="2:9" s="720" customFormat="1" ht="12.75" customHeight="1">
      <c r="B47" s="723">
        <v>0.58899999999999997</v>
      </c>
      <c r="C47" s="723">
        <v>0.40100000000000002</v>
      </c>
      <c r="D47" s="723">
        <v>0.65</v>
      </c>
      <c r="E47" s="723">
        <v>0.86</v>
      </c>
      <c r="F47" s="724">
        <f>PRODUCT(B47:E47)</f>
        <v>0.13202965100000003</v>
      </c>
      <c r="I47" s="731"/>
    </row>
    <row r="48" spans="2:9" s="720" customFormat="1" ht="12.75" customHeight="1">
      <c r="B48" s="731"/>
      <c r="C48" s="731"/>
      <c r="D48" s="731"/>
      <c r="E48" s="731"/>
      <c r="F48" s="732"/>
    </row>
    <row r="49" spans="2:9" s="720" customFormat="1" ht="12.75" customHeight="1">
      <c r="B49" s="730" t="s">
        <v>2559</v>
      </c>
      <c r="F49" s="722"/>
    </row>
    <row r="50" spans="2:9" s="720" customFormat="1" ht="12.75" customHeight="1">
      <c r="B50" s="1978" t="s">
        <v>517</v>
      </c>
      <c r="C50" s="1979" t="s">
        <v>510</v>
      </c>
      <c r="D50" s="1979" t="s">
        <v>518</v>
      </c>
      <c r="E50" s="1979" t="s">
        <v>519</v>
      </c>
      <c r="F50" s="1980" t="s">
        <v>520</v>
      </c>
    </row>
    <row r="51" spans="2:9" s="720" customFormat="1" ht="12.75" customHeight="1">
      <c r="B51" s="723">
        <v>0.58299999999999996</v>
      </c>
      <c r="C51" s="723">
        <v>0.33800000000000002</v>
      </c>
      <c r="D51" s="723">
        <v>0.67400000000000004</v>
      </c>
      <c r="E51" s="723">
        <v>0.86899999999999999</v>
      </c>
      <c r="F51" s="724">
        <f>PRODUCT(B51:E51)</f>
        <v>0.115415710124</v>
      </c>
      <c r="I51" s="731"/>
    </row>
    <row r="52" spans="2:9" s="720" customFormat="1" ht="12.75" customHeight="1">
      <c r="B52" s="733"/>
      <c r="C52" s="733"/>
      <c r="D52" s="733"/>
      <c r="E52" s="734"/>
      <c r="F52" s="736"/>
      <c r="I52" s="731"/>
    </row>
    <row r="53" spans="2:9" s="720" customFormat="1" ht="12.75" customHeight="1">
      <c r="B53" s="1988" t="s">
        <v>2561</v>
      </c>
      <c r="C53" s="1994"/>
      <c r="D53" s="1994"/>
      <c r="E53" s="1995"/>
      <c r="F53" s="1996"/>
    </row>
    <row r="54" spans="2:9" s="720" customFormat="1" ht="12.75" customHeight="1">
      <c r="C54" s="729"/>
      <c r="D54" s="729"/>
      <c r="F54" s="722"/>
    </row>
    <row r="55" spans="2:9" s="720" customFormat="1" ht="12.75" customHeight="1">
      <c r="B55" s="730" t="s">
        <v>2562</v>
      </c>
      <c r="C55" s="731"/>
      <c r="D55" s="731"/>
      <c r="E55" s="731"/>
      <c r="F55" s="732"/>
    </row>
    <row r="56" spans="2:9" s="720" customFormat="1" ht="12.75" customHeight="1">
      <c r="B56" s="1978" t="s">
        <v>517</v>
      </c>
      <c r="C56" s="1979" t="s">
        <v>510</v>
      </c>
      <c r="D56" s="1992" t="s">
        <v>518</v>
      </c>
      <c r="E56" s="1979" t="s">
        <v>519</v>
      </c>
      <c r="F56" s="1993" t="s">
        <v>524</v>
      </c>
    </row>
    <row r="57" spans="2:9" s="720" customFormat="1" ht="12.75" customHeight="1">
      <c r="B57" s="733">
        <v>0.66800000000000004</v>
      </c>
      <c r="C57" s="733">
        <v>0.49099999999999999</v>
      </c>
      <c r="D57" s="733">
        <v>0.71</v>
      </c>
      <c r="E57" s="734">
        <v>0.85899999999999999</v>
      </c>
      <c r="F57" s="736">
        <f>PRODUCT(B57:E57)</f>
        <v>0.20003660131999998</v>
      </c>
    </row>
    <row r="58" spans="2:9" s="720" customFormat="1" ht="12.75" customHeight="1">
      <c r="B58" s="731"/>
      <c r="C58" s="731"/>
      <c r="D58" s="731"/>
      <c r="E58" s="731"/>
      <c r="F58" s="732"/>
    </row>
    <row r="59" spans="2:9" s="720" customFormat="1" ht="12.75" hidden="1" customHeight="1" outlineLevel="1">
      <c r="B59" s="730" t="s">
        <v>2563</v>
      </c>
      <c r="C59" s="731"/>
      <c r="D59" s="731"/>
      <c r="E59" s="731"/>
      <c r="F59" s="732"/>
    </row>
    <row r="60" spans="2:9" s="720" customFormat="1" ht="12.75" hidden="1" customHeight="1" outlineLevel="1">
      <c r="B60" s="1997" t="s">
        <v>517</v>
      </c>
      <c r="C60" s="1998" t="s">
        <v>510</v>
      </c>
      <c r="D60" s="1998" t="s">
        <v>518</v>
      </c>
      <c r="E60" s="1980" t="s">
        <v>2560</v>
      </c>
      <c r="F60" s="722"/>
    </row>
    <row r="61" spans="2:9" s="720" customFormat="1" ht="12.75" hidden="1" customHeight="1" outlineLevel="1">
      <c r="B61" s="360">
        <v>0.89</v>
      </c>
      <c r="C61" s="735">
        <v>0.77</v>
      </c>
      <c r="D61" s="360">
        <v>0.71</v>
      </c>
      <c r="E61" s="354">
        <f>PRODUCT(B61:D61)</f>
        <v>0.48656299999999997</v>
      </c>
      <c r="F61" s="722"/>
      <c r="I61" s="731"/>
    </row>
    <row r="62" spans="2:9" s="720" customFormat="1" ht="12.75" hidden="1" customHeight="1" outlineLevel="1">
      <c r="B62" s="733"/>
      <c r="C62" s="733"/>
      <c r="D62" s="733"/>
      <c r="E62" s="734"/>
      <c r="F62" s="736"/>
      <c r="I62" s="731"/>
    </row>
    <row r="63" spans="2:9" s="720" customFormat="1" ht="12.75" customHeight="1" collapsed="1">
      <c r="B63" s="730" t="s">
        <v>2564</v>
      </c>
      <c r="C63" s="731"/>
      <c r="D63" s="731"/>
      <c r="E63" s="731"/>
      <c r="F63" s="732"/>
    </row>
    <row r="64" spans="2:9" s="720" customFormat="1" ht="12.75" customHeight="1">
      <c r="B64" s="1978" t="s">
        <v>517</v>
      </c>
      <c r="C64" s="1979" t="s">
        <v>510</v>
      </c>
      <c r="D64" s="1992" t="s">
        <v>518</v>
      </c>
      <c r="E64" s="1979" t="s">
        <v>519</v>
      </c>
      <c r="F64" s="1993" t="s">
        <v>524</v>
      </c>
    </row>
    <row r="65" spans="2:6" s="720" customFormat="1" ht="12.75" customHeight="1">
      <c r="B65" s="733">
        <v>0.75600000000000001</v>
      </c>
      <c r="C65" s="733">
        <v>0.35699999999999998</v>
      </c>
      <c r="D65" s="733">
        <v>0.60599999999999998</v>
      </c>
      <c r="E65" s="734">
        <v>0.92300000000000004</v>
      </c>
      <c r="F65" s="736">
        <f>PRODUCT(B65:E65)</f>
        <v>0.15096085149599997</v>
      </c>
    </row>
    <row r="66" spans="2:6" s="720" customFormat="1" ht="12.75" customHeight="1">
      <c r="B66" s="733"/>
      <c r="C66" s="733"/>
      <c r="D66" s="733"/>
      <c r="E66" s="734"/>
      <c r="F66" s="736"/>
    </row>
    <row r="67" spans="2:6" s="720" customFormat="1" ht="12.75" customHeight="1">
      <c r="B67" s="727" t="s">
        <v>2565</v>
      </c>
      <c r="C67" s="723"/>
      <c r="D67" s="356"/>
      <c r="E67" s="356"/>
      <c r="F67" s="356"/>
    </row>
    <row r="68" spans="2:6" s="720" customFormat="1" ht="12.75" customHeight="1">
      <c r="B68" s="1986" t="s">
        <v>520</v>
      </c>
      <c r="C68" s="723"/>
      <c r="D68"/>
      <c r="E68"/>
      <c r="F68"/>
    </row>
    <row r="69" spans="2:6" s="720" customFormat="1" ht="12.75" customHeight="1">
      <c r="B69" s="723">
        <v>0.109</v>
      </c>
      <c r="C69" s="723"/>
      <c r="D69"/>
      <c r="E69"/>
      <c r="F69"/>
    </row>
    <row r="70" spans="2:6" s="720" customFormat="1" ht="12.75" customHeight="1">
      <c r="B70" s="733"/>
      <c r="C70" s="733"/>
      <c r="D70" s="733"/>
      <c r="E70" s="734"/>
      <c r="F70" s="736"/>
    </row>
    <row r="71" spans="2:6" s="720" customFormat="1" ht="12.75" customHeight="1">
      <c r="B71" s="733"/>
      <c r="C71" s="733"/>
      <c r="D71" s="733"/>
      <c r="E71" s="734"/>
      <c r="F71" s="736"/>
    </row>
    <row r="72" spans="2:6" s="720" customFormat="1" ht="12.75" customHeight="1">
      <c r="B72" s="723"/>
      <c r="C72" s="723"/>
      <c r="D72" s="729"/>
      <c r="F72" s="722"/>
    </row>
    <row r="73" spans="2:6" s="720" customFormat="1" ht="12.75" customHeight="1">
      <c r="B73" s="730" t="s">
        <v>3661</v>
      </c>
      <c r="C73" s="355"/>
      <c r="D73" s="355"/>
      <c r="E73" s="361"/>
      <c r="F73" s="359"/>
    </row>
    <row r="74" spans="2:6" s="720" customFormat="1" ht="12.75" customHeight="1">
      <c r="B74" s="2975" t="s">
        <v>517</v>
      </c>
      <c r="C74" s="2978" t="str">
        <f>C38</f>
        <v>Phase II</v>
      </c>
      <c r="D74" s="2978" t="str">
        <f>D38</f>
        <v>Phase III</v>
      </c>
      <c r="E74" s="2979" t="str">
        <f>E38</f>
        <v>NDA/BLA Phase</v>
      </c>
      <c r="F74" s="359"/>
    </row>
    <row r="75" spans="2:6" s="720" customFormat="1" ht="12.75" customHeight="1">
      <c r="B75" s="1999">
        <f>MROUND(AVERAGE(B39,B43,B47,B51,),5%)</f>
        <v>0.45</v>
      </c>
      <c r="C75" s="1999">
        <f>MROUND(AVERAGE(C39,C43,C47,C51,),5%)</f>
        <v>0.35000000000000003</v>
      </c>
      <c r="D75" s="1999">
        <f t="shared" ref="D75:E75" si="0">MROUND(AVERAGE(D39,D43,D47,D51,),5%)</f>
        <v>0.55000000000000004</v>
      </c>
      <c r="E75" s="1999">
        <f t="shared" si="0"/>
        <v>0.70000000000000007</v>
      </c>
      <c r="F75" s="359"/>
    </row>
    <row r="76" spans="2:6" s="720" customFormat="1" ht="12.75" customHeight="1">
      <c r="B76" s="1999"/>
      <c r="C76" s="1999"/>
      <c r="D76" s="1999"/>
      <c r="E76" s="1999"/>
      <c r="F76" s="359"/>
    </row>
    <row r="77" spans="2:6" s="720" customFormat="1" ht="12.75" customHeight="1">
      <c r="B77" s="730" t="s">
        <v>3662</v>
      </c>
      <c r="C77" s="355"/>
      <c r="D77" s="355"/>
      <c r="E77" s="361"/>
      <c r="F77" s="359"/>
    </row>
    <row r="78" spans="2:6" s="720" customFormat="1" ht="12.75" customHeight="1">
      <c r="B78" s="2975" t="str">
        <f>B74</f>
        <v>Phase I</v>
      </c>
      <c r="C78" s="2976" t="str">
        <f t="shared" ref="C78:E78" si="1">C74</f>
        <v>Phase II</v>
      </c>
      <c r="D78" s="2976" t="str">
        <f t="shared" si="1"/>
        <v>Phase III</v>
      </c>
      <c r="E78" s="2977" t="str">
        <f t="shared" si="1"/>
        <v>NDA/BLA Phase</v>
      </c>
      <c r="F78" s="359"/>
    </row>
    <row r="79" spans="2:6" s="720" customFormat="1" ht="12.75" customHeight="1">
      <c r="B79" s="1999">
        <f>MROUND(AVERAGE(B57,B65),5%)</f>
        <v>0.70000000000000007</v>
      </c>
      <c r="C79" s="1999">
        <f t="shared" ref="C79:E79" si="2">MROUND(AVERAGE(C57,C65),5%)</f>
        <v>0.4</v>
      </c>
      <c r="D79" s="1999">
        <f t="shared" si="2"/>
        <v>0.65</v>
      </c>
      <c r="E79" s="1999">
        <f t="shared" si="2"/>
        <v>0.9</v>
      </c>
      <c r="F79" s="359"/>
    </row>
    <row r="80" spans="2:6" s="1984" customFormat="1" ht="12.75" customHeight="1">
      <c r="B80" s="733"/>
      <c r="C80" s="733"/>
      <c r="D80" s="355"/>
      <c r="E80" s="355"/>
      <c r="F80" s="346"/>
    </row>
    <row r="81" spans="2:14" s="720" customFormat="1" ht="12.75" customHeight="1">
      <c r="B81" s="730" t="s">
        <v>3658</v>
      </c>
      <c r="C81" s="731"/>
      <c r="D81" s="731"/>
      <c r="E81" s="731"/>
      <c r="F81" s="736"/>
    </row>
    <row r="82" spans="2:14" s="720" customFormat="1" ht="12.75" customHeight="1">
      <c r="B82" s="2279" t="s">
        <v>2852</v>
      </c>
      <c r="C82" s="2280" t="s">
        <v>1189</v>
      </c>
      <c r="D82" s="2280" t="s">
        <v>517</v>
      </c>
      <c r="E82" s="2280" t="s">
        <v>510</v>
      </c>
      <c r="F82" s="2281" t="s">
        <v>518</v>
      </c>
      <c r="L82" s="2001"/>
      <c r="M82" s="2001"/>
      <c r="N82" s="2001"/>
    </row>
    <row r="83" spans="2:14" s="720" customFormat="1" ht="12.75" customHeight="1">
      <c r="B83" s="733">
        <v>0.7</v>
      </c>
      <c r="C83" s="733">
        <v>0.65</v>
      </c>
      <c r="D83" s="733">
        <v>0.60000000000000009</v>
      </c>
      <c r="E83" s="733">
        <v>0.45</v>
      </c>
      <c r="F83" s="733">
        <v>0.6</v>
      </c>
      <c r="L83" s="1999"/>
      <c r="M83" s="1999"/>
      <c r="N83" s="381"/>
    </row>
    <row r="84" spans="2:14" s="720" customFormat="1" ht="12.75" customHeight="1">
      <c r="B84" s="733"/>
      <c r="C84" s="733"/>
      <c r="D84" s="733"/>
      <c r="E84" s="733"/>
      <c r="F84" s="733"/>
      <c r="L84" s="1999"/>
      <c r="M84" s="1999"/>
      <c r="N84" s="381"/>
    </row>
    <row r="85" spans="2:14" s="720" customFormat="1" ht="12.75" customHeight="1">
      <c r="B85" s="2279" t="s">
        <v>3659</v>
      </c>
      <c r="C85" s="2281" t="s">
        <v>2806</v>
      </c>
      <c r="E85" s="1999"/>
      <c r="F85" s="818"/>
    </row>
    <row r="86" spans="2:14" s="720" customFormat="1" ht="12.75" customHeight="1">
      <c r="B86" s="733">
        <v>0.75</v>
      </c>
      <c r="C86" s="733">
        <v>1</v>
      </c>
      <c r="D86" s="733"/>
      <c r="E86" s="733"/>
      <c r="F86" s="736"/>
    </row>
    <row r="87" spans="2:14" s="720" customFormat="1" ht="12.75" customHeight="1">
      <c r="B87" s="733"/>
      <c r="C87" s="733"/>
      <c r="D87" s="733"/>
      <c r="E87" s="733"/>
      <c r="F87" s="736"/>
    </row>
    <row r="88" spans="2:14" s="720" customFormat="1" ht="12.75" customHeight="1">
      <c r="B88" s="730" t="s">
        <v>3660</v>
      </c>
      <c r="C88" s="731"/>
      <c r="D88" s="731"/>
      <c r="E88" s="731"/>
      <c r="F88" s="736"/>
    </row>
    <row r="89" spans="2:14" s="720" customFormat="1" ht="12.75" customHeight="1">
      <c r="B89" s="2279" t="s">
        <v>2852</v>
      </c>
      <c r="C89" s="2280" t="s">
        <v>1189</v>
      </c>
      <c r="D89" s="2280" t="s">
        <v>517</v>
      </c>
      <c r="E89" s="2280" t="s">
        <v>510</v>
      </c>
      <c r="F89" s="2281" t="s">
        <v>518</v>
      </c>
      <c r="L89" s="2001"/>
      <c r="M89" s="2001"/>
      <c r="N89" s="2001"/>
    </row>
    <row r="90" spans="2:14" s="720" customFormat="1" ht="12.75" customHeight="1">
      <c r="B90" s="733">
        <v>0.7</v>
      </c>
      <c r="C90" s="733">
        <v>0.65</v>
      </c>
      <c r="D90" s="733">
        <v>0.60000000000000009</v>
      </c>
      <c r="E90" s="733">
        <v>0.45</v>
      </c>
      <c r="F90" s="733">
        <v>0.6</v>
      </c>
      <c r="L90" s="1999"/>
      <c r="M90" s="1999"/>
      <c r="N90" s="381"/>
    </row>
    <row r="91" spans="2:14" s="720" customFormat="1" ht="12.75" customHeight="1">
      <c r="B91" s="733"/>
      <c r="C91" s="733"/>
      <c r="D91" s="733"/>
      <c r="E91" s="733"/>
      <c r="F91" s="733"/>
      <c r="L91" s="1999"/>
      <c r="M91" s="1999"/>
      <c r="N91" s="381"/>
    </row>
    <row r="92" spans="2:14" s="720" customFormat="1" ht="12.75" customHeight="1">
      <c r="B92" s="2279" t="s">
        <v>3659</v>
      </c>
      <c r="C92" s="2281" t="s">
        <v>2806</v>
      </c>
      <c r="E92" s="1999"/>
      <c r="F92" s="818"/>
    </row>
    <row r="93" spans="2:14" s="720" customFormat="1" ht="12.75" customHeight="1">
      <c r="B93" s="733">
        <v>0.75</v>
      </c>
      <c r="C93" s="733">
        <v>1</v>
      </c>
      <c r="D93" s="733"/>
      <c r="E93" s="733"/>
      <c r="F93" s="736"/>
    </row>
    <row r="94" spans="2:14" s="720" customFormat="1" ht="12.75" customHeight="1">
      <c r="B94" s="733"/>
      <c r="C94" s="733"/>
      <c r="D94" s="733"/>
      <c r="E94" s="733"/>
      <c r="F94" s="736"/>
    </row>
    <row r="95" spans="2:14" s="720" customFormat="1" ht="12.75" customHeight="1">
      <c r="B95" s="730" t="s">
        <v>4024</v>
      </c>
      <c r="C95" s="731"/>
      <c r="D95" s="731"/>
      <c r="E95" s="731"/>
      <c r="F95" s="736"/>
    </row>
    <row r="96" spans="2:14" s="720" customFormat="1" ht="12.75" customHeight="1">
      <c r="B96" s="2279" t="s">
        <v>2852</v>
      </c>
      <c r="C96" s="2280" t="s">
        <v>1189</v>
      </c>
      <c r="D96" s="2280" t="s">
        <v>517</v>
      </c>
      <c r="E96" s="2280" t="s">
        <v>510</v>
      </c>
      <c r="F96" s="2281" t="s">
        <v>518</v>
      </c>
      <c r="L96" s="2001"/>
      <c r="M96" s="2001"/>
      <c r="N96" s="2001"/>
    </row>
    <row r="97" spans="1:14" s="720" customFormat="1" ht="12.75" customHeight="1">
      <c r="B97" s="733">
        <f>B83</f>
        <v>0.7</v>
      </c>
      <c r="C97" s="733">
        <f t="shared" ref="C97:F97" si="3">C83</f>
        <v>0.65</v>
      </c>
      <c r="D97" s="733">
        <f t="shared" si="3"/>
        <v>0.60000000000000009</v>
      </c>
      <c r="E97" s="733">
        <f t="shared" si="3"/>
        <v>0.45</v>
      </c>
      <c r="F97" s="733">
        <f t="shared" si="3"/>
        <v>0.6</v>
      </c>
      <c r="L97" s="1999"/>
      <c r="M97" s="1999"/>
      <c r="N97" s="381"/>
    </row>
    <row r="98" spans="1:14" s="720" customFormat="1" ht="12.75" customHeight="1">
      <c r="B98" s="733"/>
      <c r="C98" s="733"/>
      <c r="D98" s="733"/>
      <c r="E98" s="733"/>
      <c r="F98" s="733"/>
      <c r="L98" s="1999"/>
      <c r="M98" s="1999"/>
      <c r="N98" s="381"/>
    </row>
    <row r="99" spans="1:14" s="720" customFormat="1" ht="12.75" customHeight="1">
      <c r="B99" s="2279" t="s">
        <v>3659</v>
      </c>
      <c r="C99" s="2281" t="s">
        <v>2806</v>
      </c>
      <c r="E99" s="1999"/>
      <c r="F99" s="818"/>
    </row>
    <row r="100" spans="1:14" s="720" customFormat="1" ht="12.75" customHeight="1">
      <c r="B100" s="733">
        <f>B86</f>
        <v>0.75</v>
      </c>
      <c r="C100" s="733">
        <f>C86</f>
        <v>1</v>
      </c>
      <c r="D100" s="3180"/>
      <c r="E100" s="733"/>
      <c r="F100" s="736"/>
    </row>
    <row r="101" spans="1:14" s="720" customFormat="1" ht="12.75" customHeight="1">
      <c r="B101" s="733"/>
      <c r="C101" s="733"/>
      <c r="D101" s="733"/>
      <c r="E101" s="733"/>
      <c r="F101" s="736"/>
    </row>
    <row r="102" spans="1:14" s="720" customFormat="1" ht="12.75" customHeight="1">
      <c r="B102" s="737" t="s">
        <v>86</v>
      </c>
      <c r="F102" s="722"/>
    </row>
    <row r="103" spans="1:14" s="720" customFormat="1" ht="12.75" customHeight="1">
      <c r="A103" s="762" t="s">
        <v>210</v>
      </c>
      <c r="B103" s="3226" t="s">
        <v>782</v>
      </c>
      <c r="C103" s="3226"/>
      <c r="D103" s="3226"/>
      <c r="E103" s="3226"/>
      <c r="F103" s="3226"/>
      <c r="G103" s="3226"/>
      <c r="H103" s="3226"/>
      <c r="I103" s="3226"/>
      <c r="J103" s="3226"/>
    </row>
    <row r="104" spans="1:14" s="720" customFormat="1" ht="12.75" customHeight="1">
      <c r="A104" s="762" t="s">
        <v>209</v>
      </c>
      <c r="B104" s="3225" t="s">
        <v>2569</v>
      </c>
      <c r="C104" s="3225"/>
      <c r="D104" s="3225"/>
      <c r="E104" s="3225"/>
      <c r="F104" s="3225"/>
      <c r="G104" s="3225"/>
      <c r="H104" s="3225"/>
      <c r="I104" s="3225"/>
      <c r="J104" s="2003"/>
    </row>
    <row r="105" spans="1:14" s="720" customFormat="1" ht="12.75" customHeight="1">
      <c r="A105" s="762" t="s">
        <v>246</v>
      </c>
      <c r="B105" s="3225" t="s">
        <v>2570</v>
      </c>
      <c r="C105" s="3225"/>
      <c r="D105" s="3225"/>
      <c r="E105" s="3225"/>
      <c r="F105" s="3225"/>
      <c r="G105" s="3225"/>
      <c r="H105" s="3225"/>
      <c r="I105" s="3225"/>
      <c r="J105" s="2003"/>
    </row>
    <row r="106" spans="1:14" s="720" customFormat="1">
      <c r="A106" s="762" t="s">
        <v>247</v>
      </c>
      <c r="B106" s="3227" t="s">
        <v>2571</v>
      </c>
      <c r="C106" s="3225"/>
      <c r="D106" s="3225"/>
      <c r="E106" s="3225"/>
      <c r="F106" s="3225"/>
      <c r="G106" s="3225"/>
      <c r="H106" s="3225"/>
      <c r="I106" s="3225"/>
    </row>
    <row r="107" spans="1:14" s="720" customFormat="1">
      <c r="A107" s="763" t="s">
        <v>248</v>
      </c>
      <c r="B107" s="3225" t="s">
        <v>784</v>
      </c>
      <c r="C107" s="3225"/>
      <c r="D107" s="3225"/>
      <c r="E107" s="3225"/>
      <c r="F107" s="3225"/>
      <c r="G107" s="3225"/>
      <c r="H107" s="3225"/>
      <c r="I107" s="3225"/>
      <c r="J107" s="2004"/>
    </row>
    <row r="108" spans="1:14" s="720" customFormat="1" ht="12.75" customHeight="1">
      <c r="A108" s="762" t="s">
        <v>273</v>
      </c>
      <c r="B108" s="3225" t="s">
        <v>783</v>
      </c>
      <c r="C108" s="3225"/>
      <c r="D108" s="3225"/>
      <c r="E108" s="3225"/>
      <c r="F108" s="3225"/>
      <c r="G108" s="3225"/>
      <c r="H108" s="3225"/>
      <c r="I108" s="3225"/>
      <c r="J108" s="2003"/>
    </row>
    <row r="109" spans="1:14" s="720" customFormat="1">
      <c r="A109" s="762" t="s">
        <v>274</v>
      </c>
      <c r="B109" s="3225" t="s">
        <v>2572</v>
      </c>
      <c r="C109" s="3225"/>
      <c r="D109" s="3225"/>
      <c r="E109" s="3225"/>
      <c r="F109" s="3225"/>
      <c r="G109" s="3225"/>
      <c r="H109" s="3225"/>
      <c r="I109" s="3225"/>
      <c r="J109" s="2003"/>
    </row>
    <row r="110" spans="1:14" s="720" customFormat="1">
      <c r="A110" s="762" t="s">
        <v>275</v>
      </c>
      <c r="B110" s="3225" t="s">
        <v>2573</v>
      </c>
      <c r="C110" s="3225"/>
      <c r="D110" s="3225"/>
      <c r="E110" s="3225"/>
      <c r="F110" s="3225"/>
      <c r="G110" s="3225"/>
      <c r="H110" s="3225"/>
      <c r="I110" s="3225"/>
      <c r="J110" s="2003"/>
    </row>
    <row r="111" spans="1:14" ht="26.25" customHeight="1">
      <c r="A111" s="763" t="s">
        <v>4025</v>
      </c>
      <c r="B111" s="3232" t="s">
        <v>4383</v>
      </c>
      <c r="C111" s="3232"/>
      <c r="D111" s="3232"/>
      <c r="E111" s="3232"/>
      <c r="F111" s="3232"/>
    </row>
  </sheetData>
  <mergeCells count="9">
    <mergeCell ref="B111:F111"/>
    <mergeCell ref="B109:I109"/>
    <mergeCell ref="B110:I110"/>
    <mergeCell ref="B103:J103"/>
    <mergeCell ref="B104:I104"/>
    <mergeCell ref="B105:I105"/>
    <mergeCell ref="B106:I106"/>
    <mergeCell ref="B107:I107"/>
    <mergeCell ref="B108:I108"/>
  </mergeCells>
  <conditionalFormatting sqref="B4:F4">
    <cfRule type="cellIs" dxfId="198" priority="1" stopIfTrue="1" operator="equal">
      <formula>"input"</formula>
    </cfRule>
  </conditionalFormatting>
  <pageMargins left="0.5" right="0.5" top="0.5" bottom="0.5" header="0.5" footer="0.5"/>
  <pageSetup scale="95" fitToWidth="0" fitToHeight="0" orientation="landscape" r:id="rId1"/>
  <rowBreaks count="2" manualBreakCount="2">
    <brk id="33" max="6" man="1"/>
    <brk id="71" max="6" man="1"/>
  </rowBreaks>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Sheet66"/>
  <dimension ref="A1:D18"/>
  <sheetViews>
    <sheetView showGridLines="0" view="pageBreakPreview" zoomScaleNormal="100" zoomScaleSheetLayoutView="100" workbookViewId="0">
      <selection activeCell="D31" sqref="D31"/>
    </sheetView>
  </sheetViews>
  <sheetFormatPr defaultRowHeight="12.75"/>
  <cols>
    <col min="1" max="1" width="4.5" customWidth="1"/>
    <col min="2" max="2" width="47.6640625" customWidth="1"/>
    <col min="3" max="3" width="103.1640625" customWidth="1"/>
    <col min="4" max="4" width="4.5" customWidth="1"/>
  </cols>
  <sheetData>
    <row r="1" spans="1:4" ht="13.5" thickBot="1">
      <c r="A1" s="2750"/>
      <c r="B1" s="2750"/>
      <c r="C1" s="2750"/>
      <c r="D1" s="2750"/>
    </row>
    <row r="2" spans="1:4" ht="16.5" thickTop="1">
      <c r="A2" s="2685"/>
      <c r="B2" s="10" t="str">
        <f>'MASTER PubCo Inputs'!$C$5</f>
        <v>Kallyope, Inc.</v>
      </c>
      <c r="C2" s="10"/>
      <c r="D2" s="2750"/>
    </row>
    <row r="3" spans="1:4" ht="15.75">
      <c r="A3" s="2685"/>
      <c r="B3" s="11" t="str">
        <f>VLOOKUP(B4,Outline!$E$8:$G$69,COLUMNS(Outline!$E$8:$G$8),FALSE)</f>
        <v>Workpaper #20</v>
      </c>
      <c r="C3" s="11"/>
      <c r="D3" s="2750"/>
    </row>
    <row r="4" spans="1:4" ht="16.5" thickBot="1">
      <c r="A4" s="2685"/>
      <c r="B4" s="12" t="s">
        <v>3035</v>
      </c>
      <c r="C4" s="13"/>
      <c r="D4" s="2750"/>
    </row>
    <row r="5" spans="1:4" ht="15" customHeight="1" thickTop="1">
      <c r="A5" s="2750"/>
      <c r="B5" s="2750"/>
      <c r="C5" s="2750"/>
      <c r="D5" s="2750"/>
    </row>
    <row r="6" spans="1:4" ht="15" customHeight="1">
      <c r="A6" s="2750"/>
      <c r="B6" s="2751" t="s">
        <v>3036</v>
      </c>
      <c r="C6" s="2752"/>
      <c r="D6" s="2750"/>
    </row>
    <row r="7" spans="1:4" ht="6" customHeight="1">
      <c r="A7" s="2750"/>
      <c r="B7" s="2750"/>
      <c r="C7" s="2750"/>
      <c r="D7" s="2750"/>
    </row>
    <row r="8" spans="1:4" ht="27" customHeight="1">
      <c r="A8" s="2750"/>
      <c r="B8" s="3272" t="s">
        <v>3037</v>
      </c>
      <c r="C8" s="3273"/>
      <c r="D8" s="2750"/>
    </row>
    <row r="9" spans="1:4" ht="27" customHeight="1">
      <c r="A9" s="2750"/>
      <c r="B9" s="2753"/>
      <c r="C9" s="2753"/>
      <c r="D9" s="2750"/>
    </row>
    <row r="10" spans="1:4" ht="15" customHeight="1">
      <c r="A10" s="2750"/>
      <c r="B10" s="2750"/>
      <c r="C10" s="2750"/>
      <c r="D10" s="2750"/>
    </row>
    <row r="11" spans="1:4" ht="15" customHeight="1">
      <c r="A11" s="2750"/>
      <c r="B11" s="2751" t="s">
        <v>3038</v>
      </c>
      <c r="C11" s="2752"/>
      <c r="D11" s="2750"/>
    </row>
    <row r="12" spans="1:4" ht="6" customHeight="1">
      <c r="A12" s="2750"/>
      <c r="B12" s="2750"/>
      <c r="C12" s="2750"/>
      <c r="D12" s="2750"/>
    </row>
    <row r="13" spans="1:4" ht="52.5" customHeight="1">
      <c r="A13" s="2750"/>
      <c r="B13" s="3272" t="s">
        <v>3039</v>
      </c>
      <c r="C13" s="3273"/>
      <c r="D13" s="2750"/>
    </row>
    <row r="14" spans="1:4" ht="15" customHeight="1">
      <c r="A14" s="2750"/>
      <c r="B14" s="2750"/>
      <c r="C14" s="2750"/>
      <c r="D14" s="2750"/>
    </row>
    <row r="15" spans="1:4" ht="15" customHeight="1">
      <c r="A15" s="2750"/>
      <c r="B15" s="2750"/>
      <c r="C15" s="2750"/>
      <c r="D15" s="2750"/>
    </row>
    <row r="16" spans="1:4" ht="15" customHeight="1">
      <c r="A16" s="2750"/>
      <c r="B16" s="2754" t="s">
        <v>86</v>
      </c>
      <c r="C16" s="2750"/>
      <c r="D16" s="2750"/>
    </row>
    <row r="17" spans="1:4" ht="26.25" customHeight="1">
      <c r="A17" s="2755" t="s">
        <v>210</v>
      </c>
      <c r="B17" s="3274" t="s">
        <v>3040</v>
      </c>
      <c r="C17" s="3274"/>
      <c r="D17" s="2750"/>
    </row>
    <row r="18" spans="1:4">
      <c r="A18" s="2755" t="s">
        <v>209</v>
      </c>
      <c r="B18" s="3275" t="s">
        <v>3041</v>
      </c>
      <c r="C18" s="3275"/>
      <c r="D18" s="2750"/>
    </row>
  </sheetData>
  <mergeCells count="4">
    <mergeCell ref="B8:C8"/>
    <mergeCell ref="B13:C13"/>
    <mergeCell ref="B17:C17"/>
    <mergeCell ref="B18:C18"/>
  </mergeCells>
  <conditionalFormatting sqref="C4">
    <cfRule type="cellIs" dxfId="197" priority="2" stopIfTrue="1" operator="equal">
      <formula>"input"</formula>
    </cfRule>
  </conditionalFormatting>
  <conditionalFormatting sqref="C4">
    <cfRule type="cellIs" dxfId="196" priority="3" stopIfTrue="1" operator="equal">
      <formula>"input"</formula>
    </cfRule>
  </conditionalFormatting>
  <conditionalFormatting sqref="B4">
    <cfRule type="cellIs" dxfId="195" priority="1" stopIfTrue="1" operator="equal">
      <formula>"input"</formula>
    </cfRule>
  </conditionalFormatting>
  <pageMargins left="0.5" right="0.5" top="0.5" bottom="0.5" header="0.5" footer="0.5"/>
  <pageSetup scale="95" orientation="landscape"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
  <sheetViews>
    <sheetView workbookViewId="0"/>
  </sheetViews>
  <sheetFormatPr defaultRowHeight="12.75"/>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3"/>
  <sheetViews>
    <sheetView workbookViewId="0">
      <selection activeCell="E44" sqref="A1:F173"/>
    </sheetView>
  </sheetViews>
  <sheetFormatPr defaultColWidth="14.6640625" defaultRowHeight="15.75"/>
  <cols>
    <col min="1" max="1" width="36.6640625" style="2985" bestFit="1" customWidth="1"/>
    <col min="2" max="2" width="27.33203125" style="2985" bestFit="1" customWidth="1"/>
    <col min="3" max="3" width="22.1640625" style="2985" customWidth="1"/>
    <col min="4" max="4" width="37.1640625" style="3001" customWidth="1"/>
    <col min="5" max="5" width="34.1640625" style="3001" customWidth="1"/>
    <col min="6" max="6" width="32.5" style="3001" bestFit="1" customWidth="1"/>
    <col min="7" max="16384" width="14.6640625" style="2985"/>
  </cols>
  <sheetData>
    <row r="1" spans="1:6">
      <c r="A1" s="2980" t="s">
        <v>3663</v>
      </c>
      <c r="B1" s="2981" t="s">
        <v>3664</v>
      </c>
      <c r="C1" s="2982" t="s">
        <v>3665</v>
      </c>
      <c r="D1" s="2983" t="s">
        <v>3666</v>
      </c>
      <c r="E1" s="2984" t="s">
        <v>2964</v>
      </c>
      <c r="F1" s="2983" t="s">
        <v>238</v>
      </c>
    </row>
    <row r="2" spans="1:6" hidden="1">
      <c r="A2" s="2986" t="s">
        <v>3667</v>
      </c>
      <c r="B2" s="2987" t="s">
        <v>3668</v>
      </c>
      <c r="C2" s="2988" t="s">
        <v>3669</v>
      </c>
      <c r="D2" s="2989">
        <v>5.0876316718389695E-3</v>
      </c>
      <c r="E2" s="2990">
        <v>5.7000000000000002E-3</v>
      </c>
      <c r="F2" s="2989">
        <v>5.6520148206016904E-2</v>
      </c>
    </row>
    <row r="3" spans="1:6" hidden="1">
      <c r="A3" s="2991" t="s">
        <v>3670</v>
      </c>
      <c r="B3" s="2992" t="s">
        <v>3671</v>
      </c>
      <c r="C3" s="2993" t="s">
        <v>3672</v>
      </c>
      <c r="D3" s="2994">
        <v>4.6158694622684474E-2</v>
      </c>
      <c r="E3" s="2995">
        <v>5.1900000000000002E-2</v>
      </c>
      <c r="F3" s="2994">
        <v>0.10269734463277155</v>
      </c>
    </row>
    <row r="4" spans="1:6" hidden="1">
      <c r="A4" s="2986" t="s">
        <v>3673</v>
      </c>
      <c r="B4" s="2987" t="s">
        <v>3674</v>
      </c>
      <c r="C4" s="2988" t="s">
        <v>3675</v>
      </c>
      <c r="D4" s="2989">
        <v>1.9518005141054957E-2</v>
      </c>
      <c r="E4" s="2990">
        <v>2.1899999999999999E-2</v>
      </c>
      <c r="F4" s="2989">
        <v>7.2744568572173943E-2</v>
      </c>
    </row>
    <row r="5" spans="1:6" hidden="1">
      <c r="A5" s="2991" t="s">
        <v>3676</v>
      </c>
      <c r="B5" s="2992" t="s">
        <v>3664</v>
      </c>
      <c r="C5" s="2993" t="s">
        <v>3677</v>
      </c>
      <c r="D5" s="2994">
        <v>5.6426460360395843E-2</v>
      </c>
      <c r="E5" s="2995">
        <v>6.3399999999999998E-2</v>
      </c>
      <c r="F5" s="2994">
        <v>0.11424164373946019</v>
      </c>
    </row>
    <row r="6" spans="1:6" hidden="1">
      <c r="A6" s="2986" t="s">
        <v>3678</v>
      </c>
      <c r="B6" s="2987" t="s">
        <v>3679</v>
      </c>
      <c r="C6" s="2988" t="s">
        <v>3677</v>
      </c>
      <c r="D6" s="2989">
        <v>5.6426460360395843E-2</v>
      </c>
      <c r="E6" s="2990">
        <v>6.3399999999999998E-2</v>
      </c>
      <c r="F6" s="2989">
        <v>0.11424164373946019</v>
      </c>
    </row>
    <row r="7" spans="1:6" hidden="1">
      <c r="A7" s="2991" t="s">
        <v>3680</v>
      </c>
      <c r="B7" s="2992" t="s">
        <v>3671</v>
      </c>
      <c r="C7" s="2993" t="s">
        <v>3672</v>
      </c>
      <c r="D7" s="2994">
        <v>4.6158694622684474E-2</v>
      </c>
      <c r="E7" s="2995">
        <v>5.1900000000000002E-2</v>
      </c>
      <c r="F7" s="2994">
        <v>0.10269734463277155</v>
      </c>
    </row>
    <row r="8" spans="1:6" hidden="1">
      <c r="A8" s="2986" t="s">
        <v>3681</v>
      </c>
      <c r="B8" s="2987" t="s">
        <v>3682</v>
      </c>
      <c r="C8" s="2988" t="s">
        <v>3683</v>
      </c>
      <c r="D8" s="2989">
        <v>1.637292374391814E-2</v>
      </c>
      <c r="E8" s="2990">
        <v>1.84E-2</v>
      </c>
      <c r="F8" s="2989">
        <v>6.9208476953908943E-2</v>
      </c>
    </row>
    <row r="9" spans="1:6" hidden="1">
      <c r="A9" s="2991" t="s">
        <v>3684</v>
      </c>
      <c r="B9" s="2992" t="s">
        <v>3685</v>
      </c>
      <c r="C9" s="2993" t="s">
        <v>3686</v>
      </c>
      <c r="D9" s="2994">
        <v>0</v>
      </c>
      <c r="E9" s="2995">
        <v>0</v>
      </c>
      <c r="F9" s="2994">
        <v>5.0799999999999998E-2</v>
      </c>
    </row>
    <row r="10" spans="1:6" hidden="1">
      <c r="A10" s="2986" t="s">
        <v>3687</v>
      </c>
      <c r="B10" s="2987" t="s">
        <v>3674</v>
      </c>
      <c r="C10" s="2988" t="s">
        <v>3688</v>
      </c>
      <c r="D10" s="2989">
        <v>4.0701053374711752E-3</v>
      </c>
      <c r="E10" s="2990">
        <v>4.5999999999999999E-3</v>
      </c>
      <c r="F10" s="2989">
        <v>5.5376118564813517E-2</v>
      </c>
    </row>
    <row r="11" spans="1:6" hidden="1">
      <c r="A11" s="2991" t="s">
        <v>3689</v>
      </c>
      <c r="B11" s="2992" t="s">
        <v>3671</v>
      </c>
      <c r="C11" s="2993" t="s">
        <v>3690</v>
      </c>
      <c r="D11" s="2994">
        <v>3.0803297213134125E-2</v>
      </c>
      <c r="E11" s="2995">
        <v>3.4599999999999999E-2</v>
      </c>
      <c r="F11" s="2994">
        <v>8.5432897320065981E-2</v>
      </c>
    </row>
    <row r="12" spans="1:6" hidden="1">
      <c r="A12" s="2986" t="s">
        <v>3691</v>
      </c>
      <c r="B12" s="2987" t="s">
        <v>3682</v>
      </c>
      <c r="C12" s="2988" t="s">
        <v>3692</v>
      </c>
      <c r="D12" s="2989">
        <v>2.2570584144158336E-2</v>
      </c>
      <c r="E12" s="2990">
        <v>2.5399999999999999E-2</v>
      </c>
      <c r="F12" s="2989">
        <v>7.6176657495784075E-2</v>
      </c>
    </row>
    <row r="13" spans="1:6" hidden="1">
      <c r="A13" s="2991" t="s">
        <v>3693</v>
      </c>
      <c r="B13" s="2992" t="s">
        <v>3668</v>
      </c>
      <c r="C13" s="2993" t="s">
        <v>3672</v>
      </c>
      <c r="D13" s="2994">
        <v>4.6158694622684474E-2</v>
      </c>
      <c r="E13" s="2995">
        <v>5.1900000000000002E-2</v>
      </c>
      <c r="F13" s="2994">
        <v>0.10269734463277155</v>
      </c>
    </row>
    <row r="14" spans="1:6" hidden="1">
      <c r="A14" s="2986" t="s">
        <v>3694</v>
      </c>
      <c r="B14" s="2987" t="s">
        <v>3695</v>
      </c>
      <c r="C14" s="2988" t="s">
        <v>3696</v>
      </c>
      <c r="D14" s="2989">
        <v>3.6908455219340892E-2</v>
      </c>
      <c r="E14" s="2990">
        <v>4.1500000000000002E-2</v>
      </c>
      <c r="F14" s="2989">
        <v>9.2297075167286274E-2</v>
      </c>
    </row>
    <row r="15" spans="1:6" hidden="1">
      <c r="A15" s="2991" t="s">
        <v>3697</v>
      </c>
      <c r="B15" s="2992" t="s">
        <v>3682</v>
      </c>
      <c r="C15" s="2993" t="s">
        <v>3698</v>
      </c>
      <c r="D15" s="2994">
        <v>0.10249265258904688</v>
      </c>
      <c r="E15" s="2995">
        <v>0.1152</v>
      </c>
      <c r="F15" s="2994">
        <v>0.16603498567757691</v>
      </c>
    </row>
    <row r="16" spans="1:6" hidden="1">
      <c r="A16" s="2986" t="s">
        <v>3699</v>
      </c>
      <c r="B16" s="2987" t="s">
        <v>3671</v>
      </c>
      <c r="C16" s="2988" t="s">
        <v>3700</v>
      </c>
      <c r="D16" s="2989">
        <v>7.6869489441785163E-2</v>
      </c>
      <c r="E16" s="2990">
        <v>8.6400000000000005E-2</v>
      </c>
      <c r="F16" s="2989">
        <v>0.13722623925818267</v>
      </c>
    </row>
    <row r="17" spans="1:6" hidden="1">
      <c r="A17" s="2991" t="s">
        <v>3701</v>
      </c>
      <c r="B17" s="2992" t="s">
        <v>3674</v>
      </c>
      <c r="C17" s="2993" t="s">
        <v>3702</v>
      </c>
      <c r="D17" s="2994">
        <v>6.1976604002401993E-3</v>
      </c>
      <c r="E17" s="2995">
        <v>7.0000000000000001E-3</v>
      </c>
      <c r="F17" s="2994">
        <v>5.7768180541875137E-2</v>
      </c>
    </row>
    <row r="18" spans="1:6" hidden="1">
      <c r="A18" s="2986" t="s">
        <v>3703</v>
      </c>
      <c r="B18" s="2987" t="s">
        <v>3679</v>
      </c>
      <c r="C18" s="2988" t="s">
        <v>3704</v>
      </c>
      <c r="D18" s="2989">
        <v>6.6694226098107226E-2</v>
      </c>
      <c r="E18" s="2990">
        <v>7.4999999999999997E-2</v>
      </c>
      <c r="F18" s="2989">
        <v>0.12578594284614886</v>
      </c>
    </row>
    <row r="19" spans="1:6" hidden="1">
      <c r="A19" s="2991" t="s">
        <v>3705</v>
      </c>
      <c r="B19" s="2992" t="s">
        <v>3682</v>
      </c>
      <c r="C19" s="2993" t="s">
        <v>3706</v>
      </c>
      <c r="D19" s="2994">
        <v>8.6952250391429675E-3</v>
      </c>
      <c r="E19" s="2995">
        <v>9.7999999999999997E-3</v>
      </c>
      <c r="F19" s="2994">
        <v>6.0576253297556164E-2</v>
      </c>
    </row>
    <row r="20" spans="1:6" hidden="1">
      <c r="A20" s="2986" t="s">
        <v>3707</v>
      </c>
      <c r="B20" s="2987" t="s">
        <v>3679</v>
      </c>
      <c r="C20" s="2988" t="s">
        <v>3696</v>
      </c>
      <c r="D20" s="2989">
        <v>3.6908455219340892E-2</v>
      </c>
      <c r="E20" s="2990">
        <v>4.1500000000000002E-2</v>
      </c>
      <c r="F20" s="2989">
        <v>9.2297075167286274E-2</v>
      </c>
    </row>
    <row r="21" spans="1:6" hidden="1">
      <c r="A21" s="2991" t="s">
        <v>3708</v>
      </c>
      <c r="B21" s="2992" t="s">
        <v>3671</v>
      </c>
      <c r="C21" s="2993" t="s">
        <v>3704</v>
      </c>
      <c r="D21" s="2994">
        <v>6.6694226098107226E-2</v>
      </c>
      <c r="E21" s="2995">
        <v>7.4999999999999997E-2</v>
      </c>
      <c r="F21" s="2994">
        <v>0.12578594284614886</v>
      </c>
    </row>
    <row r="22" spans="1:6" hidden="1">
      <c r="A22" s="2986" t="s">
        <v>3709</v>
      </c>
      <c r="B22" s="2987" t="s">
        <v>3664</v>
      </c>
      <c r="C22" s="2988" t="s">
        <v>3706</v>
      </c>
      <c r="D22" s="2989">
        <v>8.6952250391429675E-3</v>
      </c>
      <c r="E22" s="2990">
        <v>9.7999999999999997E-3</v>
      </c>
      <c r="F22" s="2989">
        <v>6.0576253297556164E-2</v>
      </c>
    </row>
    <row r="23" spans="1:6" hidden="1">
      <c r="A23" s="2991" t="s">
        <v>3151</v>
      </c>
      <c r="B23" s="2992" t="s">
        <v>3679</v>
      </c>
      <c r="C23" s="2993" t="s">
        <v>3690</v>
      </c>
      <c r="D23" s="2994">
        <v>3.0803297213134125E-2</v>
      </c>
      <c r="E23" s="2995">
        <v>3.4599999999999999E-2</v>
      </c>
      <c r="F23" s="2994">
        <v>8.5432897320065981E-2</v>
      </c>
    </row>
    <row r="24" spans="1:6" hidden="1">
      <c r="A24" s="2986" t="s">
        <v>3710</v>
      </c>
      <c r="B24" s="2987" t="s">
        <v>3671</v>
      </c>
      <c r="C24" s="2988" t="s">
        <v>3675</v>
      </c>
      <c r="D24" s="2989">
        <v>1.9518005141054957E-2</v>
      </c>
      <c r="E24" s="2990">
        <v>2.1899999999999999E-2</v>
      </c>
      <c r="F24" s="2989">
        <v>7.2744568572173943E-2</v>
      </c>
    </row>
    <row r="25" spans="1:6" hidden="1">
      <c r="A25" s="2991" t="s">
        <v>3711</v>
      </c>
      <c r="B25" s="2992" t="s">
        <v>3664</v>
      </c>
      <c r="C25" s="2993" t="s">
        <v>3677</v>
      </c>
      <c r="D25" s="2994">
        <v>5.6426460360395843E-2</v>
      </c>
      <c r="E25" s="2995">
        <v>6.3399999999999998E-2</v>
      </c>
      <c r="F25" s="2994">
        <v>0.11424164373946019</v>
      </c>
    </row>
    <row r="26" spans="1:6" hidden="1">
      <c r="A26" s="2986" t="s">
        <v>3712</v>
      </c>
      <c r="B26" s="2987" t="s">
        <v>3695</v>
      </c>
      <c r="C26" s="2988" t="s">
        <v>3677</v>
      </c>
      <c r="D26" s="2989">
        <v>5.6426460360395843E-2</v>
      </c>
      <c r="E26" s="2990">
        <v>6.3399999999999998E-2</v>
      </c>
      <c r="F26" s="2989">
        <v>0.11424164373946019</v>
      </c>
    </row>
    <row r="27" spans="1:6" hidden="1">
      <c r="A27" s="2991" t="s">
        <v>3713</v>
      </c>
      <c r="B27" s="2992" t="s">
        <v>3664</v>
      </c>
      <c r="C27" s="2993" t="s">
        <v>3677</v>
      </c>
      <c r="D27" s="2994">
        <v>5.6426460360395843E-2</v>
      </c>
      <c r="E27" s="2995">
        <v>6.3399999999999998E-2</v>
      </c>
      <c r="F27" s="2994">
        <v>0.11424164373946019</v>
      </c>
    </row>
    <row r="28" spans="1:6" hidden="1">
      <c r="A28" s="2986" t="s">
        <v>3150</v>
      </c>
      <c r="B28" s="2987" t="s">
        <v>3714</v>
      </c>
      <c r="C28" s="2988" t="s">
        <v>3686</v>
      </c>
      <c r="D28" s="2989">
        <v>0</v>
      </c>
      <c r="E28" s="2990">
        <v>0</v>
      </c>
      <c r="F28" s="2989">
        <v>5.0799999999999998E-2</v>
      </c>
    </row>
    <row r="29" spans="1:6" hidden="1">
      <c r="A29" s="2991" t="s">
        <v>3715</v>
      </c>
      <c r="B29" s="2992" t="s">
        <v>3682</v>
      </c>
      <c r="C29" s="2993" t="s">
        <v>3702</v>
      </c>
      <c r="D29" s="2994">
        <v>6.1976604002401993E-3</v>
      </c>
      <c r="E29" s="2995">
        <v>7.0000000000000001E-3</v>
      </c>
      <c r="F29" s="2994">
        <v>5.7768180541875137E-2</v>
      </c>
    </row>
    <row r="30" spans="1:6" hidden="1">
      <c r="A30" s="2986" t="s">
        <v>3716</v>
      </c>
      <c r="B30" s="2987" t="s">
        <v>3664</v>
      </c>
      <c r="C30" s="2988" t="s">
        <v>3677</v>
      </c>
      <c r="D30" s="2989">
        <v>5.6426460360395843E-2</v>
      </c>
      <c r="E30" s="2990">
        <v>6.3399999999999998E-2</v>
      </c>
      <c r="F30" s="2989">
        <v>0.11424164373946019</v>
      </c>
    </row>
    <row r="31" spans="1:6" hidden="1">
      <c r="A31" s="2991" t="s">
        <v>3717</v>
      </c>
      <c r="B31" s="2992" t="s">
        <v>3679</v>
      </c>
      <c r="C31" s="2993" t="s">
        <v>3702</v>
      </c>
      <c r="D31" s="2994">
        <v>6.1976604002401993E-3</v>
      </c>
      <c r="E31" s="2995">
        <v>7.0000000000000001E-3</v>
      </c>
      <c r="F31" s="2994">
        <v>5.7768180541875137E-2</v>
      </c>
    </row>
    <row r="32" spans="1:6" hidden="1">
      <c r="A32" s="2986" t="s">
        <v>3177</v>
      </c>
      <c r="B32" s="2987" t="s">
        <v>3695</v>
      </c>
      <c r="C32" s="2988" t="s">
        <v>3718</v>
      </c>
      <c r="D32" s="2989">
        <v>7.2151867346079935E-3</v>
      </c>
      <c r="E32" s="2990">
        <v>8.0999999999999996E-3</v>
      </c>
      <c r="F32" s="2989">
        <v>5.8912210183078517E-2</v>
      </c>
    </row>
    <row r="33" spans="1:6" hidden="1">
      <c r="A33" s="2991" t="s">
        <v>3719</v>
      </c>
      <c r="B33" s="2992" t="s">
        <v>3679</v>
      </c>
      <c r="C33" s="2993" t="s">
        <v>3675</v>
      </c>
      <c r="D33" s="2994">
        <v>1.9518005141054957E-2</v>
      </c>
      <c r="E33" s="2995">
        <v>2.1899999999999999E-2</v>
      </c>
      <c r="F33" s="2994">
        <v>7.2744568572173943E-2</v>
      </c>
    </row>
    <row r="34" spans="1:6" hidden="1">
      <c r="A34" s="2986" t="s">
        <v>3720</v>
      </c>
      <c r="B34" s="2987" t="s">
        <v>3664</v>
      </c>
      <c r="C34" s="2988" t="s">
        <v>3704</v>
      </c>
      <c r="D34" s="2989">
        <v>6.6694226098107226E-2</v>
      </c>
      <c r="E34" s="2990">
        <v>7.4999999999999997E-2</v>
      </c>
      <c r="F34" s="2989">
        <v>0.12578594284614886</v>
      </c>
    </row>
    <row r="35" spans="1:6" hidden="1">
      <c r="A35" s="2991" t="s">
        <v>3721</v>
      </c>
      <c r="B35" s="2992" t="s">
        <v>3664</v>
      </c>
      <c r="C35" s="2993" t="s">
        <v>3722</v>
      </c>
      <c r="D35" s="2994">
        <v>9.2317389245368947E-2</v>
      </c>
      <c r="E35" s="2995">
        <v>0.1038</v>
      </c>
      <c r="F35" s="2994">
        <v>0.15459468926554309</v>
      </c>
    </row>
    <row r="36" spans="1:6" hidden="1">
      <c r="A36" s="2986" t="s">
        <v>3723</v>
      </c>
      <c r="B36" s="2987" t="s">
        <v>3685</v>
      </c>
      <c r="C36" s="2988" t="s">
        <v>3672</v>
      </c>
      <c r="D36" s="2989">
        <v>4.6158694622684474E-2</v>
      </c>
      <c r="E36" s="2990">
        <v>5.1900000000000002E-2</v>
      </c>
      <c r="F36" s="2989">
        <v>0.10269734463277155</v>
      </c>
    </row>
    <row r="37" spans="1:6" hidden="1">
      <c r="A37" s="2991" t="s">
        <v>3724</v>
      </c>
      <c r="B37" s="2992" t="s">
        <v>3679</v>
      </c>
      <c r="C37" s="2993" t="s">
        <v>3690</v>
      </c>
      <c r="D37" s="2994">
        <v>3.0803297213134125E-2</v>
      </c>
      <c r="E37" s="2995">
        <v>3.4599999999999999E-2</v>
      </c>
      <c r="F37" s="2994">
        <v>8.5432897320065981E-2</v>
      </c>
    </row>
    <row r="38" spans="1:6" hidden="1">
      <c r="A38" s="2986" t="s">
        <v>3725</v>
      </c>
      <c r="B38" s="2987" t="s">
        <v>3664</v>
      </c>
      <c r="C38" s="2988" t="s">
        <v>3696</v>
      </c>
      <c r="D38" s="2989">
        <v>3.6908455219340892E-2</v>
      </c>
      <c r="E38" s="2990">
        <v>4.1500000000000002E-2</v>
      </c>
      <c r="F38" s="2989">
        <v>9.2297075167286274E-2</v>
      </c>
    </row>
    <row r="39" spans="1:6" hidden="1">
      <c r="A39" s="2991" t="s">
        <v>3726</v>
      </c>
      <c r="B39" s="2992" t="s">
        <v>3671</v>
      </c>
      <c r="C39" s="2993" t="s">
        <v>3690</v>
      </c>
      <c r="D39" s="2994">
        <v>3.0803297213134125E-2</v>
      </c>
      <c r="E39" s="2995">
        <v>3.4599999999999999E-2</v>
      </c>
      <c r="F39" s="2994">
        <v>8.5432897320065981E-2</v>
      </c>
    </row>
    <row r="40" spans="1:6" hidden="1">
      <c r="A40" s="2986" t="s">
        <v>3727</v>
      </c>
      <c r="B40" s="2987" t="s">
        <v>3682</v>
      </c>
      <c r="C40" s="2988" t="s">
        <v>3722</v>
      </c>
      <c r="D40" s="2989">
        <v>9.2317389245368947E-2</v>
      </c>
      <c r="E40" s="2990">
        <v>0.1038</v>
      </c>
      <c r="F40" s="2989">
        <v>0.15459468926554309</v>
      </c>
    </row>
    <row r="41" spans="1:6" hidden="1">
      <c r="A41" s="2991" t="s">
        <v>3728</v>
      </c>
      <c r="B41" s="2992" t="s">
        <v>3682</v>
      </c>
      <c r="C41" s="2993" t="s">
        <v>3729</v>
      </c>
      <c r="D41" s="2994">
        <v>1.2302818406446965E-2</v>
      </c>
      <c r="E41" s="2995">
        <v>1.38E-2</v>
      </c>
      <c r="F41" s="2994">
        <v>6.4632358389095423E-2</v>
      </c>
    </row>
    <row r="42" spans="1:6" hidden="1">
      <c r="A42" s="2986" t="s">
        <v>3730</v>
      </c>
      <c r="B42" s="2987" t="s">
        <v>3674</v>
      </c>
      <c r="C42" s="2988" t="s">
        <v>3696</v>
      </c>
      <c r="D42" s="2989">
        <v>3.6908455219340892E-2</v>
      </c>
      <c r="E42" s="2990">
        <v>4.1500000000000002E-2</v>
      </c>
      <c r="F42" s="2989">
        <v>9.2297075167286274E-2</v>
      </c>
    </row>
    <row r="43" spans="1:6" hidden="1">
      <c r="A43" s="2991" t="s">
        <v>3731</v>
      </c>
      <c r="B43" s="2992" t="s">
        <v>3671</v>
      </c>
      <c r="C43" s="2993" t="s">
        <v>3718</v>
      </c>
      <c r="D43" s="2994">
        <v>7.2151867346079935E-3</v>
      </c>
      <c r="E43" s="2995">
        <v>8.0999999999999996E-3</v>
      </c>
      <c r="F43" s="2994">
        <v>5.8912210183078517E-2</v>
      </c>
    </row>
    <row r="44" spans="1:6">
      <c r="A44" s="2986" t="s">
        <v>3732</v>
      </c>
      <c r="B44" s="2987" t="s">
        <v>3674</v>
      </c>
      <c r="C44" s="2988" t="s">
        <v>3686</v>
      </c>
      <c r="D44" s="2989">
        <v>0</v>
      </c>
      <c r="E44" s="2990">
        <v>0</v>
      </c>
      <c r="F44" s="2989">
        <v>5.0799999999999998E-2</v>
      </c>
    </row>
    <row r="45" spans="1:6" hidden="1">
      <c r="A45" s="2991" t="s">
        <v>3733</v>
      </c>
      <c r="B45" s="2992" t="s">
        <v>3682</v>
      </c>
      <c r="C45" s="2993" t="s">
        <v>3696</v>
      </c>
      <c r="D45" s="2994">
        <v>3.6908455219340892E-2</v>
      </c>
      <c r="E45" s="2995">
        <v>4.1500000000000002E-2</v>
      </c>
      <c r="F45" s="2994">
        <v>9.2297075167286274E-2</v>
      </c>
    </row>
    <row r="46" spans="1:6" hidden="1">
      <c r="A46" s="2986" t="s">
        <v>3734</v>
      </c>
      <c r="B46" s="2987" t="s">
        <v>3679</v>
      </c>
      <c r="C46" s="2988" t="s">
        <v>3704</v>
      </c>
      <c r="D46" s="2989">
        <v>6.6694226098107226E-2</v>
      </c>
      <c r="E46" s="2990">
        <v>7.4999999999999997E-2</v>
      </c>
      <c r="F46" s="2989">
        <v>0.12578594284614886</v>
      </c>
    </row>
    <row r="47" spans="1:6" hidden="1">
      <c r="A47" s="2991" t="s">
        <v>3735</v>
      </c>
      <c r="B47" s="2992" t="s">
        <v>3664</v>
      </c>
      <c r="C47" s="2993" t="s">
        <v>3704</v>
      </c>
      <c r="D47" s="2994">
        <v>6.6694226098107226E-2</v>
      </c>
      <c r="E47" s="2995">
        <v>7.4999999999999997E-2</v>
      </c>
      <c r="F47" s="2994">
        <v>0.12578594284614886</v>
      </c>
    </row>
    <row r="48" spans="1:6" hidden="1">
      <c r="A48" s="2986" t="s">
        <v>3736</v>
      </c>
      <c r="B48" s="2987" t="s">
        <v>3679</v>
      </c>
      <c r="C48" s="2988" t="s">
        <v>3700</v>
      </c>
      <c r="D48" s="2989">
        <v>7.6869489441785163E-2</v>
      </c>
      <c r="E48" s="2990">
        <v>8.6400000000000005E-2</v>
      </c>
      <c r="F48" s="2989">
        <v>0.13722623925818267</v>
      </c>
    </row>
    <row r="49" spans="1:6" hidden="1">
      <c r="A49" s="2991" t="s">
        <v>3737</v>
      </c>
      <c r="B49" s="2992" t="s">
        <v>3671</v>
      </c>
      <c r="C49" s="2993" t="s">
        <v>3718</v>
      </c>
      <c r="D49" s="2994">
        <v>7.2151867346079935E-3</v>
      </c>
      <c r="E49" s="2995">
        <v>8.0999999999999996E-3</v>
      </c>
      <c r="F49" s="2994">
        <v>5.8912210183078517E-2</v>
      </c>
    </row>
    <row r="50" spans="1:6" hidden="1">
      <c r="A50" s="2986" t="s">
        <v>3738</v>
      </c>
      <c r="B50" s="2987" t="s">
        <v>3664</v>
      </c>
      <c r="C50" s="2988" t="s">
        <v>3672</v>
      </c>
      <c r="D50" s="2989">
        <v>4.6158694622684474E-2</v>
      </c>
      <c r="E50" s="2990">
        <v>5.1900000000000002E-2</v>
      </c>
      <c r="F50" s="2989">
        <v>0.10269734463277155</v>
      </c>
    </row>
    <row r="51" spans="1:6" hidden="1">
      <c r="A51" s="2991" t="s">
        <v>3739</v>
      </c>
      <c r="B51" s="2992" t="s">
        <v>3695</v>
      </c>
      <c r="C51" s="2993" t="s">
        <v>3696</v>
      </c>
      <c r="D51" s="2994">
        <v>3.6908455219340892E-2</v>
      </c>
      <c r="E51" s="2995">
        <v>4.1500000000000002E-2</v>
      </c>
      <c r="F51" s="2994">
        <v>9.2297075167286274E-2</v>
      </c>
    </row>
    <row r="52" spans="1:6" hidden="1">
      <c r="A52" s="2986" t="s">
        <v>3740</v>
      </c>
      <c r="B52" s="2987" t="s">
        <v>3674</v>
      </c>
      <c r="C52" s="2988" t="s">
        <v>3688</v>
      </c>
      <c r="D52" s="2989">
        <v>4.0701053374711752E-3</v>
      </c>
      <c r="E52" s="2990">
        <v>4.5999999999999999E-3</v>
      </c>
      <c r="F52" s="2989">
        <v>5.5376118564813517E-2</v>
      </c>
    </row>
    <row r="53" spans="1:6" hidden="1">
      <c r="A53" s="2991" t="s">
        <v>3154</v>
      </c>
      <c r="B53" s="2992" t="s">
        <v>3674</v>
      </c>
      <c r="C53" s="2993" t="s">
        <v>3669</v>
      </c>
      <c r="D53" s="2994">
        <v>5.0876316718389695E-3</v>
      </c>
      <c r="E53" s="2995">
        <v>5.7000000000000002E-3</v>
      </c>
      <c r="F53" s="2994">
        <v>5.6520148206016904E-2</v>
      </c>
    </row>
    <row r="54" spans="1:6" hidden="1">
      <c r="A54" s="2986" t="s">
        <v>3741</v>
      </c>
      <c r="B54" s="2987" t="s">
        <v>3664</v>
      </c>
      <c r="C54" s="2988" t="s">
        <v>3704</v>
      </c>
      <c r="D54" s="2989">
        <v>6.6694226098107226E-2</v>
      </c>
      <c r="E54" s="2990">
        <v>7.4999999999999997E-2</v>
      </c>
      <c r="F54" s="2989">
        <v>0.12578594284614886</v>
      </c>
    </row>
    <row r="55" spans="1:6" hidden="1">
      <c r="A55" s="2991" t="s">
        <v>3742</v>
      </c>
      <c r="B55" s="2992" t="s">
        <v>3671</v>
      </c>
      <c r="C55" s="2993" t="s">
        <v>3690</v>
      </c>
      <c r="D55" s="2994">
        <v>3.0803297213134125E-2</v>
      </c>
      <c r="E55" s="2995">
        <v>3.4599999999999999E-2</v>
      </c>
      <c r="F55" s="2994">
        <v>8.5432897320065981E-2</v>
      </c>
    </row>
    <row r="56" spans="1:6" hidden="1">
      <c r="A56" s="2986" t="s">
        <v>3155</v>
      </c>
      <c r="B56" s="2987" t="s">
        <v>3674</v>
      </c>
      <c r="C56" s="2988" t="s">
        <v>3686</v>
      </c>
      <c r="D56" s="2989">
        <v>0</v>
      </c>
      <c r="E56" s="2990">
        <v>0</v>
      </c>
      <c r="F56" s="2989">
        <v>5.0799999999999998E-2</v>
      </c>
    </row>
    <row r="57" spans="1:6" hidden="1">
      <c r="A57" s="2991" t="s">
        <v>3743</v>
      </c>
      <c r="B57" s="2992" t="s">
        <v>3664</v>
      </c>
      <c r="C57" s="2993" t="s">
        <v>3704</v>
      </c>
      <c r="D57" s="2994">
        <v>6.6694226098107226E-2</v>
      </c>
      <c r="E57" s="2995">
        <v>7.4999999999999997E-2</v>
      </c>
      <c r="F57" s="2994">
        <v>0.12578594284614886</v>
      </c>
    </row>
    <row r="58" spans="1:6" hidden="1">
      <c r="A58" s="2986" t="s">
        <v>3744</v>
      </c>
      <c r="B58" s="2987" t="s">
        <v>3674</v>
      </c>
      <c r="C58" s="2988" t="s">
        <v>3722</v>
      </c>
      <c r="D58" s="2989">
        <v>9.2317389245368947E-2</v>
      </c>
      <c r="E58" s="2990">
        <v>0.1038</v>
      </c>
      <c r="F58" s="2989">
        <v>0.15459468926554309</v>
      </c>
    </row>
    <row r="59" spans="1:6" hidden="1">
      <c r="A59" s="2991" t="s">
        <v>3745</v>
      </c>
      <c r="B59" s="2992" t="s">
        <v>3679</v>
      </c>
      <c r="C59" s="2993" t="s">
        <v>3746</v>
      </c>
      <c r="D59" s="2994">
        <v>2.5623163147261721E-2</v>
      </c>
      <c r="E59" s="2995">
        <v>2.8799999999999999E-2</v>
      </c>
      <c r="F59" s="2994">
        <v>7.9608746419394222E-2</v>
      </c>
    </row>
    <row r="60" spans="1:6" hidden="1">
      <c r="A60" s="2986" t="s">
        <v>3747</v>
      </c>
      <c r="B60" s="2987" t="s">
        <v>3674</v>
      </c>
      <c r="C60" s="2988" t="s">
        <v>3702</v>
      </c>
      <c r="D60" s="2989">
        <v>6.1976604002401993E-3</v>
      </c>
      <c r="E60" s="2990">
        <v>7.0000000000000001E-3</v>
      </c>
      <c r="F60" s="2989">
        <v>5.7768180541875137E-2</v>
      </c>
    </row>
    <row r="61" spans="1:6" hidden="1">
      <c r="A61" s="2991" t="s">
        <v>3748</v>
      </c>
      <c r="B61" s="2992" t="s">
        <v>3679</v>
      </c>
      <c r="C61" s="2993" t="s">
        <v>3672</v>
      </c>
      <c r="D61" s="2994">
        <v>4.6158694622684474E-2</v>
      </c>
      <c r="E61" s="2995">
        <v>5.1900000000000002E-2</v>
      </c>
      <c r="F61" s="2994">
        <v>0.10269734463277155</v>
      </c>
    </row>
    <row r="62" spans="1:6" hidden="1">
      <c r="A62" s="2986" t="s">
        <v>3749</v>
      </c>
      <c r="B62" s="2987" t="s">
        <v>3695</v>
      </c>
      <c r="C62" s="2988" t="s">
        <v>3669</v>
      </c>
      <c r="D62" s="2989">
        <v>5.0876316718389695E-3</v>
      </c>
      <c r="E62" s="2990">
        <v>5.7000000000000002E-3</v>
      </c>
      <c r="F62" s="2989">
        <v>5.6520148206016904E-2</v>
      </c>
    </row>
    <row r="63" spans="1:6" hidden="1">
      <c r="A63" s="2991" t="s">
        <v>3750</v>
      </c>
      <c r="B63" s="2992" t="s">
        <v>3671</v>
      </c>
      <c r="C63" s="2993" t="s">
        <v>3692</v>
      </c>
      <c r="D63" s="2994">
        <v>2.2570584144158336E-2</v>
      </c>
      <c r="E63" s="2995">
        <v>2.5399999999999999E-2</v>
      </c>
      <c r="F63" s="2994">
        <v>7.6176657495784075E-2</v>
      </c>
    </row>
    <row r="64" spans="1:6" hidden="1">
      <c r="A64" s="2986" t="s">
        <v>3751</v>
      </c>
      <c r="B64" s="2987" t="s">
        <v>3674</v>
      </c>
      <c r="C64" s="2988" t="s">
        <v>3729</v>
      </c>
      <c r="D64" s="2989">
        <v>1.2302818406446965E-2</v>
      </c>
      <c r="E64" s="2990">
        <v>1.38E-2</v>
      </c>
      <c r="F64" s="2989">
        <v>6.4632358389095423E-2</v>
      </c>
    </row>
    <row r="65" spans="1:6" hidden="1">
      <c r="A65" s="2991" t="s">
        <v>3178</v>
      </c>
      <c r="B65" s="2992" t="s">
        <v>3695</v>
      </c>
      <c r="C65" s="2993" t="s">
        <v>3675</v>
      </c>
      <c r="D65" s="2994">
        <v>1.9518005141054957E-2</v>
      </c>
      <c r="E65" s="2995">
        <v>2.1899999999999999E-2</v>
      </c>
      <c r="F65" s="2994">
        <v>7.2744568572173943E-2</v>
      </c>
    </row>
    <row r="66" spans="1:6" hidden="1">
      <c r="A66" s="2986" t="s">
        <v>3752</v>
      </c>
      <c r="B66" s="2987" t="s">
        <v>3695</v>
      </c>
      <c r="C66" s="2988" t="s">
        <v>3692</v>
      </c>
      <c r="D66" s="2989">
        <v>2.2570584144158336E-2</v>
      </c>
      <c r="E66" s="2990">
        <v>2.5399999999999999E-2</v>
      </c>
      <c r="F66" s="2989">
        <v>7.6176657495784075E-2</v>
      </c>
    </row>
    <row r="67" spans="1:6" hidden="1">
      <c r="A67" s="2991" t="s">
        <v>3753</v>
      </c>
      <c r="B67" s="2992" t="s">
        <v>3668</v>
      </c>
      <c r="C67" s="2993" t="s">
        <v>3700</v>
      </c>
      <c r="D67" s="2994">
        <v>7.6869489441785163E-2</v>
      </c>
      <c r="E67" s="2995">
        <v>8.6400000000000005E-2</v>
      </c>
      <c r="F67" s="2994">
        <v>0.13722623925818267</v>
      </c>
    </row>
    <row r="68" spans="1:6" hidden="1">
      <c r="A68" s="2986" t="s">
        <v>3754</v>
      </c>
      <c r="B68" s="2987" t="s">
        <v>3674</v>
      </c>
      <c r="C68" s="2988" t="s">
        <v>3706</v>
      </c>
      <c r="D68" s="2989">
        <v>8.6952250391429675E-3</v>
      </c>
      <c r="E68" s="2990">
        <v>9.7999999999999997E-3</v>
      </c>
      <c r="F68" s="2989">
        <v>6.0576253297556164E-2</v>
      </c>
    </row>
    <row r="69" spans="1:6" hidden="1">
      <c r="A69" s="2991" t="s">
        <v>3755</v>
      </c>
      <c r="B69" s="2992" t="s">
        <v>3674</v>
      </c>
      <c r="C69" s="2993" t="s">
        <v>3669</v>
      </c>
      <c r="D69" s="2994">
        <v>5.0876316718389695E-3</v>
      </c>
      <c r="E69" s="2995">
        <v>5.7000000000000002E-3</v>
      </c>
      <c r="F69" s="2994">
        <v>5.6520148206016904E-2</v>
      </c>
    </row>
    <row r="70" spans="1:6" hidden="1">
      <c r="A70" s="2986" t="s">
        <v>3756</v>
      </c>
      <c r="B70" s="2987" t="s">
        <v>3668</v>
      </c>
      <c r="C70" s="2988" t="s">
        <v>3718</v>
      </c>
      <c r="D70" s="2989">
        <v>7.2151867346079935E-3</v>
      </c>
      <c r="E70" s="2990">
        <v>8.0999999999999996E-3</v>
      </c>
      <c r="F70" s="2989">
        <v>5.8912210183078517E-2</v>
      </c>
    </row>
    <row r="71" spans="1:6" hidden="1">
      <c r="A71" s="2991" t="s">
        <v>3156</v>
      </c>
      <c r="B71" s="2992" t="s">
        <v>3674</v>
      </c>
      <c r="C71" s="2993" t="s">
        <v>3675</v>
      </c>
      <c r="D71" s="2994">
        <v>1.9518005141054957E-2</v>
      </c>
      <c r="E71" s="2995">
        <v>2.1899999999999999E-2</v>
      </c>
      <c r="F71" s="2994">
        <v>7.2744568572173943E-2</v>
      </c>
    </row>
    <row r="72" spans="1:6" hidden="1">
      <c r="A72" s="2986" t="s">
        <v>3757</v>
      </c>
      <c r="B72" s="2987" t="s">
        <v>3682</v>
      </c>
      <c r="C72" s="2988" t="s">
        <v>3704</v>
      </c>
      <c r="D72" s="2989">
        <v>6.6694226098107226E-2</v>
      </c>
      <c r="E72" s="2990">
        <v>7.4999999999999997E-2</v>
      </c>
      <c r="F72" s="2989">
        <v>0.12578594284614886</v>
      </c>
    </row>
    <row r="73" spans="1:6" hidden="1">
      <c r="A73" s="2991" t="s">
        <v>3149</v>
      </c>
      <c r="B73" s="2992" t="s">
        <v>3695</v>
      </c>
      <c r="C73" s="2993" t="s">
        <v>3718</v>
      </c>
      <c r="D73" s="2994">
        <v>7.2151867346079935E-3</v>
      </c>
      <c r="E73" s="2995">
        <v>8.0999999999999996E-3</v>
      </c>
      <c r="F73" s="2994">
        <v>5.8912210183078517E-2</v>
      </c>
    </row>
    <row r="74" spans="1:6" hidden="1">
      <c r="A74" s="2986" t="s">
        <v>3758</v>
      </c>
      <c r="B74" s="2987" t="s">
        <v>3674</v>
      </c>
      <c r="C74" s="2988" t="s">
        <v>3702</v>
      </c>
      <c r="D74" s="2989">
        <v>6.1976604002401993E-3</v>
      </c>
      <c r="E74" s="2990">
        <v>7.0000000000000001E-3</v>
      </c>
      <c r="F74" s="2989">
        <v>5.7768180541875137E-2</v>
      </c>
    </row>
    <row r="75" spans="1:6" hidden="1">
      <c r="A75" s="2991" t="s">
        <v>3759</v>
      </c>
      <c r="B75" s="2992" t="s">
        <v>3668</v>
      </c>
      <c r="C75" s="2993" t="s">
        <v>3672</v>
      </c>
      <c r="D75" s="2994">
        <v>4.6158694622684474E-2</v>
      </c>
      <c r="E75" s="2995">
        <v>5.1900000000000002E-2</v>
      </c>
      <c r="F75" s="2994">
        <v>0.10269734463277155</v>
      </c>
    </row>
    <row r="76" spans="1:6" hidden="1">
      <c r="A76" s="2986" t="s">
        <v>3760</v>
      </c>
      <c r="B76" s="2987" t="s">
        <v>3671</v>
      </c>
      <c r="C76" s="2988" t="s">
        <v>3692</v>
      </c>
      <c r="D76" s="2989">
        <v>2.2570584144158336E-2</v>
      </c>
      <c r="E76" s="2990">
        <v>2.5399999999999999E-2</v>
      </c>
      <c r="F76" s="2989">
        <v>7.6176657495784075E-2</v>
      </c>
    </row>
    <row r="77" spans="1:6" hidden="1">
      <c r="A77" s="2991" t="s">
        <v>3761</v>
      </c>
      <c r="B77" s="2992" t="s">
        <v>3664</v>
      </c>
      <c r="C77" s="2993" t="s">
        <v>3672</v>
      </c>
      <c r="D77" s="2994">
        <v>4.6158694622684474E-2</v>
      </c>
      <c r="E77" s="2995">
        <v>5.1900000000000002E-2</v>
      </c>
      <c r="F77" s="2994">
        <v>0.10269734463277155</v>
      </c>
    </row>
    <row r="78" spans="1:6" hidden="1">
      <c r="A78" s="2986" t="s">
        <v>3762</v>
      </c>
      <c r="B78" s="2987" t="s">
        <v>3695</v>
      </c>
      <c r="C78" s="2988" t="s">
        <v>3669</v>
      </c>
      <c r="D78" s="2989">
        <v>5.0876316718389695E-3</v>
      </c>
      <c r="E78" s="2990">
        <v>5.7000000000000002E-3</v>
      </c>
      <c r="F78" s="2989">
        <v>5.6520148206016904E-2</v>
      </c>
    </row>
    <row r="79" spans="1:6" hidden="1">
      <c r="A79" s="2991" t="s">
        <v>3763</v>
      </c>
      <c r="B79" s="2992" t="s">
        <v>3668</v>
      </c>
      <c r="C79" s="2993" t="s">
        <v>3669</v>
      </c>
      <c r="D79" s="2994">
        <v>5.0876316718389695E-3</v>
      </c>
      <c r="E79" s="2995">
        <v>5.7000000000000002E-3</v>
      </c>
      <c r="F79" s="2994">
        <v>5.6520148206016904E-2</v>
      </c>
    </row>
    <row r="80" spans="1:6" hidden="1">
      <c r="A80" s="2986" t="s">
        <v>3764</v>
      </c>
      <c r="B80" s="2987" t="s">
        <v>3671</v>
      </c>
      <c r="C80" s="2988" t="s">
        <v>3677</v>
      </c>
      <c r="D80" s="2989">
        <v>5.6426460360395843E-2</v>
      </c>
      <c r="E80" s="2990">
        <v>6.3399999999999998E-2</v>
      </c>
      <c r="F80" s="2989">
        <v>0.11424164373946019</v>
      </c>
    </row>
    <row r="81" spans="1:6" hidden="1">
      <c r="A81" s="2991" t="s">
        <v>3765</v>
      </c>
      <c r="B81" s="2992" t="s">
        <v>3671</v>
      </c>
      <c r="C81" s="2993" t="s">
        <v>3729</v>
      </c>
      <c r="D81" s="2994">
        <v>1.2302818406446965E-2</v>
      </c>
      <c r="E81" s="2995">
        <v>1.38E-2</v>
      </c>
      <c r="F81" s="2994">
        <v>6.4632358389095423E-2</v>
      </c>
    </row>
    <row r="82" spans="1:6" hidden="1">
      <c r="A82" s="2986" t="s">
        <v>3766</v>
      </c>
      <c r="B82" s="2987" t="s">
        <v>3668</v>
      </c>
      <c r="C82" s="2988" t="s">
        <v>3704</v>
      </c>
      <c r="D82" s="2989">
        <v>6.6694226098107226E-2</v>
      </c>
      <c r="E82" s="2990">
        <v>7.4999999999999997E-2</v>
      </c>
      <c r="F82" s="2989">
        <v>0.12578594284614886</v>
      </c>
    </row>
    <row r="83" spans="1:6" hidden="1">
      <c r="A83" s="2991" t="s">
        <v>3767</v>
      </c>
      <c r="B83" s="2992" t="s">
        <v>3674</v>
      </c>
      <c r="C83" s="2993" t="s">
        <v>3686</v>
      </c>
      <c r="D83" s="2994">
        <v>0</v>
      </c>
      <c r="E83" s="2995">
        <v>0</v>
      </c>
      <c r="F83" s="2994">
        <v>5.0799999999999998E-2</v>
      </c>
    </row>
    <row r="84" spans="1:6" hidden="1">
      <c r="A84" s="2986" t="s">
        <v>3768</v>
      </c>
      <c r="B84" s="2987" t="s">
        <v>3671</v>
      </c>
      <c r="C84" s="2988" t="s">
        <v>3729</v>
      </c>
      <c r="D84" s="2989">
        <v>1.2302818406446965E-2</v>
      </c>
      <c r="E84" s="2990">
        <v>1.38E-2</v>
      </c>
      <c r="F84" s="2989">
        <v>6.4632358389095423E-2</v>
      </c>
    </row>
    <row r="85" spans="1:6" hidden="1">
      <c r="A85" s="2991" t="s">
        <v>3769</v>
      </c>
      <c r="B85" s="2992" t="s">
        <v>3674</v>
      </c>
      <c r="C85" s="2993" t="s">
        <v>3686</v>
      </c>
      <c r="D85" s="2994">
        <v>0</v>
      </c>
      <c r="E85" s="2995">
        <v>0</v>
      </c>
      <c r="F85" s="2994">
        <v>5.0799999999999998E-2</v>
      </c>
    </row>
    <row r="86" spans="1:6" hidden="1">
      <c r="A86" s="2986" t="s">
        <v>3770</v>
      </c>
      <c r="B86" s="2987" t="s">
        <v>3695</v>
      </c>
      <c r="C86" s="2988" t="s">
        <v>3702</v>
      </c>
      <c r="D86" s="2989">
        <v>6.1976604002401993E-3</v>
      </c>
      <c r="E86" s="2990">
        <v>7.0000000000000001E-3</v>
      </c>
      <c r="F86" s="2989">
        <v>5.7768180541875137E-2</v>
      </c>
    </row>
    <row r="87" spans="1:6" hidden="1">
      <c r="A87" s="2991" t="s">
        <v>3771</v>
      </c>
      <c r="B87" s="2992" t="s">
        <v>3671</v>
      </c>
      <c r="C87" s="2993" t="s">
        <v>3696</v>
      </c>
      <c r="D87" s="2994">
        <v>3.6908455219340892E-2</v>
      </c>
      <c r="E87" s="2995">
        <v>4.1500000000000002E-2</v>
      </c>
      <c r="F87" s="2994">
        <v>9.2297075167286274E-2</v>
      </c>
    </row>
    <row r="88" spans="1:6" hidden="1">
      <c r="A88" s="2986" t="s">
        <v>3772</v>
      </c>
      <c r="B88" s="2987" t="s">
        <v>3695</v>
      </c>
      <c r="C88" s="2988" t="s">
        <v>3729</v>
      </c>
      <c r="D88" s="2989">
        <v>1.2302818406446965E-2</v>
      </c>
      <c r="E88" s="2990">
        <v>1.38E-2</v>
      </c>
      <c r="F88" s="2989">
        <v>6.4632358389095423E-2</v>
      </c>
    </row>
    <row r="89" spans="1:6" hidden="1">
      <c r="A89" s="2991" t="s">
        <v>3773</v>
      </c>
      <c r="B89" s="2992" t="s">
        <v>3674</v>
      </c>
      <c r="C89" s="2993" t="s">
        <v>3729</v>
      </c>
      <c r="D89" s="2994">
        <v>1.2302818406446965E-2</v>
      </c>
      <c r="E89" s="2995">
        <v>1.38E-2</v>
      </c>
      <c r="F89" s="2994">
        <v>6.4632358389095423E-2</v>
      </c>
    </row>
    <row r="90" spans="1:6" hidden="1">
      <c r="A90" s="2986" t="s">
        <v>3774</v>
      </c>
      <c r="B90" s="2987" t="s">
        <v>3695</v>
      </c>
      <c r="C90" s="2988" t="s">
        <v>3683</v>
      </c>
      <c r="D90" s="2989">
        <v>1.637292374391814E-2</v>
      </c>
      <c r="E90" s="2990">
        <v>1.84E-2</v>
      </c>
      <c r="F90" s="2989">
        <v>6.9208476953908943E-2</v>
      </c>
    </row>
    <row r="91" spans="1:6" hidden="1">
      <c r="A91" s="2991" t="s">
        <v>3775</v>
      </c>
      <c r="B91" s="2992" t="s">
        <v>3679</v>
      </c>
      <c r="C91" s="2993" t="s">
        <v>3729</v>
      </c>
      <c r="D91" s="2994">
        <v>1.2302818406446965E-2</v>
      </c>
      <c r="E91" s="2995">
        <v>1.38E-2</v>
      </c>
      <c r="F91" s="2994">
        <v>6.4632358389095423E-2</v>
      </c>
    </row>
    <row r="92" spans="1:6" hidden="1">
      <c r="A92" s="2986" t="s">
        <v>3776</v>
      </c>
      <c r="B92" s="2987" t="s">
        <v>3671</v>
      </c>
      <c r="C92" s="2988" t="s">
        <v>3704</v>
      </c>
      <c r="D92" s="2989">
        <v>6.6694226098107226E-2</v>
      </c>
      <c r="E92" s="2990">
        <v>7.4999999999999997E-2</v>
      </c>
      <c r="F92" s="2989">
        <v>0.12578594284614886</v>
      </c>
    </row>
    <row r="93" spans="1:6" hidden="1">
      <c r="A93" s="2991" t="s">
        <v>3777</v>
      </c>
      <c r="B93" s="2992" t="s">
        <v>3695</v>
      </c>
      <c r="C93" s="2993" t="s">
        <v>3700</v>
      </c>
      <c r="D93" s="2994">
        <v>7.6869489441785163E-2</v>
      </c>
      <c r="E93" s="2995">
        <v>8.6400000000000005E-2</v>
      </c>
      <c r="F93" s="2994">
        <v>0.13722623925818267</v>
      </c>
    </row>
    <row r="94" spans="1:6" hidden="1">
      <c r="A94" s="2986" t="s">
        <v>3778</v>
      </c>
      <c r="B94" s="2987" t="s">
        <v>3671</v>
      </c>
      <c r="C94" s="2988" t="s">
        <v>3672</v>
      </c>
      <c r="D94" s="2989">
        <v>4.6158694622684474E-2</v>
      </c>
      <c r="E94" s="2990">
        <v>5.1900000000000002E-2</v>
      </c>
      <c r="F94" s="2989">
        <v>0.10269734463277155</v>
      </c>
    </row>
    <row r="95" spans="1:6" hidden="1">
      <c r="A95" s="2991" t="s">
        <v>3779</v>
      </c>
      <c r="B95" s="2992" t="s">
        <v>3682</v>
      </c>
      <c r="C95" s="2993" t="s">
        <v>3692</v>
      </c>
      <c r="D95" s="2994">
        <v>2.2570584144158336E-2</v>
      </c>
      <c r="E95" s="2995">
        <v>2.5399999999999999E-2</v>
      </c>
      <c r="F95" s="2994">
        <v>7.6176657495784075E-2</v>
      </c>
    </row>
    <row r="96" spans="1:6" hidden="1">
      <c r="A96" s="2986" t="s">
        <v>3780</v>
      </c>
      <c r="B96" s="2987" t="s">
        <v>3664</v>
      </c>
      <c r="C96" s="2988" t="s">
        <v>3746</v>
      </c>
      <c r="D96" s="2989">
        <v>2.5623163147261721E-2</v>
      </c>
      <c r="E96" s="2990">
        <v>2.8799999999999999E-2</v>
      </c>
      <c r="F96" s="2989">
        <v>7.9608746419394222E-2</v>
      </c>
    </row>
    <row r="97" spans="1:6" hidden="1">
      <c r="A97" s="2991" t="s">
        <v>3781</v>
      </c>
      <c r="B97" s="2992" t="s">
        <v>3664</v>
      </c>
      <c r="C97" s="2993" t="s">
        <v>3698</v>
      </c>
      <c r="D97" s="2994">
        <v>0.10249265258904688</v>
      </c>
      <c r="E97" s="2995">
        <v>0.1152</v>
      </c>
      <c r="F97" s="2994">
        <v>0.16603498567757691</v>
      </c>
    </row>
    <row r="98" spans="1:6" hidden="1">
      <c r="A98" s="2986" t="s">
        <v>3782</v>
      </c>
      <c r="B98" s="2987" t="s">
        <v>3664</v>
      </c>
      <c r="C98" s="2988" t="s">
        <v>3746</v>
      </c>
      <c r="D98" s="2989">
        <v>2.5623163147261721E-2</v>
      </c>
      <c r="E98" s="2990">
        <v>2.8799999999999999E-2</v>
      </c>
      <c r="F98" s="2989">
        <v>7.9608746419394222E-2</v>
      </c>
    </row>
    <row r="99" spans="1:6" hidden="1">
      <c r="A99" s="2991" t="s">
        <v>3783</v>
      </c>
      <c r="B99" s="2992" t="s">
        <v>3674</v>
      </c>
      <c r="C99" s="2993" t="s">
        <v>3686</v>
      </c>
      <c r="D99" s="2994">
        <v>0</v>
      </c>
      <c r="E99" s="2995">
        <v>0</v>
      </c>
      <c r="F99" s="2994">
        <v>5.0799999999999998E-2</v>
      </c>
    </row>
    <row r="100" spans="1:6" hidden="1">
      <c r="A100" s="2986" t="s">
        <v>3784</v>
      </c>
      <c r="B100" s="2987" t="s">
        <v>3685</v>
      </c>
      <c r="C100" s="2988" t="s">
        <v>3686</v>
      </c>
      <c r="D100" s="2989">
        <v>0</v>
      </c>
      <c r="E100" s="2990">
        <v>0</v>
      </c>
      <c r="F100" s="2989">
        <v>5.0799999999999998E-2</v>
      </c>
    </row>
    <row r="101" spans="1:6" hidden="1">
      <c r="A101" s="2991" t="s">
        <v>3785</v>
      </c>
      <c r="B101" s="2992" t="s">
        <v>3679</v>
      </c>
      <c r="C101" s="2993" t="s">
        <v>3677</v>
      </c>
      <c r="D101" s="2994">
        <v>5.6426460360395843E-2</v>
      </c>
      <c r="E101" s="2995">
        <v>6.3399999999999998E-2</v>
      </c>
      <c r="F101" s="2994">
        <v>0.11424164373946019</v>
      </c>
    </row>
    <row r="102" spans="1:6" hidden="1">
      <c r="A102" s="2986" t="s">
        <v>3786</v>
      </c>
      <c r="B102" s="2987" t="s">
        <v>3664</v>
      </c>
      <c r="C102" s="2988" t="s">
        <v>3677</v>
      </c>
      <c r="D102" s="2989">
        <v>5.6426460360395843E-2</v>
      </c>
      <c r="E102" s="2990">
        <v>6.3399999999999998E-2</v>
      </c>
      <c r="F102" s="2989">
        <v>0.11424164373946019</v>
      </c>
    </row>
    <row r="103" spans="1:6" hidden="1">
      <c r="A103" s="2991" t="s">
        <v>3787</v>
      </c>
      <c r="B103" s="2992" t="s">
        <v>3674</v>
      </c>
      <c r="C103" s="2993" t="s">
        <v>3686</v>
      </c>
      <c r="D103" s="2994">
        <v>0</v>
      </c>
      <c r="E103" s="2995">
        <v>0</v>
      </c>
      <c r="F103" s="2994">
        <v>5.0799999999999998E-2</v>
      </c>
    </row>
    <row r="104" spans="1:6" hidden="1">
      <c r="A104" s="2986" t="s">
        <v>3788</v>
      </c>
      <c r="B104" s="2987" t="s">
        <v>3668</v>
      </c>
      <c r="C104" s="2988" t="s">
        <v>3675</v>
      </c>
      <c r="D104" s="2989">
        <v>1.9518005141054957E-2</v>
      </c>
      <c r="E104" s="2990">
        <v>2.1899999999999999E-2</v>
      </c>
      <c r="F104" s="2989">
        <v>7.2744568572173943E-2</v>
      </c>
    </row>
    <row r="105" spans="1:6" hidden="1">
      <c r="A105" s="2991" t="s">
        <v>3789</v>
      </c>
      <c r="B105" s="2992" t="s">
        <v>3695</v>
      </c>
      <c r="C105" s="2993" t="s">
        <v>3704</v>
      </c>
      <c r="D105" s="2994">
        <v>6.6694226098107226E-2</v>
      </c>
      <c r="E105" s="2995">
        <v>7.4999999999999997E-2</v>
      </c>
      <c r="F105" s="2994">
        <v>0.12578594284614886</v>
      </c>
    </row>
    <row r="106" spans="1:6" hidden="1">
      <c r="A106" s="2986" t="s">
        <v>3790</v>
      </c>
      <c r="B106" s="2987" t="s">
        <v>3679</v>
      </c>
      <c r="C106" s="2988" t="s">
        <v>3675</v>
      </c>
      <c r="D106" s="2989">
        <v>1.9518005141054957E-2</v>
      </c>
      <c r="E106" s="2990">
        <v>2.1899999999999999E-2</v>
      </c>
      <c r="F106" s="2989">
        <v>7.2744568572173943E-2</v>
      </c>
    </row>
    <row r="107" spans="1:6" hidden="1">
      <c r="A107" s="2991" t="s">
        <v>3791</v>
      </c>
      <c r="B107" s="2992" t="s">
        <v>3695</v>
      </c>
      <c r="C107" s="2993" t="s">
        <v>3677</v>
      </c>
      <c r="D107" s="2994">
        <v>5.6426460360395843E-2</v>
      </c>
      <c r="E107" s="2995">
        <v>6.3399999999999998E-2</v>
      </c>
      <c r="F107" s="2994">
        <v>0.11424164373946019</v>
      </c>
    </row>
    <row r="108" spans="1:6" hidden="1">
      <c r="A108" s="2986" t="s">
        <v>3792</v>
      </c>
      <c r="B108" s="2987" t="s">
        <v>3679</v>
      </c>
      <c r="C108" s="2988" t="s">
        <v>3746</v>
      </c>
      <c r="D108" s="2989">
        <v>2.5623163147261721E-2</v>
      </c>
      <c r="E108" s="2990">
        <v>2.8799999999999999E-2</v>
      </c>
      <c r="F108" s="2989">
        <v>7.9608746419394222E-2</v>
      </c>
    </row>
    <row r="109" spans="1:6" hidden="1">
      <c r="A109" s="2991" t="s">
        <v>3793</v>
      </c>
      <c r="B109" s="2992" t="s">
        <v>3679</v>
      </c>
      <c r="C109" s="2993" t="s">
        <v>3729</v>
      </c>
      <c r="D109" s="2994">
        <v>1.2302818406446965E-2</v>
      </c>
      <c r="E109" s="2995">
        <v>1.38E-2</v>
      </c>
      <c r="F109" s="2994">
        <v>6.4632358389095423E-2</v>
      </c>
    </row>
    <row r="110" spans="1:6" hidden="1">
      <c r="A110" s="2986" t="s">
        <v>3794</v>
      </c>
      <c r="B110" s="2987" t="s">
        <v>3695</v>
      </c>
      <c r="C110" s="2988" t="s">
        <v>3675</v>
      </c>
      <c r="D110" s="2989">
        <v>1.9518005141054957E-2</v>
      </c>
      <c r="E110" s="2990">
        <v>2.1899999999999999E-2</v>
      </c>
      <c r="F110" s="2989">
        <v>7.2744568572173943E-2</v>
      </c>
    </row>
    <row r="111" spans="1:6" hidden="1">
      <c r="A111" s="2991" t="s">
        <v>3795</v>
      </c>
      <c r="B111" s="2992" t="s">
        <v>3671</v>
      </c>
      <c r="C111" s="2993" t="s">
        <v>3706</v>
      </c>
      <c r="D111" s="2994">
        <v>8.6952250391429675E-3</v>
      </c>
      <c r="E111" s="2995">
        <v>9.7999999999999997E-3</v>
      </c>
      <c r="F111" s="2994">
        <v>6.0576253297556164E-2</v>
      </c>
    </row>
    <row r="112" spans="1:6" hidden="1">
      <c r="A112" s="2986" t="s">
        <v>3796</v>
      </c>
      <c r="B112" s="2987" t="s">
        <v>3674</v>
      </c>
      <c r="C112" s="2988" t="s">
        <v>3746</v>
      </c>
      <c r="D112" s="2989">
        <v>2.5623163147261721E-2</v>
      </c>
      <c r="E112" s="2990">
        <v>2.8799999999999999E-2</v>
      </c>
      <c r="F112" s="2989">
        <v>7.9608746419394222E-2</v>
      </c>
    </row>
    <row r="113" spans="1:6" hidden="1">
      <c r="A113" s="2991" t="s">
        <v>3797</v>
      </c>
      <c r="B113" s="2992" t="s">
        <v>3668</v>
      </c>
      <c r="C113" s="2993" t="s">
        <v>3702</v>
      </c>
      <c r="D113" s="2994">
        <v>6.1976604002401993E-3</v>
      </c>
      <c r="E113" s="2995">
        <v>7.0000000000000001E-3</v>
      </c>
      <c r="F113" s="2994">
        <v>5.7768180541875137E-2</v>
      </c>
    </row>
    <row r="114" spans="1:6" hidden="1">
      <c r="A114" s="2986" t="s">
        <v>3798</v>
      </c>
      <c r="B114" s="2987" t="s">
        <v>3668</v>
      </c>
      <c r="C114" s="2988" t="s">
        <v>3706</v>
      </c>
      <c r="D114" s="2989">
        <v>8.6952250391429675E-3</v>
      </c>
      <c r="E114" s="2990">
        <v>9.7999999999999997E-3</v>
      </c>
      <c r="F114" s="2989">
        <v>6.0576253297556164E-2</v>
      </c>
    </row>
    <row r="115" spans="1:6" hidden="1">
      <c r="A115" s="2991" t="s">
        <v>3799</v>
      </c>
      <c r="B115" s="2992" t="s">
        <v>3671</v>
      </c>
      <c r="C115" s="2993" t="s">
        <v>3692</v>
      </c>
      <c r="D115" s="2994">
        <v>2.2570584144158336E-2</v>
      </c>
      <c r="E115" s="2995">
        <v>2.5399999999999999E-2</v>
      </c>
      <c r="F115" s="2994">
        <v>7.6176657495784075E-2</v>
      </c>
    </row>
    <row r="116" spans="1:6" hidden="1">
      <c r="A116" s="2986" t="s">
        <v>3800</v>
      </c>
      <c r="B116" s="2987" t="s">
        <v>3671</v>
      </c>
      <c r="C116" s="2988" t="s">
        <v>3746</v>
      </c>
      <c r="D116" s="2989">
        <v>2.5623163147261721E-2</v>
      </c>
      <c r="E116" s="2990">
        <v>2.8799999999999999E-2</v>
      </c>
      <c r="F116" s="2989">
        <v>7.9608746419394222E-2</v>
      </c>
    </row>
    <row r="117" spans="1:6" hidden="1">
      <c r="A117" s="2991" t="s">
        <v>3801</v>
      </c>
      <c r="B117" s="2992" t="s">
        <v>3664</v>
      </c>
      <c r="C117" s="2993" t="s">
        <v>3677</v>
      </c>
      <c r="D117" s="2994">
        <v>5.6426460360395843E-2</v>
      </c>
      <c r="E117" s="2995">
        <v>6.3399999999999998E-2</v>
      </c>
      <c r="F117" s="2994">
        <v>0.11424164373946019</v>
      </c>
    </row>
    <row r="118" spans="1:6" hidden="1">
      <c r="A118" s="2986" t="s">
        <v>3802</v>
      </c>
      <c r="B118" s="2987" t="s">
        <v>3668</v>
      </c>
      <c r="C118" s="2988" t="s">
        <v>3718</v>
      </c>
      <c r="D118" s="2989">
        <v>7.2151867346079935E-3</v>
      </c>
      <c r="E118" s="2990">
        <v>8.0999999999999996E-3</v>
      </c>
      <c r="F118" s="2989">
        <v>5.8912210183078517E-2</v>
      </c>
    </row>
    <row r="119" spans="1:6" hidden="1">
      <c r="A119" s="2991" t="s">
        <v>3803</v>
      </c>
      <c r="B119" s="2992" t="s">
        <v>3664</v>
      </c>
      <c r="C119" s="2993" t="s">
        <v>3696</v>
      </c>
      <c r="D119" s="2994">
        <v>3.6908455219340892E-2</v>
      </c>
      <c r="E119" s="2995">
        <v>4.1500000000000002E-2</v>
      </c>
      <c r="F119" s="2994">
        <v>9.2297075167286274E-2</v>
      </c>
    </row>
    <row r="120" spans="1:6" hidden="1">
      <c r="A120" s="2986" t="s">
        <v>3804</v>
      </c>
      <c r="B120" s="2987" t="s">
        <v>3671</v>
      </c>
      <c r="C120" s="2988" t="s">
        <v>3696</v>
      </c>
      <c r="D120" s="2989">
        <v>3.6908455219340892E-2</v>
      </c>
      <c r="E120" s="2990">
        <v>4.1500000000000002E-2</v>
      </c>
      <c r="F120" s="2989">
        <v>9.2297075167286274E-2</v>
      </c>
    </row>
    <row r="121" spans="1:6" hidden="1">
      <c r="A121" s="2991" t="s">
        <v>3805</v>
      </c>
      <c r="B121" s="2992" t="s">
        <v>3668</v>
      </c>
      <c r="C121" s="2993" t="s">
        <v>3729</v>
      </c>
      <c r="D121" s="2994">
        <v>1.2302818406446965E-2</v>
      </c>
      <c r="E121" s="2995">
        <v>1.38E-2</v>
      </c>
      <c r="F121" s="2994">
        <v>6.4632358389095423E-2</v>
      </c>
    </row>
    <row r="122" spans="1:6" hidden="1">
      <c r="A122" s="2986" t="s">
        <v>3806</v>
      </c>
      <c r="B122" s="2987" t="s">
        <v>3695</v>
      </c>
      <c r="C122" s="2988" t="s">
        <v>3686</v>
      </c>
      <c r="D122" s="2989">
        <v>0</v>
      </c>
      <c r="E122" s="2990">
        <v>0</v>
      </c>
      <c r="F122" s="2989">
        <v>5.0799999999999998E-2</v>
      </c>
    </row>
    <row r="123" spans="1:6" hidden="1">
      <c r="A123" s="2991" t="s">
        <v>3807</v>
      </c>
      <c r="B123" s="2992" t="s">
        <v>3671</v>
      </c>
      <c r="C123" s="2993" t="s">
        <v>3706</v>
      </c>
      <c r="D123" s="2994">
        <v>8.6952250391429675E-3</v>
      </c>
      <c r="E123" s="2995">
        <v>9.7999999999999997E-3</v>
      </c>
      <c r="F123" s="2994">
        <v>6.0576253297556164E-2</v>
      </c>
    </row>
    <row r="124" spans="1:6" hidden="1">
      <c r="A124" s="2986" t="s">
        <v>3808</v>
      </c>
      <c r="B124" s="2987" t="s">
        <v>3671</v>
      </c>
      <c r="C124" s="2988" t="s">
        <v>3683</v>
      </c>
      <c r="D124" s="2989">
        <v>1.637292374391814E-2</v>
      </c>
      <c r="E124" s="2990">
        <v>1.84E-2</v>
      </c>
      <c r="F124" s="2989">
        <v>6.9208476953908943E-2</v>
      </c>
    </row>
    <row r="125" spans="1:6" hidden="1">
      <c r="A125" s="2991" t="s">
        <v>3809</v>
      </c>
      <c r="B125" s="2992" t="s">
        <v>3664</v>
      </c>
      <c r="C125" s="2993" t="s">
        <v>3692</v>
      </c>
      <c r="D125" s="2994">
        <v>2.2570584144158336E-2</v>
      </c>
      <c r="E125" s="2995">
        <v>2.5399999999999999E-2</v>
      </c>
      <c r="F125" s="2994">
        <v>7.6176657495784075E-2</v>
      </c>
    </row>
    <row r="126" spans="1:6" hidden="1">
      <c r="A126" s="2986" t="s">
        <v>3157</v>
      </c>
      <c r="B126" s="2987" t="s">
        <v>3674</v>
      </c>
      <c r="C126" s="2988" t="s">
        <v>3675</v>
      </c>
      <c r="D126" s="2989">
        <v>1.9518005141054957E-2</v>
      </c>
      <c r="E126" s="2990">
        <v>2.1899999999999999E-2</v>
      </c>
      <c r="F126" s="2989">
        <v>7.2744568572173943E-2</v>
      </c>
    </row>
    <row r="127" spans="1:6" hidden="1">
      <c r="A127" s="2991" t="s">
        <v>3810</v>
      </c>
      <c r="B127" s="2992" t="s">
        <v>3695</v>
      </c>
      <c r="C127" s="2993" t="s">
        <v>3672</v>
      </c>
      <c r="D127" s="2994">
        <v>4.6158694622684474E-2</v>
      </c>
      <c r="E127" s="2995">
        <v>5.1900000000000002E-2</v>
      </c>
      <c r="F127" s="2994">
        <v>0.10269734463277155</v>
      </c>
    </row>
    <row r="128" spans="1:6" hidden="1">
      <c r="A128" s="2986" t="s">
        <v>3811</v>
      </c>
      <c r="B128" s="2987" t="s">
        <v>3682</v>
      </c>
      <c r="C128" s="2988" t="s">
        <v>3675</v>
      </c>
      <c r="D128" s="2989">
        <v>1.9518005141054957E-2</v>
      </c>
      <c r="E128" s="2990">
        <v>2.1899999999999999E-2</v>
      </c>
      <c r="F128" s="2989">
        <v>7.2744568572173943E-2</v>
      </c>
    </row>
    <row r="129" spans="1:6" hidden="1">
      <c r="A129" s="2991" t="s">
        <v>3812</v>
      </c>
      <c r="B129" s="2992" t="s">
        <v>3682</v>
      </c>
      <c r="C129" s="2993" t="s">
        <v>3704</v>
      </c>
      <c r="D129" s="2994">
        <v>6.6694226098107226E-2</v>
      </c>
      <c r="E129" s="2995">
        <v>7.4999999999999997E-2</v>
      </c>
      <c r="F129" s="2994">
        <v>0.12578594284614886</v>
      </c>
    </row>
    <row r="130" spans="1:6" hidden="1">
      <c r="A130" s="2986" t="s">
        <v>3813</v>
      </c>
      <c r="B130" s="2987" t="s">
        <v>3679</v>
      </c>
      <c r="C130" s="2988" t="s">
        <v>3672</v>
      </c>
      <c r="D130" s="2989">
        <v>4.6158694622684474E-2</v>
      </c>
      <c r="E130" s="2990">
        <v>5.1900000000000002E-2</v>
      </c>
      <c r="F130" s="2989">
        <v>0.10269734463277155</v>
      </c>
    </row>
    <row r="131" spans="1:6" hidden="1">
      <c r="A131" s="2991" t="s">
        <v>3814</v>
      </c>
      <c r="B131" s="2992" t="s">
        <v>3664</v>
      </c>
      <c r="C131" s="2993" t="s">
        <v>3677</v>
      </c>
      <c r="D131" s="2994">
        <v>5.6426460360395843E-2</v>
      </c>
      <c r="E131" s="2995">
        <v>6.3399999999999998E-2</v>
      </c>
      <c r="F131" s="2994">
        <v>0.11424164373946019</v>
      </c>
    </row>
    <row r="132" spans="1:6" hidden="1">
      <c r="A132" s="2986" t="s">
        <v>3815</v>
      </c>
      <c r="B132" s="2987" t="s">
        <v>3674</v>
      </c>
      <c r="C132" s="2988" t="s">
        <v>3686</v>
      </c>
      <c r="D132" s="2989">
        <v>0</v>
      </c>
      <c r="E132" s="2990">
        <v>0</v>
      </c>
      <c r="F132" s="2989">
        <v>5.0799999999999998E-2</v>
      </c>
    </row>
    <row r="133" spans="1:6" hidden="1">
      <c r="A133" s="2991" t="s">
        <v>3816</v>
      </c>
      <c r="B133" s="2992" t="s">
        <v>3674</v>
      </c>
      <c r="C133" s="2993" t="s">
        <v>3686</v>
      </c>
      <c r="D133" s="2994">
        <v>0</v>
      </c>
      <c r="E133" s="2995">
        <v>0</v>
      </c>
      <c r="F133" s="2994">
        <v>5.0799999999999998E-2</v>
      </c>
    </row>
    <row r="134" spans="1:6" hidden="1">
      <c r="A134" s="2986" t="s">
        <v>3817</v>
      </c>
      <c r="B134" s="2987" t="s">
        <v>3695</v>
      </c>
      <c r="C134" s="2988" t="s">
        <v>3702</v>
      </c>
      <c r="D134" s="2989">
        <v>6.1976604002401993E-3</v>
      </c>
      <c r="E134" s="2990">
        <v>7.0000000000000001E-3</v>
      </c>
      <c r="F134" s="2989">
        <v>5.7768180541875137E-2</v>
      </c>
    </row>
    <row r="135" spans="1:6" hidden="1">
      <c r="A135" s="2991" t="s">
        <v>3818</v>
      </c>
      <c r="B135" s="2992" t="s">
        <v>3671</v>
      </c>
      <c r="C135" s="2993" t="s">
        <v>3704</v>
      </c>
      <c r="D135" s="2994">
        <v>6.6694226098107226E-2</v>
      </c>
      <c r="E135" s="2995">
        <v>7.4999999999999997E-2</v>
      </c>
      <c r="F135" s="2994">
        <v>0.12578594284614886</v>
      </c>
    </row>
    <row r="136" spans="1:6" hidden="1">
      <c r="A136" s="2986" t="s">
        <v>3819</v>
      </c>
      <c r="B136" s="2987" t="s">
        <v>3695</v>
      </c>
      <c r="C136" s="2988" t="s">
        <v>3683</v>
      </c>
      <c r="D136" s="2989">
        <v>1.637292374391814E-2</v>
      </c>
      <c r="E136" s="2990">
        <v>1.84E-2</v>
      </c>
      <c r="F136" s="2989">
        <v>6.9208476953908943E-2</v>
      </c>
    </row>
    <row r="137" spans="1:6" hidden="1">
      <c r="A137" s="2991" t="s">
        <v>3820</v>
      </c>
      <c r="B137" s="2992" t="s">
        <v>3682</v>
      </c>
      <c r="C137" s="2993" t="s">
        <v>3746</v>
      </c>
      <c r="D137" s="2994">
        <v>2.5623163147261721E-2</v>
      </c>
      <c r="E137" s="2995">
        <v>2.8799999999999999E-2</v>
      </c>
      <c r="F137" s="2994">
        <v>7.9608746419394222E-2</v>
      </c>
    </row>
    <row r="138" spans="1:6" hidden="1">
      <c r="A138" s="2986" t="s">
        <v>3821</v>
      </c>
      <c r="B138" s="2987" t="s">
        <v>3664</v>
      </c>
      <c r="C138" s="2988" t="s">
        <v>3672</v>
      </c>
      <c r="D138" s="2989">
        <v>4.6158694622684474E-2</v>
      </c>
      <c r="E138" s="2990">
        <v>5.1900000000000002E-2</v>
      </c>
      <c r="F138" s="2989">
        <v>0.10269734463277155</v>
      </c>
    </row>
    <row r="139" spans="1:6" hidden="1">
      <c r="A139" s="2991" t="s">
        <v>3822</v>
      </c>
      <c r="B139" s="2992" t="s">
        <v>3674</v>
      </c>
      <c r="C139" s="2993" t="s">
        <v>3746</v>
      </c>
      <c r="D139" s="2994">
        <v>2.5623163147261721E-2</v>
      </c>
      <c r="E139" s="2995">
        <v>2.8799999999999999E-2</v>
      </c>
      <c r="F139" s="2994">
        <v>7.9608746419394222E-2</v>
      </c>
    </row>
    <row r="140" spans="1:6" hidden="1">
      <c r="A140" s="2986" t="s">
        <v>3823</v>
      </c>
      <c r="B140" s="2987" t="s">
        <v>3682</v>
      </c>
      <c r="C140" s="2988" t="s">
        <v>3683</v>
      </c>
      <c r="D140" s="2989">
        <v>1.637292374391814E-2</v>
      </c>
      <c r="E140" s="2990">
        <v>1.84E-2</v>
      </c>
      <c r="F140" s="2989">
        <v>6.9208476953908943E-2</v>
      </c>
    </row>
    <row r="141" spans="1:6" hidden="1">
      <c r="A141" s="2991" t="s">
        <v>3824</v>
      </c>
      <c r="B141" s="2992" t="s">
        <v>3664</v>
      </c>
      <c r="C141" s="2993" t="s">
        <v>3677</v>
      </c>
      <c r="D141" s="2994">
        <v>5.6426460360395843E-2</v>
      </c>
      <c r="E141" s="2995">
        <v>6.3399999999999998E-2</v>
      </c>
      <c r="F141" s="2994">
        <v>0.11424164373946019</v>
      </c>
    </row>
    <row r="142" spans="1:6" hidden="1">
      <c r="A142" s="2986" t="s">
        <v>3825</v>
      </c>
      <c r="B142" s="2987" t="s">
        <v>3671</v>
      </c>
      <c r="C142" s="2988" t="s">
        <v>3722</v>
      </c>
      <c r="D142" s="2989">
        <v>9.2317389245368947E-2</v>
      </c>
      <c r="E142" s="2990">
        <v>0.1038</v>
      </c>
      <c r="F142" s="2989">
        <v>0.15459468926554309</v>
      </c>
    </row>
    <row r="143" spans="1:6" hidden="1">
      <c r="A143" s="2991" t="s">
        <v>3826</v>
      </c>
      <c r="B143" s="2992" t="s">
        <v>3668</v>
      </c>
      <c r="C143" s="2993" t="s">
        <v>3669</v>
      </c>
      <c r="D143" s="2994">
        <v>5.0876316718389695E-3</v>
      </c>
      <c r="E143" s="2995">
        <v>5.7000000000000002E-3</v>
      </c>
      <c r="F143" s="2994">
        <v>5.6520148206016904E-2</v>
      </c>
    </row>
    <row r="144" spans="1:6" hidden="1">
      <c r="A144" s="2986" t="s">
        <v>3158</v>
      </c>
      <c r="B144" s="2987" t="s">
        <v>3674</v>
      </c>
      <c r="C144" s="2988" t="s">
        <v>3669</v>
      </c>
      <c r="D144" s="2989">
        <v>5.0876316718389695E-3</v>
      </c>
      <c r="E144" s="2990">
        <v>5.7000000000000002E-3</v>
      </c>
      <c r="F144" s="2989">
        <v>5.6520148206016904E-2</v>
      </c>
    </row>
    <row r="145" spans="1:6" hidden="1">
      <c r="A145" s="2991" t="s">
        <v>3153</v>
      </c>
      <c r="B145" s="2992" t="s">
        <v>3714</v>
      </c>
      <c r="C145" s="2993" t="s">
        <v>3686</v>
      </c>
      <c r="D145" s="2994">
        <v>0</v>
      </c>
      <c r="E145" s="2995">
        <v>0</v>
      </c>
      <c r="F145" s="2994">
        <v>5.0799999999999998E-2</v>
      </c>
    </row>
    <row r="146" spans="1:6" hidden="1">
      <c r="A146" s="2986" t="s">
        <v>3827</v>
      </c>
      <c r="B146" s="2987" t="s">
        <v>3679</v>
      </c>
      <c r="C146" s="2988" t="s">
        <v>3675</v>
      </c>
      <c r="D146" s="2989">
        <v>1.9518005141054957E-2</v>
      </c>
      <c r="E146" s="2990">
        <v>2.1899999999999999E-2</v>
      </c>
      <c r="F146" s="2989">
        <v>7.2744568572173943E-2</v>
      </c>
    </row>
    <row r="147" spans="1:6" hidden="1">
      <c r="A147" s="2991" t="s">
        <v>3828</v>
      </c>
      <c r="B147" s="2992" t="s">
        <v>3679</v>
      </c>
      <c r="C147" s="2993" t="s">
        <v>3698</v>
      </c>
      <c r="D147" s="2994">
        <v>0.10249265258904688</v>
      </c>
      <c r="E147" s="2995">
        <v>0.1152</v>
      </c>
      <c r="F147" s="2994">
        <v>0.16603498567757691</v>
      </c>
    </row>
    <row r="148" spans="1:6" hidden="1">
      <c r="A148" s="2986" t="s">
        <v>3829</v>
      </c>
      <c r="B148" s="2987" t="s">
        <v>3695</v>
      </c>
      <c r="C148" s="2988" t="s">
        <v>3672</v>
      </c>
      <c r="D148" s="2989">
        <v>4.6158694622684474E-2</v>
      </c>
      <c r="E148" s="2990">
        <v>5.1900000000000002E-2</v>
      </c>
      <c r="F148" s="2989">
        <v>0.10269734463277155</v>
      </c>
    </row>
    <row r="149" spans="1:6" hidden="1">
      <c r="A149" s="2991" t="s">
        <v>3830</v>
      </c>
      <c r="B149" s="2992" t="s">
        <v>3664</v>
      </c>
      <c r="C149" s="2993" t="s">
        <v>3704</v>
      </c>
      <c r="D149" s="2994">
        <v>6.6694226098107226E-2</v>
      </c>
      <c r="E149" s="2995">
        <v>7.4999999999999997E-2</v>
      </c>
      <c r="F149" s="2994">
        <v>0.12578594284614886</v>
      </c>
    </row>
    <row r="150" spans="1:6" hidden="1">
      <c r="A150" s="2996" t="s">
        <v>3831</v>
      </c>
      <c r="B150" s="2997" t="s">
        <v>3664</v>
      </c>
      <c r="C150" s="2998" t="s">
        <v>2807</v>
      </c>
      <c r="D150" s="2999">
        <v>6.6699999999999995E-2</v>
      </c>
      <c r="E150" s="2999">
        <v>7.4992434584679482E-2</v>
      </c>
      <c r="F150" s="2999">
        <v>0.12579243458467948</v>
      </c>
    </row>
    <row r="151" spans="1:6" hidden="1">
      <c r="A151" s="3000" t="s">
        <v>3832</v>
      </c>
      <c r="B151" s="2997" t="s">
        <v>3668</v>
      </c>
      <c r="C151" s="2998" t="s">
        <v>2807</v>
      </c>
      <c r="D151" s="2999">
        <v>8.6999999999999994E-3</v>
      </c>
      <c r="E151" s="2999">
        <v>9.781621902349498E-3</v>
      </c>
      <c r="F151" s="2999">
        <v>6.0581621902349496E-2</v>
      </c>
    </row>
    <row r="152" spans="1:6" hidden="1">
      <c r="A152" s="2996" t="s">
        <v>3833</v>
      </c>
      <c r="B152" s="2997" t="s">
        <v>3664</v>
      </c>
      <c r="C152" s="2998" t="s">
        <v>2807</v>
      </c>
      <c r="D152" s="2999">
        <v>9.2300000000000007E-2</v>
      </c>
      <c r="E152" s="2999">
        <v>0.10377513811343204</v>
      </c>
      <c r="F152" s="2999">
        <v>0.15457513811343204</v>
      </c>
    </row>
    <row r="153" spans="1:6" hidden="1">
      <c r="A153" s="3000" t="s">
        <v>3834</v>
      </c>
      <c r="B153" s="2997" t="s">
        <v>3664</v>
      </c>
      <c r="C153" s="2998" t="s">
        <v>2807</v>
      </c>
      <c r="D153" s="2999">
        <v>9.2300000000000007E-2</v>
      </c>
      <c r="E153" s="2999">
        <v>0.10377513811343204</v>
      </c>
      <c r="F153" s="2999">
        <v>0.15457513811343204</v>
      </c>
    </row>
    <row r="154" spans="1:6" hidden="1">
      <c r="A154" s="2996" t="s">
        <v>3835</v>
      </c>
      <c r="B154" s="2997" t="s">
        <v>3664</v>
      </c>
      <c r="C154" s="2998" t="s">
        <v>2807</v>
      </c>
      <c r="D154" s="2999">
        <v>6.6699999999999995E-2</v>
      </c>
      <c r="E154" s="2999">
        <v>7.4992434584679482E-2</v>
      </c>
      <c r="F154" s="2999">
        <v>0.12579243458467948</v>
      </c>
    </row>
    <row r="155" spans="1:6" hidden="1">
      <c r="A155" s="3000" t="s">
        <v>3836</v>
      </c>
      <c r="B155" s="2997" t="s">
        <v>3682</v>
      </c>
      <c r="C155" s="2998" t="s">
        <v>2807</v>
      </c>
      <c r="D155" s="2999">
        <v>3.6900000000000009E-2</v>
      </c>
      <c r="E155" s="2999">
        <v>4.1487568758240986E-2</v>
      </c>
      <c r="F155" s="2999">
        <v>9.2287568758240984E-2</v>
      </c>
    </row>
    <row r="156" spans="1:6" hidden="1">
      <c r="A156" s="2996" t="s">
        <v>3837</v>
      </c>
      <c r="B156" s="2997" t="s">
        <v>3682</v>
      </c>
      <c r="C156" s="2998" t="s">
        <v>2807</v>
      </c>
      <c r="D156" s="2999">
        <v>7.6899999999999996E-2</v>
      </c>
      <c r="E156" s="2999">
        <v>8.6460543021916816E-2</v>
      </c>
      <c r="F156" s="2999">
        <v>0.13726054302191681</v>
      </c>
    </row>
    <row r="157" spans="1:6" hidden="1">
      <c r="A157" s="3000" t="s">
        <v>3838</v>
      </c>
      <c r="B157" s="2997" t="s">
        <v>3668</v>
      </c>
      <c r="C157" s="2998" t="s">
        <v>2807</v>
      </c>
      <c r="D157" s="2999">
        <v>1.9499999999999997E-2</v>
      </c>
      <c r="E157" s="2999">
        <v>2.1924324953541977E-2</v>
      </c>
      <c r="F157" s="2999">
        <v>7.2724324953541974E-2</v>
      </c>
    </row>
    <row r="158" spans="1:6" hidden="1">
      <c r="A158" s="2996" t="s">
        <v>3839</v>
      </c>
      <c r="B158" s="2997" t="s">
        <v>3695</v>
      </c>
      <c r="C158" s="2998" t="s">
        <v>2807</v>
      </c>
      <c r="D158" s="2999">
        <v>0.10250000000000001</v>
      </c>
      <c r="E158" s="2999">
        <v>0.11524324655066938</v>
      </c>
      <c r="F158" s="2999">
        <v>0.16604324655066938</v>
      </c>
    </row>
    <row r="159" spans="1:6" hidden="1">
      <c r="A159" s="3000" t="s">
        <v>3840</v>
      </c>
      <c r="B159" s="2997" t="s">
        <v>3664</v>
      </c>
      <c r="C159" s="2998" t="s">
        <v>2807</v>
      </c>
      <c r="D159" s="2999">
        <v>0.12300000000000001</v>
      </c>
      <c r="E159" s="2999">
        <v>0.13829189586080326</v>
      </c>
      <c r="F159" s="2999">
        <v>0.18909189586080327</v>
      </c>
    </row>
    <row r="160" spans="1:6" hidden="1">
      <c r="A160" s="2996" t="s">
        <v>3841</v>
      </c>
      <c r="B160" s="2997" t="s">
        <v>3664</v>
      </c>
      <c r="C160" s="2998" t="s">
        <v>2807</v>
      </c>
      <c r="D160" s="2999">
        <v>7.6899999999999996E-2</v>
      </c>
      <c r="E160" s="2999">
        <v>8.6460543021916816E-2</v>
      </c>
      <c r="F160" s="2999">
        <v>0.13726054302191681</v>
      </c>
    </row>
    <row r="161" spans="1:6" hidden="1">
      <c r="A161" s="3000" t="s">
        <v>3842</v>
      </c>
      <c r="B161" s="2997" t="s">
        <v>3664</v>
      </c>
      <c r="C161" s="2998" t="s">
        <v>2807</v>
      </c>
      <c r="D161" s="2999">
        <v>5.6399999999999999E-2</v>
      </c>
      <c r="E161" s="2999">
        <v>6.3411893711782949E-2</v>
      </c>
      <c r="F161" s="2999">
        <v>0.11421189371178295</v>
      </c>
    </row>
    <row r="162" spans="1:6" hidden="1">
      <c r="A162" s="2996" t="s">
        <v>3843</v>
      </c>
      <c r="B162" s="2997" t="s">
        <v>3664</v>
      </c>
      <c r="C162" s="2998" t="s">
        <v>2807</v>
      </c>
      <c r="D162" s="2999">
        <v>7.6899999999999996E-2</v>
      </c>
      <c r="E162" s="2999">
        <v>8.6460543021916816E-2</v>
      </c>
      <c r="F162" s="2999">
        <v>0.13726054302191681</v>
      </c>
    </row>
    <row r="163" spans="1:6" hidden="1">
      <c r="A163" s="3000" t="s">
        <v>3844</v>
      </c>
      <c r="B163" s="2997" t="s">
        <v>3664</v>
      </c>
      <c r="C163" s="2998" t="s">
        <v>2807</v>
      </c>
      <c r="D163" s="2999">
        <v>7.6899999999999996E-2</v>
      </c>
      <c r="E163" s="2999">
        <v>8.6460543021916816E-2</v>
      </c>
      <c r="F163" s="2999">
        <v>0.13726054302191681</v>
      </c>
    </row>
    <row r="164" spans="1:6" hidden="1">
      <c r="A164" s="2996" t="s">
        <v>3845</v>
      </c>
      <c r="B164" s="2997" t="s">
        <v>3695</v>
      </c>
      <c r="C164" s="2998" t="s">
        <v>2807</v>
      </c>
      <c r="D164" s="2999">
        <v>6.6699999999999995E-2</v>
      </c>
      <c r="E164" s="2999">
        <v>7.4992434584679482E-2</v>
      </c>
      <c r="F164" s="2999">
        <v>0.12579243458467948</v>
      </c>
    </row>
    <row r="165" spans="1:6" hidden="1">
      <c r="A165" s="3000" t="s">
        <v>3846</v>
      </c>
      <c r="B165" s="2997" t="s">
        <v>3664</v>
      </c>
      <c r="C165" s="2998" t="s">
        <v>2807</v>
      </c>
      <c r="D165" s="2999">
        <v>0.12300000000000001</v>
      </c>
      <c r="E165" s="2999">
        <v>0.13829189586080326</v>
      </c>
      <c r="F165" s="2999">
        <v>0.18909189586080327</v>
      </c>
    </row>
    <row r="166" spans="1:6" hidden="1">
      <c r="A166" s="2996" t="s">
        <v>3847</v>
      </c>
      <c r="B166" s="2997" t="s">
        <v>3664</v>
      </c>
      <c r="C166" s="2998" t="s">
        <v>2807</v>
      </c>
      <c r="D166" s="2999">
        <v>0.12300000000000001</v>
      </c>
      <c r="E166" s="2999">
        <v>0.13829189586080326</v>
      </c>
      <c r="F166" s="2999">
        <v>0.18909189586080327</v>
      </c>
    </row>
    <row r="167" spans="1:6" hidden="1">
      <c r="A167" s="3000" t="s">
        <v>3848</v>
      </c>
      <c r="B167" s="2997" t="s">
        <v>3664</v>
      </c>
      <c r="C167" s="2998" t="s">
        <v>2807</v>
      </c>
      <c r="D167" s="2999">
        <v>0.12300000000000001</v>
      </c>
      <c r="E167" s="2999">
        <v>0.13829189586080326</v>
      </c>
      <c r="F167" s="2999">
        <v>0.18909189586080327</v>
      </c>
    </row>
    <row r="168" spans="1:6" hidden="1">
      <c r="A168" s="2996" t="s">
        <v>3849</v>
      </c>
      <c r="B168" s="2997" t="s">
        <v>3664</v>
      </c>
      <c r="C168" s="2998" t="s">
        <v>2807</v>
      </c>
      <c r="D168" s="2999">
        <v>0.17999999999999997</v>
      </c>
      <c r="E168" s="2999">
        <v>0.2023783841865413</v>
      </c>
      <c r="F168" s="2999">
        <v>0.25317838418654132</v>
      </c>
    </row>
    <row r="169" spans="1:6" hidden="1">
      <c r="A169" s="3000" t="s">
        <v>3850</v>
      </c>
      <c r="B169" s="2997" t="s">
        <v>3668</v>
      </c>
      <c r="C169" s="2998" t="s">
        <v>2807</v>
      </c>
      <c r="D169" s="2999">
        <v>0.17999999999999997</v>
      </c>
      <c r="E169" s="2999">
        <v>0.2023783841865413</v>
      </c>
      <c r="F169" s="2999">
        <v>0.25317838418654132</v>
      </c>
    </row>
    <row r="170" spans="1:6" hidden="1">
      <c r="A170" s="2996" t="s">
        <v>3851</v>
      </c>
      <c r="B170" s="2997" t="s">
        <v>3664</v>
      </c>
      <c r="C170" s="2998" t="s">
        <v>2807</v>
      </c>
      <c r="D170" s="2999">
        <v>6.6699999999999995E-2</v>
      </c>
      <c r="E170" s="2999">
        <v>7.4992434584679482E-2</v>
      </c>
      <c r="F170" s="2999">
        <v>0.12579243458467948</v>
      </c>
    </row>
    <row r="171" spans="1:6" hidden="1">
      <c r="A171" s="3000" t="s">
        <v>3852</v>
      </c>
      <c r="B171" s="2997" t="s">
        <v>3664</v>
      </c>
      <c r="C171" s="2998" t="s">
        <v>2807</v>
      </c>
      <c r="D171" s="2999">
        <v>7.6899999999999996E-2</v>
      </c>
      <c r="E171" s="2999">
        <v>8.6460543021916816E-2</v>
      </c>
      <c r="F171" s="2999">
        <v>0.13726054302191681</v>
      </c>
    </row>
    <row r="172" spans="1:6" hidden="1">
      <c r="A172" s="2996" t="s">
        <v>3853</v>
      </c>
      <c r="B172" s="2997" t="s">
        <v>3664</v>
      </c>
      <c r="C172" s="2998" t="s">
        <v>2807</v>
      </c>
      <c r="D172" s="2999">
        <v>0.17999999999999997</v>
      </c>
      <c r="E172" s="2999">
        <v>0.2023783841865413</v>
      </c>
      <c r="F172" s="2999">
        <v>0.25317838418654132</v>
      </c>
    </row>
    <row r="173" spans="1:6" hidden="1">
      <c r="A173" s="3000" t="s">
        <v>3854</v>
      </c>
      <c r="B173" s="2997" t="s">
        <v>3664</v>
      </c>
      <c r="C173" s="2998" t="s">
        <v>2807</v>
      </c>
      <c r="D173" s="2999">
        <v>9.2300000000000007E-2</v>
      </c>
      <c r="E173" s="2999">
        <v>0.10377513811343204</v>
      </c>
      <c r="F173" s="2999">
        <v>0.15457513811343204</v>
      </c>
    </row>
  </sheetData>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W81"/>
  <sheetViews>
    <sheetView showGridLines="0" zoomScaleNormal="100" workbookViewId="0"/>
  </sheetViews>
  <sheetFormatPr defaultColWidth="10.33203125" defaultRowHeight="12.75"/>
  <cols>
    <col min="1" max="1" width="27.6640625" style="1268" customWidth="1"/>
    <col min="2" max="2" width="1.83203125" style="1268" customWidth="1"/>
    <col min="3" max="3" width="2" style="1268" customWidth="1"/>
    <col min="4" max="4" width="15.1640625" style="1268" customWidth="1"/>
    <col min="5" max="5" width="2.5" style="1268" customWidth="1"/>
    <col min="6" max="6" width="9.6640625" style="1268" customWidth="1"/>
    <col min="7" max="7" width="3.83203125" style="1268" customWidth="1"/>
    <col min="8" max="8" width="28" style="1268" customWidth="1"/>
    <col min="9" max="9" width="2.83203125" style="1286" customWidth="1"/>
    <col min="10" max="10" width="15.1640625" style="1268" customWidth="1"/>
    <col min="11" max="11" width="2.6640625" style="1268" customWidth="1"/>
    <col min="12" max="12" width="11.33203125" style="1268" customWidth="1"/>
    <col min="13" max="13" width="4.1640625" style="1268" customWidth="1"/>
    <col min="14" max="15" width="10.33203125" style="1268"/>
    <col min="16" max="17" width="13.1640625" style="1268" bestFit="1" customWidth="1"/>
    <col min="18" max="18" width="10.33203125" style="1268"/>
    <col min="19" max="19" width="20.5" style="1268" customWidth="1"/>
    <col min="20" max="20" width="15.83203125" style="1268" customWidth="1"/>
    <col min="21" max="21" width="13.1640625" style="1268" customWidth="1"/>
    <col min="22" max="16384" width="10.33203125" style="1268"/>
  </cols>
  <sheetData>
    <row r="1" spans="1:21">
      <c r="A1" s="1265" t="s">
        <v>1608</v>
      </c>
      <c r="B1" s="1266"/>
      <c r="C1" s="1266"/>
      <c r="D1" s="1266"/>
      <c r="E1" s="1266"/>
      <c r="F1" s="1266"/>
      <c r="G1" s="1266"/>
      <c r="H1" s="1266"/>
      <c r="I1" s="1267"/>
      <c r="J1" s="1266"/>
      <c r="K1" s="1266"/>
      <c r="L1" s="1266"/>
      <c r="M1" s="1266"/>
      <c r="N1" s="1266"/>
      <c r="O1" s="1266"/>
      <c r="P1" s="1266"/>
      <c r="Q1" s="1266"/>
      <c r="R1" s="1266"/>
      <c r="S1" s="1266"/>
      <c r="T1" s="1266"/>
      <c r="U1" s="1266"/>
    </row>
    <row r="2" spans="1:21">
      <c r="A2" s="1265" t="s">
        <v>1715</v>
      </c>
      <c r="B2" s="1266"/>
      <c r="C2" s="1266"/>
      <c r="D2" s="1266"/>
      <c r="E2" s="1266"/>
      <c r="F2" s="1266"/>
      <c r="G2" s="1266"/>
      <c r="H2" s="1266"/>
      <c r="I2" s="1267"/>
      <c r="J2" s="1266"/>
      <c r="K2" s="1266"/>
      <c r="L2" s="1266"/>
      <c r="M2" s="1266"/>
      <c r="N2" s="1266"/>
      <c r="O2" s="1266"/>
      <c r="P2" s="1266"/>
      <c r="Q2" s="1266"/>
      <c r="R2" s="1266"/>
      <c r="S2" s="1266"/>
      <c r="T2" s="1266"/>
      <c r="U2" s="1266"/>
    </row>
    <row r="3" spans="1:21">
      <c r="A3" s="1269">
        <f>'Common Stock'!N6</f>
        <v>43281</v>
      </c>
      <c r="B3" s="1266"/>
      <c r="C3" s="1266"/>
      <c r="D3" s="1266"/>
      <c r="E3" s="1266"/>
      <c r="F3" s="1266"/>
      <c r="G3" s="1266"/>
      <c r="H3" s="1266"/>
      <c r="I3" s="1267"/>
      <c r="J3" s="1266"/>
      <c r="K3" s="1266"/>
      <c r="L3" s="1266"/>
      <c r="M3" s="1266"/>
      <c r="N3" s="1266"/>
      <c r="O3" s="1266"/>
      <c r="P3" s="1266"/>
      <c r="Q3" s="1266"/>
      <c r="R3" s="1266"/>
      <c r="S3" s="1266"/>
      <c r="T3" s="1266"/>
      <c r="U3" s="1266"/>
    </row>
    <row r="4" spans="1:21" ht="13.15" customHeight="1">
      <c r="A4" s="1266"/>
      <c r="B4" s="1266"/>
      <c r="C4" s="1266"/>
      <c r="D4" s="1270"/>
      <c r="E4" s="1265"/>
      <c r="F4" s="1265"/>
      <c r="G4" s="1265"/>
      <c r="H4" s="1265"/>
      <c r="I4" s="1271"/>
      <c r="J4" s="1270"/>
      <c r="K4" s="1265"/>
      <c r="L4" s="1265"/>
      <c r="M4" s="1266"/>
      <c r="N4" s="1266"/>
      <c r="O4" s="1266"/>
      <c r="P4" s="1266"/>
      <c r="Q4" s="1266"/>
      <c r="R4" s="1266"/>
      <c r="S4" s="1266"/>
      <c r="T4" s="1266"/>
      <c r="U4" s="1266"/>
    </row>
    <row r="5" spans="1:21" ht="13.5" thickBot="1">
      <c r="A5" s="1266"/>
      <c r="B5" s="1266"/>
      <c r="C5" s="1266"/>
      <c r="D5" s="1272" t="s">
        <v>1716</v>
      </c>
      <c r="E5" s="1265"/>
      <c r="F5" s="1273" t="s">
        <v>1717</v>
      </c>
      <c r="G5" s="1265"/>
      <c r="H5" s="1273" t="s">
        <v>1718</v>
      </c>
      <c r="I5" s="1274"/>
      <c r="J5" s="1272" t="s">
        <v>1716</v>
      </c>
      <c r="K5" s="1265"/>
      <c r="L5" s="1273" t="s">
        <v>1717</v>
      </c>
      <c r="M5" s="1266"/>
      <c r="N5" s="1266"/>
      <c r="O5" s="1266"/>
      <c r="P5" s="1266"/>
      <c r="Q5" s="1266"/>
      <c r="R5" s="1266"/>
      <c r="S5" s="1266"/>
      <c r="T5" s="1266"/>
      <c r="U5" s="1266"/>
    </row>
    <row r="6" spans="1:21" ht="7.5" customHeight="1">
      <c r="A6" s="1266"/>
      <c r="B6" s="1266"/>
      <c r="C6" s="1266"/>
      <c r="D6" s="1275"/>
      <c r="E6" s="1266"/>
      <c r="F6" s="1274"/>
      <c r="G6" s="1266"/>
      <c r="H6" s="1266"/>
      <c r="I6" s="1267"/>
      <c r="J6" s="1266"/>
      <c r="K6" s="1266"/>
      <c r="L6" s="1266"/>
      <c r="M6" s="1266"/>
      <c r="N6" s="1266"/>
      <c r="O6" s="1266"/>
      <c r="P6" s="1266"/>
      <c r="Q6" s="1266"/>
      <c r="R6" s="1266"/>
      <c r="S6" s="1266"/>
      <c r="T6" s="1266"/>
      <c r="U6" s="1266"/>
    </row>
    <row r="7" spans="1:21" ht="13.5">
      <c r="A7" s="1276" t="s">
        <v>1719</v>
      </c>
      <c r="B7" s="1266"/>
      <c r="C7" s="1266"/>
      <c r="D7" s="1254"/>
      <c r="E7" s="1254"/>
      <c r="F7" s="1254"/>
      <c r="G7" s="1254"/>
      <c r="H7" s="1254"/>
      <c r="I7" s="1277"/>
      <c r="J7" s="1254"/>
      <c r="K7" s="1254"/>
      <c r="L7" s="1266"/>
      <c r="M7" s="1266"/>
      <c r="N7" s="1266"/>
      <c r="O7" s="1266"/>
      <c r="P7" s="1266"/>
      <c r="Q7" s="1266"/>
      <c r="R7" s="1266"/>
      <c r="S7" s="1266"/>
      <c r="T7" s="1266"/>
      <c r="U7" s="1266"/>
    </row>
    <row r="8" spans="1:21">
      <c r="A8" s="1278" t="s">
        <v>1720</v>
      </c>
      <c r="B8" s="1266"/>
      <c r="C8" s="1266"/>
      <c r="D8" s="1279">
        <f>'Cap Table (3)'!L14+'Cap Table (3)'!L15+'Cap Table (3)'!O14+'Cap Table (3)'!O15</f>
        <v>15166666</v>
      </c>
      <c r="E8" s="1254"/>
      <c r="F8" s="1280">
        <f t="shared" ref="F8:F17" si="0">D8/$D$41</f>
        <v>0.2017761670217218</v>
      </c>
      <c r="G8" s="1254"/>
      <c r="H8" s="1278" t="s">
        <v>1720</v>
      </c>
      <c r="I8" s="1281"/>
      <c r="J8" s="1254">
        <f>D8+D20</f>
        <v>15326666</v>
      </c>
      <c r="K8" s="1254"/>
      <c r="L8" s="1280">
        <f>J8/$J$23</f>
        <v>0.20390479481134116</v>
      </c>
      <c r="M8" s="1266"/>
      <c r="N8" s="1266"/>
      <c r="O8" s="1266"/>
      <c r="P8" s="1266"/>
      <c r="Q8" s="1266"/>
      <c r="R8" s="1266"/>
      <c r="S8" s="1266"/>
      <c r="T8" s="1266"/>
      <c r="U8" s="1266"/>
    </row>
    <row r="9" spans="1:21">
      <c r="A9" s="1278" t="s">
        <v>1721</v>
      </c>
      <c r="B9" s="1266"/>
      <c r="C9" s="1266"/>
      <c r="D9" s="1282">
        <f>'Cap Table (3)'!W18+'Cap Table (3)'!W19</f>
        <v>13583333</v>
      </c>
      <c r="E9" s="1277"/>
      <c r="F9" s="1280">
        <f t="shared" si="0"/>
        <v>0.18071162562158785</v>
      </c>
      <c r="G9" s="1254"/>
      <c r="H9" s="1278" t="s">
        <v>1721</v>
      </c>
      <c r="I9" s="1281"/>
      <c r="J9" s="1277">
        <f>D9</f>
        <v>13583333</v>
      </c>
      <c r="K9" s="1277"/>
      <c r="L9" s="1283">
        <f>J9/$J$23</f>
        <v>0.18071162562158785</v>
      </c>
      <c r="M9" s="1266"/>
      <c r="N9" s="1266"/>
      <c r="O9" s="1266"/>
      <c r="P9" s="1266"/>
      <c r="Q9" s="1266"/>
      <c r="R9" s="1266"/>
      <c r="S9" s="1266"/>
      <c r="T9" s="1266"/>
      <c r="U9" s="1266"/>
    </row>
    <row r="10" spans="1:21">
      <c r="A10" s="1278" t="s">
        <v>1722</v>
      </c>
      <c r="B10" s="1266"/>
      <c r="C10" s="1266"/>
      <c r="D10" s="1282">
        <f>'Cap Table (3)'!L16+'Cap Table (3)'!L17+'Cap Table (3)'!O16+'Cap Table (3)'!O17</f>
        <v>15499999</v>
      </c>
      <c r="E10" s="1277"/>
      <c r="F10" s="1280">
        <f t="shared" si="0"/>
        <v>0.20621080381545429</v>
      </c>
      <c r="G10" s="1254"/>
      <c r="H10" s="1278" t="s">
        <v>1722</v>
      </c>
      <c r="I10" s="1281"/>
      <c r="J10" s="1277">
        <f>D10+D21</f>
        <v>15659999</v>
      </c>
      <c r="K10" s="1277"/>
      <c r="L10" s="1283">
        <f>J10/$J$23</f>
        <v>0.20833943160507368</v>
      </c>
      <c r="M10" s="1266"/>
      <c r="N10" s="1266"/>
      <c r="O10" s="1266"/>
      <c r="P10" s="1266"/>
      <c r="Q10" s="1266"/>
      <c r="R10" s="1266"/>
      <c r="S10" s="1266"/>
      <c r="T10" s="1266"/>
      <c r="U10" s="1266"/>
    </row>
    <row r="11" spans="1:21">
      <c r="A11" s="1278" t="s">
        <v>1723</v>
      </c>
      <c r="B11" s="1266"/>
      <c r="C11" s="1266"/>
      <c r="D11" s="1282">
        <f>'Cap Table (3)'!W23+'Cap Table (3)'!W24</f>
        <v>3666667</v>
      </c>
      <c r="E11" s="1277"/>
      <c r="F11" s="1280">
        <f t="shared" si="0"/>
        <v>4.8781057946752145E-2</v>
      </c>
      <c r="G11" s="1254"/>
      <c r="H11" s="1278" t="s">
        <v>1723</v>
      </c>
      <c r="I11" s="1281"/>
      <c r="J11" s="1282">
        <f>D11</f>
        <v>3666667</v>
      </c>
      <c r="K11" s="1277"/>
      <c r="L11" s="1280">
        <f>J11/$D$41</f>
        <v>4.8781057946752145E-2</v>
      </c>
      <c r="M11" s="1266"/>
      <c r="N11" s="1266"/>
      <c r="O11" s="1266"/>
      <c r="P11" s="1266"/>
      <c r="Q11" s="1266"/>
      <c r="R11" s="1266"/>
      <c r="S11" s="1266"/>
      <c r="T11" s="1266"/>
      <c r="U11" s="1266"/>
    </row>
    <row r="12" spans="1:21">
      <c r="A12" s="1278" t="s">
        <v>1724</v>
      </c>
      <c r="B12" s="1266"/>
      <c r="C12" s="1266"/>
      <c r="D12" s="1282">
        <f>'Cap Table (3)'!W20</f>
        <v>2366666</v>
      </c>
      <c r="E12" s="1277"/>
      <c r="F12" s="1280">
        <f t="shared" si="0"/>
        <v>3.1485943852170954E-2</v>
      </c>
      <c r="G12" s="1254"/>
      <c r="H12" s="1278" t="s">
        <v>1724</v>
      </c>
      <c r="I12" s="1281"/>
      <c r="J12" s="1282">
        <f>D12</f>
        <v>2366666</v>
      </c>
      <c r="K12" s="1277"/>
      <c r="L12" s="1280">
        <f>J12/$D$41</f>
        <v>3.1485943852170954E-2</v>
      </c>
      <c r="M12" s="1266"/>
      <c r="N12" s="1266"/>
      <c r="O12" s="1266"/>
      <c r="P12" s="1266"/>
      <c r="Q12" s="1266"/>
      <c r="R12" s="1266"/>
      <c r="S12" s="1266"/>
      <c r="T12" s="1266"/>
      <c r="U12" s="1266"/>
    </row>
    <row r="13" spans="1:21">
      <c r="A13" s="1278" t="s">
        <v>1725</v>
      </c>
      <c r="B13" s="1266"/>
      <c r="C13" s="1266"/>
      <c r="D13" s="1282">
        <f>'Cap Table (3)'!W22</f>
        <v>2286227</v>
      </c>
      <c r="E13" s="1277"/>
      <c r="F13" s="1280">
        <f t="shared" si="0"/>
        <v>3.0415789534863492E-2</v>
      </c>
      <c r="G13" s="1254"/>
      <c r="H13" s="1278" t="s">
        <v>1725</v>
      </c>
      <c r="I13" s="1281"/>
      <c r="J13" s="1282">
        <f>D13</f>
        <v>2286227</v>
      </c>
      <c r="K13" s="1277"/>
      <c r="L13" s="1280">
        <f>J13/$D$41</f>
        <v>3.0415789534863492E-2</v>
      </c>
      <c r="M13" s="1266"/>
      <c r="N13" s="1266"/>
      <c r="O13" s="1266"/>
      <c r="P13" s="1266"/>
      <c r="Q13" s="1266"/>
      <c r="R13" s="1266"/>
      <c r="S13" s="1266"/>
      <c r="T13" s="1266"/>
      <c r="U13" s="1266"/>
    </row>
    <row r="14" spans="1:21">
      <c r="A14" s="1278" t="s">
        <v>1726</v>
      </c>
      <c r="B14" s="1266"/>
      <c r="C14" s="1266"/>
      <c r="D14" s="1282">
        <f>'Cap Table (3)'!L21</f>
        <v>547106</v>
      </c>
      <c r="E14" s="1277"/>
      <c r="F14" s="1280">
        <f t="shared" si="0"/>
        <v>7.2786564716718965E-3</v>
      </c>
      <c r="G14" s="1254"/>
      <c r="H14" s="1278" t="s">
        <v>1726</v>
      </c>
      <c r="I14" s="1281"/>
      <c r="J14" s="1282">
        <f>D14</f>
        <v>547106</v>
      </c>
      <c r="K14" s="1277"/>
      <c r="L14" s="1280">
        <f>J14/$D$41</f>
        <v>7.2786564716718965E-3</v>
      </c>
      <c r="M14" s="1266"/>
      <c r="N14" s="1266"/>
      <c r="O14" s="1266"/>
      <c r="P14" s="1266"/>
      <c r="Q14" s="1266"/>
      <c r="R14" s="1266"/>
      <c r="S14" s="1266"/>
      <c r="T14" s="1266"/>
      <c r="U14" s="1266"/>
    </row>
    <row r="15" spans="1:21">
      <c r="A15" s="1278" t="s">
        <v>1727</v>
      </c>
      <c r="B15" s="1266"/>
      <c r="C15" s="1266"/>
      <c r="D15" s="1282">
        <f>'Cap Table (3)'!W25</f>
        <v>833333</v>
      </c>
      <c r="E15" s="1277"/>
      <c r="F15" s="1280">
        <f t="shared" si="0"/>
        <v>1.108659863629307E-2</v>
      </c>
      <c r="G15" s="1254"/>
      <c r="H15" s="1278" t="s">
        <v>1727</v>
      </c>
      <c r="I15" s="1281"/>
      <c r="J15" s="1282">
        <f>D15</f>
        <v>833333</v>
      </c>
      <c r="K15" s="1277"/>
      <c r="L15" s="1280">
        <f>J15/$D$41</f>
        <v>1.108659863629307E-2</v>
      </c>
      <c r="M15" s="1266"/>
      <c r="N15" s="1266"/>
      <c r="O15" s="1266"/>
      <c r="P15" s="1266"/>
      <c r="Q15" s="1266"/>
      <c r="R15" s="1266"/>
      <c r="S15" s="1266"/>
      <c r="T15" s="1266"/>
      <c r="U15" s="1266"/>
    </row>
    <row r="16" spans="1:21">
      <c r="A16" s="1278" t="s">
        <v>1728</v>
      </c>
      <c r="B16" s="1266"/>
      <c r="C16" s="1266"/>
      <c r="D16" s="1279">
        <f>'Cap Table (3)'!W28+'Cap Table (3)'!L101+'Cap Table (3)'!O101</f>
        <v>1124999</v>
      </c>
      <c r="E16" s="1254"/>
      <c r="F16" s="1280">
        <f t="shared" si="0"/>
        <v>1.4966900841837619E-2</v>
      </c>
      <c r="G16" s="1254"/>
      <c r="H16" s="1278" t="s">
        <v>1729</v>
      </c>
      <c r="I16" s="1281"/>
      <c r="J16" s="1254">
        <f>+D23</f>
        <v>8585000</v>
      </c>
      <c r="K16" s="1254"/>
      <c r="L16" s="1280">
        <f t="shared" ref="L16:L22" si="1">J16/J$23</f>
        <v>0.11421418483676515</v>
      </c>
      <c r="M16" s="1266"/>
      <c r="N16" s="1266"/>
      <c r="O16" s="1266"/>
      <c r="P16" s="1266"/>
      <c r="Q16" s="1266"/>
      <c r="R16" s="1266"/>
      <c r="S16" s="1266"/>
      <c r="T16" s="1266"/>
      <c r="U16" s="1266"/>
    </row>
    <row r="17" spans="1:21">
      <c r="A17" s="1278" t="s">
        <v>1730</v>
      </c>
      <c r="B17" s="1266"/>
      <c r="C17" s="1266"/>
      <c r="D17" s="1284">
        <f>SUM(D8:D16)</f>
        <v>55074996</v>
      </c>
      <c r="E17" s="1254"/>
      <c r="F17" s="1285">
        <f t="shared" si="0"/>
        <v>0.73271354374235309</v>
      </c>
      <c r="G17" s="1254"/>
      <c r="H17" s="1278" t="s">
        <v>1731</v>
      </c>
      <c r="J17" s="1287">
        <f>D26+D35</f>
        <v>240000</v>
      </c>
      <c r="L17" s="1280">
        <f t="shared" si="1"/>
        <v>3.192941684429078E-3</v>
      </c>
      <c r="M17" s="1266"/>
      <c r="N17" s="1266"/>
      <c r="O17" s="1266"/>
      <c r="P17" s="1266"/>
      <c r="Q17" s="1266"/>
      <c r="R17" s="1266"/>
      <c r="S17" s="1266"/>
      <c r="T17" s="1266"/>
      <c r="U17" s="1266"/>
    </row>
    <row r="18" spans="1:21">
      <c r="A18" s="1266"/>
      <c r="B18" s="1266"/>
      <c r="C18" s="1266"/>
      <c r="G18" s="1254"/>
      <c r="H18" s="1278" t="s">
        <v>1732</v>
      </c>
      <c r="I18" s="1281"/>
      <c r="J18" s="1254">
        <f>+D27+D36</f>
        <v>120000</v>
      </c>
      <c r="K18" s="1254"/>
      <c r="L18" s="1280">
        <f t="shared" si="1"/>
        <v>1.596470842214539E-3</v>
      </c>
      <c r="M18" s="1266"/>
      <c r="N18" s="1266"/>
      <c r="O18" s="1266"/>
      <c r="P18" s="1266"/>
      <c r="Q18" s="1266"/>
      <c r="R18" s="1266"/>
      <c r="S18" s="1266"/>
      <c r="T18" s="1266"/>
      <c r="U18" s="1266"/>
    </row>
    <row r="19" spans="1:21" ht="13.5">
      <c r="A19" s="1276" t="s">
        <v>1733</v>
      </c>
      <c r="B19" s="1266"/>
      <c r="C19" s="1266"/>
      <c r="D19" s="1254"/>
      <c r="E19" s="1254"/>
      <c r="F19" s="1280"/>
      <c r="G19" s="1254"/>
      <c r="H19" s="1278" t="s">
        <v>1734</v>
      </c>
      <c r="I19" s="1281"/>
      <c r="J19" s="1254">
        <f>D28+D37</f>
        <v>6441250</v>
      </c>
      <c r="K19" s="1254"/>
      <c r="L19" s="1280">
        <f t="shared" si="1"/>
        <v>8.5693898436786667E-2</v>
      </c>
      <c r="M19" s="1266"/>
      <c r="N19" s="1266"/>
      <c r="O19" s="1287"/>
      <c r="P19" s="1266"/>
      <c r="Q19" s="1266"/>
      <c r="R19" s="1266"/>
      <c r="S19" s="1266"/>
      <c r="T19" s="1266"/>
      <c r="U19" s="1266"/>
    </row>
    <row r="20" spans="1:21">
      <c r="A20" s="1278" t="s">
        <v>1720</v>
      </c>
      <c r="B20" s="1266"/>
      <c r="C20" s="1266"/>
      <c r="D20" s="1254">
        <f>'Cap Table (3)'!C14</f>
        <v>160000</v>
      </c>
      <c r="E20" s="1254"/>
      <c r="F20" s="1280">
        <f>D20/$D$41</f>
        <v>2.1286277896193856E-3</v>
      </c>
      <c r="G20" s="1254"/>
      <c r="H20" s="1278" t="s">
        <v>1735</v>
      </c>
      <c r="J20" s="1287">
        <f>D29</f>
        <v>322200</v>
      </c>
      <c r="L20" s="1280">
        <f t="shared" si="1"/>
        <v>4.2865242113460378E-3</v>
      </c>
      <c r="M20" s="1266"/>
      <c r="N20" s="1266"/>
      <c r="O20" s="1266"/>
      <c r="P20" s="1266"/>
      <c r="Q20" s="1266"/>
      <c r="R20" s="1266"/>
      <c r="S20" s="1266"/>
      <c r="T20" s="1266"/>
      <c r="U20" s="1266"/>
    </row>
    <row r="21" spans="1:21">
      <c r="A21" s="1278" t="s">
        <v>1722</v>
      </c>
      <c r="B21" s="1266"/>
      <c r="C21" s="1266"/>
      <c r="D21" s="1288">
        <f>'Cap Table (3)'!C16</f>
        <v>160000</v>
      </c>
      <c r="E21" s="1254"/>
      <c r="F21" s="1289">
        <f>D21/$D$41</f>
        <v>2.1286277896193856E-3</v>
      </c>
      <c r="G21" s="1254"/>
      <c r="H21" s="1278" t="s">
        <v>1728</v>
      </c>
      <c r="I21" s="1281"/>
      <c r="J21" s="1254">
        <f>D16+D30+D24+D34</f>
        <v>3059999</v>
      </c>
      <c r="K21" s="1254"/>
      <c r="L21" s="1280">
        <f t="shared" si="1"/>
        <v>4.070999317254706E-2</v>
      </c>
      <c r="M21" s="1266"/>
      <c r="N21" s="1266"/>
      <c r="O21" s="1266"/>
      <c r="P21" s="1266"/>
      <c r="Q21" s="1266"/>
      <c r="R21" s="1266"/>
      <c r="S21" s="1266"/>
      <c r="T21" s="1266"/>
      <c r="U21" s="1266"/>
    </row>
    <row r="22" spans="1:21">
      <c r="A22" s="1290" t="s">
        <v>1736</v>
      </c>
      <c r="B22" s="1266"/>
      <c r="C22" s="1266"/>
      <c r="D22" s="1254">
        <f>SUM(D20:D21)</f>
        <v>320000</v>
      </c>
      <c r="E22" s="1254"/>
      <c r="F22" s="1280">
        <f>D22/$D$41</f>
        <v>4.2572555792387713E-3</v>
      </c>
      <c r="G22" s="1254"/>
      <c r="H22" s="1291" t="s">
        <v>1737</v>
      </c>
      <c r="I22" s="1292"/>
      <c r="J22" s="1254">
        <f>D38</f>
        <v>2127348.969072165</v>
      </c>
      <c r="K22" s="1254"/>
      <c r="L22" s="1280">
        <f t="shared" si="1"/>
        <v>2.8302088336157254E-2</v>
      </c>
      <c r="N22" s="1266"/>
      <c r="O22" s="1266"/>
      <c r="P22" s="1266"/>
      <c r="Q22" s="1266"/>
      <c r="R22" s="1266"/>
      <c r="S22" s="1266"/>
      <c r="T22" s="1266"/>
      <c r="U22" s="1266"/>
    </row>
    <row r="23" spans="1:21" ht="13.5" thickBot="1">
      <c r="A23" s="1278" t="s">
        <v>1729</v>
      </c>
      <c r="B23" s="1266"/>
      <c r="C23" s="1266"/>
      <c r="D23" s="1254">
        <f>'Cap Table (3)'!C8+'Cap Table (3)'!C9+'Cap Table (3)'!C10+'Cap Table (3)'!C11</f>
        <v>8585000</v>
      </c>
      <c r="E23" s="1254"/>
      <c r="F23" s="1280">
        <f t="shared" ref="F23:F30" si="2">D23/D$41</f>
        <v>0.11421418483676515</v>
      </c>
      <c r="G23" s="1254"/>
      <c r="H23" s="1254"/>
      <c r="I23" s="1277"/>
      <c r="J23" s="1293">
        <f>SUM(J8:J22)</f>
        <v>75165794.969072163</v>
      </c>
      <c r="K23" s="1254"/>
      <c r="L23" s="1294">
        <f>SUM(L8:L22)</f>
        <v>1</v>
      </c>
      <c r="N23" s="1266"/>
      <c r="O23" s="1266"/>
      <c r="P23" s="1266"/>
      <c r="Q23" s="1266"/>
      <c r="R23" s="1266"/>
      <c r="S23" s="1266"/>
      <c r="T23" s="1266"/>
      <c r="U23" s="1266"/>
    </row>
    <row r="24" spans="1:21" ht="13.5" hidden="1" thickTop="1">
      <c r="A24" s="1278" t="s">
        <v>1738</v>
      </c>
      <c r="D24" s="1254">
        <f>'Cap Table (3)'!C29</f>
        <v>0</v>
      </c>
      <c r="F24" s="1280">
        <f t="shared" si="2"/>
        <v>0</v>
      </c>
      <c r="G24" s="1254"/>
      <c r="M24" s="1266"/>
      <c r="N24" s="1266"/>
      <c r="O24" s="1266"/>
      <c r="P24" s="1266"/>
      <c r="Q24" s="1287" t="s">
        <v>1730</v>
      </c>
      <c r="R24" s="1266"/>
      <c r="S24" s="1266"/>
      <c r="T24" s="1266"/>
      <c r="U24" s="1266"/>
    </row>
    <row r="25" spans="1:21" ht="13.5" thickTop="1">
      <c r="A25" s="1278" t="s">
        <v>1738</v>
      </c>
      <c r="B25" s="1295"/>
      <c r="C25" s="1295"/>
      <c r="D25" s="1254">
        <f>'Cap Table (3)'!C28</f>
        <v>0</v>
      </c>
      <c r="E25" s="1295"/>
      <c r="F25" s="1280">
        <v>0</v>
      </c>
      <c r="G25" s="1254"/>
      <c r="M25" s="1266"/>
      <c r="N25" s="1266"/>
      <c r="O25" s="1266"/>
      <c r="P25" s="1266"/>
      <c r="Q25" s="1287"/>
      <c r="R25" s="1266"/>
      <c r="S25" s="1266"/>
      <c r="T25" s="1266"/>
      <c r="U25" s="1266"/>
    </row>
    <row r="26" spans="1:21">
      <c r="A26" s="1278" t="s">
        <v>1731</v>
      </c>
      <c r="B26" s="1266"/>
      <c r="C26" s="1266"/>
      <c r="D26" s="1254">
        <f>SUM('Cap Table (3)'!C83:C88)</f>
        <v>40000</v>
      </c>
      <c r="E26" s="1254"/>
      <c r="F26" s="1280">
        <f t="shared" si="2"/>
        <v>5.3215694740484641E-4</v>
      </c>
      <c r="G26" s="1254"/>
      <c r="M26" s="1266"/>
      <c r="N26" s="1266"/>
      <c r="O26" s="1266"/>
      <c r="P26" s="1266"/>
      <c r="Q26" s="1287"/>
      <c r="R26" s="1266"/>
      <c r="S26" s="1266"/>
      <c r="T26" s="1266"/>
      <c r="U26" s="1266"/>
    </row>
    <row r="27" spans="1:21">
      <c r="A27" s="1278" t="s">
        <v>1732</v>
      </c>
      <c r="B27" s="1266"/>
      <c r="C27" s="1266"/>
      <c r="D27" s="1254">
        <f>SUM('Cap Table (3)'!W91:W94)</f>
        <v>50000</v>
      </c>
      <c r="E27" s="1254"/>
      <c r="F27" s="1280">
        <f t="shared" si="2"/>
        <v>6.6519618425605795E-4</v>
      </c>
      <c r="G27" s="1254"/>
      <c r="H27" s="1291"/>
      <c r="I27" s="1291"/>
      <c r="J27" s="1291"/>
      <c r="K27" s="1291"/>
      <c r="L27" s="1280"/>
      <c r="M27" s="1266"/>
      <c r="N27" s="1266"/>
      <c r="O27" s="1266"/>
      <c r="P27" s="1266"/>
      <c r="Q27" s="1266"/>
      <c r="R27" s="1266"/>
      <c r="S27" s="1266"/>
      <c r="T27" s="1266"/>
      <c r="U27" s="1266"/>
    </row>
    <row r="28" spans="1:21">
      <c r="A28" s="1278" t="s">
        <v>1734</v>
      </c>
      <c r="B28" s="1266"/>
      <c r="C28" s="1266"/>
      <c r="D28" s="1254">
        <f>SUM('Cap Table (3)'!C37:C80)+'Cap Table (3)'!W32</f>
        <v>5174846</v>
      </c>
      <c r="E28" s="1254"/>
      <c r="F28" s="1280">
        <f t="shared" si="2"/>
        <v>6.8845756266254485E-2</v>
      </c>
      <c r="G28" s="1254"/>
      <c r="H28" s="1291"/>
      <c r="J28" s="1296"/>
      <c r="K28" s="1254"/>
      <c r="L28" s="1280"/>
      <c r="M28" s="1266"/>
      <c r="N28" s="1266"/>
      <c r="O28" s="1266"/>
      <c r="P28" s="1266"/>
      <c r="Q28" s="1266"/>
      <c r="R28" s="1266"/>
      <c r="S28" s="1266"/>
      <c r="T28" s="1266"/>
      <c r="U28" s="1266"/>
    </row>
    <row r="29" spans="1:21">
      <c r="A29" s="1278" t="s">
        <v>1735</v>
      </c>
      <c r="B29" s="1266"/>
      <c r="C29" s="1266"/>
      <c r="D29" s="1254">
        <f>'Cap Table (3)'!C98</f>
        <v>322200</v>
      </c>
      <c r="E29" s="1254"/>
      <c r="F29" s="1280">
        <f t="shared" si="2"/>
        <v>4.2865242113460378E-3</v>
      </c>
      <c r="G29" s="1254"/>
      <c r="H29" s="1291"/>
      <c r="I29" s="1292"/>
      <c r="J29" s="1254"/>
      <c r="K29" s="1254"/>
      <c r="L29" s="1280"/>
      <c r="M29" s="1266"/>
      <c r="N29" s="1266"/>
      <c r="O29" s="1266"/>
      <c r="P29" s="1266"/>
      <c r="Q29" s="1266"/>
      <c r="R29" s="1266"/>
      <c r="S29" s="1266"/>
      <c r="T29" s="1266"/>
      <c r="U29" s="1266"/>
    </row>
    <row r="30" spans="1:21">
      <c r="A30" s="1278" t="s">
        <v>1728</v>
      </c>
      <c r="B30" s="1266"/>
      <c r="C30" s="1266"/>
      <c r="D30" s="1254">
        <f>SUM('Cap Table (3)'!C101:C120)</f>
        <v>1835000</v>
      </c>
      <c r="E30" s="1254"/>
      <c r="F30" s="1280">
        <f t="shared" si="2"/>
        <v>2.4412699962197328E-2</v>
      </c>
      <c r="G30" s="1254"/>
      <c r="M30" s="1266"/>
      <c r="N30" s="1266"/>
      <c r="O30" s="1266"/>
      <c r="P30" s="1266"/>
      <c r="Q30" s="1266"/>
      <c r="R30" s="1266"/>
      <c r="S30" s="1266"/>
      <c r="T30" s="1266"/>
      <c r="U30" s="1266"/>
    </row>
    <row r="31" spans="1:21">
      <c r="A31" s="1290"/>
      <c r="B31" s="1266"/>
      <c r="C31" s="1266"/>
      <c r="D31" s="1284">
        <f>SUM(D22:D30)</f>
        <v>16327046</v>
      </c>
      <c r="E31" s="1254"/>
      <c r="F31" s="1285">
        <f>D31/D41</f>
        <v>0.21721377398746267</v>
      </c>
      <c r="G31" s="1254"/>
      <c r="M31" s="1266"/>
      <c r="N31" s="1266"/>
      <c r="O31" s="1266"/>
      <c r="P31" s="1287"/>
      <c r="Q31" s="1287"/>
      <c r="R31" s="1266"/>
      <c r="S31" s="1266"/>
      <c r="T31" s="1266"/>
      <c r="U31" s="1266"/>
    </row>
    <row r="32" spans="1:21">
      <c r="A32" s="1266"/>
      <c r="B32" s="1266"/>
      <c r="C32" s="1266"/>
      <c r="D32" s="1277"/>
      <c r="E32" s="1254"/>
      <c r="F32" s="1283"/>
      <c r="G32" s="1254"/>
      <c r="M32" s="1266"/>
      <c r="N32" s="1266"/>
      <c r="O32" s="1266"/>
      <c r="P32" s="1287"/>
      <c r="Q32" s="1287"/>
      <c r="R32" s="1266"/>
      <c r="S32" s="1266"/>
      <c r="T32" s="1266"/>
      <c r="U32" s="1266"/>
    </row>
    <row r="33" spans="1:23" ht="13.5">
      <c r="A33" s="1276" t="s">
        <v>1739</v>
      </c>
      <c r="B33" s="1266"/>
      <c r="C33" s="1266"/>
      <c r="D33" s="1277"/>
      <c r="E33" s="1254"/>
      <c r="F33" s="1283"/>
      <c r="G33" s="1254"/>
      <c r="M33" s="1266"/>
      <c r="N33" s="1266"/>
      <c r="O33" s="1266"/>
      <c r="P33" s="1287"/>
      <c r="Q33" s="1266"/>
      <c r="R33" s="1266"/>
      <c r="S33" s="1266"/>
      <c r="T33" s="1266"/>
      <c r="U33" s="1266"/>
    </row>
    <row r="34" spans="1:23">
      <c r="A34" s="1278" t="s">
        <v>1738</v>
      </c>
      <c r="D34" s="1282">
        <f>'Cap Table (3)'!AD29</f>
        <v>100000</v>
      </c>
      <c r="F34" s="1280">
        <f>D34/$D$41</f>
        <v>1.3303923685121159E-3</v>
      </c>
      <c r="G34" s="1254"/>
      <c r="J34" s="1297"/>
      <c r="M34" s="1266"/>
      <c r="N34" s="1267"/>
      <c r="O34" s="1267"/>
      <c r="P34" s="1267"/>
      <c r="Q34" s="1267"/>
      <c r="R34" s="1267"/>
      <c r="S34" s="1267"/>
      <c r="T34" s="1267"/>
      <c r="U34" s="1267"/>
      <c r="V34" s="1286"/>
      <c r="W34" s="1286"/>
    </row>
    <row r="35" spans="1:23">
      <c r="A35" s="1278" t="s">
        <v>1731</v>
      </c>
      <c r="B35" s="1298"/>
      <c r="C35" s="1298"/>
      <c r="D35" s="1282">
        <f>SUM('Cap Table (3)'!AD83:AD88)</f>
        <v>200000</v>
      </c>
      <c r="E35" s="1279"/>
      <c r="F35" s="1299">
        <f>D35/D$41</f>
        <v>2.6607847370242318E-3</v>
      </c>
      <c r="G35" s="1254"/>
      <c r="M35" s="1266"/>
      <c r="N35" s="1267"/>
      <c r="O35" s="1267"/>
      <c r="P35" s="1267"/>
      <c r="Q35" s="1267"/>
      <c r="R35" s="1267"/>
      <c r="S35" s="1267"/>
      <c r="T35" s="1267"/>
      <c r="U35" s="1267"/>
      <c r="V35" s="1286"/>
      <c r="W35" s="1286"/>
    </row>
    <row r="36" spans="1:23">
      <c r="A36" s="1278" t="s">
        <v>1732</v>
      </c>
      <c r="B36" s="1266"/>
      <c r="C36" s="1266"/>
      <c r="D36" s="1277">
        <f>SUM('Cap Table (3)'!AD91:AD95)</f>
        <v>70000</v>
      </c>
      <c r="E36" s="1254"/>
      <c r="F36" s="1280">
        <f>D36/D$41</f>
        <v>9.3127465795848116E-4</v>
      </c>
      <c r="G36" s="1254"/>
      <c r="J36" s="1277" t="s">
        <v>1730</v>
      </c>
      <c r="K36" s="1277" t="s">
        <v>1730</v>
      </c>
      <c r="L36" s="1283" t="s">
        <v>1730</v>
      </c>
      <c r="M36" s="1267" t="s">
        <v>1730</v>
      </c>
      <c r="N36" s="1267"/>
      <c r="O36" s="1267"/>
      <c r="P36" s="1267"/>
      <c r="Q36" s="1267"/>
      <c r="R36" s="1267"/>
      <c r="S36" s="1300"/>
      <c r="T36" s="1277"/>
      <c r="U36" s="1267"/>
      <c r="V36" s="1286"/>
      <c r="W36" s="1286"/>
    </row>
    <row r="37" spans="1:23">
      <c r="A37" s="1278" t="s">
        <v>1734</v>
      </c>
      <c r="B37" s="1266"/>
      <c r="C37" s="1266"/>
      <c r="D37" s="1277">
        <f>SUM('Cap Table (3)'!AD37:AD80)+'Cap Table (3)'!AD32</f>
        <v>1266404</v>
      </c>
      <c r="E37" s="1254"/>
      <c r="F37" s="1280">
        <f>D37/D$41</f>
        <v>1.6848142170532175E-2</v>
      </c>
      <c r="G37" s="1254"/>
      <c r="K37" s="1286"/>
      <c r="L37" s="1286"/>
      <c r="M37" s="1267"/>
      <c r="N37" s="1267"/>
      <c r="O37" s="1267"/>
      <c r="P37" s="1267"/>
      <c r="Q37" s="1267"/>
      <c r="R37" s="1267"/>
      <c r="S37" s="1301"/>
      <c r="T37" s="1277"/>
      <c r="U37" s="1267"/>
      <c r="V37" s="1286"/>
      <c r="W37" s="1286"/>
    </row>
    <row r="38" spans="1:23">
      <c r="A38" s="1278" t="s">
        <v>1737</v>
      </c>
      <c r="B38" s="1266"/>
      <c r="C38" s="1266"/>
      <c r="D38" s="1277">
        <f>'Cap Table (3)'!AF126</f>
        <v>2127348.969072165</v>
      </c>
      <c r="E38" s="1254"/>
      <c r="F38" s="1280">
        <f>D38/D$41</f>
        <v>2.8302088336157254E-2</v>
      </c>
      <c r="G38" s="1254"/>
      <c r="K38" s="1254"/>
      <c r="L38" s="1266"/>
      <c r="M38" s="1266"/>
      <c r="N38" s="1267"/>
      <c r="O38" s="1267"/>
      <c r="P38" s="1267"/>
      <c r="Q38" s="1302"/>
      <c r="R38" s="1267"/>
      <c r="S38" s="1267"/>
      <c r="T38" s="1303"/>
      <c r="U38" s="1304"/>
      <c r="V38" s="1286"/>
      <c r="W38" s="1286"/>
    </row>
    <row r="39" spans="1:23">
      <c r="A39" s="1290"/>
      <c r="B39" s="1266"/>
      <c r="C39" s="1266"/>
      <c r="D39" s="1284">
        <f>SUM(D34:D38)</f>
        <v>3763752.969072165</v>
      </c>
      <c r="E39" s="1254"/>
      <c r="F39" s="1285">
        <f>D39/D41</f>
        <v>5.0072682270184257E-2</v>
      </c>
      <c r="G39" s="1254"/>
      <c r="H39" s="1266" t="s">
        <v>1740</v>
      </c>
      <c r="J39" s="1287">
        <f>D31+D17</f>
        <v>71402042</v>
      </c>
      <c r="K39" s="1254"/>
      <c r="L39" s="1266"/>
      <c r="M39" s="1266"/>
      <c r="N39" s="1267"/>
      <c r="O39" s="1267"/>
      <c r="P39" s="1267"/>
      <c r="Q39" s="1267"/>
      <c r="R39" s="1267"/>
      <c r="S39" s="1267"/>
      <c r="T39" s="1303"/>
      <c r="U39" s="1286"/>
      <c r="V39" s="1286"/>
      <c r="W39" s="1286"/>
    </row>
    <row r="40" spans="1:23">
      <c r="A40" s="1266"/>
      <c r="B40" s="1266"/>
      <c r="C40" s="1266"/>
      <c r="D40" s="1254"/>
      <c r="E40" s="1254"/>
      <c r="F40" s="1254"/>
      <c r="G40" s="1254"/>
      <c r="H40" s="1254" t="s">
        <v>1741</v>
      </c>
      <c r="I40" s="1277"/>
      <c r="J40" s="1254">
        <f>D39</f>
        <v>3763752.969072165</v>
      </c>
      <c r="K40" s="1254"/>
      <c r="L40" s="1266"/>
      <c r="M40" s="1266"/>
      <c r="N40" s="1267"/>
      <c r="O40" s="1267"/>
      <c r="P40" s="1267"/>
      <c r="Q40" s="1267"/>
      <c r="R40" s="1267"/>
      <c r="S40" s="1267"/>
      <c r="T40" s="1267"/>
      <c r="U40" s="1267"/>
      <c r="V40" s="1286"/>
      <c r="W40" s="1286"/>
    </row>
    <row r="41" spans="1:23" ht="13.5" thickBot="1">
      <c r="A41" s="1265" t="s">
        <v>160</v>
      </c>
      <c r="B41" s="1266"/>
      <c r="C41" s="1266"/>
      <c r="D41" s="1305">
        <f>D17+D31+D39</f>
        <v>75165794.969072163</v>
      </c>
      <c r="E41" s="1277"/>
      <c r="F41" s="1306">
        <f>F39+F31+F17</f>
        <v>1</v>
      </c>
      <c r="G41" s="1254"/>
      <c r="H41" s="1254" t="s">
        <v>1742</v>
      </c>
      <c r="I41" s="1277"/>
      <c r="J41" s="1293">
        <f>J40+J39</f>
        <v>75165794.969072163</v>
      </c>
      <c r="K41" s="1254"/>
      <c r="L41" s="1266"/>
      <c r="M41" s="1266"/>
      <c r="N41" s="1267"/>
      <c r="O41" s="1267"/>
      <c r="P41" s="1303"/>
      <c r="Q41" s="1267"/>
      <c r="R41" s="1267"/>
      <c r="S41" s="1267"/>
      <c r="T41" s="1277"/>
      <c r="U41" s="1267"/>
      <c r="V41" s="1286"/>
      <c r="W41" s="1286"/>
    </row>
    <row r="42" spans="1:23" ht="13.5" thickTop="1">
      <c r="G42" s="1254"/>
      <c r="H42" s="1254"/>
      <c r="I42" s="1277"/>
      <c r="J42" s="1254"/>
      <c r="K42" s="1254"/>
      <c r="L42" s="1266"/>
      <c r="M42" s="1266"/>
      <c r="N42" s="1266"/>
      <c r="O42" s="1266"/>
      <c r="P42" s="1266"/>
      <c r="Q42" s="1266"/>
      <c r="R42" s="1266"/>
      <c r="S42" s="1266"/>
      <c r="T42" s="1254"/>
      <c r="U42" s="1307"/>
    </row>
    <row r="43" spans="1:23" ht="12" customHeight="1">
      <c r="G43" s="1254"/>
      <c r="H43" s="1254"/>
      <c r="I43" s="1277"/>
      <c r="J43" s="1254"/>
      <c r="K43" s="1254"/>
      <c r="M43" s="1266"/>
      <c r="N43" s="1266"/>
      <c r="O43" s="1266"/>
      <c r="P43" s="1266"/>
      <c r="Q43" s="1266"/>
      <c r="R43" s="1266"/>
      <c r="S43" s="1266"/>
      <c r="T43" s="1287" t="s">
        <v>1730</v>
      </c>
      <c r="U43" s="1266"/>
    </row>
    <row r="44" spans="1:23" ht="15" customHeight="1">
      <c r="G44" s="1254"/>
      <c r="H44" s="1254"/>
      <c r="I44" s="1277"/>
      <c r="J44" s="1308"/>
      <c r="K44" s="1254"/>
      <c r="L44" s="1266"/>
      <c r="M44" s="1266"/>
      <c r="N44" s="1266"/>
      <c r="O44" s="1266"/>
      <c r="P44" s="1266"/>
      <c r="Q44" s="1266"/>
      <c r="R44" s="1266"/>
      <c r="S44" s="1266"/>
      <c r="T44" s="1266" t="s">
        <v>1730</v>
      </c>
      <c r="U44" s="1266"/>
    </row>
    <row r="45" spans="1:23">
      <c r="G45" s="1254"/>
      <c r="H45" s="1254"/>
      <c r="I45" s="1277"/>
      <c r="J45" s="1308"/>
      <c r="K45" s="1254"/>
      <c r="L45" s="1266"/>
      <c r="M45" s="1266"/>
      <c r="N45" s="1266"/>
      <c r="O45" s="1266"/>
      <c r="P45" s="1266"/>
      <c r="Q45" s="1266"/>
      <c r="R45" s="1266"/>
      <c r="S45" s="1266"/>
      <c r="T45" s="1266" t="s">
        <v>1730</v>
      </c>
      <c r="U45" s="1266"/>
    </row>
    <row r="46" spans="1:23">
      <c r="A46" s="1266"/>
      <c r="B46" s="1266"/>
      <c r="C46" s="1266"/>
      <c r="D46" s="1254" t="s">
        <v>1730</v>
      </c>
      <c r="E46" s="1254"/>
      <c r="F46" s="1254"/>
      <c r="G46" s="1254"/>
      <c r="H46" s="1266"/>
      <c r="I46" s="1267"/>
      <c r="J46" s="1309"/>
      <c r="K46" s="1266"/>
      <c r="L46" s="1266"/>
      <c r="M46" s="1266"/>
      <c r="N46" s="1266"/>
      <c r="O46" s="1266"/>
      <c r="P46" s="1266"/>
      <c r="Q46" s="1266"/>
      <c r="R46" s="1266"/>
      <c r="S46" s="1266"/>
      <c r="T46" s="1287" t="s">
        <v>1730</v>
      </c>
      <c r="U46" s="1266"/>
    </row>
    <row r="47" spans="1:23">
      <c r="H47" s="1266"/>
      <c r="I47" s="1267"/>
      <c r="J47" s="1266"/>
      <c r="K47" s="1266"/>
      <c r="L47" s="1266"/>
      <c r="M47" s="1266"/>
      <c r="N47" s="1266"/>
      <c r="O47" s="1266"/>
      <c r="P47" s="1266"/>
      <c r="Q47" s="1266"/>
      <c r="R47" s="1266"/>
      <c r="S47" s="1266"/>
      <c r="T47" s="1266" t="s">
        <v>1730</v>
      </c>
      <c r="U47" s="1266"/>
    </row>
    <row r="48" spans="1:23">
      <c r="A48" s="1266"/>
      <c r="B48" s="1266"/>
      <c r="C48" s="1266"/>
      <c r="D48" s="1254" t="s">
        <v>1730</v>
      </c>
      <c r="E48" s="1254"/>
      <c r="F48" s="1254"/>
      <c r="G48" s="1254"/>
      <c r="H48" s="1266"/>
      <c r="I48" s="1267"/>
      <c r="J48" s="1266"/>
      <c r="K48" s="1266"/>
      <c r="L48" s="1266"/>
      <c r="M48" s="1266"/>
      <c r="N48" s="1266"/>
      <c r="O48" s="1266"/>
      <c r="P48" s="1266"/>
      <c r="Q48" s="1266"/>
      <c r="R48" s="1266"/>
      <c r="S48" s="1266"/>
      <c r="T48" s="1266" t="s">
        <v>1743</v>
      </c>
      <c r="U48" s="1266"/>
    </row>
    <row r="49" spans="1:21">
      <c r="A49" s="1266"/>
      <c r="B49" s="1266"/>
      <c r="C49" s="1266"/>
      <c r="D49" s="1254"/>
      <c r="E49" s="1254"/>
      <c r="F49" s="1254"/>
      <c r="G49" s="1254"/>
      <c r="H49" s="1266"/>
      <c r="I49" s="1267"/>
      <c r="J49" s="1266"/>
      <c r="K49" s="1266"/>
      <c r="L49" s="1266"/>
      <c r="M49" s="1266"/>
      <c r="N49" s="1266"/>
      <c r="O49" s="1266"/>
      <c r="P49" s="1266"/>
      <c r="Q49" s="1266"/>
      <c r="R49" s="1266"/>
      <c r="S49" s="1266"/>
      <c r="T49" s="1266"/>
      <c r="U49" s="1266"/>
    </row>
    <row r="50" spans="1:21">
      <c r="A50" s="1266"/>
      <c r="B50" s="1266"/>
      <c r="C50" s="1266"/>
      <c r="D50" s="1254" t="s">
        <v>1730</v>
      </c>
      <c r="E50" s="1254"/>
      <c r="F50" s="1254"/>
      <c r="G50" s="1254"/>
      <c r="H50" s="1266"/>
      <c r="I50" s="1267"/>
      <c r="J50" s="1266"/>
      <c r="K50" s="1266"/>
      <c r="L50" s="1266"/>
      <c r="M50" s="1266"/>
      <c r="N50" s="1266"/>
      <c r="O50" s="1266"/>
      <c r="P50" s="1266"/>
      <c r="Q50" s="1266"/>
      <c r="R50" s="1266"/>
      <c r="S50" s="1266"/>
      <c r="T50" s="1266"/>
      <c r="U50" s="1266"/>
    </row>
    <row r="51" spans="1:21">
      <c r="A51" s="1266"/>
      <c r="B51" s="1266"/>
      <c r="C51" s="1266"/>
      <c r="D51" s="1266"/>
      <c r="E51" s="1266"/>
      <c r="F51" s="1266"/>
      <c r="G51" s="1266"/>
      <c r="H51" s="1266"/>
      <c r="I51" s="1267"/>
      <c r="J51" s="1266"/>
      <c r="K51" s="1266"/>
      <c r="L51" s="1266"/>
      <c r="M51" s="1266"/>
      <c r="N51" s="1266"/>
      <c r="O51" s="1266"/>
      <c r="P51" s="1266"/>
      <c r="Q51" s="1266"/>
      <c r="R51" s="1266"/>
      <c r="S51" s="1266"/>
      <c r="T51" s="1266"/>
      <c r="U51" s="1266"/>
    </row>
    <row r="52" spans="1:21">
      <c r="A52" s="1266"/>
      <c r="B52" s="1266"/>
      <c r="C52" s="1266"/>
      <c r="D52" s="1266"/>
      <c r="E52" s="1266"/>
      <c r="F52" s="1266"/>
      <c r="G52" s="1266"/>
      <c r="H52" s="1266"/>
      <c r="I52" s="1267"/>
      <c r="J52" s="1266"/>
      <c r="K52" s="1266"/>
      <c r="L52" s="1266"/>
      <c r="M52" s="1266"/>
      <c r="N52" s="1266"/>
      <c r="O52" s="1266"/>
      <c r="P52" s="1266"/>
      <c r="Q52" s="1266"/>
      <c r="R52" s="1266"/>
      <c r="S52" s="1266"/>
      <c r="T52" s="1266"/>
      <c r="U52" s="1266"/>
    </row>
    <row r="53" spans="1:21">
      <c r="A53" s="1266"/>
      <c r="B53" s="1266"/>
      <c r="C53" s="1266"/>
      <c r="D53" s="1266"/>
      <c r="E53" s="1266"/>
      <c r="F53" s="1266"/>
      <c r="G53" s="1266"/>
      <c r="H53" s="1266"/>
      <c r="I53" s="1267"/>
      <c r="J53" s="1266"/>
      <c r="K53" s="1266"/>
      <c r="L53" s="1266"/>
      <c r="M53" s="1266"/>
      <c r="N53" s="1266"/>
      <c r="O53" s="1266"/>
      <c r="P53" s="1266"/>
      <c r="Q53" s="1266"/>
      <c r="R53" s="1266"/>
      <c r="S53" s="1266"/>
      <c r="T53" s="1266"/>
      <c r="U53" s="1266"/>
    </row>
    <row r="54" spans="1:21">
      <c r="A54" s="1266"/>
      <c r="B54" s="1266"/>
      <c r="C54" s="1266"/>
      <c r="D54" s="1266"/>
      <c r="E54" s="1266"/>
      <c r="F54" s="1266"/>
      <c r="G54" s="1266"/>
      <c r="H54" s="1266"/>
      <c r="I54" s="1267"/>
      <c r="J54" s="1266"/>
      <c r="K54" s="1266"/>
      <c r="L54" s="1266"/>
      <c r="M54" s="1266"/>
      <c r="N54" s="1266"/>
      <c r="O54" s="1266"/>
      <c r="P54" s="1266"/>
      <c r="Q54" s="1266"/>
      <c r="R54" s="1266"/>
      <c r="S54" s="1266"/>
      <c r="T54" s="1266"/>
      <c r="U54" s="1266"/>
    </row>
    <row r="55" spans="1:21">
      <c r="A55" s="1266"/>
      <c r="B55" s="1266"/>
      <c r="C55" s="1266"/>
      <c r="D55" s="1266"/>
      <c r="E55" s="1266"/>
      <c r="F55" s="1266"/>
      <c r="G55" s="1266"/>
      <c r="H55" s="1266"/>
      <c r="I55" s="1267"/>
      <c r="J55" s="1266"/>
      <c r="K55" s="1266"/>
      <c r="L55" s="1266"/>
      <c r="M55" s="1266"/>
      <c r="N55" s="1266"/>
      <c r="O55" s="1266"/>
      <c r="P55" s="1266"/>
      <c r="Q55" s="1266"/>
      <c r="R55" s="1266"/>
      <c r="S55" s="1266"/>
      <c r="T55" s="1266"/>
      <c r="U55" s="1266"/>
    </row>
    <row r="56" spans="1:21">
      <c r="A56" s="1266"/>
      <c r="B56" s="1266"/>
      <c r="C56" s="1266"/>
      <c r="D56" s="1266"/>
      <c r="E56" s="1266"/>
      <c r="F56" s="1266"/>
      <c r="G56" s="1266"/>
      <c r="H56" s="1266"/>
      <c r="I56" s="1267"/>
      <c r="J56" s="1266"/>
      <c r="K56" s="1266"/>
      <c r="L56" s="1266"/>
      <c r="M56" s="1266"/>
      <c r="N56" s="1266"/>
      <c r="O56" s="1266"/>
      <c r="P56" s="1266"/>
      <c r="Q56" s="1266"/>
      <c r="R56" s="1266"/>
      <c r="S56" s="1266"/>
      <c r="T56" s="1266"/>
      <c r="U56" s="1266"/>
    </row>
    <row r="57" spans="1:21">
      <c r="A57" s="1266"/>
      <c r="B57" s="1266"/>
      <c r="C57" s="1266"/>
      <c r="D57" s="1266"/>
      <c r="E57" s="1266"/>
      <c r="F57" s="1266"/>
      <c r="G57" s="1266"/>
      <c r="H57" s="1266"/>
      <c r="I57" s="1267"/>
      <c r="J57" s="1266"/>
      <c r="K57" s="1266"/>
      <c r="L57" s="1266"/>
      <c r="M57" s="1266"/>
      <c r="N57" s="1266"/>
      <c r="O57" s="1266"/>
      <c r="P57" s="1266"/>
      <c r="Q57" s="1266"/>
      <c r="R57" s="1266"/>
      <c r="S57" s="1266"/>
      <c r="T57" s="1266"/>
      <c r="U57" s="1266"/>
    </row>
    <row r="58" spans="1:21">
      <c r="A58" s="1266"/>
      <c r="B58" s="1266"/>
      <c r="C58" s="1266"/>
      <c r="D58" s="1266"/>
      <c r="E58" s="1266"/>
      <c r="F58" s="1266"/>
      <c r="G58" s="1266"/>
      <c r="H58" s="1266"/>
      <c r="I58" s="1267"/>
      <c r="J58" s="1266"/>
      <c r="K58" s="1266"/>
      <c r="L58" s="1266"/>
      <c r="M58" s="1266"/>
      <c r="N58" s="1266"/>
      <c r="O58" s="1266"/>
      <c r="P58" s="1266"/>
      <c r="Q58" s="1266"/>
      <c r="R58" s="1266"/>
      <c r="S58" s="1266"/>
      <c r="T58" s="1266"/>
      <c r="U58" s="1266"/>
    </row>
    <row r="59" spans="1:21">
      <c r="A59" s="1266"/>
      <c r="B59" s="1266"/>
      <c r="C59" s="1266"/>
      <c r="D59" s="1266"/>
      <c r="E59" s="1266"/>
      <c r="F59" s="1266"/>
      <c r="G59" s="1266"/>
      <c r="H59" s="1266"/>
      <c r="I59" s="1267"/>
      <c r="J59" s="1266"/>
      <c r="K59" s="1266"/>
      <c r="L59" s="1266"/>
      <c r="M59" s="1266"/>
      <c r="N59" s="1266"/>
      <c r="O59" s="1266"/>
      <c r="P59" s="1266"/>
      <c r="Q59" s="1266"/>
      <c r="R59" s="1266"/>
      <c r="S59" s="1266"/>
      <c r="T59" s="1266"/>
      <c r="U59" s="1266"/>
    </row>
    <row r="60" spans="1:21">
      <c r="A60" s="1266"/>
      <c r="B60" s="1266"/>
      <c r="C60" s="1266"/>
      <c r="D60" s="1266"/>
      <c r="E60" s="1266"/>
      <c r="F60" s="1266"/>
      <c r="G60" s="1266"/>
      <c r="H60" s="1266"/>
      <c r="I60" s="1267"/>
      <c r="J60" s="1266"/>
      <c r="K60" s="1266"/>
      <c r="L60" s="1266"/>
      <c r="M60" s="1266"/>
      <c r="N60" s="1266"/>
      <c r="O60" s="1266"/>
      <c r="P60" s="1266"/>
      <c r="Q60" s="1266"/>
      <c r="R60" s="1266"/>
      <c r="S60" s="1266"/>
      <c r="T60" s="1266"/>
      <c r="U60" s="1266"/>
    </row>
    <row r="61" spans="1:21">
      <c r="A61" s="1266"/>
      <c r="B61" s="1266"/>
      <c r="C61" s="1266"/>
      <c r="D61" s="1266"/>
      <c r="E61" s="1266"/>
      <c r="F61" s="1266"/>
      <c r="G61" s="1266"/>
      <c r="H61" s="1266"/>
      <c r="I61" s="1267"/>
      <c r="J61" s="1266"/>
      <c r="K61" s="1266"/>
      <c r="L61" s="1266"/>
      <c r="M61" s="1266"/>
      <c r="N61" s="1266"/>
      <c r="O61" s="1266"/>
      <c r="P61" s="1266"/>
      <c r="Q61" s="1266"/>
      <c r="R61" s="1266"/>
      <c r="S61" s="1266"/>
      <c r="T61" s="1266"/>
      <c r="U61" s="1266"/>
    </row>
    <row r="62" spans="1:21">
      <c r="A62" s="1266"/>
      <c r="B62" s="1266"/>
      <c r="C62" s="1266"/>
      <c r="D62" s="1266"/>
      <c r="E62" s="1266"/>
      <c r="F62" s="1266"/>
      <c r="G62" s="1266"/>
      <c r="H62" s="1266"/>
      <c r="I62" s="1267"/>
      <c r="J62" s="1266"/>
      <c r="K62" s="1266"/>
      <c r="L62" s="1266"/>
      <c r="M62" s="1266"/>
      <c r="N62" s="1266"/>
      <c r="O62" s="1266"/>
      <c r="P62" s="1266"/>
      <c r="Q62" s="1266"/>
      <c r="R62" s="1266"/>
      <c r="S62" s="1266"/>
      <c r="T62" s="1266"/>
      <c r="U62" s="1266"/>
    </row>
    <row r="63" spans="1:21">
      <c r="A63" s="1266"/>
      <c r="B63" s="1266"/>
      <c r="C63" s="1266"/>
      <c r="D63" s="1266"/>
      <c r="E63" s="1266"/>
      <c r="F63" s="1266"/>
      <c r="G63" s="1266"/>
      <c r="H63" s="1266"/>
      <c r="I63" s="1267"/>
      <c r="J63" s="1266"/>
      <c r="K63" s="1266"/>
      <c r="L63" s="1266"/>
      <c r="M63" s="1266"/>
      <c r="N63" s="1266"/>
      <c r="O63" s="1266"/>
      <c r="P63" s="1266"/>
      <c r="Q63" s="1266"/>
      <c r="R63" s="1266"/>
      <c r="S63" s="1266"/>
      <c r="T63" s="1266"/>
      <c r="U63" s="1266"/>
    </row>
    <row r="64" spans="1:21">
      <c r="A64" s="1266"/>
      <c r="B64" s="1266"/>
      <c r="C64" s="1266"/>
      <c r="D64" s="1266"/>
      <c r="E64" s="1266"/>
      <c r="F64" s="1266"/>
      <c r="G64" s="1266"/>
      <c r="H64" s="1266"/>
      <c r="I64" s="1267"/>
      <c r="J64" s="1266"/>
      <c r="K64" s="1266"/>
      <c r="L64" s="1266"/>
      <c r="M64" s="1266"/>
      <c r="N64" s="1266"/>
      <c r="O64" s="1266"/>
      <c r="P64" s="1266"/>
      <c r="Q64" s="1266"/>
      <c r="R64" s="1266"/>
      <c r="S64" s="1266"/>
      <c r="T64" s="1266"/>
      <c r="U64" s="1266"/>
    </row>
    <row r="65" spans="1:21">
      <c r="A65" s="1266"/>
      <c r="B65" s="1266"/>
      <c r="C65" s="1266"/>
      <c r="D65" s="1266"/>
      <c r="E65" s="1266"/>
      <c r="F65" s="1266"/>
      <c r="G65" s="1266"/>
      <c r="H65" s="1266"/>
      <c r="I65" s="1267"/>
      <c r="J65" s="1266"/>
      <c r="K65" s="1266"/>
      <c r="L65" s="1266"/>
      <c r="M65" s="1266"/>
      <c r="N65" s="1266"/>
      <c r="O65" s="1266"/>
      <c r="P65" s="1266"/>
      <c r="Q65" s="1266"/>
      <c r="R65" s="1266"/>
      <c r="S65" s="1266"/>
      <c r="T65" s="1266"/>
      <c r="U65" s="1266"/>
    </row>
    <row r="66" spans="1:21">
      <c r="A66" s="1266"/>
      <c r="B66" s="1266"/>
      <c r="C66" s="1266"/>
      <c r="D66" s="1266"/>
      <c r="E66" s="1266"/>
      <c r="F66" s="1266"/>
      <c r="G66" s="1266"/>
      <c r="H66" s="1266"/>
      <c r="I66" s="1267"/>
      <c r="J66" s="1266"/>
      <c r="K66" s="1266"/>
      <c r="L66" s="1266"/>
      <c r="M66" s="1266"/>
      <c r="N66" s="1266"/>
      <c r="O66" s="1266"/>
      <c r="P66" s="1266"/>
      <c r="Q66" s="1266"/>
      <c r="R66" s="1266"/>
      <c r="S66" s="1266"/>
      <c r="T66" s="1266"/>
      <c r="U66" s="1266"/>
    </row>
    <row r="67" spans="1:21">
      <c r="A67" s="1266"/>
      <c r="B67" s="1266"/>
      <c r="C67" s="1266"/>
      <c r="D67" s="1266"/>
      <c r="E67" s="1266"/>
      <c r="F67" s="1266"/>
      <c r="G67" s="1266"/>
      <c r="H67" s="1266"/>
      <c r="I67" s="1267"/>
      <c r="J67" s="1266"/>
      <c r="K67" s="1266"/>
      <c r="L67" s="1266"/>
      <c r="M67" s="1266"/>
      <c r="N67" s="1266"/>
      <c r="O67" s="1266"/>
      <c r="P67" s="1266"/>
      <c r="Q67" s="1266"/>
      <c r="R67" s="1266"/>
      <c r="S67" s="1266"/>
      <c r="T67" s="1266"/>
      <c r="U67" s="1266"/>
    </row>
    <row r="68" spans="1:21">
      <c r="A68" s="1266"/>
      <c r="B68" s="1266"/>
      <c r="C68" s="1266"/>
      <c r="D68" s="1266"/>
      <c r="E68" s="1266"/>
      <c r="F68" s="1266"/>
      <c r="G68" s="1266"/>
      <c r="H68" s="1266"/>
      <c r="I68" s="1267"/>
      <c r="J68" s="1266"/>
      <c r="K68" s="1266"/>
      <c r="L68" s="1266"/>
      <c r="M68" s="1266"/>
      <c r="N68" s="1266"/>
      <c r="O68" s="1266"/>
      <c r="P68" s="1266"/>
      <c r="Q68" s="1266"/>
      <c r="R68" s="1266"/>
      <c r="S68" s="1266"/>
      <c r="T68" s="1266"/>
      <c r="U68" s="1266"/>
    </row>
    <row r="69" spans="1:21">
      <c r="A69" s="1266"/>
      <c r="B69" s="1266"/>
      <c r="C69" s="1266"/>
      <c r="D69" s="1266"/>
      <c r="E69" s="1266"/>
      <c r="F69" s="1266"/>
      <c r="G69" s="1266"/>
      <c r="H69" s="1266"/>
      <c r="I69" s="1267"/>
      <c r="J69" s="1266"/>
      <c r="K69" s="1266"/>
      <c r="L69" s="1266"/>
      <c r="M69" s="1266"/>
      <c r="N69" s="1266"/>
      <c r="O69" s="1266"/>
      <c r="P69" s="1266"/>
      <c r="Q69" s="1266"/>
      <c r="R69" s="1266"/>
      <c r="S69" s="1266"/>
      <c r="T69" s="1266"/>
      <c r="U69" s="1266"/>
    </row>
    <row r="70" spans="1:21">
      <c r="A70" s="1266"/>
      <c r="B70" s="1266"/>
      <c r="C70" s="1266"/>
      <c r="D70" s="1266"/>
      <c r="E70" s="1266"/>
      <c r="F70" s="1266"/>
      <c r="G70" s="1266"/>
      <c r="H70" s="1266"/>
      <c r="I70" s="1267"/>
      <c r="J70" s="1266"/>
      <c r="K70" s="1266"/>
      <c r="L70" s="1266"/>
      <c r="M70" s="1266"/>
      <c r="N70" s="1266"/>
      <c r="O70" s="1266"/>
      <c r="P70" s="1266"/>
      <c r="Q70" s="1266"/>
      <c r="R70" s="1266"/>
      <c r="S70" s="1266"/>
      <c r="T70" s="1266"/>
      <c r="U70" s="1266"/>
    </row>
    <row r="71" spans="1:21">
      <c r="A71" s="1266"/>
      <c r="B71" s="1266"/>
      <c r="C71" s="1266"/>
      <c r="D71" s="1266"/>
      <c r="E71" s="1266"/>
      <c r="F71" s="1266"/>
      <c r="G71" s="1266"/>
      <c r="H71" s="1266"/>
      <c r="I71" s="1267"/>
      <c r="J71" s="1266"/>
      <c r="K71" s="1266"/>
      <c r="L71" s="1266"/>
      <c r="M71" s="1266"/>
      <c r="N71" s="1266"/>
      <c r="O71" s="1266"/>
      <c r="P71" s="1266"/>
      <c r="Q71" s="1266"/>
      <c r="R71" s="1266"/>
      <c r="S71" s="1266"/>
      <c r="T71" s="1266"/>
      <c r="U71" s="1266"/>
    </row>
    <row r="72" spans="1:21">
      <c r="A72" s="1266"/>
      <c r="B72" s="1266"/>
      <c r="C72" s="1266"/>
      <c r="D72" s="1266"/>
      <c r="E72" s="1266"/>
      <c r="F72" s="1266"/>
      <c r="G72" s="1266"/>
      <c r="H72" s="1266"/>
      <c r="I72" s="1267"/>
      <c r="J72" s="1266"/>
      <c r="K72" s="1266"/>
      <c r="L72" s="1266"/>
      <c r="M72" s="1266"/>
      <c r="N72" s="1266"/>
      <c r="O72" s="1266"/>
      <c r="P72" s="1266"/>
      <c r="Q72" s="1266"/>
      <c r="R72" s="1266"/>
      <c r="S72" s="1266"/>
      <c r="T72" s="1266"/>
      <c r="U72" s="1266"/>
    </row>
    <row r="73" spans="1:21">
      <c r="A73" s="1266"/>
      <c r="B73" s="1266"/>
      <c r="C73" s="1266"/>
      <c r="D73" s="1266"/>
      <c r="E73" s="1266"/>
      <c r="F73" s="1266"/>
      <c r="G73" s="1266"/>
      <c r="H73" s="1266"/>
      <c r="I73" s="1267"/>
      <c r="J73" s="1266"/>
      <c r="K73" s="1266"/>
      <c r="L73" s="1266"/>
      <c r="M73" s="1266"/>
      <c r="N73" s="1266"/>
      <c r="O73" s="1266"/>
      <c r="P73" s="1266"/>
      <c r="Q73" s="1266"/>
      <c r="R73" s="1266"/>
      <c r="S73" s="1266"/>
      <c r="T73" s="1266"/>
      <c r="U73" s="1266"/>
    </row>
    <row r="74" spans="1:21">
      <c r="A74" s="1266"/>
      <c r="B74" s="1266"/>
      <c r="C74" s="1266"/>
      <c r="D74" s="1266"/>
      <c r="E74" s="1266"/>
      <c r="F74" s="1266"/>
      <c r="G74" s="1266"/>
      <c r="H74" s="1266"/>
      <c r="I74" s="1267"/>
      <c r="J74" s="1266"/>
      <c r="K74" s="1266"/>
      <c r="L74" s="1266"/>
      <c r="M74" s="1266"/>
      <c r="N74" s="1266"/>
      <c r="O74" s="1266"/>
      <c r="P74" s="1266"/>
      <c r="Q74" s="1266"/>
      <c r="R74" s="1266"/>
      <c r="S74" s="1266"/>
      <c r="T74" s="1266"/>
      <c r="U74" s="1266"/>
    </row>
    <row r="75" spans="1:21">
      <c r="A75" s="1266"/>
      <c r="B75" s="1266"/>
      <c r="C75" s="1266"/>
      <c r="D75" s="1266"/>
      <c r="E75" s="1266"/>
      <c r="F75" s="1266"/>
      <c r="G75" s="1266"/>
      <c r="H75" s="1266"/>
      <c r="I75" s="1267"/>
      <c r="J75" s="1266"/>
      <c r="K75" s="1266"/>
      <c r="L75" s="1266"/>
      <c r="M75" s="1266"/>
      <c r="N75" s="1266"/>
      <c r="O75" s="1266"/>
      <c r="P75" s="1266"/>
      <c r="Q75" s="1266"/>
      <c r="R75" s="1266"/>
      <c r="S75" s="1266"/>
      <c r="T75" s="1266"/>
      <c r="U75" s="1266"/>
    </row>
    <row r="76" spans="1:21">
      <c r="A76" s="1266"/>
      <c r="B76" s="1266"/>
      <c r="C76" s="1266"/>
      <c r="D76" s="1266"/>
      <c r="E76" s="1266"/>
      <c r="F76" s="1266"/>
      <c r="G76" s="1266"/>
      <c r="H76" s="1266"/>
      <c r="I76" s="1267"/>
      <c r="J76" s="1266"/>
      <c r="K76" s="1266"/>
      <c r="L76" s="1266"/>
      <c r="M76" s="1266"/>
      <c r="N76" s="1266"/>
      <c r="O76" s="1266"/>
      <c r="P76" s="1266"/>
      <c r="Q76" s="1266"/>
      <c r="R76" s="1266"/>
      <c r="S76" s="1266"/>
      <c r="T76" s="1266"/>
      <c r="U76" s="1266"/>
    </row>
    <row r="77" spans="1:21">
      <c r="A77" s="1266"/>
      <c r="B77" s="1266"/>
      <c r="C77" s="1266"/>
      <c r="D77" s="1266"/>
      <c r="E77" s="1266"/>
      <c r="F77" s="1266"/>
      <c r="G77" s="1266"/>
      <c r="M77" s="1266"/>
      <c r="N77" s="1266"/>
      <c r="O77" s="1266"/>
      <c r="P77" s="1266"/>
      <c r="Q77" s="1266"/>
      <c r="R77" s="1266"/>
      <c r="S77" s="1266"/>
      <c r="T77" s="1266"/>
      <c r="U77" s="1266"/>
    </row>
    <row r="78" spans="1:21">
      <c r="A78" s="1266"/>
      <c r="B78" s="1266"/>
      <c r="C78" s="1266"/>
      <c r="D78" s="1266"/>
      <c r="E78" s="1266"/>
      <c r="F78" s="1266"/>
      <c r="G78" s="1266"/>
      <c r="M78" s="1266"/>
      <c r="N78" s="1266"/>
      <c r="O78" s="1266"/>
      <c r="P78" s="1266"/>
      <c r="Q78" s="1266"/>
      <c r="R78" s="1266"/>
      <c r="S78" s="1266"/>
      <c r="T78" s="1266"/>
      <c r="U78" s="1266"/>
    </row>
    <row r="79" spans="1:21">
      <c r="A79" s="1266"/>
      <c r="B79" s="1266"/>
      <c r="C79" s="1266"/>
      <c r="D79" s="1266"/>
      <c r="E79" s="1266"/>
      <c r="F79" s="1266"/>
      <c r="G79" s="1266"/>
      <c r="M79" s="1266"/>
      <c r="N79" s="1266"/>
      <c r="O79" s="1266"/>
      <c r="P79" s="1266"/>
      <c r="Q79" s="1266"/>
      <c r="R79" s="1266"/>
      <c r="S79" s="1266"/>
      <c r="T79" s="1266"/>
      <c r="U79" s="1266"/>
    </row>
    <row r="80" spans="1:21">
      <c r="A80" s="1266"/>
      <c r="B80" s="1266"/>
      <c r="C80" s="1266"/>
      <c r="D80" s="1266"/>
      <c r="E80" s="1266"/>
      <c r="F80" s="1266"/>
      <c r="G80" s="1266"/>
      <c r="M80" s="1266"/>
      <c r="N80" s="1266"/>
      <c r="O80" s="1266"/>
      <c r="P80" s="1266"/>
      <c r="Q80" s="1266"/>
      <c r="R80" s="1266"/>
      <c r="S80" s="1266"/>
      <c r="T80" s="1266"/>
      <c r="U80" s="1266"/>
    </row>
    <row r="81" spans="1:21">
      <c r="A81" s="1266"/>
      <c r="B81" s="1266"/>
      <c r="C81" s="1266"/>
      <c r="D81" s="1266"/>
      <c r="E81" s="1266"/>
      <c r="F81" s="1266"/>
      <c r="G81" s="1266"/>
      <c r="M81" s="1266"/>
      <c r="N81" s="1266"/>
      <c r="O81" s="1266"/>
      <c r="P81" s="1266"/>
      <c r="Q81" s="1266"/>
      <c r="R81" s="1266"/>
      <c r="S81" s="1266"/>
      <c r="T81" s="1266"/>
      <c r="U81" s="1266"/>
    </row>
  </sheetData>
  <pageMargins left="0.7" right="0.7" top="0.75" bottom="0.75" header="0.3" footer="0.3"/>
  <pageSetup scale="10"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Y178"/>
  <sheetViews>
    <sheetView topLeftCell="AB1" zoomScale="90" zoomScaleNormal="90" workbookViewId="0">
      <pane ySplit="5" topLeftCell="A111" activePane="bottomLeft" state="frozen"/>
      <selection activeCell="A3" sqref="A3"/>
      <selection pane="bottomLeft" activeCell="AM115" sqref="AM115"/>
    </sheetView>
  </sheetViews>
  <sheetFormatPr defaultRowHeight="12.75"/>
  <cols>
    <col min="1" max="1" width="43" style="1295" customWidth="1"/>
    <col min="2" max="2" width="3.1640625" style="1295" customWidth="1"/>
    <col min="3" max="3" width="21.83203125" style="1360" bestFit="1" customWidth="1"/>
    <col min="4" max="4" width="2.5" style="1295" customWidth="1"/>
    <col min="5" max="5" width="8.1640625" style="1361" bestFit="1" customWidth="1"/>
    <col min="6" max="6" width="16.1640625" style="1362" customWidth="1"/>
    <col min="7" max="7" width="8.1640625" style="1363" bestFit="1" customWidth="1"/>
    <col min="8" max="8" width="17" style="1363" customWidth="1"/>
    <col min="9" max="9" width="8.1640625" style="1363" bestFit="1" customWidth="1"/>
    <col min="10" max="10" width="17" style="1363" customWidth="1"/>
    <col min="11" max="11" width="8.6640625" style="1363" bestFit="1" customWidth="1"/>
    <col min="12" max="12" width="17" style="1363" customWidth="1"/>
    <col min="13" max="14" width="10.33203125" style="1363" customWidth="1"/>
    <col min="15" max="15" width="17" style="1363" customWidth="1"/>
    <col min="16" max="16" width="8.6640625" style="1363" bestFit="1" customWidth="1"/>
    <col min="17" max="17" width="17" style="1363" customWidth="1"/>
    <col min="18" max="18" width="8.6640625" style="1363" bestFit="1" customWidth="1"/>
    <col min="19" max="19" width="17" style="1363" customWidth="1"/>
    <col min="20" max="20" width="6.6640625" style="1363" customWidth="1"/>
    <col min="21" max="21" width="20.5" style="1363" customWidth="1"/>
    <col min="22" max="22" width="8.6640625" style="1363" customWidth="1"/>
    <col min="23" max="23" width="14.1640625" style="1360" customWidth="1"/>
    <col min="24" max="24" width="8.1640625" style="1295" customWidth="1"/>
    <col min="25" max="25" width="3.5" style="1360" customWidth="1"/>
    <col min="26" max="27" width="13.6640625" style="1295" customWidth="1"/>
    <col min="28" max="28" width="13.6640625" style="1364" customWidth="1"/>
    <col min="29" max="29" width="13.6640625" style="1365" customWidth="1"/>
    <col min="30" max="31" width="16" style="1360" customWidth="1"/>
    <col min="32" max="32" width="20.83203125" style="1360" bestFit="1" customWidth="1"/>
    <col min="33" max="33" width="8.1640625" style="1366" bestFit="1" customWidth="1"/>
    <col min="34" max="34" width="14.5" style="1364" customWidth="1"/>
    <col min="35" max="35" width="12" style="1364" customWidth="1"/>
    <col min="36" max="36" width="13.6640625" style="1364" customWidth="1"/>
    <col min="37" max="37" width="16.6640625" style="1364" customWidth="1"/>
    <col min="38" max="38" width="15" style="1364" customWidth="1"/>
    <col min="39" max="39" width="15.33203125" style="1364" customWidth="1"/>
    <col min="40" max="40" width="13.6640625" style="1295" customWidth="1"/>
    <col min="41" max="41" width="15.33203125" style="1295" customWidth="1"/>
    <col min="42" max="42" width="13.6640625" style="1295" customWidth="1"/>
    <col min="43" max="43" width="14.6640625" style="1295" customWidth="1"/>
    <col min="44" max="44" width="13.6640625" style="1365" customWidth="1"/>
    <col min="45" max="45" width="13.1640625" style="1295" customWidth="1"/>
    <col min="46" max="46" width="13" style="1295" customWidth="1"/>
    <col min="47" max="16384" width="9.33203125" style="1295"/>
  </cols>
  <sheetData>
    <row r="1" spans="1:51">
      <c r="A1" s="1310" t="s">
        <v>1608</v>
      </c>
      <c r="B1" s="1310"/>
      <c r="C1" s="1311"/>
      <c r="D1" s="1311"/>
      <c r="E1" s="1311"/>
      <c r="F1" s="1311"/>
      <c r="G1" s="1311"/>
      <c r="H1" s="1311"/>
      <c r="I1" s="1311"/>
      <c r="J1" s="1311"/>
      <c r="K1" s="1311"/>
      <c r="L1" s="1311"/>
      <c r="M1" s="1311"/>
      <c r="N1" s="1311"/>
      <c r="O1" s="1311"/>
      <c r="P1" s="1311"/>
      <c r="Q1" s="1311"/>
      <c r="R1" s="1311"/>
      <c r="S1" s="1311"/>
      <c r="T1" s="1311"/>
      <c r="U1" s="1311"/>
      <c r="V1" s="1311"/>
      <c r="W1" s="1311"/>
      <c r="X1" s="1311"/>
      <c r="Y1" s="1311"/>
      <c r="Z1" s="1311"/>
      <c r="AA1" s="1311"/>
      <c r="AB1" s="1311"/>
      <c r="AC1" s="1311"/>
      <c r="AD1" s="1311"/>
      <c r="AE1" s="1311"/>
      <c r="AF1" s="1311"/>
      <c r="AG1" s="1311"/>
      <c r="AH1" s="1311"/>
      <c r="AI1" s="1311"/>
      <c r="AJ1" s="1311"/>
      <c r="AK1" s="1311"/>
      <c r="AL1" s="1311"/>
      <c r="AM1" s="1311"/>
      <c r="AN1" s="1311"/>
      <c r="AO1" s="1311"/>
      <c r="AP1" s="1311"/>
      <c r="AQ1" s="1311"/>
      <c r="AR1" s="1311"/>
      <c r="AS1" s="1266"/>
      <c r="AT1" s="1266"/>
      <c r="AU1" s="1266"/>
      <c r="AV1" s="1266"/>
      <c r="AW1" s="1266"/>
      <c r="AX1" s="1266"/>
      <c r="AY1" s="1266"/>
    </row>
    <row r="2" spans="1:51" s="1313" customFormat="1">
      <c r="A2" s="1310" t="s">
        <v>1572</v>
      </c>
      <c r="B2" s="1310"/>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c r="AM2" s="1311"/>
      <c r="AN2" s="1311"/>
      <c r="AO2" s="1311"/>
      <c r="AP2" s="1311"/>
      <c r="AQ2" s="1311"/>
      <c r="AR2" s="1311"/>
      <c r="AS2" s="1312"/>
      <c r="AT2" s="1312"/>
      <c r="AU2" s="1312"/>
      <c r="AV2" s="1312"/>
      <c r="AW2" s="1312"/>
      <c r="AX2" s="1312"/>
      <c r="AY2" s="1312"/>
    </row>
    <row r="3" spans="1:51" s="1313" customFormat="1">
      <c r="A3" s="1314">
        <f>Summary!A3</f>
        <v>43281</v>
      </c>
      <c r="B3" s="1315"/>
      <c r="C3" s="1316"/>
      <c r="D3" s="1316"/>
      <c r="E3" s="1316"/>
      <c r="F3" s="1316"/>
      <c r="G3" s="1316"/>
      <c r="H3" s="1316"/>
      <c r="I3" s="1316"/>
      <c r="J3" s="1316"/>
      <c r="K3" s="1316"/>
      <c r="L3" s="1316"/>
      <c r="M3" s="1316"/>
      <c r="N3" s="1316"/>
      <c r="O3" s="1316"/>
      <c r="P3" s="1316"/>
      <c r="Q3" s="1316"/>
      <c r="R3" s="1316"/>
      <c r="S3" s="1316"/>
      <c r="T3" s="1316"/>
      <c r="U3" s="1316"/>
      <c r="V3" s="1316"/>
      <c r="W3" s="1316"/>
      <c r="X3" s="1316"/>
      <c r="Y3" s="1316"/>
      <c r="Z3" s="1316"/>
      <c r="AA3" s="1316"/>
      <c r="AB3" s="1316"/>
      <c r="AC3" s="1316"/>
      <c r="AD3" s="1316"/>
      <c r="AE3" s="1316"/>
      <c r="AF3" s="1316"/>
      <c r="AG3" s="1316"/>
      <c r="AH3" s="1316"/>
      <c r="AI3" s="1316"/>
      <c r="AJ3" s="1316"/>
      <c r="AK3" s="1316"/>
      <c r="AL3" s="1316"/>
      <c r="AM3" s="1316"/>
      <c r="AN3" s="1316"/>
      <c r="AO3" s="1316"/>
      <c r="AP3" s="1316"/>
      <c r="AQ3" s="1316"/>
      <c r="AR3" s="1316"/>
      <c r="AS3" s="1312"/>
      <c r="AT3" s="1312"/>
      <c r="AU3" s="1312"/>
      <c r="AV3" s="1312"/>
      <c r="AW3" s="1312"/>
      <c r="AX3" s="1312"/>
      <c r="AY3" s="1312"/>
    </row>
    <row r="4" spans="1:51" s="1327" customFormat="1" ht="15.75" customHeight="1">
      <c r="A4" s="1317"/>
      <c r="B4" s="1317"/>
      <c r="C4" s="1318">
        <v>1</v>
      </c>
      <c r="D4" s="1317"/>
      <c r="E4" s="1319"/>
      <c r="F4" s="1320"/>
      <c r="G4" s="1321"/>
      <c r="H4" s="1321"/>
      <c r="I4" s="1321"/>
      <c r="J4" s="1321"/>
      <c r="K4" s="1321"/>
      <c r="L4" s="1321"/>
      <c r="M4" s="1321"/>
      <c r="N4" s="1321"/>
      <c r="O4" s="1321"/>
      <c r="P4" s="1321"/>
      <c r="Q4" s="1321"/>
      <c r="R4" s="1321"/>
      <c r="S4" s="1321"/>
      <c r="T4" s="1321"/>
      <c r="U4" s="1321"/>
      <c r="V4" s="1321"/>
      <c r="W4" s="1322">
        <v>7</v>
      </c>
      <c r="X4" s="1323"/>
      <c r="Y4" s="1322">
        <v>8</v>
      </c>
      <c r="Z4" s="1317"/>
      <c r="AA4" s="1319"/>
      <c r="AB4" s="1323"/>
      <c r="AC4" s="1324"/>
      <c r="AD4" s="1322"/>
      <c r="AE4" s="1322"/>
      <c r="AF4" s="1318"/>
      <c r="AG4" s="1325"/>
      <c r="AH4" s="1317"/>
      <c r="AI4" s="1317"/>
      <c r="AJ4" s="1323"/>
      <c r="AK4" s="1317"/>
      <c r="AL4" s="1317"/>
      <c r="AM4" s="1317"/>
      <c r="AN4" s="1317"/>
      <c r="AO4" s="1319"/>
      <c r="AP4" s="1319"/>
      <c r="AQ4" s="1319"/>
      <c r="AR4" s="1326"/>
      <c r="AS4" s="1317"/>
      <c r="AT4" s="1317"/>
      <c r="AU4" s="1317"/>
      <c r="AV4" s="1317"/>
      <c r="AW4" s="1317"/>
      <c r="AX4" s="1317"/>
      <c r="AY4" s="1317"/>
    </row>
    <row r="5" spans="1:51" s="1335" customFormat="1" ht="51" customHeight="1">
      <c r="A5" s="1328" t="s">
        <v>1744</v>
      </c>
      <c r="B5" s="1298"/>
      <c r="C5" s="1329" t="s">
        <v>1745</v>
      </c>
      <c r="D5" s="1330"/>
      <c r="E5" s="1330" t="s">
        <v>1717</v>
      </c>
      <c r="F5" s="1329" t="s">
        <v>1746</v>
      </c>
      <c r="G5" s="1330" t="s">
        <v>1717</v>
      </c>
      <c r="H5" s="1329" t="s">
        <v>1747</v>
      </c>
      <c r="I5" s="1330" t="s">
        <v>1717</v>
      </c>
      <c r="J5" s="1329" t="s">
        <v>1748</v>
      </c>
      <c r="K5" s="1330" t="s">
        <v>1717</v>
      </c>
      <c r="L5" s="1329" t="s">
        <v>1749</v>
      </c>
      <c r="M5" s="1330" t="s">
        <v>1717</v>
      </c>
      <c r="N5" s="1330"/>
      <c r="O5" s="1329" t="s">
        <v>1750</v>
      </c>
      <c r="P5" s="1330" t="s">
        <v>1717</v>
      </c>
      <c r="Q5" s="1329" t="s">
        <v>1751</v>
      </c>
      <c r="R5" s="1330" t="s">
        <v>1717</v>
      </c>
      <c r="S5" s="1329" t="s">
        <v>1752</v>
      </c>
      <c r="T5" s="1330" t="s">
        <v>1717</v>
      </c>
      <c r="U5" s="1329" t="s">
        <v>1753</v>
      </c>
      <c r="V5" s="1330" t="s">
        <v>1717</v>
      </c>
      <c r="W5" s="1329" t="s">
        <v>1180</v>
      </c>
      <c r="X5" s="1330" t="s">
        <v>1717</v>
      </c>
      <c r="Y5" s="1329"/>
      <c r="Z5" s="1330" t="s">
        <v>1754</v>
      </c>
      <c r="AA5" s="1331"/>
      <c r="AB5" s="1330" t="s">
        <v>1755</v>
      </c>
      <c r="AC5" s="1332" t="s">
        <v>1756</v>
      </c>
      <c r="AD5" s="1329" t="s">
        <v>1757</v>
      </c>
      <c r="AE5" s="1329" t="s">
        <v>1758</v>
      </c>
      <c r="AF5" s="1329" t="s">
        <v>1759</v>
      </c>
      <c r="AG5" s="1330" t="s">
        <v>1717</v>
      </c>
      <c r="AH5" s="1333" t="s">
        <v>1760</v>
      </c>
      <c r="AI5" s="1334" t="s">
        <v>1761</v>
      </c>
      <c r="AJ5" s="1330" t="s">
        <v>1762</v>
      </c>
      <c r="AK5" s="1298"/>
      <c r="AL5" s="1298"/>
      <c r="AM5" s="1298"/>
      <c r="AN5" s="1298"/>
      <c r="AO5" s="1330" t="s">
        <v>1763</v>
      </c>
      <c r="AP5" s="1330" t="s">
        <v>1764</v>
      </c>
      <c r="AQ5" s="1298"/>
      <c r="AR5" s="1298"/>
      <c r="AS5" s="1298"/>
      <c r="AT5" s="1298"/>
      <c r="AU5" s="1298"/>
      <c r="AV5" s="1298"/>
      <c r="AW5" s="1298"/>
      <c r="AX5" s="1298"/>
      <c r="AY5" s="1298"/>
    </row>
    <row r="6" spans="1:51" s="1335" customFormat="1" ht="14.25">
      <c r="A6" s="1310"/>
      <c r="B6" s="1298"/>
      <c r="C6" s="1336"/>
      <c r="D6" s="1337"/>
      <c r="E6" s="1338"/>
      <c r="F6" s="1339"/>
      <c r="G6" s="1340"/>
      <c r="H6" s="1340"/>
      <c r="I6" s="1340"/>
      <c r="J6" s="1340"/>
      <c r="K6" s="1340"/>
      <c r="L6" s="1340"/>
      <c r="M6" s="1340"/>
      <c r="N6" s="1340"/>
      <c r="O6" s="1340"/>
      <c r="P6" s="1340"/>
      <c r="Q6" s="1340"/>
      <c r="R6" s="1340"/>
      <c r="S6" s="1340"/>
      <c r="T6" s="1340"/>
      <c r="U6" s="1340"/>
      <c r="V6" s="1340"/>
      <c r="W6" s="1336"/>
      <c r="X6" s="1337"/>
      <c r="Y6" s="1336"/>
      <c r="Z6" s="1298"/>
      <c r="AA6" s="1341"/>
      <c r="AB6" s="1337"/>
      <c r="AC6" s="1338"/>
      <c r="AD6" s="1336"/>
      <c r="AE6" s="1336"/>
      <c r="AF6" s="1336"/>
      <c r="AG6" s="1342"/>
      <c r="AH6" s="1343"/>
      <c r="AI6" s="1344"/>
      <c r="AJ6" s="1343"/>
      <c r="AK6" s="1298"/>
      <c r="AL6" s="1298"/>
      <c r="AM6" s="1298"/>
      <c r="AN6" s="1298"/>
      <c r="AO6" s="1345"/>
      <c r="AP6" s="1345"/>
      <c r="AQ6" s="1298"/>
      <c r="AR6" s="1298"/>
      <c r="AS6" s="1298"/>
      <c r="AT6" s="1298"/>
      <c r="AU6" s="1298"/>
      <c r="AV6" s="1298"/>
      <c r="AW6" s="1298"/>
      <c r="AX6" s="1298"/>
      <c r="AY6" s="1298"/>
    </row>
    <row r="7" spans="1:51" s="1335" customFormat="1" ht="15">
      <c r="A7" s="1346" t="s">
        <v>1729</v>
      </c>
      <c r="B7" s="1298"/>
      <c r="C7" s="1336"/>
      <c r="D7" s="1337"/>
      <c r="E7" s="1338"/>
      <c r="F7" s="1339"/>
      <c r="G7" s="1340"/>
      <c r="H7" s="1340"/>
      <c r="I7" s="1340"/>
      <c r="J7" s="1340"/>
      <c r="K7" s="1340"/>
      <c r="L7" s="1340"/>
      <c r="M7" s="1340"/>
      <c r="N7" s="1340"/>
      <c r="O7" s="1340"/>
      <c r="P7" s="1340"/>
      <c r="Q7" s="1340"/>
      <c r="R7" s="1340"/>
      <c r="S7" s="1340"/>
      <c r="T7" s="1340"/>
      <c r="U7" s="1340"/>
      <c r="V7" s="1340"/>
      <c r="W7" s="1336"/>
      <c r="X7" s="1337"/>
      <c r="Y7" s="1336"/>
      <c r="Z7" s="1298"/>
      <c r="AA7" s="1341"/>
      <c r="AB7" s="1337"/>
      <c r="AC7" s="1338"/>
      <c r="AD7" s="1336"/>
      <c r="AE7" s="1336"/>
      <c r="AF7" s="1336"/>
      <c r="AG7" s="1342"/>
      <c r="AH7" s="1343"/>
      <c r="AI7" s="1344"/>
      <c r="AJ7" s="1343"/>
      <c r="AK7" s="1298"/>
      <c r="AL7" s="1298"/>
      <c r="AM7" s="1298"/>
      <c r="AN7" s="1298"/>
      <c r="AO7" s="1345"/>
      <c r="AP7" s="1345"/>
      <c r="AQ7" s="1298"/>
      <c r="AR7" s="1298"/>
      <c r="AS7" s="1298"/>
      <c r="AT7" s="1347"/>
      <c r="AU7" s="1298"/>
      <c r="AV7" s="1298"/>
      <c r="AW7" s="1298"/>
      <c r="AX7" s="1298"/>
      <c r="AY7" s="1298"/>
    </row>
    <row r="8" spans="1:51" s="1335" customFormat="1" ht="14.25">
      <c r="A8" s="1348" t="s">
        <v>1765</v>
      </c>
      <c r="B8" s="1298"/>
      <c r="C8" s="1336">
        <f>'Common Stock'!J10+'Common Stock'!J11</f>
        <v>3325000</v>
      </c>
      <c r="D8" s="1337"/>
      <c r="E8" s="1349">
        <f>C8/C$123</f>
        <v>0.20364982128426662</v>
      </c>
      <c r="F8" s="1339"/>
      <c r="G8" s="1349"/>
      <c r="H8" s="1349"/>
      <c r="I8" s="1349"/>
      <c r="J8" s="1349"/>
      <c r="K8" s="1349"/>
      <c r="L8" s="1349"/>
      <c r="M8" s="1349"/>
      <c r="N8" s="1349"/>
      <c r="O8" s="1349"/>
      <c r="P8" s="1349"/>
      <c r="Q8" s="1349"/>
      <c r="R8" s="1349"/>
      <c r="S8" s="1349"/>
      <c r="T8" s="1349"/>
      <c r="U8" s="1349"/>
      <c r="V8" s="1349"/>
      <c r="W8" s="1279">
        <f>C8+L8+U8</f>
        <v>3325000</v>
      </c>
      <c r="X8" s="1350">
        <f>W8/W$123</f>
        <v>4.6567295652412855E-2</v>
      </c>
      <c r="Y8" s="1336"/>
      <c r="Z8" s="1298"/>
      <c r="AA8" s="1341"/>
      <c r="AB8" s="1337"/>
      <c r="AC8" s="1338"/>
      <c r="AD8" s="1336"/>
      <c r="AE8" s="1336"/>
      <c r="AF8" s="1336">
        <f>AD8+W8</f>
        <v>3325000</v>
      </c>
      <c r="AG8" s="1351">
        <f>AF8/$AF$129</f>
        <v>4.4235546253027856E-2</v>
      </c>
      <c r="AH8" s="1343"/>
      <c r="AI8" s="1344"/>
      <c r="AJ8" s="1343"/>
      <c r="AK8" s="1298"/>
      <c r="AL8" s="1298"/>
      <c r="AM8" s="1298"/>
      <c r="AN8" s="1298"/>
      <c r="AO8" s="1345"/>
      <c r="AP8" s="1345"/>
      <c r="AQ8" s="1298"/>
      <c r="AR8" s="1298"/>
      <c r="AS8" s="1298"/>
      <c r="AT8" s="1352"/>
      <c r="AU8" s="1298"/>
      <c r="AV8" s="1298"/>
      <c r="AW8" s="1298"/>
      <c r="AX8" s="1298"/>
      <c r="AY8" s="1298"/>
    </row>
    <row r="9" spans="1:51" s="1335" customFormat="1" ht="15">
      <c r="A9" s="1352" t="s">
        <v>1766</v>
      </c>
      <c r="B9" s="1298"/>
      <c r="C9" s="1336">
        <f>'Common Stock'!J12+'Common Stock'!J13</f>
        <v>3100000</v>
      </c>
      <c r="D9" s="1337"/>
      <c r="E9" s="1349">
        <f>C9/C$123</f>
        <v>0.18986900631014331</v>
      </c>
      <c r="F9" s="1339"/>
      <c r="G9" s="1349"/>
      <c r="H9" s="1349"/>
      <c r="I9" s="1349"/>
      <c r="J9" s="1349"/>
      <c r="K9" s="1349"/>
      <c r="L9" s="1349"/>
      <c r="M9" s="1349"/>
      <c r="N9" s="1349"/>
      <c r="O9" s="1349"/>
      <c r="P9" s="1349"/>
      <c r="Q9" s="1349"/>
      <c r="R9" s="1349"/>
      <c r="S9" s="1349"/>
      <c r="T9" s="1349"/>
      <c r="U9" s="1349"/>
      <c r="V9" s="1349"/>
      <c r="W9" s="1279">
        <f>C9+L9+U9</f>
        <v>3100000</v>
      </c>
      <c r="X9" s="1350">
        <f>W9/W$123</f>
        <v>4.3416125269918754E-2</v>
      </c>
      <c r="Y9" s="1336"/>
      <c r="Z9" s="1298"/>
      <c r="AA9" s="1341"/>
      <c r="AB9" s="1337"/>
      <c r="AC9" s="1338"/>
      <c r="AD9" s="1336"/>
      <c r="AE9" s="1336"/>
      <c r="AF9" s="1336">
        <f>AD9+W9</f>
        <v>3100000</v>
      </c>
      <c r="AG9" s="1351">
        <f>AF9/$AF$129</f>
        <v>4.1242163423875593E-2</v>
      </c>
      <c r="AH9" s="1343"/>
      <c r="AI9" s="1344"/>
      <c r="AJ9" s="1343"/>
      <c r="AK9" s="1298"/>
      <c r="AL9" s="1298"/>
      <c r="AM9" s="1298"/>
      <c r="AN9" s="1298"/>
      <c r="AO9" s="1345"/>
      <c r="AP9" s="1345"/>
      <c r="AQ9" s="1298"/>
      <c r="AR9" s="1298"/>
      <c r="AS9" s="1298"/>
      <c r="AT9" s="1347"/>
      <c r="AU9" s="1298"/>
      <c r="AV9" s="1298"/>
      <c r="AW9" s="1298"/>
      <c r="AX9" s="1298"/>
      <c r="AY9" s="1298"/>
    </row>
    <row r="10" spans="1:51" s="1335" customFormat="1" ht="14.25">
      <c r="A10" s="1352" t="s">
        <v>1767</v>
      </c>
      <c r="B10" s="1298"/>
      <c r="C10" s="1336">
        <f>'Common Stock'!J14</f>
        <v>2000000</v>
      </c>
      <c r="D10" s="1337"/>
      <c r="E10" s="1349">
        <f>C10/C$123</f>
        <v>0.12249613310331826</v>
      </c>
      <c r="F10" s="1339"/>
      <c r="G10" s="1349"/>
      <c r="H10" s="1349"/>
      <c r="I10" s="1349"/>
      <c r="J10" s="1349"/>
      <c r="K10" s="1349"/>
      <c r="L10" s="1349"/>
      <c r="M10" s="1349"/>
      <c r="N10" s="1349"/>
      <c r="O10" s="1349"/>
      <c r="P10" s="1349"/>
      <c r="Q10" s="1349"/>
      <c r="R10" s="1349"/>
      <c r="S10" s="1349"/>
      <c r="T10" s="1349"/>
      <c r="U10" s="1349"/>
      <c r="V10" s="1349"/>
      <c r="W10" s="1279">
        <f>C10+L10+U10</f>
        <v>2000000</v>
      </c>
      <c r="X10" s="1350">
        <f>W10/W$123</f>
        <v>2.8010403399947582E-2</v>
      </c>
      <c r="Y10" s="1336"/>
      <c r="Z10" s="1298"/>
      <c r="AA10" s="1341"/>
      <c r="AB10" s="1337"/>
      <c r="AC10" s="1338"/>
      <c r="AD10" s="1336"/>
      <c r="AE10" s="1336"/>
      <c r="AF10" s="1336">
        <f>AD10+W10</f>
        <v>2000000</v>
      </c>
      <c r="AG10" s="1351">
        <f>AF10/$AF$129</f>
        <v>2.6607847370242316E-2</v>
      </c>
      <c r="AH10" s="1343"/>
      <c r="AI10" s="1344"/>
      <c r="AJ10" s="1343"/>
      <c r="AK10" s="1298"/>
      <c r="AL10" s="1298"/>
      <c r="AM10" s="1298"/>
      <c r="AN10" s="1298"/>
      <c r="AO10" s="1345"/>
      <c r="AP10" s="1345"/>
      <c r="AQ10" s="1298"/>
      <c r="AR10" s="1298"/>
      <c r="AS10" s="1298"/>
      <c r="AT10" s="1352"/>
      <c r="AU10" s="1298"/>
      <c r="AV10" s="1298"/>
      <c r="AW10" s="1298"/>
      <c r="AX10" s="1298"/>
      <c r="AY10" s="1298"/>
    </row>
    <row r="11" spans="1:51" s="1335" customFormat="1" ht="15">
      <c r="A11" s="1352" t="s">
        <v>1768</v>
      </c>
      <c r="B11" s="1298"/>
      <c r="C11" s="1336">
        <f>'Common Stock'!J15</f>
        <v>160000</v>
      </c>
      <c r="D11" s="1337"/>
      <c r="E11" s="1349">
        <f>C11/C$123</f>
        <v>9.7996906482654602E-3</v>
      </c>
      <c r="F11" s="1339"/>
      <c r="G11" s="1349"/>
      <c r="H11" s="1349"/>
      <c r="I11" s="1349"/>
      <c r="J11" s="1349"/>
      <c r="K11" s="1349"/>
      <c r="L11" s="1349"/>
      <c r="M11" s="1349"/>
      <c r="N11" s="1349"/>
      <c r="O11" s="1349"/>
      <c r="P11" s="1349"/>
      <c r="Q11" s="1349"/>
      <c r="R11" s="1349"/>
      <c r="S11" s="1349"/>
      <c r="T11" s="1349"/>
      <c r="U11" s="1349"/>
      <c r="V11" s="1349"/>
      <c r="W11" s="1279">
        <f>C11+L11+U11</f>
        <v>160000</v>
      </c>
      <c r="X11" s="1350">
        <f>W11/W$123</f>
        <v>2.2408322719958064E-3</v>
      </c>
      <c r="Y11" s="1336"/>
      <c r="Z11" s="1298"/>
      <c r="AA11" s="1341"/>
      <c r="AB11" s="1337"/>
      <c r="AC11" s="1338"/>
      <c r="AD11" s="1336"/>
      <c r="AE11" s="1336"/>
      <c r="AF11" s="1336">
        <f>AD11+W11</f>
        <v>160000</v>
      </c>
      <c r="AG11" s="1351">
        <f>AF11/$AF$129</f>
        <v>2.1286277896193856E-3</v>
      </c>
      <c r="AH11" s="1343"/>
      <c r="AI11" s="1344"/>
      <c r="AJ11" s="1343"/>
      <c r="AK11" s="1298"/>
      <c r="AL11" s="1298"/>
      <c r="AM11" s="1298"/>
      <c r="AN11" s="1298"/>
      <c r="AO11" s="1345"/>
      <c r="AP11" s="1345"/>
      <c r="AQ11" s="1298"/>
      <c r="AR11" s="1298"/>
      <c r="AS11" s="1298"/>
      <c r="AT11" s="1347"/>
      <c r="AU11" s="1298"/>
      <c r="AV11" s="1298"/>
      <c r="AW11" s="1298"/>
      <c r="AX11" s="1298"/>
      <c r="AY11" s="1298"/>
    </row>
    <row r="12" spans="1:51" s="1335" customFormat="1" ht="14.25">
      <c r="A12" s="1352"/>
      <c r="B12" s="1298"/>
      <c r="C12" s="1336"/>
      <c r="D12" s="1337"/>
      <c r="E12" s="1349"/>
      <c r="F12" s="1339"/>
      <c r="G12" s="1349"/>
      <c r="H12" s="1349"/>
      <c r="I12" s="1349"/>
      <c r="J12" s="1349"/>
      <c r="K12" s="1349"/>
      <c r="L12" s="1349"/>
      <c r="M12" s="1349"/>
      <c r="N12" s="1349"/>
      <c r="O12" s="1349"/>
      <c r="P12" s="1349"/>
      <c r="Q12" s="1349"/>
      <c r="R12" s="1349"/>
      <c r="S12" s="1349"/>
      <c r="T12" s="1349"/>
      <c r="U12" s="1349"/>
      <c r="V12" s="1349"/>
      <c r="W12" s="1279"/>
      <c r="X12" s="1350"/>
      <c r="Y12" s="1336"/>
      <c r="Z12" s="1298"/>
      <c r="AA12" s="1341"/>
      <c r="AB12" s="1337"/>
      <c r="AC12" s="1338"/>
      <c r="AD12" s="1336"/>
      <c r="AE12" s="1336"/>
      <c r="AF12" s="1336"/>
      <c r="AG12" s="1351"/>
      <c r="AH12" s="1343"/>
      <c r="AI12" s="1344"/>
      <c r="AJ12" s="1343"/>
      <c r="AK12" s="1298"/>
      <c r="AL12" s="1298"/>
      <c r="AM12" s="1298"/>
      <c r="AN12" s="1298"/>
      <c r="AO12" s="1345"/>
      <c r="AP12" s="1345"/>
      <c r="AQ12" s="1298"/>
      <c r="AR12" s="1298"/>
      <c r="AS12" s="1298"/>
      <c r="AT12" s="1352"/>
      <c r="AU12" s="1298"/>
      <c r="AV12" s="1298"/>
      <c r="AW12" s="1298"/>
      <c r="AX12" s="1298"/>
      <c r="AY12" s="1298"/>
    </row>
    <row r="13" spans="1:51" s="1335" customFormat="1" ht="15">
      <c r="A13" s="1347" t="s">
        <v>1769</v>
      </c>
      <c r="B13" s="1298"/>
      <c r="C13" s="1336"/>
      <c r="D13" s="1337"/>
      <c r="E13" s="1349"/>
      <c r="F13" s="1339"/>
      <c r="G13" s="1349"/>
      <c r="H13" s="1339"/>
      <c r="I13" s="1349"/>
      <c r="J13" s="1339"/>
      <c r="K13" s="1349"/>
      <c r="L13" s="1339"/>
      <c r="M13" s="1349"/>
      <c r="N13" s="1349"/>
      <c r="O13" s="1339"/>
      <c r="P13" s="1349"/>
      <c r="Q13" s="1339"/>
      <c r="R13" s="1349"/>
      <c r="S13" s="1339"/>
      <c r="T13" s="1349"/>
      <c r="U13" s="1349"/>
      <c r="V13" s="1349"/>
      <c r="W13" s="1279"/>
      <c r="X13" s="1350"/>
      <c r="Y13" s="1336"/>
      <c r="Z13" s="1298"/>
      <c r="AA13" s="1341"/>
      <c r="AB13" s="1337"/>
      <c r="AC13" s="1338"/>
      <c r="AD13" s="1336"/>
      <c r="AE13" s="1336"/>
      <c r="AF13" s="1336"/>
      <c r="AG13" s="1351"/>
      <c r="AH13" s="1343"/>
      <c r="AI13" s="1344"/>
      <c r="AJ13" s="1343"/>
      <c r="AK13" s="1298"/>
      <c r="AL13" s="1298"/>
      <c r="AM13" s="1298"/>
      <c r="AN13" s="1298"/>
      <c r="AO13" s="1345"/>
      <c r="AP13" s="1345"/>
      <c r="AQ13" s="1298"/>
      <c r="AR13" s="1298"/>
      <c r="AS13" s="1298"/>
      <c r="AT13" s="1347"/>
      <c r="AU13" s="1298"/>
      <c r="AV13" s="1298"/>
      <c r="AW13" s="1298"/>
      <c r="AX13" s="1298"/>
      <c r="AY13" s="1298"/>
    </row>
    <row r="14" spans="1:51" s="1335" customFormat="1" ht="14.25">
      <c r="A14" s="1352" t="s">
        <v>1770</v>
      </c>
      <c r="B14" s="1298"/>
      <c r="C14" s="1336">
        <f>'Common Stock'!J18+'Common Stock'!J19</f>
        <v>160000</v>
      </c>
      <c r="D14" s="1337"/>
      <c r="E14" s="1349">
        <f t="shared" ref="E14:E25" si="0">C14/C$123</f>
        <v>9.7996906482654602E-3</v>
      </c>
      <c r="F14" s="1339">
        <f>'Series A '!D9</f>
        <v>3556186</v>
      </c>
      <c r="G14" s="1349">
        <f t="shared" ref="G14:G25" si="1">F14/F$123</f>
        <v>0.2951191701244813</v>
      </c>
      <c r="H14" s="1339">
        <f>'Series A '!D13</f>
        <v>4721907</v>
      </c>
      <c r="I14" s="1349">
        <f t="shared" ref="I14:I25" si="2">H14/H$123</f>
        <v>0.29511918749999999</v>
      </c>
      <c r="J14" s="1339">
        <f>'Series A '!D17</f>
        <v>4721907</v>
      </c>
      <c r="K14" s="1349">
        <f t="shared" ref="K14:K25" si="3">J14/J$123</f>
        <v>0.29511918749999999</v>
      </c>
      <c r="L14" s="1339">
        <f>F14+H14+J14</f>
        <v>13000000</v>
      </c>
      <c r="M14" s="1349">
        <f t="shared" ref="M14:M25" si="4">L14/L$123</f>
        <v>0.29511918274687854</v>
      </c>
      <c r="N14" s="1349"/>
      <c r="O14" s="1339">
        <f>'Series B'!D9</f>
        <v>583333</v>
      </c>
      <c r="P14" s="1349">
        <f t="shared" ref="P14:P25" si="5">O14/O$123</f>
        <v>5.2910041872124038E-2</v>
      </c>
      <c r="Q14" s="1339"/>
      <c r="R14" s="1349"/>
      <c r="S14" s="1339"/>
      <c r="T14" s="1349"/>
      <c r="U14" s="1339">
        <f>O14+Q14+S14</f>
        <v>583333</v>
      </c>
      <c r="V14" s="1349">
        <f t="shared" ref="V14:V25" si="6">U14/U$123</f>
        <v>5.2910041872124038E-2</v>
      </c>
      <c r="W14" s="1279">
        <f t="shared" ref="W14:W25" si="7">C14+L14+U14</f>
        <v>13743333</v>
      </c>
      <c r="X14" s="1350">
        <f t="shared" ref="X14:X25" si="8">W14/W$123</f>
        <v>0.1924781506949059</v>
      </c>
      <c r="Y14" s="1336"/>
      <c r="Z14" s="1298"/>
      <c r="AA14" s="1341"/>
      <c r="AB14" s="1337"/>
      <c r="AC14" s="1338"/>
      <c r="AD14" s="1336"/>
      <c r="AE14" s="1336"/>
      <c r="AF14" s="1336">
        <f t="shared" ref="AF14:AF25" si="9">AD14+W14</f>
        <v>13743333</v>
      </c>
      <c r="AG14" s="1351">
        <f t="shared" ref="AG14:AG25" si="10">AF14/$AF$129</f>
        <v>0.18284025341120724</v>
      </c>
      <c r="AH14" s="1343"/>
      <c r="AI14" s="1344"/>
      <c r="AJ14" s="1343"/>
      <c r="AK14" s="1298"/>
      <c r="AL14" s="1298"/>
      <c r="AM14" s="1298"/>
      <c r="AN14" s="1298"/>
      <c r="AO14" s="1345"/>
      <c r="AP14" s="1345"/>
      <c r="AQ14" s="1298"/>
      <c r="AR14" s="1298"/>
      <c r="AS14" s="1298"/>
      <c r="AT14" s="1298"/>
      <c r="AU14" s="1298"/>
      <c r="AV14" s="1298"/>
      <c r="AW14" s="1298"/>
      <c r="AX14" s="1298"/>
      <c r="AY14" s="1298"/>
    </row>
    <row r="15" spans="1:51" s="1335" customFormat="1" ht="14.25">
      <c r="A15" s="1266" t="s">
        <v>1771</v>
      </c>
      <c r="B15" s="1298"/>
      <c r="C15" s="1336">
        <v>0</v>
      </c>
      <c r="D15" s="1337"/>
      <c r="E15" s="1349">
        <f t="shared" si="0"/>
        <v>0</v>
      </c>
      <c r="F15" s="1336">
        <v>0</v>
      </c>
      <c r="G15" s="1349">
        <f t="shared" si="1"/>
        <v>0</v>
      </c>
      <c r="H15" s="1336">
        <v>0</v>
      </c>
      <c r="I15" s="1349">
        <f t="shared" si="2"/>
        <v>0</v>
      </c>
      <c r="J15" s="1336">
        <v>0</v>
      </c>
      <c r="K15" s="1349">
        <f t="shared" si="3"/>
        <v>0</v>
      </c>
      <c r="L15" s="1336">
        <f t="shared" ref="L15:L25" si="11">F15+H15+J15</f>
        <v>0</v>
      </c>
      <c r="M15" s="1349">
        <f t="shared" si="4"/>
        <v>0</v>
      </c>
      <c r="N15" s="1349"/>
      <c r="O15" s="1339">
        <f>'Series B'!D10</f>
        <v>1583333</v>
      </c>
      <c r="P15" s="1349">
        <f t="shared" si="5"/>
        <v>0.14361302262603995</v>
      </c>
      <c r="Q15" s="1339"/>
      <c r="R15" s="1349"/>
      <c r="S15" s="1339"/>
      <c r="T15" s="1349"/>
      <c r="U15" s="1339">
        <f t="shared" ref="U15:U25" si="12">O15+Q15+S15</f>
        <v>1583333</v>
      </c>
      <c r="V15" s="1349">
        <f t="shared" si="6"/>
        <v>0.14361302262603995</v>
      </c>
      <c r="W15" s="1279">
        <f t="shared" si="7"/>
        <v>1583333</v>
      </c>
      <c r="X15" s="1350">
        <f t="shared" si="8"/>
        <v>2.2174898023224601E-2</v>
      </c>
      <c r="Y15" s="1336"/>
      <c r="Z15" s="1298"/>
      <c r="AA15" s="1341"/>
      <c r="AB15" s="1337"/>
      <c r="AC15" s="1338"/>
      <c r="AD15" s="1336"/>
      <c r="AE15" s="1336"/>
      <c r="AF15" s="1336">
        <f t="shared" si="9"/>
        <v>1583333</v>
      </c>
      <c r="AG15" s="1351">
        <f t="shared" si="10"/>
        <v>2.1064541400133939E-2</v>
      </c>
      <c r="AH15" s="1343"/>
      <c r="AI15" s="1344"/>
      <c r="AJ15" s="1343"/>
      <c r="AK15" s="1298"/>
      <c r="AL15" s="1298"/>
      <c r="AM15" s="1298"/>
      <c r="AN15" s="1298"/>
      <c r="AO15" s="1345"/>
      <c r="AP15" s="1345"/>
      <c r="AQ15" s="1298"/>
      <c r="AR15" s="1298"/>
      <c r="AS15" s="1298"/>
      <c r="AT15" s="1298"/>
      <c r="AU15" s="1298"/>
      <c r="AV15" s="1298"/>
      <c r="AW15" s="1298"/>
      <c r="AX15" s="1298"/>
      <c r="AY15" s="1298"/>
    </row>
    <row r="16" spans="1:51" s="1335" customFormat="1" ht="14.25">
      <c r="A16" s="1352" t="s">
        <v>1772</v>
      </c>
      <c r="B16" s="1298"/>
      <c r="C16" s="1336">
        <f>'Common Stock'!J20</f>
        <v>160000</v>
      </c>
      <c r="D16" s="1337"/>
      <c r="E16" s="1349">
        <f t="shared" si="0"/>
        <v>9.7996906482654602E-3</v>
      </c>
      <c r="F16" s="1339">
        <f>'Series A '!D10</f>
        <v>3556186</v>
      </c>
      <c r="G16" s="1349">
        <f t="shared" si="1"/>
        <v>0.2951191701244813</v>
      </c>
      <c r="H16" s="1339">
        <f>'Series A '!D14</f>
        <v>4721907</v>
      </c>
      <c r="I16" s="1349">
        <f t="shared" si="2"/>
        <v>0.29511918749999999</v>
      </c>
      <c r="J16" s="1339">
        <f>'Series A '!D18</f>
        <v>4721907</v>
      </c>
      <c r="K16" s="1349">
        <f t="shared" si="3"/>
        <v>0.29511918749999999</v>
      </c>
      <c r="L16" s="1339">
        <f t="shared" si="11"/>
        <v>13000000</v>
      </c>
      <c r="M16" s="1349">
        <f t="shared" si="4"/>
        <v>0.29511918274687854</v>
      </c>
      <c r="N16" s="1349"/>
      <c r="O16" s="1339">
        <f>'Series B'!D11</f>
        <v>1666666</v>
      </c>
      <c r="P16" s="1349">
        <f t="shared" si="5"/>
        <v>0.15117157412120602</v>
      </c>
      <c r="Q16" s="1339"/>
      <c r="R16" s="1349"/>
      <c r="S16" s="1339"/>
      <c r="T16" s="1349"/>
      <c r="U16" s="1339">
        <f t="shared" si="12"/>
        <v>1666666</v>
      </c>
      <c r="V16" s="1349">
        <f t="shared" si="6"/>
        <v>0.15117157412120602</v>
      </c>
      <c r="W16" s="1279">
        <f t="shared" si="7"/>
        <v>14826666</v>
      </c>
      <c r="X16" s="1350">
        <f t="shared" si="8"/>
        <v>0.2076504478681436</v>
      </c>
      <c r="Y16" s="1336" t="s">
        <v>1730</v>
      </c>
      <c r="Z16" s="1298"/>
      <c r="AA16" s="1341"/>
      <c r="AB16" s="1337"/>
      <c r="AC16" s="1338"/>
      <c r="AD16" s="1336"/>
      <c r="AE16" s="1336"/>
      <c r="AF16" s="1336">
        <f t="shared" si="9"/>
        <v>14826666</v>
      </c>
      <c r="AG16" s="1351">
        <f t="shared" si="10"/>
        <v>0.1972528329687806</v>
      </c>
      <c r="AH16" s="1343"/>
      <c r="AI16" s="1344"/>
      <c r="AJ16" s="1343"/>
      <c r="AK16" s="1298"/>
      <c r="AL16" s="1298"/>
      <c r="AM16" s="1298"/>
      <c r="AN16" s="1298"/>
      <c r="AO16" s="1345"/>
      <c r="AP16" s="1345"/>
      <c r="AQ16" s="1298"/>
      <c r="AR16" s="1298"/>
      <c r="AS16" s="1298"/>
      <c r="AT16" s="1298"/>
      <c r="AU16" s="1298"/>
      <c r="AV16" s="1298"/>
      <c r="AW16" s="1298"/>
      <c r="AX16" s="1298"/>
      <c r="AY16" s="1298"/>
    </row>
    <row r="17" spans="1:51" s="1335" customFormat="1" ht="14.25">
      <c r="A17" s="1266" t="s">
        <v>1773</v>
      </c>
      <c r="B17" s="1298"/>
      <c r="C17" s="1336">
        <v>0</v>
      </c>
      <c r="D17" s="1337"/>
      <c r="E17" s="1349">
        <f t="shared" si="0"/>
        <v>0</v>
      </c>
      <c r="F17" s="1336">
        <v>0</v>
      </c>
      <c r="G17" s="1349">
        <f t="shared" si="1"/>
        <v>0</v>
      </c>
      <c r="H17" s="1336">
        <v>0</v>
      </c>
      <c r="I17" s="1349">
        <f t="shared" si="2"/>
        <v>0</v>
      </c>
      <c r="J17" s="1336">
        <v>0</v>
      </c>
      <c r="K17" s="1349">
        <f t="shared" si="3"/>
        <v>0</v>
      </c>
      <c r="L17" s="1336">
        <f t="shared" si="11"/>
        <v>0</v>
      </c>
      <c r="M17" s="1349">
        <f t="shared" si="4"/>
        <v>0</v>
      </c>
      <c r="N17" s="1349"/>
      <c r="O17" s="1339">
        <f>'Series B'!D12</f>
        <v>833333</v>
      </c>
      <c r="P17" s="1349">
        <f t="shared" si="5"/>
        <v>7.558578706060301E-2</v>
      </c>
      <c r="Q17" s="1339"/>
      <c r="R17" s="1349"/>
      <c r="S17" s="1339"/>
      <c r="T17" s="1349"/>
      <c r="U17" s="1339">
        <f t="shared" si="12"/>
        <v>833333</v>
      </c>
      <c r="V17" s="1349">
        <f t="shared" si="6"/>
        <v>7.558578706060301E-2</v>
      </c>
      <c r="W17" s="1279">
        <f t="shared" si="7"/>
        <v>833333</v>
      </c>
      <c r="X17" s="1350">
        <f t="shared" si="8"/>
        <v>1.1670996748244259E-2</v>
      </c>
      <c r="Y17" s="1336"/>
      <c r="Z17" s="1298"/>
      <c r="AA17" s="1341"/>
      <c r="AB17" s="1337"/>
      <c r="AC17" s="1338"/>
      <c r="AD17" s="1336"/>
      <c r="AE17" s="1336"/>
      <c r="AF17" s="1336">
        <f t="shared" si="9"/>
        <v>833333</v>
      </c>
      <c r="AG17" s="1351">
        <f t="shared" si="10"/>
        <v>1.108659863629307E-2</v>
      </c>
      <c r="AH17" s="1343"/>
      <c r="AI17" s="1344"/>
      <c r="AJ17" s="1343"/>
      <c r="AK17" s="1298"/>
      <c r="AL17" s="1298"/>
      <c r="AM17" s="1298"/>
      <c r="AN17" s="1298"/>
      <c r="AO17" s="1345"/>
      <c r="AP17" s="1345"/>
      <c r="AQ17" s="1298"/>
      <c r="AR17" s="1298"/>
      <c r="AS17" s="1298"/>
      <c r="AT17" s="1298"/>
      <c r="AU17" s="1298"/>
      <c r="AV17" s="1298"/>
      <c r="AW17" s="1298"/>
      <c r="AX17" s="1298"/>
      <c r="AY17" s="1298"/>
    </row>
    <row r="18" spans="1:51" s="1335" customFormat="1" ht="14.25">
      <c r="A18" s="1352" t="s">
        <v>1774</v>
      </c>
      <c r="B18" s="1298"/>
      <c r="C18" s="1336">
        <v>0</v>
      </c>
      <c r="D18" s="1337"/>
      <c r="E18" s="1349">
        <f t="shared" si="0"/>
        <v>0</v>
      </c>
      <c r="F18" s="1339">
        <f>'Series A '!D11</f>
        <v>3323672</v>
      </c>
      <c r="G18" s="1349">
        <f t="shared" si="1"/>
        <v>0.27582340248962656</v>
      </c>
      <c r="H18" s="1339">
        <f>'Series A '!D15</f>
        <v>4413175</v>
      </c>
      <c r="I18" s="1349">
        <f t="shared" si="2"/>
        <v>0.27582343749999999</v>
      </c>
      <c r="J18" s="1339">
        <f>'Series A '!D19</f>
        <v>4413175</v>
      </c>
      <c r="K18" s="1349">
        <f t="shared" si="3"/>
        <v>0.27582343749999999</v>
      </c>
      <c r="L18" s="1339">
        <f t="shared" si="11"/>
        <v>12150022</v>
      </c>
      <c r="M18" s="1349">
        <f t="shared" si="4"/>
        <v>0.275823427922815</v>
      </c>
      <c r="N18" s="1349"/>
      <c r="O18" s="1339">
        <f>'Series B'!D13</f>
        <v>545193</v>
      </c>
      <c r="P18" s="1349">
        <f t="shared" si="5"/>
        <v>4.9450630186169679E-2</v>
      </c>
      <c r="Q18" s="1339"/>
      <c r="R18" s="1349"/>
      <c r="S18" s="1339"/>
      <c r="T18" s="1349"/>
      <c r="U18" s="1339">
        <f t="shared" si="12"/>
        <v>545193</v>
      </c>
      <c r="V18" s="1349">
        <f t="shared" si="6"/>
        <v>4.9450630186169679E-2</v>
      </c>
      <c r="W18" s="1279">
        <f t="shared" si="7"/>
        <v>12695215</v>
      </c>
      <c r="X18" s="1350">
        <f t="shared" si="8"/>
        <v>0.17779904669953275</v>
      </c>
      <c r="Y18" s="1336" t="s">
        <v>1730</v>
      </c>
      <c r="Z18" s="1298"/>
      <c r="AA18" s="1341"/>
      <c r="AB18" s="1337"/>
      <c r="AC18" s="1338"/>
      <c r="AD18" s="1336"/>
      <c r="AE18" s="1336"/>
      <c r="AF18" s="1336">
        <f t="shared" si="9"/>
        <v>12695215</v>
      </c>
      <c r="AG18" s="1351">
        <f t="shared" si="10"/>
        <v>0.16889617152620542</v>
      </c>
      <c r="AH18" s="1343"/>
      <c r="AI18" s="1344"/>
      <c r="AJ18" s="1343"/>
      <c r="AK18" s="1298"/>
      <c r="AL18" s="1298"/>
      <c r="AM18" s="1298"/>
      <c r="AN18" s="1298"/>
      <c r="AO18" s="1345"/>
      <c r="AP18" s="1345"/>
      <c r="AQ18" s="1298"/>
      <c r="AR18" s="1298"/>
      <c r="AS18" s="1298"/>
      <c r="AT18" s="1298"/>
      <c r="AU18" s="1298"/>
      <c r="AV18" s="1298"/>
      <c r="AW18" s="1298"/>
      <c r="AX18" s="1298"/>
      <c r="AY18" s="1298"/>
    </row>
    <row r="19" spans="1:51" s="1335" customFormat="1" ht="14.25">
      <c r="A19" s="1352" t="s">
        <v>1775</v>
      </c>
      <c r="B19" s="1298"/>
      <c r="C19" s="1336">
        <v>0</v>
      </c>
      <c r="D19" s="1337"/>
      <c r="E19" s="1349">
        <f t="shared" si="0"/>
        <v>0</v>
      </c>
      <c r="F19" s="1339">
        <f>'Series A '!D12</f>
        <v>232514</v>
      </c>
      <c r="G19" s="1349">
        <f t="shared" si="1"/>
        <v>1.9295767634854771E-2</v>
      </c>
      <c r="H19" s="1339">
        <f>'Series A '!D16</f>
        <v>308732</v>
      </c>
      <c r="I19" s="1349">
        <f t="shared" si="2"/>
        <v>1.929575E-2</v>
      </c>
      <c r="J19" s="1339">
        <f>'Series A '!D20</f>
        <v>308732</v>
      </c>
      <c r="K19" s="1349">
        <f t="shared" si="3"/>
        <v>1.929575E-2</v>
      </c>
      <c r="L19" s="1339">
        <f t="shared" si="11"/>
        <v>849978</v>
      </c>
      <c r="M19" s="1349">
        <f t="shared" si="4"/>
        <v>1.9295754824063566E-2</v>
      </c>
      <c r="N19" s="1349"/>
      <c r="O19" s="1339">
        <f>'Series B'!D14</f>
        <v>38140</v>
      </c>
      <c r="P19" s="1349">
        <f t="shared" si="5"/>
        <v>3.4594116859543531E-3</v>
      </c>
      <c r="Q19" s="1339"/>
      <c r="R19" s="1349"/>
      <c r="S19" s="1339"/>
      <c r="T19" s="1349"/>
      <c r="U19" s="1339">
        <f t="shared" si="12"/>
        <v>38140</v>
      </c>
      <c r="V19" s="1349">
        <f t="shared" si="6"/>
        <v>3.4594116859543531E-3</v>
      </c>
      <c r="W19" s="1279">
        <f t="shared" si="7"/>
        <v>888118</v>
      </c>
      <c r="X19" s="1350">
        <f t="shared" si="8"/>
        <v>1.2438271723377322E-2</v>
      </c>
      <c r="Y19" s="1336" t="s">
        <v>1730</v>
      </c>
      <c r="Z19" s="1298"/>
      <c r="AA19" s="1341"/>
      <c r="AB19" s="1337"/>
      <c r="AC19" s="1338"/>
      <c r="AD19" s="1336"/>
      <c r="AE19" s="1336"/>
      <c r="AF19" s="1336">
        <f t="shared" si="9"/>
        <v>888118</v>
      </c>
      <c r="AG19" s="1351">
        <f t="shared" si="10"/>
        <v>1.1815454095382434E-2</v>
      </c>
      <c r="AH19" s="1343"/>
      <c r="AI19" s="1344"/>
      <c r="AJ19" s="1343"/>
      <c r="AK19" s="1298"/>
      <c r="AL19" s="1298"/>
      <c r="AM19" s="1298"/>
      <c r="AN19" s="1298"/>
      <c r="AO19" s="1345"/>
      <c r="AP19" s="1345"/>
      <c r="AQ19" s="1298"/>
      <c r="AR19" s="1298"/>
      <c r="AS19" s="1298"/>
      <c r="AT19" s="1298"/>
      <c r="AU19" s="1298"/>
      <c r="AV19" s="1298"/>
      <c r="AW19" s="1298"/>
      <c r="AX19" s="1298"/>
      <c r="AY19" s="1298"/>
    </row>
    <row r="20" spans="1:51" s="1335" customFormat="1" ht="14.25">
      <c r="A20" s="1348" t="s">
        <v>1776</v>
      </c>
      <c r="B20" s="1298"/>
      <c r="C20" s="1336">
        <v>0</v>
      </c>
      <c r="D20" s="1337"/>
      <c r="E20" s="1349">
        <f t="shared" si="0"/>
        <v>0</v>
      </c>
      <c r="F20" s="1339">
        <f>'Series A '!D26</f>
        <v>547106</v>
      </c>
      <c r="G20" s="1349">
        <f t="shared" si="1"/>
        <v>4.5402987551867217E-2</v>
      </c>
      <c r="H20" s="1339">
        <f>'Series A '!D30</f>
        <v>726447</v>
      </c>
      <c r="I20" s="1349">
        <f t="shared" si="2"/>
        <v>4.5402937499999997E-2</v>
      </c>
      <c r="J20" s="1339">
        <f>'Series A '!D34</f>
        <v>726447</v>
      </c>
      <c r="K20" s="1349">
        <f t="shared" si="3"/>
        <v>4.5402937499999997E-2</v>
      </c>
      <c r="L20" s="1339">
        <f t="shared" si="11"/>
        <v>2000000</v>
      </c>
      <c r="M20" s="1349">
        <f t="shared" si="4"/>
        <v>4.5402951191827468E-2</v>
      </c>
      <c r="N20" s="1349"/>
      <c r="O20" s="1339">
        <f>'Series B'!D15</f>
        <v>366666</v>
      </c>
      <c r="P20" s="1349">
        <f t="shared" si="5"/>
        <v>3.3257699141115336E-2</v>
      </c>
      <c r="Q20" s="1339"/>
      <c r="R20" s="1349"/>
      <c r="S20" s="1339"/>
      <c r="T20" s="1349"/>
      <c r="U20" s="1339">
        <f t="shared" si="12"/>
        <v>366666</v>
      </c>
      <c r="V20" s="1349">
        <f t="shared" si="6"/>
        <v>3.3257699141115336E-2</v>
      </c>
      <c r="W20" s="1279">
        <f t="shared" si="7"/>
        <v>2366666</v>
      </c>
      <c r="X20" s="1350">
        <f t="shared" si="8"/>
        <v>3.3145634686470173E-2</v>
      </c>
      <c r="Y20" s="1336"/>
      <c r="Z20" s="1298"/>
      <c r="AA20" s="1341"/>
      <c r="AB20" s="1337"/>
      <c r="AC20" s="1338"/>
      <c r="AD20" s="1336"/>
      <c r="AE20" s="1336"/>
      <c r="AF20" s="1336">
        <f t="shared" si="9"/>
        <v>2366666</v>
      </c>
      <c r="AG20" s="1351">
        <f t="shared" si="10"/>
        <v>3.1485943852170954E-2</v>
      </c>
      <c r="AH20" s="1343"/>
      <c r="AI20" s="1344"/>
      <c r="AJ20" s="1343"/>
      <c r="AK20" s="1298"/>
      <c r="AL20" s="1298"/>
      <c r="AM20" s="1298"/>
      <c r="AN20" s="1298"/>
      <c r="AO20" s="1345"/>
      <c r="AP20" s="1345"/>
      <c r="AQ20" s="1298"/>
      <c r="AR20" s="1298"/>
      <c r="AS20" s="1298"/>
      <c r="AT20" s="1298"/>
      <c r="AU20" s="1298"/>
      <c r="AV20" s="1298"/>
      <c r="AW20" s="1298"/>
      <c r="AX20" s="1298"/>
      <c r="AY20" s="1298"/>
    </row>
    <row r="21" spans="1:51" s="1335" customFormat="1" ht="14.25">
      <c r="A21" s="1353" t="s">
        <v>1726</v>
      </c>
      <c r="B21" s="1298"/>
      <c r="C21" s="1336">
        <v>0</v>
      </c>
      <c r="D21" s="1354"/>
      <c r="E21" s="1349">
        <f t="shared" si="0"/>
        <v>0</v>
      </c>
      <c r="F21" s="1339">
        <f>'Series A '!D28</f>
        <v>547106</v>
      </c>
      <c r="G21" s="1349">
        <f t="shared" si="1"/>
        <v>4.5402987551867217E-2</v>
      </c>
      <c r="H21" s="1336">
        <v>0</v>
      </c>
      <c r="I21" s="1349">
        <f t="shared" si="2"/>
        <v>0</v>
      </c>
      <c r="J21" s="1336">
        <v>0</v>
      </c>
      <c r="K21" s="1349">
        <f t="shared" si="3"/>
        <v>0</v>
      </c>
      <c r="L21" s="1339">
        <f t="shared" si="11"/>
        <v>547106</v>
      </c>
      <c r="M21" s="1349">
        <f t="shared" si="4"/>
        <v>1.242011350737798E-2</v>
      </c>
      <c r="N21" s="1349"/>
      <c r="O21" s="1336"/>
      <c r="P21" s="1349"/>
      <c r="Q21" s="1336"/>
      <c r="R21" s="1349"/>
      <c r="S21" s="1336"/>
      <c r="T21" s="1349"/>
      <c r="U21" s="1339"/>
      <c r="V21" s="1349"/>
      <c r="W21" s="1279">
        <f t="shared" si="7"/>
        <v>547106</v>
      </c>
      <c r="X21" s="1350">
        <f t="shared" si="8"/>
        <v>7.6623298812658605E-3</v>
      </c>
      <c r="Y21" s="1279"/>
      <c r="Z21" s="1298"/>
      <c r="AA21" s="1355"/>
      <c r="AB21" s="1356"/>
      <c r="AC21" s="1351"/>
      <c r="AD21" s="1279"/>
      <c r="AE21" s="1279"/>
      <c r="AF21" s="1336">
        <f t="shared" si="9"/>
        <v>547106</v>
      </c>
      <c r="AG21" s="1351">
        <f t="shared" si="10"/>
        <v>7.2786564716718965E-3</v>
      </c>
      <c r="AH21" s="1355"/>
      <c r="AI21" s="1357"/>
      <c r="AJ21" s="1351"/>
      <c r="AK21" s="1298"/>
      <c r="AL21" s="1298"/>
      <c r="AM21" s="1298"/>
      <c r="AN21" s="1298"/>
      <c r="AO21" s="1356"/>
      <c r="AP21" s="1358"/>
      <c r="AQ21" s="1298"/>
      <c r="AR21" s="1298"/>
      <c r="AS21" s="1298"/>
      <c r="AT21" s="1298"/>
      <c r="AU21" s="1298"/>
      <c r="AV21" s="1298"/>
      <c r="AW21" s="1298"/>
      <c r="AX21" s="1298"/>
      <c r="AY21" s="1298"/>
    </row>
    <row r="22" spans="1:51" s="1335" customFormat="1" ht="14.25">
      <c r="A22" s="1353" t="s">
        <v>1725</v>
      </c>
      <c r="B22" s="1298"/>
      <c r="C22" s="1336">
        <v>0</v>
      </c>
      <c r="D22" s="1354"/>
      <c r="E22" s="1349">
        <f t="shared" si="0"/>
        <v>0</v>
      </c>
      <c r="F22" s="1336">
        <v>0</v>
      </c>
      <c r="G22" s="1349">
        <f t="shared" si="1"/>
        <v>0</v>
      </c>
      <c r="H22" s="1339">
        <f>'Series A '!D32</f>
        <v>726447</v>
      </c>
      <c r="I22" s="1349">
        <f t="shared" si="2"/>
        <v>4.5402937499999997E-2</v>
      </c>
      <c r="J22" s="1339">
        <f>'Series A '!D36</f>
        <v>726447</v>
      </c>
      <c r="K22" s="1349">
        <f t="shared" si="3"/>
        <v>4.5402937499999997E-2</v>
      </c>
      <c r="L22" s="1339">
        <f t="shared" si="11"/>
        <v>1452894</v>
      </c>
      <c r="M22" s="1349">
        <f t="shared" si="4"/>
        <v>3.2982837684449491E-2</v>
      </c>
      <c r="N22" s="1349"/>
      <c r="O22" s="1339">
        <f>'Series B'!D17</f>
        <v>833333</v>
      </c>
      <c r="P22" s="1349">
        <f t="shared" si="5"/>
        <v>7.558578706060301E-2</v>
      </c>
      <c r="Q22" s="1339"/>
      <c r="R22" s="1349"/>
      <c r="S22" s="1339"/>
      <c r="T22" s="1349"/>
      <c r="U22" s="1339">
        <f t="shared" si="12"/>
        <v>833333</v>
      </c>
      <c r="V22" s="1349">
        <f t="shared" si="6"/>
        <v>7.558578706060301E-2</v>
      </c>
      <c r="W22" s="1279">
        <f t="shared" si="7"/>
        <v>2286227</v>
      </c>
      <c r="X22" s="1350">
        <f t="shared" si="8"/>
        <v>3.2019070266925978E-2</v>
      </c>
      <c r="Y22" s="1279"/>
      <c r="Z22" s="1298"/>
      <c r="AA22" s="1355"/>
      <c r="AB22" s="1356"/>
      <c r="AC22" s="1351"/>
      <c r="AD22" s="1279"/>
      <c r="AE22" s="1279"/>
      <c r="AF22" s="1336">
        <f t="shared" si="9"/>
        <v>2286227</v>
      </c>
      <c r="AG22" s="1351">
        <f t="shared" si="10"/>
        <v>3.0415789534863492E-2</v>
      </c>
      <c r="AH22" s="1355"/>
      <c r="AI22" s="1357"/>
      <c r="AJ22" s="1351"/>
      <c r="AK22" s="1298"/>
      <c r="AL22" s="1298"/>
      <c r="AM22" s="1298"/>
      <c r="AN22" s="1298"/>
      <c r="AO22" s="1356"/>
      <c r="AP22" s="1358"/>
      <c r="AQ22" s="1298"/>
      <c r="AR22" s="1298"/>
      <c r="AS22" s="1298"/>
      <c r="AT22" s="1298"/>
      <c r="AU22" s="1298"/>
      <c r="AV22" s="1298"/>
      <c r="AW22" s="1298"/>
      <c r="AX22" s="1298"/>
      <c r="AY22" s="1298"/>
    </row>
    <row r="23" spans="1:51" s="1335" customFormat="1" ht="14.25">
      <c r="A23" s="1266" t="s">
        <v>1777</v>
      </c>
      <c r="B23" s="1298"/>
      <c r="C23" s="1336">
        <v>0</v>
      </c>
      <c r="D23" s="1354"/>
      <c r="E23" s="1349">
        <f t="shared" si="0"/>
        <v>0</v>
      </c>
      <c r="F23" s="1336">
        <v>0</v>
      </c>
      <c r="G23" s="1349">
        <f t="shared" si="1"/>
        <v>0</v>
      </c>
      <c r="H23" s="1336">
        <v>0</v>
      </c>
      <c r="I23" s="1349">
        <f t="shared" si="2"/>
        <v>0</v>
      </c>
      <c r="J23" s="1336">
        <v>0</v>
      </c>
      <c r="K23" s="1349">
        <f t="shared" si="3"/>
        <v>0</v>
      </c>
      <c r="L23" s="1336">
        <f t="shared" si="11"/>
        <v>0</v>
      </c>
      <c r="M23" s="1349">
        <f t="shared" si="4"/>
        <v>0</v>
      </c>
      <c r="N23" s="1349"/>
      <c r="O23" s="1339">
        <f>'Series B'!D19</f>
        <v>916667</v>
      </c>
      <c r="P23" s="1349">
        <f t="shared" si="5"/>
        <v>8.3144429258749847E-2</v>
      </c>
      <c r="Q23" s="1339"/>
      <c r="R23" s="1349"/>
      <c r="S23" s="1339"/>
      <c r="T23" s="1349"/>
      <c r="U23" s="1339">
        <f t="shared" si="12"/>
        <v>916667</v>
      </c>
      <c r="V23" s="1349">
        <f t="shared" si="6"/>
        <v>8.3144429258749847E-2</v>
      </c>
      <c r="W23" s="1279">
        <f t="shared" si="7"/>
        <v>916667</v>
      </c>
      <c r="X23" s="1350">
        <f t="shared" si="8"/>
        <v>1.2838106226709875E-2</v>
      </c>
      <c r="Y23" s="1279"/>
      <c r="Z23" s="1298"/>
      <c r="AA23" s="1355"/>
      <c r="AB23" s="1356"/>
      <c r="AC23" s="1351"/>
      <c r="AD23" s="1279"/>
      <c r="AE23" s="1279"/>
      <c r="AF23" s="1336">
        <f t="shared" si="9"/>
        <v>916667</v>
      </c>
      <c r="AG23" s="1351">
        <f t="shared" si="10"/>
        <v>1.2195267812668957E-2</v>
      </c>
      <c r="AH23" s="1355"/>
      <c r="AI23" s="1357"/>
      <c r="AJ23" s="1351"/>
      <c r="AK23" s="1298"/>
      <c r="AL23" s="1298"/>
      <c r="AM23" s="1298"/>
      <c r="AN23" s="1298"/>
      <c r="AO23" s="1356"/>
      <c r="AP23" s="1358"/>
      <c r="AQ23" s="1298"/>
      <c r="AR23" s="1298"/>
      <c r="AS23" s="1298"/>
      <c r="AT23" s="1298"/>
      <c r="AU23" s="1298"/>
      <c r="AV23" s="1298"/>
      <c r="AW23" s="1298"/>
      <c r="AX23" s="1298"/>
      <c r="AY23" s="1298"/>
    </row>
    <row r="24" spans="1:51" s="1335" customFormat="1" ht="14.25">
      <c r="A24" s="1266" t="s">
        <v>1778</v>
      </c>
      <c r="B24" s="1298"/>
      <c r="C24" s="1336">
        <v>0</v>
      </c>
      <c r="D24" s="1354"/>
      <c r="E24" s="1349">
        <f t="shared" si="0"/>
        <v>0</v>
      </c>
      <c r="F24" s="1336">
        <v>0</v>
      </c>
      <c r="G24" s="1349">
        <f t="shared" si="1"/>
        <v>0</v>
      </c>
      <c r="H24" s="1336">
        <v>0</v>
      </c>
      <c r="I24" s="1349">
        <f t="shared" si="2"/>
        <v>0</v>
      </c>
      <c r="J24" s="1336">
        <v>0</v>
      </c>
      <c r="K24" s="1349">
        <f t="shared" si="3"/>
        <v>0</v>
      </c>
      <c r="L24" s="1336">
        <f t="shared" si="11"/>
        <v>0</v>
      </c>
      <c r="M24" s="1349">
        <f t="shared" si="4"/>
        <v>0</v>
      </c>
      <c r="N24" s="1349"/>
      <c r="O24" s="1339">
        <f>'Series B'!D20</f>
        <v>2750000</v>
      </c>
      <c r="P24" s="1349">
        <f t="shared" si="5"/>
        <v>0.24943319707326878</v>
      </c>
      <c r="Q24" s="1339"/>
      <c r="R24" s="1349"/>
      <c r="S24" s="1339"/>
      <c r="T24" s="1349"/>
      <c r="U24" s="1339">
        <f t="shared" si="12"/>
        <v>2750000</v>
      </c>
      <c r="V24" s="1349">
        <f t="shared" si="6"/>
        <v>0.24943319707326878</v>
      </c>
      <c r="W24" s="1279">
        <f t="shared" si="7"/>
        <v>2750000</v>
      </c>
      <c r="X24" s="1350">
        <f t="shared" si="8"/>
        <v>3.8514304674927925E-2</v>
      </c>
      <c r="Y24" s="1279"/>
      <c r="Z24" s="1298"/>
      <c r="AA24" s="1355"/>
      <c r="AB24" s="1356"/>
      <c r="AC24" s="1351"/>
      <c r="AD24" s="1279"/>
      <c r="AE24" s="1279"/>
      <c r="AF24" s="1336">
        <f t="shared" si="9"/>
        <v>2750000</v>
      </c>
      <c r="AG24" s="1351">
        <f t="shared" si="10"/>
        <v>3.6585790134083189E-2</v>
      </c>
      <c r="AH24" s="1355"/>
      <c r="AI24" s="1357"/>
      <c r="AJ24" s="1351"/>
      <c r="AK24" s="1298"/>
      <c r="AL24" s="1298"/>
      <c r="AM24" s="1298"/>
      <c r="AN24" s="1298"/>
      <c r="AO24" s="1356"/>
      <c r="AP24" s="1358"/>
      <c r="AQ24" s="1298"/>
      <c r="AR24" s="1298"/>
      <c r="AS24" s="1298"/>
      <c r="AT24" s="1298"/>
      <c r="AU24" s="1298"/>
      <c r="AV24" s="1298"/>
      <c r="AW24" s="1298"/>
      <c r="AX24" s="1298"/>
      <c r="AY24" s="1298"/>
    </row>
    <row r="25" spans="1:51" s="1335" customFormat="1" ht="14.25">
      <c r="A25" s="1266" t="s">
        <v>1779</v>
      </c>
      <c r="B25" s="1298"/>
      <c r="C25" s="1336">
        <v>0</v>
      </c>
      <c r="D25" s="1354"/>
      <c r="E25" s="1349">
        <f t="shared" si="0"/>
        <v>0</v>
      </c>
      <c r="F25" s="1336">
        <v>0</v>
      </c>
      <c r="G25" s="1349">
        <f t="shared" si="1"/>
        <v>0</v>
      </c>
      <c r="H25" s="1336">
        <v>0</v>
      </c>
      <c r="I25" s="1349">
        <f t="shared" si="2"/>
        <v>0</v>
      </c>
      <c r="J25" s="1336">
        <v>0</v>
      </c>
      <c r="K25" s="1349">
        <f t="shared" si="3"/>
        <v>0</v>
      </c>
      <c r="L25" s="1336">
        <f t="shared" si="11"/>
        <v>0</v>
      </c>
      <c r="M25" s="1349">
        <f t="shared" si="4"/>
        <v>0</v>
      </c>
      <c r="N25" s="1349"/>
      <c r="O25" s="1339">
        <f>'Series B'!D21</f>
        <v>833333</v>
      </c>
      <c r="P25" s="1349">
        <f t="shared" si="5"/>
        <v>7.558578706060301E-2</v>
      </c>
      <c r="Q25" s="1339"/>
      <c r="R25" s="1349"/>
      <c r="S25" s="1339"/>
      <c r="T25" s="1349"/>
      <c r="U25" s="1339">
        <f t="shared" si="12"/>
        <v>833333</v>
      </c>
      <c r="V25" s="1349">
        <f t="shared" si="6"/>
        <v>7.558578706060301E-2</v>
      </c>
      <c r="W25" s="1279">
        <f t="shared" si="7"/>
        <v>833333</v>
      </c>
      <c r="X25" s="1350">
        <f t="shared" si="8"/>
        <v>1.1670996748244259E-2</v>
      </c>
      <c r="Y25" s="1279"/>
      <c r="Z25" s="1298"/>
      <c r="AA25" s="1355"/>
      <c r="AB25" s="1356"/>
      <c r="AC25" s="1351"/>
      <c r="AD25" s="1279"/>
      <c r="AE25" s="1279"/>
      <c r="AF25" s="1336">
        <f t="shared" si="9"/>
        <v>833333</v>
      </c>
      <c r="AG25" s="1351">
        <f t="shared" si="10"/>
        <v>1.108659863629307E-2</v>
      </c>
      <c r="AH25" s="1355"/>
      <c r="AI25" s="1357"/>
      <c r="AJ25" s="1351"/>
      <c r="AK25" s="1298"/>
      <c r="AL25" s="1298"/>
      <c r="AM25" s="1298"/>
      <c r="AN25" s="1298"/>
      <c r="AO25" s="1356"/>
      <c r="AP25" s="1358"/>
      <c r="AQ25" s="1298"/>
      <c r="AR25" s="1298"/>
      <c r="AS25" s="1298"/>
      <c r="AT25" s="1298"/>
      <c r="AU25" s="1298"/>
      <c r="AV25" s="1298"/>
      <c r="AW25" s="1298"/>
      <c r="AX25" s="1298"/>
      <c r="AY25" s="1298"/>
    </row>
    <row r="26" spans="1:51" s="1335" customFormat="1" ht="14.25">
      <c r="A26" s="1352"/>
      <c r="B26" s="1298"/>
      <c r="C26" s="1336"/>
      <c r="D26" s="1337"/>
      <c r="E26" s="1349"/>
      <c r="F26" s="1339"/>
      <c r="G26" s="1349"/>
      <c r="H26" s="1339"/>
      <c r="I26" s="1349"/>
      <c r="J26" s="1339"/>
      <c r="K26" s="1349"/>
      <c r="L26" s="1339"/>
      <c r="M26" s="1349"/>
      <c r="N26" s="1349"/>
      <c r="O26" s="1339"/>
      <c r="P26" s="1349"/>
      <c r="Q26" s="1339"/>
      <c r="R26" s="1349"/>
      <c r="S26" s="1339"/>
      <c r="T26" s="1349"/>
      <c r="U26" s="1349"/>
      <c r="V26" s="1349"/>
      <c r="W26" s="1279"/>
      <c r="X26" s="1350"/>
      <c r="Y26" s="1336"/>
      <c r="Z26" s="1298"/>
      <c r="AA26" s="1341"/>
      <c r="AB26" s="1337"/>
      <c r="AC26" s="1338"/>
      <c r="AD26" s="1336"/>
      <c r="AE26" s="1336"/>
      <c r="AF26" s="1336"/>
      <c r="AG26" s="1351"/>
      <c r="AH26" s="1343"/>
      <c r="AI26" s="1344"/>
      <c r="AJ26" s="1343"/>
      <c r="AK26" s="1298"/>
      <c r="AL26" s="1298"/>
      <c r="AM26" s="1298"/>
      <c r="AN26" s="1298"/>
      <c r="AO26" s="1345"/>
      <c r="AP26" s="1345"/>
      <c r="AQ26" s="1298"/>
      <c r="AR26" s="1298"/>
      <c r="AS26" s="1298"/>
      <c r="AT26" s="1352"/>
      <c r="AU26" s="1298"/>
      <c r="AV26" s="1298"/>
      <c r="AW26" s="1298"/>
      <c r="AX26" s="1298"/>
      <c r="AY26" s="1298"/>
    </row>
    <row r="27" spans="1:51" s="1335" customFormat="1" ht="15">
      <c r="A27" s="1347" t="s">
        <v>1738</v>
      </c>
      <c r="B27" s="1298"/>
      <c r="C27" s="1336"/>
      <c r="D27" s="1337"/>
      <c r="E27" s="1349"/>
      <c r="F27" s="1339"/>
      <c r="G27" s="1349"/>
      <c r="H27" s="1339"/>
      <c r="I27" s="1349"/>
      <c r="J27" s="1339"/>
      <c r="K27" s="1349"/>
      <c r="L27" s="1339"/>
      <c r="M27" s="1349"/>
      <c r="N27" s="1349"/>
      <c r="O27" s="1339"/>
      <c r="P27" s="1349"/>
      <c r="Q27" s="1339"/>
      <c r="R27" s="1349"/>
      <c r="S27" s="1339"/>
      <c r="T27" s="1349"/>
      <c r="U27" s="1349"/>
      <c r="V27" s="1349"/>
      <c r="W27" s="1279"/>
      <c r="X27" s="1350"/>
      <c r="Y27" s="1336"/>
      <c r="Z27" s="1298"/>
      <c r="AA27" s="1341"/>
      <c r="AB27" s="1337"/>
      <c r="AC27" s="1338"/>
      <c r="AD27" s="1336"/>
      <c r="AE27" s="1336"/>
      <c r="AF27" s="1336"/>
      <c r="AG27" s="1351"/>
      <c r="AH27" s="1343"/>
      <c r="AI27" s="1344"/>
      <c r="AJ27" s="1343"/>
      <c r="AK27" s="1298"/>
      <c r="AL27" s="1298"/>
      <c r="AM27" s="1298"/>
      <c r="AN27" s="1298"/>
      <c r="AO27" s="1345"/>
      <c r="AP27" s="1345"/>
      <c r="AQ27" s="1298"/>
      <c r="AR27" s="1298"/>
      <c r="AS27" s="1298"/>
      <c r="AT27" s="1347"/>
      <c r="AU27" s="1298"/>
      <c r="AV27" s="1298"/>
      <c r="AW27" s="1298"/>
      <c r="AX27" s="1298"/>
      <c r="AY27" s="1298"/>
    </row>
    <row r="28" spans="1:51" s="1335" customFormat="1" ht="14.25">
      <c r="A28" s="1352" t="s">
        <v>1780</v>
      </c>
      <c r="B28" s="1298"/>
      <c r="C28" s="1336">
        <v>0</v>
      </c>
      <c r="D28" s="1354"/>
      <c r="E28" s="1349">
        <f>C28/C$123</f>
        <v>0</v>
      </c>
      <c r="F28" s="1339">
        <f>'Series A '!D27</f>
        <v>273552</v>
      </c>
      <c r="G28" s="1349">
        <f>F28/F$123</f>
        <v>2.2701410788381744E-2</v>
      </c>
      <c r="H28" s="1339">
        <f>'Series A '!D31</f>
        <v>363224</v>
      </c>
      <c r="I28" s="1349">
        <f>H28/H$123</f>
        <v>2.2701499999999999E-2</v>
      </c>
      <c r="J28" s="1339">
        <f>'Series A '!D35</f>
        <v>363224</v>
      </c>
      <c r="K28" s="1349">
        <f>J28/J$123</f>
        <v>2.2701499999999999E-2</v>
      </c>
      <c r="L28" s="1339">
        <f>F28+H28+J28</f>
        <v>1000000</v>
      </c>
      <c r="M28" s="1349">
        <f>L28/L$123</f>
        <v>2.2701475595913734E-2</v>
      </c>
      <c r="N28" s="1349"/>
      <c r="O28" s="1339">
        <f>'Series B'!D16</f>
        <v>66666</v>
      </c>
      <c r="P28" s="1349">
        <f>O28/O$123</f>
        <v>6.0468049149405585E-3</v>
      </c>
      <c r="Q28" s="1339"/>
      <c r="R28" s="1349"/>
      <c r="S28" s="1339"/>
      <c r="T28" s="1349"/>
      <c r="U28" s="1339">
        <f>O28+Q28+S28</f>
        <v>66666</v>
      </c>
      <c r="V28" s="1349">
        <f>U28/U$123</f>
        <v>6.0468049149405585E-3</v>
      </c>
      <c r="W28" s="1279">
        <f>C28+L28+U28</f>
        <v>1066666</v>
      </c>
      <c r="X28" s="1350">
        <f>W28/W$123</f>
        <v>1.4938872476504243E-2</v>
      </c>
      <c r="Y28" s="1279"/>
      <c r="Z28" s="1298"/>
      <c r="AA28" s="1355"/>
      <c r="AB28" s="1356"/>
      <c r="AC28" s="1351"/>
      <c r="AD28" s="1279"/>
      <c r="AE28" s="1279"/>
      <c r="AF28" s="1336">
        <f>AD28+W28</f>
        <v>1066666</v>
      </c>
      <c r="AG28" s="1351">
        <f>AF28/$AF$129</f>
        <v>1.4190843061513445E-2</v>
      </c>
      <c r="AH28" s="1355"/>
      <c r="AI28" s="1357"/>
      <c r="AJ28" s="1351"/>
      <c r="AK28" s="1298"/>
      <c r="AL28" s="1298"/>
      <c r="AM28" s="1298"/>
      <c r="AN28" s="1298"/>
      <c r="AO28" s="1356"/>
      <c r="AP28" s="1358"/>
      <c r="AQ28" s="1298"/>
      <c r="AR28" s="1298"/>
      <c r="AS28" s="1298"/>
      <c r="AT28" s="1298"/>
      <c r="AU28" s="1298"/>
      <c r="AV28" s="1298"/>
      <c r="AW28" s="1298"/>
      <c r="AX28" s="1298"/>
      <c r="AY28" s="1298"/>
    </row>
    <row r="29" spans="1:51" s="1335" customFormat="1" ht="14.25">
      <c r="A29" s="1352" t="s">
        <v>1781</v>
      </c>
      <c r="B29" s="1298"/>
      <c r="C29" s="1336">
        <f>Options!J78</f>
        <v>0</v>
      </c>
      <c r="D29" s="1354"/>
      <c r="E29" s="1349">
        <f>C29/C$123</f>
        <v>0</v>
      </c>
      <c r="F29" s="1339"/>
      <c r="G29" s="1349"/>
      <c r="H29" s="1339"/>
      <c r="I29" s="1349"/>
      <c r="J29" s="1339"/>
      <c r="K29" s="1349"/>
      <c r="L29" s="1339"/>
      <c r="M29" s="1349"/>
      <c r="N29" s="1349"/>
      <c r="O29" s="1339"/>
      <c r="P29" s="1349"/>
      <c r="Q29" s="1339"/>
      <c r="R29" s="1349"/>
      <c r="S29" s="1339"/>
      <c r="T29" s="1349"/>
      <c r="U29" s="1349"/>
      <c r="V29" s="1349"/>
      <c r="W29" s="1279">
        <f>C29+L29+O29+Q29+S29</f>
        <v>0</v>
      </c>
      <c r="X29" s="1350">
        <f>W29/W$123</f>
        <v>0</v>
      </c>
      <c r="Y29" s="1279"/>
      <c r="Z29" s="1298"/>
      <c r="AA29" s="1355"/>
      <c r="AB29" s="1356"/>
      <c r="AC29" s="1351"/>
      <c r="AD29" s="1279">
        <f>Options!O78</f>
        <v>100000</v>
      </c>
      <c r="AE29" s="1279"/>
      <c r="AF29" s="1336">
        <f>AD29+W29</f>
        <v>100000</v>
      </c>
      <c r="AG29" s="1351">
        <f>AF29/$AF$129</f>
        <v>1.3303923685121159E-3</v>
      </c>
      <c r="AH29" s="1355"/>
      <c r="AI29" s="1357"/>
      <c r="AJ29" s="1351"/>
      <c r="AK29" s="1298"/>
      <c r="AL29" s="1298"/>
      <c r="AM29" s="1298"/>
      <c r="AN29" s="1298"/>
      <c r="AO29" s="1356"/>
      <c r="AP29" s="1358"/>
      <c r="AQ29" s="1298"/>
      <c r="AR29" s="1298"/>
      <c r="AS29" s="1298"/>
      <c r="AT29" s="1298"/>
      <c r="AU29" s="1298"/>
      <c r="AV29" s="1298"/>
      <c r="AW29" s="1298"/>
      <c r="AX29" s="1298"/>
      <c r="AY29" s="1298"/>
    </row>
    <row r="30" spans="1:51" s="1335" customFormat="1" ht="14.25">
      <c r="A30" s="1352"/>
      <c r="B30" s="1298"/>
      <c r="C30" s="1336"/>
      <c r="D30" s="1337"/>
      <c r="E30" s="1349"/>
      <c r="F30" s="1339"/>
      <c r="G30" s="1349"/>
      <c r="H30" s="1339"/>
      <c r="I30" s="1349"/>
      <c r="J30" s="1339"/>
      <c r="K30" s="1349"/>
      <c r="L30" s="1339"/>
      <c r="M30" s="1349"/>
      <c r="N30" s="1349"/>
      <c r="O30" s="1339"/>
      <c r="P30" s="1349"/>
      <c r="Q30" s="1339"/>
      <c r="R30" s="1349"/>
      <c r="S30" s="1339"/>
      <c r="T30" s="1349"/>
      <c r="U30" s="1349"/>
      <c r="V30" s="1349"/>
      <c r="W30" s="1279"/>
      <c r="X30" s="1350"/>
      <c r="Y30" s="1336"/>
      <c r="Z30" s="1298"/>
      <c r="AA30" s="1341"/>
      <c r="AB30" s="1337"/>
      <c r="AC30" s="1338"/>
      <c r="AD30" s="1336"/>
      <c r="AE30" s="1336"/>
      <c r="AF30" s="1336"/>
      <c r="AG30" s="1351"/>
      <c r="AH30" s="1343"/>
      <c r="AI30" s="1344"/>
      <c r="AJ30" s="1343"/>
      <c r="AK30" s="1298"/>
      <c r="AL30" s="1298"/>
      <c r="AM30" s="1298"/>
      <c r="AN30" s="1298"/>
      <c r="AO30" s="1345"/>
      <c r="AP30" s="1345"/>
      <c r="AQ30" s="1298"/>
      <c r="AR30" s="1298"/>
      <c r="AS30" s="1298"/>
      <c r="AT30" s="1298"/>
      <c r="AU30" s="1298"/>
      <c r="AV30" s="1298"/>
      <c r="AW30" s="1298"/>
      <c r="AX30" s="1298"/>
      <c r="AY30" s="1298"/>
    </row>
    <row r="31" spans="1:51" s="1335" customFormat="1" ht="15">
      <c r="A31" s="1347" t="s">
        <v>1782</v>
      </c>
      <c r="B31" s="1298"/>
      <c r="C31" s="1336"/>
      <c r="D31" s="1337"/>
      <c r="E31" s="1349"/>
      <c r="F31" s="1339"/>
      <c r="G31" s="1349"/>
      <c r="H31" s="1339"/>
      <c r="I31" s="1349"/>
      <c r="J31" s="1339"/>
      <c r="K31" s="1349"/>
      <c r="L31" s="1339"/>
      <c r="M31" s="1349"/>
      <c r="N31" s="1349"/>
      <c r="O31" s="1339"/>
      <c r="P31" s="1349"/>
      <c r="Q31" s="1339"/>
      <c r="R31" s="1349"/>
      <c r="S31" s="1339"/>
      <c r="T31" s="1349"/>
      <c r="U31" s="1349"/>
      <c r="V31" s="1349"/>
      <c r="W31" s="1279"/>
      <c r="X31" s="1350"/>
      <c r="Y31" s="1336"/>
      <c r="Z31" s="1298"/>
      <c r="AA31" s="1341"/>
      <c r="AB31" s="1337"/>
      <c r="AC31" s="1338"/>
      <c r="AD31" s="1336"/>
      <c r="AE31" s="1336"/>
      <c r="AF31" s="1336"/>
      <c r="AG31" s="1351"/>
      <c r="AH31" s="1343"/>
      <c r="AI31" s="1344"/>
      <c r="AJ31" s="1343"/>
      <c r="AK31" s="1298"/>
      <c r="AL31" s="1298"/>
      <c r="AM31" s="1298"/>
      <c r="AN31" s="1298"/>
      <c r="AO31" s="1345"/>
      <c r="AP31" s="1345"/>
      <c r="AQ31" s="1298"/>
      <c r="AR31" s="1298"/>
      <c r="AS31" s="1298"/>
      <c r="AT31" s="1298"/>
      <c r="AU31" s="1298"/>
      <c r="AV31" s="1298"/>
      <c r="AW31" s="1298"/>
      <c r="AX31" s="1298"/>
      <c r="AY31" s="1298"/>
    </row>
    <row r="32" spans="1:51" s="1335" customFormat="1" ht="14.25">
      <c r="A32" s="1352" t="s">
        <v>1783</v>
      </c>
      <c r="B32" s="1298"/>
      <c r="C32" s="1336">
        <f>'Common Stock'!J63</f>
        <v>2482000</v>
      </c>
      <c r="D32" s="1354"/>
      <c r="E32" s="1351">
        <f>C32/C$123</f>
        <v>0.15201770118121796</v>
      </c>
      <c r="F32" s="1339"/>
      <c r="G32" s="1349"/>
      <c r="H32" s="1339"/>
      <c r="I32" s="1349"/>
      <c r="J32" s="1339"/>
      <c r="K32" s="1349"/>
      <c r="L32" s="1339"/>
      <c r="M32" s="1349"/>
      <c r="N32" s="1349"/>
      <c r="O32" s="1339"/>
      <c r="P32" s="1349"/>
      <c r="Q32" s="1339"/>
      <c r="R32" s="1349"/>
      <c r="S32" s="1339"/>
      <c r="T32" s="1349"/>
      <c r="U32" s="1349"/>
      <c r="V32" s="1349"/>
      <c r="W32" s="1279">
        <f>C32+L32+U32</f>
        <v>2482000</v>
      </c>
      <c r="X32" s="1350">
        <f>W32/W$123</f>
        <v>3.476091061933495E-2</v>
      </c>
      <c r="Y32" s="1279"/>
      <c r="Z32" s="1298"/>
      <c r="AA32" s="1355"/>
      <c r="AB32" s="1356"/>
      <c r="AC32" s="1351"/>
      <c r="AD32" s="1279">
        <v>600000</v>
      </c>
      <c r="AE32" s="1279"/>
      <c r="AF32" s="1336">
        <f>AD32+W32</f>
        <v>3082000</v>
      </c>
      <c r="AG32" s="1351">
        <f>AF32/$AF$129</f>
        <v>4.1002692797543414E-2</v>
      </c>
      <c r="AH32" s="1355"/>
      <c r="AI32" s="1357"/>
      <c r="AJ32" s="1351"/>
      <c r="AK32" s="1298"/>
      <c r="AL32" s="1298"/>
      <c r="AM32" s="1298"/>
      <c r="AN32" s="1298"/>
      <c r="AO32" s="1356"/>
      <c r="AP32" s="1358"/>
      <c r="AQ32" s="1298"/>
      <c r="AR32" s="1298"/>
      <c r="AS32" s="1298"/>
      <c r="AT32" s="1298"/>
      <c r="AU32" s="1298"/>
      <c r="AV32" s="1298"/>
      <c r="AW32" s="1298"/>
      <c r="AX32" s="1298"/>
      <c r="AY32" s="1298"/>
    </row>
    <row r="33" spans="1:51" s="1335" customFormat="1" ht="14.25">
      <c r="A33" s="1352"/>
      <c r="B33" s="1298"/>
      <c r="C33" s="1336"/>
      <c r="D33" s="1337"/>
      <c r="E33" s="1349"/>
      <c r="F33" s="1339"/>
      <c r="G33" s="1349"/>
      <c r="H33" s="1349"/>
      <c r="I33" s="1349"/>
      <c r="J33" s="1349"/>
      <c r="K33" s="1349"/>
      <c r="L33" s="1349"/>
      <c r="M33" s="1349"/>
      <c r="N33" s="1349"/>
      <c r="O33" s="1349"/>
      <c r="P33" s="1349"/>
      <c r="Q33" s="1349"/>
      <c r="R33" s="1349"/>
      <c r="S33" s="1349"/>
      <c r="T33" s="1349"/>
      <c r="U33" s="1349"/>
      <c r="V33" s="1349"/>
      <c r="W33" s="1279"/>
      <c r="X33" s="1350"/>
      <c r="Y33" s="1336"/>
      <c r="Z33" s="1298"/>
      <c r="AA33" s="1341"/>
      <c r="AB33" s="1337"/>
      <c r="AC33" s="1338"/>
      <c r="AD33" s="1336"/>
      <c r="AE33" s="1336"/>
      <c r="AF33" s="1336"/>
      <c r="AG33" s="1351"/>
      <c r="AH33" s="1343"/>
      <c r="AI33" s="1344"/>
      <c r="AJ33" s="1343"/>
      <c r="AK33" s="1298"/>
      <c r="AL33" s="1298"/>
      <c r="AM33" s="1298"/>
      <c r="AN33" s="1298"/>
      <c r="AO33" s="1345"/>
      <c r="AP33" s="1345"/>
      <c r="AQ33" s="1298"/>
      <c r="AR33" s="1298"/>
      <c r="AS33" s="1298"/>
      <c r="AT33" s="1298"/>
      <c r="AU33" s="1298"/>
      <c r="AV33" s="1298"/>
      <c r="AW33" s="1298"/>
      <c r="AX33" s="1298"/>
      <c r="AY33" s="1298"/>
    </row>
    <row r="34" spans="1:51" s="1335" customFormat="1" ht="15">
      <c r="A34" s="1347" t="s">
        <v>1784</v>
      </c>
      <c r="B34" s="1298"/>
      <c r="C34" s="1336"/>
      <c r="D34" s="1337"/>
      <c r="E34" s="1349"/>
      <c r="F34" s="1339"/>
      <c r="G34" s="1349"/>
      <c r="H34" s="1349"/>
      <c r="I34" s="1349"/>
      <c r="J34" s="1349"/>
      <c r="K34" s="1349"/>
      <c r="L34" s="1349"/>
      <c r="M34" s="1349"/>
      <c r="N34" s="1349"/>
      <c r="O34" s="1349"/>
      <c r="P34" s="1349"/>
      <c r="Q34" s="1349"/>
      <c r="R34" s="1349"/>
      <c r="S34" s="1349"/>
      <c r="T34" s="1349"/>
      <c r="U34" s="1349"/>
      <c r="V34" s="1349"/>
      <c r="W34" s="1279"/>
      <c r="X34" s="1350"/>
      <c r="Y34" s="1336"/>
      <c r="Z34" s="1298"/>
      <c r="AA34" s="1341"/>
      <c r="AB34" s="1337"/>
      <c r="AC34" s="1338"/>
      <c r="AD34" s="1336"/>
      <c r="AE34" s="1336"/>
      <c r="AF34" s="1336"/>
      <c r="AG34" s="1351"/>
      <c r="AH34" s="1343"/>
      <c r="AI34" s="1344"/>
      <c r="AJ34" s="1343"/>
      <c r="AK34" s="1298"/>
      <c r="AL34" s="1298"/>
      <c r="AM34" s="1298"/>
      <c r="AN34" s="1298"/>
      <c r="AO34" s="1345"/>
      <c r="AP34" s="1345"/>
      <c r="AQ34" s="1298"/>
      <c r="AR34" s="1298"/>
      <c r="AS34" s="1298"/>
      <c r="AT34" s="1298"/>
      <c r="AU34" s="1298"/>
      <c r="AV34" s="1298"/>
      <c r="AW34" s="1298"/>
      <c r="AX34" s="1298"/>
      <c r="AY34" s="1298"/>
    </row>
    <row r="35" spans="1:51" s="1335" customFormat="1" ht="14.25">
      <c r="A35" s="1352"/>
      <c r="B35" s="1298"/>
      <c r="C35" s="1336"/>
      <c r="D35" s="1337"/>
      <c r="E35" s="1349"/>
      <c r="F35" s="1339"/>
      <c r="G35" s="1349"/>
      <c r="H35" s="1349"/>
      <c r="I35" s="1349"/>
      <c r="J35" s="1349"/>
      <c r="K35" s="1349"/>
      <c r="L35" s="1349"/>
      <c r="M35" s="1349"/>
      <c r="N35" s="1349"/>
      <c r="O35" s="1349"/>
      <c r="P35" s="1349"/>
      <c r="Q35" s="1349"/>
      <c r="R35" s="1349"/>
      <c r="S35" s="1349"/>
      <c r="T35" s="1349"/>
      <c r="U35" s="1349"/>
      <c r="V35" s="1349"/>
      <c r="W35" s="1279"/>
      <c r="X35" s="1350"/>
      <c r="Y35" s="1336"/>
      <c r="Z35" s="1298"/>
      <c r="AA35" s="1341"/>
      <c r="AB35" s="1337"/>
      <c r="AC35" s="1338"/>
      <c r="AD35" s="1336"/>
      <c r="AE35" s="1336"/>
      <c r="AF35" s="1336"/>
      <c r="AG35" s="1351"/>
      <c r="AH35" s="1343"/>
      <c r="AI35" s="1344"/>
      <c r="AJ35" s="1343"/>
      <c r="AK35" s="1298"/>
      <c r="AL35" s="1298"/>
      <c r="AM35" s="1298"/>
      <c r="AN35" s="1298"/>
      <c r="AO35" s="1345"/>
      <c r="AP35" s="1345"/>
      <c r="AQ35" s="1298"/>
      <c r="AR35" s="1298"/>
      <c r="AS35" s="1298"/>
      <c r="AT35" s="1298"/>
      <c r="AU35" s="1298"/>
      <c r="AV35" s="1298"/>
      <c r="AW35" s="1298"/>
      <c r="AX35" s="1298"/>
      <c r="AY35" s="1298"/>
    </row>
    <row r="36" spans="1:51" s="1335" customFormat="1" ht="15">
      <c r="A36" s="1347" t="s">
        <v>1785</v>
      </c>
      <c r="B36" s="1298"/>
      <c r="C36" s="1336"/>
      <c r="D36" s="1337"/>
      <c r="E36" s="1349"/>
      <c r="F36" s="1339"/>
      <c r="G36" s="1349"/>
      <c r="H36" s="1349"/>
      <c r="I36" s="1349"/>
      <c r="J36" s="1349"/>
      <c r="K36" s="1349"/>
      <c r="L36" s="1349"/>
      <c r="M36" s="1349"/>
      <c r="N36" s="1349"/>
      <c r="O36" s="1349"/>
      <c r="P36" s="1349"/>
      <c r="Q36" s="1349"/>
      <c r="R36" s="1349"/>
      <c r="S36" s="1349"/>
      <c r="T36" s="1349"/>
      <c r="U36" s="1349"/>
      <c r="V36" s="1349"/>
      <c r="W36" s="1279"/>
      <c r="X36" s="1350"/>
      <c r="Y36" s="1336"/>
      <c r="Z36" s="1298"/>
      <c r="AA36" s="1341"/>
      <c r="AB36" s="1337"/>
      <c r="AC36" s="1338"/>
      <c r="AD36" s="1336"/>
      <c r="AE36" s="1336"/>
      <c r="AF36" s="1336"/>
      <c r="AG36" s="1351"/>
      <c r="AH36" s="1343"/>
      <c r="AI36" s="1344"/>
      <c r="AJ36" s="1343"/>
      <c r="AK36" s="1298"/>
      <c r="AL36" s="1298"/>
      <c r="AM36" s="1298"/>
      <c r="AN36" s="1298"/>
      <c r="AO36" s="1345"/>
      <c r="AP36" s="1345"/>
      <c r="AQ36" s="1298"/>
      <c r="AR36" s="1298"/>
      <c r="AS36" s="1298"/>
      <c r="AT36" s="1298"/>
      <c r="AU36" s="1298"/>
      <c r="AV36" s="1298"/>
      <c r="AW36" s="1298"/>
      <c r="AX36" s="1298"/>
      <c r="AY36" s="1298"/>
    </row>
    <row r="37" spans="1:51" s="1335" customFormat="1" ht="14.25">
      <c r="A37" s="1352" t="s">
        <v>1786</v>
      </c>
      <c r="B37" s="1298"/>
      <c r="C37" s="1336">
        <f>'Common Stock'!J79</f>
        <v>170000</v>
      </c>
      <c r="D37" s="1354"/>
      <c r="E37" s="1351">
        <f t="shared" ref="E37:E80" si="13">C37/C$123</f>
        <v>1.0412171313782052E-2</v>
      </c>
      <c r="F37" s="1339"/>
      <c r="G37" s="1349"/>
      <c r="H37" s="1349"/>
      <c r="I37" s="1349"/>
      <c r="J37" s="1349"/>
      <c r="K37" s="1349"/>
      <c r="L37" s="1349"/>
      <c r="M37" s="1349"/>
      <c r="N37" s="1349"/>
      <c r="O37" s="1349"/>
      <c r="P37" s="1349"/>
      <c r="Q37" s="1349"/>
      <c r="R37" s="1349"/>
      <c r="S37" s="1349"/>
      <c r="T37" s="1349"/>
      <c r="U37" s="1349"/>
      <c r="V37" s="1349"/>
      <c r="W37" s="1279">
        <f t="shared" ref="W37:W80" si="14">C37+L37+O37+Q37+S37</f>
        <v>170000</v>
      </c>
      <c r="X37" s="1350">
        <f t="shared" ref="X37:X80" si="15">W37/W$123</f>
        <v>2.3808842889955443E-3</v>
      </c>
      <c r="Y37" s="1279"/>
      <c r="Z37" s="1298"/>
      <c r="AA37" s="1355"/>
      <c r="AB37" s="1356"/>
      <c r="AC37" s="1351"/>
      <c r="AD37" s="1279">
        <f>Options!O8+Options!O54</f>
        <v>20000</v>
      </c>
      <c r="AE37" s="1279"/>
      <c r="AF37" s="1336">
        <f t="shared" ref="AF37:AF80" si="16">AD37+W37</f>
        <v>190000</v>
      </c>
      <c r="AG37" s="1351">
        <f t="shared" ref="AG37:AG80" si="17">AF37/$AF$129</f>
        <v>2.5277455001730203E-3</v>
      </c>
      <c r="AH37" s="1355"/>
      <c r="AI37" s="1357"/>
      <c r="AJ37" s="1351"/>
      <c r="AK37" s="1298"/>
      <c r="AL37" s="1298"/>
      <c r="AM37" s="1298"/>
      <c r="AN37" s="1298"/>
      <c r="AO37" s="1356"/>
      <c r="AP37" s="1358"/>
      <c r="AQ37" s="1298"/>
      <c r="AR37" s="1298"/>
      <c r="AS37" s="1298"/>
      <c r="AT37" s="1298"/>
      <c r="AU37" s="1298"/>
      <c r="AV37" s="1298"/>
      <c r="AW37" s="1298"/>
      <c r="AX37" s="1298"/>
      <c r="AY37" s="1298"/>
    </row>
    <row r="38" spans="1:51" s="1335" customFormat="1" ht="14.25">
      <c r="A38" s="1352" t="s">
        <v>1787</v>
      </c>
      <c r="B38" s="1298"/>
      <c r="C38" s="1336">
        <f>'Common Stock'!J65</f>
        <v>150000</v>
      </c>
      <c r="D38" s="1354"/>
      <c r="E38" s="1351">
        <f t="shared" si="13"/>
        <v>9.1872099827488701E-3</v>
      </c>
      <c r="F38" s="1339"/>
      <c r="G38" s="1349"/>
      <c r="H38" s="1349"/>
      <c r="I38" s="1349"/>
      <c r="J38" s="1349"/>
      <c r="K38" s="1349"/>
      <c r="L38" s="1349"/>
      <c r="M38" s="1349"/>
      <c r="N38" s="1349"/>
      <c r="O38" s="1349"/>
      <c r="P38" s="1349"/>
      <c r="Q38" s="1349"/>
      <c r="R38" s="1349"/>
      <c r="S38" s="1349"/>
      <c r="T38" s="1349"/>
      <c r="U38" s="1349"/>
      <c r="V38" s="1349"/>
      <c r="W38" s="1279">
        <f t="shared" si="14"/>
        <v>150000</v>
      </c>
      <c r="X38" s="1350">
        <f t="shared" si="15"/>
        <v>2.1007802549960685E-3</v>
      </c>
      <c r="Y38" s="1279"/>
      <c r="Z38" s="1298"/>
      <c r="AA38" s="1355"/>
      <c r="AB38" s="1356"/>
      <c r="AC38" s="1351"/>
      <c r="AD38" s="1279">
        <f>Options!O9+Options!O52</f>
        <v>35000</v>
      </c>
      <c r="AE38" s="1279"/>
      <c r="AF38" s="1336">
        <f t="shared" si="16"/>
        <v>185000</v>
      </c>
      <c r="AG38" s="1351">
        <f t="shared" si="17"/>
        <v>2.4612258817474143E-3</v>
      </c>
      <c r="AH38" s="1355"/>
      <c r="AI38" s="1357"/>
      <c r="AJ38" s="1351"/>
      <c r="AK38" s="1298"/>
      <c r="AL38" s="1298"/>
      <c r="AM38" s="1298"/>
      <c r="AN38" s="1298"/>
      <c r="AO38" s="1356"/>
      <c r="AP38" s="1358"/>
      <c r="AQ38" s="1298"/>
      <c r="AR38" s="1298"/>
      <c r="AS38" s="1298"/>
      <c r="AT38" s="1298"/>
      <c r="AU38" s="1298"/>
      <c r="AV38" s="1298"/>
      <c r="AW38" s="1298"/>
      <c r="AX38" s="1298"/>
      <c r="AY38" s="1298"/>
    </row>
    <row r="39" spans="1:51" s="1335" customFormat="1" ht="14.25">
      <c r="A39" s="1352" t="s">
        <v>1788</v>
      </c>
      <c r="B39" s="1298"/>
      <c r="C39" s="1336">
        <f>'Common Stock'!J72+'Common Stock'!J101</f>
        <v>195000</v>
      </c>
      <c r="D39" s="1354"/>
      <c r="E39" s="1351">
        <f t="shared" si="13"/>
        <v>1.194337297757353E-2</v>
      </c>
      <c r="F39" s="1339"/>
      <c r="G39" s="1349"/>
      <c r="H39" s="1349"/>
      <c r="I39" s="1349"/>
      <c r="J39" s="1349"/>
      <c r="K39" s="1349"/>
      <c r="L39" s="1349"/>
      <c r="M39" s="1349"/>
      <c r="N39" s="1349"/>
      <c r="O39" s="1349"/>
      <c r="P39" s="1349"/>
      <c r="Q39" s="1349"/>
      <c r="R39" s="1349"/>
      <c r="S39" s="1349"/>
      <c r="T39" s="1349"/>
      <c r="U39" s="1349"/>
      <c r="V39" s="1349"/>
      <c r="W39" s="1279">
        <f t="shared" si="14"/>
        <v>195000</v>
      </c>
      <c r="X39" s="1350">
        <f t="shared" si="15"/>
        <v>2.7310143314948892E-3</v>
      </c>
      <c r="Y39" s="1279"/>
      <c r="Z39" s="1298"/>
      <c r="AA39" s="1355"/>
      <c r="AB39" s="1356"/>
      <c r="AC39" s="1351"/>
      <c r="AD39" s="1279">
        <f>Options!O10+Options!O53</f>
        <v>0</v>
      </c>
      <c r="AE39" s="1279"/>
      <c r="AF39" s="1336">
        <f t="shared" si="16"/>
        <v>195000</v>
      </c>
      <c r="AG39" s="1351">
        <f t="shared" si="17"/>
        <v>2.5942651185986258E-3</v>
      </c>
      <c r="AH39" s="1355"/>
      <c r="AI39" s="1357"/>
      <c r="AJ39" s="1351"/>
      <c r="AK39" s="1298"/>
      <c r="AL39" s="1298"/>
      <c r="AM39" s="1298"/>
      <c r="AN39" s="1298"/>
      <c r="AO39" s="1356"/>
      <c r="AP39" s="1358"/>
      <c r="AQ39" s="1298"/>
      <c r="AR39" s="1298"/>
      <c r="AS39" s="1298"/>
      <c r="AT39" s="1298"/>
      <c r="AU39" s="1298"/>
      <c r="AV39" s="1298"/>
      <c r="AW39" s="1298"/>
      <c r="AX39" s="1298"/>
      <c r="AY39" s="1298"/>
    </row>
    <row r="40" spans="1:51" s="1335" customFormat="1" ht="14.25">
      <c r="A40" s="1352" t="s">
        <v>1789</v>
      </c>
      <c r="B40" s="1298"/>
      <c r="C40" s="1336">
        <f>'Common Stock'!J80+'Common Stock'!C92</f>
        <v>45000</v>
      </c>
      <c r="D40" s="1354"/>
      <c r="E40" s="1351">
        <f t="shared" si="13"/>
        <v>2.756162994824661E-3</v>
      </c>
      <c r="F40" s="1339"/>
      <c r="G40" s="1349"/>
      <c r="H40" s="1349"/>
      <c r="I40" s="1349"/>
      <c r="J40" s="1349"/>
      <c r="K40" s="1349"/>
      <c r="L40" s="1349"/>
      <c r="M40" s="1349"/>
      <c r="N40" s="1349"/>
      <c r="O40" s="1349"/>
      <c r="P40" s="1349"/>
      <c r="Q40" s="1349"/>
      <c r="R40" s="1349"/>
      <c r="S40" s="1349"/>
      <c r="T40" s="1349"/>
      <c r="U40" s="1349"/>
      <c r="V40" s="1349"/>
      <c r="W40" s="1279">
        <f t="shared" si="14"/>
        <v>45000</v>
      </c>
      <c r="X40" s="1350">
        <f t="shared" si="15"/>
        <v>6.3023407649882054E-4</v>
      </c>
      <c r="Y40" s="1279"/>
      <c r="Z40" s="1298"/>
      <c r="AA40" s="1355"/>
      <c r="AB40" s="1356"/>
      <c r="AC40" s="1351"/>
      <c r="AD40" s="1279">
        <f>Options!O11</f>
        <v>0</v>
      </c>
      <c r="AE40" s="1279"/>
      <c r="AF40" s="1336">
        <f t="shared" si="16"/>
        <v>45000</v>
      </c>
      <c r="AG40" s="1351">
        <f t="shared" si="17"/>
        <v>5.9867656583045218E-4</v>
      </c>
      <c r="AH40" s="1355"/>
      <c r="AI40" s="1357"/>
      <c r="AJ40" s="1351"/>
      <c r="AK40" s="1298"/>
      <c r="AL40" s="1298"/>
      <c r="AM40" s="1298"/>
      <c r="AN40" s="1298"/>
      <c r="AO40" s="1356"/>
      <c r="AP40" s="1358"/>
      <c r="AQ40" s="1298"/>
      <c r="AR40" s="1298"/>
      <c r="AS40" s="1298"/>
      <c r="AT40" s="1298"/>
      <c r="AU40" s="1298"/>
      <c r="AV40" s="1298"/>
      <c r="AW40" s="1298"/>
      <c r="AX40" s="1298"/>
      <c r="AY40" s="1298"/>
    </row>
    <row r="41" spans="1:51" s="1335" customFormat="1" ht="14.25">
      <c r="A41" s="1352" t="s">
        <v>1790</v>
      </c>
      <c r="B41" s="1298"/>
      <c r="C41" s="1336">
        <f>'Common Stock'!J73</f>
        <v>18000</v>
      </c>
      <c r="D41" s="1354"/>
      <c r="E41" s="1351">
        <f t="shared" si="13"/>
        <v>1.1024651979298643E-3</v>
      </c>
      <c r="F41" s="1339"/>
      <c r="G41" s="1349"/>
      <c r="H41" s="1349"/>
      <c r="I41" s="1349"/>
      <c r="J41" s="1349"/>
      <c r="K41" s="1349"/>
      <c r="L41" s="1349"/>
      <c r="M41" s="1349"/>
      <c r="N41" s="1349"/>
      <c r="O41" s="1349"/>
      <c r="P41" s="1349"/>
      <c r="Q41" s="1349"/>
      <c r="R41" s="1349"/>
      <c r="S41" s="1349"/>
      <c r="T41" s="1349"/>
      <c r="U41" s="1349"/>
      <c r="V41" s="1349"/>
      <c r="W41" s="1279">
        <f t="shared" si="14"/>
        <v>18000</v>
      </c>
      <c r="X41" s="1350">
        <f t="shared" si="15"/>
        <v>2.5209363059952822E-4</v>
      </c>
      <c r="Y41" s="1279"/>
      <c r="Z41" s="1298"/>
      <c r="AA41" s="1355"/>
      <c r="AB41" s="1356"/>
      <c r="AC41" s="1351"/>
      <c r="AD41" s="1279">
        <f>Options!O12</f>
        <v>0</v>
      </c>
      <c r="AE41" s="1279"/>
      <c r="AF41" s="1336">
        <f t="shared" si="16"/>
        <v>18000</v>
      </c>
      <c r="AG41" s="1351">
        <f t="shared" si="17"/>
        <v>2.3947062633218087E-4</v>
      </c>
      <c r="AH41" s="1355"/>
      <c r="AI41" s="1357"/>
      <c r="AJ41" s="1351"/>
      <c r="AK41" s="1298"/>
      <c r="AL41" s="1298"/>
      <c r="AM41" s="1298"/>
      <c r="AN41" s="1298"/>
      <c r="AO41" s="1356"/>
      <c r="AP41" s="1358"/>
      <c r="AQ41" s="1298"/>
      <c r="AR41" s="1298"/>
      <c r="AS41" s="1298"/>
      <c r="AT41" s="1298"/>
      <c r="AU41" s="1298"/>
      <c r="AV41" s="1298"/>
      <c r="AW41" s="1298"/>
      <c r="AX41" s="1298"/>
      <c r="AY41" s="1298"/>
    </row>
    <row r="42" spans="1:51" s="1335" customFormat="1" ht="14.25">
      <c r="A42" s="1352" t="s">
        <v>1791</v>
      </c>
      <c r="B42" s="1298"/>
      <c r="C42" s="1336">
        <f>'Common Stock'!J67</f>
        <v>95000</v>
      </c>
      <c r="D42" s="1354"/>
      <c r="E42" s="1351">
        <f t="shared" si="13"/>
        <v>5.8185663224076178E-3</v>
      </c>
      <c r="F42" s="1339"/>
      <c r="G42" s="1349"/>
      <c r="H42" s="1349"/>
      <c r="I42" s="1349"/>
      <c r="J42" s="1349"/>
      <c r="K42" s="1349"/>
      <c r="L42" s="1349"/>
      <c r="M42" s="1349"/>
      <c r="N42" s="1349"/>
      <c r="O42" s="1349"/>
      <c r="P42" s="1349"/>
      <c r="Q42" s="1349"/>
      <c r="R42" s="1349"/>
      <c r="S42" s="1349"/>
      <c r="T42" s="1349"/>
      <c r="U42" s="1349"/>
      <c r="V42" s="1349"/>
      <c r="W42" s="1279">
        <f t="shared" si="14"/>
        <v>95000</v>
      </c>
      <c r="X42" s="1350">
        <f t="shared" si="15"/>
        <v>1.33049416149751E-3</v>
      </c>
      <c r="Y42" s="1279"/>
      <c r="Z42" s="1298"/>
      <c r="AA42" s="1355"/>
      <c r="AB42" s="1356"/>
      <c r="AC42" s="1351"/>
      <c r="AD42" s="1279">
        <f>Options!O13+Options!O55</f>
        <v>18000</v>
      </c>
      <c r="AE42" s="1279"/>
      <c r="AF42" s="1336">
        <f t="shared" si="16"/>
        <v>113000</v>
      </c>
      <c r="AG42" s="1351">
        <f t="shared" si="17"/>
        <v>1.503343376418691E-3</v>
      </c>
      <c r="AH42" s="1355"/>
      <c r="AI42" s="1357"/>
      <c r="AJ42" s="1351"/>
      <c r="AK42" s="1298"/>
      <c r="AL42" s="1298"/>
      <c r="AM42" s="1298"/>
      <c r="AN42" s="1298"/>
      <c r="AO42" s="1356"/>
      <c r="AP42" s="1358"/>
      <c r="AQ42" s="1298"/>
      <c r="AR42" s="1298"/>
      <c r="AS42" s="1298"/>
      <c r="AT42" s="1298"/>
      <c r="AU42" s="1298"/>
      <c r="AV42" s="1298"/>
      <c r="AW42" s="1298"/>
      <c r="AX42" s="1298"/>
      <c r="AY42" s="1298"/>
    </row>
    <row r="43" spans="1:51" s="1335" customFormat="1" ht="14.25">
      <c r="A43" s="1352" t="s">
        <v>1792</v>
      </c>
      <c r="B43" s="1298"/>
      <c r="C43" s="1336">
        <f>'Common Stock'!J68</f>
        <v>85000</v>
      </c>
      <c r="D43" s="1354"/>
      <c r="E43" s="1351">
        <f t="shared" si="13"/>
        <v>5.206085656891026E-3</v>
      </c>
      <c r="F43" s="1339"/>
      <c r="G43" s="1349"/>
      <c r="H43" s="1349"/>
      <c r="I43" s="1349"/>
      <c r="J43" s="1349"/>
      <c r="K43" s="1349"/>
      <c r="L43" s="1349"/>
      <c r="M43" s="1349"/>
      <c r="N43" s="1349"/>
      <c r="O43" s="1349"/>
      <c r="P43" s="1349"/>
      <c r="Q43" s="1349"/>
      <c r="R43" s="1349"/>
      <c r="S43" s="1349"/>
      <c r="T43" s="1349"/>
      <c r="U43" s="1349"/>
      <c r="V43" s="1349"/>
      <c r="W43" s="1279">
        <f t="shared" si="14"/>
        <v>85000</v>
      </c>
      <c r="X43" s="1350">
        <f t="shared" si="15"/>
        <v>1.1904421444977721E-3</v>
      </c>
      <c r="Y43" s="1279"/>
      <c r="Z43" s="1298"/>
      <c r="AA43" s="1355"/>
      <c r="AB43" s="1356"/>
      <c r="AC43" s="1351"/>
      <c r="AD43" s="1279">
        <f>Options!O14+Options!O56</f>
        <v>18000</v>
      </c>
      <c r="AE43" s="1279"/>
      <c r="AF43" s="1336">
        <f t="shared" si="16"/>
        <v>103000</v>
      </c>
      <c r="AG43" s="1351">
        <f t="shared" si="17"/>
        <v>1.3703041395674795E-3</v>
      </c>
      <c r="AH43" s="1355"/>
      <c r="AI43" s="1357"/>
      <c r="AJ43" s="1351"/>
      <c r="AK43" s="1298"/>
      <c r="AL43" s="1298"/>
      <c r="AM43" s="1298"/>
      <c r="AN43" s="1298"/>
      <c r="AO43" s="1356"/>
      <c r="AP43" s="1358"/>
      <c r="AQ43" s="1298"/>
      <c r="AR43" s="1298"/>
      <c r="AS43" s="1298"/>
      <c r="AT43" s="1298"/>
      <c r="AU43" s="1298"/>
      <c r="AV43" s="1298"/>
      <c r="AW43" s="1298"/>
      <c r="AX43" s="1298"/>
      <c r="AY43" s="1298"/>
    </row>
    <row r="44" spans="1:51" s="1335" customFormat="1" ht="14.25">
      <c r="A44" s="1352" t="s">
        <v>1793</v>
      </c>
      <c r="B44" s="1298"/>
      <c r="C44" s="1336">
        <f>'Common Stock'!J66</f>
        <v>20000</v>
      </c>
      <c r="D44" s="1354"/>
      <c r="E44" s="1351">
        <f t="shared" si="13"/>
        <v>1.2249613310331825E-3</v>
      </c>
      <c r="F44" s="1339"/>
      <c r="G44" s="1349"/>
      <c r="H44" s="1349"/>
      <c r="I44" s="1349"/>
      <c r="J44" s="1349"/>
      <c r="K44" s="1349"/>
      <c r="L44" s="1349"/>
      <c r="M44" s="1349"/>
      <c r="N44" s="1349"/>
      <c r="O44" s="1349"/>
      <c r="P44" s="1349"/>
      <c r="Q44" s="1349"/>
      <c r="R44" s="1349"/>
      <c r="S44" s="1349"/>
      <c r="T44" s="1349"/>
      <c r="U44" s="1349"/>
      <c r="V44" s="1349"/>
      <c r="W44" s="1279">
        <f t="shared" si="14"/>
        <v>20000</v>
      </c>
      <c r="X44" s="1350">
        <f t="shared" si="15"/>
        <v>2.801040339994758E-4</v>
      </c>
      <c r="Y44" s="1279"/>
      <c r="Z44" s="1298"/>
      <c r="AA44" s="1355"/>
      <c r="AB44" s="1356"/>
      <c r="AC44" s="1351"/>
      <c r="AD44" s="1279">
        <f>Options!O15</f>
        <v>0</v>
      </c>
      <c r="AE44" s="1279"/>
      <c r="AF44" s="1336">
        <f t="shared" si="16"/>
        <v>20000</v>
      </c>
      <c r="AG44" s="1351">
        <f t="shared" si="17"/>
        <v>2.660784737024232E-4</v>
      </c>
      <c r="AH44" s="1355"/>
      <c r="AI44" s="1357"/>
      <c r="AJ44" s="1351"/>
      <c r="AK44" s="1298"/>
      <c r="AL44" s="1298"/>
      <c r="AM44" s="1298"/>
      <c r="AN44" s="1298"/>
      <c r="AO44" s="1356"/>
      <c r="AP44" s="1358"/>
      <c r="AQ44" s="1298"/>
      <c r="AR44" s="1298"/>
      <c r="AS44" s="1298"/>
      <c r="AT44" s="1298"/>
      <c r="AU44" s="1298"/>
      <c r="AV44" s="1298"/>
      <c r="AW44" s="1298"/>
      <c r="AX44" s="1298"/>
      <c r="AY44" s="1298"/>
    </row>
    <row r="45" spans="1:51" s="1335" customFormat="1" ht="14.25">
      <c r="A45" s="1359" t="s">
        <v>1794</v>
      </c>
      <c r="B45" s="1298"/>
      <c r="C45" s="1336">
        <f>'Common Stock'!J74</f>
        <v>18000</v>
      </c>
      <c r="D45" s="1354"/>
      <c r="E45" s="1351">
        <f t="shared" si="13"/>
        <v>1.1024651979298643E-3</v>
      </c>
      <c r="F45" s="1339"/>
      <c r="G45" s="1349"/>
      <c r="H45" s="1349"/>
      <c r="I45" s="1349"/>
      <c r="J45" s="1349"/>
      <c r="K45" s="1349"/>
      <c r="L45" s="1349"/>
      <c r="M45" s="1349"/>
      <c r="N45" s="1349"/>
      <c r="O45" s="1349"/>
      <c r="P45" s="1349"/>
      <c r="Q45" s="1349"/>
      <c r="R45" s="1349"/>
      <c r="S45" s="1349"/>
      <c r="T45" s="1349"/>
      <c r="U45" s="1349"/>
      <c r="V45" s="1349"/>
      <c r="W45" s="1279">
        <f t="shared" si="14"/>
        <v>18000</v>
      </c>
      <c r="X45" s="1350">
        <f t="shared" si="15"/>
        <v>2.5209363059952822E-4</v>
      </c>
      <c r="Y45" s="1279"/>
      <c r="Z45" s="1298"/>
      <c r="AA45" s="1355"/>
      <c r="AB45" s="1356"/>
      <c r="AC45" s="1351"/>
      <c r="AD45" s="1279">
        <f>Options!O16</f>
        <v>0</v>
      </c>
      <c r="AE45" s="1279"/>
      <c r="AF45" s="1336">
        <f t="shared" si="16"/>
        <v>18000</v>
      </c>
      <c r="AG45" s="1351">
        <f t="shared" si="17"/>
        <v>2.3947062633218087E-4</v>
      </c>
      <c r="AH45" s="1355"/>
      <c r="AI45" s="1357"/>
      <c r="AJ45" s="1351"/>
      <c r="AK45" s="1298"/>
      <c r="AL45" s="1298"/>
      <c r="AM45" s="1298"/>
      <c r="AN45" s="1298"/>
      <c r="AO45" s="1356"/>
      <c r="AP45" s="1358"/>
      <c r="AQ45" s="1298"/>
      <c r="AR45" s="1298"/>
      <c r="AS45" s="1298"/>
      <c r="AT45" s="1298"/>
      <c r="AU45" s="1298"/>
      <c r="AV45" s="1298"/>
      <c r="AW45" s="1298"/>
      <c r="AX45" s="1298"/>
      <c r="AY45" s="1298"/>
    </row>
    <row r="46" spans="1:51" s="1335" customFormat="1" ht="14.25">
      <c r="A46" s="1359" t="s">
        <v>1795</v>
      </c>
      <c r="B46" s="1298"/>
      <c r="C46" s="1336">
        <f>'Common Stock'!J69+'Common Stock'!C86</f>
        <v>5000</v>
      </c>
      <c r="D46" s="1354"/>
      <c r="E46" s="1351">
        <f t="shared" si="13"/>
        <v>3.0624033275829563E-4</v>
      </c>
      <c r="F46" s="1339"/>
      <c r="G46" s="1349"/>
      <c r="H46" s="1349"/>
      <c r="I46" s="1349"/>
      <c r="J46" s="1349"/>
      <c r="K46" s="1349"/>
      <c r="L46" s="1349"/>
      <c r="M46" s="1349"/>
      <c r="N46" s="1349"/>
      <c r="O46" s="1349"/>
      <c r="P46" s="1349"/>
      <c r="Q46" s="1349"/>
      <c r="R46" s="1349"/>
      <c r="S46" s="1349"/>
      <c r="T46" s="1349"/>
      <c r="U46" s="1349"/>
      <c r="V46" s="1349"/>
      <c r="W46" s="1279">
        <f t="shared" si="14"/>
        <v>5000</v>
      </c>
      <c r="X46" s="1350">
        <f t="shared" si="15"/>
        <v>7.002600849986895E-5</v>
      </c>
      <c r="Y46" s="1279"/>
      <c r="Z46" s="1298"/>
      <c r="AA46" s="1355"/>
      <c r="AB46" s="1356"/>
      <c r="AC46" s="1351"/>
      <c r="AD46" s="1279">
        <f>Options!O17</f>
        <v>0</v>
      </c>
      <c r="AE46" s="1279"/>
      <c r="AF46" s="1336">
        <f t="shared" si="16"/>
        <v>5000</v>
      </c>
      <c r="AG46" s="1351">
        <f t="shared" si="17"/>
        <v>6.6519618425605801E-5</v>
      </c>
      <c r="AH46" s="1355"/>
      <c r="AI46" s="1357"/>
      <c r="AJ46" s="1351"/>
      <c r="AK46" s="1298"/>
      <c r="AL46" s="1298"/>
      <c r="AM46" s="1298"/>
      <c r="AN46" s="1298"/>
      <c r="AO46" s="1356"/>
      <c r="AP46" s="1358"/>
      <c r="AQ46" s="1298"/>
      <c r="AR46" s="1298"/>
      <c r="AS46" s="1298"/>
      <c r="AT46" s="1298"/>
      <c r="AU46" s="1298"/>
      <c r="AV46" s="1298"/>
      <c r="AW46" s="1298"/>
      <c r="AX46" s="1298"/>
      <c r="AY46" s="1298"/>
    </row>
    <row r="47" spans="1:51" s="1335" customFormat="1" ht="14.25">
      <c r="A47" s="1359" t="s">
        <v>1796</v>
      </c>
      <c r="B47" s="1298"/>
      <c r="C47" s="1336">
        <f>'Common Stock'!J81</f>
        <v>25000</v>
      </c>
      <c r="D47" s="1354"/>
      <c r="E47" s="1351">
        <f t="shared" si="13"/>
        <v>1.5312016637914782E-3</v>
      </c>
      <c r="F47" s="1339"/>
      <c r="G47" s="1349"/>
      <c r="H47" s="1349"/>
      <c r="I47" s="1349"/>
      <c r="J47" s="1349"/>
      <c r="K47" s="1349"/>
      <c r="L47" s="1349"/>
      <c r="M47" s="1349"/>
      <c r="N47" s="1349"/>
      <c r="O47" s="1349"/>
      <c r="P47" s="1349"/>
      <c r="Q47" s="1349"/>
      <c r="R47" s="1349"/>
      <c r="S47" s="1349"/>
      <c r="T47" s="1349"/>
      <c r="U47" s="1349"/>
      <c r="V47" s="1349"/>
      <c r="W47" s="1279">
        <f t="shared" si="14"/>
        <v>25000</v>
      </c>
      <c r="X47" s="1350">
        <f t="shared" si="15"/>
        <v>3.5013004249934479E-4</v>
      </c>
      <c r="Y47" s="1279"/>
      <c r="Z47" s="1298"/>
      <c r="AA47" s="1355"/>
      <c r="AB47" s="1356"/>
      <c r="AC47" s="1351"/>
      <c r="AD47" s="1279">
        <f>Options!O18</f>
        <v>0</v>
      </c>
      <c r="AE47" s="1279"/>
      <c r="AF47" s="1336">
        <f t="shared" si="16"/>
        <v>25000</v>
      </c>
      <c r="AG47" s="1351">
        <f t="shared" si="17"/>
        <v>3.3259809212802898E-4</v>
      </c>
      <c r="AH47" s="1355"/>
      <c r="AI47" s="1357"/>
      <c r="AJ47" s="1351"/>
      <c r="AK47" s="1298"/>
      <c r="AL47" s="1298"/>
      <c r="AM47" s="1298"/>
      <c r="AN47" s="1298"/>
      <c r="AO47" s="1356"/>
      <c r="AP47" s="1358"/>
      <c r="AQ47" s="1298"/>
      <c r="AR47" s="1298"/>
      <c r="AS47" s="1298"/>
      <c r="AT47" s="1298"/>
      <c r="AU47" s="1298"/>
      <c r="AV47" s="1298"/>
      <c r="AW47" s="1298"/>
      <c r="AX47" s="1298"/>
      <c r="AY47" s="1298"/>
    </row>
    <row r="48" spans="1:51" s="1335" customFormat="1" ht="14.25">
      <c r="A48" s="1359" t="s">
        <v>1797</v>
      </c>
      <c r="B48" s="1298"/>
      <c r="C48" s="1336">
        <v>0</v>
      </c>
      <c r="D48" s="1354"/>
      <c r="E48" s="1351">
        <f t="shared" si="13"/>
        <v>0</v>
      </c>
      <c r="F48" s="1339"/>
      <c r="G48" s="1349"/>
      <c r="H48" s="1349"/>
      <c r="I48" s="1349"/>
      <c r="J48" s="1349"/>
      <c r="K48" s="1349"/>
      <c r="L48" s="1349"/>
      <c r="M48" s="1349"/>
      <c r="N48" s="1349"/>
      <c r="O48" s="1349"/>
      <c r="P48" s="1349"/>
      <c r="Q48" s="1349"/>
      <c r="R48" s="1349"/>
      <c r="S48" s="1349"/>
      <c r="T48" s="1349"/>
      <c r="U48" s="1349"/>
      <c r="V48" s="1349"/>
      <c r="W48" s="1279">
        <f t="shared" si="14"/>
        <v>0</v>
      </c>
      <c r="X48" s="1350">
        <f t="shared" si="15"/>
        <v>0</v>
      </c>
      <c r="Y48" s="1279"/>
      <c r="Z48" s="1298"/>
      <c r="AA48" s="1355"/>
      <c r="AB48" s="1356"/>
      <c r="AC48" s="1351"/>
      <c r="AD48" s="1279">
        <f>Options!O19</f>
        <v>0</v>
      </c>
      <c r="AE48" s="1279"/>
      <c r="AF48" s="1336">
        <f t="shared" si="16"/>
        <v>0</v>
      </c>
      <c r="AG48" s="1351">
        <f t="shared" si="17"/>
        <v>0</v>
      </c>
      <c r="AH48" s="1355"/>
      <c r="AI48" s="1357"/>
      <c r="AJ48" s="1351"/>
      <c r="AK48" s="1298"/>
      <c r="AL48" s="1298"/>
      <c r="AM48" s="1298"/>
      <c r="AN48" s="1298"/>
      <c r="AO48" s="1356"/>
      <c r="AP48" s="1358"/>
      <c r="AQ48" s="1298"/>
      <c r="AR48" s="1298"/>
      <c r="AS48" s="1298"/>
      <c r="AT48" s="1298"/>
      <c r="AU48" s="1298"/>
      <c r="AV48" s="1298"/>
      <c r="AW48" s="1298"/>
      <c r="AX48" s="1298"/>
      <c r="AY48" s="1298"/>
    </row>
    <row r="49" spans="1:51" s="1335" customFormat="1" ht="14.25">
      <c r="A49" s="1359" t="s">
        <v>1798</v>
      </c>
      <c r="B49" s="1298"/>
      <c r="C49" s="1336">
        <f>'Common Stock'!J77</f>
        <v>20000</v>
      </c>
      <c r="D49" s="1354"/>
      <c r="E49" s="1351">
        <f t="shared" si="13"/>
        <v>1.2249613310331825E-3</v>
      </c>
      <c r="F49" s="1339"/>
      <c r="G49" s="1349"/>
      <c r="H49" s="1349"/>
      <c r="I49" s="1349"/>
      <c r="J49" s="1349"/>
      <c r="K49" s="1349"/>
      <c r="L49" s="1349"/>
      <c r="M49" s="1349"/>
      <c r="N49" s="1349"/>
      <c r="O49" s="1349"/>
      <c r="P49" s="1349"/>
      <c r="Q49" s="1349"/>
      <c r="R49" s="1349"/>
      <c r="S49" s="1349"/>
      <c r="T49" s="1349"/>
      <c r="U49" s="1349"/>
      <c r="V49" s="1349"/>
      <c r="W49" s="1279">
        <f t="shared" si="14"/>
        <v>20000</v>
      </c>
      <c r="X49" s="1350">
        <f t="shared" si="15"/>
        <v>2.801040339994758E-4</v>
      </c>
      <c r="Y49" s="1279"/>
      <c r="Z49" s="1298"/>
      <c r="AA49" s="1355"/>
      <c r="AB49" s="1356"/>
      <c r="AC49" s="1351"/>
      <c r="AD49" s="1279">
        <f>Options!O20</f>
        <v>0</v>
      </c>
      <c r="AE49" s="1279"/>
      <c r="AF49" s="1336">
        <f t="shared" si="16"/>
        <v>20000</v>
      </c>
      <c r="AG49" s="1351">
        <f t="shared" si="17"/>
        <v>2.660784737024232E-4</v>
      </c>
      <c r="AH49" s="1355"/>
      <c r="AI49" s="1357"/>
      <c r="AJ49" s="1351"/>
      <c r="AK49" s="1298"/>
      <c r="AL49" s="1298"/>
      <c r="AM49" s="1298"/>
      <c r="AN49" s="1298"/>
      <c r="AO49" s="1356"/>
      <c r="AP49" s="1358"/>
      <c r="AQ49" s="1298"/>
      <c r="AR49" s="1298"/>
      <c r="AS49" s="1298"/>
      <c r="AT49" s="1298"/>
      <c r="AU49" s="1298"/>
      <c r="AV49" s="1298"/>
      <c r="AW49" s="1298"/>
      <c r="AX49" s="1298"/>
      <c r="AY49" s="1298"/>
    </row>
    <row r="50" spans="1:51" s="1335" customFormat="1" ht="14.25">
      <c r="A50" s="1359" t="s">
        <v>1799</v>
      </c>
      <c r="B50" s="1298"/>
      <c r="C50" s="1336">
        <f>'Common Stock'!J70</f>
        <v>85000</v>
      </c>
      <c r="D50" s="1354"/>
      <c r="E50" s="1351">
        <f t="shared" si="13"/>
        <v>5.206085656891026E-3</v>
      </c>
      <c r="F50" s="1339"/>
      <c r="G50" s="1349"/>
      <c r="H50" s="1349"/>
      <c r="I50" s="1349"/>
      <c r="J50" s="1349"/>
      <c r="K50" s="1349"/>
      <c r="L50" s="1349"/>
      <c r="M50" s="1349"/>
      <c r="N50" s="1349"/>
      <c r="O50" s="1349"/>
      <c r="P50" s="1349"/>
      <c r="Q50" s="1349"/>
      <c r="R50" s="1349"/>
      <c r="S50" s="1349"/>
      <c r="T50" s="1349"/>
      <c r="U50" s="1349"/>
      <c r="V50" s="1349"/>
      <c r="W50" s="1279">
        <f t="shared" si="14"/>
        <v>85000</v>
      </c>
      <c r="X50" s="1350">
        <f t="shared" si="15"/>
        <v>1.1904421444977721E-3</v>
      </c>
      <c r="Y50" s="1279"/>
      <c r="Z50" s="1298"/>
      <c r="AA50" s="1355"/>
      <c r="AB50" s="1356"/>
      <c r="AC50" s="1351"/>
      <c r="AD50" s="1279">
        <f>Options!O21</f>
        <v>0</v>
      </c>
      <c r="AE50" s="1279"/>
      <c r="AF50" s="1336">
        <f t="shared" si="16"/>
        <v>85000</v>
      </c>
      <c r="AG50" s="1351">
        <f t="shared" si="17"/>
        <v>1.1308335132352986E-3</v>
      </c>
      <c r="AH50" s="1355"/>
      <c r="AI50" s="1357"/>
      <c r="AJ50" s="1351"/>
      <c r="AK50" s="1298"/>
      <c r="AL50" s="1298"/>
      <c r="AM50" s="1298"/>
      <c r="AN50" s="1298"/>
      <c r="AO50" s="1356"/>
      <c r="AP50" s="1358"/>
      <c r="AQ50" s="1298"/>
      <c r="AR50" s="1298"/>
      <c r="AS50" s="1298"/>
      <c r="AT50" s="1298"/>
      <c r="AU50" s="1298"/>
      <c r="AV50" s="1298"/>
      <c r="AW50" s="1298"/>
      <c r="AX50" s="1298"/>
      <c r="AY50" s="1298"/>
    </row>
    <row r="51" spans="1:51" s="1335" customFormat="1" ht="14.25">
      <c r="A51" s="1359" t="s">
        <v>1800</v>
      </c>
      <c r="B51" s="1298"/>
      <c r="C51" s="1336">
        <f>'Common Stock'!J75</f>
        <v>300000</v>
      </c>
      <c r="D51" s="1354"/>
      <c r="E51" s="1351">
        <f t="shared" si="13"/>
        <v>1.837441996549774E-2</v>
      </c>
      <c r="F51" s="1339"/>
      <c r="G51" s="1349"/>
      <c r="H51" s="1349"/>
      <c r="I51" s="1349"/>
      <c r="J51" s="1349"/>
      <c r="K51" s="1349"/>
      <c r="L51" s="1349"/>
      <c r="M51" s="1349"/>
      <c r="N51" s="1349"/>
      <c r="O51" s="1349"/>
      <c r="P51" s="1349"/>
      <c r="Q51" s="1349"/>
      <c r="R51" s="1349"/>
      <c r="S51" s="1349"/>
      <c r="T51" s="1349"/>
      <c r="U51" s="1349"/>
      <c r="V51" s="1349"/>
      <c r="W51" s="1279">
        <f t="shared" si="14"/>
        <v>300000</v>
      </c>
      <c r="X51" s="1350">
        <f t="shared" si="15"/>
        <v>4.2015605099921371E-3</v>
      </c>
      <c r="Y51" s="1279"/>
      <c r="Z51" s="1298"/>
      <c r="AA51" s="1355"/>
      <c r="AB51" s="1356"/>
      <c r="AC51" s="1351"/>
      <c r="AD51" s="1279">
        <f>Options!O22</f>
        <v>0</v>
      </c>
      <c r="AE51" s="1279"/>
      <c r="AF51" s="1336">
        <f t="shared" si="16"/>
        <v>300000</v>
      </c>
      <c r="AG51" s="1351">
        <f t="shared" si="17"/>
        <v>3.9911771055363473E-3</v>
      </c>
      <c r="AH51" s="1355"/>
      <c r="AI51" s="1357"/>
      <c r="AJ51" s="1351"/>
      <c r="AK51" s="1298"/>
      <c r="AL51" s="1298"/>
      <c r="AM51" s="1298"/>
      <c r="AN51" s="1298"/>
      <c r="AO51" s="1356"/>
      <c r="AP51" s="1358"/>
      <c r="AQ51" s="1298"/>
      <c r="AR51" s="1298"/>
      <c r="AS51" s="1298"/>
      <c r="AT51" s="1298"/>
      <c r="AU51" s="1298"/>
      <c r="AV51" s="1298"/>
      <c r="AW51" s="1298"/>
      <c r="AX51" s="1298"/>
      <c r="AY51" s="1298"/>
    </row>
    <row r="52" spans="1:51" s="1335" customFormat="1" ht="14.25">
      <c r="A52" s="1359" t="s">
        <v>1801</v>
      </c>
      <c r="B52" s="1298"/>
      <c r="C52" s="1336">
        <f>'Common Stock'!J71</f>
        <v>85000</v>
      </c>
      <c r="D52" s="1354"/>
      <c r="E52" s="1351">
        <f t="shared" si="13"/>
        <v>5.206085656891026E-3</v>
      </c>
      <c r="F52" s="1339"/>
      <c r="G52" s="1349"/>
      <c r="H52" s="1349"/>
      <c r="I52" s="1349"/>
      <c r="J52" s="1349"/>
      <c r="K52" s="1349"/>
      <c r="L52" s="1349"/>
      <c r="M52" s="1349"/>
      <c r="N52" s="1349"/>
      <c r="O52" s="1349"/>
      <c r="P52" s="1349"/>
      <c r="Q52" s="1349"/>
      <c r="R52" s="1349"/>
      <c r="S52" s="1349"/>
      <c r="T52" s="1349"/>
      <c r="U52" s="1349"/>
      <c r="V52" s="1349"/>
      <c r="W52" s="1279">
        <f t="shared" si="14"/>
        <v>85000</v>
      </c>
      <c r="X52" s="1350">
        <f t="shared" si="15"/>
        <v>1.1904421444977721E-3</v>
      </c>
      <c r="Y52" s="1279"/>
      <c r="Z52" s="1298"/>
      <c r="AA52" s="1355"/>
      <c r="AB52" s="1356"/>
      <c r="AC52" s="1351"/>
      <c r="AD52" s="1279">
        <f>Options!O23</f>
        <v>0</v>
      </c>
      <c r="AE52" s="1279"/>
      <c r="AF52" s="1336">
        <f t="shared" si="16"/>
        <v>85000</v>
      </c>
      <c r="AG52" s="1351">
        <f t="shared" si="17"/>
        <v>1.1308335132352986E-3</v>
      </c>
      <c r="AH52" s="1355"/>
      <c r="AI52" s="1357"/>
      <c r="AJ52" s="1351"/>
      <c r="AK52" s="1298"/>
      <c r="AL52" s="1298"/>
      <c r="AM52" s="1298"/>
      <c r="AN52" s="1298"/>
      <c r="AO52" s="1356"/>
      <c r="AP52" s="1358"/>
      <c r="AQ52" s="1298"/>
      <c r="AR52" s="1298"/>
      <c r="AS52" s="1298"/>
      <c r="AT52" s="1298"/>
      <c r="AU52" s="1298"/>
      <c r="AV52" s="1298"/>
      <c r="AW52" s="1298"/>
      <c r="AX52" s="1298"/>
      <c r="AY52" s="1298"/>
    </row>
    <row r="53" spans="1:51" s="1335" customFormat="1" ht="14.25">
      <c r="A53" s="1359" t="s">
        <v>1802</v>
      </c>
      <c r="B53" s="1298"/>
      <c r="C53" s="1336">
        <f>'Common Stock'!J78</f>
        <v>95000</v>
      </c>
      <c r="D53" s="1354"/>
      <c r="E53" s="1351">
        <f t="shared" si="13"/>
        <v>5.8185663224076178E-3</v>
      </c>
      <c r="F53" s="1339"/>
      <c r="G53" s="1349"/>
      <c r="H53" s="1349"/>
      <c r="I53" s="1349"/>
      <c r="J53" s="1349"/>
      <c r="K53" s="1349"/>
      <c r="L53" s="1349"/>
      <c r="M53" s="1349"/>
      <c r="N53" s="1349"/>
      <c r="O53" s="1349"/>
      <c r="P53" s="1349"/>
      <c r="Q53" s="1349"/>
      <c r="R53" s="1349"/>
      <c r="S53" s="1349"/>
      <c r="T53" s="1349"/>
      <c r="U53" s="1349"/>
      <c r="V53" s="1349"/>
      <c r="W53" s="1279">
        <f t="shared" si="14"/>
        <v>95000</v>
      </c>
      <c r="X53" s="1350">
        <f t="shared" si="15"/>
        <v>1.33049416149751E-3</v>
      </c>
      <c r="Y53" s="1279"/>
      <c r="Z53" s="1298"/>
      <c r="AA53" s="1355"/>
      <c r="AB53" s="1356"/>
      <c r="AC53" s="1351"/>
      <c r="AD53" s="1279">
        <f>Options!O24</f>
        <v>0</v>
      </c>
      <c r="AE53" s="1279"/>
      <c r="AF53" s="1336">
        <f t="shared" si="16"/>
        <v>95000</v>
      </c>
      <c r="AG53" s="1351">
        <f t="shared" si="17"/>
        <v>1.2638727500865101E-3</v>
      </c>
      <c r="AH53" s="1355"/>
      <c r="AI53" s="1357"/>
      <c r="AJ53" s="1351"/>
      <c r="AK53" s="1298"/>
      <c r="AL53" s="1298"/>
      <c r="AM53" s="1298"/>
      <c r="AN53" s="1298"/>
      <c r="AO53" s="1356"/>
      <c r="AP53" s="1358"/>
      <c r="AQ53" s="1298"/>
      <c r="AR53" s="1298"/>
      <c r="AS53" s="1298"/>
      <c r="AT53" s="1298"/>
      <c r="AU53" s="1298"/>
      <c r="AV53" s="1298"/>
      <c r="AW53" s="1298"/>
      <c r="AX53" s="1298"/>
      <c r="AY53" s="1298"/>
    </row>
    <row r="54" spans="1:51" s="1335" customFormat="1" ht="14.25">
      <c r="A54" s="1359" t="s">
        <v>1803</v>
      </c>
      <c r="B54" s="1298"/>
      <c r="C54" s="1336">
        <f>'Common Stock'!J76</f>
        <v>90000</v>
      </c>
      <c r="D54" s="1337"/>
      <c r="E54" s="1351">
        <f t="shared" si="13"/>
        <v>5.5123259896493219E-3</v>
      </c>
      <c r="F54" s="1339"/>
      <c r="G54" s="1349"/>
      <c r="H54" s="1349"/>
      <c r="I54" s="1349"/>
      <c r="J54" s="1349"/>
      <c r="K54" s="1349"/>
      <c r="L54" s="1349"/>
      <c r="M54" s="1349"/>
      <c r="N54" s="1349"/>
      <c r="O54" s="1349"/>
      <c r="P54" s="1349"/>
      <c r="Q54" s="1349"/>
      <c r="R54" s="1349"/>
      <c r="S54" s="1349"/>
      <c r="T54" s="1349"/>
      <c r="U54" s="1349"/>
      <c r="V54" s="1349"/>
      <c r="W54" s="1279">
        <f t="shared" si="14"/>
        <v>90000</v>
      </c>
      <c r="X54" s="1350">
        <f t="shared" si="15"/>
        <v>1.2604681529976411E-3</v>
      </c>
      <c r="Y54" s="1336"/>
      <c r="Z54" s="1298"/>
      <c r="AA54" s="1341"/>
      <c r="AB54" s="1337"/>
      <c r="AC54" s="1338"/>
      <c r="AD54" s="1279">
        <f>Options!O25</f>
        <v>0</v>
      </c>
      <c r="AE54" s="1336"/>
      <c r="AF54" s="1336">
        <f t="shared" si="16"/>
        <v>90000</v>
      </c>
      <c r="AG54" s="1351">
        <f t="shared" si="17"/>
        <v>1.1973531316609044E-3</v>
      </c>
      <c r="AH54" s="1343"/>
      <c r="AI54" s="1344"/>
      <c r="AJ54" s="1343"/>
      <c r="AK54" s="1298"/>
      <c r="AL54" s="1298"/>
      <c r="AM54" s="1298"/>
      <c r="AN54" s="1298"/>
      <c r="AO54" s="1345"/>
      <c r="AP54" s="1345"/>
      <c r="AQ54" s="1298"/>
      <c r="AR54" s="1298"/>
      <c r="AS54" s="1298"/>
      <c r="AT54" s="1298"/>
      <c r="AU54" s="1298"/>
      <c r="AV54" s="1298"/>
      <c r="AW54" s="1298"/>
      <c r="AX54" s="1298"/>
      <c r="AY54" s="1298"/>
    </row>
    <row r="55" spans="1:51" s="1335" customFormat="1" ht="14.25">
      <c r="A55" s="1359" t="s">
        <v>1804</v>
      </c>
      <c r="B55" s="1298"/>
      <c r="C55" s="1336">
        <f>'Common Stock'!J84+'Common Stock'!C100</f>
        <v>13125</v>
      </c>
      <c r="D55" s="1337"/>
      <c r="E55" s="1351">
        <f t="shared" si="13"/>
        <v>8.0388087349052609E-4</v>
      </c>
      <c r="F55" s="1339"/>
      <c r="G55" s="1349"/>
      <c r="H55" s="1349"/>
      <c r="I55" s="1349"/>
      <c r="J55" s="1349"/>
      <c r="K55" s="1349"/>
      <c r="L55" s="1349"/>
      <c r="M55" s="1349"/>
      <c r="N55" s="1349"/>
      <c r="O55" s="1349"/>
      <c r="P55" s="1349"/>
      <c r="Q55" s="1349"/>
      <c r="R55" s="1349"/>
      <c r="S55" s="1349"/>
      <c r="T55" s="1349"/>
      <c r="U55" s="1349"/>
      <c r="V55" s="1349"/>
      <c r="W55" s="1279">
        <f t="shared" si="14"/>
        <v>13125</v>
      </c>
      <c r="X55" s="1350">
        <f t="shared" si="15"/>
        <v>1.8381827231215601E-4</v>
      </c>
      <c r="Y55" s="1336"/>
      <c r="Z55" s="1298"/>
      <c r="AA55" s="1341"/>
      <c r="AB55" s="1337"/>
      <c r="AC55" s="1338"/>
      <c r="AD55" s="1279">
        <f>Options!O26</f>
        <v>0</v>
      </c>
      <c r="AE55" s="1336"/>
      <c r="AF55" s="1336">
        <f t="shared" si="16"/>
        <v>13125</v>
      </c>
      <c r="AG55" s="1351">
        <f t="shared" si="17"/>
        <v>1.7461399836721521E-4</v>
      </c>
      <c r="AH55" s="1343"/>
      <c r="AI55" s="1344"/>
      <c r="AJ55" s="1343"/>
      <c r="AK55" s="1298"/>
      <c r="AL55" s="1298"/>
      <c r="AM55" s="1298"/>
      <c r="AN55" s="1298"/>
      <c r="AO55" s="1345"/>
      <c r="AP55" s="1345"/>
      <c r="AQ55" s="1298"/>
      <c r="AR55" s="1298"/>
      <c r="AS55" s="1298"/>
      <c r="AT55" s="1298"/>
      <c r="AU55" s="1298"/>
      <c r="AV55" s="1298"/>
      <c r="AW55" s="1298"/>
      <c r="AX55" s="1298"/>
      <c r="AY55" s="1298"/>
    </row>
    <row r="56" spans="1:51" s="1335" customFormat="1" ht="14.25">
      <c r="A56" s="1359" t="s">
        <v>1805</v>
      </c>
      <c r="B56" s="1298"/>
      <c r="C56" s="1336">
        <f>'Common Stock'!C64+'Common Stock'!C87</f>
        <v>475000</v>
      </c>
      <c r="D56" s="1337"/>
      <c r="E56" s="1351">
        <f t="shared" si="13"/>
        <v>2.9092831612038086E-2</v>
      </c>
      <c r="F56" s="1339"/>
      <c r="G56" s="1349"/>
      <c r="H56" s="1349"/>
      <c r="I56" s="1349"/>
      <c r="J56" s="1349"/>
      <c r="K56" s="1349"/>
      <c r="L56" s="1349"/>
      <c r="M56" s="1349"/>
      <c r="N56" s="1349"/>
      <c r="O56" s="1349"/>
      <c r="P56" s="1349"/>
      <c r="Q56" s="1349"/>
      <c r="R56" s="1349"/>
      <c r="S56" s="1349"/>
      <c r="T56" s="1349"/>
      <c r="U56" s="1349"/>
      <c r="V56" s="1349"/>
      <c r="W56" s="1279">
        <f t="shared" si="14"/>
        <v>475000</v>
      </c>
      <c r="X56" s="1350">
        <f t="shared" si="15"/>
        <v>6.6524708074875505E-3</v>
      </c>
      <c r="Y56" s="1336"/>
      <c r="Z56" s="1298"/>
      <c r="AA56" s="1341"/>
      <c r="AB56" s="1337"/>
      <c r="AC56" s="1338"/>
      <c r="AD56" s="1279">
        <f>Options!O27</f>
        <v>0</v>
      </c>
      <c r="AE56" s="1336"/>
      <c r="AF56" s="1336">
        <f t="shared" si="16"/>
        <v>475000</v>
      </c>
      <c r="AG56" s="1351">
        <f t="shared" si="17"/>
        <v>6.3193637504325509E-3</v>
      </c>
      <c r="AH56" s="1343"/>
      <c r="AI56" s="1344"/>
      <c r="AJ56" s="1343"/>
      <c r="AK56" s="1298"/>
      <c r="AL56" s="1298"/>
      <c r="AM56" s="1298"/>
      <c r="AN56" s="1298"/>
      <c r="AO56" s="1345"/>
      <c r="AP56" s="1345"/>
      <c r="AQ56" s="1298"/>
      <c r="AR56" s="1298"/>
      <c r="AS56" s="1298"/>
      <c r="AT56" s="1298"/>
      <c r="AU56" s="1298"/>
      <c r="AV56" s="1298"/>
      <c r="AW56" s="1298"/>
      <c r="AX56" s="1298"/>
      <c r="AY56" s="1298"/>
    </row>
    <row r="57" spans="1:51" s="1335" customFormat="1" ht="14.25">
      <c r="A57" s="1359" t="s">
        <v>1806</v>
      </c>
      <c r="B57" s="1298"/>
      <c r="C57" s="1336">
        <f>'Common Stock'!C98</f>
        <v>85000</v>
      </c>
      <c r="D57" s="1337"/>
      <c r="E57" s="1351">
        <f t="shared" si="13"/>
        <v>5.206085656891026E-3</v>
      </c>
      <c r="F57" s="1339"/>
      <c r="G57" s="1349"/>
      <c r="H57" s="1349"/>
      <c r="I57" s="1349"/>
      <c r="J57" s="1349"/>
      <c r="K57" s="1349"/>
      <c r="L57" s="1349"/>
      <c r="M57" s="1349"/>
      <c r="N57" s="1349"/>
      <c r="O57" s="1349"/>
      <c r="P57" s="1349"/>
      <c r="Q57" s="1349"/>
      <c r="R57" s="1349"/>
      <c r="S57" s="1349"/>
      <c r="T57" s="1349"/>
      <c r="U57" s="1349"/>
      <c r="V57" s="1349"/>
      <c r="W57" s="1279">
        <f t="shared" si="14"/>
        <v>85000</v>
      </c>
      <c r="X57" s="1350">
        <f t="shared" si="15"/>
        <v>1.1904421444977721E-3</v>
      </c>
      <c r="Y57" s="1336"/>
      <c r="Z57" s="1298"/>
      <c r="AA57" s="1341"/>
      <c r="AB57" s="1337"/>
      <c r="AC57" s="1338"/>
      <c r="AD57" s="1279">
        <f>Options!O28</f>
        <v>0</v>
      </c>
      <c r="AE57" s="1336"/>
      <c r="AF57" s="1336">
        <f t="shared" si="16"/>
        <v>85000</v>
      </c>
      <c r="AG57" s="1351">
        <f t="shared" si="17"/>
        <v>1.1308335132352986E-3</v>
      </c>
      <c r="AH57" s="1343"/>
      <c r="AI57" s="1344"/>
      <c r="AJ57" s="1343"/>
      <c r="AK57" s="1298"/>
      <c r="AL57" s="1298"/>
      <c r="AM57" s="1298"/>
      <c r="AN57" s="1298"/>
      <c r="AO57" s="1345"/>
      <c r="AP57" s="1345"/>
      <c r="AQ57" s="1298"/>
      <c r="AR57" s="1298"/>
      <c r="AS57" s="1298"/>
      <c r="AT57" s="1298"/>
      <c r="AU57" s="1298"/>
      <c r="AV57" s="1298"/>
      <c r="AW57" s="1298"/>
      <c r="AX57" s="1298"/>
      <c r="AY57" s="1298"/>
    </row>
    <row r="58" spans="1:51" s="1335" customFormat="1" ht="14.25">
      <c r="A58" s="1359" t="s">
        <v>1807</v>
      </c>
      <c r="B58" s="1298"/>
      <c r="C58" s="1336">
        <f>'Common Stock'!C96</f>
        <v>153846</v>
      </c>
      <c r="D58" s="1337"/>
      <c r="E58" s="1351">
        <f t="shared" si="13"/>
        <v>9.4227700467065505E-3</v>
      </c>
      <c r="F58" s="1339"/>
      <c r="G58" s="1349"/>
      <c r="H58" s="1349"/>
      <c r="I58" s="1349"/>
      <c r="J58" s="1349"/>
      <c r="K58" s="1349"/>
      <c r="L58" s="1349"/>
      <c r="M58" s="1349"/>
      <c r="N58" s="1349"/>
      <c r="O58" s="1349"/>
      <c r="P58" s="1349"/>
      <c r="Q58" s="1349"/>
      <c r="R58" s="1349"/>
      <c r="S58" s="1349"/>
      <c r="T58" s="1349"/>
      <c r="U58" s="1349"/>
      <c r="V58" s="1349"/>
      <c r="W58" s="1279">
        <f t="shared" si="14"/>
        <v>153846</v>
      </c>
      <c r="X58" s="1350">
        <f t="shared" si="15"/>
        <v>2.1546442607341676E-3</v>
      </c>
      <c r="Y58" s="1336"/>
      <c r="Z58" s="1298"/>
      <c r="AA58" s="1341"/>
      <c r="AB58" s="1337"/>
      <c r="AC58" s="1338"/>
      <c r="AD58" s="1279">
        <f>Options!O29</f>
        <v>66154</v>
      </c>
      <c r="AE58" s="1336"/>
      <c r="AF58" s="1336">
        <f t="shared" si="16"/>
        <v>220000</v>
      </c>
      <c r="AG58" s="1351">
        <f t="shared" si="17"/>
        <v>2.9268632107266549E-3</v>
      </c>
      <c r="AH58" s="1343"/>
      <c r="AI58" s="1344"/>
      <c r="AJ58" s="1343"/>
      <c r="AK58" s="1298"/>
      <c r="AL58" s="1298"/>
      <c r="AM58" s="1298"/>
      <c r="AN58" s="1298"/>
      <c r="AO58" s="1345"/>
      <c r="AP58" s="1345"/>
      <c r="AQ58" s="1298"/>
      <c r="AR58" s="1298"/>
      <c r="AS58" s="1298"/>
      <c r="AT58" s="1298"/>
      <c r="AU58" s="1298"/>
      <c r="AV58" s="1298"/>
      <c r="AW58" s="1298"/>
      <c r="AX58" s="1298"/>
      <c r="AY58" s="1298"/>
    </row>
    <row r="59" spans="1:51" s="1335" customFormat="1" ht="14.25">
      <c r="A59" s="1359" t="s">
        <v>1808</v>
      </c>
      <c r="B59" s="1298"/>
      <c r="C59" s="1336">
        <f>'Common Stock'!J82</f>
        <v>50000</v>
      </c>
      <c r="D59" s="1337"/>
      <c r="E59" s="1351">
        <f t="shared" si="13"/>
        <v>3.0624033275829564E-3</v>
      </c>
      <c r="F59" s="1339"/>
      <c r="G59" s="1349"/>
      <c r="H59" s="1349"/>
      <c r="I59" s="1349"/>
      <c r="J59" s="1349"/>
      <c r="K59" s="1349"/>
      <c r="L59" s="1349"/>
      <c r="M59" s="1349"/>
      <c r="N59" s="1349"/>
      <c r="O59" s="1349"/>
      <c r="P59" s="1349"/>
      <c r="Q59" s="1349"/>
      <c r="R59" s="1349"/>
      <c r="S59" s="1349"/>
      <c r="T59" s="1349"/>
      <c r="U59" s="1349"/>
      <c r="V59" s="1349"/>
      <c r="W59" s="1279">
        <f t="shared" si="14"/>
        <v>50000</v>
      </c>
      <c r="X59" s="1350">
        <f t="shared" si="15"/>
        <v>7.0026008499868959E-4</v>
      </c>
      <c r="Y59" s="1336"/>
      <c r="Z59" s="1298"/>
      <c r="AA59" s="1341"/>
      <c r="AB59" s="1337"/>
      <c r="AC59" s="1338"/>
      <c r="AD59" s="1279">
        <f>Options!O30</f>
        <v>0</v>
      </c>
      <c r="AE59" s="1336"/>
      <c r="AF59" s="1336">
        <f t="shared" si="16"/>
        <v>50000</v>
      </c>
      <c r="AG59" s="1351">
        <f t="shared" si="17"/>
        <v>6.6519618425605795E-4</v>
      </c>
      <c r="AH59" s="1343"/>
      <c r="AI59" s="1344"/>
      <c r="AJ59" s="1343"/>
      <c r="AK59" s="1298"/>
      <c r="AL59" s="1298"/>
      <c r="AM59" s="1298"/>
      <c r="AN59" s="1298"/>
      <c r="AO59" s="1345"/>
      <c r="AP59" s="1345"/>
      <c r="AQ59" s="1298"/>
      <c r="AR59" s="1298"/>
      <c r="AS59" s="1298"/>
      <c r="AT59" s="1298"/>
      <c r="AU59" s="1298"/>
      <c r="AV59" s="1298"/>
      <c r="AW59" s="1298"/>
      <c r="AX59" s="1298"/>
      <c r="AY59" s="1298"/>
    </row>
    <row r="60" spans="1:51" s="1335" customFormat="1" ht="14.25">
      <c r="A60" s="1359" t="s">
        <v>1809</v>
      </c>
      <c r="B60" s="1298"/>
      <c r="C60" s="1336">
        <f>'Common Stock'!J94</f>
        <v>6750</v>
      </c>
      <c r="D60" s="1337"/>
      <c r="E60" s="1351">
        <f t="shared" si="13"/>
        <v>4.1342444922369911E-4</v>
      </c>
      <c r="F60" s="1339"/>
      <c r="G60" s="1349"/>
      <c r="H60" s="1349"/>
      <c r="I60" s="1349"/>
      <c r="J60" s="1349"/>
      <c r="K60" s="1349"/>
      <c r="L60" s="1349"/>
      <c r="M60" s="1349"/>
      <c r="N60" s="1349"/>
      <c r="O60" s="1349"/>
      <c r="P60" s="1349"/>
      <c r="Q60" s="1349"/>
      <c r="R60" s="1349"/>
      <c r="S60" s="1349"/>
      <c r="T60" s="1349"/>
      <c r="U60" s="1349"/>
      <c r="V60" s="1349"/>
      <c r="W60" s="1279">
        <f t="shared" si="14"/>
        <v>6750</v>
      </c>
      <c r="X60" s="1350">
        <f t="shared" si="15"/>
        <v>9.4535111474823081E-5</v>
      </c>
      <c r="Y60" s="1336"/>
      <c r="Z60" s="1298"/>
      <c r="AA60" s="1341"/>
      <c r="AB60" s="1337"/>
      <c r="AC60" s="1338"/>
      <c r="AD60" s="1279">
        <f>Options!O31</f>
        <v>11250</v>
      </c>
      <c r="AE60" s="1336"/>
      <c r="AF60" s="1336">
        <f t="shared" si="16"/>
        <v>18000</v>
      </c>
      <c r="AG60" s="1351">
        <f t="shared" si="17"/>
        <v>2.3947062633218087E-4</v>
      </c>
      <c r="AH60" s="1343"/>
      <c r="AI60" s="1344"/>
      <c r="AJ60" s="1343"/>
      <c r="AK60" s="1298"/>
      <c r="AL60" s="1298"/>
      <c r="AM60" s="1298"/>
      <c r="AN60" s="1298"/>
      <c r="AO60" s="1345"/>
      <c r="AP60" s="1345"/>
      <c r="AQ60" s="1298"/>
      <c r="AR60" s="1298"/>
      <c r="AS60" s="1298"/>
      <c r="AT60" s="1298"/>
      <c r="AU60" s="1298"/>
      <c r="AV60" s="1298"/>
      <c r="AW60" s="1298"/>
      <c r="AX60" s="1298"/>
      <c r="AY60" s="1298"/>
    </row>
    <row r="61" spans="1:51" s="1335" customFormat="1" ht="14.25">
      <c r="A61" s="1359" t="s">
        <v>1810</v>
      </c>
      <c r="B61" s="1298"/>
      <c r="C61" s="1336">
        <f>'Common Stock'!J93+'Common Stock'!J102</f>
        <v>28125</v>
      </c>
      <c r="D61" s="1337"/>
      <c r="E61" s="1351">
        <f t="shared" si="13"/>
        <v>1.7226018717654131E-3</v>
      </c>
      <c r="F61" s="1339"/>
      <c r="G61" s="1349"/>
      <c r="H61" s="1349"/>
      <c r="I61" s="1349"/>
      <c r="J61" s="1349"/>
      <c r="K61" s="1349"/>
      <c r="L61" s="1349"/>
      <c r="M61" s="1349"/>
      <c r="N61" s="1349"/>
      <c r="O61" s="1349"/>
      <c r="P61" s="1349"/>
      <c r="Q61" s="1349"/>
      <c r="R61" s="1349"/>
      <c r="S61" s="1349"/>
      <c r="T61" s="1349"/>
      <c r="U61" s="1349"/>
      <c r="V61" s="1349"/>
      <c r="W61" s="1279">
        <f t="shared" si="14"/>
        <v>28125</v>
      </c>
      <c r="X61" s="1350">
        <f t="shared" si="15"/>
        <v>3.9389629781176285E-4</v>
      </c>
      <c r="Y61" s="1336"/>
      <c r="Z61" s="1298"/>
      <c r="AA61" s="1341"/>
      <c r="AB61" s="1337"/>
      <c r="AC61" s="1338"/>
      <c r="AD61" s="1279">
        <f>Options!O32</f>
        <v>0</v>
      </c>
      <c r="AE61" s="1336"/>
      <c r="AF61" s="1336">
        <f t="shared" si="16"/>
        <v>28125</v>
      </c>
      <c r="AG61" s="1351">
        <f t="shared" si="17"/>
        <v>3.7417285364403261E-4</v>
      </c>
      <c r="AH61" s="1343"/>
      <c r="AI61" s="1344"/>
      <c r="AJ61" s="1343"/>
      <c r="AK61" s="1298"/>
      <c r="AL61" s="1298"/>
      <c r="AM61" s="1298"/>
      <c r="AN61" s="1298"/>
      <c r="AO61" s="1345"/>
      <c r="AP61" s="1345"/>
      <c r="AQ61" s="1298"/>
      <c r="AR61" s="1298"/>
      <c r="AS61" s="1298"/>
      <c r="AT61" s="1298"/>
      <c r="AU61" s="1298"/>
      <c r="AV61" s="1298"/>
      <c r="AW61" s="1298"/>
      <c r="AX61" s="1298"/>
      <c r="AY61" s="1298"/>
    </row>
    <row r="62" spans="1:51" s="1335" customFormat="1" ht="14.25">
      <c r="A62" s="1359" t="s">
        <v>1811</v>
      </c>
      <c r="B62" s="1298"/>
      <c r="C62" s="1336">
        <f>'Common Stock'!J83</f>
        <v>25000</v>
      </c>
      <c r="D62" s="1337"/>
      <c r="E62" s="1351">
        <f t="shared" si="13"/>
        <v>1.5312016637914782E-3</v>
      </c>
      <c r="F62" s="1339"/>
      <c r="G62" s="1349"/>
      <c r="H62" s="1349"/>
      <c r="I62" s="1349"/>
      <c r="J62" s="1349"/>
      <c r="K62" s="1349"/>
      <c r="L62" s="1349"/>
      <c r="M62" s="1349"/>
      <c r="N62" s="1349"/>
      <c r="O62" s="1349"/>
      <c r="P62" s="1349"/>
      <c r="Q62" s="1349"/>
      <c r="R62" s="1349"/>
      <c r="S62" s="1349"/>
      <c r="T62" s="1349"/>
      <c r="U62" s="1349"/>
      <c r="V62" s="1349"/>
      <c r="W62" s="1279">
        <f t="shared" si="14"/>
        <v>25000</v>
      </c>
      <c r="X62" s="1350">
        <f t="shared" si="15"/>
        <v>3.5013004249934479E-4</v>
      </c>
      <c r="Y62" s="1336"/>
      <c r="Z62" s="1298"/>
      <c r="AA62" s="1341"/>
      <c r="AB62" s="1337"/>
      <c r="AC62" s="1338"/>
      <c r="AD62" s="1279">
        <f>Options!O33</f>
        <v>0</v>
      </c>
      <c r="AE62" s="1336"/>
      <c r="AF62" s="1336">
        <f t="shared" si="16"/>
        <v>25000</v>
      </c>
      <c r="AG62" s="1351">
        <f t="shared" si="17"/>
        <v>3.3259809212802898E-4</v>
      </c>
      <c r="AH62" s="1343"/>
      <c r="AI62" s="1344"/>
      <c r="AJ62" s="1343"/>
      <c r="AK62" s="1298"/>
      <c r="AL62" s="1298"/>
      <c r="AM62" s="1298"/>
      <c r="AN62" s="1298"/>
      <c r="AO62" s="1345"/>
      <c r="AP62" s="1345"/>
      <c r="AQ62" s="1298"/>
      <c r="AR62" s="1298"/>
      <c r="AS62" s="1298"/>
      <c r="AT62" s="1298"/>
      <c r="AU62" s="1298"/>
      <c r="AV62" s="1298"/>
      <c r="AW62" s="1298"/>
      <c r="AX62" s="1298"/>
      <c r="AY62" s="1298"/>
    </row>
    <row r="63" spans="1:51" s="1335" customFormat="1" ht="14.25">
      <c r="A63" s="1359" t="s">
        <v>1812</v>
      </c>
      <c r="B63" s="1298"/>
      <c r="C63" s="1336">
        <v>0</v>
      </c>
      <c r="D63" s="1337"/>
      <c r="E63" s="1351">
        <f t="shared" si="13"/>
        <v>0</v>
      </c>
      <c r="F63" s="1339"/>
      <c r="G63" s="1349"/>
      <c r="H63" s="1349"/>
      <c r="I63" s="1349"/>
      <c r="J63" s="1349"/>
      <c r="K63" s="1349"/>
      <c r="L63" s="1349"/>
      <c r="M63" s="1349"/>
      <c r="N63" s="1349"/>
      <c r="O63" s="1349"/>
      <c r="P63" s="1349"/>
      <c r="Q63" s="1349"/>
      <c r="R63" s="1349"/>
      <c r="S63" s="1349"/>
      <c r="T63" s="1349"/>
      <c r="U63" s="1349"/>
      <c r="V63" s="1349"/>
      <c r="W63" s="1279">
        <f t="shared" si="14"/>
        <v>0</v>
      </c>
      <c r="X63" s="1350">
        <f t="shared" si="15"/>
        <v>0</v>
      </c>
      <c r="Y63" s="1336"/>
      <c r="Z63" s="1298"/>
      <c r="AA63" s="1341"/>
      <c r="AB63" s="1337"/>
      <c r="AC63" s="1338"/>
      <c r="AD63" s="1279">
        <f>Options!O34</f>
        <v>20000</v>
      </c>
      <c r="AE63" s="1336"/>
      <c r="AF63" s="1336">
        <f t="shared" si="16"/>
        <v>20000</v>
      </c>
      <c r="AG63" s="1351">
        <f t="shared" si="17"/>
        <v>2.660784737024232E-4</v>
      </c>
      <c r="AH63" s="1343"/>
      <c r="AI63" s="1344"/>
      <c r="AJ63" s="1343"/>
      <c r="AK63" s="1298"/>
      <c r="AL63" s="1298"/>
      <c r="AM63" s="1298"/>
      <c r="AN63" s="1298"/>
      <c r="AO63" s="1345"/>
      <c r="AP63" s="1345"/>
      <c r="AQ63" s="1298"/>
      <c r="AR63" s="1298"/>
      <c r="AS63" s="1298"/>
      <c r="AT63" s="1298"/>
      <c r="AU63" s="1298"/>
      <c r="AV63" s="1298"/>
      <c r="AW63" s="1298"/>
      <c r="AX63" s="1298"/>
      <c r="AY63" s="1298"/>
    </row>
    <row r="64" spans="1:51" s="1335" customFormat="1" ht="14.25">
      <c r="A64" s="1359" t="s">
        <v>1813</v>
      </c>
      <c r="B64" s="1298"/>
      <c r="C64" s="1336">
        <f>'Common Stock'!C90</f>
        <v>25000</v>
      </c>
      <c r="D64" s="1337"/>
      <c r="E64" s="1351">
        <f t="shared" si="13"/>
        <v>1.5312016637914782E-3</v>
      </c>
      <c r="F64" s="1339"/>
      <c r="G64" s="1349"/>
      <c r="H64" s="1349"/>
      <c r="I64" s="1349"/>
      <c r="J64" s="1349"/>
      <c r="K64" s="1349"/>
      <c r="L64" s="1349"/>
      <c r="M64" s="1349"/>
      <c r="N64" s="1349"/>
      <c r="O64" s="1349"/>
      <c r="P64" s="1349"/>
      <c r="Q64" s="1349"/>
      <c r="R64" s="1349"/>
      <c r="S64" s="1349"/>
      <c r="T64" s="1349"/>
      <c r="U64" s="1349"/>
      <c r="V64" s="1349"/>
      <c r="W64" s="1279">
        <f t="shared" si="14"/>
        <v>25000</v>
      </c>
      <c r="X64" s="1350">
        <f t="shared" si="15"/>
        <v>3.5013004249934479E-4</v>
      </c>
      <c r="Y64" s="1336"/>
      <c r="Z64" s="1298"/>
      <c r="AA64" s="1341"/>
      <c r="AB64" s="1337"/>
      <c r="AC64" s="1338"/>
      <c r="AD64" s="1279">
        <f>Options!O35</f>
        <v>0</v>
      </c>
      <c r="AE64" s="1336"/>
      <c r="AF64" s="1336">
        <f t="shared" si="16"/>
        <v>25000</v>
      </c>
      <c r="AG64" s="1351">
        <f t="shared" si="17"/>
        <v>3.3259809212802898E-4</v>
      </c>
      <c r="AH64" s="1343"/>
      <c r="AI64" s="1344"/>
      <c r="AJ64" s="1343"/>
      <c r="AK64" s="1298"/>
      <c r="AL64" s="1298"/>
      <c r="AM64" s="1298"/>
      <c r="AN64" s="1298"/>
      <c r="AO64" s="1345"/>
      <c r="AP64" s="1345"/>
      <c r="AQ64" s="1298"/>
      <c r="AR64" s="1298"/>
      <c r="AS64" s="1298"/>
      <c r="AT64" s="1298"/>
      <c r="AU64" s="1298"/>
      <c r="AV64" s="1298"/>
      <c r="AW64" s="1298"/>
      <c r="AX64" s="1298"/>
      <c r="AY64" s="1298"/>
    </row>
    <row r="65" spans="1:51" s="1335" customFormat="1" ht="14.25">
      <c r="A65" s="1359" t="s">
        <v>1814</v>
      </c>
      <c r="B65" s="1298"/>
      <c r="C65" s="1336">
        <v>0</v>
      </c>
      <c r="D65" s="1337"/>
      <c r="E65" s="1351">
        <f t="shared" si="13"/>
        <v>0</v>
      </c>
      <c r="F65" s="1339"/>
      <c r="G65" s="1349"/>
      <c r="H65" s="1349"/>
      <c r="I65" s="1349"/>
      <c r="J65" s="1349"/>
      <c r="K65" s="1349"/>
      <c r="L65" s="1349"/>
      <c r="M65" s="1349"/>
      <c r="N65" s="1349"/>
      <c r="O65" s="1349"/>
      <c r="P65" s="1349"/>
      <c r="Q65" s="1349"/>
      <c r="R65" s="1349"/>
      <c r="S65" s="1349"/>
      <c r="T65" s="1349"/>
      <c r="U65" s="1349"/>
      <c r="V65" s="1349"/>
      <c r="W65" s="1279">
        <f t="shared" si="14"/>
        <v>0</v>
      </c>
      <c r="X65" s="1350">
        <f t="shared" si="15"/>
        <v>0</v>
      </c>
      <c r="Y65" s="1336"/>
      <c r="Z65" s="1298"/>
      <c r="AA65" s="1341"/>
      <c r="AB65" s="1337"/>
      <c r="AC65" s="1338"/>
      <c r="AD65" s="1279">
        <f>Options!O36</f>
        <v>50000</v>
      </c>
      <c r="AE65" s="1336"/>
      <c r="AF65" s="1336">
        <f t="shared" si="16"/>
        <v>50000</v>
      </c>
      <c r="AG65" s="1351">
        <f t="shared" si="17"/>
        <v>6.6519618425605795E-4</v>
      </c>
      <c r="AH65" s="1343"/>
      <c r="AI65" s="1344"/>
      <c r="AJ65" s="1343"/>
      <c r="AK65" s="1298"/>
      <c r="AL65" s="1298"/>
      <c r="AM65" s="1298"/>
      <c r="AN65" s="1298"/>
      <c r="AO65" s="1345"/>
      <c r="AP65" s="1345"/>
      <c r="AQ65" s="1298"/>
      <c r="AR65" s="1298"/>
      <c r="AS65" s="1298"/>
      <c r="AT65" s="1298"/>
      <c r="AU65" s="1298"/>
      <c r="AV65" s="1298"/>
      <c r="AW65" s="1298"/>
      <c r="AX65" s="1298"/>
      <c r="AY65" s="1298"/>
    </row>
    <row r="66" spans="1:51" s="1335" customFormat="1" ht="14.25">
      <c r="A66" s="1359" t="s">
        <v>1815</v>
      </c>
      <c r="B66" s="1298"/>
      <c r="C66" s="1336">
        <f>'Common Stock'!J85</f>
        <v>21000</v>
      </c>
      <c r="D66" s="1337"/>
      <c r="E66" s="1351">
        <f t="shared" si="13"/>
        <v>1.2862093975848417E-3</v>
      </c>
      <c r="F66" s="1339"/>
      <c r="G66" s="1349"/>
      <c r="H66" s="1349"/>
      <c r="I66" s="1349"/>
      <c r="J66" s="1349"/>
      <c r="K66" s="1349"/>
      <c r="L66" s="1349"/>
      <c r="M66" s="1349"/>
      <c r="N66" s="1349"/>
      <c r="O66" s="1349"/>
      <c r="P66" s="1349"/>
      <c r="Q66" s="1349"/>
      <c r="R66" s="1349"/>
      <c r="S66" s="1349"/>
      <c r="T66" s="1349"/>
      <c r="U66" s="1349"/>
      <c r="V66" s="1349"/>
      <c r="W66" s="1279">
        <f t="shared" si="14"/>
        <v>21000</v>
      </c>
      <c r="X66" s="1350">
        <f t="shared" si="15"/>
        <v>2.9410923569944962E-4</v>
      </c>
      <c r="Y66" s="1336"/>
      <c r="Z66" s="1298"/>
      <c r="AA66" s="1341"/>
      <c r="AB66" s="1337"/>
      <c r="AC66" s="1338"/>
      <c r="AD66" s="1279">
        <f>Options!O37</f>
        <v>0</v>
      </c>
      <c r="AE66" s="1336"/>
      <c r="AF66" s="1336">
        <f t="shared" si="16"/>
        <v>21000</v>
      </c>
      <c r="AG66" s="1351">
        <f t="shared" si="17"/>
        <v>2.7938239738754431E-4</v>
      </c>
      <c r="AH66" s="1343"/>
      <c r="AI66" s="1344"/>
      <c r="AJ66" s="1343"/>
      <c r="AK66" s="1298"/>
      <c r="AL66" s="1298"/>
      <c r="AM66" s="1298"/>
      <c r="AN66" s="1298"/>
      <c r="AO66" s="1345"/>
      <c r="AP66" s="1345"/>
      <c r="AQ66" s="1298"/>
      <c r="AR66" s="1298"/>
      <c r="AS66" s="1298"/>
      <c r="AT66" s="1298"/>
      <c r="AU66" s="1298"/>
      <c r="AV66" s="1298"/>
      <c r="AW66" s="1298"/>
      <c r="AX66" s="1298"/>
      <c r="AY66" s="1298"/>
    </row>
    <row r="67" spans="1:51" s="1335" customFormat="1" ht="14.25">
      <c r="A67" s="1359" t="s">
        <v>1816</v>
      </c>
      <c r="B67" s="1298"/>
      <c r="C67" s="1336">
        <f>'Common Stock'!C95</f>
        <v>220000</v>
      </c>
      <c r="D67" s="1337"/>
      <c r="E67" s="1351">
        <f t="shared" si="13"/>
        <v>1.3474574641365009E-2</v>
      </c>
      <c r="F67" s="1339"/>
      <c r="G67" s="1349"/>
      <c r="H67" s="1349"/>
      <c r="I67" s="1349"/>
      <c r="J67" s="1349"/>
      <c r="K67" s="1349"/>
      <c r="L67" s="1349"/>
      <c r="M67" s="1349"/>
      <c r="N67" s="1349"/>
      <c r="O67" s="1349"/>
      <c r="P67" s="1349"/>
      <c r="Q67" s="1349"/>
      <c r="R67" s="1349"/>
      <c r="S67" s="1349"/>
      <c r="T67" s="1349"/>
      <c r="U67" s="1349"/>
      <c r="V67" s="1349"/>
      <c r="W67" s="1279">
        <f t="shared" si="14"/>
        <v>220000</v>
      </c>
      <c r="X67" s="1350">
        <f t="shared" si="15"/>
        <v>3.0811443739942341E-3</v>
      </c>
      <c r="Y67" s="1336"/>
      <c r="Z67" s="1298"/>
      <c r="AA67" s="1341"/>
      <c r="AB67" s="1337"/>
      <c r="AC67" s="1338"/>
      <c r="AD67" s="1279">
        <f>Options!O38</f>
        <v>0</v>
      </c>
      <c r="AE67" s="1336"/>
      <c r="AF67" s="1336">
        <f t="shared" si="16"/>
        <v>220000</v>
      </c>
      <c r="AG67" s="1351">
        <f t="shared" si="17"/>
        <v>2.9268632107266549E-3</v>
      </c>
      <c r="AH67" s="1343"/>
      <c r="AI67" s="1344"/>
      <c r="AJ67" s="1343"/>
      <c r="AK67" s="1298"/>
      <c r="AL67" s="1298"/>
      <c r="AM67" s="1298"/>
      <c r="AN67" s="1298"/>
      <c r="AO67" s="1345"/>
      <c r="AP67" s="1345"/>
      <c r="AQ67" s="1298"/>
      <c r="AR67" s="1298"/>
      <c r="AS67" s="1298"/>
      <c r="AT67" s="1298"/>
      <c r="AU67" s="1298"/>
      <c r="AV67" s="1298"/>
      <c r="AW67" s="1298"/>
      <c r="AX67" s="1298"/>
      <c r="AY67" s="1298"/>
    </row>
    <row r="68" spans="1:51" s="1335" customFormat="1" ht="14.25">
      <c r="A68" s="1359" t="s">
        <v>1817</v>
      </c>
      <c r="B68" s="1298"/>
      <c r="C68" s="1336">
        <f>'Common Stock'!C89</f>
        <v>50000</v>
      </c>
      <c r="D68" s="1337"/>
      <c r="E68" s="1351">
        <f t="shared" si="13"/>
        <v>3.0624033275829564E-3</v>
      </c>
      <c r="F68" s="1339"/>
      <c r="G68" s="1349"/>
      <c r="H68" s="1349"/>
      <c r="I68" s="1349"/>
      <c r="J68" s="1349"/>
      <c r="K68" s="1349"/>
      <c r="L68" s="1349"/>
      <c r="M68" s="1349"/>
      <c r="N68" s="1349"/>
      <c r="O68" s="1349"/>
      <c r="P68" s="1349"/>
      <c r="Q68" s="1349"/>
      <c r="R68" s="1349"/>
      <c r="S68" s="1349"/>
      <c r="T68" s="1349"/>
      <c r="U68" s="1349"/>
      <c r="V68" s="1349"/>
      <c r="W68" s="1279">
        <f t="shared" si="14"/>
        <v>50000</v>
      </c>
      <c r="X68" s="1350">
        <f t="shared" si="15"/>
        <v>7.0026008499868959E-4</v>
      </c>
      <c r="Y68" s="1336"/>
      <c r="Z68" s="1298"/>
      <c r="AA68" s="1341"/>
      <c r="AB68" s="1337"/>
      <c r="AC68" s="1338"/>
      <c r="AD68" s="1279">
        <f>Options!O39</f>
        <v>0</v>
      </c>
      <c r="AE68" s="1336"/>
      <c r="AF68" s="1336">
        <f t="shared" si="16"/>
        <v>50000</v>
      </c>
      <c r="AG68" s="1351">
        <f t="shared" si="17"/>
        <v>6.6519618425605795E-4</v>
      </c>
      <c r="AH68" s="1343"/>
      <c r="AI68" s="1344"/>
      <c r="AJ68" s="1343"/>
      <c r="AK68" s="1298"/>
      <c r="AL68" s="1298"/>
      <c r="AM68" s="1298"/>
      <c r="AN68" s="1298"/>
      <c r="AO68" s="1345"/>
      <c r="AP68" s="1345"/>
      <c r="AQ68" s="1298"/>
      <c r="AR68" s="1298"/>
      <c r="AS68" s="1298"/>
      <c r="AT68" s="1298"/>
      <c r="AU68" s="1298"/>
      <c r="AV68" s="1298"/>
      <c r="AW68" s="1298"/>
      <c r="AX68" s="1298"/>
      <c r="AY68" s="1298"/>
    </row>
    <row r="69" spans="1:51" s="1335" customFormat="1" ht="14.25">
      <c r="A69" s="1359" t="s">
        <v>1818</v>
      </c>
      <c r="B69" s="1298"/>
      <c r="C69" s="1336">
        <v>0</v>
      </c>
      <c r="D69" s="1337"/>
      <c r="E69" s="1351">
        <f t="shared" si="13"/>
        <v>0</v>
      </c>
      <c r="F69" s="1339"/>
      <c r="G69" s="1349"/>
      <c r="H69" s="1349"/>
      <c r="I69" s="1349"/>
      <c r="J69" s="1349"/>
      <c r="K69" s="1349"/>
      <c r="L69" s="1349"/>
      <c r="M69" s="1349"/>
      <c r="N69" s="1349"/>
      <c r="O69" s="1349"/>
      <c r="P69" s="1349"/>
      <c r="Q69" s="1349"/>
      <c r="R69" s="1349"/>
      <c r="S69" s="1349"/>
      <c r="T69" s="1349"/>
      <c r="U69" s="1349"/>
      <c r="V69" s="1349"/>
      <c r="W69" s="1279">
        <f t="shared" si="14"/>
        <v>0</v>
      </c>
      <c r="X69" s="1350">
        <f t="shared" si="15"/>
        <v>0</v>
      </c>
      <c r="Y69" s="1336"/>
      <c r="Z69" s="1298"/>
      <c r="AA69" s="1341"/>
      <c r="AB69" s="1337"/>
      <c r="AC69" s="1338"/>
      <c r="AD69" s="1279">
        <f>Options!O40</f>
        <v>105000</v>
      </c>
      <c r="AE69" s="1336"/>
      <c r="AF69" s="1336">
        <f t="shared" si="16"/>
        <v>105000</v>
      </c>
      <c r="AG69" s="1351">
        <f t="shared" si="17"/>
        <v>1.3969119869377217E-3</v>
      </c>
      <c r="AH69" s="1343"/>
      <c r="AI69" s="1344"/>
      <c r="AJ69" s="1343"/>
      <c r="AK69" s="1298"/>
      <c r="AL69" s="1298"/>
      <c r="AM69" s="1298"/>
      <c r="AN69" s="1298"/>
      <c r="AO69" s="1345"/>
      <c r="AP69" s="1345"/>
      <c r="AQ69" s="1298"/>
      <c r="AR69" s="1298"/>
      <c r="AS69" s="1298"/>
      <c r="AT69" s="1298"/>
      <c r="AU69" s="1298"/>
      <c r="AV69" s="1298"/>
      <c r="AW69" s="1298"/>
      <c r="AX69" s="1298"/>
      <c r="AY69" s="1298"/>
    </row>
    <row r="70" spans="1:51" s="1335" customFormat="1" ht="14.25">
      <c r="A70" s="1359" t="s">
        <v>1819</v>
      </c>
      <c r="B70" s="1298"/>
      <c r="C70" s="1336">
        <f>'Common Stock'!C97</f>
        <v>21000</v>
      </c>
      <c r="D70" s="1337"/>
      <c r="E70" s="1351">
        <f t="shared" si="13"/>
        <v>1.2862093975848417E-3</v>
      </c>
      <c r="F70" s="1339"/>
      <c r="G70" s="1349"/>
      <c r="H70" s="1349"/>
      <c r="I70" s="1349"/>
      <c r="J70" s="1349"/>
      <c r="K70" s="1349"/>
      <c r="L70" s="1349"/>
      <c r="M70" s="1349"/>
      <c r="N70" s="1349"/>
      <c r="O70" s="1349"/>
      <c r="P70" s="1349"/>
      <c r="Q70" s="1349"/>
      <c r="R70" s="1349"/>
      <c r="S70" s="1349"/>
      <c r="T70" s="1349"/>
      <c r="U70" s="1349"/>
      <c r="V70" s="1349"/>
      <c r="W70" s="1279">
        <f t="shared" si="14"/>
        <v>21000</v>
      </c>
      <c r="X70" s="1350">
        <f t="shared" si="15"/>
        <v>2.9410923569944962E-4</v>
      </c>
      <c r="Y70" s="1336"/>
      <c r="Z70" s="1298"/>
      <c r="AA70" s="1341"/>
      <c r="AB70" s="1337"/>
      <c r="AC70" s="1338"/>
      <c r="AD70" s="1279">
        <f>Options!O41</f>
        <v>0</v>
      </c>
      <c r="AE70" s="1336"/>
      <c r="AF70" s="1336">
        <f t="shared" si="16"/>
        <v>21000</v>
      </c>
      <c r="AG70" s="1351">
        <f t="shared" si="17"/>
        <v>2.7938239738754431E-4</v>
      </c>
      <c r="AH70" s="1343"/>
      <c r="AI70" s="1344"/>
      <c r="AJ70" s="1343"/>
      <c r="AK70" s="1298"/>
      <c r="AL70" s="1298"/>
      <c r="AM70" s="1298"/>
      <c r="AN70" s="1298"/>
      <c r="AO70" s="1345"/>
      <c r="AP70" s="1345"/>
      <c r="AQ70" s="1298"/>
      <c r="AR70" s="1298"/>
      <c r="AS70" s="1298"/>
      <c r="AT70" s="1298"/>
      <c r="AU70" s="1298"/>
      <c r="AV70" s="1298"/>
      <c r="AW70" s="1298"/>
      <c r="AX70" s="1298"/>
      <c r="AY70" s="1298"/>
    </row>
    <row r="71" spans="1:51" s="1335" customFormat="1" ht="14.25">
      <c r="A71" s="1359" t="s">
        <v>1820</v>
      </c>
      <c r="B71" s="1298"/>
      <c r="C71" s="1336">
        <v>0</v>
      </c>
      <c r="D71" s="1337"/>
      <c r="E71" s="1351">
        <f t="shared" si="13"/>
        <v>0</v>
      </c>
      <c r="F71" s="1339"/>
      <c r="G71" s="1349"/>
      <c r="H71" s="1349"/>
      <c r="I71" s="1349"/>
      <c r="J71" s="1349"/>
      <c r="K71" s="1349"/>
      <c r="L71" s="1349"/>
      <c r="M71" s="1349"/>
      <c r="N71" s="1349"/>
      <c r="O71" s="1349"/>
      <c r="P71" s="1349"/>
      <c r="Q71" s="1349"/>
      <c r="R71" s="1349"/>
      <c r="S71" s="1349"/>
      <c r="T71" s="1349"/>
      <c r="U71" s="1349"/>
      <c r="V71" s="1349"/>
      <c r="W71" s="1279">
        <f t="shared" si="14"/>
        <v>0</v>
      </c>
      <c r="X71" s="1350">
        <f t="shared" si="15"/>
        <v>0</v>
      </c>
      <c r="Y71" s="1336"/>
      <c r="Z71" s="1298"/>
      <c r="AA71" s="1341"/>
      <c r="AB71" s="1337"/>
      <c r="AC71" s="1338"/>
      <c r="AD71" s="1279">
        <f>Options!O42</f>
        <v>21000</v>
      </c>
      <c r="AE71" s="1336"/>
      <c r="AF71" s="1336">
        <f t="shared" si="16"/>
        <v>21000</v>
      </c>
      <c r="AG71" s="1351">
        <f t="shared" si="17"/>
        <v>2.7938239738754431E-4</v>
      </c>
      <c r="AH71" s="1343"/>
      <c r="AI71" s="1344"/>
      <c r="AJ71" s="1343"/>
      <c r="AK71" s="1298"/>
      <c r="AL71" s="1298"/>
      <c r="AM71" s="1298"/>
      <c r="AN71" s="1298"/>
      <c r="AO71" s="1345"/>
      <c r="AP71" s="1345"/>
      <c r="AQ71" s="1298"/>
      <c r="AR71" s="1298"/>
      <c r="AS71" s="1298"/>
      <c r="AT71" s="1298"/>
      <c r="AU71" s="1298"/>
      <c r="AV71" s="1298"/>
      <c r="AW71" s="1298"/>
      <c r="AX71" s="1298"/>
      <c r="AY71" s="1298"/>
    </row>
    <row r="72" spans="1:51" s="1335" customFormat="1" ht="14.25">
      <c r="A72" s="1359" t="s">
        <v>1821</v>
      </c>
      <c r="B72" s="1298"/>
      <c r="C72" s="1336">
        <v>0</v>
      </c>
      <c r="D72" s="1337"/>
      <c r="E72" s="1351">
        <f t="shared" si="13"/>
        <v>0</v>
      </c>
      <c r="F72" s="1339"/>
      <c r="G72" s="1349"/>
      <c r="H72" s="1349"/>
      <c r="I72" s="1349"/>
      <c r="J72" s="1349"/>
      <c r="K72" s="1349"/>
      <c r="L72" s="1349"/>
      <c r="M72" s="1349"/>
      <c r="N72" s="1349"/>
      <c r="O72" s="1349"/>
      <c r="P72" s="1349"/>
      <c r="Q72" s="1349"/>
      <c r="R72" s="1349"/>
      <c r="S72" s="1349"/>
      <c r="T72" s="1349"/>
      <c r="U72" s="1349"/>
      <c r="V72" s="1349"/>
      <c r="W72" s="1279">
        <f t="shared" si="14"/>
        <v>0</v>
      </c>
      <c r="X72" s="1350">
        <f t="shared" si="15"/>
        <v>0</v>
      </c>
      <c r="Y72" s="1336"/>
      <c r="Z72" s="1298"/>
      <c r="AA72" s="1341"/>
      <c r="AB72" s="1337"/>
      <c r="AC72" s="1338"/>
      <c r="AD72" s="1279">
        <f>Options!O43</f>
        <v>20000</v>
      </c>
      <c r="AE72" s="1336"/>
      <c r="AF72" s="1336">
        <f t="shared" si="16"/>
        <v>20000</v>
      </c>
      <c r="AG72" s="1351">
        <f t="shared" si="17"/>
        <v>2.660784737024232E-4</v>
      </c>
      <c r="AH72" s="1343"/>
      <c r="AI72" s="1344"/>
      <c r="AJ72" s="1343"/>
      <c r="AK72" s="1298"/>
      <c r="AL72" s="1298"/>
      <c r="AM72" s="1298"/>
      <c r="AN72" s="1298"/>
      <c r="AO72" s="1345"/>
      <c r="AP72" s="1345"/>
      <c r="AQ72" s="1298"/>
      <c r="AR72" s="1298"/>
      <c r="AS72" s="1298"/>
      <c r="AT72" s="1298"/>
      <c r="AU72" s="1298"/>
      <c r="AV72" s="1298"/>
      <c r="AW72" s="1298"/>
      <c r="AX72" s="1298"/>
      <c r="AY72" s="1298"/>
    </row>
    <row r="73" spans="1:51" s="1335" customFormat="1" ht="14.25">
      <c r="A73" s="1359" t="s">
        <v>1822</v>
      </c>
      <c r="B73" s="1298"/>
      <c r="C73" s="1336">
        <v>0</v>
      </c>
      <c r="D73" s="1337"/>
      <c r="E73" s="1351">
        <f t="shared" si="13"/>
        <v>0</v>
      </c>
      <c r="F73" s="1339"/>
      <c r="G73" s="1349"/>
      <c r="H73" s="1349"/>
      <c r="I73" s="1349"/>
      <c r="J73" s="1349"/>
      <c r="K73" s="1349"/>
      <c r="L73" s="1349"/>
      <c r="M73" s="1349"/>
      <c r="N73" s="1349"/>
      <c r="O73" s="1349"/>
      <c r="P73" s="1349"/>
      <c r="Q73" s="1349"/>
      <c r="R73" s="1349"/>
      <c r="S73" s="1349"/>
      <c r="T73" s="1349"/>
      <c r="U73" s="1349"/>
      <c r="V73" s="1349"/>
      <c r="W73" s="1279">
        <f t="shared" si="14"/>
        <v>0</v>
      </c>
      <c r="X73" s="1350">
        <f t="shared" si="15"/>
        <v>0</v>
      </c>
      <c r="Y73" s="1336"/>
      <c r="Z73" s="1298"/>
      <c r="AA73" s="1341"/>
      <c r="AB73" s="1337"/>
      <c r="AC73" s="1338"/>
      <c r="AD73" s="1279">
        <f>Options!O44</f>
        <v>18000</v>
      </c>
      <c r="AE73" s="1336"/>
      <c r="AF73" s="1336">
        <f t="shared" si="16"/>
        <v>18000</v>
      </c>
      <c r="AG73" s="1351">
        <f t="shared" si="17"/>
        <v>2.3947062633218087E-4</v>
      </c>
      <c r="AH73" s="1343"/>
      <c r="AI73" s="1344"/>
      <c r="AJ73" s="1343"/>
      <c r="AK73" s="1298"/>
      <c r="AL73" s="1298"/>
      <c r="AM73" s="1298"/>
      <c r="AN73" s="1298"/>
      <c r="AO73" s="1345"/>
      <c r="AP73" s="1345"/>
      <c r="AQ73" s="1298"/>
      <c r="AR73" s="1298"/>
      <c r="AS73" s="1298"/>
      <c r="AT73" s="1298"/>
      <c r="AU73" s="1298"/>
      <c r="AV73" s="1298"/>
      <c r="AW73" s="1298"/>
      <c r="AX73" s="1298"/>
      <c r="AY73" s="1298"/>
    </row>
    <row r="74" spans="1:51" s="1335" customFormat="1" ht="14.25">
      <c r="A74" s="1359" t="s">
        <v>1823</v>
      </c>
      <c r="B74" s="1298"/>
      <c r="C74" s="1336">
        <v>0</v>
      </c>
      <c r="D74" s="1337"/>
      <c r="E74" s="1351">
        <f t="shared" si="13"/>
        <v>0</v>
      </c>
      <c r="F74" s="1339"/>
      <c r="G74" s="1349"/>
      <c r="H74" s="1349"/>
      <c r="I74" s="1349"/>
      <c r="J74" s="1349"/>
      <c r="K74" s="1349"/>
      <c r="L74" s="1349"/>
      <c r="M74" s="1349"/>
      <c r="N74" s="1349"/>
      <c r="O74" s="1349"/>
      <c r="P74" s="1349"/>
      <c r="Q74" s="1349"/>
      <c r="R74" s="1349"/>
      <c r="S74" s="1349"/>
      <c r="T74" s="1349"/>
      <c r="U74" s="1349"/>
      <c r="V74" s="1349"/>
      <c r="W74" s="1279">
        <f t="shared" si="14"/>
        <v>0</v>
      </c>
      <c r="X74" s="1350">
        <f t="shared" si="15"/>
        <v>0</v>
      </c>
      <c r="Y74" s="1336"/>
      <c r="Z74" s="1298"/>
      <c r="AA74" s="1341"/>
      <c r="AB74" s="1337"/>
      <c r="AC74" s="1338"/>
      <c r="AD74" s="1279">
        <f>Options!O45</f>
        <v>80000</v>
      </c>
      <c r="AE74" s="1336"/>
      <c r="AF74" s="1336">
        <f t="shared" si="16"/>
        <v>80000</v>
      </c>
      <c r="AG74" s="1351">
        <f t="shared" si="17"/>
        <v>1.0643138948096928E-3</v>
      </c>
      <c r="AH74" s="1343"/>
      <c r="AI74" s="1344"/>
      <c r="AJ74" s="1343"/>
      <c r="AK74" s="1298"/>
      <c r="AL74" s="1298"/>
      <c r="AM74" s="1298"/>
      <c r="AN74" s="1298"/>
      <c r="AO74" s="1345"/>
      <c r="AP74" s="1345"/>
      <c r="AQ74" s="1298"/>
      <c r="AR74" s="1298"/>
      <c r="AS74" s="1298"/>
      <c r="AT74" s="1298"/>
      <c r="AU74" s="1298"/>
      <c r="AV74" s="1298"/>
      <c r="AW74" s="1298"/>
      <c r="AX74" s="1298"/>
      <c r="AY74" s="1298"/>
    </row>
    <row r="75" spans="1:51" s="1335" customFormat="1" ht="14.25">
      <c r="A75" s="1359" t="s">
        <v>1824</v>
      </c>
      <c r="B75" s="1298"/>
      <c r="C75" s="1336">
        <f>'Common Stock'!C91</f>
        <v>18000</v>
      </c>
      <c r="D75" s="1337"/>
      <c r="E75" s="1351">
        <f t="shared" si="13"/>
        <v>1.1024651979298643E-3</v>
      </c>
      <c r="F75" s="1339"/>
      <c r="G75" s="1349"/>
      <c r="H75" s="1349"/>
      <c r="I75" s="1349"/>
      <c r="J75" s="1349"/>
      <c r="K75" s="1349"/>
      <c r="L75" s="1349"/>
      <c r="M75" s="1349"/>
      <c r="N75" s="1349"/>
      <c r="O75" s="1349"/>
      <c r="P75" s="1349"/>
      <c r="Q75" s="1349"/>
      <c r="R75" s="1349"/>
      <c r="S75" s="1349"/>
      <c r="T75" s="1349"/>
      <c r="U75" s="1349"/>
      <c r="V75" s="1349"/>
      <c r="W75" s="1279">
        <f t="shared" si="14"/>
        <v>18000</v>
      </c>
      <c r="X75" s="1350">
        <f t="shared" si="15"/>
        <v>2.5209363059952822E-4</v>
      </c>
      <c r="Y75" s="1336"/>
      <c r="Z75" s="1298"/>
      <c r="AA75" s="1341"/>
      <c r="AB75" s="1337"/>
      <c r="AC75" s="1338"/>
      <c r="AD75" s="1279">
        <f>Options!O46</f>
        <v>0</v>
      </c>
      <c r="AE75" s="1336"/>
      <c r="AF75" s="1336">
        <f t="shared" si="16"/>
        <v>18000</v>
      </c>
      <c r="AG75" s="1351">
        <f t="shared" si="17"/>
        <v>2.3947062633218087E-4</v>
      </c>
      <c r="AH75" s="1343"/>
      <c r="AI75" s="1344"/>
      <c r="AJ75" s="1343"/>
      <c r="AK75" s="1298"/>
      <c r="AL75" s="1298"/>
      <c r="AM75" s="1298"/>
      <c r="AN75" s="1298"/>
      <c r="AO75" s="1345"/>
      <c r="AP75" s="1345"/>
      <c r="AQ75" s="1298"/>
      <c r="AR75" s="1298"/>
      <c r="AS75" s="1298"/>
      <c r="AT75" s="1298"/>
      <c r="AU75" s="1298"/>
      <c r="AV75" s="1298"/>
      <c r="AW75" s="1298"/>
      <c r="AX75" s="1298"/>
      <c r="AY75" s="1298"/>
    </row>
    <row r="76" spans="1:51" s="1335" customFormat="1" ht="14.25">
      <c r="A76" s="1359" t="s">
        <v>1825</v>
      </c>
      <c r="B76" s="1298"/>
      <c r="C76" s="1336">
        <v>0</v>
      </c>
      <c r="D76" s="1337"/>
      <c r="E76" s="1351">
        <f t="shared" si="13"/>
        <v>0</v>
      </c>
      <c r="F76" s="1339"/>
      <c r="G76" s="1349"/>
      <c r="H76" s="1349"/>
      <c r="I76" s="1349"/>
      <c r="J76" s="1349"/>
      <c r="K76" s="1349"/>
      <c r="L76" s="1349"/>
      <c r="M76" s="1349"/>
      <c r="N76" s="1349"/>
      <c r="O76" s="1349"/>
      <c r="P76" s="1349"/>
      <c r="Q76" s="1349"/>
      <c r="R76" s="1349"/>
      <c r="S76" s="1349"/>
      <c r="T76" s="1349"/>
      <c r="U76" s="1349"/>
      <c r="V76" s="1349"/>
      <c r="W76" s="1279">
        <f t="shared" si="14"/>
        <v>0</v>
      </c>
      <c r="X76" s="1350">
        <f t="shared" si="15"/>
        <v>0</v>
      </c>
      <c r="Y76" s="1336"/>
      <c r="Z76" s="1298"/>
      <c r="AA76" s="1341"/>
      <c r="AB76" s="1337"/>
      <c r="AC76" s="1338"/>
      <c r="AD76" s="1279">
        <f>Options!O47</f>
        <v>18000</v>
      </c>
      <c r="AE76" s="1336"/>
      <c r="AF76" s="1336">
        <f t="shared" si="16"/>
        <v>18000</v>
      </c>
      <c r="AG76" s="1351">
        <f t="shared" si="17"/>
        <v>2.3947062633218087E-4</v>
      </c>
      <c r="AH76" s="1343"/>
      <c r="AI76" s="1344"/>
      <c r="AJ76" s="1343"/>
      <c r="AK76" s="1298"/>
      <c r="AL76" s="1298"/>
      <c r="AM76" s="1298"/>
      <c r="AN76" s="1298"/>
      <c r="AO76" s="1345"/>
      <c r="AP76" s="1345"/>
      <c r="AQ76" s="1298"/>
      <c r="AR76" s="1298"/>
      <c r="AS76" s="1298"/>
      <c r="AT76" s="1298"/>
      <c r="AU76" s="1298"/>
      <c r="AV76" s="1298"/>
      <c r="AW76" s="1298"/>
      <c r="AX76" s="1298"/>
      <c r="AY76" s="1298"/>
    </row>
    <row r="77" spans="1:51" s="1335" customFormat="1" ht="14.25">
      <c r="A77" s="1359" t="s">
        <v>1826</v>
      </c>
      <c r="B77" s="1298"/>
      <c r="C77" s="1336">
        <v>0</v>
      </c>
      <c r="D77" s="1337"/>
      <c r="E77" s="1351">
        <f t="shared" si="13"/>
        <v>0</v>
      </c>
      <c r="F77" s="1339"/>
      <c r="G77" s="1349"/>
      <c r="H77" s="1349"/>
      <c r="I77" s="1349"/>
      <c r="J77" s="1349"/>
      <c r="K77" s="1349"/>
      <c r="L77" s="1349"/>
      <c r="M77" s="1349"/>
      <c r="N77" s="1349"/>
      <c r="O77" s="1349"/>
      <c r="P77" s="1349"/>
      <c r="Q77" s="1349"/>
      <c r="R77" s="1349"/>
      <c r="S77" s="1349"/>
      <c r="T77" s="1349"/>
      <c r="U77" s="1349"/>
      <c r="V77" s="1349"/>
      <c r="W77" s="1279">
        <f t="shared" si="14"/>
        <v>0</v>
      </c>
      <c r="X77" s="1350">
        <f t="shared" si="15"/>
        <v>0</v>
      </c>
      <c r="Y77" s="1336"/>
      <c r="Z77" s="1298"/>
      <c r="AA77" s="1341"/>
      <c r="AB77" s="1337"/>
      <c r="AC77" s="1338"/>
      <c r="AD77" s="1279">
        <f>Options!O48</f>
        <v>21000</v>
      </c>
      <c r="AE77" s="1336"/>
      <c r="AF77" s="1336">
        <f t="shared" si="16"/>
        <v>21000</v>
      </c>
      <c r="AG77" s="1351">
        <f t="shared" si="17"/>
        <v>2.7938239738754431E-4</v>
      </c>
      <c r="AH77" s="1343"/>
      <c r="AI77" s="1344"/>
      <c r="AJ77" s="1343"/>
      <c r="AK77" s="1298"/>
      <c r="AL77" s="1298"/>
      <c r="AM77" s="1298"/>
      <c r="AN77" s="1298"/>
      <c r="AO77" s="1345"/>
      <c r="AP77" s="1345"/>
      <c r="AQ77" s="1298"/>
      <c r="AR77" s="1298"/>
      <c r="AS77" s="1298"/>
      <c r="AT77" s="1298"/>
      <c r="AU77" s="1298"/>
      <c r="AV77" s="1298"/>
      <c r="AW77" s="1298"/>
      <c r="AX77" s="1298"/>
      <c r="AY77" s="1298"/>
    </row>
    <row r="78" spans="1:51" s="1335" customFormat="1" ht="14.25">
      <c r="A78" s="1359" t="s">
        <v>1827</v>
      </c>
      <c r="B78" s="1298"/>
      <c r="C78" s="1336">
        <v>0</v>
      </c>
      <c r="D78" s="1337"/>
      <c r="E78" s="1351">
        <f t="shared" si="13"/>
        <v>0</v>
      </c>
      <c r="F78" s="1339"/>
      <c r="G78" s="1349"/>
      <c r="H78" s="1349"/>
      <c r="I78" s="1349"/>
      <c r="J78" s="1349"/>
      <c r="K78" s="1349"/>
      <c r="L78" s="1349"/>
      <c r="M78" s="1349"/>
      <c r="N78" s="1349"/>
      <c r="O78" s="1349"/>
      <c r="P78" s="1349"/>
      <c r="Q78" s="1349"/>
      <c r="R78" s="1349"/>
      <c r="S78" s="1349"/>
      <c r="T78" s="1349"/>
      <c r="U78" s="1349"/>
      <c r="V78" s="1349"/>
      <c r="W78" s="1279">
        <f t="shared" si="14"/>
        <v>0</v>
      </c>
      <c r="X78" s="1350">
        <f t="shared" si="15"/>
        <v>0</v>
      </c>
      <c r="Y78" s="1336"/>
      <c r="Z78" s="1298"/>
      <c r="AA78" s="1341"/>
      <c r="AB78" s="1337"/>
      <c r="AC78" s="1338"/>
      <c r="AD78" s="1279">
        <f>Options!O49</f>
        <v>30000</v>
      </c>
      <c r="AE78" s="1336"/>
      <c r="AF78" s="1336">
        <f t="shared" si="16"/>
        <v>30000</v>
      </c>
      <c r="AG78" s="1351">
        <f t="shared" si="17"/>
        <v>3.9911771055363475E-4</v>
      </c>
      <c r="AH78" s="1343"/>
      <c r="AI78" s="1344"/>
      <c r="AJ78" s="1343"/>
      <c r="AK78" s="1298"/>
      <c r="AL78" s="1298"/>
      <c r="AM78" s="1298"/>
      <c r="AN78" s="1298"/>
      <c r="AO78" s="1345"/>
      <c r="AP78" s="1345"/>
      <c r="AQ78" s="1298"/>
      <c r="AR78" s="1298"/>
      <c r="AS78" s="1298"/>
      <c r="AT78" s="1298"/>
      <c r="AU78" s="1298"/>
      <c r="AV78" s="1298"/>
      <c r="AW78" s="1298"/>
      <c r="AX78" s="1298"/>
      <c r="AY78" s="1298"/>
    </row>
    <row r="79" spans="1:51" s="1335" customFormat="1" ht="14.25">
      <c r="A79" s="1359" t="s">
        <v>1828</v>
      </c>
      <c r="B79" s="1298"/>
      <c r="C79" s="1336">
        <f>Options!J50</f>
        <v>0</v>
      </c>
      <c r="D79" s="1337"/>
      <c r="E79" s="1351">
        <f t="shared" si="13"/>
        <v>0</v>
      </c>
      <c r="F79" s="1339"/>
      <c r="G79" s="1349"/>
      <c r="H79" s="1349"/>
      <c r="I79" s="1349"/>
      <c r="J79" s="1349"/>
      <c r="K79" s="1349"/>
      <c r="L79" s="1349"/>
      <c r="M79" s="1349"/>
      <c r="N79" s="1349"/>
      <c r="O79" s="1349"/>
      <c r="P79" s="1349"/>
      <c r="Q79" s="1349"/>
      <c r="R79" s="1349"/>
      <c r="S79" s="1349"/>
      <c r="T79" s="1349"/>
      <c r="U79" s="1349"/>
      <c r="V79" s="1349"/>
      <c r="W79" s="1279">
        <f t="shared" si="14"/>
        <v>0</v>
      </c>
      <c r="X79" s="1350">
        <f t="shared" si="15"/>
        <v>0</v>
      </c>
      <c r="Y79" s="1336"/>
      <c r="Z79" s="1298"/>
      <c r="AA79" s="1341"/>
      <c r="AB79" s="1337"/>
      <c r="AC79" s="1338"/>
      <c r="AD79" s="1279">
        <f>Options!O50</f>
        <v>30000</v>
      </c>
      <c r="AE79" s="1336"/>
      <c r="AF79" s="1336">
        <f t="shared" si="16"/>
        <v>30000</v>
      </c>
      <c r="AG79" s="1351">
        <f t="shared" si="17"/>
        <v>3.9911771055363475E-4</v>
      </c>
      <c r="AH79" s="1343"/>
      <c r="AI79" s="1344"/>
      <c r="AJ79" s="1343"/>
      <c r="AK79" s="1298"/>
      <c r="AL79" s="1298"/>
      <c r="AM79" s="1298"/>
      <c r="AN79" s="1298"/>
      <c r="AO79" s="1345"/>
      <c r="AP79" s="1345"/>
      <c r="AQ79" s="1298"/>
      <c r="AR79" s="1298"/>
      <c r="AS79" s="1298"/>
      <c r="AT79" s="1298"/>
      <c r="AU79" s="1298"/>
      <c r="AV79" s="1298"/>
      <c r="AW79" s="1298"/>
      <c r="AX79" s="1298"/>
      <c r="AY79" s="1298"/>
    </row>
    <row r="80" spans="1:51" s="1335" customFormat="1" ht="14.25">
      <c r="A80" s="1359" t="s">
        <v>1829</v>
      </c>
      <c r="B80" s="1298"/>
      <c r="C80" s="1336">
        <f>Options!J51</f>
        <v>0</v>
      </c>
      <c r="D80" s="1337"/>
      <c r="E80" s="1351">
        <f t="shared" si="13"/>
        <v>0</v>
      </c>
      <c r="F80" s="1339"/>
      <c r="G80" s="1349"/>
      <c r="H80" s="1349"/>
      <c r="I80" s="1349"/>
      <c r="J80" s="1349"/>
      <c r="K80" s="1349"/>
      <c r="L80" s="1349"/>
      <c r="M80" s="1349"/>
      <c r="N80" s="1349"/>
      <c r="O80" s="1349"/>
      <c r="P80" s="1349"/>
      <c r="Q80" s="1349"/>
      <c r="R80" s="1349"/>
      <c r="S80" s="1349"/>
      <c r="T80" s="1349"/>
      <c r="U80" s="1349"/>
      <c r="V80" s="1349"/>
      <c r="W80" s="1279">
        <f t="shared" si="14"/>
        <v>0</v>
      </c>
      <c r="X80" s="1350">
        <f t="shared" si="15"/>
        <v>0</v>
      </c>
      <c r="Y80" s="1336"/>
      <c r="Z80" s="1298"/>
      <c r="AA80" s="1341"/>
      <c r="AB80" s="1337"/>
      <c r="AC80" s="1338"/>
      <c r="AD80" s="1279">
        <f>Options!O51</f>
        <v>85000</v>
      </c>
      <c r="AE80" s="1336"/>
      <c r="AF80" s="1336">
        <f t="shared" si="16"/>
        <v>85000</v>
      </c>
      <c r="AG80" s="1351">
        <f t="shared" si="17"/>
        <v>1.1308335132352986E-3</v>
      </c>
      <c r="AH80" s="1343"/>
      <c r="AI80" s="1344"/>
      <c r="AJ80" s="1343"/>
      <c r="AK80" s="1298"/>
      <c r="AL80" s="1298"/>
      <c r="AM80" s="1298"/>
      <c r="AN80" s="1298"/>
      <c r="AO80" s="1345"/>
      <c r="AP80" s="1345"/>
      <c r="AQ80" s="1298"/>
      <c r="AR80" s="1298"/>
      <c r="AS80" s="1298"/>
      <c r="AT80" s="1298"/>
      <c r="AU80" s="1298"/>
      <c r="AV80" s="1298"/>
      <c r="AW80" s="1298"/>
      <c r="AX80" s="1298"/>
      <c r="AY80" s="1298"/>
    </row>
    <row r="81" spans="1:51" s="1335" customFormat="1" ht="14.25">
      <c r="A81" s="1359"/>
      <c r="B81" s="1298"/>
      <c r="C81" s="1336"/>
      <c r="D81" s="1337"/>
      <c r="E81" s="1349"/>
      <c r="F81" s="1339"/>
      <c r="G81" s="1349"/>
      <c r="H81" s="1349"/>
      <c r="I81" s="1349"/>
      <c r="J81" s="1349"/>
      <c r="K81" s="1349"/>
      <c r="L81" s="1349"/>
      <c r="M81" s="1349"/>
      <c r="N81" s="1349"/>
      <c r="O81" s="1349"/>
      <c r="P81" s="1349"/>
      <c r="Q81" s="1349"/>
      <c r="R81" s="1349"/>
      <c r="S81" s="1349"/>
      <c r="T81" s="1349"/>
      <c r="U81" s="1349"/>
      <c r="V81" s="1349"/>
      <c r="W81" s="1279"/>
      <c r="X81" s="1350"/>
      <c r="Y81" s="1336"/>
      <c r="Z81" s="1298"/>
      <c r="AA81" s="1341"/>
      <c r="AB81" s="1337"/>
      <c r="AC81" s="1338"/>
      <c r="AD81" s="1336"/>
      <c r="AE81" s="1336"/>
      <c r="AF81" s="1336"/>
      <c r="AG81" s="1351"/>
      <c r="AH81" s="1343"/>
      <c r="AI81" s="1344"/>
      <c r="AJ81" s="1343"/>
      <c r="AK81" s="1298"/>
      <c r="AL81" s="1298"/>
      <c r="AM81" s="1298"/>
      <c r="AN81" s="1298"/>
      <c r="AO81" s="1345"/>
      <c r="AP81" s="1345"/>
      <c r="AQ81" s="1298"/>
      <c r="AR81" s="1298"/>
      <c r="AS81" s="1298"/>
      <c r="AT81" s="1298"/>
      <c r="AU81" s="1298"/>
      <c r="AV81" s="1298"/>
      <c r="AW81" s="1298"/>
      <c r="AX81" s="1298"/>
      <c r="AY81" s="1298"/>
    </row>
    <row r="82" spans="1:51" s="1335" customFormat="1" ht="15">
      <c r="A82" s="1347" t="s">
        <v>1731</v>
      </c>
      <c r="B82" s="1298"/>
      <c r="C82" s="1336"/>
      <c r="D82" s="1337"/>
      <c r="E82" s="1349"/>
      <c r="F82" s="1339"/>
      <c r="G82" s="1349"/>
      <c r="H82" s="1349"/>
      <c r="I82" s="1349"/>
      <c r="J82" s="1349"/>
      <c r="K82" s="1349"/>
      <c r="L82" s="1349"/>
      <c r="M82" s="1349"/>
      <c r="N82" s="1349"/>
      <c r="O82" s="1349"/>
      <c r="P82" s="1349"/>
      <c r="Q82" s="1349"/>
      <c r="R82" s="1349"/>
      <c r="S82" s="1349"/>
      <c r="T82" s="1349"/>
      <c r="U82" s="1349"/>
      <c r="V82" s="1349"/>
      <c r="W82" s="1279"/>
      <c r="X82" s="1350"/>
      <c r="Y82" s="1336"/>
      <c r="Z82" s="1298"/>
      <c r="AA82" s="1341"/>
      <c r="AB82" s="1337"/>
      <c r="AC82" s="1338"/>
      <c r="AD82" s="1336"/>
      <c r="AE82" s="1336"/>
      <c r="AF82" s="1336"/>
      <c r="AG82" s="1351"/>
      <c r="AH82" s="1343"/>
      <c r="AI82" s="1344"/>
      <c r="AJ82" s="1343"/>
      <c r="AK82" s="1298"/>
      <c r="AL82" s="1298"/>
      <c r="AM82" s="1298"/>
      <c r="AN82" s="1298"/>
      <c r="AO82" s="1345"/>
      <c r="AP82" s="1345"/>
      <c r="AQ82" s="1298"/>
      <c r="AR82" s="1298"/>
      <c r="AS82" s="1298"/>
      <c r="AT82" s="1298"/>
      <c r="AU82" s="1298"/>
      <c r="AV82" s="1298"/>
      <c r="AW82" s="1298"/>
      <c r="AX82" s="1298"/>
      <c r="AY82" s="1298"/>
    </row>
    <row r="83" spans="1:51" s="1335" customFormat="1" ht="14.25">
      <c r="A83" s="1359" t="s">
        <v>1830</v>
      </c>
      <c r="B83" s="1298"/>
      <c r="C83" s="1336">
        <v>0</v>
      </c>
      <c r="D83" s="1337"/>
      <c r="E83" s="1349">
        <f t="shared" ref="E83:E88" si="18">C83/C$123</f>
        <v>0</v>
      </c>
      <c r="F83" s="1339"/>
      <c r="G83" s="1349"/>
      <c r="H83" s="1349"/>
      <c r="I83" s="1349"/>
      <c r="J83" s="1349"/>
      <c r="K83" s="1349"/>
      <c r="L83" s="1349"/>
      <c r="M83" s="1349"/>
      <c r="N83" s="1349"/>
      <c r="O83" s="1349"/>
      <c r="P83" s="1349"/>
      <c r="Q83" s="1349"/>
      <c r="R83" s="1349"/>
      <c r="S83" s="1349"/>
      <c r="T83" s="1349"/>
      <c r="U83" s="1349"/>
      <c r="V83" s="1349"/>
      <c r="W83" s="1279">
        <f t="shared" ref="W83:W88" si="19">C83+L83+O83+Q83+S83</f>
        <v>0</v>
      </c>
      <c r="X83" s="1350">
        <f t="shared" ref="X83:X88" si="20">W83/W$123</f>
        <v>0</v>
      </c>
      <c r="Y83" s="1336"/>
      <c r="Z83" s="1298"/>
      <c r="AA83" s="1341"/>
      <c r="AB83" s="1337"/>
      <c r="AC83" s="1338"/>
      <c r="AD83" s="1336">
        <f>Options!O60</f>
        <v>40000</v>
      </c>
      <c r="AE83" s="1336"/>
      <c r="AF83" s="1336">
        <f t="shared" ref="AF83:AF88" si="21">AD83+W83</f>
        <v>40000</v>
      </c>
      <c r="AG83" s="1351">
        <f t="shared" ref="AG83:AG88" si="22">AF83/$AF$129</f>
        <v>5.3215694740484641E-4</v>
      </c>
      <c r="AH83" s="1343"/>
      <c r="AI83" s="1344"/>
      <c r="AJ83" s="1343"/>
      <c r="AK83" s="1298"/>
      <c r="AL83" s="1298"/>
      <c r="AM83" s="1298"/>
      <c r="AN83" s="1298"/>
      <c r="AO83" s="1345"/>
      <c r="AP83" s="1345"/>
      <c r="AQ83" s="1298"/>
      <c r="AR83" s="1298"/>
      <c r="AS83" s="1298"/>
      <c r="AT83" s="1298"/>
      <c r="AU83" s="1298"/>
      <c r="AV83" s="1298"/>
      <c r="AW83" s="1298"/>
      <c r="AX83" s="1298"/>
      <c r="AY83" s="1298"/>
    </row>
    <row r="84" spans="1:51" s="1335" customFormat="1" ht="14.25">
      <c r="A84" s="1359" t="s">
        <v>1831</v>
      </c>
      <c r="B84" s="1298"/>
      <c r="C84" s="1336">
        <f>'Common Stock'!J62</f>
        <v>40000</v>
      </c>
      <c r="D84" s="1337"/>
      <c r="E84" s="1349">
        <f t="shared" si="18"/>
        <v>2.449922662066365E-3</v>
      </c>
      <c r="F84" s="1339"/>
      <c r="G84" s="1349"/>
      <c r="H84" s="1349"/>
      <c r="I84" s="1349"/>
      <c r="J84" s="1349"/>
      <c r="K84" s="1349"/>
      <c r="L84" s="1349"/>
      <c r="M84" s="1349"/>
      <c r="N84" s="1349"/>
      <c r="O84" s="1349"/>
      <c r="P84" s="1349"/>
      <c r="Q84" s="1349"/>
      <c r="R84" s="1349"/>
      <c r="S84" s="1349"/>
      <c r="T84" s="1349"/>
      <c r="U84" s="1349"/>
      <c r="V84" s="1349"/>
      <c r="W84" s="1279">
        <f t="shared" si="19"/>
        <v>40000</v>
      </c>
      <c r="X84" s="1350">
        <f t="shared" si="20"/>
        <v>5.602080679989516E-4</v>
      </c>
      <c r="Y84" s="1336"/>
      <c r="Z84" s="1298"/>
      <c r="AA84" s="1341"/>
      <c r="AB84" s="1337"/>
      <c r="AC84" s="1338"/>
      <c r="AD84" s="1336">
        <f>Options!O61</f>
        <v>0</v>
      </c>
      <c r="AE84" s="1336"/>
      <c r="AF84" s="1336">
        <f t="shared" si="21"/>
        <v>40000</v>
      </c>
      <c r="AG84" s="1351">
        <f t="shared" si="22"/>
        <v>5.3215694740484641E-4</v>
      </c>
      <c r="AH84" s="1343"/>
      <c r="AI84" s="1344"/>
      <c r="AJ84" s="1343"/>
      <c r="AK84" s="1298"/>
      <c r="AL84" s="1298"/>
      <c r="AM84" s="1298"/>
      <c r="AN84" s="1298"/>
      <c r="AO84" s="1345"/>
      <c r="AP84" s="1345"/>
      <c r="AQ84" s="1298"/>
      <c r="AR84" s="1298"/>
      <c r="AS84" s="1298"/>
      <c r="AT84" s="1298"/>
      <c r="AU84" s="1298"/>
      <c r="AV84" s="1298"/>
      <c r="AW84" s="1298"/>
      <c r="AX84" s="1298"/>
      <c r="AY84" s="1298"/>
    </row>
    <row r="85" spans="1:51" s="1335" customFormat="1" ht="14.25">
      <c r="A85" s="1359" t="s">
        <v>1832</v>
      </c>
      <c r="B85" s="1298"/>
      <c r="C85" s="1336">
        <v>0</v>
      </c>
      <c r="D85" s="1337"/>
      <c r="E85" s="1349">
        <f t="shared" si="18"/>
        <v>0</v>
      </c>
      <c r="F85" s="1339"/>
      <c r="G85" s="1349"/>
      <c r="H85" s="1349"/>
      <c r="I85" s="1349"/>
      <c r="J85" s="1349"/>
      <c r="K85" s="1349"/>
      <c r="L85" s="1349"/>
      <c r="M85" s="1349"/>
      <c r="N85" s="1349"/>
      <c r="O85" s="1349"/>
      <c r="P85" s="1349"/>
      <c r="Q85" s="1349"/>
      <c r="R85" s="1349"/>
      <c r="S85" s="1349"/>
      <c r="T85" s="1349"/>
      <c r="U85" s="1349"/>
      <c r="V85" s="1349"/>
      <c r="W85" s="1279">
        <f t="shared" si="19"/>
        <v>0</v>
      </c>
      <c r="X85" s="1350">
        <f t="shared" si="20"/>
        <v>0</v>
      </c>
      <c r="Y85" s="1336"/>
      <c r="Z85" s="1298"/>
      <c r="AA85" s="1341"/>
      <c r="AB85" s="1337"/>
      <c r="AC85" s="1338"/>
      <c r="AD85" s="1336">
        <f>Options!O62</f>
        <v>40000</v>
      </c>
      <c r="AE85" s="1336"/>
      <c r="AF85" s="1336">
        <f t="shared" si="21"/>
        <v>40000</v>
      </c>
      <c r="AG85" s="1351">
        <f t="shared" si="22"/>
        <v>5.3215694740484641E-4</v>
      </c>
      <c r="AH85" s="1343"/>
      <c r="AI85" s="1344"/>
      <c r="AJ85" s="1343"/>
      <c r="AK85" s="1298"/>
      <c r="AL85" s="1298"/>
      <c r="AM85" s="1298"/>
      <c r="AN85" s="1298"/>
      <c r="AO85" s="1345"/>
      <c r="AP85" s="1345"/>
      <c r="AQ85" s="1298"/>
      <c r="AR85" s="1298"/>
      <c r="AS85" s="1298"/>
      <c r="AT85" s="1298"/>
      <c r="AU85" s="1298"/>
      <c r="AV85" s="1298"/>
      <c r="AW85" s="1298"/>
      <c r="AX85" s="1298"/>
      <c r="AY85" s="1298"/>
    </row>
    <row r="86" spans="1:51" s="1335" customFormat="1" ht="14.25">
      <c r="A86" s="1359" t="s">
        <v>1833</v>
      </c>
      <c r="B86" s="1298"/>
      <c r="C86" s="1336">
        <v>0</v>
      </c>
      <c r="D86" s="1337"/>
      <c r="E86" s="1349">
        <f t="shared" si="18"/>
        <v>0</v>
      </c>
      <c r="F86" s="1339"/>
      <c r="G86" s="1349"/>
      <c r="H86" s="1349"/>
      <c r="I86" s="1349"/>
      <c r="J86" s="1349"/>
      <c r="K86" s="1349"/>
      <c r="L86" s="1349"/>
      <c r="M86" s="1349"/>
      <c r="N86" s="1349"/>
      <c r="O86" s="1349"/>
      <c r="P86" s="1349"/>
      <c r="Q86" s="1349"/>
      <c r="R86" s="1349"/>
      <c r="S86" s="1349"/>
      <c r="T86" s="1349"/>
      <c r="U86" s="1349"/>
      <c r="V86" s="1349"/>
      <c r="W86" s="1279">
        <f t="shared" si="19"/>
        <v>0</v>
      </c>
      <c r="X86" s="1350">
        <f t="shared" si="20"/>
        <v>0</v>
      </c>
      <c r="Y86" s="1336"/>
      <c r="Z86" s="1298"/>
      <c r="AA86" s="1341"/>
      <c r="AB86" s="1337"/>
      <c r="AC86" s="1338"/>
      <c r="AD86" s="1336">
        <f>Options!O63</f>
        <v>40000</v>
      </c>
      <c r="AE86" s="1336"/>
      <c r="AF86" s="1336">
        <f t="shared" si="21"/>
        <v>40000</v>
      </c>
      <c r="AG86" s="1351">
        <f t="shared" si="22"/>
        <v>5.3215694740484641E-4</v>
      </c>
      <c r="AH86" s="1343"/>
      <c r="AI86" s="1344"/>
      <c r="AJ86" s="1343"/>
      <c r="AK86" s="1298"/>
      <c r="AL86" s="1298"/>
      <c r="AM86" s="1298"/>
      <c r="AN86" s="1298"/>
      <c r="AO86" s="1345"/>
      <c r="AP86" s="1345"/>
      <c r="AQ86" s="1298"/>
      <c r="AR86" s="1298"/>
      <c r="AS86" s="1298"/>
      <c r="AT86" s="1298"/>
      <c r="AU86" s="1298"/>
      <c r="AV86" s="1298"/>
      <c r="AW86" s="1298"/>
      <c r="AX86" s="1298"/>
      <c r="AY86" s="1298"/>
    </row>
    <row r="87" spans="1:51" s="1335" customFormat="1" ht="14.25">
      <c r="A87" s="1359" t="s">
        <v>1834</v>
      </c>
      <c r="B87" s="1298"/>
      <c r="C87" s="1336">
        <v>0</v>
      </c>
      <c r="D87" s="1337"/>
      <c r="E87" s="1349">
        <f t="shared" si="18"/>
        <v>0</v>
      </c>
      <c r="F87" s="1339"/>
      <c r="G87" s="1349"/>
      <c r="H87" s="1349"/>
      <c r="I87" s="1349"/>
      <c r="J87" s="1349"/>
      <c r="K87" s="1349"/>
      <c r="L87" s="1349"/>
      <c r="M87" s="1349"/>
      <c r="N87" s="1349"/>
      <c r="O87" s="1349"/>
      <c r="P87" s="1349"/>
      <c r="Q87" s="1349"/>
      <c r="R87" s="1349"/>
      <c r="S87" s="1349"/>
      <c r="T87" s="1349"/>
      <c r="U87" s="1349"/>
      <c r="V87" s="1349"/>
      <c r="W87" s="1279">
        <f t="shared" si="19"/>
        <v>0</v>
      </c>
      <c r="X87" s="1350">
        <f t="shared" si="20"/>
        <v>0</v>
      </c>
      <c r="Y87" s="1336"/>
      <c r="Z87" s="1298"/>
      <c r="AA87" s="1341"/>
      <c r="AB87" s="1337"/>
      <c r="AC87" s="1338"/>
      <c r="AD87" s="1336">
        <f>Options!O66</f>
        <v>40000</v>
      </c>
      <c r="AE87" s="1336"/>
      <c r="AF87" s="1336">
        <f t="shared" si="21"/>
        <v>40000</v>
      </c>
      <c r="AG87" s="1351">
        <f t="shared" si="22"/>
        <v>5.3215694740484641E-4</v>
      </c>
      <c r="AH87" s="1343"/>
      <c r="AI87" s="1344"/>
      <c r="AJ87" s="1343"/>
      <c r="AK87" s="1298"/>
      <c r="AL87" s="1298"/>
      <c r="AM87" s="1298"/>
      <c r="AN87" s="1298"/>
      <c r="AO87" s="1345"/>
      <c r="AP87" s="1345"/>
      <c r="AQ87" s="1298"/>
      <c r="AR87" s="1298"/>
      <c r="AS87" s="1298"/>
      <c r="AT87" s="1298"/>
      <c r="AU87" s="1298"/>
      <c r="AV87" s="1298"/>
      <c r="AW87" s="1298"/>
      <c r="AX87" s="1298"/>
      <c r="AY87" s="1298"/>
    </row>
    <row r="88" spans="1:51" s="1335" customFormat="1" ht="14.25">
      <c r="A88" s="1359" t="s">
        <v>1835</v>
      </c>
      <c r="B88" s="1298"/>
      <c r="C88" s="1336">
        <v>0</v>
      </c>
      <c r="D88" s="1337"/>
      <c r="E88" s="1349">
        <f t="shared" si="18"/>
        <v>0</v>
      </c>
      <c r="F88" s="1339"/>
      <c r="G88" s="1349"/>
      <c r="H88" s="1349"/>
      <c r="I88" s="1349"/>
      <c r="J88" s="1349"/>
      <c r="K88" s="1349"/>
      <c r="L88" s="1349"/>
      <c r="M88" s="1349"/>
      <c r="N88" s="1349"/>
      <c r="O88" s="1349"/>
      <c r="P88" s="1349"/>
      <c r="Q88" s="1349"/>
      <c r="R88" s="1349"/>
      <c r="S88" s="1349"/>
      <c r="T88" s="1349"/>
      <c r="U88" s="1349"/>
      <c r="V88" s="1349"/>
      <c r="W88" s="1279">
        <f t="shared" si="19"/>
        <v>0</v>
      </c>
      <c r="X88" s="1350">
        <f t="shared" si="20"/>
        <v>0</v>
      </c>
      <c r="Y88" s="1336"/>
      <c r="Z88" s="1298"/>
      <c r="AA88" s="1341"/>
      <c r="AB88" s="1337"/>
      <c r="AC88" s="1338"/>
      <c r="AD88" s="1336">
        <f>Options!O67</f>
        <v>40000</v>
      </c>
      <c r="AE88" s="1336"/>
      <c r="AF88" s="1336">
        <f t="shared" si="21"/>
        <v>40000</v>
      </c>
      <c r="AG88" s="1351">
        <f t="shared" si="22"/>
        <v>5.3215694740484641E-4</v>
      </c>
      <c r="AH88" s="1343"/>
      <c r="AI88" s="1344"/>
      <c r="AJ88" s="1343"/>
      <c r="AK88" s="1298"/>
      <c r="AL88" s="1298"/>
      <c r="AM88" s="1298"/>
      <c r="AN88" s="1298"/>
      <c r="AO88" s="1345"/>
      <c r="AP88" s="1345"/>
      <c r="AQ88" s="1298"/>
      <c r="AR88" s="1298"/>
      <c r="AS88" s="1298"/>
      <c r="AT88" s="1298"/>
      <c r="AU88" s="1298"/>
      <c r="AV88" s="1298"/>
      <c r="AW88" s="1298"/>
      <c r="AX88" s="1298"/>
      <c r="AY88" s="1298"/>
    </row>
    <row r="89" spans="1:51" s="1335" customFormat="1" ht="14.25">
      <c r="A89" s="1352"/>
      <c r="B89" s="1298"/>
      <c r="C89" s="1336"/>
      <c r="D89" s="1337"/>
      <c r="E89" s="1349"/>
      <c r="F89" s="1339"/>
      <c r="G89" s="1349"/>
      <c r="H89" s="1349"/>
      <c r="I89" s="1349"/>
      <c r="J89" s="1349"/>
      <c r="K89" s="1349"/>
      <c r="L89" s="1349"/>
      <c r="M89" s="1349"/>
      <c r="N89" s="1349"/>
      <c r="O89" s="1349"/>
      <c r="P89" s="1349"/>
      <c r="Q89" s="1349"/>
      <c r="R89" s="1349"/>
      <c r="S89" s="1349"/>
      <c r="T89" s="1349"/>
      <c r="U89" s="1349"/>
      <c r="V89" s="1349"/>
      <c r="W89" s="1279"/>
      <c r="X89" s="1350"/>
      <c r="Y89" s="1336"/>
      <c r="Z89" s="1298"/>
      <c r="AA89" s="1341"/>
      <c r="AB89" s="1337"/>
      <c r="AC89" s="1338"/>
      <c r="AD89" s="1336"/>
      <c r="AE89" s="1336"/>
      <c r="AF89" s="1336"/>
      <c r="AG89" s="1351"/>
      <c r="AH89" s="1343"/>
      <c r="AI89" s="1344"/>
      <c r="AJ89" s="1343"/>
      <c r="AK89" s="1298"/>
      <c r="AL89" s="1298"/>
      <c r="AM89" s="1298"/>
      <c r="AN89" s="1298"/>
      <c r="AO89" s="1345"/>
      <c r="AP89" s="1345"/>
      <c r="AQ89" s="1298"/>
      <c r="AR89" s="1298"/>
      <c r="AS89" s="1298"/>
      <c r="AT89" s="1298"/>
      <c r="AU89" s="1298"/>
      <c r="AV89" s="1298"/>
      <c r="AW89" s="1298"/>
      <c r="AX89" s="1298"/>
      <c r="AY89" s="1298"/>
    </row>
    <row r="90" spans="1:51" s="1335" customFormat="1" ht="15">
      <c r="A90" s="1347" t="s">
        <v>1732</v>
      </c>
      <c r="B90" s="1298"/>
      <c r="C90" s="1336"/>
      <c r="D90" s="1337"/>
      <c r="E90" s="1349"/>
      <c r="F90" s="1339"/>
      <c r="G90" s="1349"/>
      <c r="H90" s="1349"/>
      <c r="I90" s="1349"/>
      <c r="J90" s="1349"/>
      <c r="K90" s="1349"/>
      <c r="L90" s="1349"/>
      <c r="M90" s="1349"/>
      <c r="N90" s="1349"/>
      <c r="O90" s="1349"/>
      <c r="P90" s="1349"/>
      <c r="Q90" s="1349"/>
      <c r="R90" s="1349"/>
      <c r="S90" s="1349"/>
      <c r="T90" s="1349"/>
      <c r="U90" s="1349"/>
      <c r="V90" s="1349"/>
      <c r="W90" s="1279"/>
      <c r="X90" s="1350"/>
      <c r="Y90" s="1336"/>
      <c r="Z90" s="1298"/>
      <c r="AA90" s="1341"/>
      <c r="AB90" s="1337"/>
      <c r="AC90" s="1338"/>
      <c r="AD90" s="1336"/>
      <c r="AE90" s="1336"/>
      <c r="AF90" s="1336"/>
      <c r="AG90" s="1351"/>
      <c r="AH90" s="1343"/>
      <c r="AI90" s="1344"/>
      <c r="AJ90" s="1343"/>
      <c r="AK90" s="1298"/>
      <c r="AL90" s="1298"/>
      <c r="AM90" s="1298"/>
      <c r="AN90" s="1298"/>
      <c r="AO90" s="1345"/>
      <c r="AP90" s="1345"/>
      <c r="AQ90" s="1298"/>
      <c r="AR90" s="1298"/>
      <c r="AS90" s="1298"/>
      <c r="AT90" s="1298"/>
      <c r="AU90" s="1298"/>
      <c r="AV90" s="1298"/>
      <c r="AW90" s="1298"/>
      <c r="AX90" s="1298"/>
      <c r="AY90" s="1298"/>
    </row>
    <row r="91" spans="1:51" s="1335" customFormat="1" ht="14.25">
      <c r="A91" s="1353" t="s">
        <v>1836</v>
      </c>
      <c r="B91" s="1298"/>
      <c r="C91" s="1336">
        <v>0</v>
      </c>
      <c r="D91" s="1337"/>
      <c r="E91" s="1349">
        <f>C91/C$123</f>
        <v>0</v>
      </c>
      <c r="F91" s="1339"/>
      <c r="G91" s="1349"/>
      <c r="H91" s="1349"/>
      <c r="I91" s="1349"/>
      <c r="J91" s="1349"/>
      <c r="K91" s="1349"/>
      <c r="L91" s="1349"/>
      <c r="M91" s="1349"/>
      <c r="N91" s="1349"/>
      <c r="O91" s="1349"/>
      <c r="P91" s="1349"/>
      <c r="Q91" s="1349"/>
      <c r="R91" s="1349"/>
      <c r="S91" s="1349"/>
      <c r="T91" s="1349"/>
      <c r="U91" s="1349"/>
      <c r="V91" s="1349"/>
      <c r="W91" s="1279">
        <f>C91+L91+O91+Q91+S91</f>
        <v>0</v>
      </c>
      <c r="X91" s="1350">
        <f>W91/W$123</f>
        <v>0</v>
      </c>
      <c r="Y91" s="1279"/>
      <c r="Z91" s="1298"/>
      <c r="AA91" s="1355"/>
      <c r="AB91" s="1356"/>
      <c r="AC91" s="1351"/>
      <c r="AD91" s="1336">
        <f>Options!O65</f>
        <v>30000</v>
      </c>
      <c r="AE91" s="1279"/>
      <c r="AF91" s="1336">
        <f>AD91+W91</f>
        <v>30000</v>
      </c>
      <c r="AG91" s="1351">
        <f>AF91/$AF$129</f>
        <v>3.9911771055363475E-4</v>
      </c>
      <c r="AH91" s="1355"/>
      <c r="AI91" s="1357"/>
      <c r="AJ91" s="1351"/>
      <c r="AK91" s="1298"/>
      <c r="AL91" s="1298"/>
      <c r="AM91" s="1298"/>
      <c r="AN91" s="1298"/>
      <c r="AO91" s="1356"/>
      <c r="AP91" s="1358"/>
      <c r="AQ91" s="1298"/>
      <c r="AR91" s="1298"/>
      <c r="AS91" s="1298"/>
      <c r="AT91" s="1298"/>
      <c r="AU91" s="1298"/>
      <c r="AV91" s="1298"/>
      <c r="AW91" s="1298"/>
      <c r="AX91" s="1298"/>
      <c r="AY91" s="1298"/>
    </row>
    <row r="92" spans="1:51" s="1335" customFormat="1" ht="14.25">
      <c r="A92" s="1353" t="s">
        <v>1837</v>
      </c>
      <c r="B92" s="1298"/>
      <c r="C92" s="1336">
        <f>'Common Stock'!C99</f>
        <v>20000</v>
      </c>
      <c r="D92" s="1337"/>
      <c r="E92" s="1349">
        <f>C92/C$123</f>
        <v>1.2249613310331825E-3</v>
      </c>
      <c r="F92" s="1339"/>
      <c r="G92" s="1349"/>
      <c r="H92" s="1349"/>
      <c r="I92" s="1349"/>
      <c r="J92" s="1349"/>
      <c r="K92" s="1349"/>
      <c r="L92" s="1349"/>
      <c r="M92" s="1349"/>
      <c r="N92" s="1349"/>
      <c r="O92" s="1349"/>
      <c r="P92" s="1349"/>
      <c r="Q92" s="1349"/>
      <c r="R92" s="1349"/>
      <c r="S92" s="1349"/>
      <c r="T92" s="1349"/>
      <c r="U92" s="1349"/>
      <c r="V92" s="1349"/>
      <c r="W92" s="1279">
        <f>C92+L92+O92+Q92+S92</f>
        <v>20000</v>
      </c>
      <c r="X92" s="1350">
        <f>W92/W$123</f>
        <v>2.801040339994758E-4</v>
      </c>
      <c r="Y92" s="1279"/>
      <c r="Z92" s="1298"/>
      <c r="AA92" s="1355"/>
      <c r="AB92" s="1356"/>
      <c r="AC92" s="1351"/>
      <c r="AD92" s="1336">
        <f>Options!O68</f>
        <v>0</v>
      </c>
      <c r="AE92" s="1279"/>
      <c r="AF92" s="1336">
        <f>AD92+W92</f>
        <v>20000</v>
      </c>
      <c r="AG92" s="1351">
        <f>AF92/$AF$129</f>
        <v>2.660784737024232E-4</v>
      </c>
      <c r="AH92" s="1355"/>
      <c r="AI92" s="1357"/>
      <c r="AJ92" s="1351"/>
      <c r="AK92" s="1298"/>
      <c r="AL92" s="1298"/>
      <c r="AM92" s="1298"/>
      <c r="AN92" s="1298"/>
      <c r="AO92" s="1356"/>
      <c r="AP92" s="1358"/>
      <c r="AQ92" s="1298"/>
      <c r="AR92" s="1298"/>
      <c r="AS92" s="1298"/>
      <c r="AT92" s="1298"/>
      <c r="AU92" s="1298"/>
      <c r="AV92" s="1298"/>
      <c r="AW92" s="1298"/>
      <c r="AX92" s="1298"/>
      <c r="AY92" s="1298"/>
    </row>
    <row r="93" spans="1:51" s="1335" customFormat="1" ht="14.25">
      <c r="A93" s="1353" t="s">
        <v>1838</v>
      </c>
      <c r="B93" s="1298"/>
      <c r="C93" s="1336">
        <f>'Common Stock'!C88</f>
        <v>30000</v>
      </c>
      <c r="D93" s="1337"/>
      <c r="E93" s="1349">
        <f>C93/C$123</f>
        <v>1.8374419965497739E-3</v>
      </c>
      <c r="F93" s="1339"/>
      <c r="G93" s="1349"/>
      <c r="H93" s="1349"/>
      <c r="I93" s="1349"/>
      <c r="J93" s="1349"/>
      <c r="K93" s="1349"/>
      <c r="L93" s="1349"/>
      <c r="M93" s="1349"/>
      <c r="N93" s="1349"/>
      <c r="O93" s="1349"/>
      <c r="P93" s="1349"/>
      <c r="Q93" s="1349"/>
      <c r="R93" s="1349"/>
      <c r="S93" s="1349"/>
      <c r="T93" s="1349"/>
      <c r="U93" s="1349"/>
      <c r="V93" s="1349"/>
      <c r="W93" s="1279">
        <f>C93+L93+O93+Q93+S93</f>
        <v>30000</v>
      </c>
      <c r="X93" s="1350">
        <f>W93/W$123</f>
        <v>4.2015605099921373E-4</v>
      </c>
      <c r="Y93" s="1279"/>
      <c r="Z93" s="1298"/>
      <c r="AA93" s="1355"/>
      <c r="AB93" s="1356"/>
      <c r="AC93" s="1351"/>
      <c r="AD93" s="1336">
        <f>Options!O69</f>
        <v>0</v>
      </c>
      <c r="AE93" s="1279"/>
      <c r="AF93" s="1336">
        <f>AD93+W93</f>
        <v>30000</v>
      </c>
      <c r="AG93" s="1351">
        <f>AF93/$AF$129</f>
        <v>3.9911771055363475E-4</v>
      </c>
      <c r="AH93" s="1355"/>
      <c r="AI93" s="1357"/>
      <c r="AJ93" s="1351"/>
      <c r="AK93" s="1298"/>
      <c r="AL93" s="1298"/>
      <c r="AM93" s="1298"/>
      <c r="AN93" s="1298"/>
      <c r="AO93" s="1356"/>
      <c r="AP93" s="1358"/>
      <c r="AQ93" s="1298"/>
      <c r="AR93" s="1298"/>
      <c r="AS93" s="1298"/>
      <c r="AT93" s="1298"/>
      <c r="AU93" s="1298"/>
      <c r="AV93" s="1298"/>
      <c r="AW93" s="1298"/>
      <c r="AX93" s="1298"/>
      <c r="AY93" s="1298"/>
    </row>
    <row r="94" spans="1:51" s="1335" customFormat="1" ht="14.25">
      <c r="A94" s="1353" t="s">
        <v>1839</v>
      </c>
      <c r="B94" s="1298"/>
      <c r="C94" s="1336">
        <v>0</v>
      </c>
      <c r="D94" s="1337"/>
      <c r="E94" s="1349">
        <f>C94/C$123</f>
        <v>0</v>
      </c>
      <c r="F94" s="1339"/>
      <c r="G94" s="1349"/>
      <c r="H94" s="1349"/>
      <c r="I94" s="1349"/>
      <c r="J94" s="1349"/>
      <c r="K94" s="1349"/>
      <c r="L94" s="1349"/>
      <c r="M94" s="1349"/>
      <c r="N94" s="1349"/>
      <c r="O94" s="1349"/>
      <c r="P94" s="1349"/>
      <c r="Q94" s="1349"/>
      <c r="R94" s="1349"/>
      <c r="S94" s="1349"/>
      <c r="T94" s="1349"/>
      <c r="U94" s="1349"/>
      <c r="V94" s="1349"/>
      <c r="W94" s="1279">
        <f>C94+L94+O94+Q94+S94</f>
        <v>0</v>
      </c>
      <c r="X94" s="1350">
        <f>W94/W$123</f>
        <v>0</v>
      </c>
      <c r="Y94" s="1279"/>
      <c r="Z94" s="1298"/>
      <c r="AA94" s="1355"/>
      <c r="AB94" s="1356"/>
      <c r="AC94" s="1351"/>
      <c r="AD94" s="1336">
        <f>Options!C70</f>
        <v>20000</v>
      </c>
      <c r="AE94" s="1279"/>
      <c r="AF94" s="1336">
        <f>AD94+W94</f>
        <v>20000</v>
      </c>
      <c r="AG94" s="1351">
        <f>AF94/$AF$129</f>
        <v>2.660784737024232E-4</v>
      </c>
      <c r="AH94" s="1355"/>
      <c r="AI94" s="1357"/>
      <c r="AJ94" s="1351"/>
      <c r="AK94" s="1298"/>
      <c r="AL94" s="1298"/>
      <c r="AM94" s="1298"/>
      <c r="AN94" s="1298"/>
      <c r="AO94" s="1356"/>
      <c r="AP94" s="1358"/>
      <c r="AQ94" s="1298"/>
      <c r="AR94" s="1298"/>
      <c r="AS94" s="1298"/>
      <c r="AT94" s="1298"/>
      <c r="AU94" s="1298"/>
      <c r="AV94" s="1298"/>
      <c r="AW94" s="1298"/>
      <c r="AX94" s="1298"/>
      <c r="AY94" s="1298"/>
    </row>
    <row r="95" spans="1:51" s="1335" customFormat="1" ht="14.25">
      <c r="A95" s="1353" t="s">
        <v>1840</v>
      </c>
      <c r="B95" s="1298"/>
      <c r="C95" s="1336">
        <f>Options!J71</f>
        <v>0</v>
      </c>
      <c r="D95" s="1337"/>
      <c r="E95" s="1349">
        <f>C95/C$123</f>
        <v>0</v>
      </c>
      <c r="F95" s="1339"/>
      <c r="G95" s="1349"/>
      <c r="H95" s="1349"/>
      <c r="I95" s="1349"/>
      <c r="J95" s="1349"/>
      <c r="K95" s="1349"/>
      <c r="L95" s="1349"/>
      <c r="M95" s="1349"/>
      <c r="N95" s="1349"/>
      <c r="O95" s="1349"/>
      <c r="P95" s="1349"/>
      <c r="Q95" s="1349"/>
      <c r="R95" s="1349"/>
      <c r="S95" s="1349"/>
      <c r="T95" s="1349"/>
      <c r="U95" s="1349"/>
      <c r="V95" s="1349"/>
      <c r="W95" s="1279">
        <f>C95+L95+O95+Q95+S95</f>
        <v>0</v>
      </c>
      <c r="X95" s="1350">
        <f>W95/W$123</f>
        <v>0</v>
      </c>
      <c r="Y95" s="1279"/>
      <c r="Z95" s="1298"/>
      <c r="AA95" s="1355"/>
      <c r="AB95" s="1356"/>
      <c r="AC95" s="1351"/>
      <c r="AD95" s="1336">
        <f>Options!O71</f>
        <v>20000</v>
      </c>
      <c r="AE95" s="1279"/>
      <c r="AF95" s="1336">
        <f>AD95+W95</f>
        <v>20000</v>
      </c>
      <c r="AG95" s="1351">
        <f>AF95/$AF$129</f>
        <v>2.660784737024232E-4</v>
      </c>
      <c r="AH95" s="1355"/>
      <c r="AI95" s="1357"/>
      <c r="AJ95" s="1351"/>
      <c r="AK95" s="1298"/>
      <c r="AL95" s="1298"/>
      <c r="AM95" s="1298"/>
      <c r="AN95" s="1298"/>
      <c r="AO95" s="1356"/>
      <c r="AP95" s="1358"/>
      <c r="AQ95" s="1298"/>
      <c r="AR95" s="1298"/>
      <c r="AS95" s="1298"/>
      <c r="AT95" s="1298"/>
      <c r="AU95" s="1298"/>
      <c r="AV95" s="1298"/>
      <c r="AW95" s="1298"/>
      <c r="AX95" s="1298"/>
      <c r="AY95" s="1298"/>
    </row>
    <row r="96" spans="1:51" s="1335" customFormat="1" ht="14.25">
      <c r="A96" s="1352"/>
      <c r="B96" s="1298"/>
      <c r="C96" s="1336"/>
      <c r="D96" s="1337"/>
      <c r="E96" s="1349"/>
      <c r="F96" s="1339"/>
      <c r="G96" s="1349"/>
      <c r="H96" s="1349"/>
      <c r="I96" s="1349"/>
      <c r="J96" s="1349"/>
      <c r="K96" s="1349"/>
      <c r="L96" s="1349"/>
      <c r="M96" s="1349"/>
      <c r="N96" s="1349"/>
      <c r="P96" s="1349"/>
      <c r="R96" s="1349"/>
      <c r="T96" s="1349"/>
      <c r="U96" s="1349"/>
      <c r="V96" s="1349"/>
      <c r="W96" s="1279"/>
      <c r="X96" s="1350"/>
      <c r="Y96" s="1336"/>
      <c r="Z96" s="1298"/>
      <c r="AA96" s="1341"/>
      <c r="AB96" s="1337"/>
      <c r="AC96" s="1338"/>
      <c r="AD96" s="1336"/>
      <c r="AE96" s="1336"/>
      <c r="AF96" s="1336"/>
      <c r="AG96" s="1351"/>
      <c r="AH96" s="1343"/>
      <c r="AI96" s="1344"/>
      <c r="AJ96" s="1343"/>
      <c r="AK96" s="1298"/>
      <c r="AL96" s="1298"/>
      <c r="AM96" s="1298"/>
      <c r="AN96" s="1298"/>
      <c r="AO96" s="1345"/>
      <c r="AP96" s="1345"/>
      <c r="AQ96" s="1298"/>
      <c r="AR96" s="1298"/>
      <c r="AS96" s="1298"/>
      <c r="AT96" s="1298"/>
      <c r="AU96" s="1298"/>
      <c r="AV96" s="1298"/>
      <c r="AW96" s="1298"/>
      <c r="AX96" s="1298"/>
      <c r="AY96" s="1298"/>
    </row>
    <row r="97" spans="1:51" s="1335" customFormat="1" ht="15">
      <c r="A97" s="1347" t="s">
        <v>1735</v>
      </c>
      <c r="B97" s="1298"/>
      <c r="C97" s="1336"/>
      <c r="D97" s="1337"/>
      <c r="E97" s="1349"/>
      <c r="F97" s="1339"/>
      <c r="G97" s="1349"/>
      <c r="H97" s="1349"/>
      <c r="I97" s="1349"/>
      <c r="J97" s="1349"/>
      <c r="K97" s="1349"/>
      <c r="L97" s="1349"/>
      <c r="M97" s="1349"/>
      <c r="N97" s="1349"/>
      <c r="O97" s="1349"/>
      <c r="P97" s="1349"/>
      <c r="Q97" s="1349"/>
      <c r="R97" s="1349"/>
      <c r="S97" s="1349"/>
      <c r="T97" s="1349"/>
      <c r="U97" s="1349"/>
      <c r="V97" s="1349"/>
      <c r="W97" s="1279"/>
      <c r="X97" s="1350"/>
      <c r="Y97" s="1336"/>
      <c r="Z97" s="1298"/>
      <c r="AA97" s="1341"/>
      <c r="AB97" s="1337"/>
      <c r="AC97" s="1338"/>
      <c r="AD97" s="1336"/>
      <c r="AE97" s="1336"/>
      <c r="AF97" s="1336"/>
      <c r="AG97" s="1351"/>
      <c r="AH97" s="1343"/>
      <c r="AI97" s="1344"/>
      <c r="AJ97" s="1343"/>
      <c r="AK97" s="1298"/>
      <c r="AL97" s="1298"/>
      <c r="AM97" s="1298"/>
      <c r="AN97" s="1298"/>
      <c r="AO97" s="1345"/>
      <c r="AP97" s="1345"/>
      <c r="AQ97" s="1298"/>
      <c r="AR97" s="1298"/>
      <c r="AS97" s="1298"/>
      <c r="AT97" s="1298"/>
      <c r="AU97" s="1298"/>
      <c r="AV97" s="1298"/>
      <c r="AW97" s="1298"/>
      <c r="AX97" s="1298"/>
      <c r="AY97" s="1298"/>
    </row>
    <row r="98" spans="1:51" s="1335" customFormat="1" ht="14.25">
      <c r="A98" s="1352" t="s">
        <v>1841</v>
      </c>
      <c r="B98" s="1298"/>
      <c r="C98" s="1336">
        <f>'Common Stock'!J34</f>
        <v>322200</v>
      </c>
      <c r="D98" s="1337"/>
      <c r="E98" s="1349">
        <f>C98/C$123</f>
        <v>1.9734127042944572E-2</v>
      </c>
      <c r="F98" s="1339"/>
      <c r="G98" s="1349"/>
      <c r="H98" s="1349"/>
      <c r="I98" s="1349"/>
      <c r="J98" s="1349"/>
      <c r="K98" s="1349"/>
      <c r="L98" s="1349"/>
      <c r="M98" s="1349"/>
      <c r="N98" s="1349"/>
      <c r="O98" s="1349"/>
      <c r="P98" s="1349"/>
      <c r="Q98" s="1349"/>
      <c r="R98" s="1349"/>
      <c r="S98" s="1349"/>
      <c r="T98" s="1349"/>
      <c r="U98" s="1349"/>
      <c r="V98" s="1349"/>
      <c r="W98" s="1279">
        <f>C98+L98+O98+Q98+S98</f>
        <v>322200</v>
      </c>
      <c r="X98" s="1350">
        <f>W98/W$123</f>
        <v>4.5124759877315556E-3</v>
      </c>
      <c r="Y98" s="1336"/>
      <c r="Z98" s="1298"/>
      <c r="AA98" s="1341"/>
      <c r="AB98" s="1337"/>
      <c r="AC98" s="1338"/>
      <c r="AD98" s="1336"/>
      <c r="AE98" s="1336"/>
      <c r="AF98" s="1336">
        <f>AD98+W98</f>
        <v>322200</v>
      </c>
      <c r="AG98" s="1351">
        <f>AF98/$AF$129</f>
        <v>4.2865242113460378E-3</v>
      </c>
      <c r="AH98" s="1343"/>
      <c r="AI98" s="1344"/>
      <c r="AJ98" s="1343"/>
      <c r="AK98" s="1298"/>
      <c r="AL98" s="1298"/>
      <c r="AM98" s="1298"/>
      <c r="AN98" s="1298"/>
      <c r="AO98" s="1345"/>
      <c r="AP98" s="1345"/>
      <c r="AQ98" s="1298"/>
      <c r="AR98" s="1298"/>
      <c r="AS98" s="1298"/>
      <c r="AT98" s="1298"/>
      <c r="AU98" s="1298"/>
      <c r="AV98" s="1298"/>
      <c r="AW98" s="1298"/>
      <c r="AX98" s="1298"/>
      <c r="AY98" s="1298"/>
    </row>
    <row r="100" spans="1:51" ht="13.5">
      <c r="A100" s="1276" t="s">
        <v>1728</v>
      </c>
    </row>
    <row r="101" spans="1:51" s="1335" customFormat="1" ht="14.25">
      <c r="A101" s="1353" t="s">
        <v>1842</v>
      </c>
      <c r="B101" s="1298"/>
      <c r="C101" s="1336">
        <f>'Common Stock'!J49</f>
        <v>50000</v>
      </c>
      <c r="D101" s="1354"/>
      <c r="E101" s="1349">
        <f t="shared" ref="E101:E120" si="23">C101/C$123</f>
        <v>3.0624033275829564E-3</v>
      </c>
      <c r="F101" s="1339">
        <f>'Series A '!D29</f>
        <v>13678</v>
      </c>
      <c r="G101" s="1349">
        <f>F101/F$123</f>
        <v>1.135103734439834E-3</v>
      </c>
      <c r="H101" s="1339">
        <f>'Series A '!D33</f>
        <v>18161</v>
      </c>
      <c r="I101" s="1349">
        <f>H101/H$123</f>
        <v>1.1350625E-3</v>
      </c>
      <c r="J101" s="1339">
        <f>'Series A '!D37</f>
        <v>18161</v>
      </c>
      <c r="K101" s="1349">
        <f>J101/J$123</f>
        <v>1.1350625E-3</v>
      </c>
      <c r="L101" s="1339">
        <f>F101+H101+J101</f>
        <v>50000</v>
      </c>
      <c r="M101" s="1349">
        <f>L101/L$123</f>
        <v>1.1350737797956867E-3</v>
      </c>
      <c r="N101" s="1349"/>
      <c r="O101" s="1339">
        <f>'Series B'!D18</f>
        <v>8333</v>
      </c>
      <c r="P101" s="1349">
        <f>O101/O$123</f>
        <v>7.5582793862238136E-4</v>
      </c>
      <c r="Q101" s="1339"/>
      <c r="R101" s="1349" t="s">
        <v>1730</v>
      </c>
      <c r="S101" s="1339"/>
      <c r="T101" s="1349" t="s">
        <v>1730</v>
      </c>
      <c r="U101" s="1339">
        <f>O101+Q101+S101</f>
        <v>8333</v>
      </c>
      <c r="V101" s="1349">
        <f>U101/U$123</f>
        <v>7.5582793862238136E-4</v>
      </c>
      <c r="W101" s="1279">
        <f t="shared" ref="W101:W120" si="24">C101+L101+O101+Q101+S101</f>
        <v>108333</v>
      </c>
      <c r="X101" s="1350">
        <f t="shared" ref="X101:X120" si="25">W101/W$123</f>
        <v>1.5172255157632607E-3</v>
      </c>
      <c r="Y101" s="1279"/>
      <c r="Z101" s="1298"/>
      <c r="AA101" s="1355"/>
      <c r="AB101" s="1356"/>
      <c r="AC101" s="1351"/>
      <c r="AD101" s="1279"/>
      <c r="AE101" s="1279"/>
      <c r="AF101" s="1336">
        <f t="shared" ref="AF101:AF111" si="26">AD101+W101</f>
        <v>108333</v>
      </c>
      <c r="AG101" s="1351">
        <f t="shared" ref="AG101:AG120" si="27">AF101/$AF$129</f>
        <v>1.4412539645802306E-3</v>
      </c>
      <c r="AH101" s="1355"/>
      <c r="AI101" s="1357"/>
      <c r="AJ101" s="1351"/>
      <c r="AK101" s="1298"/>
      <c r="AL101" s="1298"/>
      <c r="AM101" s="1298"/>
      <c r="AN101" s="1298"/>
      <c r="AO101" s="1356"/>
      <c r="AP101" s="1358"/>
      <c r="AQ101" s="1298"/>
      <c r="AR101" s="1298"/>
      <c r="AS101" s="1298"/>
      <c r="AT101" s="1298"/>
      <c r="AU101" s="1298"/>
      <c r="AV101" s="1298"/>
      <c r="AW101" s="1298"/>
      <c r="AX101" s="1298"/>
      <c r="AY101" s="1298"/>
    </row>
    <row r="102" spans="1:51" s="1335" customFormat="1" ht="14.25">
      <c r="A102" s="1353" t="s">
        <v>1843</v>
      </c>
      <c r="B102" s="1298"/>
      <c r="C102" s="1336">
        <f>'Common Stock'!J31</f>
        <v>100000</v>
      </c>
      <c r="D102" s="1354"/>
      <c r="E102" s="1349">
        <f t="shared" si="23"/>
        <v>6.1248066551659128E-3</v>
      </c>
      <c r="F102" s="1339"/>
      <c r="G102" s="1349"/>
      <c r="H102" s="1349"/>
      <c r="I102" s="1349"/>
      <c r="J102" s="1349"/>
      <c r="K102" s="1349"/>
      <c r="L102" s="1349"/>
      <c r="M102" s="1349"/>
      <c r="N102" s="1349"/>
      <c r="O102" s="1349"/>
      <c r="P102" s="1349"/>
      <c r="Q102" s="1349"/>
      <c r="R102" s="1349"/>
      <c r="S102" s="1349"/>
      <c r="T102" s="1349"/>
      <c r="U102" s="1349"/>
      <c r="V102" s="1349"/>
      <c r="W102" s="1279">
        <f t="shared" si="24"/>
        <v>100000</v>
      </c>
      <c r="X102" s="1350">
        <f t="shared" si="25"/>
        <v>1.4005201699973792E-3</v>
      </c>
      <c r="Y102" s="1279"/>
      <c r="Z102" s="1298"/>
      <c r="AA102" s="1355"/>
      <c r="AB102" s="1356"/>
      <c r="AC102" s="1351"/>
      <c r="AD102" s="1279">
        <v>0</v>
      </c>
      <c r="AE102" s="1279"/>
      <c r="AF102" s="1336">
        <f t="shared" si="26"/>
        <v>100000</v>
      </c>
      <c r="AG102" s="1351">
        <f t="shared" si="27"/>
        <v>1.3303923685121159E-3</v>
      </c>
      <c r="AH102" s="1355"/>
      <c r="AI102" s="1357"/>
      <c r="AJ102" s="1351"/>
      <c r="AK102" s="1298"/>
      <c r="AL102" s="1298"/>
      <c r="AM102" s="1298"/>
      <c r="AN102" s="1298"/>
      <c r="AO102" s="1356"/>
      <c r="AP102" s="1358"/>
      <c r="AQ102" s="1298"/>
      <c r="AR102" s="1298"/>
      <c r="AS102" s="1298"/>
      <c r="AT102" s="1298"/>
      <c r="AU102" s="1298"/>
      <c r="AV102" s="1298"/>
      <c r="AW102" s="1298"/>
      <c r="AX102" s="1298"/>
      <c r="AY102" s="1298"/>
    </row>
    <row r="103" spans="1:51" s="1335" customFormat="1" ht="14.25">
      <c r="A103" s="1353" t="s">
        <v>1844</v>
      </c>
      <c r="B103" s="1298"/>
      <c r="C103" s="1336">
        <f>'Common Stock'!J37</f>
        <v>50000</v>
      </c>
      <c r="D103" s="1354"/>
      <c r="E103" s="1349">
        <f t="shared" si="23"/>
        <v>3.0624033275829564E-3</v>
      </c>
      <c r="F103" s="1339"/>
      <c r="G103" s="1349"/>
      <c r="H103" s="1349"/>
      <c r="I103" s="1349"/>
      <c r="J103" s="1349"/>
      <c r="K103" s="1349"/>
      <c r="L103" s="1349"/>
      <c r="M103" s="1349"/>
      <c r="N103" s="1349"/>
      <c r="O103" s="1349"/>
      <c r="P103" s="1349"/>
      <c r="Q103" s="1349"/>
      <c r="R103" s="1349"/>
      <c r="S103" s="1349"/>
      <c r="T103" s="1349"/>
      <c r="U103" s="1349"/>
      <c r="V103" s="1349"/>
      <c r="W103" s="1279">
        <f t="shared" si="24"/>
        <v>50000</v>
      </c>
      <c r="X103" s="1350">
        <f t="shared" si="25"/>
        <v>7.0026008499868959E-4</v>
      </c>
      <c r="Y103" s="1279"/>
      <c r="Z103" s="1298"/>
      <c r="AA103" s="1355"/>
      <c r="AB103" s="1356"/>
      <c r="AC103" s="1351"/>
      <c r="AD103" s="1279"/>
      <c r="AE103" s="1279"/>
      <c r="AF103" s="1336">
        <f t="shared" si="26"/>
        <v>50000</v>
      </c>
      <c r="AG103" s="1351">
        <f t="shared" si="27"/>
        <v>6.6519618425605795E-4</v>
      </c>
      <c r="AH103" s="1355"/>
      <c r="AI103" s="1357"/>
      <c r="AJ103" s="1351"/>
      <c r="AK103" s="1298"/>
      <c r="AL103" s="1298"/>
      <c r="AM103" s="1298"/>
      <c r="AN103" s="1298"/>
      <c r="AO103" s="1356"/>
      <c r="AP103" s="1358"/>
      <c r="AQ103" s="1298"/>
      <c r="AR103" s="1298"/>
      <c r="AS103" s="1298"/>
      <c r="AT103" s="1298"/>
      <c r="AU103" s="1298"/>
      <c r="AV103" s="1298"/>
      <c r="AW103" s="1298"/>
      <c r="AX103" s="1298"/>
      <c r="AY103" s="1298"/>
    </row>
    <row r="104" spans="1:51" s="1335" customFormat="1" ht="14.25">
      <c r="A104" s="1348" t="s">
        <v>1845</v>
      </c>
      <c r="B104" s="1298"/>
      <c r="C104" s="1336">
        <f>'Common Stock'!J38</f>
        <v>35000</v>
      </c>
      <c r="D104" s="1354"/>
      <c r="E104" s="1349">
        <f t="shared" si="23"/>
        <v>2.1436823293080696E-3</v>
      </c>
      <c r="F104" s="1339"/>
      <c r="G104" s="1349"/>
      <c r="H104" s="1349"/>
      <c r="I104" s="1349"/>
      <c r="J104" s="1349"/>
      <c r="K104" s="1349"/>
      <c r="L104" s="1349"/>
      <c r="M104" s="1349"/>
      <c r="N104" s="1349"/>
      <c r="O104" s="1349"/>
      <c r="P104" s="1349"/>
      <c r="Q104" s="1349"/>
      <c r="R104" s="1349"/>
      <c r="S104" s="1349"/>
      <c r="T104" s="1349"/>
      <c r="U104" s="1349"/>
      <c r="V104" s="1349"/>
      <c r="W104" s="1279">
        <f t="shared" si="24"/>
        <v>35000</v>
      </c>
      <c r="X104" s="1350">
        <f t="shared" si="25"/>
        <v>4.9018205949908267E-4</v>
      </c>
      <c r="Y104" s="1279"/>
      <c r="Z104" s="1298"/>
      <c r="AA104" s="1355"/>
      <c r="AB104" s="1356"/>
      <c r="AC104" s="1351"/>
      <c r="AD104" s="1279"/>
      <c r="AE104" s="1279"/>
      <c r="AF104" s="1336">
        <f t="shared" si="26"/>
        <v>35000</v>
      </c>
      <c r="AG104" s="1351">
        <f t="shared" si="27"/>
        <v>4.6563732897924058E-4</v>
      </c>
      <c r="AH104" s="1355"/>
      <c r="AI104" s="1357"/>
      <c r="AJ104" s="1351"/>
      <c r="AK104" s="1298"/>
      <c r="AL104" s="1298"/>
      <c r="AM104" s="1298"/>
      <c r="AN104" s="1298"/>
      <c r="AO104" s="1356"/>
      <c r="AP104" s="1358"/>
      <c r="AQ104" s="1298"/>
      <c r="AR104" s="1298"/>
      <c r="AS104" s="1298"/>
      <c r="AT104" s="1298"/>
      <c r="AU104" s="1298"/>
      <c r="AV104" s="1298"/>
      <c r="AW104" s="1298"/>
      <c r="AX104" s="1298"/>
      <c r="AY104" s="1298"/>
    </row>
    <row r="105" spans="1:51" s="1335" customFormat="1" ht="14.25">
      <c r="A105" s="1352" t="s">
        <v>1846</v>
      </c>
      <c r="B105" s="1298"/>
      <c r="C105" s="1336">
        <f>'Common Stock'!J39</f>
        <v>25000</v>
      </c>
      <c r="D105" s="1354"/>
      <c r="E105" s="1351">
        <f t="shared" si="23"/>
        <v>1.5312016637914782E-3</v>
      </c>
      <c r="F105" s="1339"/>
      <c r="G105" s="1349"/>
      <c r="H105" s="1349"/>
      <c r="I105" s="1349"/>
      <c r="J105" s="1349"/>
      <c r="K105" s="1349"/>
      <c r="L105" s="1349"/>
      <c r="M105" s="1349"/>
      <c r="N105" s="1349"/>
      <c r="O105" s="1349"/>
      <c r="P105" s="1349"/>
      <c r="Q105" s="1349"/>
      <c r="R105" s="1349"/>
      <c r="S105" s="1349"/>
      <c r="T105" s="1349"/>
      <c r="U105" s="1349"/>
      <c r="V105" s="1349"/>
      <c r="W105" s="1279">
        <f t="shared" si="24"/>
        <v>25000</v>
      </c>
      <c r="X105" s="1350">
        <f t="shared" si="25"/>
        <v>3.5013004249934479E-4</v>
      </c>
      <c r="Y105" s="1279"/>
      <c r="Z105" s="1298"/>
      <c r="AA105" s="1355"/>
      <c r="AB105" s="1356"/>
      <c r="AC105" s="1351"/>
      <c r="AD105" s="1279"/>
      <c r="AE105" s="1279"/>
      <c r="AF105" s="1336">
        <f t="shared" si="26"/>
        <v>25000</v>
      </c>
      <c r="AG105" s="1351">
        <f t="shared" si="27"/>
        <v>3.3259809212802898E-4</v>
      </c>
      <c r="AH105" s="1355"/>
      <c r="AI105" s="1357"/>
      <c r="AJ105" s="1351"/>
      <c r="AK105" s="1298"/>
      <c r="AL105" s="1298"/>
      <c r="AM105" s="1298"/>
      <c r="AN105" s="1298"/>
      <c r="AO105" s="1356"/>
      <c r="AP105" s="1358"/>
      <c r="AQ105" s="1298"/>
      <c r="AR105" s="1298"/>
      <c r="AS105" s="1298"/>
      <c r="AT105" s="1298"/>
      <c r="AU105" s="1298"/>
      <c r="AV105" s="1298"/>
      <c r="AW105" s="1298"/>
      <c r="AX105" s="1298"/>
      <c r="AY105" s="1298"/>
    </row>
    <row r="106" spans="1:51" s="1335" customFormat="1" ht="14.25">
      <c r="A106" s="1352" t="s">
        <v>1847</v>
      </c>
      <c r="B106" s="1298"/>
      <c r="C106" s="1336">
        <f>'Common Stock'!J40</f>
        <v>10000</v>
      </c>
      <c r="D106" s="1354"/>
      <c r="E106" s="1351">
        <f t="shared" si="23"/>
        <v>6.1248066551659126E-4</v>
      </c>
      <c r="F106" s="1339"/>
      <c r="G106" s="1349"/>
      <c r="H106" s="1349"/>
      <c r="I106" s="1349"/>
      <c r="J106" s="1349"/>
      <c r="K106" s="1349"/>
      <c r="L106" s="1349"/>
      <c r="M106" s="1349"/>
      <c r="N106" s="1349"/>
      <c r="O106" s="1349"/>
      <c r="P106" s="1349"/>
      <c r="Q106" s="1349"/>
      <c r="R106" s="1349"/>
      <c r="S106" s="1349"/>
      <c r="T106" s="1349"/>
      <c r="U106" s="1349"/>
      <c r="V106" s="1349"/>
      <c r="W106" s="1279">
        <f t="shared" si="24"/>
        <v>10000</v>
      </c>
      <c r="X106" s="1350">
        <f t="shared" si="25"/>
        <v>1.400520169997379E-4</v>
      </c>
      <c r="Y106" s="1279"/>
      <c r="Z106" s="1298"/>
      <c r="AA106" s="1355"/>
      <c r="AB106" s="1356"/>
      <c r="AC106" s="1351"/>
      <c r="AD106" s="1279"/>
      <c r="AE106" s="1279"/>
      <c r="AF106" s="1336">
        <f t="shared" si="26"/>
        <v>10000</v>
      </c>
      <c r="AG106" s="1351">
        <f t="shared" si="27"/>
        <v>1.330392368512116E-4</v>
      </c>
      <c r="AH106" s="1355"/>
      <c r="AI106" s="1357"/>
      <c r="AJ106" s="1351"/>
      <c r="AK106" s="1298"/>
      <c r="AL106" s="1298"/>
      <c r="AM106" s="1298"/>
      <c r="AN106" s="1298"/>
      <c r="AO106" s="1356"/>
      <c r="AP106" s="1358"/>
      <c r="AQ106" s="1298"/>
      <c r="AR106" s="1298"/>
      <c r="AS106" s="1298"/>
      <c r="AT106" s="1298"/>
      <c r="AU106" s="1298"/>
      <c r="AV106" s="1298"/>
      <c r="AW106" s="1298"/>
      <c r="AX106" s="1298"/>
      <c r="AY106" s="1298"/>
    </row>
    <row r="107" spans="1:51" s="1335" customFormat="1" ht="14.25">
      <c r="A107" s="1352" t="s">
        <v>1848</v>
      </c>
      <c r="B107" s="1298"/>
      <c r="C107" s="1336">
        <f>'Common Stock'!J41</f>
        <v>10000</v>
      </c>
      <c r="D107" s="1354"/>
      <c r="E107" s="1351">
        <f t="shared" si="23"/>
        <v>6.1248066551659126E-4</v>
      </c>
      <c r="F107" s="1339"/>
      <c r="G107" s="1349"/>
      <c r="H107" s="1349"/>
      <c r="I107" s="1349"/>
      <c r="J107" s="1349"/>
      <c r="K107" s="1349"/>
      <c r="L107" s="1349"/>
      <c r="M107" s="1349"/>
      <c r="N107" s="1349"/>
      <c r="O107" s="1349"/>
      <c r="P107" s="1349"/>
      <c r="Q107" s="1349"/>
      <c r="R107" s="1349"/>
      <c r="S107" s="1349"/>
      <c r="T107" s="1349"/>
      <c r="U107" s="1349"/>
      <c r="V107" s="1349"/>
      <c r="W107" s="1279">
        <f t="shared" si="24"/>
        <v>10000</v>
      </c>
      <c r="X107" s="1350">
        <f t="shared" si="25"/>
        <v>1.400520169997379E-4</v>
      </c>
      <c r="Y107" s="1279"/>
      <c r="Z107" s="1298"/>
      <c r="AA107" s="1355"/>
      <c r="AB107" s="1356"/>
      <c r="AC107" s="1351"/>
      <c r="AD107" s="1279"/>
      <c r="AE107" s="1279"/>
      <c r="AF107" s="1336">
        <f t="shared" si="26"/>
        <v>10000</v>
      </c>
      <c r="AG107" s="1351">
        <f t="shared" si="27"/>
        <v>1.330392368512116E-4</v>
      </c>
      <c r="AH107" s="1355"/>
      <c r="AI107" s="1357"/>
      <c r="AJ107" s="1351"/>
      <c r="AK107" s="1298"/>
      <c r="AL107" s="1298"/>
      <c r="AM107" s="1298"/>
      <c r="AN107" s="1298"/>
      <c r="AO107" s="1356"/>
      <c r="AP107" s="1358"/>
      <c r="AQ107" s="1298"/>
      <c r="AR107" s="1298"/>
      <c r="AS107" s="1298"/>
      <c r="AT107" s="1298"/>
      <c r="AU107" s="1298"/>
      <c r="AV107" s="1298"/>
      <c r="AW107" s="1298"/>
      <c r="AX107" s="1298"/>
      <c r="AY107" s="1298"/>
    </row>
    <row r="108" spans="1:51" s="1335" customFormat="1" ht="14.25">
      <c r="A108" s="1352" t="s">
        <v>1849</v>
      </c>
      <c r="B108" s="1298"/>
      <c r="C108" s="1336">
        <f>'Common Stock'!J42</f>
        <v>10000</v>
      </c>
      <c r="D108" s="1354"/>
      <c r="E108" s="1351">
        <f t="shared" si="23"/>
        <v>6.1248066551659126E-4</v>
      </c>
      <c r="F108" s="1339"/>
      <c r="G108" s="1349"/>
      <c r="H108" s="1349"/>
      <c r="I108" s="1349"/>
      <c r="J108" s="1349"/>
      <c r="K108" s="1349"/>
      <c r="L108" s="1349"/>
      <c r="M108" s="1349"/>
      <c r="N108" s="1349"/>
      <c r="O108" s="1349"/>
      <c r="P108" s="1349"/>
      <c r="Q108" s="1349"/>
      <c r="R108" s="1349"/>
      <c r="S108" s="1349"/>
      <c r="T108" s="1349"/>
      <c r="U108" s="1349"/>
      <c r="V108" s="1349"/>
      <c r="W108" s="1279">
        <f t="shared" si="24"/>
        <v>10000</v>
      </c>
      <c r="X108" s="1350">
        <f t="shared" si="25"/>
        <v>1.400520169997379E-4</v>
      </c>
      <c r="Y108" s="1279"/>
      <c r="Z108" s="1298"/>
      <c r="AA108" s="1355"/>
      <c r="AB108" s="1356"/>
      <c r="AC108" s="1351"/>
      <c r="AD108" s="1279"/>
      <c r="AE108" s="1279"/>
      <c r="AF108" s="1336">
        <f t="shared" si="26"/>
        <v>10000</v>
      </c>
      <c r="AG108" s="1351">
        <f t="shared" si="27"/>
        <v>1.330392368512116E-4</v>
      </c>
      <c r="AH108" s="1355"/>
      <c r="AI108" s="1357"/>
      <c r="AJ108" s="1351"/>
      <c r="AK108" s="1298"/>
      <c r="AL108" s="1298"/>
      <c r="AM108" s="1298"/>
      <c r="AN108" s="1298"/>
      <c r="AO108" s="1356"/>
      <c r="AP108" s="1358"/>
      <c r="AQ108" s="1298"/>
      <c r="AR108" s="1298"/>
      <c r="AS108" s="1298"/>
      <c r="AT108" s="1298"/>
      <c r="AU108" s="1298"/>
      <c r="AV108" s="1298"/>
      <c r="AW108" s="1298"/>
      <c r="AX108" s="1298"/>
      <c r="AY108" s="1298"/>
    </row>
    <row r="109" spans="1:51" s="1335" customFormat="1" ht="14.25">
      <c r="A109" s="1352" t="s">
        <v>1850</v>
      </c>
      <c r="B109" s="1298"/>
      <c r="C109" s="1336">
        <f>'Common Stock'!J43</f>
        <v>10000</v>
      </c>
      <c r="D109" s="1354"/>
      <c r="E109" s="1351">
        <f t="shared" si="23"/>
        <v>6.1248066551659126E-4</v>
      </c>
      <c r="F109" s="1339"/>
      <c r="G109" s="1349"/>
      <c r="H109" s="1349"/>
      <c r="I109" s="1349"/>
      <c r="J109" s="1349"/>
      <c r="K109" s="1349"/>
      <c r="L109" s="1349"/>
      <c r="M109" s="1349"/>
      <c r="N109" s="1349"/>
      <c r="O109" s="1349"/>
      <c r="P109" s="1349"/>
      <c r="Q109" s="1349"/>
      <c r="R109" s="1349"/>
      <c r="S109" s="1349"/>
      <c r="T109" s="1349"/>
      <c r="U109" s="1349"/>
      <c r="V109" s="1349"/>
      <c r="W109" s="1279">
        <f t="shared" si="24"/>
        <v>10000</v>
      </c>
      <c r="X109" s="1350">
        <f t="shared" si="25"/>
        <v>1.400520169997379E-4</v>
      </c>
      <c r="Y109" s="1279"/>
      <c r="Z109" s="1298"/>
      <c r="AA109" s="1355"/>
      <c r="AB109" s="1356"/>
      <c r="AC109" s="1351"/>
      <c r="AD109" s="1279"/>
      <c r="AE109" s="1279"/>
      <c r="AF109" s="1336">
        <f t="shared" si="26"/>
        <v>10000</v>
      </c>
      <c r="AG109" s="1351">
        <f t="shared" si="27"/>
        <v>1.330392368512116E-4</v>
      </c>
      <c r="AH109" s="1355"/>
      <c r="AI109" s="1357"/>
      <c r="AJ109" s="1351"/>
      <c r="AK109" s="1298"/>
      <c r="AL109" s="1298"/>
      <c r="AM109" s="1298"/>
      <c r="AN109" s="1298"/>
      <c r="AO109" s="1356"/>
      <c r="AP109" s="1358"/>
      <c r="AQ109" s="1298"/>
      <c r="AR109" s="1298"/>
      <c r="AS109" s="1298"/>
      <c r="AT109" s="1298"/>
      <c r="AU109" s="1298"/>
      <c r="AV109" s="1298"/>
      <c r="AW109" s="1298"/>
      <c r="AX109" s="1298"/>
      <c r="AY109" s="1298"/>
    </row>
    <row r="110" spans="1:51" s="1335" customFormat="1" ht="14.25">
      <c r="A110" s="1352" t="s">
        <v>1851</v>
      </c>
      <c r="B110" s="1298"/>
      <c r="C110" s="1336">
        <f>'Common Stock'!J44</f>
        <v>5000</v>
      </c>
      <c r="D110" s="1354"/>
      <c r="E110" s="1351">
        <f t="shared" si="23"/>
        <v>3.0624033275829563E-4</v>
      </c>
      <c r="F110" s="1339"/>
      <c r="G110" s="1349"/>
      <c r="H110" s="1349"/>
      <c r="I110" s="1349"/>
      <c r="J110" s="1349"/>
      <c r="K110" s="1349"/>
      <c r="L110" s="1349"/>
      <c r="M110" s="1349"/>
      <c r="N110" s="1349"/>
      <c r="O110" s="1349"/>
      <c r="P110" s="1349"/>
      <c r="Q110" s="1349"/>
      <c r="R110" s="1349"/>
      <c r="S110" s="1349"/>
      <c r="T110" s="1349"/>
      <c r="U110" s="1349"/>
      <c r="V110" s="1349"/>
      <c r="W110" s="1279">
        <f t="shared" si="24"/>
        <v>5000</v>
      </c>
      <c r="X110" s="1350">
        <f t="shared" si="25"/>
        <v>7.002600849986895E-5</v>
      </c>
      <c r="Y110" s="1279"/>
      <c r="Z110" s="1298"/>
      <c r="AA110" s="1355"/>
      <c r="AB110" s="1356"/>
      <c r="AC110" s="1351"/>
      <c r="AD110" s="1279"/>
      <c r="AE110" s="1279"/>
      <c r="AF110" s="1336">
        <f t="shared" si="26"/>
        <v>5000</v>
      </c>
      <c r="AG110" s="1351">
        <f t="shared" si="27"/>
        <v>6.6519618425605801E-5</v>
      </c>
      <c r="AH110" s="1355"/>
      <c r="AI110" s="1357"/>
      <c r="AJ110" s="1351"/>
      <c r="AK110" s="1298"/>
      <c r="AL110" s="1298"/>
      <c r="AM110" s="1298"/>
      <c r="AN110" s="1298"/>
      <c r="AO110" s="1356"/>
      <c r="AP110" s="1358"/>
      <c r="AQ110" s="1298"/>
      <c r="AR110" s="1298"/>
      <c r="AS110" s="1298"/>
      <c r="AT110" s="1298"/>
      <c r="AU110" s="1298"/>
      <c r="AV110" s="1298"/>
      <c r="AW110" s="1298"/>
      <c r="AX110" s="1298"/>
      <c r="AY110" s="1298"/>
    </row>
    <row r="111" spans="1:51" s="1335" customFormat="1" ht="14.25">
      <c r="A111" s="1352" t="s">
        <v>1852</v>
      </c>
      <c r="B111" s="1298"/>
      <c r="C111" s="1336">
        <f>'Common Stock'!J45</f>
        <v>5000</v>
      </c>
      <c r="D111" s="1354"/>
      <c r="E111" s="1351">
        <f t="shared" si="23"/>
        <v>3.0624033275829563E-4</v>
      </c>
      <c r="F111" s="1339"/>
      <c r="G111" s="1349"/>
      <c r="H111" s="1349"/>
      <c r="I111" s="1349"/>
      <c r="J111" s="1349"/>
      <c r="K111" s="1349"/>
      <c r="L111" s="1349"/>
      <c r="M111" s="1349"/>
      <c r="N111" s="1349"/>
      <c r="O111" s="1349"/>
      <c r="P111" s="1349"/>
      <c r="Q111" s="1349"/>
      <c r="R111" s="1349"/>
      <c r="S111" s="1349"/>
      <c r="T111" s="1349"/>
      <c r="U111" s="1349"/>
      <c r="V111" s="1349"/>
      <c r="W111" s="1279">
        <f t="shared" si="24"/>
        <v>5000</v>
      </c>
      <c r="X111" s="1350">
        <f t="shared" si="25"/>
        <v>7.002600849986895E-5</v>
      </c>
      <c r="Y111" s="1279"/>
      <c r="Z111" s="1298"/>
      <c r="AA111" s="1355"/>
      <c r="AB111" s="1356"/>
      <c r="AC111" s="1351"/>
      <c r="AD111" s="1279"/>
      <c r="AE111" s="1279"/>
      <c r="AF111" s="1336">
        <f t="shared" si="26"/>
        <v>5000</v>
      </c>
      <c r="AG111" s="1351">
        <f t="shared" si="27"/>
        <v>6.6519618425605801E-5</v>
      </c>
      <c r="AH111" s="1355"/>
      <c r="AI111" s="1357"/>
      <c r="AJ111" s="1351"/>
      <c r="AK111" s="1298"/>
      <c r="AL111" s="1298"/>
      <c r="AM111" s="1298"/>
      <c r="AN111" s="1298"/>
      <c r="AO111" s="1356"/>
      <c r="AP111" s="1358"/>
      <c r="AQ111" s="1298"/>
      <c r="AR111" s="1298"/>
      <c r="AS111" s="1298"/>
      <c r="AT111" s="1298"/>
      <c r="AU111" s="1298"/>
      <c r="AV111" s="1298"/>
      <c r="AW111" s="1298"/>
      <c r="AX111" s="1298"/>
      <c r="AY111" s="1298"/>
    </row>
    <row r="112" spans="1:51" s="1335" customFormat="1" ht="14.25">
      <c r="A112" s="1298" t="s">
        <v>1853</v>
      </c>
      <c r="B112" s="1298"/>
      <c r="C112" s="1336">
        <f>'Common Stock'!J46</f>
        <v>175000</v>
      </c>
      <c r="D112" s="1354"/>
      <c r="E112" s="1351">
        <f t="shared" si="23"/>
        <v>1.0718411646540348E-2</v>
      </c>
      <c r="F112" s="1339"/>
      <c r="G112" s="1349"/>
      <c r="H112" s="1349"/>
      <c r="I112" s="1349"/>
      <c r="J112" s="1349"/>
      <c r="K112" s="1349"/>
      <c r="L112" s="1349"/>
      <c r="M112" s="1349"/>
      <c r="N112" s="1349"/>
      <c r="O112" s="1349"/>
      <c r="P112" s="1349"/>
      <c r="Q112" s="1349"/>
      <c r="R112" s="1349"/>
      <c r="S112" s="1349"/>
      <c r="T112" s="1349"/>
      <c r="U112" s="1349"/>
      <c r="V112" s="1349"/>
      <c r="W112" s="1279">
        <f t="shared" si="24"/>
        <v>175000</v>
      </c>
      <c r="X112" s="1350">
        <f t="shared" si="25"/>
        <v>2.4509102974954134E-3</v>
      </c>
      <c r="Y112" s="1279"/>
      <c r="Z112" s="1298"/>
      <c r="AA112" s="1355"/>
      <c r="AB112" s="1356"/>
      <c r="AC112" s="1351"/>
      <c r="AD112" s="1279"/>
      <c r="AE112" s="1279"/>
      <c r="AF112" s="1336">
        <f t="shared" ref="AF112:AF120" si="28">AD112+W112</f>
        <v>175000</v>
      </c>
      <c r="AG112" s="1351">
        <f t="shared" si="27"/>
        <v>2.3281866448962027E-3</v>
      </c>
      <c r="AH112" s="1355"/>
      <c r="AI112" s="1357"/>
      <c r="AJ112" s="1351"/>
      <c r="AK112" s="1298"/>
      <c r="AL112" s="1298"/>
      <c r="AM112" s="1298"/>
      <c r="AN112" s="1298"/>
      <c r="AO112" s="1356"/>
      <c r="AP112" s="1358"/>
      <c r="AQ112" s="1298"/>
      <c r="AR112" s="1298"/>
      <c r="AS112" s="1298"/>
      <c r="AT112" s="1298"/>
      <c r="AU112" s="1298"/>
      <c r="AV112" s="1298"/>
      <c r="AW112" s="1298"/>
      <c r="AX112" s="1298"/>
      <c r="AY112" s="1298"/>
    </row>
    <row r="113" spans="1:51" s="1335" customFormat="1" ht="14.25">
      <c r="A113" s="1298" t="s">
        <v>1854</v>
      </c>
      <c r="B113" s="1298"/>
      <c r="C113" s="1336">
        <f>'Common Stock'!J47</f>
        <v>175000</v>
      </c>
      <c r="D113" s="1354"/>
      <c r="E113" s="1351">
        <f t="shared" si="23"/>
        <v>1.0718411646540348E-2</v>
      </c>
      <c r="F113" s="1339"/>
      <c r="G113" s="1349"/>
      <c r="H113" s="1349"/>
      <c r="I113" s="1349"/>
      <c r="J113" s="1349"/>
      <c r="K113" s="1349"/>
      <c r="L113" s="1349"/>
      <c r="M113" s="1349"/>
      <c r="N113" s="1349"/>
      <c r="O113" s="1349"/>
      <c r="P113" s="1349"/>
      <c r="Q113" s="1349"/>
      <c r="R113" s="1349"/>
      <c r="S113" s="1349"/>
      <c r="T113" s="1349"/>
      <c r="U113" s="1349"/>
      <c r="V113" s="1349"/>
      <c r="W113" s="1279">
        <f t="shared" si="24"/>
        <v>175000</v>
      </c>
      <c r="X113" s="1350">
        <f t="shared" si="25"/>
        <v>2.4509102974954134E-3</v>
      </c>
      <c r="Y113" s="1279"/>
      <c r="Z113" s="1298"/>
      <c r="AA113" s="1355"/>
      <c r="AB113" s="1356"/>
      <c r="AC113" s="1351"/>
      <c r="AD113" s="1279"/>
      <c r="AE113" s="1279"/>
      <c r="AF113" s="1336">
        <f t="shared" si="28"/>
        <v>175000</v>
      </c>
      <c r="AG113" s="1351">
        <f t="shared" si="27"/>
        <v>2.3281866448962027E-3</v>
      </c>
      <c r="AH113" s="1355"/>
      <c r="AI113" s="1357"/>
      <c r="AJ113" s="1351"/>
      <c r="AK113" s="1298"/>
      <c r="AL113" s="1298"/>
      <c r="AM113" s="1298"/>
      <c r="AN113" s="1298"/>
      <c r="AO113" s="1356"/>
      <c r="AP113" s="1358"/>
      <c r="AQ113" s="1298"/>
      <c r="AR113" s="1298"/>
      <c r="AS113" s="1298"/>
      <c r="AT113" s="1298"/>
      <c r="AU113" s="1298"/>
      <c r="AV113" s="1298"/>
      <c r="AW113" s="1298"/>
      <c r="AX113" s="1298"/>
      <c r="AY113" s="1298"/>
    </row>
    <row r="114" spans="1:51" s="1335" customFormat="1" ht="14.25">
      <c r="A114" s="1298" t="s">
        <v>1855</v>
      </c>
      <c r="B114" s="1298"/>
      <c r="C114" s="1336">
        <f>'Common Stock'!J48</f>
        <v>175000</v>
      </c>
      <c r="D114" s="1354"/>
      <c r="E114" s="1351">
        <f t="shared" si="23"/>
        <v>1.0718411646540348E-2</v>
      </c>
      <c r="F114" s="1339"/>
      <c r="G114" s="1349"/>
      <c r="H114" s="1349"/>
      <c r="I114" s="1349"/>
      <c r="J114" s="1349"/>
      <c r="K114" s="1349"/>
      <c r="L114" s="1349"/>
      <c r="M114" s="1349"/>
      <c r="N114" s="1349"/>
      <c r="O114" s="1349"/>
      <c r="P114" s="1349"/>
      <c r="Q114" s="1349"/>
      <c r="R114" s="1349"/>
      <c r="S114" s="1349"/>
      <c r="T114" s="1349"/>
      <c r="U114" s="1349"/>
      <c r="V114" s="1349"/>
      <c r="W114" s="1279">
        <f t="shared" si="24"/>
        <v>175000</v>
      </c>
      <c r="X114" s="1350">
        <f t="shared" si="25"/>
        <v>2.4509102974954134E-3</v>
      </c>
      <c r="Y114" s="1279"/>
      <c r="Z114" s="1298"/>
      <c r="AA114" s="1355"/>
      <c r="AB114" s="1356"/>
      <c r="AC114" s="1351"/>
      <c r="AD114" s="1279"/>
      <c r="AE114" s="1279"/>
      <c r="AF114" s="1336">
        <f t="shared" si="28"/>
        <v>175000</v>
      </c>
      <c r="AG114" s="1351">
        <f t="shared" si="27"/>
        <v>2.3281866448962027E-3</v>
      </c>
      <c r="AH114" s="1355"/>
      <c r="AI114" s="1357"/>
      <c r="AJ114" s="1351"/>
      <c r="AK114" s="1298"/>
      <c r="AL114" s="1298"/>
      <c r="AM114" s="1298"/>
      <c r="AN114" s="1298"/>
      <c r="AO114" s="1356"/>
      <c r="AP114" s="1358"/>
      <c r="AQ114" s="1298"/>
      <c r="AR114" s="1298"/>
      <c r="AS114" s="1298"/>
      <c r="AT114" s="1298"/>
      <c r="AU114" s="1298"/>
      <c r="AV114" s="1298"/>
      <c r="AW114" s="1298"/>
      <c r="AX114" s="1298"/>
      <c r="AY114" s="1298"/>
    </row>
    <row r="115" spans="1:51" s="1335" customFormat="1" ht="14.25">
      <c r="A115" s="1298" t="s">
        <v>1856</v>
      </c>
      <c r="B115" s="1298"/>
      <c r="C115" s="1336">
        <f>'Common Stock'!J50</f>
        <v>50000</v>
      </c>
      <c r="D115" s="1354"/>
      <c r="E115" s="1351">
        <f t="shared" si="23"/>
        <v>3.0624033275829564E-3</v>
      </c>
      <c r="F115" s="1339"/>
      <c r="G115" s="1349"/>
      <c r="H115" s="1349"/>
      <c r="I115" s="1349"/>
      <c r="J115" s="1349"/>
      <c r="K115" s="1349"/>
      <c r="L115" s="1349"/>
      <c r="M115" s="1349"/>
      <c r="N115" s="1349"/>
      <c r="O115" s="1349"/>
      <c r="P115" s="1349"/>
      <c r="Q115" s="1349"/>
      <c r="R115" s="1349"/>
      <c r="S115" s="1349"/>
      <c r="T115" s="1349"/>
      <c r="U115" s="1349"/>
      <c r="V115" s="1349"/>
      <c r="W115" s="1279">
        <f t="shared" si="24"/>
        <v>50000</v>
      </c>
      <c r="X115" s="1350">
        <f t="shared" si="25"/>
        <v>7.0026008499868959E-4</v>
      </c>
      <c r="Y115" s="1279"/>
      <c r="Z115" s="1298"/>
      <c r="AA115" s="1355"/>
      <c r="AB115" s="1356"/>
      <c r="AC115" s="1351"/>
      <c r="AD115" s="1279"/>
      <c r="AE115" s="1279"/>
      <c r="AF115" s="1336">
        <f t="shared" si="28"/>
        <v>50000</v>
      </c>
      <c r="AG115" s="1351">
        <f t="shared" si="27"/>
        <v>6.6519618425605795E-4</v>
      </c>
      <c r="AH115" s="1355"/>
      <c r="AI115" s="1357"/>
      <c r="AJ115" s="1351"/>
      <c r="AK115" s="1298"/>
      <c r="AL115" s="1298"/>
      <c r="AM115" s="1298"/>
      <c r="AN115" s="1298"/>
      <c r="AO115" s="1356"/>
      <c r="AP115" s="1358"/>
      <c r="AQ115" s="1298"/>
      <c r="AR115" s="1298"/>
      <c r="AS115" s="1298"/>
      <c r="AT115" s="1298"/>
      <c r="AU115" s="1298"/>
      <c r="AV115" s="1298"/>
      <c r="AW115" s="1298"/>
      <c r="AX115" s="1298"/>
      <c r="AY115" s="1298"/>
    </row>
    <row r="116" spans="1:51" s="1335" customFormat="1" ht="14.25">
      <c r="A116" s="1298" t="s">
        <v>1857</v>
      </c>
      <c r="B116" s="1298"/>
      <c r="C116" s="1336">
        <f>'Common Stock'!J51</f>
        <v>50000</v>
      </c>
      <c r="D116" s="1354"/>
      <c r="E116" s="1351">
        <f t="shared" si="23"/>
        <v>3.0624033275829564E-3</v>
      </c>
      <c r="F116" s="1339"/>
      <c r="G116" s="1349"/>
      <c r="H116" s="1349"/>
      <c r="I116" s="1349"/>
      <c r="J116" s="1349"/>
      <c r="K116" s="1349"/>
      <c r="L116" s="1349"/>
      <c r="M116" s="1349"/>
      <c r="N116" s="1349"/>
      <c r="O116" s="1349"/>
      <c r="P116" s="1349"/>
      <c r="Q116" s="1349"/>
      <c r="R116" s="1349"/>
      <c r="S116" s="1349"/>
      <c r="T116" s="1349"/>
      <c r="U116" s="1349"/>
      <c r="V116" s="1349"/>
      <c r="W116" s="1279">
        <f t="shared" si="24"/>
        <v>50000</v>
      </c>
      <c r="X116" s="1350">
        <f t="shared" si="25"/>
        <v>7.0026008499868959E-4</v>
      </c>
      <c r="Y116" s="1279"/>
      <c r="Z116" s="1298"/>
      <c r="AA116" s="1355"/>
      <c r="AB116" s="1356"/>
      <c r="AC116" s="1351"/>
      <c r="AD116" s="1279"/>
      <c r="AE116" s="1279"/>
      <c r="AF116" s="1336">
        <f t="shared" si="28"/>
        <v>50000</v>
      </c>
      <c r="AG116" s="1351">
        <f t="shared" si="27"/>
        <v>6.6519618425605795E-4</v>
      </c>
      <c r="AH116" s="1355"/>
      <c r="AI116" s="1357"/>
      <c r="AJ116" s="1351"/>
      <c r="AK116" s="1298"/>
      <c r="AL116" s="1298"/>
      <c r="AM116" s="1298"/>
      <c r="AN116" s="1298"/>
      <c r="AO116" s="1356"/>
      <c r="AP116" s="1358"/>
      <c r="AQ116" s="1298"/>
      <c r="AR116" s="1298"/>
      <c r="AS116" s="1298"/>
      <c r="AT116" s="1298"/>
      <c r="AU116" s="1298"/>
      <c r="AV116" s="1298"/>
      <c r="AW116" s="1298"/>
      <c r="AX116" s="1298"/>
      <c r="AY116" s="1298"/>
    </row>
    <row r="117" spans="1:51" s="1335" customFormat="1" ht="14.25">
      <c r="A117" s="1298" t="s">
        <v>1858</v>
      </c>
      <c r="B117" s="1298"/>
      <c r="C117" s="1336">
        <f>'Common Stock'!C52</f>
        <v>150000</v>
      </c>
      <c r="D117" s="1354"/>
      <c r="E117" s="1351">
        <f t="shared" si="23"/>
        <v>9.1872099827488701E-3</v>
      </c>
      <c r="F117" s="1339"/>
      <c r="G117" s="1349"/>
      <c r="H117" s="1349"/>
      <c r="I117" s="1349"/>
      <c r="J117" s="1349"/>
      <c r="K117" s="1349"/>
      <c r="L117" s="1349"/>
      <c r="M117" s="1349"/>
      <c r="N117" s="1349"/>
      <c r="O117" s="1349"/>
      <c r="P117" s="1349"/>
      <c r="Q117" s="1349"/>
      <c r="R117" s="1349"/>
      <c r="S117" s="1349"/>
      <c r="T117" s="1349"/>
      <c r="U117" s="1349"/>
      <c r="V117" s="1349"/>
      <c r="W117" s="1279">
        <f t="shared" si="24"/>
        <v>150000</v>
      </c>
      <c r="X117" s="1350">
        <f t="shared" si="25"/>
        <v>2.1007802549960685E-3</v>
      </c>
      <c r="Y117" s="1279"/>
      <c r="Z117" s="1298"/>
      <c r="AA117" s="1355"/>
      <c r="AB117" s="1356"/>
      <c r="AC117" s="1351"/>
      <c r="AD117" s="1279"/>
      <c r="AE117" s="1279"/>
      <c r="AF117" s="1336">
        <f t="shared" si="28"/>
        <v>150000</v>
      </c>
      <c r="AG117" s="1351">
        <f t="shared" si="27"/>
        <v>1.9955885527681736E-3</v>
      </c>
      <c r="AH117" s="1355"/>
      <c r="AI117" s="1357"/>
      <c r="AJ117" s="1351"/>
      <c r="AK117" s="1298"/>
      <c r="AL117" s="1298"/>
      <c r="AM117" s="1298"/>
      <c r="AN117" s="1298"/>
      <c r="AO117" s="1356"/>
      <c r="AP117" s="1358"/>
      <c r="AQ117" s="1298"/>
      <c r="AR117" s="1298"/>
      <c r="AS117" s="1298"/>
      <c r="AT117" s="1298"/>
      <c r="AU117" s="1298"/>
      <c r="AV117" s="1298"/>
      <c r="AW117" s="1298"/>
      <c r="AX117" s="1298"/>
      <c r="AY117" s="1298"/>
    </row>
    <row r="118" spans="1:51" s="1335" customFormat="1" ht="14.25">
      <c r="A118" s="1298" t="s">
        <v>1859</v>
      </c>
      <c r="B118" s="1298"/>
      <c r="C118" s="1336">
        <f>'Common Stock'!C53</f>
        <v>150000</v>
      </c>
      <c r="D118" s="1354"/>
      <c r="E118" s="1351">
        <f t="shared" si="23"/>
        <v>9.1872099827488701E-3</v>
      </c>
      <c r="F118" s="1339"/>
      <c r="G118" s="1349"/>
      <c r="H118" s="1349"/>
      <c r="I118" s="1349"/>
      <c r="J118" s="1349"/>
      <c r="K118" s="1349"/>
      <c r="L118" s="1349"/>
      <c r="M118" s="1349"/>
      <c r="N118" s="1349"/>
      <c r="O118" s="1349"/>
      <c r="P118" s="1349"/>
      <c r="Q118" s="1349"/>
      <c r="R118" s="1349"/>
      <c r="S118" s="1349"/>
      <c r="T118" s="1349"/>
      <c r="U118" s="1349"/>
      <c r="V118" s="1349"/>
      <c r="W118" s="1279">
        <f t="shared" si="24"/>
        <v>150000</v>
      </c>
      <c r="X118" s="1350">
        <f t="shared" si="25"/>
        <v>2.1007802549960685E-3</v>
      </c>
      <c r="Y118" s="1279"/>
      <c r="Z118" s="1298"/>
      <c r="AA118" s="1355"/>
      <c r="AB118" s="1356"/>
      <c r="AC118" s="1351"/>
      <c r="AD118" s="1279"/>
      <c r="AE118" s="1279"/>
      <c r="AF118" s="1336">
        <f t="shared" si="28"/>
        <v>150000</v>
      </c>
      <c r="AG118" s="1351">
        <f t="shared" si="27"/>
        <v>1.9955885527681736E-3</v>
      </c>
      <c r="AH118" s="1355"/>
      <c r="AI118" s="1357"/>
      <c r="AJ118" s="1351"/>
      <c r="AK118" s="1298"/>
      <c r="AL118" s="1298"/>
      <c r="AM118" s="1298"/>
      <c r="AN118" s="1298"/>
      <c r="AO118" s="1356"/>
      <c r="AP118" s="1358"/>
      <c r="AQ118" s="1298"/>
      <c r="AR118" s="1298"/>
      <c r="AS118" s="1298"/>
      <c r="AT118" s="1298"/>
      <c r="AU118" s="1298"/>
      <c r="AV118" s="1298"/>
      <c r="AW118" s="1298"/>
      <c r="AX118" s="1298"/>
      <c r="AY118" s="1298"/>
    </row>
    <row r="119" spans="1:51" s="1335" customFormat="1" ht="14.25">
      <c r="A119" s="1298" t="s">
        <v>1860</v>
      </c>
      <c r="B119" s="1298"/>
      <c r="C119" s="1336">
        <f>'Common Stock'!C54</f>
        <v>150000</v>
      </c>
      <c r="D119" s="1354"/>
      <c r="E119" s="1351">
        <f t="shared" si="23"/>
        <v>9.1872099827488701E-3</v>
      </c>
      <c r="F119" s="1339"/>
      <c r="G119" s="1349"/>
      <c r="H119" s="1349"/>
      <c r="I119" s="1349"/>
      <c r="J119" s="1349"/>
      <c r="K119" s="1349"/>
      <c r="L119" s="1349"/>
      <c r="M119" s="1349"/>
      <c r="N119" s="1349"/>
      <c r="O119" s="1349"/>
      <c r="P119" s="1349"/>
      <c r="Q119" s="1349"/>
      <c r="R119" s="1349"/>
      <c r="S119" s="1349"/>
      <c r="T119" s="1349"/>
      <c r="U119" s="1349"/>
      <c r="V119" s="1349"/>
      <c r="W119" s="1279">
        <f t="shared" si="24"/>
        <v>150000</v>
      </c>
      <c r="X119" s="1350">
        <f t="shared" si="25"/>
        <v>2.1007802549960685E-3</v>
      </c>
      <c r="Y119" s="1279"/>
      <c r="Z119" s="1298"/>
      <c r="AA119" s="1355"/>
      <c r="AB119" s="1356"/>
      <c r="AC119" s="1351"/>
      <c r="AD119" s="1279"/>
      <c r="AE119" s="1279"/>
      <c r="AF119" s="1336">
        <f t="shared" si="28"/>
        <v>150000</v>
      </c>
      <c r="AG119" s="1351">
        <f t="shared" si="27"/>
        <v>1.9955885527681736E-3</v>
      </c>
      <c r="AH119" s="1355"/>
      <c r="AI119" s="1357"/>
      <c r="AJ119" s="1351"/>
      <c r="AK119" s="1298"/>
      <c r="AL119" s="1298"/>
      <c r="AM119" s="1298"/>
      <c r="AN119" s="1298"/>
      <c r="AO119" s="1356"/>
      <c r="AP119" s="1358"/>
      <c r="AQ119" s="1298"/>
      <c r="AR119" s="1298"/>
      <c r="AS119" s="1298"/>
      <c r="AT119" s="1298"/>
      <c r="AU119" s="1298"/>
      <c r="AV119" s="1298"/>
      <c r="AW119" s="1298"/>
      <c r="AX119" s="1298"/>
      <c r="AY119" s="1298"/>
    </row>
    <row r="120" spans="1:51" s="1335" customFormat="1" ht="14.25">
      <c r="A120" s="1298" t="s">
        <v>1861</v>
      </c>
      <c r="B120" s="1298"/>
      <c r="C120" s="1336">
        <f>'Common Stock'!C55</f>
        <v>450000</v>
      </c>
      <c r="D120" s="1354"/>
      <c r="E120" s="1351">
        <f t="shared" si="23"/>
        <v>2.756162994824661E-2</v>
      </c>
      <c r="F120" s="1339"/>
      <c r="G120" s="1349"/>
      <c r="H120" s="1349"/>
      <c r="I120" s="1349"/>
      <c r="J120" s="1349"/>
      <c r="K120" s="1349"/>
      <c r="L120" s="1349"/>
      <c r="M120" s="1349"/>
      <c r="N120" s="1349"/>
      <c r="O120" s="1349"/>
      <c r="P120" s="1349"/>
      <c r="Q120" s="1349"/>
      <c r="R120" s="1349"/>
      <c r="S120" s="1349"/>
      <c r="T120" s="1349"/>
      <c r="U120" s="1349"/>
      <c r="V120" s="1349"/>
      <c r="W120" s="1279">
        <f t="shared" si="24"/>
        <v>450000</v>
      </c>
      <c r="X120" s="1350">
        <f t="shared" si="25"/>
        <v>6.3023407649882056E-3</v>
      </c>
      <c r="Y120" s="1279"/>
      <c r="Z120" s="1298"/>
      <c r="AA120" s="1355"/>
      <c r="AB120" s="1356"/>
      <c r="AC120" s="1351"/>
      <c r="AD120" s="1279"/>
      <c r="AE120" s="1279"/>
      <c r="AF120" s="1336">
        <f t="shared" si="28"/>
        <v>450000</v>
      </c>
      <c r="AG120" s="1351">
        <f t="shared" si="27"/>
        <v>5.9867656583045218E-3</v>
      </c>
      <c r="AH120" s="1355"/>
      <c r="AI120" s="1357"/>
      <c r="AJ120" s="1351"/>
      <c r="AK120" s="1298"/>
      <c r="AL120" s="1298"/>
      <c r="AM120" s="1298"/>
      <c r="AN120" s="1298"/>
      <c r="AO120" s="1356"/>
      <c r="AP120" s="1358"/>
      <c r="AQ120" s="1298"/>
      <c r="AR120" s="1298"/>
      <c r="AS120" s="1298"/>
      <c r="AT120" s="1298"/>
      <c r="AU120" s="1298"/>
      <c r="AV120" s="1298"/>
      <c r="AW120" s="1298"/>
      <c r="AX120" s="1298"/>
      <c r="AY120" s="1298"/>
    </row>
    <row r="121" spans="1:51" s="1335" customFormat="1" ht="14.25">
      <c r="A121" s="1352"/>
      <c r="B121" s="1298"/>
      <c r="C121" s="1336"/>
      <c r="D121" s="1354"/>
      <c r="E121" s="1351"/>
      <c r="F121" s="1339"/>
      <c r="G121" s="1349"/>
      <c r="H121" s="1349"/>
      <c r="I121" s="1349"/>
      <c r="J121" s="1349"/>
      <c r="K121" s="1349"/>
      <c r="L121" s="1349"/>
      <c r="M121" s="1349"/>
      <c r="N121" s="1349"/>
      <c r="O121" s="1349"/>
      <c r="P121" s="1349"/>
      <c r="Q121" s="1349"/>
      <c r="R121" s="1349"/>
      <c r="S121" s="1349"/>
      <c r="T121" s="1349"/>
      <c r="U121" s="1349"/>
      <c r="V121" s="1349"/>
      <c r="W121" s="1279"/>
      <c r="X121" s="1350"/>
      <c r="Y121" s="1279"/>
      <c r="Z121" s="1298"/>
      <c r="AA121" s="1355"/>
      <c r="AB121" s="1356"/>
      <c r="AC121" s="1351"/>
      <c r="AD121" s="1279"/>
      <c r="AE121" s="1279"/>
      <c r="AF121" s="1336"/>
      <c r="AG121" s="1351"/>
      <c r="AH121" s="1355"/>
      <c r="AI121" s="1357"/>
      <c r="AJ121" s="1351"/>
      <c r="AK121" s="1298"/>
      <c r="AL121" s="1298"/>
      <c r="AM121" s="1298"/>
      <c r="AN121" s="1298"/>
      <c r="AO121" s="1356"/>
      <c r="AP121" s="1358"/>
      <c r="AQ121" s="1298"/>
      <c r="AR121" s="1298"/>
      <c r="AS121" s="1298"/>
      <c r="AT121" s="1298"/>
      <c r="AU121" s="1298"/>
      <c r="AV121" s="1298"/>
      <c r="AW121" s="1298"/>
      <c r="AX121" s="1298"/>
      <c r="AY121" s="1298"/>
    </row>
    <row r="122" spans="1:51" s="1335" customFormat="1" ht="14.25">
      <c r="A122" s="1352"/>
      <c r="B122" s="1298"/>
      <c r="C122" s="1336"/>
      <c r="D122" s="1354"/>
      <c r="E122" s="1351"/>
      <c r="F122" s="1367"/>
      <c r="G122" s="1351"/>
      <c r="H122" s="1351"/>
      <c r="I122" s="1351"/>
      <c r="J122" s="1351"/>
      <c r="K122" s="1351"/>
      <c r="L122" s="1351"/>
      <c r="M122" s="1351"/>
      <c r="N122" s="1351"/>
      <c r="O122" s="1351"/>
      <c r="P122" s="1351"/>
      <c r="Q122" s="1351"/>
      <c r="R122" s="1351"/>
      <c r="S122" s="1351"/>
      <c r="T122" s="1351"/>
      <c r="U122" s="1351"/>
      <c r="V122" s="1351"/>
      <c r="W122" s="1279"/>
      <c r="X122" s="1368"/>
      <c r="Y122" s="1279"/>
      <c r="Z122" s="1298"/>
      <c r="AA122" s="1355"/>
      <c r="AB122" s="1356"/>
      <c r="AC122" s="1351"/>
      <c r="AD122" s="1279"/>
      <c r="AE122" s="1279"/>
      <c r="AF122" s="1282"/>
      <c r="AG122" s="1357"/>
      <c r="AH122" s="1355"/>
      <c r="AI122" s="1357"/>
      <c r="AJ122" s="1351"/>
      <c r="AK122" s="1298"/>
      <c r="AL122" s="1298"/>
      <c r="AM122" s="1298"/>
      <c r="AN122" s="1298"/>
      <c r="AO122" s="1356"/>
      <c r="AP122" s="1358"/>
      <c r="AQ122" s="1298"/>
      <c r="AR122" s="1298"/>
      <c r="AS122" s="1298"/>
      <c r="AT122" s="1298"/>
      <c r="AU122" s="1298"/>
      <c r="AV122" s="1298"/>
      <c r="AW122" s="1298"/>
      <c r="AX122" s="1298"/>
      <c r="AY122" s="1298"/>
    </row>
    <row r="123" spans="1:51" s="1335" customFormat="1" ht="14.25">
      <c r="A123" s="1369" t="s">
        <v>1730</v>
      </c>
      <c r="B123" s="1298"/>
      <c r="C123" s="1284">
        <f>SUM(C8:C121)</f>
        <v>16327046</v>
      </c>
      <c r="D123" s="1354"/>
      <c r="E123" s="1370">
        <f t="shared" ref="E123:M123" si="29">SUM(E8:E122)</f>
        <v>1.0000000000000004</v>
      </c>
      <c r="F123" s="1284">
        <f t="shared" si="29"/>
        <v>12050000</v>
      </c>
      <c r="G123" s="1370">
        <f t="shared" si="29"/>
        <v>0.99999999999999989</v>
      </c>
      <c r="H123" s="1284">
        <f t="shared" si="29"/>
        <v>16000000</v>
      </c>
      <c r="I123" s="1370">
        <f t="shared" si="29"/>
        <v>0.99999999999999989</v>
      </c>
      <c r="J123" s="1284">
        <f t="shared" si="29"/>
        <v>16000000</v>
      </c>
      <c r="K123" s="1370">
        <f t="shared" si="29"/>
        <v>0.99999999999999989</v>
      </c>
      <c r="L123" s="1284">
        <f t="shared" si="29"/>
        <v>44050000</v>
      </c>
      <c r="M123" s="1370">
        <f t="shared" si="29"/>
        <v>1</v>
      </c>
      <c r="N123" s="1370"/>
      <c r="O123" s="1284">
        <f t="shared" ref="O123:V123" si="30">SUM(O8:O122)</f>
        <v>11024996</v>
      </c>
      <c r="P123" s="1370">
        <f t="shared" si="30"/>
        <v>1.0000000000000002</v>
      </c>
      <c r="Q123" s="1284">
        <f t="shared" si="30"/>
        <v>0</v>
      </c>
      <c r="R123" s="1370">
        <f t="shared" si="30"/>
        <v>0</v>
      </c>
      <c r="S123" s="1284">
        <f t="shared" si="30"/>
        <v>0</v>
      </c>
      <c r="T123" s="1370">
        <f t="shared" si="30"/>
        <v>0</v>
      </c>
      <c r="U123" s="1284">
        <f t="shared" si="30"/>
        <v>11024996</v>
      </c>
      <c r="V123" s="1370">
        <f t="shared" si="30"/>
        <v>1.0000000000000002</v>
      </c>
      <c r="W123" s="1284">
        <f>SUM(W8:W121)</f>
        <v>71402042</v>
      </c>
      <c r="X123" s="1370">
        <f>SUM(X8:X122)</f>
        <v>1.0000000000000004</v>
      </c>
      <c r="Y123" s="1284"/>
      <c r="Z123" s="1298"/>
      <c r="AA123" s="1355"/>
      <c r="AB123" s="1356"/>
      <c r="AC123" s="1351"/>
      <c r="AD123" s="1284">
        <f>SUM(AD8:AD122)</f>
        <v>1636404</v>
      </c>
      <c r="AE123" s="1284">
        <f>SUM(AE8:AE122)</f>
        <v>0</v>
      </c>
      <c r="AF123" s="1284">
        <f>SUM(AF8:AF122)</f>
        <v>73038446</v>
      </c>
      <c r="AG123" s="1370">
        <f>SUM(AG8:AG122)</f>
        <v>0.97169791166384323</v>
      </c>
      <c r="AH123" s="1355"/>
      <c r="AI123" s="1357"/>
      <c r="AJ123" s="1351"/>
      <c r="AK123" s="1298"/>
      <c r="AL123" s="1298"/>
      <c r="AM123" s="1298"/>
      <c r="AN123" s="1298"/>
      <c r="AO123" s="1356"/>
      <c r="AP123" s="1358"/>
      <c r="AQ123" s="1298"/>
      <c r="AR123" s="1298"/>
      <c r="AS123" s="1298"/>
      <c r="AT123" s="1298"/>
      <c r="AU123" s="1298"/>
      <c r="AV123" s="1298"/>
      <c r="AW123" s="1298"/>
      <c r="AX123" s="1298"/>
      <c r="AY123" s="1298"/>
    </row>
    <row r="124" spans="1:51" s="1335" customFormat="1" ht="14.25">
      <c r="B124" s="1298"/>
      <c r="C124" s="1282"/>
      <c r="D124" s="1354"/>
      <c r="E124" s="1351"/>
      <c r="F124" s="1367"/>
      <c r="G124" s="1351"/>
      <c r="H124" s="1351"/>
      <c r="I124" s="1351"/>
      <c r="J124" s="1351"/>
      <c r="K124" s="1351"/>
      <c r="L124" s="1351"/>
      <c r="M124" s="1351"/>
      <c r="N124" s="1351"/>
      <c r="O124" s="1351"/>
      <c r="P124" s="1351"/>
      <c r="Q124" s="1351"/>
      <c r="R124" s="1351"/>
      <c r="S124" s="1351"/>
      <c r="T124" s="1351"/>
      <c r="U124" s="1351"/>
      <c r="V124" s="1351"/>
      <c r="W124" s="1282"/>
      <c r="X124" s="1368"/>
      <c r="Y124" s="1279"/>
      <c r="Z124" s="1298"/>
      <c r="AA124" s="1355"/>
      <c r="AB124" s="1356"/>
      <c r="AC124" s="1351"/>
      <c r="AD124" s="1279"/>
      <c r="AE124" s="1279"/>
      <c r="AF124" s="1282"/>
      <c r="AG124" s="1357"/>
      <c r="AH124" s="1355"/>
      <c r="AI124" s="1357"/>
      <c r="AJ124" s="1351"/>
      <c r="AK124" s="1298"/>
      <c r="AL124" s="1298"/>
      <c r="AM124" s="1298"/>
      <c r="AN124" s="1298"/>
      <c r="AO124" s="1356"/>
      <c r="AP124" s="1358"/>
      <c r="AQ124" s="1298"/>
      <c r="AR124" s="1298"/>
      <c r="AS124" s="1298"/>
      <c r="AT124" s="1298"/>
      <c r="AU124" s="1298"/>
      <c r="AV124" s="1298"/>
      <c r="AW124" s="1298"/>
      <c r="AX124" s="1298"/>
      <c r="AY124" s="1298"/>
    </row>
    <row r="125" spans="1:51" s="1335" customFormat="1" ht="14.25">
      <c r="A125" s="1298"/>
      <c r="B125" s="1298"/>
      <c r="C125" s="1279"/>
      <c r="D125" s="1356"/>
      <c r="E125" s="1351"/>
      <c r="F125" s="1367"/>
      <c r="G125" s="1351"/>
      <c r="H125" s="1351"/>
      <c r="I125" s="1351"/>
      <c r="J125" s="1351"/>
      <c r="K125" s="1351"/>
      <c r="L125" s="1351"/>
      <c r="M125" s="1351"/>
      <c r="N125" s="1351"/>
      <c r="O125" s="1351"/>
      <c r="P125" s="1351"/>
      <c r="Q125" s="1351"/>
      <c r="R125" s="1351"/>
      <c r="S125" s="1351"/>
      <c r="T125" s="1351"/>
      <c r="U125" s="1351"/>
      <c r="V125" s="1351"/>
      <c r="W125" s="1279"/>
      <c r="X125" s="1368"/>
      <c r="Y125" s="1367"/>
      <c r="Z125" s="1298"/>
      <c r="AA125" s="1355"/>
      <c r="AB125" s="1356"/>
      <c r="AC125" s="1351"/>
      <c r="AD125" s="1279" t="s">
        <v>1730</v>
      </c>
      <c r="AE125" s="1279"/>
      <c r="AF125" s="1336"/>
      <c r="AG125" s="1351"/>
      <c r="AH125" s="1355"/>
      <c r="AI125" s="1357"/>
      <c r="AJ125" s="1351"/>
      <c r="AK125" s="1298"/>
      <c r="AL125" s="1298"/>
      <c r="AM125" s="1298"/>
      <c r="AN125" s="1298"/>
      <c r="AO125" s="1356"/>
      <c r="AP125" s="1358"/>
      <c r="AQ125" s="1298"/>
      <c r="AR125" s="1298"/>
      <c r="AS125" s="1298"/>
      <c r="AT125" s="1298"/>
      <c r="AU125" s="1298"/>
      <c r="AV125" s="1298"/>
      <c r="AW125" s="1298"/>
      <c r="AX125" s="1298"/>
      <c r="AY125" s="1298"/>
    </row>
    <row r="126" spans="1:51" s="1335" customFormat="1" ht="16.5" customHeight="1">
      <c r="A126" s="1278" t="s">
        <v>1862</v>
      </c>
      <c r="B126" s="1298"/>
      <c r="C126" s="1279"/>
      <c r="D126" s="1356"/>
      <c r="E126" s="1351">
        <f>C126/C$129</f>
        <v>0</v>
      </c>
      <c r="F126" s="1279"/>
      <c r="G126" s="1349"/>
      <c r="H126" s="1349"/>
      <c r="I126" s="1349"/>
      <c r="J126" s="1349"/>
      <c r="K126" s="1349"/>
      <c r="L126" s="1349"/>
      <c r="M126" s="1349"/>
      <c r="N126" s="1349"/>
      <c r="O126" s="1349"/>
      <c r="P126" s="1349"/>
      <c r="Q126" s="1349"/>
      <c r="R126" s="1349"/>
      <c r="S126" s="1349"/>
      <c r="T126" s="1349"/>
      <c r="U126" s="1349"/>
      <c r="V126" s="1349"/>
      <c r="W126" s="1279">
        <f>C126+L126+O126+Q126+S126</f>
        <v>0</v>
      </c>
      <c r="X126" s="1299">
        <f>W126/W$129</f>
        <v>0</v>
      </c>
      <c r="Y126" s="1367"/>
      <c r="Z126" s="1298"/>
      <c r="AA126" s="1371"/>
      <c r="AB126" s="1356"/>
      <c r="AC126" s="1372"/>
      <c r="AD126" s="1279">
        <f>Options!C91</f>
        <v>2127348.969072165</v>
      </c>
      <c r="AE126" s="1279"/>
      <c r="AF126" s="1336">
        <f>AD126+W126</f>
        <v>2127348.969072165</v>
      </c>
      <c r="AG126" s="1351">
        <f>AF126/$AF$129</f>
        <v>2.8302088336157254E-2</v>
      </c>
      <c r="AH126" s="1355"/>
      <c r="AI126" s="1373"/>
      <c r="AJ126" s="1371"/>
      <c r="AK126" s="1298"/>
      <c r="AL126" s="1298"/>
      <c r="AM126" s="1298"/>
      <c r="AN126" s="1298"/>
      <c r="AO126" s="1356"/>
      <c r="AP126" s="1358"/>
      <c r="AQ126" s="1298"/>
      <c r="AR126" s="1298"/>
      <c r="AS126" s="1298"/>
      <c r="AT126" s="1298"/>
      <c r="AU126" s="1298"/>
      <c r="AV126" s="1298"/>
      <c r="AW126" s="1298"/>
      <c r="AX126" s="1298"/>
      <c r="AY126" s="1298"/>
    </row>
    <row r="127" spans="1:51" s="1335" customFormat="1" ht="16.5" customHeight="1">
      <c r="A127" s="1374"/>
      <c r="B127" s="1298"/>
      <c r="C127" s="1284">
        <f>SUM(C126:C126)</f>
        <v>0</v>
      </c>
      <c r="D127" s="1356"/>
      <c r="E127" s="1370">
        <f>SUM(E126:E126)</f>
        <v>0</v>
      </c>
      <c r="F127" s="1284">
        <f>SUM(F126:F126)</f>
        <v>0</v>
      </c>
      <c r="G127" s="1375"/>
      <c r="H127" s="1284">
        <f>SUM(H126:H126)</f>
        <v>0</v>
      </c>
      <c r="I127" s="1375"/>
      <c r="J127" s="1284">
        <f>SUM(J126:J126)</f>
        <v>0</v>
      </c>
      <c r="K127" s="1375"/>
      <c r="L127" s="1284">
        <f>SUM(L126:L126)</f>
        <v>0</v>
      </c>
      <c r="M127" s="1375"/>
      <c r="N127" s="1375"/>
      <c r="O127" s="1284">
        <f>SUM(O126:O126)</f>
        <v>0</v>
      </c>
      <c r="P127" s="1375"/>
      <c r="Q127" s="1284">
        <f>SUM(Q126:Q126)</f>
        <v>0</v>
      </c>
      <c r="R127" s="1375"/>
      <c r="S127" s="1284">
        <f>SUM(S126:S126)</f>
        <v>0</v>
      </c>
      <c r="T127" s="1375"/>
      <c r="U127" s="1375"/>
      <c r="V127" s="1375"/>
      <c r="W127" s="1284">
        <f>SUM(W126:W126)</f>
        <v>0</v>
      </c>
      <c r="X127" s="1370">
        <f>SUM(X126:X126)</f>
        <v>0</v>
      </c>
      <c r="Y127" s="1367"/>
      <c r="Z127" s="1298"/>
      <c r="AA127" s="1371"/>
      <c r="AB127" s="1356"/>
      <c r="AC127" s="1372"/>
      <c r="AD127" s="1284">
        <f>SUM(AD126:AD126)</f>
        <v>2127348.969072165</v>
      </c>
      <c r="AE127" s="1284">
        <f>SUM(AE125:AE126)</f>
        <v>0</v>
      </c>
      <c r="AF127" s="1284">
        <f>SUM(AF125:AF126)</f>
        <v>2127348.969072165</v>
      </c>
      <c r="AG127" s="1370">
        <f>AF127/AF129</f>
        <v>2.8302088336157254E-2</v>
      </c>
      <c r="AH127" s="1355"/>
      <c r="AI127" s="1373"/>
      <c r="AJ127" s="1371"/>
      <c r="AK127" s="1298"/>
      <c r="AL127" s="1298"/>
      <c r="AM127" s="1298"/>
      <c r="AN127" s="1298"/>
      <c r="AO127" s="1356"/>
      <c r="AP127" s="1358"/>
      <c r="AQ127" s="1298"/>
      <c r="AR127" s="1298"/>
      <c r="AS127" s="1298"/>
      <c r="AT127" s="1298"/>
      <c r="AU127" s="1298"/>
      <c r="AV127" s="1298"/>
      <c r="AW127" s="1298"/>
      <c r="AX127" s="1298"/>
      <c r="AY127" s="1298"/>
    </row>
    <row r="128" spans="1:51" s="1335" customFormat="1" ht="16.5" customHeight="1">
      <c r="A128" s="1298"/>
      <c r="B128" s="1298"/>
      <c r="C128" s="1279"/>
      <c r="D128" s="1356"/>
      <c r="E128" s="1351"/>
      <c r="F128" s="1367"/>
      <c r="G128" s="1351"/>
      <c r="H128" s="1367"/>
      <c r="I128" s="1351"/>
      <c r="J128" s="1367"/>
      <c r="K128" s="1351"/>
      <c r="L128" s="1367"/>
      <c r="M128" s="1351"/>
      <c r="N128" s="1351"/>
      <c r="O128" s="1367"/>
      <c r="P128" s="1351"/>
      <c r="Q128" s="1367"/>
      <c r="R128" s="1351"/>
      <c r="S128" s="1367"/>
      <c r="T128" s="1351"/>
      <c r="U128" s="1351"/>
      <c r="V128" s="1351"/>
      <c r="W128" s="1282"/>
      <c r="X128" s="1368"/>
      <c r="Y128" s="1367"/>
      <c r="Z128" s="1298"/>
      <c r="AA128" s="1371"/>
      <c r="AB128" s="1356"/>
      <c r="AC128" s="1372"/>
      <c r="AD128" s="1279"/>
      <c r="AE128" s="1279"/>
      <c r="AF128" s="1282"/>
      <c r="AG128" s="1357"/>
      <c r="AH128" s="1355"/>
      <c r="AI128" s="1373"/>
      <c r="AJ128" s="1371"/>
      <c r="AK128" s="1298"/>
      <c r="AL128" s="1298"/>
      <c r="AM128" s="1298"/>
      <c r="AN128" s="1298"/>
      <c r="AO128" s="1356"/>
      <c r="AP128" s="1358"/>
      <c r="AQ128" s="1298"/>
      <c r="AR128" s="1298"/>
      <c r="AS128" s="1298"/>
      <c r="AT128" s="1298"/>
      <c r="AU128" s="1298"/>
      <c r="AV128" s="1298"/>
      <c r="AW128" s="1298"/>
      <c r="AX128" s="1298"/>
      <c r="AY128" s="1298"/>
    </row>
    <row r="129" spans="1:51" s="1335" customFormat="1" ht="15" thickBot="1">
      <c r="A129" s="1298" t="s">
        <v>160</v>
      </c>
      <c r="B129" s="1298"/>
      <c r="C129" s="1376">
        <f>C123+SUM(C125:C125)</f>
        <v>16327046</v>
      </c>
      <c r="D129" s="1377"/>
      <c r="E129" s="1378">
        <f t="shared" ref="E129:M129" si="31">E127+E123</f>
        <v>1.0000000000000004</v>
      </c>
      <c r="F129" s="1379">
        <f t="shared" si="31"/>
        <v>12050000</v>
      </c>
      <c r="G129" s="1378">
        <f t="shared" si="31"/>
        <v>0.99999999999999989</v>
      </c>
      <c r="H129" s="1379">
        <f t="shared" si="31"/>
        <v>16000000</v>
      </c>
      <c r="I129" s="1378">
        <f t="shared" si="31"/>
        <v>0.99999999999999989</v>
      </c>
      <c r="J129" s="1379">
        <f t="shared" si="31"/>
        <v>16000000</v>
      </c>
      <c r="K129" s="1378">
        <f t="shared" si="31"/>
        <v>0.99999999999999989</v>
      </c>
      <c r="L129" s="1379">
        <f t="shared" si="31"/>
        <v>44050000</v>
      </c>
      <c r="M129" s="1378">
        <f t="shared" si="31"/>
        <v>1</v>
      </c>
      <c r="N129" s="1378"/>
      <c r="O129" s="1379">
        <f t="shared" ref="O129:X129" si="32">O127+O123</f>
        <v>11024996</v>
      </c>
      <c r="P129" s="1378">
        <f t="shared" si="32"/>
        <v>1.0000000000000002</v>
      </c>
      <c r="Q129" s="1379">
        <f t="shared" si="32"/>
        <v>0</v>
      </c>
      <c r="R129" s="1378">
        <f t="shared" si="32"/>
        <v>0</v>
      </c>
      <c r="S129" s="1379">
        <f t="shared" si="32"/>
        <v>0</v>
      </c>
      <c r="T129" s="1378">
        <f t="shared" si="32"/>
        <v>0</v>
      </c>
      <c r="U129" s="1379">
        <f t="shared" si="32"/>
        <v>11024996</v>
      </c>
      <c r="V129" s="1378">
        <f t="shared" si="32"/>
        <v>1.0000000000000002</v>
      </c>
      <c r="W129" s="1379">
        <f t="shared" si="32"/>
        <v>71402042</v>
      </c>
      <c r="X129" s="1378">
        <f t="shared" si="32"/>
        <v>1.0000000000000004</v>
      </c>
      <c r="Y129" s="1380"/>
      <c r="Z129" s="1298"/>
      <c r="AA129" s="1381"/>
      <c r="AB129" s="1377"/>
      <c r="AC129" s="1382"/>
      <c r="AD129" s="1376">
        <f>+AD127+AD123</f>
        <v>3763752.969072165</v>
      </c>
      <c r="AE129" s="1376">
        <f>+AE127</f>
        <v>0</v>
      </c>
      <c r="AF129" s="1376">
        <f>+AF123+AF127</f>
        <v>75165794.969072163</v>
      </c>
      <c r="AG129" s="1378">
        <f>AG127+AG123</f>
        <v>1.0000000000000004</v>
      </c>
      <c r="AH129" s="1381"/>
      <c r="AI129" s="1383"/>
      <c r="AJ129" s="1382"/>
      <c r="AK129" s="1298"/>
      <c r="AL129" s="1298"/>
      <c r="AM129" s="1298"/>
      <c r="AN129" s="1298"/>
      <c r="AO129" s="1377"/>
      <c r="AP129" s="1384"/>
      <c r="AQ129" s="1298"/>
      <c r="AR129" s="1298"/>
      <c r="AS129" s="1298" t="s">
        <v>1730</v>
      </c>
      <c r="AT129" s="1298"/>
      <c r="AU129" s="1298"/>
      <c r="AV129" s="1298"/>
      <c r="AW129" s="1298"/>
      <c r="AX129" s="1298"/>
      <c r="AY129" s="1298"/>
    </row>
    <row r="130" spans="1:51" s="1335" customFormat="1" ht="15" thickTop="1">
      <c r="A130" s="1312" t="s">
        <v>1730</v>
      </c>
      <c r="B130" s="1298"/>
      <c r="C130" s="1279"/>
      <c r="D130" s="1298"/>
      <c r="E130" s="1298"/>
      <c r="F130" s="1367"/>
      <c r="G130" s="1385"/>
      <c r="H130" s="1385"/>
      <c r="I130" s="1385"/>
      <c r="J130" s="1385"/>
      <c r="K130" s="1385"/>
      <c r="L130" s="1385"/>
      <c r="M130" s="1385"/>
      <c r="N130" s="1385"/>
      <c r="O130" s="1385"/>
      <c r="P130" s="1385"/>
      <c r="Q130" s="1385"/>
      <c r="R130" s="1385"/>
      <c r="S130" s="1385"/>
      <c r="T130" s="1385"/>
      <c r="U130" s="1385"/>
      <c r="V130" s="1385"/>
      <c r="W130" s="1279"/>
      <c r="X130" s="1298"/>
      <c r="Y130" s="1279"/>
      <c r="Z130" s="1298"/>
      <c r="AA130" s="1298"/>
      <c r="AB130" s="1354"/>
      <c r="AC130" s="1358"/>
      <c r="AD130" s="1279"/>
      <c r="AE130" s="1279"/>
      <c r="AF130" s="1279"/>
      <c r="AG130" s="1368"/>
      <c r="AH130" s="1354"/>
      <c r="AI130" s="1354"/>
      <c r="AJ130" s="1354"/>
      <c r="AK130" s="1354"/>
      <c r="AL130" s="1354"/>
      <c r="AM130" s="1354"/>
      <c r="AN130" s="1356"/>
      <c r="AO130" s="1298"/>
      <c r="AP130" s="1298"/>
      <c r="AQ130" s="1298"/>
      <c r="AR130" s="1358"/>
      <c r="AS130" s="1298"/>
      <c r="AT130" s="1386"/>
      <c r="AU130" s="1298"/>
      <c r="AV130" s="1298"/>
      <c r="AW130" s="1298"/>
      <c r="AX130" s="1298"/>
      <c r="AY130" s="1298"/>
    </row>
    <row r="131" spans="1:51" s="1335" customFormat="1" ht="14.25">
      <c r="A131" s="1298" t="s">
        <v>1730</v>
      </c>
      <c r="B131" s="1298"/>
      <c r="C131" s="1279"/>
      <c r="D131" s="1298"/>
      <c r="E131" s="1298"/>
      <c r="F131" s="1367"/>
      <c r="G131" s="1385"/>
      <c r="H131" s="1385"/>
      <c r="I131" s="1385"/>
      <c r="J131" s="1385"/>
      <c r="K131" s="1385"/>
      <c r="L131" s="1387">
        <f>L129-'Series A '!D47</f>
        <v>0</v>
      </c>
      <c r="M131" s="1385"/>
      <c r="N131" s="1385"/>
      <c r="O131" s="1385"/>
      <c r="P131" s="1385"/>
      <c r="Q131" s="1385"/>
      <c r="R131" s="1385"/>
      <c r="S131" s="1385"/>
      <c r="T131" s="1385"/>
      <c r="U131" s="1385"/>
      <c r="V131" s="1385"/>
      <c r="W131" s="1279" t="s">
        <v>1730</v>
      </c>
      <c r="X131" s="1298"/>
      <c r="Y131" s="1279"/>
      <c r="Z131" s="1298"/>
      <c r="AA131" s="1298"/>
      <c r="AB131" s="1354"/>
      <c r="AC131" s="1358"/>
      <c r="AD131" s="1279"/>
      <c r="AE131" s="1279"/>
      <c r="AF131" s="1388">
        <f>AF129-Summary!J23</f>
        <v>0</v>
      </c>
      <c r="AG131" s="1368"/>
      <c r="AH131" s="1354"/>
      <c r="AI131" s="1354"/>
      <c r="AJ131" s="1354"/>
      <c r="AK131" s="1354"/>
      <c r="AL131" s="1354"/>
      <c r="AM131" s="1354"/>
      <c r="AN131" s="1356"/>
      <c r="AO131" s="1354"/>
      <c r="AP131" s="1354"/>
      <c r="AQ131" s="1354"/>
      <c r="AR131" s="1358"/>
      <c r="AS131" s="1298"/>
      <c r="AT131" s="1386"/>
      <c r="AU131" s="1298"/>
      <c r="AV131" s="1298"/>
      <c r="AW131" s="1298"/>
      <c r="AX131" s="1298"/>
      <c r="AY131" s="1298"/>
    </row>
    <row r="132" spans="1:51" s="1335" customFormat="1" ht="15">
      <c r="A132" s="3276" t="s">
        <v>1730</v>
      </c>
      <c r="B132" s="3276"/>
      <c r="C132" s="1279">
        <f>'Common Stock'!J117</f>
        <v>16327046</v>
      </c>
      <c r="D132" s="1298"/>
      <c r="E132" s="1298"/>
      <c r="F132" s="1367">
        <f>'Series A '!D9+'Series A '!D10+'Series A '!D11+'Series A '!D12+'Series A '!D26+'Series A '!D27+'Series A '!D28+'Series A '!D29</f>
        <v>12050000</v>
      </c>
      <c r="G132" s="1367"/>
      <c r="H132" s="1367">
        <f>'Series A '!D13+'Series A '!D14+'Series A '!D15+'Series A '!D16+'Series A '!D30+'Series A '!D31+'Series A '!D32+'Series A '!D33</f>
        <v>16000000</v>
      </c>
      <c r="I132" s="1367"/>
      <c r="J132" s="1367">
        <f>'Series A '!D17+'Series A '!D18+'Series A '!D19+'Series A '!D20+'Series A '!D34+'Series A '!D35+'Series A '!D36+'Series A '!D37</f>
        <v>16000000</v>
      </c>
      <c r="K132" s="1367"/>
      <c r="L132" s="1367">
        <f>'Series A '!D47</f>
        <v>44050000</v>
      </c>
      <c r="M132" s="1367"/>
      <c r="N132" s="1367"/>
      <c r="O132" s="1367">
        <f>'Series B'!D23</f>
        <v>11024996</v>
      </c>
      <c r="P132" s="1367"/>
      <c r="Q132" s="1367">
        <v>0</v>
      </c>
      <c r="R132" s="1367"/>
      <c r="S132" s="1367">
        <v>0</v>
      </c>
      <c r="T132" s="1367"/>
      <c r="U132" s="1367">
        <f>'Series B'!D23</f>
        <v>11024996</v>
      </c>
      <c r="V132" s="1367"/>
      <c r="W132" s="1279">
        <f>Summary!J39</f>
        <v>71402042</v>
      </c>
      <c r="X132" s="1298"/>
      <c r="Y132" s="1279"/>
      <c r="Z132" s="1298">
        <v>1.0000000000000007</v>
      </c>
      <c r="AA132" s="1298"/>
      <c r="AB132" s="1354"/>
      <c r="AC132" s="1358"/>
      <c r="AD132" s="1279">
        <f>Options!C101</f>
        <v>3763752.969072165</v>
      </c>
      <c r="AE132" s="1279"/>
      <c r="AF132" s="1279"/>
      <c r="AG132" s="1368"/>
      <c r="AH132" s="1354"/>
      <c r="AI132" s="1354"/>
      <c r="AJ132" s="1354"/>
      <c r="AK132" s="1354"/>
      <c r="AL132" s="1354"/>
      <c r="AM132" s="1354"/>
      <c r="AN132" s="1298"/>
      <c r="AO132" s="1298"/>
      <c r="AP132" s="1298"/>
      <c r="AQ132" s="1298"/>
      <c r="AR132" s="1368"/>
      <c r="AS132" s="1298"/>
      <c r="AT132" s="1386"/>
      <c r="AU132" s="1298"/>
      <c r="AV132" s="1298"/>
      <c r="AW132" s="1298"/>
      <c r="AX132" s="1298"/>
      <c r="AY132" s="1298"/>
    </row>
    <row r="133" spans="1:51">
      <c r="A133" s="1266"/>
      <c r="B133" s="1266"/>
      <c r="C133" s="1254"/>
      <c r="D133" s="1266"/>
      <c r="E133" s="1298"/>
      <c r="F133" s="1367"/>
      <c r="G133" s="1385"/>
      <c r="H133" s="1385"/>
      <c r="I133" s="1385"/>
      <c r="J133" s="1385"/>
      <c r="K133" s="1385"/>
      <c r="L133" s="1385"/>
      <c r="M133" s="1385"/>
      <c r="N133" s="1385"/>
      <c r="O133" s="1385"/>
      <c r="P133" s="1385"/>
      <c r="Q133" s="1385"/>
      <c r="R133" s="1385"/>
      <c r="S133" s="1385"/>
      <c r="T133" s="1385"/>
      <c r="U133" s="1385"/>
      <c r="V133" s="1385"/>
      <c r="W133" s="1254"/>
      <c r="X133" s="1266"/>
      <c r="Y133" s="1254"/>
      <c r="Z133" s="1266"/>
      <c r="AA133" s="1266"/>
      <c r="AB133" s="1389"/>
      <c r="AC133" s="1390"/>
      <c r="AD133" s="1254"/>
      <c r="AE133" s="1254"/>
      <c r="AF133" s="1254"/>
      <c r="AG133" s="1307"/>
      <c r="AH133" s="1389"/>
      <c r="AI133" s="1389"/>
      <c r="AJ133" s="1389"/>
      <c r="AK133" s="1389"/>
      <c r="AL133" s="1389"/>
      <c r="AM133" s="1389"/>
      <c r="AN133" s="1266"/>
      <c r="AO133" s="1266"/>
      <c r="AP133" s="1266"/>
      <c r="AQ133" s="1266"/>
      <c r="AR133" s="1390"/>
      <c r="AS133" s="1266"/>
      <c r="AT133" s="1266"/>
      <c r="AU133" s="1266"/>
      <c r="AV133" s="1266"/>
      <c r="AW133" s="1266"/>
      <c r="AX133" s="1266"/>
      <c r="AY133" s="1266"/>
    </row>
    <row r="134" spans="1:51">
      <c r="A134" s="1266"/>
      <c r="B134" s="1266"/>
      <c r="C134" s="1254">
        <f>C129-C132</f>
        <v>0</v>
      </c>
      <c r="D134" s="1266"/>
      <c r="E134" s="1298"/>
      <c r="F134" s="1254">
        <f t="shared" ref="F134:W134" si="33">F129-F132</f>
        <v>0</v>
      </c>
      <c r="G134" s="1254"/>
      <c r="H134" s="1254">
        <f t="shared" si="33"/>
        <v>0</v>
      </c>
      <c r="I134" s="1254"/>
      <c r="J134" s="1254">
        <f t="shared" si="33"/>
        <v>0</v>
      </c>
      <c r="K134" s="1254" t="s">
        <v>1863</v>
      </c>
      <c r="L134" s="1254">
        <f t="shared" si="33"/>
        <v>0</v>
      </c>
      <c r="M134" s="1254"/>
      <c r="N134" s="1254"/>
      <c r="O134" s="1254">
        <f t="shared" si="33"/>
        <v>0</v>
      </c>
      <c r="P134" s="1254"/>
      <c r="Q134" s="1254">
        <f t="shared" si="33"/>
        <v>0</v>
      </c>
      <c r="R134" s="1254"/>
      <c r="S134" s="1254">
        <f t="shared" si="33"/>
        <v>0</v>
      </c>
      <c r="T134" s="1254"/>
      <c r="U134" s="1254">
        <f t="shared" si="33"/>
        <v>0</v>
      </c>
      <c r="V134" s="1254"/>
      <c r="W134" s="1254">
        <f t="shared" si="33"/>
        <v>0</v>
      </c>
      <c r="X134" s="1254"/>
      <c r="Y134" s="1254"/>
      <c r="Z134" s="1266"/>
      <c r="AA134" s="1266"/>
      <c r="AB134" s="1389"/>
      <c r="AC134" s="1390"/>
      <c r="AD134" s="1254">
        <f>AD129-AD132</f>
        <v>0</v>
      </c>
      <c r="AE134" s="1254"/>
      <c r="AF134" s="1254"/>
      <c r="AG134" s="1307"/>
      <c r="AH134" s="1389"/>
      <c r="AI134" s="1389"/>
      <c r="AJ134" s="1389"/>
      <c r="AK134" s="1389"/>
      <c r="AL134" s="1389"/>
      <c r="AM134" s="1389"/>
      <c r="AN134" s="1266"/>
      <c r="AO134" s="1266"/>
      <c r="AP134" s="1266"/>
      <c r="AQ134" s="1266"/>
      <c r="AR134" s="1390"/>
      <c r="AS134" s="1266"/>
      <c r="AT134" s="1266"/>
      <c r="AU134" s="1266"/>
      <c r="AV134" s="1266"/>
      <c r="AW134" s="1266"/>
      <c r="AX134" s="1266"/>
      <c r="AY134" s="1266"/>
    </row>
    <row r="135" spans="1:51">
      <c r="A135" s="1266"/>
      <c r="B135" s="1266"/>
      <c r="C135" s="1254"/>
      <c r="D135" s="1266"/>
      <c r="E135" s="1298"/>
      <c r="F135" s="1367"/>
      <c r="G135" s="1385"/>
      <c r="H135" s="1385"/>
      <c r="I135" s="1385"/>
      <c r="J135" s="1385"/>
      <c r="K135" s="1385"/>
      <c r="L135" s="1385"/>
      <c r="M135" s="1385"/>
      <c r="N135" s="1385"/>
      <c r="O135" s="1385"/>
      <c r="P135" s="1385"/>
      <c r="Q135" s="1385"/>
      <c r="R135" s="1385"/>
      <c r="S135" s="1385"/>
      <c r="T135" s="1385"/>
      <c r="U135" s="1385"/>
      <c r="V135" s="1385"/>
      <c r="W135" s="1254"/>
      <c r="X135" s="1266"/>
      <c r="Y135" s="1254"/>
      <c r="Z135" s="1266"/>
      <c r="AA135" s="1266"/>
      <c r="AB135" s="1389"/>
      <c r="AC135" s="1390"/>
      <c r="AD135" s="1254"/>
      <c r="AE135" s="1254"/>
      <c r="AF135" s="1254"/>
      <c r="AG135" s="1307"/>
      <c r="AH135" s="1389"/>
      <c r="AI135" s="1389"/>
      <c r="AJ135" s="1389"/>
      <c r="AK135" s="1389"/>
      <c r="AL135" s="1389"/>
      <c r="AM135" s="1389"/>
      <c r="AN135" s="1266"/>
      <c r="AO135" s="1266"/>
      <c r="AP135" s="1266"/>
      <c r="AQ135" s="1266"/>
      <c r="AR135" s="1390"/>
      <c r="AS135" s="1266"/>
      <c r="AT135" s="1266"/>
      <c r="AU135" s="1266"/>
      <c r="AV135" s="1266"/>
      <c r="AW135" s="1266"/>
      <c r="AX135" s="1266"/>
      <c r="AY135" s="1266"/>
    </row>
    <row r="136" spans="1:51">
      <c r="A136" s="1266"/>
      <c r="B136" s="1266"/>
      <c r="C136" s="1254"/>
      <c r="D136" s="1266"/>
      <c r="E136" s="1298"/>
      <c r="F136" s="1367"/>
      <c r="G136" s="1385"/>
      <c r="H136" s="1385"/>
      <c r="I136" s="1385"/>
      <c r="J136" s="1385"/>
      <c r="K136" s="1385"/>
      <c r="L136" s="1385"/>
      <c r="M136" s="1385"/>
      <c r="N136" s="1385"/>
      <c r="O136" s="1385"/>
      <c r="P136" s="1385"/>
      <c r="Q136" s="1385"/>
      <c r="R136" s="1385"/>
      <c r="S136" s="1385"/>
      <c r="T136" s="1385"/>
      <c r="U136" s="1385"/>
      <c r="V136" s="1385"/>
      <c r="W136" s="1254"/>
      <c r="X136" s="1266"/>
      <c r="Y136" s="1254"/>
      <c r="Z136" s="1266"/>
      <c r="AA136" s="1266"/>
      <c r="AB136" s="1389"/>
      <c r="AC136" s="1390"/>
      <c r="AD136" s="1254"/>
      <c r="AE136" s="1254"/>
      <c r="AF136" s="1254"/>
      <c r="AG136" s="1307"/>
      <c r="AH136" s="1389"/>
      <c r="AI136" s="1389"/>
      <c r="AJ136" s="1389"/>
      <c r="AK136" s="1389"/>
      <c r="AL136" s="1389"/>
      <c r="AM136" s="1389"/>
      <c r="AN136" s="1266"/>
      <c r="AO136" s="1266"/>
      <c r="AP136" s="1266"/>
      <c r="AQ136" s="1266"/>
      <c r="AR136" s="1390"/>
      <c r="AS136" s="1266"/>
      <c r="AT136" s="1266"/>
      <c r="AU136" s="1266"/>
      <c r="AV136" s="1266"/>
      <c r="AW136" s="1266"/>
      <c r="AX136" s="1266"/>
      <c r="AY136" s="1266"/>
    </row>
    <row r="137" spans="1:51">
      <c r="A137" s="1266"/>
      <c r="B137" s="1266"/>
      <c r="C137" s="1254"/>
      <c r="D137" s="1266"/>
      <c r="E137" s="1298"/>
      <c r="F137" s="1367"/>
      <c r="G137" s="1385"/>
      <c r="H137" s="1385"/>
      <c r="I137" s="1385"/>
      <c r="J137" s="1385"/>
      <c r="K137" s="1385"/>
      <c r="L137" s="1385"/>
      <c r="M137" s="1385"/>
      <c r="N137" s="1385"/>
      <c r="O137" s="1385"/>
      <c r="P137" s="1385"/>
      <c r="Q137" s="1385"/>
      <c r="R137" s="1385"/>
      <c r="S137" s="1385"/>
      <c r="T137" s="1385"/>
      <c r="U137" s="1385"/>
      <c r="V137" s="1385"/>
      <c r="W137" s="1254"/>
      <c r="X137" s="1266"/>
      <c r="Y137" s="1254"/>
      <c r="Z137" s="1266"/>
      <c r="AA137" s="1266"/>
      <c r="AB137" s="1389"/>
      <c r="AC137" s="1390"/>
      <c r="AD137" s="1254"/>
      <c r="AE137" s="1254"/>
      <c r="AF137" s="1254"/>
      <c r="AG137" s="1307"/>
      <c r="AH137" s="1389"/>
      <c r="AI137" s="1389"/>
      <c r="AJ137" s="1389"/>
      <c r="AK137" s="1389"/>
      <c r="AL137" s="1389"/>
      <c r="AM137" s="1389"/>
      <c r="AN137" s="1266"/>
      <c r="AO137" s="1266"/>
      <c r="AP137" s="1266"/>
      <c r="AQ137" s="1266"/>
      <c r="AR137" s="1390"/>
      <c r="AS137" s="1266"/>
      <c r="AT137" s="1266"/>
      <c r="AU137" s="1266"/>
      <c r="AV137" s="1266"/>
      <c r="AW137" s="1266"/>
      <c r="AX137" s="1266"/>
      <c r="AY137" s="1266"/>
    </row>
    <row r="138" spans="1:51">
      <c r="A138" s="1266"/>
      <c r="B138" s="1266"/>
      <c r="C138" s="1254"/>
      <c r="D138" s="1266"/>
      <c r="E138" s="1298"/>
      <c r="F138" s="1367"/>
      <c r="G138" s="1385"/>
      <c r="H138" s="1385"/>
      <c r="I138" s="1385"/>
      <c r="J138" s="1385"/>
      <c r="K138" s="1385"/>
      <c r="L138" s="1385"/>
      <c r="M138" s="1385"/>
      <c r="N138" s="1385"/>
      <c r="O138" s="1385"/>
      <c r="P138" s="1385"/>
      <c r="Q138" s="1385"/>
      <c r="R138" s="1385"/>
      <c r="S138" s="1385"/>
      <c r="T138" s="1385"/>
      <c r="U138" s="1385"/>
      <c r="V138" s="1385"/>
      <c r="W138" s="1254"/>
      <c r="X138" s="1266"/>
      <c r="Y138" s="1254"/>
      <c r="Z138" s="1266"/>
      <c r="AA138" s="1266"/>
      <c r="AB138" s="1389"/>
      <c r="AC138" s="1390"/>
      <c r="AD138" s="1254"/>
      <c r="AE138" s="1254"/>
      <c r="AF138" s="1254"/>
      <c r="AG138" s="1307"/>
      <c r="AH138" s="1389"/>
      <c r="AI138" s="1389"/>
      <c r="AJ138" s="1389"/>
      <c r="AK138" s="1389"/>
      <c r="AL138" s="1389"/>
      <c r="AM138" s="1389"/>
      <c r="AN138" s="1266"/>
      <c r="AO138" s="1266"/>
      <c r="AP138" s="1266"/>
      <c r="AQ138" s="1266"/>
      <c r="AR138" s="1390"/>
      <c r="AS138" s="1266"/>
      <c r="AT138" s="1266"/>
      <c r="AU138" s="1266"/>
      <c r="AV138" s="1266"/>
      <c r="AW138" s="1266"/>
      <c r="AX138" s="1266"/>
      <c r="AY138" s="1266"/>
    </row>
    <row r="139" spans="1:51">
      <c r="A139" s="1266"/>
      <c r="B139" s="1266"/>
      <c r="C139" s="1254"/>
      <c r="D139" s="1266"/>
      <c r="E139" s="1298"/>
      <c r="F139" s="1367"/>
      <c r="G139" s="1385"/>
      <c r="H139" s="1385"/>
      <c r="I139" s="1385"/>
      <c r="J139" s="1385"/>
      <c r="K139" s="1385"/>
      <c r="L139" s="1385"/>
      <c r="M139" s="1385"/>
      <c r="N139" s="1385"/>
      <c r="O139" s="1385"/>
      <c r="P139" s="1385"/>
      <c r="Q139" s="1385"/>
      <c r="R139" s="1385"/>
      <c r="S139" s="1385"/>
      <c r="T139" s="1385"/>
      <c r="U139" s="1385"/>
      <c r="V139" s="1385"/>
      <c r="W139" s="1254"/>
      <c r="X139" s="1266"/>
      <c r="Y139" s="1254"/>
      <c r="Z139" s="1266"/>
      <c r="AA139" s="1266"/>
      <c r="AB139" s="1389"/>
      <c r="AC139" s="1390"/>
      <c r="AD139" s="1254"/>
      <c r="AE139" s="1254"/>
      <c r="AF139" s="1254"/>
      <c r="AG139" s="1307"/>
      <c r="AH139" s="1389"/>
      <c r="AI139" s="1389"/>
      <c r="AJ139" s="1389"/>
      <c r="AK139" s="1389"/>
      <c r="AL139" s="1389"/>
      <c r="AM139" s="1389"/>
      <c r="AN139" s="1266"/>
      <c r="AO139" s="1266"/>
      <c r="AP139" s="1266"/>
      <c r="AQ139" s="1266"/>
      <c r="AR139" s="1390"/>
      <c r="AS139" s="1266"/>
      <c r="AT139" s="1266"/>
      <c r="AU139" s="1266"/>
      <c r="AV139" s="1266"/>
      <c r="AW139" s="1266"/>
      <c r="AX139" s="1266"/>
      <c r="AY139" s="1266"/>
    </row>
    <row r="140" spans="1:51">
      <c r="A140" s="1266"/>
      <c r="B140" s="1266"/>
      <c r="C140" s="1254"/>
      <c r="D140" s="1266"/>
      <c r="E140" s="1298"/>
      <c r="F140" s="1367"/>
      <c r="G140" s="1385"/>
      <c r="H140" s="1385"/>
      <c r="I140" s="1385"/>
      <c r="J140" s="1385"/>
      <c r="K140" s="1385"/>
      <c r="L140" s="1385"/>
      <c r="M140" s="1385"/>
      <c r="N140" s="1385"/>
      <c r="O140" s="1385"/>
      <c r="P140" s="1385"/>
      <c r="Q140" s="1385"/>
      <c r="R140" s="1385"/>
      <c r="S140" s="1385"/>
      <c r="T140" s="1385"/>
      <c r="U140" s="1385"/>
      <c r="V140" s="1385"/>
      <c r="W140" s="1254"/>
      <c r="X140" s="1266"/>
      <c r="Y140" s="1254"/>
      <c r="Z140" s="1266"/>
      <c r="AA140" s="1266"/>
      <c r="AB140" s="1389"/>
      <c r="AC140" s="1390"/>
      <c r="AD140" s="1254"/>
      <c r="AE140" s="1254"/>
      <c r="AF140" s="1254"/>
      <c r="AG140" s="1307"/>
      <c r="AH140" s="1389"/>
      <c r="AI140" s="1389"/>
      <c r="AJ140" s="1389"/>
      <c r="AK140" s="1389"/>
      <c r="AL140" s="1389"/>
      <c r="AM140" s="1389"/>
      <c r="AN140" s="1266"/>
      <c r="AO140" s="1266"/>
      <c r="AP140" s="1266"/>
      <c r="AQ140" s="1266"/>
      <c r="AR140" s="1390"/>
      <c r="AS140" s="1266"/>
      <c r="AT140" s="1266"/>
      <c r="AU140" s="1266"/>
      <c r="AV140" s="1266"/>
      <c r="AW140" s="1266"/>
      <c r="AX140" s="1266"/>
      <c r="AY140" s="1266"/>
    </row>
    <row r="141" spans="1:51">
      <c r="A141" s="1266"/>
      <c r="B141" s="1266"/>
      <c r="C141" s="1254"/>
      <c r="D141" s="1266"/>
      <c r="E141" s="1298"/>
      <c r="F141" s="1367"/>
      <c r="G141" s="1385"/>
      <c r="H141" s="1385"/>
      <c r="I141" s="1385"/>
      <c r="J141" s="1385"/>
      <c r="K141" s="1385"/>
      <c r="L141" s="1385"/>
      <c r="M141" s="1385"/>
      <c r="N141" s="1385"/>
      <c r="O141" s="1385"/>
      <c r="P141" s="1385"/>
      <c r="Q141" s="1385"/>
      <c r="R141" s="1385"/>
      <c r="S141" s="1385"/>
      <c r="T141" s="1385"/>
      <c r="U141" s="1385"/>
      <c r="V141" s="1385"/>
      <c r="W141" s="1254"/>
      <c r="X141" s="1266"/>
      <c r="Y141" s="1254"/>
      <c r="Z141" s="1266"/>
      <c r="AA141" s="1266"/>
      <c r="AB141" s="1389"/>
      <c r="AC141" s="1390"/>
      <c r="AD141" s="1254"/>
      <c r="AE141" s="1254"/>
      <c r="AF141" s="1254"/>
      <c r="AG141" s="1307"/>
      <c r="AH141" s="1389"/>
      <c r="AI141" s="1389"/>
      <c r="AJ141" s="1389"/>
      <c r="AK141" s="1389"/>
      <c r="AL141" s="1389"/>
      <c r="AM141" s="1389"/>
      <c r="AN141" s="1266"/>
      <c r="AO141" s="1266"/>
      <c r="AP141" s="1266"/>
      <c r="AQ141" s="1266"/>
      <c r="AR141" s="1390"/>
      <c r="AS141" s="1266"/>
      <c r="AT141" s="1266"/>
      <c r="AU141" s="1266"/>
      <c r="AV141" s="1266"/>
      <c r="AW141" s="1266"/>
      <c r="AX141" s="1266"/>
      <c r="AY141" s="1266"/>
    </row>
    <row r="142" spans="1:51">
      <c r="A142" s="1266"/>
      <c r="B142" s="1266"/>
      <c r="C142" s="1254"/>
      <c r="D142" s="1266"/>
      <c r="E142" s="1298"/>
      <c r="F142" s="1367"/>
      <c r="G142" s="1385"/>
      <c r="H142" s="1385"/>
      <c r="I142" s="1385"/>
      <c r="J142" s="1385"/>
      <c r="K142" s="1385"/>
      <c r="L142" s="1385"/>
      <c r="M142" s="1385"/>
      <c r="N142" s="1385"/>
      <c r="O142" s="1385"/>
      <c r="P142" s="1385"/>
      <c r="Q142" s="1385"/>
      <c r="R142" s="1385"/>
      <c r="S142" s="1385"/>
      <c r="T142" s="1385"/>
      <c r="U142" s="1385"/>
      <c r="V142" s="1385"/>
      <c r="W142" s="1254"/>
      <c r="X142" s="1266"/>
      <c r="Y142" s="1254"/>
      <c r="Z142" s="1266"/>
      <c r="AA142" s="1266"/>
      <c r="AB142" s="1389"/>
      <c r="AC142" s="1390"/>
      <c r="AD142" s="1254"/>
      <c r="AE142" s="1254"/>
      <c r="AF142" s="1254"/>
      <c r="AG142" s="1307"/>
      <c r="AH142" s="1389"/>
      <c r="AI142" s="1389"/>
      <c r="AJ142" s="1389"/>
      <c r="AK142" s="1389"/>
      <c r="AL142" s="1389"/>
      <c r="AM142" s="1389"/>
      <c r="AN142" s="1266"/>
      <c r="AO142" s="1266"/>
      <c r="AP142" s="1266"/>
      <c r="AQ142" s="1266"/>
      <c r="AR142" s="1390"/>
      <c r="AS142" s="1266"/>
      <c r="AT142" s="1266"/>
      <c r="AU142" s="1266"/>
      <c r="AV142" s="1266"/>
      <c r="AW142" s="1266"/>
      <c r="AX142" s="1266"/>
      <c r="AY142" s="1266"/>
    </row>
    <row r="143" spans="1:51">
      <c r="A143" s="1266"/>
      <c r="B143" s="1266"/>
      <c r="C143" s="1254"/>
      <c r="D143" s="1266"/>
      <c r="E143" s="1298"/>
      <c r="F143" s="1367"/>
      <c r="G143" s="1385"/>
      <c r="H143" s="1385"/>
      <c r="I143" s="1385"/>
      <c r="J143" s="1385"/>
      <c r="K143" s="1385"/>
      <c r="L143" s="1385"/>
      <c r="M143" s="1385"/>
      <c r="N143" s="1385"/>
      <c r="O143" s="1385"/>
      <c r="P143" s="1385"/>
      <c r="Q143" s="1385"/>
      <c r="R143" s="1385"/>
      <c r="S143" s="1385"/>
      <c r="T143" s="1385"/>
      <c r="U143" s="1385"/>
      <c r="V143" s="1385"/>
      <c r="W143" s="1254"/>
      <c r="X143" s="1266"/>
      <c r="Y143" s="1254"/>
      <c r="Z143" s="1266"/>
      <c r="AA143" s="1266"/>
      <c r="AB143" s="1389"/>
      <c r="AC143" s="1390"/>
      <c r="AD143" s="1254"/>
      <c r="AE143" s="1254"/>
      <c r="AF143" s="1254"/>
      <c r="AG143" s="1307"/>
      <c r="AH143" s="1389"/>
      <c r="AI143" s="1389"/>
      <c r="AJ143" s="1389"/>
      <c r="AK143" s="1389"/>
      <c r="AL143" s="1389"/>
      <c r="AM143" s="1389"/>
      <c r="AN143" s="1266"/>
      <c r="AO143" s="1266"/>
      <c r="AP143" s="1266"/>
      <c r="AQ143" s="1266"/>
      <c r="AR143" s="1390"/>
      <c r="AS143" s="1266"/>
      <c r="AT143" s="1266"/>
      <c r="AU143" s="1266"/>
      <c r="AV143" s="1266"/>
      <c r="AW143" s="1266"/>
      <c r="AX143" s="1266"/>
      <c r="AY143" s="1266"/>
    </row>
    <row r="144" spans="1:51">
      <c r="A144" s="1266"/>
      <c r="B144" s="1266"/>
      <c r="C144" s="1254"/>
      <c r="D144" s="1266"/>
      <c r="E144" s="1298"/>
      <c r="F144" s="1367"/>
      <c r="G144" s="1385"/>
      <c r="H144" s="1385"/>
      <c r="I144" s="1385"/>
      <c r="J144" s="1385"/>
      <c r="K144" s="1385"/>
      <c r="L144" s="1385"/>
      <c r="M144" s="1385"/>
      <c r="N144" s="1385"/>
      <c r="O144" s="1385"/>
      <c r="P144" s="1385"/>
      <c r="Q144" s="1385"/>
      <c r="R144" s="1385"/>
      <c r="S144" s="1385"/>
      <c r="T144" s="1385"/>
      <c r="U144" s="1385"/>
      <c r="V144" s="1385"/>
      <c r="W144" s="1254"/>
      <c r="X144" s="1266"/>
      <c r="Y144" s="1254"/>
      <c r="Z144" s="1266"/>
      <c r="AA144" s="1266"/>
      <c r="AB144" s="1389"/>
      <c r="AC144" s="1390"/>
      <c r="AD144" s="1254"/>
      <c r="AE144" s="1254"/>
      <c r="AF144" s="1254"/>
      <c r="AG144" s="1307"/>
      <c r="AH144" s="1389"/>
      <c r="AI144" s="1389"/>
      <c r="AJ144" s="1389"/>
      <c r="AK144" s="1389"/>
      <c r="AL144" s="1389"/>
      <c r="AM144" s="1389"/>
      <c r="AN144" s="1266"/>
      <c r="AO144" s="1266"/>
      <c r="AP144" s="1266"/>
      <c r="AQ144" s="1266"/>
      <c r="AR144" s="1390"/>
      <c r="AS144" s="1266"/>
      <c r="AT144" s="1266"/>
      <c r="AU144" s="1266"/>
      <c r="AV144" s="1266"/>
      <c r="AW144" s="1266"/>
      <c r="AX144" s="1266"/>
      <c r="AY144" s="1266"/>
    </row>
    <row r="145" spans="1:51">
      <c r="A145" s="1266"/>
      <c r="B145" s="1266"/>
      <c r="C145" s="1254"/>
      <c r="D145" s="1266"/>
      <c r="E145" s="1298"/>
      <c r="F145" s="1367"/>
      <c r="G145" s="1385"/>
      <c r="H145" s="1385"/>
      <c r="I145" s="1385"/>
      <c r="J145" s="1385"/>
      <c r="K145" s="1385"/>
      <c r="L145" s="1385"/>
      <c r="M145" s="1385"/>
      <c r="N145" s="1385"/>
      <c r="O145" s="1385"/>
      <c r="P145" s="1385"/>
      <c r="Q145" s="1385"/>
      <c r="R145" s="1385"/>
      <c r="S145" s="1385"/>
      <c r="T145" s="1385"/>
      <c r="U145" s="1385"/>
      <c r="V145" s="1385"/>
      <c r="W145" s="1254"/>
      <c r="X145" s="1266"/>
      <c r="Y145" s="1254"/>
      <c r="Z145" s="1266"/>
      <c r="AA145" s="1266"/>
      <c r="AB145" s="1389"/>
      <c r="AC145" s="1390"/>
      <c r="AD145" s="1254"/>
      <c r="AE145" s="1254"/>
      <c r="AF145" s="1254"/>
      <c r="AG145" s="1307"/>
      <c r="AH145" s="1389"/>
      <c r="AI145" s="1389"/>
      <c r="AJ145" s="1389"/>
      <c r="AK145" s="1389"/>
      <c r="AL145" s="1389"/>
      <c r="AM145" s="1389"/>
      <c r="AN145" s="1266"/>
      <c r="AO145" s="1266"/>
      <c r="AP145" s="1266"/>
      <c r="AQ145" s="1266"/>
      <c r="AR145" s="1390"/>
      <c r="AS145" s="1266"/>
      <c r="AT145" s="1266"/>
      <c r="AU145" s="1266"/>
      <c r="AV145" s="1266"/>
      <c r="AW145" s="1266"/>
      <c r="AX145" s="1266"/>
      <c r="AY145" s="1266"/>
    </row>
    <row r="146" spans="1:51">
      <c r="A146" s="1266"/>
      <c r="B146" s="1266"/>
      <c r="C146" s="1254"/>
      <c r="D146" s="1266"/>
      <c r="E146" s="1298"/>
      <c r="F146" s="1367"/>
      <c r="G146" s="1385"/>
      <c r="H146" s="1385"/>
      <c r="I146" s="1385"/>
      <c r="J146" s="1385"/>
      <c r="K146" s="1385"/>
      <c r="L146" s="1385"/>
      <c r="M146" s="1385"/>
      <c r="N146" s="1385"/>
      <c r="O146" s="1385"/>
      <c r="P146" s="1385"/>
      <c r="Q146" s="1385"/>
      <c r="R146" s="1385"/>
      <c r="S146" s="1385"/>
      <c r="T146" s="1385"/>
      <c r="U146" s="1385"/>
      <c r="V146" s="1385"/>
      <c r="W146" s="1254"/>
      <c r="X146" s="1266"/>
      <c r="Y146" s="1254"/>
      <c r="Z146" s="1266"/>
      <c r="AA146" s="1266"/>
      <c r="AB146" s="1389"/>
      <c r="AC146" s="1390"/>
      <c r="AD146" s="1254"/>
      <c r="AE146" s="1254"/>
      <c r="AF146" s="1254"/>
      <c r="AG146" s="1307"/>
      <c r="AH146" s="1389"/>
      <c r="AI146" s="1389"/>
      <c r="AJ146" s="1389"/>
      <c r="AK146" s="1389"/>
      <c r="AL146" s="1389"/>
      <c r="AM146" s="1389"/>
      <c r="AN146" s="1266"/>
      <c r="AO146" s="1266"/>
      <c r="AP146" s="1266"/>
      <c r="AQ146" s="1266"/>
      <c r="AR146" s="1390"/>
      <c r="AS146" s="1266"/>
      <c r="AT146" s="1266"/>
      <c r="AU146" s="1266"/>
      <c r="AV146" s="1266"/>
      <c r="AW146" s="1266"/>
      <c r="AX146" s="1266"/>
      <c r="AY146" s="1266"/>
    </row>
    <row r="147" spans="1:51">
      <c r="A147" s="1266"/>
      <c r="B147" s="1266"/>
      <c r="C147" s="1254"/>
      <c r="D147" s="1266"/>
      <c r="E147" s="1298"/>
      <c r="F147" s="1367"/>
      <c r="G147" s="1385"/>
      <c r="H147" s="1385"/>
      <c r="I147" s="1385"/>
      <c r="J147" s="1385"/>
      <c r="K147" s="1385"/>
      <c r="L147" s="1385"/>
      <c r="M147" s="1385"/>
      <c r="N147" s="1385"/>
      <c r="O147" s="1385"/>
      <c r="P147" s="1385"/>
      <c r="Q147" s="1385"/>
      <c r="R147" s="1385"/>
      <c r="S147" s="1385"/>
      <c r="T147" s="1385"/>
      <c r="U147" s="1385"/>
      <c r="V147" s="1385"/>
      <c r="W147" s="1254"/>
      <c r="X147" s="1266"/>
      <c r="Y147" s="1254"/>
      <c r="Z147" s="1266"/>
      <c r="AA147" s="1266"/>
      <c r="AB147" s="1389"/>
      <c r="AC147" s="1390"/>
      <c r="AD147" s="1254"/>
      <c r="AE147" s="1254"/>
      <c r="AF147" s="1254"/>
      <c r="AG147" s="1307"/>
      <c r="AH147" s="1389"/>
      <c r="AI147" s="1389"/>
      <c r="AJ147" s="1389"/>
      <c r="AK147" s="1389"/>
      <c r="AL147" s="1389"/>
      <c r="AM147" s="1389"/>
      <c r="AN147" s="1266"/>
      <c r="AO147" s="1266"/>
      <c r="AP147" s="1266"/>
      <c r="AQ147" s="1266"/>
      <c r="AR147" s="1390"/>
      <c r="AS147" s="1266"/>
      <c r="AT147" s="1266"/>
      <c r="AU147" s="1266"/>
      <c r="AV147" s="1266"/>
      <c r="AW147" s="1266"/>
      <c r="AX147" s="1266"/>
      <c r="AY147" s="1266"/>
    </row>
    <row r="148" spans="1:51">
      <c r="A148" s="1266"/>
      <c r="B148" s="1266"/>
      <c r="C148" s="1254"/>
      <c r="D148" s="1266"/>
      <c r="E148" s="1298"/>
      <c r="F148" s="1367"/>
      <c r="G148" s="1385"/>
      <c r="H148" s="1385"/>
      <c r="I148" s="1385"/>
      <c r="J148" s="1385"/>
      <c r="K148" s="1385"/>
      <c r="L148" s="1385"/>
      <c r="M148" s="1385"/>
      <c r="N148" s="1385"/>
      <c r="O148" s="1385"/>
      <c r="P148" s="1385"/>
      <c r="Q148" s="1385"/>
      <c r="R148" s="1385"/>
      <c r="S148" s="1385"/>
      <c r="T148" s="1385"/>
      <c r="U148" s="1385"/>
      <c r="V148" s="1385"/>
      <c r="W148" s="1254"/>
      <c r="X148" s="1266"/>
      <c r="Y148" s="1254"/>
      <c r="Z148" s="1266"/>
      <c r="AA148" s="1266"/>
      <c r="AB148" s="1389"/>
      <c r="AC148" s="1390"/>
      <c r="AD148" s="1254"/>
      <c r="AE148" s="1254"/>
      <c r="AF148" s="1254"/>
      <c r="AG148" s="1307"/>
      <c r="AH148" s="1389"/>
      <c r="AI148" s="1389"/>
      <c r="AJ148" s="1389"/>
      <c r="AK148" s="1389"/>
      <c r="AL148" s="1389"/>
      <c r="AM148" s="1389"/>
      <c r="AN148" s="1266"/>
      <c r="AO148" s="1266"/>
      <c r="AP148" s="1266"/>
      <c r="AQ148" s="1266"/>
      <c r="AR148" s="1390"/>
      <c r="AS148" s="1266"/>
      <c r="AT148" s="1266"/>
      <c r="AU148" s="1266"/>
      <c r="AV148" s="1266"/>
      <c r="AW148" s="1266"/>
      <c r="AX148" s="1266"/>
      <c r="AY148" s="1266"/>
    </row>
    <row r="149" spans="1:51">
      <c r="A149" s="1266"/>
      <c r="B149" s="1266"/>
      <c r="C149" s="1254"/>
      <c r="D149" s="1266"/>
      <c r="E149" s="1298"/>
      <c r="F149" s="1367"/>
      <c r="G149" s="1385"/>
      <c r="H149" s="1385"/>
      <c r="I149" s="1385"/>
      <c r="J149" s="1385"/>
      <c r="K149" s="1385"/>
      <c r="L149" s="1385"/>
      <c r="M149" s="1385"/>
      <c r="N149" s="1385"/>
      <c r="O149" s="1385"/>
      <c r="P149" s="1385"/>
      <c r="Q149" s="1385"/>
      <c r="R149" s="1385"/>
      <c r="S149" s="1385"/>
      <c r="T149" s="1385"/>
      <c r="U149" s="1385"/>
      <c r="V149" s="1385"/>
      <c r="W149" s="1254"/>
      <c r="X149" s="1266"/>
      <c r="Y149" s="1254"/>
      <c r="Z149" s="1266"/>
      <c r="AA149" s="1266"/>
      <c r="AB149" s="1389"/>
      <c r="AC149" s="1390"/>
      <c r="AD149" s="1254"/>
      <c r="AE149" s="1254"/>
      <c r="AF149" s="1254"/>
      <c r="AG149" s="1307"/>
      <c r="AH149" s="1389"/>
      <c r="AI149" s="1389"/>
      <c r="AJ149" s="1389"/>
      <c r="AK149" s="1389"/>
      <c r="AL149" s="1389"/>
      <c r="AM149" s="1389"/>
      <c r="AN149" s="1266"/>
      <c r="AO149" s="1266"/>
      <c r="AP149" s="1266"/>
      <c r="AQ149" s="1266"/>
      <c r="AR149" s="1390"/>
      <c r="AS149" s="1266"/>
      <c r="AT149" s="1266"/>
      <c r="AU149" s="1266"/>
      <c r="AV149" s="1266"/>
      <c r="AW149" s="1266"/>
      <c r="AX149" s="1266"/>
      <c r="AY149" s="1266"/>
    </row>
    <row r="150" spans="1:51">
      <c r="A150" s="1266"/>
      <c r="B150" s="1266"/>
      <c r="C150" s="1254"/>
      <c r="D150" s="1266"/>
      <c r="E150" s="1298"/>
      <c r="F150" s="1367"/>
      <c r="G150" s="1385"/>
      <c r="H150" s="1385"/>
      <c r="I150" s="1385"/>
      <c r="J150" s="1385"/>
      <c r="K150" s="1385"/>
      <c r="L150" s="1385"/>
      <c r="M150" s="1385"/>
      <c r="N150" s="1385"/>
      <c r="O150" s="1385"/>
      <c r="P150" s="1385"/>
      <c r="Q150" s="1385"/>
      <c r="R150" s="1385"/>
      <c r="S150" s="1385"/>
      <c r="T150" s="1385"/>
      <c r="U150" s="1385"/>
      <c r="V150" s="1385"/>
      <c r="W150" s="1254"/>
      <c r="X150" s="1266"/>
      <c r="Y150" s="1254"/>
      <c r="Z150" s="1266"/>
      <c r="AA150" s="1266"/>
      <c r="AB150" s="1389"/>
      <c r="AC150" s="1390"/>
      <c r="AD150" s="1254"/>
      <c r="AE150" s="1254"/>
      <c r="AF150" s="1254"/>
      <c r="AG150" s="1307"/>
      <c r="AH150" s="1389"/>
      <c r="AI150" s="1389"/>
      <c r="AJ150" s="1389"/>
      <c r="AK150" s="1389"/>
      <c r="AL150" s="1389"/>
      <c r="AM150" s="1389"/>
      <c r="AN150" s="1266"/>
      <c r="AO150" s="1266"/>
      <c r="AP150" s="1266"/>
      <c r="AQ150" s="1266"/>
      <c r="AR150" s="1390"/>
      <c r="AS150" s="1266"/>
      <c r="AT150" s="1266"/>
      <c r="AU150" s="1266"/>
      <c r="AV150" s="1266"/>
      <c r="AW150" s="1266"/>
      <c r="AX150" s="1266"/>
      <c r="AY150" s="1266"/>
    </row>
    <row r="151" spans="1:51">
      <c r="A151" s="1266"/>
      <c r="B151" s="1266"/>
      <c r="C151" s="1254"/>
      <c r="D151" s="1266"/>
      <c r="E151" s="1298"/>
      <c r="F151" s="1367"/>
      <c r="G151" s="1385"/>
      <c r="H151" s="1385"/>
      <c r="I151" s="1385"/>
      <c r="J151" s="1385"/>
      <c r="K151" s="1385"/>
      <c r="L151" s="1385"/>
      <c r="M151" s="1385"/>
      <c r="N151" s="1385"/>
      <c r="O151" s="1385"/>
      <c r="P151" s="1385"/>
      <c r="Q151" s="1385"/>
      <c r="R151" s="1385"/>
      <c r="S151" s="1385"/>
      <c r="T151" s="1385"/>
      <c r="U151" s="1385"/>
      <c r="V151" s="1385"/>
      <c r="W151" s="1254"/>
      <c r="X151" s="1266"/>
      <c r="Y151" s="1254"/>
      <c r="Z151" s="1266"/>
      <c r="AA151" s="1266"/>
      <c r="AB151" s="1389"/>
      <c r="AC151" s="1390"/>
      <c r="AD151" s="1254"/>
      <c r="AE151" s="1254"/>
      <c r="AF151" s="1254"/>
      <c r="AG151" s="1307"/>
      <c r="AH151" s="1389"/>
      <c r="AI151" s="1389"/>
      <c r="AJ151" s="1389"/>
      <c r="AK151" s="1389"/>
      <c r="AL151" s="1389"/>
      <c r="AM151" s="1389"/>
      <c r="AN151" s="1266"/>
      <c r="AO151" s="1266"/>
      <c r="AP151" s="1266"/>
      <c r="AQ151" s="1266"/>
      <c r="AR151" s="1390"/>
      <c r="AS151" s="1266"/>
      <c r="AT151" s="1266"/>
      <c r="AU151" s="1266"/>
      <c r="AV151" s="1266"/>
      <c r="AW151" s="1266"/>
      <c r="AX151" s="1266"/>
      <c r="AY151" s="1266"/>
    </row>
    <row r="152" spans="1:51">
      <c r="A152" s="1266"/>
      <c r="B152" s="1266"/>
      <c r="C152" s="1254"/>
      <c r="D152" s="1266"/>
      <c r="E152" s="1298"/>
      <c r="F152" s="1367"/>
      <c r="G152" s="1385"/>
      <c r="H152" s="1385"/>
      <c r="I152" s="1385"/>
      <c r="J152" s="1385"/>
      <c r="K152" s="1385"/>
      <c r="L152" s="1385"/>
      <c r="M152" s="1385"/>
      <c r="N152" s="1385"/>
      <c r="O152" s="1385"/>
      <c r="P152" s="1385"/>
      <c r="Q152" s="1385"/>
      <c r="R152" s="1385"/>
      <c r="S152" s="1385"/>
      <c r="T152" s="1385"/>
      <c r="U152" s="1385"/>
      <c r="V152" s="1385"/>
      <c r="W152" s="1254"/>
      <c r="X152" s="1266"/>
      <c r="Y152" s="1254"/>
      <c r="Z152" s="1266"/>
      <c r="AA152" s="1266"/>
      <c r="AB152" s="1389"/>
      <c r="AC152" s="1390"/>
      <c r="AD152" s="1254"/>
      <c r="AE152" s="1254"/>
      <c r="AF152" s="1254"/>
      <c r="AG152" s="1307"/>
      <c r="AH152" s="1389"/>
      <c r="AI152" s="1389"/>
      <c r="AJ152" s="1389"/>
      <c r="AK152" s="1389"/>
      <c r="AL152" s="1389"/>
      <c r="AM152" s="1389"/>
      <c r="AN152" s="1266"/>
      <c r="AO152" s="1266"/>
      <c r="AP152" s="1266"/>
      <c r="AQ152" s="1266"/>
      <c r="AR152" s="1390"/>
      <c r="AS152" s="1266"/>
      <c r="AT152" s="1266"/>
      <c r="AU152" s="1266"/>
      <c r="AV152" s="1266"/>
      <c r="AW152" s="1266"/>
      <c r="AX152" s="1266"/>
      <c r="AY152" s="1266"/>
    </row>
    <row r="153" spans="1:51">
      <c r="A153" s="1266"/>
      <c r="B153" s="1266"/>
      <c r="C153" s="1254"/>
      <c r="D153" s="1266"/>
      <c r="E153" s="1298"/>
      <c r="F153" s="1367"/>
      <c r="G153" s="1385"/>
      <c r="H153" s="1385"/>
      <c r="I153" s="1385"/>
      <c r="J153" s="1385"/>
      <c r="K153" s="1385"/>
      <c r="L153" s="1385"/>
      <c r="M153" s="1385"/>
      <c r="N153" s="1385"/>
      <c r="O153" s="1385"/>
      <c r="P153" s="1385"/>
      <c r="Q153" s="1385"/>
      <c r="R153" s="1385"/>
      <c r="S153" s="1385"/>
      <c r="T153" s="1385"/>
      <c r="U153" s="1385"/>
      <c r="V153" s="1385"/>
      <c r="W153" s="1254"/>
      <c r="X153" s="1266"/>
      <c r="Y153" s="1254"/>
      <c r="Z153" s="1266"/>
      <c r="AA153" s="1266"/>
      <c r="AB153" s="1389"/>
      <c r="AC153" s="1390"/>
      <c r="AD153" s="1254"/>
      <c r="AE153" s="1254"/>
      <c r="AF153" s="1254"/>
      <c r="AG153" s="1307"/>
      <c r="AH153" s="1389"/>
      <c r="AI153" s="1389"/>
      <c r="AJ153" s="1389"/>
      <c r="AK153" s="1389"/>
      <c r="AL153" s="1389"/>
      <c r="AM153" s="1389"/>
      <c r="AN153" s="1266"/>
      <c r="AO153" s="1266"/>
      <c r="AP153" s="1266"/>
      <c r="AQ153" s="1266"/>
      <c r="AR153" s="1390"/>
      <c r="AS153" s="1266"/>
      <c r="AT153" s="1266"/>
      <c r="AU153" s="1266"/>
      <c r="AV153" s="1266"/>
      <c r="AW153" s="1266"/>
      <c r="AX153" s="1266"/>
      <c r="AY153" s="1266"/>
    </row>
    <row r="154" spans="1:51">
      <c r="A154" s="1266"/>
      <c r="B154" s="1266"/>
      <c r="C154" s="1254"/>
      <c r="D154" s="1266"/>
      <c r="E154" s="1298"/>
      <c r="F154" s="1367"/>
      <c r="G154" s="1385"/>
      <c r="H154" s="1385"/>
      <c r="I154" s="1385"/>
      <c r="J154" s="1385"/>
      <c r="K154" s="1385"/>
      <c r="L154" s="1385"/>
      <c r="M154" s="1385"/>
      <c r="N154" s="1385"/>
      <c r="O154" s="1385"/>
      <c r="P154" s="1385"/>
      <c r="Q154" s="1385"/>
      <c r="R154" s="1385"/>
      <c r="S154" s="1385"/>
      <c r="T154" s="1385"/>
      <c r="U154" s="1385"/>
      <c r="V154" s="1385"/>
      <c r="W154" s="1254"/>
      <c r="X154" s="1266"/>
      <c r="Y154" s="1254"/>
      <c r="Z154" s="1266"/>
      <c r="AA154" s="1266"/>
      <c r="AB154" s="1389"/>
      <c r="AC154" s="1390"/>
      <c r="AD154" s="1254"/>
      <c r="AE154" s="1254"/>
      <c r="AF154" s="1254"/>
      <c r="AG154" s="1307"/>
      <c r="AH154" s="1389"/>
      <c r="AI154" s="1389"/>
      <c r="AJ154" s="1389"/>
      <c r="AK154" s="1389"/>
      <c r="AL154" s="1389"/>
      <c r="AM154" s="1389"/>
      <c r="AN154" s="1266"/>
      <c r="AO154" s="1266"/>
      <c r="AP154" s="1266"/>
      <c r="AQ154" s="1266"/>
      <c r="AR154" s="1390"/>
      <c r="AS154" s="1266"/>
      <c r="AT154" s="1266"/>
      <c r="AU154" s="1266"/>
      <c r="AV154" s="1266"/>
      <c r="AW154" s="1266"/>
      <c r="AX154" s="1266"/>
      <c r="AY154" s="1266"/>
    </row>
    <row r="155" spans="1:51">
      <c r="A155" s="1266"/>
      <c r="B155" s="1266"/>
      <c r="C155" s="1254"/>
      <c r="D155" s="1266"/>
      <c r="E155" s="1298"/>
      <c r="F155" s="1367"/>
      <c r="G155" s="1385"/>
      <c r="H155" s="1385"/>
      <c r="I155" s="1385"/>
      <c r="J155" s="1385"/>
      <c r="K155" s="1385"/>
      <c r="L155" s="1385"/>
      <c r="M155" s="1385"/>
      <c r="N155" s="1385"/>
      <c r="O155" s="1385"/>
      <c r="P155" s="1385"/>
      <c r="Q155" s="1385"/>
      <c r="R155" s="1385"/>
      <c r="S155" s="1385"/>
      <c r="T155" s="1385"/>
      <c r="U155" s="1385"/>
      <c r="V155" s="1385"/>
      <c r="W155" s="1254"/>
      <c r="X155" s="1266"/>
      <c r="Y155" s="1254"/>
      <c r="Z155" s="1266"/>
      <c r="AA155" s="1266"/>
      <c r="AB155" s="1389"/>
      <c r="AC155" s="1390"/>
      <c r="AD155" s="1254"/>
      <c r="AE155" s="1254"/>
      <c r="AF155" s="1254"/>
      <c r="AG155" s="1307"/>
      <c r="AH155" s="1389"/>
      <c r="AI155" s="1389"/>
      <c r="AJ155" s="1389"/>
      <c r="AK155" s="1389"/>
      <c r="AL155" s="1389"/>
      <c r="AM155" s="1389"/>
      <c r="AN155" s="1266"/>
      <c r="AO155" s="1266"/>
      <c r="AP155" s="1266"/>
      <c r="AQ155" s="1266"/>
      <c r="AR155" s="1390"/>
      <c r="AS155" s="1266"/>
      <c r="AT155" s="1266"/>
      <c r="AU155" s="1266"/>
      <c r="AV155" s="1266"/>
      <c r="AW155" s="1266"/>
      <c r="AX155" s="1266"/>
      <c r="AY155" s="1266"/>
    </row>
    <row r="156" spans="1:51">
      <c r="A156" s="1266"/>
      <c r="B156" s="1266"/>
      <c r="C156" s="1254"/>
      <c r="D156" s="1266"/>
      <c r="E156" s="1298"/>
      <c r="F156" s="1367"/>
      <c r="G156" s="1385"/>
      <c r="H156" s="1385"/>
      <c r="I156" s="1385"/>
      <c r="J156" s="1385"/>
      <c r="K156" s="1385"/>
      <c r="L156" s="1385"/>
      <c r="M156" s="1385"/>
      <c r="N156" s="1385"/>
      <c r="O156" s="1385"/>
      <c r="P156" s="1385"/>
      <c r="Q156" s="1385"/>
      <c r="R156" s="1385"/>
      <c r="S156" s="1385"/>
      <c r="T156" s="1385"/>
      <c r="U156" s="1385"/>
      <c r="V156" s="1385"/>
      <c r="W156" s="1254"/>
      <c r="X156" s="1266"/>
      <c r="Y156" s="1254"/>
      <c r="Z156" s="1266"/>
      <c r="AA156" s="1266"/>
      <c r="AB156" s="1389"/>
      <c r="AC156" s="1390"/>
      <c r="AD156" s="1254"/>
      <c r="AE156" s="1254"/>
      <c r="AF156" s="1254"/>
      <c r="AG156" s="1307"/>
      <c r="AH156" s="1389"/>
      <c r="AI156" s="1389"/>
      <c r="AJ156" s="1389"/>
      <c r="AK156" s="1389"/>
      <c r="AL156" s="1389"/>
      <c r="AM156" s="1389"/>
      <c r="AN156" s="1266"/>
      <c r="AO156" s="1266"/>
      <c r="AP156" s="1266"/>
      <c r="AQ156" s="1266"/>
      <c r="AR156" s="1390"/>
      <c r="AS156" s="1266"/>
      <c r="AT156" s="1266"/>
      <c r="AU156" s="1266"/>
      <c r="AV156" s="1266"/>
      <c r="AW156" s="1266"/>
      <c r="AX156" s="1266"/>
      <c r="AY156" s="1266"/>
    </row>
    <row r="157" spans="1:51">
      <c r="A157" s="1266"/>
      <c r="B157" s="1266"/>
      <c r="C157" s="1254"/>
      <c r="D157" s="1266"/>
      <c r="E157" s="1298"/>
      <c r="F157" s="1367"/>
      <c r="G157" s="1385"/>
      <c r="H157" s="1385"/>
      <c r="I157" s="1385"/>
      <c r="J157" s="1385"/>
      <c r="K157" s="1385"/>
      <c r="L157" s="1385"/>
      <c r="M157" s="1385"/>
      <c r="N157" s="1385"/>
      <c r="O157" s="1385"/>
      <c r="P157" s="1385"/>
      <c r="Q157" s="1385"/>
      <c r="R157" s="1385"/>
      <c r="S157" s="1385"/>
      <c r="T157" s="1385"/>
      <c r="U157" s="1385"/>
      <c r="V157" s="1385"/>
      <c r="W157" s="1254"/>
      <c r="X157" s="1266"/>
      <c r="Y157" s="1254"/>
      <c r="Z157" s="1266"/>
      <c r="AA157" s="1266"/>
      <c r="AB157" s="1389"/>
      <c r="AC157" s="1390"/>
      <c r="AD157" s="1254"/>
      <c r="AE157" s="1254"/>
      <c r="AF157" s="1254"/>
      <c r="AG157" s="1307"/>
      <c r="AH157" s="1389"/>
      <c r="AI157" s="1389"/>
      <c r="AJ157" s="1389"/>
      <c r="AK157" s="1389"/>
      <c r="AL157" s="1389"/>
      <c r="AM157" s="1389"/>
      <c r="AN157" s="1266"/>
      <c r="AO157" s="1266"/>
      <c r="AP157" s="1266"/>
      <c r="AQ157" s="1266"/>
      <c r="AR157" s="1390"/>
      <c r="AS157" s="1266"/>
      <c r="AT157" s="1266"/>
      <c r="AU157" s="1266"/>
      <c r="AV157" s="1266"/>
      <c r="AW157" s="1266"/>
      <c r="AX157" s="1266"/>
      <c r="AY157" s="1266"/>
    </row>
    <row r="158" spans="1:51">
      <c r="A158" s="1266"/>
      <c r="B158" s="1266"/>
      <c r="C158" s="1254"/>
      <c r="D158" s="1266"/>
      <c r="E158" s="1298"/>
      <c r="F158" s="1367"/>
      <c r="G158" s="1385"/>
      <c r="H158" s="1385"/>
      <c r="I158" s="1385"/>
      <c r="J158" s="1385"/>
      <c r="K158" s="1385"/>
      <c r="L158" s="1385"/>
      <c r="M158" s="1385"/>
      <c r="N158" s="1385"/>
      <c r="O158" s="1385"/>
      <c r="P158" s="1385"/>
      <c r="Q158" s="1385"/>
      <c r="R158" s="1385"/>
      <c r="S158" s="1385"/>
      <c r="T158" s="1385"/>
      <c r="U158" s="1385"/>
      <c r="V158" s="1385"/>
      <c r="W158" s="1254"/>
      <c r="X158" s="1266"/>
      <c r="Y158" s="1254"/>
      <c r="Z158" s="1266"/>
      <c r="AA158" s="1266"/>
      <c r="AB158" s="1389"/>
      <c r="AC158" s="1390"/>
      <c r="AD158" s="1254"/>
      <c r="AE158" s="1254"/>
      <c r="AF158" s="1254"/>
      <c r="AG158" s="1307"/>
      <c r="AH158" s="1389"/>
      <c r="AI158" s="1389"/>
      <c r="AJ158" s="1389"/>
      <c r="AK158" s="1389"/>
      <c r="AL158" s="1389"/>
      <c r="AM158" s="1389"/>
      <c r="AN158" s="1266"/>
      <c r="AO158" s="1266"/>
      <c r="AP158" s="1266"/>
      <c r="AQ158" s="1266"/>
      <c r="AR158" s="1390"/>
      <c r="AS158" s="1266"/>
      <c r="AT158" s="1266"/>
      <c r="AU158" s="1266"/>
      <c r="AV158" s="1266"/>
      <c r="AW158" s="1266"/>
      <c r="AX158" s="1266"/>
      <c r="AY158" s="1266"/>
    </row>
    <row r="159" spans="1:51">
      <c r="A159" s="1266"/>
      <c r="B159" s="1266"/>
      <c r="C159" s="1254"/>
      <c r="D159" s="1266"/>
      <c r="E159" s="1298"/>
      <c r="F159" s="1367"/>
      <c r="G159" s="1385"/>
      <c r="H159" s="1385"/>
      <c r="I159" s="1385"/>
      <c r="J159" s="1385"/>
      <c r="K159" s="1385"/>
      <c r="L159" s="1385"/>
      <c r="M159" s="1385"/>
      <c r="N159" s="1385"/>
      <c r="O159" s="1385"/>
      <c r="P159" s="1385"/>
      <c r="Q159" s="1385"/>
      <c r="R159" s="1385"/>
      <c r="S159" s="1385"/>
      <c r="T159" s="1385"/>
      <c r="U159" s="1385"/>
      <c r="V159" s="1385"/>
      <c r="W159" s="1254"/>
      <c r="X159" s="1266"/>
      <c r="Y159" s="1254"/>
      <c r="Z159" s="1266"/>
      <c r="AA159" s="1266"/>
      <c r="AB159" s="1389"/>
      <c r="AC159" s="1390"/>
      <c r="AD159" s="1254"/>
      <c r="AE159" s="1254"/>
      <c r="AF159" s="1254"/>
      <c r="AG159" s="1307"/>
      <c r="AH159" s="1389"/>
      <c r="AI159" s="1389"/>
      <c r="AJ159" s="1389"/>
      <c r="AK159" s="1389"/>
      <c r="AL159" s="1389"/>
      <c r="AM159" s="1389"/>
      <c r="AN159" s="1266"/>
      <c r="AO159" s="1266"/>
      <c r="AP159" s="1266"/>
      <c r="AQ159" s="1266"/>
      <c r="AR159" s="1390"/>
      <c r="AS159" s="1266"/>
      <c r="AT159" s="1266"/>
      <c r="AU159" s="1266"/>
      <c r="AV159" s="1266"/>
      <c r="AW159" s="1266"/>
      <c r="AX159" s="1266"/>
      <c r="AY159" s="1266"/>
    </row>
    <row r="160" spans="1:51">
      <c r="A160" s="1266"/>
      <c r="B160" s="1266"/>
      <c r="C160" s="1254"/>
      <c r="D160" s="1266"/>
      <c r="E160" s="1298"/>
      <c r="F160" s="1367"/>
      <c r="G160" s="1385"/>
      <c r="H160" s="1385"/>
      <c r="I160" s="1385"/>
      <c r="J160" s="1385"/>
      <c r="K160" s="1385"/>
      <c r="L160" s="1385"/>
      <c r="M160" s="1385"/>
      <c r="N160" s="1385"/>
      <c r="O160" s="1385"/>
      <c r="P160" s="1385"/>
      <c r="Q160" s="1385"/>
      <c r="R160" s="1385"/>
      <c r="S160" s="1385"/>
      <c r="T160" s="1385"/>
      <c r="U160" s="1385"/>
      <c r="V160" s="1385"/>
      <c r="W160" s="1254"/>
      <c r="X160" s="1266"/>
      <c r="Y160" s="1254"/>
      <c r="Z160" s="1266"/>
      <c r="AA160" s="1266"/>
      <c r="AB160" s="1389"/>
      <c r="AC160" s="1390"/>
      <c r="AD160" s="1254"/>
      <c r="AE160" s="1254"/>
      <c r="AF160" s="1254"/>
      <c r="AG160" s="1307"/>
      <c r="AH160" s="1389"/>
      <c r="AI160" s="1389"/>
      <c r="AJ160" s="1389"/>
      <c r="AK160" s="1389"/>
      <c r="AL160" s="1389"/>
      <c r="AM160" s="1389"/>
      <c r="AN160" s="1266"/>
      <c r="AO160" s="1266"/>
      <c r="AP160" s="1266"/>
      <c r="AQ160" s="1266"/>
      <c r="AR160" s="1390"/>
      <c r="AS160" s="1266"/>
      <c r="AT160" s="1266"/>
      <c r="AU160" s="1266"/>
      <c r="AV160" s="1266"/>
      <c r="AW160" s="1266"/>
      <c r="AX160" s="1266"/>
      <c r="AY160" s="1266"/>
    </row>
    <row r="161" spans="1:51">
      <c r="A161" s="1266"/>
      <c r="B161" s="1266"/>
      <c r="C161" s="1254"/>
      <c r="D161" s="1266"/>
      <c r="E161" s="1298"/>
      <c r="F161" s="1367"/>
      <c r="G161" s="1385"/>
      <c r="H161" s="1385"/>
      <c r="I161" s="1385"/>
      <c r="J161" s="1385"/>
      <c r="K161" s="1385"/>
      <c r="L161" s="1385"/>
      <c r="M161" s="1385"/>
      <c r="N161" s="1385"/>
      <c r="O161" s="1385"/>
      <c r="P161" s="1385"/>
      <c r="Q161" s="1385"/>
      <c r="R161" s="1385"/>
      <c r="S161" s="1385"/>
      <c r="T161" s="1385"/>
      <c r="U161" s="1385"/>
      <c r="V161" s="1385"/>
      <c r="W161" s="1254"/>
      <c r="X161" s="1266"/>
      <c r="Y161" s="1254"/>
      <c r="Z161" s="1266"/>
      <c r="AA161" s="1266"/>
      <c r="AB161" s="1389"/>
      <c r="AC161" s="1390"/>
      <c r="AD161" s="1254"/>
      <c r="AE161" s="1254"/>
      <c r="AF161" s="1254"/>
      <c r="AG161" s="1307"/>
      <c r="AH161" s="1389"/>
      <c r="AI161" s="1389"/>
      <c r="AJ161" s="1389"/>
      <c r="AK161" s="1389"/>
      <c r="AL161" s="1389"/>
      <c r="AM161" s="1389"/>
      <c r="AN161" s="1266"/>
      <c r="AO161" s="1266"/>
      <c r="AP161" s="1266"/>
      <c r="AQ161" s="1266"/>
      <c r="AR161" s="1390"/>
      <c r="AS161" s="1266"/>
      <c r="AT161" s="1266"/>
      <c r="AU161" s="1266"/>
      <c r="AV161" s="1266"/>
      <c r="AW161" s="1266"/>
      <c r="AX161" s="1266"/>
      <c r="AY161" s="1266"/>
    </row>
    <row r="162" spans="1:51">
      <c r="A162" s="1266"/>
      <c r="B162" s="1266"/>
      <c r="C162" s="1254"/>
      <c r="D162" s="1266"/>
      <c r="E162" s="1298"/>
      <c r="F162" s="1367"/>
      <c r="G162" s="1385"/>
      <c r="H162" s="1385"/>
      <c r="I162" s="1385"/>
      <c r="J162" s="1385"/>
      <c r="K162" s="1385"/>
      <c r="L162" s="1385"/>
      <c r="M162" s="1385"/>
      <c r="N162" s="1385"/>
      <c r="O162" s="1385"/>
      <c r="P162" s="1385"/>
      <c r="Q162" s="1385"/>
      <c r="R162" s="1385"/>
      <c r="S162" s="1385"/>
      <c r="T162" s="1385"/>
      <c r="U162" s="1385"/>
      <c r="V162" s="1385"/>
      <c r="W162" s="1254"/>
      <c r="X162" s="1266"/>
      <c r="Y162" s="1254"/>
      <c r="Z162" s="1266"/>
      <c r="AA162" s="1266"/>
      <c r="AB162" s="1389"/>
      <c r="AC162" s="1390"/>
      <c r="AD162" s="1254"/>
      <c r="AE162" s="1254"/>
      <c r="AF162" s="1254"/>
      <c r="AG162" s="1307"/>
      <c r="AH162" s="1389"/>
      <c r="AI162" s="1389"/>
      <c r="AJ162" s="1389"/>
      <c r="AK162" s="1389"/>
      <c r="AL162" s="1389"/>
      <c r="AM162" s="1389"/>
      <c r="AN162" s="1266"/>
      <c r="AO162" s="1266"/>
      <c r="AP162" s="1266"/>
      <c r="AQ162" s="1266"/>
      <c r="AR162" s="1390"/>
      <c r="AS162" s="1266"/>
      <c r="AT162" s="1266"/>
      <c r="AU162" s="1266"/>
      <c r="AV162" s="1266"/>
      <c r="AW162" s="1266"/>
      <c r="AX162" s="1266"/>
      <c r="AY162" s="1266"/>
    </row>
    <row r="163" spans="1:51">
      <c r="A163" s="1266"/>
      <c r="B163" s="1266"/>
      <c r="C163" s="1254"/>
      <c r="D163" s="1266"/>
      <c r="E163" s="1298"/>
      <c r="F163" s="1367"/>
      <c r="G163" s="1385"/>
      <c r="H163" s="1385"/>
      <c r="I163" s="1385"/>
      <c r="J163" s="1385"/>
      <c r="K163" s="1385"/>
      <c r="L163" s="1385"/>
      <c r="M163" s="1385"/>
      <c r="N163" s="1385"/>
      <c r="O163" s="1385"/>
      <c r="P163" s="1385"/>
      <c r="Q163" s="1385"/>
      <c r="R163" s="1385"/>
      <c r="S163" s="1385"/>
      <c r="T163" s="1385"/>
      <c r="U163" s="1385"/>
      <c r="V163" s="1385"/>
      <c r="W163" s="1254"/>
      <c r="X163" s="1266"/>
      <c r="Y163" s="1254"/>
      <c r="Z163" s="1266"/>
      <c r="AA163" s="1266"/>
      <c r="AB163" s="1389"/>
      <c r="AC163" s="1390"/>
      <c r="AD163" s="1254"/>
      <c r="AE163" s="1254"/>
      <c r="AF163" s="1254"/>
      <c r="AG163" s="1307"/>
      <c r="AH163" s="1389"/>
      <c r="AI163" s="1389"/>
      <c r="AJ163" s="1389"/>
      <c r="AK163" s="1389"/>
      <c r="AL163" s="1389"/>
      <c r="AM163" s="1389"/>
      <c r="AN163" s="1266"/>
      <c r="AO163" s="1266"/>
      <c r="AP163" s="1266"/>
      <c r="AQ163" s="1266"/>
      <c r="AR163" s="1390"/>
      <c r="AS163" s="1266"/>
      <c r="AT163" s="1266"/>
      <c r="AU163" s="1266"/>
      <c r="AV163" s="1266"/>
      <c r="AW163" s="1266"/>
      <c r="AX163" s="1266"/>
      <c r="AY163" s="1266"/>
    </row>
    <row r="164" spans="1:51">
      <c r="A164" s="1266"/>
      <c r="B164" s="1266"/>
      <c r="C164" s="1254"/>
      <c r="D164" s="1266"/>
      <c r="E164" s="1298"/>
      <c r="F164" s="1367"/>
      <c r="G164" s="1385"/>
      <c r="H164" s="1385"/>
      <c r="I164" s="1385"/>
      <c r="J164" s="1385"/>
      <c r="K164" s="1385"/>
      <c r="L164" s="1385"/>
      <c r="M164" s="1385"/>
      <c r="N164" s="1385"/>
      <c r="O164" s="1385"/>
      <c r="P164" s="1385"/>
      <c r="Q164" s="1385"/>
      <c r="R164" s="1385"/>
      <c r="S164" s="1385"/>
      <c r="T164" s="1385"/>
      <c r="U164" s="1385"/>
      <c r="V164" s="1385"/>
      <c r="W164" s="1254"/>
      <c r="X164" s="1266"/>
      <c r="Y164" s="1254"/>
      <c r="Z164" s="1266"/>
      <c r="AA164" s="1266"/>
      <c r="AB164" s="1389"/>
      <c r="AC164" s="1390"/>
      <c r="AD164" s="1254"/>
      <c r="AE164" s="1254"/>
      <c r="AF164" s="1254"/>
      <c r="AG164" s="1307"/>
      <c r="AH164" s="1389"/>
      <c r="AI164" s="1389"/>
      <c r="AJ164" s="1389"/>
      <c r="AK164" s="1389"/>
      <c r="AL164" s="1389"/>
      <c r="AM164" s="1389"/>
      <c r="AN164" s="1266"/>
      <c r="AO164" s="1266"/>
      <c r="AP164" s="1266"/>
      <c r="AQ164" s="1266"/>
      <c r="AR164" s="1390"/>
      <c r="AS164" s="1266"/>
      <c r="AT164" s="1266"/>
      <c r="AU164" s="1266"/>
      <c r="AV164" s="1266"/>
      <c r="AW164" s="1266"/>
      <c r="AX164" s="1266"/>
      <c r="AY164" s="1266"/>
    </row>
    <row r="165" spans="1:51">
      <c r="A165" s="1266"/>
      <c r="B165" s="1266"/>
      <c r="C165" s="1254"/>
      <c r="D165" s="1266"/>
      <c r="E165" s="1298"/>
      <c r="F165" s="1367"/>
      <c r="G165" s="1385"/>
      <c r="H165" s="1385"/>
      <c r="I165" s="1385"/>
      <c r="J165" s="1385"/>
      <c r="K165" s="1385"/>
      <c r="L165" s="1385"/>
      <c r="M165" s="1385"/>
      <c r="N165" s="1385"/>
      <c r="O165" s="1385"/>
      <c r="P165" s="1385"/>
      <c r="Q165" s="1385"/>
      <c r="R165" s="1385"/>
      <c r="S165" s="1385"/>
      <c r="T165" s="1385"/>
      <c r="U165" s="1385"/>
      <c r="V165" s="1385"/>
      <c r="W165" s="1254"/>
      <c r="X165" s="1266"/>
      <c r="Y165" s="1254"/>
      <c r="Z165" s="1266"/>
      <c r="AA165" s="1266"/>
      <c r="AB165" s="1389"/>
      <c r="AC165" s="1390"/>
      <c r="AD165" s="1254"/>
      <c r="AE165" s="1254"/>
      <c r="AF165" s="1254"/>
      <c r="AG165" s="1307"/>
      <c r="AH165" s="1389"/>
      <c r="AI165" s="1389"/>
      <c r="AJ165" s="1389"/>
      <c r="AK165" s="1389"/>
      <c r="AL165" s="1389"/>
      <c r="AM165" s="1389"/>
      <c r="AN165" s="1266"/>
      <c r="AO165" s="1266"/>
      <c r="AP165" s="1266"/>
      <c r="AQ165" s="1266"/>
      <c r="AR165" s="1390"/>
      <c r="AS165" s="1266"/>
      <c r="AT165" s="1266"/>
      <c r="AU165" s="1266"/>
      <c r="AV165" s="1266"/>
      <c r="AW165" s="1266"/>
      <c r="AX165" s="1266"/>
      <c r="AY165" s="1266"/>
    </row>
    <row r="166" spans="1:51">
      <c r="A166" s="1266"/>
      <c r="B166" s="1266"/>
      <c r="C166" s="1254"/>
      <c r="D166" s="1266"/>
      <c r="E166" s="1298"/>
      <c r="F166" s="1367"/>
      <c r="G166" s="1385"/>
      <c r="H166" s="1385"/>
      <c r="I166" s="1385"/>
      <c r="J166" s="1385"/>
      <c r="K166" s="1385"/>
      <c r="L166" s="1385"/>
      <c r="M166" s="1385"/>
      <c r="N166" s="1385"/>
      <c r="O166" s="1385"/>
      <c r="P166" s="1385"/>
      <c r="Q166" s="1385"/>
      <c r="R166" s="1385"/>
      <c r="S166" s="1385"/>
      <c r="T166" s="1385"/>
      <c r="U166" s="1385"/>
      <c r="V166" s="1385"/>
      <c r="W166" s="1254"/>
      <c r="X166" s="1266"/>
      <c r="Y166" s="1254"/>
      <c r="Z166" s="1266"/>
      <c r="AA166" s="1266"/>
      <c r="AB166" s="1389"/>
      <c r="AC166" s="1390"/>
      <c r="AD166" s="1254"/>
      <c r="AE166" s="1254"/>
      <c r="AF166" s="1254"/>
      <c r="AG166" s="1307"/>
      <c r="AH166" s="1389"/>
      <c r="AI166" s="1389"/>
      <c r="AJ166" s="1389"/>
      <c r="AK166" s="1389"/>
      <c r="AL166" s="1389"/>
      <c r="AM166" s="1389"/>
      <c r="AN166" s="1266"/>
      <c r="AO166" s="1266"/>
      <c r="AP166" s="1266"/>
      <c r="AQ166" s="1266"/>
      <c r="AR166" s="1390"/>
      <c r="AS166" s="1266"/>
      <c r="AT166" s="1266"/>
      <c r="AU166" s="1266"/>
      <c r="AV166" s="1266"/>
      <c r="AW166" s="1266"/>
      <c r="AX166" s="1266"/>
      <c r="AY166" s="1266"/>
    </row>
    <row r="167" spans="1:51">
      <c r="A167" s="1266"/>
      <c r="B167" s="1266"/>
      <c r="C167" s="1254"/>
      <c r="D167" s="1266"/>
      <c r="E167" s="1298"/>
      <c r="F167" s="1367"/>
      <c r="G167" s="1385"/>
      <c r="H167" s="1385"/>
      <c r="I167" s="1385"/>
      <c r="J167" s="1385"/>
      <c r="K167" s="1385"/>
      <c r="L167" s="1385"/>
      <c r="M167" s="1385"/>
      <c r="N167" s="1385"/>
      <c r="O167" s="1385"/>
      <c r="P167" s="1385"/>
      <c r="Q167" s="1385"/>
      <c r="R167" s="1385"/>
      <c r="S167" s="1385"/>
      <c r="T167" s="1385"/>
      <c r="U167" s="1385"/>
      <c r="V167" s="1385"/>
      <c r="W167" s="1254"/>
      <c r="X167" s="1266"/>
      <c r="Y167" s="1254"/>
      <c r="Z167" s="1266"/>
      <c r="AA167" s="1266"/>
      <c r="AB167" s="1389"/>
      <c r="AC167" s="1390"/>
      <c r="AD167" s="1254"/>
      <c r="AE167" s="1254"/>
      <c r="AF167" s="1254"/>
      <c r="AG167" s="1307"/>
      <c r="AH167" s="1389"/>
      <c r="AI167" s="1389"/>
      <c r="AJ167" s="1389"/>
      <c r="AK167" s="1389"/>
      <c r="AL167" s="1389"/>
      <c r="AM167" s="1389"/>
      <c r="AN167" s="1266"/>
      <c r="AO167" s="1266"/>
      <c r="AP167" s="1266"/>
      <c r="AQ167" s="1266"/>
      <c r="AR167" s="1390"/>
      <c r="AS167" s="1266"/>
      <c r="AT167" s="1266"/>
      <c r="AU167" s="1266"/>
      <c r="AV167" s="1266"/>
      <c r="AW167" s="1266"/>
      <c r="AX167" s="1266"/>
      <c r="AY167" s="1266"/>
    </row>
    <row r="168" spans="1:51">
      <c r="A168" s="1266"/>
      <c r="B168" s="1266"/>
      <c r="C168" s="1254"/>
      <c r="D168" s="1266"/>
      <c r="E168" s="1298"/>
      <c r="F168" s="1367"/>
      <c r="G168" s="1385"/>
      <c r="H168" s="1385"/>
      <c r="I168" s="1385"/>
      <c r="J168" s="1385"/>
      <c r="K168" s="1385"/>
      <c r="L168" s="1385"/>
      <c r="M168" s="1385"/>
      <c r="N168" s="1385"/>
      <c r="O168" s="1385"/>
      <c r="P168" s="1385"/>
      <c r="Q168" s="1385"/>
      <c r="R168" s="1385"/>
      <c r="S168" s="1385"/>
      <c r="T168" s="1385"/>
      <c r="U168" s="1385"/>
      <c r="V168" s="1385"/>
      <c r="W168" s="1254"/>
      <c r="X168" s="1266"/>
      <c r="Y168" s="1254"/>
      <c r="Z168" s="1266"/>
      <c r="AA168" s="1266"/>
      <c r="AB168" s="1389"/>
      <c r="AC168" s="1390"/>
      <c r="AD168" s="1254"/>
      <c r="AE168" s="1254"/>
      <c r="AF168" s="1254"/>
      <c r="AG168" s="1307"/>
      <c r="AH168" s="1389"/>
      <c r="AI168" s="1389"/>
      <c r="AJ168" s="1389"/>
      <c r="AK168" s="1389"/>
      <c r="AL168" s="1389"/>
      <c r="AM168" s="1389"/>
      <c r="AN168" s="1266"/>
      <c r="AO168" s="1266"/>
      <c r="AP168" s="1266"/>
      <c r="AQ168" s="1266"/>
      <c r="AR168" s="1390"/>
      <c r="AS168" s="1266"/>
      <c r="AT168" s="1266"/>
      <c r="AU168" s="1266"/>
      <c r="AV168" s="1266"/>
      <c r="AW168" s="1266"/>
      <c r="AX168" s="1266"/>
      <c r="AY168" s="1266"/>
    </row>
    <row r="169" spans="1:51">
      <c r="A169" s="1266"/>
      <c r="B169" s="1266"/>
      <c r="C169" s="1254"/>
      <c r="D169" s="1266"/>
      <c r="E169" s="1298"/>
      <c r="F169" s="1367"/>
      <c r="G169" s="1385"/>
      <c r="H169" s="1385"/>
      <c r="I169" s="1385"/>
      <c r="J169" s="1385"/>
      <c r="K169" s="1385"/>
      <c r="L169" s="1385"/>
      <c r="M169" s="1385"/>
      <c r="N169" s="1385"/>
      <c r="O169" s="1385"/>
      <c r="P169" s="1385"/>
      <c r="Q169" s="1385"/>
      <c r="R169" s="1385"/>
      <c r="S169" s="1385"/>
      <c r="T169" s="1385"/>
      <c r="U169" s="1385"/>
      <c r="V169" s="1385"/>
      <c r="W169" s="1254"/>
      <c r="X169" s="1266"/>
      <c r="Y169" s="1254"/>
      <c r="Z169" s="1266"/>
      <c r="AA169" s="1266"/>
      <c r="AB169" s="1389"/>
      <c r="AC169" s="1390"/>
      <c r="AD169" s="1254"/>
      <c r="AE169" s="1254"/>
      <c r="AF169" s="1254"/>
      <c r="AG169" s="1307"/>
      <c r="AH169" s="1389"/>
      <c r="AI169" s="1389"/>
      <c r="AJ169" s="1389"/>
      <c r="AK169" s="1389"/>
      <c r="AL169" s="1389"/>
      <c r="AM169" s="1389"/>
      <c r="AN169" s="1266"/>
      <c r="AO169" s="1266"/>
      <c r="AP169" s="1266"/>
      <c r="AQ169" s="1266"/>
      <c r="AR169" s="1390"/>
      <c r="AS169" s="1266"/>
      <c r="AT169" s="1266"/>
      <c r="AU169" s="1266"/>
      <c r="AV169" s="1266"/>
      <c r="AW169" s="1266"/>
      <c r="AX169" s="1266"/>
      <c r="AY169" s="1266"/>
    </row>
    <row r="170" spans="1:51">
      <c r="A170" s="1266"/>
      <c r="B170" s="1266"/>
      <c r="C170" s="1254"/>
      <c r="D170" s="1266"/>
      <c r="E170" s="1298"/>
      <c r="F170" s="1367"/>
      <c r="G170" s="1385"/>
      <c r="H170" s="1385"/>
      <c r="I170" s="1385"/>
      <c r="J170" s="1385"/>
      <c r="K170" s="1385"/>
      <c r="L170" s="1385"/>
      <c r="M170" s="1385"/>
      <c r="N170" s="1385"/>
      <c r="O170" s="1385"/>
      <c r="P170" s="1385"/>
      <c r="Q170" s="1385"/>
      <c r="R170" s="1385"/>
      <c r="S170" s="1385"/>
      <c r="T170" s="1385"/>
      <c r="U170" s="1385"/>
      <c r="V170" s="1385"/>
      <c r="W170" s="1254"/>
      <c r="X170" s="1266"/>
      <c r="Y170" s="1254"/>
      <c r="Z170" s="1266"/>
      <c r="AA170" s="1266"/>
      <c r="AB170" s="1389"/>
      <c r="AC170" s="1390"/>
      <c r="AD170" s="1254"/>
      <c r="AE170" s="1254"/>
      <c r="AF170" s="1254"/>
      <c r="AG170" s="1307"/>
      <c r="AH170" s="1389"/>
      <c r="AI170" s="1389"/>
      <c r="AJ170" s="1389"/>
      <c r="AK170" s="1389"/>
      <c r="AL170" s="1389"/>
      <c r="AM170" s="1389"/>
      <c r="AN170" s="1266"/>
      <c r="AO170" s="1266"/>
      <c r="AP170" s="1266"/>
      <c r="AQ170" s="1266"/>
      <c r="AR170" s="1390"/>
      <c r="AS170" s="1266"/>
      <c r="AT170" s="1266"/>
      <c r="AU170" s="1266"/>
      <c r="AV170" s="1266"/>
      <c r="AW170" s="1266"/>
      <c r="AX170" s="1266"/>
      <c r="AY170" s="1266"/>
    </row>
    <row r="171" spans="1:51">
      <c r="A171" s="1266"/>
      <c r="B171" s="1266"/>
      <c r="C171" s="1254"/>
      <c r="D171" s="1266"/>
      <c r="E171" s="1298"/>
      <c r="F171" s="1367"/>
      <c r="G171" s="1385"/>
      <c r="H171" s="1385"/>
      <c r="I171" s="1385"/>
      <c r="J171" s="1385"/>
      <c r="K171" s="1385"/>
      <c r="L171" s="1385"/>
      <c r="M171" s="1385"/>
      <c r="N171" s="1385"/>
      <c r="O171" s="1385"/>
      <c r="P171" s="1385"/>
      <c r="Q171" s="1385"/>
      <c r="R171" s="1385"/>
      <c r="S171" s="1385"/>
      <c r="T171" s="1385"/>
      <c r="U171" s="1385"/>
      <c r="V171" s="1385"/>
      <c r="W171" s="1254"/>
      <c r="X171" s="1266"/>
      <c r="Y171" s="1254"/>
      <c r="Z171" s="1266"/>
      <c r="AA171" s="1266"/>
      <c r="AB171" s="1389"/>
      <c r="AC171" s="1390"/>
      <c r="AD171" s="1254"/>
      <c r="AE171" s="1254"/>
      <c r="AF171" s="1254"/>
      <c r="AG171" s="1307"/>
      <c r="AH171" s="1389"/>
      <c r="AI171" s="1389"/>
      <c r="AJ171" s="1389"/>
      <c r="AK171" s="1389"/>
      <c r="AL171" s="1389"/>
      <c r="AM171" s="1389"/>
      <c r="AN171" s="1266"/>
      <c r="AO171" s="1266"/>
      <c r="AP171" s="1266"/>
      <c r="AQ171" s="1266"/>
      <c r="AR171" s="1390"/>
      <c r="AS171" s="1266"/>
      <c r="AT171" s="1266"/>
      <c r="AU171" s="1266"/>
      <c r="AV171" s="1266"/>
      <c r="AW171" s="1266"/>
      <c r="AX171" s="1266"/>
      <c r="AY171" s="1266"/>
    </row>
    <row r="172" spans="1:51">
      <c r="A172" s="1266"/>
      <c r="B172" s="1266"/>
      <c r="C172" s="1254"/>
      <c r="D172" s="1266"/>
      <c r="E172" s="1298"/>
      <c r="F172" s="1367"/>
      <c r="G172" s="1385"/>
      <c r="H172" s="1385"/>
      <c r="I172" s="1385"/>
      <c r="J172" s="1385"/>
      <c r="K172" s="1385"/>
      <c r="L172" s="1385"/>
      <c r="M172" s="1385"/>
      <c r="N172" s="1385"/>
      <c r="O172" s="1385"/>
      <c r="P172" s="1385"/>
      <c r="Q172" s="1385"/>
      <c r="R172" s="1385"/>
      <c r="S172" s="1385"/>
      <c r="T172" s="1385"/>
      <c r="U172" s="1385"/>
      <c r="V172" s="1385"/>
      <c r="W172" s="1254"/>
      <c r="X172" s="1266"/>
      <c r="Y172" s="1254"/>
      <c r="Z172" s="1266"/>
      <c r="AA172" s="1266"/>
      <c r="AB172" s="1389"/>
      <c r="AC172" s="1390"/>
      <c r="AD172" s="1254"/>
      <c r="AE172" s="1254"/>
      <c r="AF172" s="1254"/>
      <c r="AG172" s="1307"/>
      <c r="AH172" s="1389"/>
      <c r="AI172" s="1389"/>
      <c r="AJ172" s="1389"/>
      <c r="AK172" s="1389"/>
      <c r="AL172" s="1389"/>
      <c r="AM172" s="1389"/>
      <c r="AN172" s="1266"/>
      <c r="AO172" s="1266"/>
      <c r="AP172" s="1266"/>
      <c r="AQ172" s="1266"/>
      <c r="AR172" s="1390"/>
      <c r="AS172" s="1266"/>
      <c r="AT172" s="1266"/>
      <c r="AU172" s="1266"/>
      <c r="AV172" s="1266"/>
      <c r="AW172" s="1266"/>
      <c r="AX172" s="1266"/>
      <c r="AY172" s="1266"/>
    </row>
    <row r="173" spans="1:51">
      <c r="A173" s="1266"/>
      <c r="B173" s="1266"/>
      <c r="C173" s="1254"/>
      <c r="D173" s="1266"/>
      <c r="E173" s="1298"/>
      <c r="F173" s="1367"/>
      <c r="G173" s="1385"/>
      <c r="H173" s="1385"/>
      <c r="I173" s="1385"/>
      <c r="J173" s="1385"/>
      <c r="K173" s="1385"/>
      <c r="L173" s="1385"/>
      <c r="M173" s="1385"/>
      <c r="N173" s="1385"/>
      <c r="O173" s="1385"/>
      <c r="P173" s="1385"/>
      <c r="Q173" s="1385"/>
      <c r="R173" s="1385"/>
      <c r="S173" s="1385"/>
      <c r="T173" s="1385"/>
      <c r="U173" s="1385"/>
      <c r="V173" s="1385"/>
      <c r="W173" s="1254"/>
      <c r="X173" s="1266"/>
      <c r="Y173" s="1254"/>
      <c r="Z173" s="1266"/>
      <c r="AA173" s="1266"/>
      <c r="AB173" s="1389"/>
      <c r="AC173" s="1390"/>
      <c r="AD173" s="1254"/>
      <c r="AE173" s="1254"/>
      <c r="AF173" s="1254"/>
      <c r="AG173" s="1307"/>
      <c r="AH173" s="1389"/>
      <c r="AI173" s="1389"/>
      <c r="AJ173" s="1389"/>
      <c r="AK173" s="1389"/>
      <c r="AL173" s="1389"/>
      <c r="AM173" s="1389"/>
      <c r="AN173" s="1266"/>
      <c r="AO173" s="1266"/>
      <c r="AP173" s="1266"/>
      <c r="AQ173" s="1266"/>
      <c r="AR173" s="1390"/>
      <c r="AS173" s="1266"/>
      <c r="AT173" s="1266"/>
      <c r="AU173" s="1266"/>
      <c r="AV173" s="1266"/>
      <c r="AW173" s="1266"/>
      <c r="AX173" s="1266"/>
      <c r="AY173" s="1266"/>
    </row>
    <row r="174" spans="1:51">
      <c r="A174" s="1266"/>
      <c r="B174" s="1266"/>
      <c r="C174" s="1254"/>
      <c r="D174" s="1266"/>
      <c r="E174" s="1298"/>
      <c r="F174" s="1367"/>
      <c r="G174" s="1385"/>
      <c r="H174" s="1385"/>
      <c r="I174" s="1385"/>
      <c r="J174" s="1385"/>
      <c r="K174" s="1385"/>
      <c r="L174" s="1385"/>
      <c r="M174" s="1385"/>
      <c r="N174" s="1385"/>
      <c r="O174" s="1385"/>
      <c r="P174" s="1385"/>
      <c r="Q174" s="1385"/>
      <c r="R174" s="1385"/>
      <c r="S174" s="1385"/>
      <c r="T174" s="1385"/>
      <c r="U174" s="1385"/>
      <c r="V174" s="1385"/>
      <c r="W174" s="1254"/>
      <c r="X174" s="1266"/>
      <c r="Y174" s="1254"/>
      <c r="Z174" s="1266"/>
      <c r="AA174" s="1266"/>
      <c r="AB174" s="1389"/>
      <c r="AC174" s="1390"/>
      <c r="AD174" s="1254"/>
      <c r="AE174" s="1254"/>
      <c r="AF174" s="1254"/>
      <c r="AG174" s="1307"/>
      <c r="AH174" s="1389"/>
      <c r="AI174" s="1389"/>
      <c r="AJ174" s="1389"/>
      <c r="AK174" s="1389"/>
      <c r="AL174" s="1389"/>
      <c r="AM174" s="1389"/>
      <c r="AN174" s="1266"/>
      <c r="AO174" s="1266"/>
      <c r="AP174" s="1266"/>
      <c r="AQ174" s="1266"/>
      <c r="AR174" s="1390"/>
      <c r="AS174" s="1266"/>
      <c r="AT174" s="1266"/>
      <c r="AU174" s="1266"/>
      <c r="AV174" s="1266"/>
      <c r="AW174" s="1266"/>
      <c r="AX174" s="1266"/>
      <c r="AY174" s="1266"/>
    </row>
    <row r="175" spans="1:51">
      <c r="A175" s="1266"/>
      <c r="B175" s="1266"/>
      <c r="C175" s="1254"/>
      <c r="D175" s="1266"/>
      <c r="E175" s="1298"/>
      <c r="F175" s="1367"/>
      <c r="G175" s="1385"/>
      <c r="H175" s="1385"/>
      <c r="I175" s="1385"/>
      <c r="J175" s="1385"/>
      <c r="K175" s="1385"/>
      <c r="L175" s="1385"/>
      <c r="M175" s="1385"/>
      <c r="N175" s="1385"/>
      <c r="O175" s="1385"/>
      <c r="P175" s="1385"/>
      <c r="Q175" s="1385"/>
      <c r="R175" s="1385"/>
      <c r="S175" s="1385"/>
      <c r="T175" s="1385"/>
      <c r="U175" s="1385"/>
      <c r="V175" s="1385"/>
      <c r="W175" s="1254"/>
      <c r="X175" s="1266"/>
      <c r="Y175" s="1254"/>
      <c r="Z175" s="1266"/>
      <c r="AA175" s="1266"/>
      <c r="AB175" s="1389"/>
      <c r="AC175" s="1390"/>
      <c r="AD175" s="1254"/>
      <c r="AE175" s="1254"/>
      <c r="AF175" s="1254"/>
      <c r="AG175" s="1307"/>
      <c r="AH175" s="1389"/>
      <c r="AI175" s="1389"/>
      <c r="AJ175" s="1389"/>
      <c r="AK175" s="1389"/>
      <c r="AL175" s="1389"/>
      <c r="AM175" s="1389"/>
      <c r="AN175" s="1266"/>
      <c r="AO175" s="1266"/>
      <c r="AP175" s="1266"/>
      <c r="AQ175" s="1266"/>
      <c r="AR175" s="1390"/>
      <c r="AS175" s="1266"/>
      <c r="AT175" s="1266"/>
      <c r="AU175" s="1266"/>
      <c r="AV175" s="1266"/>
      <c r="AW175" s="1266"/>
      <c r="AX175" s="1266"/>
      <c r="AY175" s="1266"/>
    </row>
    <row r="176" spans="1:51">
      <c r="A176" s="1266"/>
      <c r="B176" s="1266"/>
      <c r="C176" s="1254"/>
      <c r="D176" s="1266"/>
      <c r="E176" s="1298"/>
      <c r="F176" s="1367"/>
      <c r="G176" s="1385"/>
      <c r="H176" s="1385"/>
      <c r="I176" s="1385"/>
      <c r="J176" s="1385"/>
      <c r="K176" s="1385"/>
      <c r="L176" s="1385"/>
      <c r="M176" s="1385"/>
      <c r="N176" s="1385"/>
      <c r="O176" s="1385"/>
      <c r="P176" s="1385"/>
      <c r="Q176" s="1385"/>
      <c r="R176" s="1385"/>
      <c r="S176" s="1385"/>
      <c r="T176" s="1385"/>
      <c r="U176" s="1385"/>
      <c r="V176" s="1385"/>
      <c r="W176" s="1254"/>
      <c r="X176" s="1266"/>
      <c r="Y176" s="1254"/>
      <c r="Z176" s="1266"/>
      <c r="AA176" s="1266"/>
      <c r="AB176" s="1389"/>
      <c r="AC176" s="1390"/>
      <c r="AD176" s="1254"/>
      <c r="AE176" s="1254"/>
      <c r="AF176" s="1254"/>
      <c r="AG176" s="1307"/>
      <c r="AH176" s="1389"/>
      <c r="AI176" s="1389"/>
      <c r="AJ176" s="1389"/>
      <c r="AK176" s="1389"/>
      <c r="AL176" s="1389"/>
      <c r="AM176" s="1389"/>
      <c r="AN176" s="1266"/>
      <c r="AO176" s="1266"/>
      <c r="AP176" s="1266"/>
      <c r="AQ176" s="1266"/>
      <c r="AR176" s="1390"/>
      <c r="AS176" s="1266"/>
      <c r="AT176" s="1266"/>
      <c r="AU176" s="1266"/>
      <c r="AV176" s="1266"/>
      <c r="AW176" s="1266"/>
      <c r="AX176" s="1266"/>
      <c r="AY176" s="1266"/>
    </row>
    <row r="177" spans="1:51">
      <c r="A177" s="1266"/>
      <c r="B177" s="1266"/>
      <c r="C177" s="1254"/>
      <c r="D177" s="1266"/>
      <c r="E177" s="1298"/>
      <c r="F177" s="1367"/>
      <c r="G177" s="1385"/>
      <c r="H177" s="1385"/>
      <c r="I177" s="1385"/>
      <c r="J177" s="1385"/>
      <c r="K177" s="1385"/>
      <c r="L177" s="1385"/>
      <c r="M177" s="1385"/>
      <c r="N177" s="1385"/>
      <c r="O177" s="1385"/>
      <c r="P177" s="1385"/>
      <c r="Q177" s="1385"/>
      <c r="R177" s="1385"/>
      <c r="S177" s="1385"/>
      <c r="T177" s="1385"/>
      <c r="U177" s="1385"/>
      <c r="V177" s="1385"/>
      <c r="W177" s="1254"/>
      <c r="X177" s="1266"/>
      <c r="Y177" s="1254"/>
      <c r="Z177" s="1266"/>
      <c r="AA177" s="1266"/>
      <c r="AB177" s="1389"/>
      <c r="AC177" s="1390"/>
      <c r="AD177" s="1254"/>
      <c r="AE177" s="1254"/>
      <c r="AF177" s="1254"/>
      <c r="AG177" s="1307"/>
      <c r="AH177" s="1389"/>
      <c r="AI177" s="1389"/>
      <c r="AJ177" s="1389"/>
      <c r="AK177" s="1389"/>
      <c r="AL177" s="1389"/>
      <c r="AM177" s="1389"/>
      <c r="AN177" s="1266"/>
      <c r="AO177" s="1266"/>
      <c r="AP177" s="1266"/>
      <c r="AQ177" s="1266"/>
      <c r="AR177" s="1390"/>
      <c r="AS177" s="1266"/>
      <c r="AT177" s="1266"/>
      <c r="AU177" s="1266"/>
      <c r="AV177" s="1266"/>
      <c r="AW177" s="1266"/>
      <c r="AX177" s="1266"/>
      <c r="AY177" s="1266"/>
    </row>
    <row r="178" spans="1:51">
      <c r="A178" s="1266"/>
      <c r="B178" s="1266"/>
      <c r="C178" s="1254"/>
      <c r="D178" s="1266"/>
      <c r="E178" s="1298"/>
      <c r="F178" s="1367"/>
      <c r="G178" s="1385"/>
      <c r="H178" s="1385"/>
      <c r="I178" s="1385"/>
      <c r="J178" s="1385"/>
      <c r="K178" s="1385"/>
      <c r="L178" s="1385"/>
      <c r="M178" s="1385"/>
      <c r="N178" s="1385"/>
      <c r="O178" s="1385"/>
      <c r="P178" s="1385"/>
      <c r="Q178" s="1385"/>
      <c r="R178" s="1385"/>
      <c r="S178" s="1385"/>
      <c r="T178" s="1385"/>
      <c r="U178" s="1385"/>
      <c r="V178" s="1385"/>
      <c r="W178" s="1254"/>
      <c r="X178" s="1266"/>
      <c r="Y178" s="1254"/>
      <c r="Z178" s="1266"/>
      <c r="AA178" s="1266"/>
      <c r="AB178" s="1389"/>
      <c r="AC178" s="1390"/>
      <c r="AD178" s="1254"/>
      <c r="AE178" s="1254"/>
      <c r="AF178" s="1254"/>
      <c r="AG178" s="1307"/>
      <c r="AH178" s="1389"/>
      <c r="AI178" s="1389"/>
      <c r="AJ178" s="1389"/>
      <c r="AK178" s="1389"/>
      <c r="AL178" s="1389"/>
      <c r="AM178" s="1389"/>
      <c r="AN178" s="1266"/>
      <c r="AO178" s="1266"/>
      <c r="AP178" s="1266"/>
      <c r="AQ178" s="1266"/>
      <c r="AR178" s="1390"/>
      <c r="AS178" s="1266"/>
      <c r="AT178" s="1266"/>
      <c r="AU178" s="1266"/>
      <c r="AV178" s="1266"/>
      <c r="AW178" s="1266"/>
      <c r="AX178" s="1266"/>
      <c r="AY178" s="1266"/>
    </row>
  </sheetData>
  <mergeCells count="1">
    <mergeCell ref="A132:B132"/>
  </mergeCells>
  <printOptions gridLines="1"/>
  <pageMargins left="0.25" right="0.25" top="1" bottom="1" header="0.5" footer="0.5"/>
  <pageSetup scale="25" orientation="landscape" r:id="rId1"/>
  <headerFooter alignWithMargins="0">
    <oddFooter xml:space="preserve">&amp;L&amp;"Arial,Bold"CONFIDENTIAL&amp;"Arial,Regular"
</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55"/>
  <sheetViews>
    <sheetView zoomScaleNormal="100" workbookViewId="0"/>
  </sheetViews>
  <sheetFormatPr defaultColWidth="10.6640625" defaultRowHeight="12.75"/>
  <cols>
    <col min="1" max="1" width="46.33203125" style="1266" bestFit="1" customWidth="1"/>
    <col min="2" max="2" width="16" style="1266" customWidth="1"/>
    <col min="3" max="3" width="17.33203125" style="1266" customWidth="1"/>
    <col min="4" max="4" width="16.33203125" style="1254" bestFit="1" customWidth="1"/>
    <col min="5" max="5" width="17.5" style="1391" bestFit="1" customWidth="1"/>
    <col min="6" max="6" width="10.6640625" style="1266"/>
    <col min="7" max="7" width="15" style="1266" bestFit="1" customWidth="1"/>
    <col min="8" max="16384" width="10.6640625" style="1266"/>
  </cols>
  <sheetData>
    <row r="1" spans="1:5">
      <c r="A1" s="1265" t="s">
        <v>1608</v>
      </c>
      <c r="C1" s="1266" t="s">
        <v>1864</v>
      </c>
      <c r="D1" s="1254">
        <v>44150000</v>
      </c>
    </row>
    <row r="2" spans="1:5">
      <c r="A2" s="1265" t="s">
        <v>1865</v>
      </c>
    </row>
    <row r="3" spans="1:5">
      <c r="A3" s="1314">
        <f>Summary!A3</f>
        <v>43281</v>
      </c>
    </row>
    <row r="4" spans="1:5">
      <c r="B4" s="1392"/>
      <c r="C4" s="1393"/>
      <c r="E4" s="1394"/>
    </row>
    <row r="5" spans="1:5">
      <c r="A5" s="1395" t="s">
        <v>1866</v>
      </c>
      <c r="B5" s="1396" t="s">
        <v>1867</v>
      </c>
      <c r="C5" s="1397" t="s">
        <v>1868</v>
      </c>
      <c r="D5" s="1398" t="s">
        <v>1869</v>
      </c>
    </row>
    <row r="6" spans="1:5" ht="13.5" thickBot="1">
      <c r="A6" s="1399" t="s">
        <v>1870</v>
      </c>
      <c r="B6" s="1400" t="s">
        <v>515</v>
      </c>
      <c r="C6" s="1401" t="s">
        <v>1871</v>
      </c>
      <c r="D6" s="1399" t="s">
        <v>262</v>
      </c>
      <c r="E6" s="1402" t="s">
        <v>1872</v>
      </c>
    </row>
    <row r="7" spans="1:5" ht="13.5">
      <c r="A7" s="1276" t="s">
        <v>1873</v>
      </c>
    </row>
    <row r="8" spans="1:5" ht="13.5">
      <c r="A8" s="1276" t="s">
        <v>1769</v>
      </c>
    </row>
    <row r="9" spans="1:5">
      <c r="A9" s="1266" t="s">
        <v>1770</v>
      </c>
      <c r="B9" s="1403">
        <v>42277</v>
      </c>
      <c r="C9" s="1404">
        <v>1</v>
      </c>
      <c r="D9" s="1254">
        <v>3556186</v>
      </c>
      <c r="E9" s="1405">
        <f>D9*C9</f>
        <v>3556186</v>
      </c>
    </row>
    <row r="10" spans="1:5">
      <c r="A10" s="1266" t="s">
        <v>1772</v>
      </c>
      <c r="B10" s="1403">
        <v>42277</v>
      </c>
      <c r="C10" s="1404">
        <v>1</v>
      </c>
      <c r="D10" s="1254">
        <v>3556186</v>
      </c>
      <c r="E10" s="1405">
        <f>D10*C10</f>
        <v>3556186</v>
      </c>
    </row>
    <row r="11" spans="1:5">
      <c r="A11" s="1266" t="s">
        <v>1774</v>
      </c>
      <c r="B11" s="1403">
        <v>42277</v>
      </c>
      <c r="C11" s="1404">
        <v>1</v>
      </c>
      <c r="D11" s="1254">
        <v>3323672</v>
      </c>
      <c r="E11" s="1405">
        <f>D11*C11</f>
        <v>3323672</v>
      </c>
    </row>
    <row r="12" spans="1:5">
      <c r="A12" s="1266" t="s">
        <v>1874</v>
      </c>
      <c r="B12" s="1403">
        <v>42277</v>
      </c>
      <c r="C12" s="1404">
        <v>1</v>
      </c>
      <c r="D12" s="1254">
        <v>232514</v>
      </c>
      <c r="E12" s="1405">
        <f>D12*C12</f>
        <v>232514</v>
      </c>
    </row>
    <row r="13" spans="1:5">
      <c r="A13" s="1266" t="s">
        <v>1770</v>
      </c>
      <c r="B13" s="1403">
        <v>42663</v>
      </c>
      <c r="C13" s="1404">
        <v>1</v>
      </c>
      <c r="D13" s="1254">
        <v>4721907</v>
      </c>
      <c r="E13" s="1405">
        <f t="shared" ref="E13:E20" si="0">D13*C13</f>
        <v>4721907</v>
      </c>
    </row>
    <row r="14" spans="1:5">
      <c r="A14" s="1266" t="s">
        <v>1772</v>
      </c>
      <c r="B14" s="1403">
        <v>42663</v>
      </c>
      <c r="C14" s="1404">
        <v>1</v>
      </c>
      <c r="D14" s="1254">
        <v>4721907</v>
      </c>
      <c r="E14" s="1405">
        <f t="shared" si="0"/>
        <v>4721907</v>
      </c>
    </row>
    <row r="15" spans="1:5">
      <c r="A15" s="1266" t="s">
        <v>1774</v>
      </c>
      <c r="B15" s="1403">
        <v>42663</v>
      </c>
      <c r="C15" s="1404">
        <v>1</v>
      </c>
      <c r="D15" s="1254">
        <v>4413175</v>
      </c>
      <c r="E15" s="1405">
        <f t="shared" si="0"/>
        <v>4413175</v>
      </c>
    </row>
    <row r="16" spans="1:5">
      <c r="A16" s="1266" t="s">
        <v>1874</v>
      </c>
      <c r="B16" s="1403">
        <v>42663</v>
      </c>
      <c r="C16" s="1404">
        <v>1</v>
      </c>
      <c r="D16" s="1254">
        <v>308732</v>
      </c>
      <c r="E16" s="1405">
        <f t="shared" si="0"/>
        <v>308732</v>
      </c>
    </row>
    <row r="17" spans="1:8">
      <c r="A17" s="1266" t="s">
        <v>1770</v>
      </c>
      <c r="B17" s="1403">
        <v>42997</v>
      </c>
      <c r="C17" s="1404">
        <v>1</v>
      </c>
      <c r="D17" s="1254">
        <v>4721907</v>
      </c>
      <c r="E17" s="1405">
        <f t="shared" si="0"/>
        <v>4721907</v>
      </c>
      <c r="G17" s="1391">
        <f>SUM(E17:E20)+SUM(E34:E37)-6583.5</f>
        <v>15993416.5</v>
      </c>
      <c r="H17" s="1266" t="s">
        <v>1875</v>
      </c>
    </row>
    <row r="18" spans="1:8">
      <c r="A18" s="1266" t="s">
        <v>1772</v>
      </c>
      <c r="B18" s="1403">
        <v>42997</v>
      </c>
      <c r="C18" s="1404">
        <v>1</v>
      </c>
      <c r="D18" s="1254">
        <v>4721907</v>
      </c>
      <c r="E18" s="1405">
        <f t="shared" si="0"/>
        <v>4721907</v>
      </c>
    </row>
    <row r="19" spans="1:8">
      <c r="A19" s="1266" t="s">
        <v>1774</v>
      </c>
      <c r="B19" s="1403">
        <v>42997</v>
      </c>
      <c r="C19" s="1404">
        <v>1</v>
      </c>
      <c r="D19" s="1254">
        <v>4413175</v>
      </c>
      <c r="E19" s="1405">
        <f t="shared" si="0"/>
        <v>4413175</v>
      </c>
    </row>
    <row r="20" spans="1:8">
      <c r="A20" s="1266" t="s">
        <v>1874</v>
      </c>
      <c r="B20" s="1403">
        <v>42997</v>
      </c>
      <c r="C20" s="1404">
        <v>1</v>
      </c>
      <c r="D20" s="1254">
        <v>308732</v>
      </c>
      <c r="E20" s="1405">
        <f t="shared" si="0"/>
        <v>308732</v>
      </c>
    </row>
    <row r="21" spans="1:8">
      <c r="C21" s="1404"/>
      <c r="E21" s="1406"/>
    </row>
    <row r="22" spans="1:8" ht="16.5" customHeight="1">
      <c r="D22" s="1407">
        <f>SUM(D9:D21)</f>
        <v>39000000</v>
      </c>
      <c r="E22" s="1408">
        <f>SUM(E9:E21)</f>
        <v>39000000</v>
      </c>
    </row>
    <row r="23" spans="1:8" ht="16.5" customHeight="1">
      <c r="D23" s="1277"/>
      <c r="E23" s="1409"/>
    </row>
    <row r="24" spans="1:8" ht="13.15" customHeight="1">
      <c r="A24" s="1276" t="s">
        <v>1876</v>
      </c>
      <c r="D24" s="1277"/>
      <c r="E24" s="1409"/>
    </row>
    <row r="25" spans="1:8" ht="13.5">
      <c r="A25" s="1276" t="s">
        <v>1728</v>
      </c>
      <c r="E25" s="1406"/>
    </row>
    <row r="26" spans="1:8">
      <c r="A26" s="1410" t="s">
        <v>1776</v>
      </c>
      <c r="B26" s="1403">
        <v>42277</v>
      </c>
      <c r="C26" s="1404">
        <v>1</v>
      </c>
      <c r="D26" s="1254">
        <v>547106</v>
      </c>
      <c r="E26" s="1406">
        <f>D26*C26</f>
        <v>547106</v>
      </c>
    </row>
    <row r="27" spans="1:8">
      <c r="A27" s="1298" t="s">
        <v>1780</v>
      </c>
      <c r="B27" s="1403">
        <v>42277</v>
      </c>
      <c r="C27" s="1404">
        <v>1</v>
      </c>
      <c r="D27" s="1254">
        <v>273552</v>
      </c>
      <c r="E27" s="1406">
        <f>D27*C27</f>
        <v>273552</v>
      </c>
    </row>
    <row r="28" spans="1:8">
      <c r="A28" s="1298" t="s">
        <v>1726</v>
      </c>
      <c r="B28" s="1403">
        <v>42277</v>
      </c>
      <c r="C28" s="1404">
        <v>1</v>
      </c>
      <c r="D28" s="1254">
        <v>547106</v>
      </c>
      <c r="E28" s="1406">
        <f>D28*C28</f>
        <v>547106</v>
      </c>
    </row>
    <row r="29" spans="1:8">
      <c r="A29" s="1298" t="s">
        <v>1842</v>
      </c>
      <c r="B29" s="1403">
        <v>42277</v>
      </c>
      <c r="C29" s="1404">
        <v>1</v>
      </c>
      <c r="D29" s="1254">
        <v>13678</v>
      </c>
      <c r="E29" s="1406">
        <f>D29*C29</f>
        <v>13678</v>
      </c>
    </row>
    <row r="30" spans="1:8">
      <c r="A30" s="1410" t="s">
        <v>1776</v>
      </c>
      <c r="B30" s="1403">
        <v>42663</v>
      </c>
      <c r="C30" s="1404">
        <v>1</v>
      </c>
      <c r="D30" s="1254">
        <v>726447</v>
      </c>
      <c r="E30" s="1406">
        <f t="shared" ref="E30:E37" si="1">D30*C30</f>
        <v>726447</v>
      </c>
    </row>
    <row r="31" spans="1:8">
      <c r="A31" s="1298" t="s">
        <v>1780</v>
      </c>
      <c r="B31" s="1403">
        <v>42663</v>
      </c>
      <c r="C31" s="1404">
        <v>1</v>
      </c>
      <c r="D31" s="1254">
        <v>363224</v>
      </c>
      <c r="E31" s="1406">
        <f t="shared" si="1"/>
        <v>363224</v>
      </c>
    </row>
    <row r="32" spans="1:8">
      <c r="A32" s="1298" t="s">
        <v>1725</v>
      </c>
      <c r="B32" s="1403">
        <v>42663</v>
      </c>
      <c r="C32" s="1404">
        <v>1</v>
      </c>
      <c r="D32" s="1254">
        <v>726447</v>
      </c>
      <c r="E32" s="1406">
        <f t="shared" si="1"/>
        <v>726447</v>
      </c>
    </row>
    <row r="33" spans="1:5">
      <c r="A33" s="1298" t="s">
        <v>1842</v>
      </c>
      <c r="B33" s="1403">
        <v>42663</v>
      </c>
      <c r="C33" s="1404">
        <v>1</v>
      </c>
      <c r="D33" s="1254">
        <v>18161</v>
      </c>
      <c r="E33" s="1406">
        <f t="shared" si="1"/>
        <v>18161</v>
      </c>
    </row>
    <row r="34" spans="1:5">
      <c r="A34" s="1410" t="s">
        <v>1776</v>
      </c>
      <c r="B34" s="1403">
        <v>42997</v>
      </c>
      <c r="C34" s="1404">
        <v>1</v>
      </c>
      <c r="D34" s="1254">
        <v>726447</v>
      </c>
      <c r="E34" s="1406">
        <f t="shared" si="1"/>
        <v>726447</v>
      </c>
    </row>
    <row r="35" spans="1:5">
      <c r="A35" s="1298" t="s">
        <v>1780</v>
      </c>
      <c r="B35" s="1403">
        <v>42997</v>
      </c>
      <c r="C35" s="1404">
        <v>1</v>
      </c>
      <c r="D35" s="1254">
        <v>363224</v>
      </c>
      <c r="E35" s="1406">
        <f t="shared" si="1"/>
        <v>363224</v>
      </c>
    </row>
    <row r="36" spans="1:5">
      <c r="A36" s="1298" t="s">
        <v>1725</v>
      </c>
      <c r="B36" s="1403">
        <v>42997</v>
      </c>
      <c r="C36" s="1404">
        <v>1</v>
      </c>
      <c r="D36" s="1254">
        <v>726447</v>
      </c>
      <c r="E36" s="1406">
        <f t="shared" si="1"/>
        <v>726447</v>
      </c>
    </row>
    <row r="37" spans="1:5">
      <c r="A37" s="1298" t="s">
        <v>1842</v>
      </c>
      <c r="B37" s="1403">
        <v>42997</v>
      </c>
      <c r="C37" s="1404">
        <v>1</v>
      </c>
      <c r="D37" s="1254">
        <v>18161</v>
      </c>
      <c r="E37" s="1406">
        <f t="shared" si="1"/>
        <v>18161</v>
      </c>
    </row>
    <row r="38" spans="1:5">
      <c r="A38" s="1298"/>
      <c r="E38" s="1406"/>
    </row>
    <row r="39" spans="1:5">
      <c r="A39" s="1298"/>
      <c r="D39" s="1407">
        <f>SUM(D26:D38)</f>
        <v>5050000</v>
      </c>
      <c r="E39" s="1408">
        <f>SUM(E26:E38)</f>
        <v>5050000</v>
      </c>
    </row>
    <row r="40" spans="1:5">
      <c r="A40" s="1298"/>
      <c r="E40" s="1406"/>
    </row>
    <row r="41" spans="1:5" ht="13.5">
      <c r="A41" s="1411" t="s">
        <v>1873</v>
      </c>
      <c r="E41" s="1406"/>
    </row>
    <row r="42" spans="1:5">
      <c r="A42" s="1298" t="s">
        <v>1877</v>
      </c>
      <c r="C42" s="1404">
        <v>1</v>
      </c>
      <c r="D42" s="1254">
        <f>D22</f>
        <v>39000000</v>
      </c>
      <c r="E42" s="1406">
        <f>E22</f>
        <v>39000000</v>
      </c>
    </row>
    <row r="43" spans="1:5">
      <c r="A43" s="1298"/>
      <c r="E43" s="1406"/>
    </row>
    <row r="44" spans="1:5" ht="13.5">
      <c r="A44" s="1411" t="s">
        <v>1876</v>
      </c>
      <c r="E44" s="1406"/>
    </row>
    <row r="45" spans="1:5">
      <c r="A45" s="1298" t="s">
        <v>1877</v>
      </c>
      <c r="C45" s="1404">
        <v>1</v>
      </c>
      <c r="D45" s="1288">
        <f>D39</f>
        <v>5050000</v>
      </c>
      <c r="E45" s="1412">
        <f>E39</f>
        <v>5050000</v>
      </c>
    </row>
    <row r="46" spans="1:5">
      <c r="A46" s="1298"/>
      <c r="E46" s="1406"/>
    </row>
    <row r="47" spans="1:5" ht="13.5" thickBot="1">
      <c r="A47" s="1298"/>
      <c r="C47" s="1266" t="s">
        <v>1730</v>
      </c>
      <c r="D47" s="1305">
        <f>D42+D45</f>
        <v>44050000</v>
      </c>
      <c r="E47" s="1413">
        <f>E42+E45</f>
        <v>44050000</v>
      </c>
    </row>
    <row r="48" spans="1:5" ht="13.5" thickTop="1">
      <c r="A48" s="1298"/>
      <c r="D48" s="1277"/>
      <c r="E48" s="1409"/>
    </row>
    <row r="49" spans="1:5">
      <c r="A49" s="1298" t="s">
        <v>1878</v>
      </c>
      <c r="D49" s="1277"/>
      <c r="E49" s="1409">
        <f>-49870.31-15229.57</f>
        <v>-65099.88</v>
      </c>
    </row>
    <row r="50" spans="1:5">
      <c r="A50" s="1298" t="s">
        <v>1879</v>
      </c>
      <c r="D50" s="1277"/>
      <c r="E50" s="1409">
        <f>-2400000</f>
        <v>-2400000</v>
      </c>
    </row>
    <row r="51" spans="1:5">
      <c r="A51" s="1298" t="s">
        <v>1880</v>
      </c>
      <c r="E51" s="1406">
        <v>-3360000</v>
      </c>
    </row>
    <row r="52" spans="1:5">
      <c r="A52" s="1298" t="s">
        <v>1881</v>
      </c>
      <c r="E52" s="1406">
        <f>2144000+2496000</f>
        <v>4640000</v>
      </c>
    </row>
    <row r="53" spans="1:5" ht="13.5" thickBot="1">
      <c r="A53" s="1298"/>
      <c r="E53" s="1414">
        <f>SUM(E47:E52)</f>
        <v>42864900.119999997</v>
      </c>
    </row>
    <row r="54" spans="1:5" ht="13.5" thickTop="1">
      <c r="A54" s="1298"/>
      <c r="D54" s="1254" t="s">
        <v>1882</v>
      </c>
      <c r="E54" s="1406">
        <f>Rollforward!H48</f>
        <v>42864900.119999997</v>
      </c>
    </row>
    <row r="55" spans="1:5">
      <c r="D55" s="1254" t="s">
        <v>1883</v>
      </c>
      <c r="E55" s="1415">
        <f>E53-E54</f>
        <v>0</v>
      </c>
    </row>
  </sheetData>
  <conditionalFormatting sqref="A26">
    <cfRule type="expression" dxfId="188" priority="3">
      <formula>$K$13="No"</formula>
    </cfRule>
  </conditionalFormatting>
  <conditionalFormatting sqref="A30">
    <cfRule type="expression" dxfId="187" priority="2">
      <formula>$K$21="No"</formula>
    </cfRule>
  </conditionalFormatting>
  <conditionalFormatting sqref="A34">
    <cfRule type="expression" dxfId="186" priority="1">
      <formula>$K$21="No"</formula>
    </cfRule>
  </conditionalFormatting>
  <pageMargins left="0.7" right="0.7" top="0.75" bottom="0.75" header="0.3" footer="0.3"/>
  <pageSetup scale="10"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31"/>
  <sheetViews>
    <sheetView zoomScaleNormal="100" workbookViewId="0"/>
  </sheetViews>
  <sheetFormatPr defaultColWidth="10.6640625" defaultRowHeight="12.75"/>
  <cols>
    <col min="1" max="1" width="46.33203125" style="1266" bestFit="1" customWidth="1"/>
    <col min="2" max="2" width="16" style="1266" customWidth="1"/>
    <col min="3" max="3" width="17.33203125" style="1266" customWidth="1"/>
    <col min="4" max="4" width="16.33203125" style="1254" bestFit="1" customWidth="1"/>
    <col min="5" max="5" width="17.5" style="1391" bestFit="1" customWidth="1"/>
    <col min="6" max="6" width="18" style="1266" customWidth="1"/>
    <col min="7" max="7" width="17.1640625" style="1266" bestFit="1" customWidth="1"/>
    <col min="8" max="16384" width="10.6640625" style="1266"/>
  </cols>
  <sheetData>
    <row r="1" spans="1:5">
      <c r="A1" s="1265" t="s">
        <v>1608</v>
      </c>
      <c r="C1" s="1266" t="s">
        <v>1864</v>
      </c>
      <c r="D1" s="1254">
        <v>33075000</v>
      </c>
    </row>
    <row r="2" spans="1:5">
      <c r="A2" s="1265" t="s">
        <v>1884</v>
      </c>
    </row>
    <row r="3" spans="1:5">
      <c r="A3" s="1314">
        <f>'Cap Table (3)'!A3</f>
        <v>43281</v>
      </c>
    </row>
    <row r="4" spans="1:5">
      <c r="B4" s="1392"/>
      <c r="C4" s="1393"/>
      <c r="E4" s="1394"/>
    </row>
    <row r="5" spans="1:5">
      <c r="A5" s="1395" t="s">
        <v>1866</v>
      </c>
      <c r="B5" s="1396" t="s">
        <v>1867</v>
      </c>
      <c r="C5" s="1397" t="s">
        <v>1868</v>
      </c>
      <c r="D5" s="1398" t="s">
        <v>1869</v>
      </c>
    </row>
    <row r="6" spans="1:5" ht="13.5" thickBot="1">
      <c r="A6" s="1399" t="s">
        <v>1870</v>
      </c>
      <c r="B6" s="1400" t="s">
        <v>515</v>
      </c>
      <c r="C6" s="1401" t="s">
        <v>1871</v>
      </c>
      <c r="D6" s="1399" t="s">
        <v>262</v>
      </c>
      <c r="E6" s="1402" t="s">
        <v>1872</v>
      </c>
    </row>
    <row r="7" spans="1:5" ht="13.5">
      <c r="A7" s="1276"/>
    </row>
    <row r="8" spans="1:5" ht="13.5">
      <c r="A8" s="1276"/>
    </row>
    <row r="9" spans="1:5">
      <c r="A9" s="1266" t="s">
        <v>1770</v>
      </c>
      <c r="B9" s="1403">
        <v>43105</v>
      </c>
      <c r="C9" s="1404">
        <v>2</v>
      </c>
      <c r="D9" s="1254">
        <v>583333</v>
      </c>
      <c r="E9" s="1405">
        <f t="shared" ref="E9:E21" si="0">D9*C9</f>
        <v>1166666</v>
      </c>
    </row>
    <row r="10" spans="1:5">
      <c r="A10" s="1266" t="s">
        <v>1771</v>
      </c>
      <c r="B10" s="1403">
        <v>43105</v>
      </c>
      <c r="C10" s="1404">
        <v>2</v>
      </c>
      <c r="D10" s="1254">
        <v>1583333</v>
      </c>
      <c r="E10" s="1405">
        <f t="shared" si="0"/>
        <v>3166666</v>
      </c>
    </row>
    <row r="11" spans="1:5">
      <c r="A11" s="1266" t="s">
        <v>1772</v>
      </c>
      <c r="B11" s="1403">
        <v>43105</v>
      </c>
      <c r="C11" s="1404">
        <v>2</v>
      </c>
      <c r="D11" s="1254">
        <v>1666666</v>
      </c>
      <c r="E11" s="1405">
        <f t="shared" si="0"/>
        <v>3333332</v>
      </c>
    </row>
    <row r="12" spans="1:5">
      <c r="A12" s="1266" t="s">
        <v>1773</v>
      </c>
      <c r="B12" s="1403">
        <v>43105</v>
      </c>
      <c r="C12" s="1404">
        <v>2</v>
      </c>
      <c r="D12" s="1254">
        <v>833333</v>
      </c>
      <c r="E12" s="1405">
        <f t="shared" si="0"/>
        <v>1666666</v>
      </c>
    </row>
    <row r="13" spans="1:5">
      <c r="A13" s="1266" t="s">
        <v>1774</v>
      </c>
      <c r="B13" s="1403">
        <v>43105</v>
      </c>
      <c r="C13" s="1404">
        <v>2</v>
      </c>
      <c r="D13" s="1254">
        <v>545193</v>
      </c>
      <c r="E13" s="1405">
        <f t="shared" si="0"/>
        <v>1090386</v>
      </c>
    </row>
    <row r="14" spans="1:5">
      <c r="A14" s="1266" t="s">
        <v>1874</v>
      </c>
      <c r="B14" s="1403">
        <v>43105</v>
      </c>
      <c r="C14" s="1404">
        <v>2</v>
      </c>
      <c r="D14" s="1254">
        <v>38140</v>
      </c>
      <c r="E14" s="1405">
        <f t="shared" si="0"/>
        <v>76280</v>
      </c>
    </row>
    <row r="15" spans="1:5">
      <c r="A15" s="1410" t="s">
        <v>1776</v>
      </c>
      <c r="B15" s="1403">
        <v>43105</v>
      </c>
      <c r="C15" s="1404">
        <v>2</v>
      </c>
      <c r="D15" s="1254">
        <v>366666</v>
      </c>
      <c r="E15" s="1405">
        <f t="shared" si="0"/>
        <v>733332</v>
      </c>
    </row>
    <row r="16" spans="1:5">
      <c r="A16" s="1266" t="s">
        <v>1780</v>
      </c>
      <c r="B16" s="1403">
        <v>43105</v>
      </c>
      <c r="C16" s="1404">
        <v>2</v>
      </c>
      <c r="D16" s="1254">
        <v>66666</v>
      </c>
      <c r="E16" s="1405">
        <f t="shared" si="0"/>
        <v>133332</v>
      </c>
    </row>
    <row r="17" spans="1:7">
      <c r="A17" s="1266" t="s">
        <v>1885</v>
      </c>
      <c r="B17" s="1403">
        <v>43105</v>
      </c>
      <c r="C17" s="1404">
        <v>2</v>
      </c>
      <c r="D17" s="1254">
        <v>833333</v>
      </c>
      <c r="E17" s="1405">
        <f t="shared" si="0"/>
        <v>1666666</v>
      </c>
    </row>
    <row r="18" spans="1:7">
      <c r="A18" s="1266" t="s">
        <v>1842</v>
      </c>
      <c r="B18" s="1403">
        <v>43105</v>
      </c>
      <c r="C18" s="1404">
        <v>2</v>
      </c>
      <c r="D18" s="1254">
        <v>8333</v>
      </c>
      <c r="E18" s="1405">
        <f t="shared" si="0"/>
        <v>16666</v>
      </c>
    </row>
    <row r="19" spans="1:7">
      <c r="A19" s="1266" t="s">
        <v>1777</v>
      </c>
      <c r="B19" s="1403">
        <v>43105</v>
      </c>
      <c r="C19" s="1404">
        <v>2</v>
      </c>
      <c r="D19" s="1254">
        <v>916667</v>
      </c>
      <c r="E19" s="1405">
        <f t="shared" si="0"/>
        <v>1833334</v>
      </c>
    </row>
    <row r="20" spans="1:7">
      <c r="A20" s="1266" t="s">
        <v>1778</v>
      </c>
      <c r="B20" s="1403">
        <v>43105</v>
      </c>
      <c r="C20" s="1404">
        <v>2</v>
      </c>
      <c r="D20" s="1254">
        <v>2750000</v>
      </c>
      <c r="E20" s="1405">
        <f t="shared" si="0"/>
        <v>5500000</v>
      </c>
    </row>
    <row r="21" spans="1:7">
      <c r="A21" s="1266" t="s">
        <v>1779</v>
      </c>
      <c r="B21" s="1403">
        <v>43105</v>
      </c>
      <c r="C21" s="1404">
        <v>2</v>
      </c>
      <c r="D21" s="1254">
        <v>833333</v>
      </c>
      <c r="E21" s="1405">
        <f t="shared" si="0"/>
        <v>1666666</v>
      </c>
      <c r="G21" s="1265" t="s">
        <v>1730</v>
      </c>
    </row>
    <row r="22" spans="1:7">
      <c r="C22" s="1404"/>
      <c r="E22" s="1406"/>
      <c r="F22" s="1416" t="s">
        <v>1882</v>
      </c>
      <c r="G22" s="1416" t="s">
        <v>104</v>
      </c>
    </row>
    <row r="23" spans="1:7" ht="16.5" customHeight="1">
      <c r="D23" s="1407">
        <f>SUM(D9:D22)</f>
        <v>11024996</v>
      </c>
      <c r="E23" s="1408">
        <f>SUM(E9:E22)</f>
        <v>22049992</v>
      </c>
      <c r="F23" s="1417">
        <f>11025+22038967</f>
        <v>22049992</v>
      </c>
      <c r="G23" s="1418">
        <f>E23-F23</f>
        <v>0</v>
      </c>
    </row>
    <row r="24" spans="1:7" ht="16.5" customHeight="1">
      <c r="D24" s="1277"/>
      <c r="E24" s="1409"/>
    </row>
    <row r="25" spans="1:7" ht="16.5" customHeight="1">
      <c r="A25" s="1266" t="s">
        <v>1886</v>
      </c>
      <c r="D25" s="1277"/>
      <c r="E25" s="1409"/>
    </row>
    <row r="26" spans="1:7" ht="16.5" customHeight="1">
      <c r="A26" s="1419" t="s">
        <v>1887</v>
      </c>
      <c r="B26" s="1420" t="s">
        <v>1888</v>
      </c>
      <c r="D26" s="1277"/>
      <c r="E26" s="1421">
        <v>6583.5</v>
      </c>
    </row>
    <row r="27" spans="1:7" ht="16.5" customHeight="1">
      <c r="A27" s="1419" t="s">
        <v>1887</v>
      </c>
      <c r="D27" s="1277"/>
      <c r="E27" s="1422">
        <f>49572.09-6583.5</f>
        <v>42988.59</v>
      </c>
    </row>
    <row r="28" spans="1:7" ht="16.5" customHeight="1">
      <c r="D28" s="1277"/>
      <c r="E28" s="1409">
        <f>E26+E27</f>
        <v>49572.09</v>
      </c>
      <c r="F28" s="1423">
        <v>49572.09</v>
      </c>
      <c r="G28" s="1424">
        <f>E28-F28</f>
        <v>0</v>
      </c>
    </row>
    <row r="29" spans="1:7" ht="16.5" customHeight="1">
      <c r="D29" s="1277"/>
      <c r="E29" s="1409"/>
      <c r="F29" s="1425"/>
    </row>
    <row r="30" spans="1:7" ht="16.5" customHeight="1">
      <c r="A30" s="1266" t="s">
        <v>1889</v>
      </c>
      <c r="D30" s="1277"/>
      <c r="E30" s="1409">
        <f>E23-E28</f>
        <v>22000419.91</v>
      </c>
      <c r="F30" s="1409">
        <f>F23-F28</f>
        <v>22000419.91</v>
      </c>
      <c r="G30" s="1424">
        <f>E30-F30</f>
        <v>0</v>
      </c>
    </row>
    <row r="31" spans="1:7" ht="16.5" customHeight="1">
      <c r="D31" s="1277"/>
      <c r="E31" s="1409"/>
      <c r="F31" s="1425" t="s">
        <v>1730</v>
      </c>
    </row>
  </sheetData>
  <conditionalFormatting sqref="A15">
    <cfRule type="expression" dxfId="185" priority="1">
      <formula>$K$13="No"</formula>
    </cfRule>
  </conditionalFormatting>
  <pageMargins left="0.7" right="0.7" top="0.75" bottom="0.75" header="0.3" footer="0.3"/>
  <pageSetup scale="10" orientation="portrait" r:id="rId1"/>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G139"/>
  <sheetViews>
    <sheetView zoomScale="85" zoomScaleNormal="85" workbookViewId="0">
      <pane ySplit="7" topLeftCell="A81" activePane="bottomLeft" state="frozen"/>
      <selection activeCell="A3" sqref="A3"/>
      <selection pane="bottomLeft"/>
    </sheetView>
  </sheetViews>
  <sheetFormatPr defaultRowHeight="12.75"/>
  <cols>
    <col min="1" max="1" width="24.5" style="1295" customWidth="1"/>
    <col min="2" max="2" width="10.6640625" style="1295" bestFit="1" customWidth="1"/>
    <col min="3" max="3" width="14.5" style="1360" customWidth="1"/>
    <col min="4" max="4" width="11.83203125" style="1295" customWidth="1"/>
    <col min="5" max="5" width="21.5" style="1295" customWidth="1"/>
    <col min="6" max="6" width="12.5" style="1295" bestFit="1" customWidth="1"/>
    <col min="7" max="7" width="13.1640625" style="1295" bestFit="1" customWidth="1"/>
    <col min="8" max="9" width="16.6640625" style="1295" bestFit="1" customWidth="1"/>
    <col min="10" max="10" width="14.33203125" style="1295" bestFit="1" customWidth="1"/>
    <col min="11" max="11" width="2" style="1504" customWidth="1"/>
    <col min="12" max="12" width="9.33203125" style="1497"/>
    <col min="13" max="13" width="2.5" style="1295" customWidth="1"/>
    <col min="14" max="14" width="13.5" style="1295" bestFit="1" customWidth="1"/>
    <col min="15" max="15" width="2.33203125" style="1295" customWidth="1"/>
    <col min="16" max="16" width="12" style="1295" bestFit="1" customWidth="1"/>
    <col min="17" max="17" width="10.83203125" style="1295" bestFit="1" customWidth="1"/>
    <col min="18" max="21" width="9.33203125" style="1295"/>
    <col min="22" max="22" width="12.83203125" style="1295" customWidth="1"/>
    <col min="23" max="23" width="19.83203125" style="1295" customWidth="1"/>
    <col min="24" max="24" width="14" style="1295" customWidth="1"/>
    <col min="25" max="25" width="16" style="1295" customWidth="1"/>
    <col min="26" max="26" width="18.5" style="1295" customWidth="1"/>
    <col min="27" max="27" width="9.33203125" style="1295"/>
    <col min="28" max="28" width="25.6640625" style="1266" customWidth="1"/>
    <col min="29" max="29" width="14.83203125" style="1266" customWidth="1"/>
    <col min="30" max="31" width="9.33203125" style="1266"/>
    <col min="32" max="33" width="12" style="1266" bestFit="1" customWidth="1"/>
    <col min="34" max="16384" width="9.33203125" style="1295"/>
  </cols>
  <sheetData>
    <row r="1" spans="1:33">
      <c r="A1" s="1426" t="s">
        <v>1608</v>
      </c>
      <c r="B1" s="1426" t="s">
        <v>1864</v>
      </c>
      <c r="C1" s="1427">
        <v>144150000</v>
      </c>
      <c r="D1" s="1426"/>
      <c r="E1" s="1426"/>
      <c r="F1" s="1426"/>
      <c r="G1" s="1426">
        <v>1E-3</v>
      </c>
      <c r="H1" s="1426"/>
      <c r="I1" s="1426"/>
      <c r="J1" s="1426"/>
      <c r="K1" s="1426"/>
      <c r="L1" s="1426"/>
      <c r="M1" s="1426"/>
      <c r="N1" s="1426"/>
      <c r="O1" s="1266"/>
      <c r="P1" s="1266"/>
      <c r="Q1" s="1266"/>
      <c r="R1" s="1266"/>
      <c r="S1" s="1266"/>
      <c r="T1" s="1266"/>
      <c r="U1" s="1266"/>
      <c r="V1" s="1266"/>
      <c r="W1" s="1266"/>
      <c r="X1" s="1266"/>
      <c r="Y1" s="1266"/>
      <c r="Z1" s="1266"/>
    </row>
    <row r="2" spans="1:33" ht="13.5">
      <c r="A2" s="1426" t="s">
        <v>149</v>
      </c>
      <c r="B2" s="1428"/>
      <c r="C2" s="1428"/>
      <c r="D2" s="1428"/>
      <c r="E2" s="1428"/>
      <c r="F2" s="1428"/>
      <c r="G2" s="1428"/>
      <c r="H2" s="1428"/>
      <c r="I2" s="1428"/>
      <c r="J2" s="1428"/>
      <c r="K2" s="1428"/>
      <c r="L2" s="1428"/>
      <c r="M2" s="1428"/>
      <c r="N2" s="1428"/>
      <c r="O2" s="1266"/>
      <c r="P2" s="1266"/>
      <c r="Q2" s="1266"/>
      <c r="R2" s="1266"/>
      <c r="S2" s="1266"/>
      <c r="T2" s="1266"/>
      <c r="U2" s="1266"/>
      <c r="V2" s="1266"/>
      <c r="W2" s="1266"/>
      <c r="X2" s="1266"/>
      <c r="Y2" s="1266"/>
      <c r="Z2" s="1266"/>
    </row>
    <row r="3" spans="1:33" ht="13.5">
      <c r="A3" s="1314">
        <v>43281</v>
      </c>
      <c r="B3" s="1429"/>
      <c r="C3" s="1429"/>
      <c r="D3" s="1429"/>
      <c r="E3" s="1429"/>
      <c r="F3" s="1429"/>
      <c r="G3" s="1429"/>
      <c r="H3" s="1429"/>
      <c r="I3" s="1429"/>
      <c r="J3" s="1429"/>
      <c r="K3" s="1429"/>
      <c r="L3" s="1429"/>
      <c r="M3" s="1429"/>
      <c r="N3" s="1429"/>
      <c r="O3" s="1266"/>
      <c r="P3" s="1266"/>
      <c r="Q3" s="1266"/>
      <c r="R3" s="1266"/>
      <c r="S3" s="1266"/>
      <c r="T3" s="1266"/>
      <c r="U3" s="1266"/>
      <c r="V3" s="1266"/>
      <c r="W3" s="1266"/>
      <c r="X3" s="1266"/>
      <c r="Y3" s="1266"/>
      <c r="Z3" s="1266"/>
    </row>
    <row r="4" spans="1:33" ht="13.5" thickBot="1">
      <c r="A4" s="1266"/>
      <c r="B4" s="1266"/>
      <c r="C4" s="1254"/>
      <c r="D4" s="1266"/>
      <c r="E4" s="1266"/>
      <c r="F4" s="1266"/>
      <c r="G4" s="1266"/>
      <c r="H4" s="1266"/>
      <c r="I4" s="1266"/>
      <c r="J4" s="1266"/>
      <c r="K4" s="1267"/>
      <c r="L4" s="1430"/>
      <c r="M4" s="1266"/>
      <c r="N4" s="1266"/>
      <c r="O4" s="1266"/>
      <c r="P4" s="1266"/>
      <c r="Q4" s="1266"/>
      <c r="R4" s="1266"/>
      <c r="S4" s="1266"/>
      <c r="T4" s="1266"/>
      <c r="U4" s="1266"/>
      <c r="V4" s="1266"/>
      <c r="W4" s="1266"/>
      <c r="X4" s="1266"/>
      <c r="Y4" s="1266"/>
      <c r="Z4" s="1266"/>
    </row>
    <row r="5" spans="1:33" ht="13.5" thickBot="1">
      <c r="A5" s="1431"/>
      <c r="B5" s="1432"/>
      <c r="C5" s="1433" t="s">
        <v>1890</v>
      </c>
      <c r="D5" s="1434"/>
      <c r="E5" s="1435" t="s">
        <v>1891</v>
      </c>
      <c r="F5" s="1434"/>
      <c r="G5" s="1434"/>
      <c r="H5" s="1434"/>
      <c r="I5" s="1434"/>
      <c r="J5" s="1434"/>
      <c r="K5" s="1436"/>
      <c r="L5" s="1437"/>
      <c r="M5" s="1434"/>
      <c r="N5" s="1266"/>
      <c r="O5" s="1434"/>
      <c r="P5" s="1266"/>
      <c r="Q5" s="1266"/>
      <c r="R5" s="1266"/>
      <c r="S5" s="1266"/>
      <c r="T5" s="1266"/>
      <c r="U5" s="1266"/>
      <c r="V5" s="1266"/>
      <c r="W5" s="3277">
        <v>43281</v>
      </c>
      <c r="X5" s="3278"/>
      <c r="Y5" s="3278"/>
      <c r="Z5" s="3279"/>
      <c r="AB5" s="3280" t="s">
        <v>1892</v>
      </c>
      <c r="AC5" s="3281"/>
      <c r="AD5" s="3281"/>
      <c r="AE5" s="3281"/>
      <c r="AF5" s="3281"/>
      <c r="AG5" s="3282"/>
    </row>
    <row r="6" spans="1:33" ht="15" customHeight="1" thickBot="1">
      <c r="A6" s="1438" t="s">
        <v>1893</v>
      </c>
      <c r="B6" s="1439" t="s">
        <v>1894</v>
      </c>
      <c r="C6" s="1433" t="s">
        <v>1895</v>
      </c>
      <c r="D6" s="1439" t="s">
        <v>1867</v>
      </c>
      <c r="E6" s="1435" t="s">
        <v>1896</v>
      </c>
      <c r="F6" s="1439" t="s">
        <v>1868</v>
      </c>
      <c r="G6" s="3283" t="s">
        <v>1897</v>
      </c>
      <c r="H6" s="3283"/>
      <c r="I6" s="3283"/>
      <c r="J6" s="1439" t="s">
        <v>1869</v>
      </c>
      <c r="K6" s="1440"/>
      <c r="L6" s="1439" t="s">
        <v>1898</v>
      </c>
      <c r="M6" s="1434"/>
      <c r="N6" s="1441">
        <v>43281</v>
      </c>
      <c r="O6" s="1434"/>
      <c r="P6" s="1266"/>
      <c r="Q6" s="1266"/>
      <c r="R6" s="1266"/>
      <c r="S6" s="1266"/>
      <c r="T6" s="1266"/>
      <c r="U6" s="1266"/>
      <c r="V6" s="1266"/>
      <c r="W6" s="1439" t="s">
        <v>1899</v>
      </c>
      <c r="X6" s="1442"/>
      <c r="Y6" s="1442"/>
      <c r="Z6" s="1442"/>
      <c r="AB6" s="1435" t="s">
        <v>1900</v>
      </c>
      <c r="AC6" s="1443" t="s">
        <v>1891</v>
      </c>
      <c r="AD6" s="3284" t="s">
        <v>1901</v>
      </c>
      <c r="AE6" s="3284"/>
      <c r="AF6" s="3284"/>
      <c r="AG6" s="3284"/>
    </row>
    <row r="7" spans="1:33" ht="26.25" thickBot="1">
      <c r="A7" s="1444" t="s">
        <v>1902</v>
      </c>
      <c r="B7" s="1445" t="s">
        <v>1903</v>
      </c>
      <c r="C7" s="1445" t="s">
        <v>1904</v>
      </c>
      <c r="D7" s="1445" t="s">
        <v>515</v>
      </c>
      <c r="E7" s="1446" t="s">
        <v>515</v>
      </c>
      <c r="F7" s="1445" t="s">
        <v>1871</v>
      </c>
      <c r="G7" s="1445" t="s">
        <v>1905</v>
      </c>
      <c r="H7" s="1445" t="s">
        <v>1906</v>
      </c>
      <c r="I7" s="1445" t="s">
        <v>160</v>
      </c>
      <c r="J7" s="1445" t="s">
        <v>262</v>
      </c>
      <c r="K7" s="1447"/>
      <c r="L7" s="1445" t="s">
        <v>1907</v>
      </c>
      <c r="M7" s="1448"/>
      <c r="N7" s="1449" t="s">
        <v>1908</v>
      </c>
      <c r="O7" s="1434"/>
      <c r="P7" s="1266"/>
      <c r="Q7" s="1266"/>
      <c r="R7" s="1266"/>
      <c r="S7" s="1266"/>
      <c r="T7" s="1266"/>
      <c r="U7" s="1266"/>
      <c r="V7" s="1266"/>
      <c r="W7" s="1439" t="s">
        <v>262</v>
      </c>
      <c r="X7" s="1439" t="s">
        <v>1909</v>
      </c>
      <c r="Y7" s="1439" t="s">
        <v>1910</v>
      </c>
      <c r="Z7" s="1439" t="s">
        <v>160</v>
      </c>
      <c r="AB7" s="1450" t="s">
        <v>1911</v>
      </c>
      <c r="AC7" s="1451" t="s">
        <v>1912</v>
      </c>
      <c r="AD7" s="1416" t="s">
        <v>262</v>
      </c>
      <c r="AE7" s="1416" t="s">
        <v>1905</v>
      </c>
      <c r="AF7" s="1416" t="s">
        <v>1906</v>
      </c>
      <c r="AG7" s="1416" t="s">
        <v>160</v>
      </c>
    </row>
    <row r="8" spans="1:33" ht="15">
      <c r="A8" s="1452"/>
      <c r="B8" s="1447"/>
      <c r="C8" s="1447"/>
      <c r="D8" s="1447"/>
      <c r="E8" s="1395"/>
      <c r="F8" s="1447"/>
      <c r="G8" s="1447"/>
      <c r="H8" s="1447"/>
      <c r="I8" s="1447"/>
      <c r="J8" s="1447"/>
      <c r="K8" s="1447"/>
      <c r="L8" s="1447"/>
      <c r="M8" s="1448"/>
      <c r="N8" s="1440"/>
      <c r="O8" s="1434"/>
      <c r="P8" s="1266"/>
      <c r="Q8" s="1266"/>
      <c r="R8" s="1266"/>
      <c r="S8" s="1266"/>
      <c r="T8" s="1266"/>
      <c r="U8" s="1266"/>
      <c r="V8" s="1266"/>
      <c r="W8" s="1434"/>
      <c r="X8" s="1434"/>
      <c r="Y8" s="1434"/>
      <c r="Z8" s="1434"/>
    </row>
    <row r="9" spans="1:33" ht="13.5">
      <c r="A9" s="1276" t="s">
        <v>1729</v>
      </c>
      <c r="B9" s="1266"/>
      <c r="C9" s="1254"/>
      <c r="D9" s="1266"/>
      <c r="E9" s="1266"/>
      <c r="F9" s="1266"/>
      <c r="G9" s="1266"/>
      <c r="H9" s="1266"/>
      <c r="I9" s="1266"/>
      <c r="J9" s="1266"/>
      <c r="K9" s="1267"/>
      <c r="L9" s="1430"/>
      <c r="M9" s="1266"/>
      <c r="N9" s="1266"/>
      <c r="O9" s="1266"/>
      <c r="P9" s="1266"/>
      <c r="Q9" s="1266"/>
      <c r="R9" s="1266"/>
      <c r="S9" s="1266"/>
      <c r="T9" s="1266"/>
      <c r="U9" s="1266"/>
      <c r="V9" s="1266"/>
      <c r="W9" s="1266"/>
      <c r="X9" s="1266"/>
      <c r="Y9" s="1266"/>
      <c r="Z9" s="1266"/>
    </row>
    <row r="10" spans="1:33" ht="15" customHeight="1">
      <c r="A10" s="1348" t="s">
        <v>1913</v>
      </c>
      <c r="B10" s="1266"/>
      <c r="C10" s="1453">
        <v>408333</v>
      </c>
      <c r="D10" s="1454"/>
      <c r="E10" s="1455" t="s">
        <v>1914</v>
      </c>
      <c r="F10" s="1456">
        <v>1E-3</v>
      </c>
      <c r="G10" s="1404">
        <v>408.33300000000003</v>
      </c>
      <c r="H10" s="1404">
        <v>0</v>
      </c>
      <c r="I10" s="1404">
        <v>408.33300000000003</v>
      </c>
      <c r="J10" s="1287">
        <v>408333</v>
      </c>
      <c r="K10" s="1267"/>
      <c r="L10" s="1457" t="s">
        <v>210</v>
      </c>
      <c r="M10" s="1266"/>
      <c r="N10" s="1279">
        <v>408333</v>
      </c>
      <c r="O10" s="1298"/>
      <c r="P10" s="1458" t="s">
        <v>1914</v>
      </c>
      <c r="Q10" s="1459"/>
      <c r="R10" s="1266"/>
      <c r="S10" s="1266"/>
      <c r="T10" s="1266"/>
      <c r="U10" s="1266"/>
      <c r="V10" s="1266"/>
      <c r="W10" s="1460">
        <v>0</v>
      </c>
      <c r="X10" s="1461">
        <v>0</v>
      </c>
      <c r="Y10" s="1461">
        <v>0</v>
      </c>
      <c r="Z10" s="1461">
        <v>0</v>
      </c>
    </row>
    <row r="11" spans="1:33" ht="15" customHeight="1">
      <c r="A11" s="1348" t="s">
        <v>1915</v>
      </c>
      <c r="B11" s="1266"/>
      <c r="C11" s="1453">
        <v>2916667</v>
      </c>
      <c r="D11" s="1454"/>
      <c r="E11" s="1403">
        <v>42633</v>
      </c>
      <c r="F11" s="1456">
        <v>1E-3</v>
      </c>
      <c r="G11" s="1404">
        <v>2916.6669999999999</v>
      </c>
      <c r="H11" s="1404">
        <v>0</v>
      </c>
      <c r="I11" s="1404">
        <v>2916.6669999999999</v>
      </c>
      <c r="J11" s="1287">
        <v>2916667</v>
      </c>
      <c r="K11" s="1267"/>
      <c r="L11" s="1457" t="s">
        <v>210</v>
      </c>
      <c r="M11" s="1266"/>
      <c r="N11" s="1279">
        <v>1750000</v>
      </c>
      <c r="O11" s="1298"/>
      <c r="P11" s="1462">
        <v>21.315789473684212</v>
      </c>
      <c r="Q11" s="1459">
        <v>21</v>
      </c>
      <c r="R11" s="1463" t="s">
        <v>1916</v>
      </c>
      <c r="S11" s="1266"/>
      <c r="T11" s="1266"/>
      <c r="U11" s="1266"/>
      <c r="V11" s="1266"/>
      <c r="W11" s="1460">
        <v>1166667</v>
      </c>
      <c r="X11" s="1461">
        <v>1166.6669999999999</v>
      </c>
      <c r="Y11" s="1461">
        <v>0</v>
      </c>
      <c r="Z11" s="1461">
        <v>1166.6669999999999</v>
      </c>
    </row>
    <row r="12" spans="1:33" ht="15" customHeight="1">
      <c r="A12" s="1352" t="s">
        <v>1917</v>
      </c>
      <c r="B12" s="1266"/>
      <c r="C12" s="1453">
        <v>1433333</v>
      </c>
      <c r="D12" s="1454"/>
      <c r="E12" s="1455" t="s">
        <v>1918</v>
      </c>
      <c r="F12" s="1456">
        <v>1E-3</v>
      </c>
      <c r="G12" s="1404">
        <v>1433.3330000000001</v>
      </c>
      <c r="H12" s="1404">
        <v>0</v>
      </c>
      <c r="I12" s="1404">
        <v>1433.3330000000001</v>
      </c>
      <c r="J12" s="1287">
        <v>1433333</v>
      </c>
      <c r="K12" s="1267"/>
      <c r="L12" s="1457" t="s">
        <v>210</v>
      </c>
      <c r="M12" s="1266"/>
      <c r="N12" s="1279">
        <v>1433333</v>
      </c>
      <c r="O12" s="1266"/>
      <c r="P12" s="1458" t="s">
        <v>1918</v>
      </c>
      <c r="Q12" s="1459"/>
      <c r="R12" s="1266"/>
      <c r="S12" s="1266"/>
      <c r="T12" s="1266"/>
      <c r="U12" s="1266"/>
      <c r="V12" s="1266"/>
      <c r="W12" s="1460">
        <v>0</v>
      </c>
      <c r="X12" s="1461">
        <v>0</v>
      </c>
      <c r="Y12" s="1461">
        <v>0</v>
      </c>
      <c r="Z12" s="1461">
        <v>0</v>
      </c>
      <c r="AB12" s="1295"/>
      <c r="AC12" s="1295"/>
      <c r="AD12" s="1295"/>
      <c r="AE12" s="1295"/>
      <c r="AF12" s="1295"/>
      <c r="AG12" s="1295"/>
    </row>
    <row r="13" spans="1:33" ht="15" customHeight="1">
      <c r="A13" s="1352" t="s">
        <v>1919</v>
      </c>
      <c r="B13" s="1266"/>
      <c r="C13" s="1453">
        <v>1666667</v>
      </c>
      <c r="D13" s="1454"/>
      <c r="E13" s="1403">
        <v>43098</v>
      </c>
      <c r="F13" s="1456">
        <v>1E-3</v>
      </c>
      <c r="G13" s="1404">
        <v>1666.6670000000001</v>
      </c>
      <c r="H13" s="1404">
        <v>0</v>
      </c>
      <c r="I13" s="1404">
        <v>1666.6670000000001</v>
      </c>
      <c r="J13" s="1287">
        <v>1666667</v>
      </c>
      <c r="K13" s="1267"/>
      <c r="L13" s="1457" t="s">
        <v>210</v>
      </c>
      <c r="M13" s="1266"/>
      <c r="N13" s="1279">
        <v>500000</v>
      </c>
      <c r="O13" s="1266"/>
      <c r="P13" s="1462">
        <v>6.0197368421052637</v>
      </c>
      <c r="Q13" s="1459">
        <v>6</v>
      </c>
      <c r="R13" s="1463" t="s">
        <v>1916</v>
      </c>
      <c r="S13" s="1266"/>
      <c r="T13" s="1266"/>
      <c r="U13" s="1266"/>
      <c r="V13" s="1266"/>
      <c r="W13" s="1460"/>
      <c r="X13" s="1461"/>
      <c r="Y13" s="1461"/>
      <c r="Z13" s="1461"/>
      <c r="AB13" s="1295"/>
      <c r="AC13" s="1295"/>
      <c r="AD13" s="1295"/>
      <c r="AE13" s="1295"/>
      <c r="AF13" s="1295"/>
      <c r="AG13" s="1295"/>
    </row>
    <row r="14" spans="1:33" ht="15" customHeight="1">
      <c r="A14" s="1352" t="s">
        <v>1920</v>
      </c>
      <c r="B14" s="1266"/>
      <c r="C14" s="1453">
        <v>2000000</v>
      </c>
      <c r="D14" s="1454"/>
      <c r="E14" s="1403">
        <v>42236</v>
      </c>
      <c r="F14" s="1456">
        <v>1E-3</v>
      </c>
      <c r="G14" s="1404">
        <v>2000</v>
      </c>
      <c r="H14" s="1404">
        <v>0</v>
      </c>
      <c r="I14" s="1404">
        <v>2000</v>
      </c>
      <c r="J14" s="1303">
        <v>2000000</v>
      </c>
      <c r="K14" s="1267"/>
      <c r="L14" s="1457" t="s">
        <v>210</v>
      </c>
      <c r="M14" s="1266"/>
      <c r="N14" s="1279">
        <v>1416667</v>
      </c>
      <c r="O14" s="1266"/>
      <c r="P14" s="1462">
        <v>34.375</v>
      </c>
      <c r="Q14" s="1459">
        <v>34</v>
      </c>
      <c r="R14" s="1266"/>
      <c r="S14" s="1266"/>
      <c r="T14" s="1266"/>
      <c r="U14" s="1266"/>
      <c r="V14" s="1266"/>
      <c r="W14" s="1460">
        <v>583333</v>
      </c>
      <c r="X14" s="1461">
        <v>583.33299999999997</v>
      </c>
      <c r="Y14" s="1461">
        <v>0</v>
      </c>
      <c r="Z14" s="1461">
        <v>583.33299999999997</v>
      </c>
    </row>
    <row r="15" spans="1:33" ht="15" customHeight="1">
      <c r="A15" s="1352" t="s">
        <v>1921</v>
      </c>
      <c r="B15" s="1266"/>
      <c r="C15" s="1453">
        <v>160000</v>
      </c>
      <c r="D15" s="1464"/>
      <c r="E15" s="1403">
        <v>42236</v>
      </c>
      <c r="F15" s="1456">
        <v>1E-3</v>
      </c>
      <c r="G15" s="1404">
        <v>160</v>
      </c>
      <c r="H15" s="1404">
        <v>0</v>
      </c>
      <c r="I15" s="1404">
        <v>160</v>
      </c>
      <c r="J15" s="1287">
        <v>160000</v>
      </c>
      <c r="K15" s="1267"/>
      <c r="L15" s="1465"/>
      <c r="M15" s="1298"/>
      <c r="N15" s="1460">
        <v>160000</v>
      </c>
      <c r="O15" s="1266"/>
      <c r="P15" s="1462"/>
      <c r="Q15" s="1459"/>
      <c r="R15" s="1266"/>
      <c r="S15" s="1266"/>
      <c r="T15" s="1266"/>
      <c r="U15" s="1266"/>
      <c r="V15" s="1266"/>
      <c r="W15" s="1460">
        <v>0</v>
      </c>
      <c r="X15" s="1461">
        <v>0</v>
      </c>
      <c r="Y15" s="1461">
        <v>0</v>
      </c>
      <c r="Z15" s="1461">
        <v>0</v>
      </c>
    </row>
    <row r="16" spans="1:33" ht="15" customHeight="1">
      <c r="A16" s="1352"/>
      <c r="B16" s="1266"/>
      <c r="C16" s="1466">
        <v>8585000</v>
      </c>
      <c r="D16" s="1266"/>
      <c r="E16" s="1266"/>
      <c r="F16" s="1404"/>
      <c r="G16" s="1404"/>
      <c r="H16" s="1404"/>
      <c r="I16" s="1404"/>
      <c r="J16" s="1466">
        <v>8585000</v>
      </c>
      <c r="K16" s="1267"/>
      <c r="L16" s="1266"/>
      <c r="M16" s="1266"/>
      <c r="N16" s="1466">
        <v>5668333</v>
      </c>
      <c r="O16" s="1266"/>
      <c r="P16" s="1266"/>
      <c r="Q16" s="1266"/>
      <c r="R16" s="1266"/>
      <c r="S16" s="1266"/>
      <c r="T16" s="1266"/>
      <c r="U16" s="1266"/>
      <c r="V16" s="1266"/>
      <c r="W16" s="1466">
        <v>1750000</v>
      </c>
      <c r="X16" s="1467">
        <v>1750</v>
      </c>
      <c r="Y16" s="1467">
        <v>0</v>
      </c>
      <c r="Z16" s="1467">
        <v>1750</v>
      </c>
    </row>
    <row r="17" spans="1:26" ht="15" customHeight="1">
      <c r="A17" s="1347" t="s">
        <v>1769</v>
      </c>
      <c r="B17" s="1266"/>
      <c r="C17" s="1453"/>
      <c r="D17" s="1266"/>
      <c r="E17" s="1266"/>
      <c r="F17" s="1404"/>
      <c r="G17" s="1404"/>
      <c r="H17" s="1404"/>
      <c r="I17" s="1404"/>
      <c r="J17" s="1287"/>
      <c r="K17" s="1267"/>
      <c r="L17" s="1266"/>
      <c r="M17" s="1266"/>
      <c r="N17" s="1361"/>
      <c r="O17" s="1266"/>
      <c r="P17" s="1266"/>
      <c r="Q17" s="1266"/>
      <c r="R17" s="1266"/>
      <c r="S17" s="1266"/>
      <c r="T17" s="1266"/>
      <c r="U17" s="1266"/>
      <c r="V17" s="1266"/>
      <c r="W17" s="1298"/>
      <c r="X17" s="1461"/>
      <c r="Y17" s="1461"/>
      <c r="Z17" s="1461"/>
    </row>
    <row r="18" spans="1:26" ht="15" customHeight="1">
      <c r="A18" s="1352" t="s">
        <v>1770</v>
      </c>
      <c r="B18" s="1266"/>
      <c r="C18" s="1453">
        <v>84375</v>
      </c>
      <c r="D18" s="1454"/>
      <c r="E18" s="1403">
        <v>42090</v>
      </c>
      <c r="F18" s="1456">
        <v>1E-3</v>
      </c>
      <c r="G18" s="1404">
        <v>84.375</v>
      </c>
      <c r="H18" s="1404">
        <v>0</v>
      </c>
      <c r="I18" s="1404">
        <v>84.375</v>
      </c>
      <c r="J18" s="1287">
        <v>84375</v>
      </c>
      <c r="K18" s="1267"/>
      <c r="L18" s="1465" t="s">
        <v>1730</v>
      </c>
      <c r="M18" s="1298"/>
      <c r="N18" s="1460">
        <v>84375</v>
      </c>
      <c r="O18" s="1266"/>
      <c r="P18" s="1266"/>
      <c r="Q18" s="1266"/>
      <c r="R18" s="1266"/>
      <c r="S18" s="1266"/>
      <c r="T18" s="1266"/>
      <c r="U18" s="1266"/>
      <c r="V18" s="1266"/>
      <c r="W18" s="1460">
        <v>0</v>
      </c>
      <c r="X18" s="1461">
        <v>0</v>
      </c>
      <c r="Y18" s="1461">
        <v>0</v>
      </c>
      <c r="Z18" s="1461">
        <v>0</v>
      </c>
    </row>
    <row r="19" spans="1:26" ht="15" customHeight="1">
      <c r="A19" s="1352" t="s">
        <v>1770</v>
      </c>
      <c r="B19" s="1266"/>
      <c r="C19" s="1453">
        <v>75625</v>
      </c>
      <c r="D19" s="1454"/>
      <c r="E19" s="1403">
        <v>42236</v>
      </c>
      <c r="F19" s="1456">
        <v>1E-3</v>
      </c>
      <c r="G19" s="1404">
        <v>75.625</v>
      </c>
      <c r="H19" s="1404">
        <v>0</v>
      </c>
      <c r="I19" s="1404">
        <v>75.625</v>
      </c>
      <c r="J19" s="1287">
        <v>75625</v>
      </c>
      <c r="K19" s="1267"/>
      <c r="L19" s="1465"/>
      <c r="M19" s="1298"/>
      <c r="N19" s="1460">
        <v>75625</v>
      </c>
      <c r="O19" s="1266"/>
      <c r="P19" s="1266"/>
      <c r="Q19" s="1266"/>
      <c r="R19" s="1266"/>
      <c r="S19" s="1266"/>
      <c r="T19" s="1266"/>
      <c r="U19" s="1266"/>
      <c r="V19" s="1266"/>
      <c r="W19" s="1460">
        <v>0</v>
      </c>
      <c r="X19" s="1461">
        <v>0</v>
      </c>
      <c r="Y19" s="1461">
        <v>0</v>
      </c>
      <c r="Z19" s="1461">
        <v>0</v>
      </c>
    </row>
    <row r="20" spans="1:26" ht="15" customHeight="1">
      <c r="A20" s="1352" t="s">
        <v>1772</v>
      </c>
      <c r="B20" s="1266"/>
      <c r="C20" s="1453">
        <v>160000</v>
      </c>
      <c r="D20" s="1454"/>
      <c r="E20" s="1403">
        <v>42236</v>
      </c>
      <c r="F20" s="1456">
        <v>1E-3</v>
      </c>
      <c r="G20" s="1404">
        <v>160</v>
      </c>
      <c r="H20" s="1404">
        <v>0</v>
      </c>
      <c r="I20" s="1404">
        <v>160</v>
      </c>
      <c r="J20" s="1303">
        <v>160000</v>
      </c>
      <c r="K20" s="1267"/>
      <c r="L20" s="1468" t="s">
        <v>1730</v>
      </c>
      <c r="M20" s="1312"/>
      <c r="N20" s="1469">
        <v>160000</v>
      </c>
      <c r="O20" s="1266"/>
      <c r="P20" s="1266"/>
      <c r="Q20" s="1266"/>
      <c r="R20" s="1266"/>
      <c r="S20" s="1266"/>
      <c r="T20" s="1266"/>
      <c r="U20" s="1266"/>
      <c r="V20" s="1266"/>
      <c r="W20" s="1460">
        <v>0</v>
      </c>
      <c r="X20" s="1461">
        <v>0</v>
      </c>
      <c r="Y20" s="1461">
        <v>0</v>
      </c>
      <c r="Z20" s="1461">
        <v>0</v>
      </c>
    </row>
    <row r="21" spans="1:26" ht="15" customHeight="1">
      <c r="A21" s="1352"/>
      <c r="B21" s="1266"/>
      <c r="C21" s="1466">
        <v>320000</v>
      </c>
      <c r="D21" s="1266"/>
      <c r="E21" s="1266"/>
      <c r="F21" s="1404"/>
      <c r="G21" s="1404"/>
      <c r="H21" s="1404"/>
      <c r="I21" s="1404"/>
      <c r="J21" s="1466">
        <v>320000</v>
      </c>
      <c r="K21" s="1267"/>
      <c r="L21" s="1465" t="s">
        <v>1730</v>
      </c>
      <c r="M21" s="1298"/>
      <c r="N21" s="1466">
        <v>320000</v>
      </c>
      <c r="O21" s="1266"/>
      <c r="P21" s="1266"/>
      <c r="Q21" s="1266"/>
      <c r="R21" s="1266"/>
      <c r="S21" s="1266"/>
      <c r="T21" s="1266"/>
      <c r="U21" s="1266"/>
      <c r="V21" s="1266"/>
      <c r="W21" s="1466">
        <v>0</v>
      </c>
      <c r="X21" s="1467">
        <v>0</v>
      </c>
      <c r="Y21" s="1467">
        <v>0</v>
      </c>
      <c r="Z21" s="1467">
        <v>0</v>
      </c>
    </row>
    <row r="22" spans="1:26" ht="15" hidden="1" customHeight="1">
      <c r="A22" s="1347" t="s">
        <v>1738</v>
      </c>
      <c r="B22" s="1266"/>
      <c r="C22" s="1453"/>
      <c r="D22" s="1266"/>
      <c r="E22" s="1266"/>
      <c r="F22" s="1404"/>
      <c r="G22" s="1404"/>
      <c r="H22" s="1404"/>
      <c r="I22" s="1404"/>
      <c r="J22" s="1453"/>
      <c r="K22" s="1267"/>
      <c r="L22" s="1465"/>
      <c r="M22" s="1298"/>
      <c r="N22" s="1453"/>
      <c r="O22" s="1266"/>
      <c r="P22" s="1266"/>
      <c r="Q22" s="1266"/>
      <c r="R22" s="1266"/>
      <c r="S22" s="1266"/>
      <c r="T22" s="1266"/>
      <c r="U22" s="1266"/>
      <c r="V22" s="1266"/>
      <c r="W22" s="1298"/>
      <c r="X22" s="1461"/>
      <c r="Y22" s="1461"/>
      <c r="Z22" s="1461"/>
    </row>
    <row r="23" spans="1:26" ht="15" hidden="1" customHeight="1">
      <c r="A23" s="1352"/>
      <c r="B23" s="1266"/>
      <c r="C23" s="1453"/>
      <c r="D23" s="1266"/>
      <c r="E23" s="1266"/>
      <c r="F23" s="1404"/>
      <c r="G23" s="1404"/>
      <c r="H23" s="1404"/>
      <c r="I23" s="1404"/>
      <c r="J23" s="1453"/>
      <c r="K23" s="1267"/>
      <c r="L23" s="1465"/>
      <c r="M23" s="1298"/>
      <c r="N23" s="1453"/>
      <c r="O23" s="1266"/>
      <c r="P23" s="1266"/>
      <c r="Q23" s="1266"/>
      <c r="R23" s="1266"/>
      <c r="S23" s="1266"/>
      <c r="T23" s="1266"/>
      <c r="U23" s="1266"/>
      <c r="V23" s="1266"/>
      <c r="W23" s="1298"/>
      <c r="X23" s="1461"/>
      <c r="Y23" s="1461"/>
      <c r="Z23" s="1461"/>
    </row>
    <row r="24" spans="1:26" ht="15" hidden="1" customHeight="1">
      <c r="A24" s="1347" t="s">
        <v>1782</v>
      </c>
      <c r="B24" s="1266"/>
      <c r="C24" s="1453"/>
      <c r="D24" s="1266"/>
      <c r="E24" s="1266"/>
      <c r="F24" s="1404"/>
      <c r="G24" s="1404"/>
      <c r="H24" s="1404"/>
      <c r="I24" s="1404"/>
      <c r="J24" s="1453"/>
      <c r="K24" s="1267"/>
      <c r="L24" s="1465"/>
      <c r="M24" s="1298"/>
      <c r="N24" s="1453"/>
      <c r="O24" s="1266"/>
      <c r="P24" s="1266"/>
      <c r="Q24" s="1266"/>
      <c r="R24" s="1266"/>
      <c r="S24" s="1266"/>
      <c r="T24" s="1266"/>
      <c r="U24" s="1266"/>
      <c r="V24" s="1266"/>
      <c r="W24" s="1298"/>
      <c r="X24" s="1461"/>
      <c r="Y24" s="1461"/>
      <c r="Z24" s="1461"/>
    </row>
    <row r="25" spans="1:26" ht="15" hidden="1" customHeight="1">
      <c r="A25" s="1352"/>
      <c r="B25" s="1266"/>
      <c r="C25" s="1453"/>
      <c r="D25" s="1266"/>
      <c r="E25" s="1266"/>
      <c r="F25" s="1404"/>
      <c r="G25" s="1404"/>
      <c r="H25" s="1404"/>
      <c r="I25" s="1404"/>
      <c r="J25" s="1453"/>
      <c r="K25" s="1267"/>
      <c r="L25" s="1465"/>
      <c r="M25" s="1298"/>
      <c r="N25" s="1453"/>
      <c r="O25" s="1266"/>
      <c r="P25" s="1266"/>
      <c r="Q25" s="1266"/>
      <c r="R25" s="1266"/>
      <c r="S25" s="1266"/>
      <c r="T25" s="1266"/>
      <c r="U25" s="1266"/>
      <c r="V25" s="1266"/>
      <c r="W25" s="1298"/>
      <c r="X25" s="1461"/>
      <c r="Y25" s="1461"/>
      <c r="Z25" s="1461"/>
    </row>
    <row r="26" spans="1:26" ht="15" hidden="1" customHeight="1">
      <c r="A26" s="1347" t="s">
        <v>1784</v>
      </c>
      <c r="B26" s="1266"/>
      <c r="C26" s="1453"/>
      <c r="D26" s="1266"/>
      <c r="E26" s="1266"/>
      <c r="F26" s="1404"/>
      <c r="G26" s="1404"/>
      <c r="H26" s="1404"/>
      <c r="I26" s="1404"/>
      <c r="J26" s="1453"/>
      <c r="K26" s="1267"/>
      <c r="L26" s="1465"/>
      <c r="M26" s="1298"/>
      <c r="N26" s="1453"/>
      <c r="O26" s="1266"/>
      <c r="P26" s="1266"/>
      <c r="Q26" s="1266"/>
      <c r="R26" s="1266"/>
      <c r="S26" s="1266"/>
      <c r="T26" s="1266"/>
      <c r="U26" s="1266"/>
      <c r="V26" s="1266"/>
      <c r="W26" s="1298"/>
      <c r="X26" s="1461"/>
      <c r="Y26" s="1461"/>
      <c r="Z26" s="1461"/>
    </row>
    <row r="27" spans="1:26" ht="15" hidden="1" customHeight="1">
      <c r="A27" s="1352"/>
      <c r="B27" s="1266"/>
      <c r="C27" s="1453"/>
      <c r="D27" s="1266"/>
      <c r="E27" s="1266"/>
      <c r="F27" s="1404"/>
      <c r="G27" s="1404"/>
      <c r="H27" s="1404"/>
      <c r="I27" s="1404"/>
      <c r="J27" s="1453"/>
      <c r="K27" s="1267"/>
      <c r="L27" s="1465"/>
      <c r="M27" s="1298"/>
      <c r="N27" s="1453"/>
      <c r="O27" s="1266"/>
      <c r="P27" s="1266"/>
      <c r="Q27" s="1266"/>
      <c r="R27" s="1266"/>
      <c r="S27" s="1266"/>
      <c r="T27" s="1266"/>
      <c r="U27" s="1266"/>
      <c r="V27" s="1266"/>
      <c r="W27" s="1298"/>
      <c r="X27" s="1461"/>
      <c r="Y27" s="1461"/>
      <c r="Z27" s="1461"/>
    </row>
    <row r="28" spans="1:26" ht="15" hidden="1" customHeight="1">
      <c r="A28" s="1347" t="s">
        <v>1785</v>
      </c>
      <c r="B28" s="1266"/>
      <c r="C28" s="1453"/>
      <c r="D28" s="1266"/>
      <c r="E28" s="1266"/>
      <c r="F28" s="1404"/>
      <c r="G28" s="1404"/>
      <c r="H28" s="1404"/>
      <c r="I28" s="1404"/>
      <c r="J28" s="1453"/>
      <c r="K28" s="1267"/>
      <c r="L28" s="1465"/>
      <c r="M28" s="1298"/>
      <c r="N28" s="1453"/>
      <c r="O28" s="1266"/>
      <c r="P28" s="1266"/>
      <c r="Q28" s="1266"/>
      <c r="R28" s="1266"/>
      <c r="S28" s="1266"/>
      <c r="T28" s="1266"/>
      <c r="U28" s="1266"/>
      <c r="V28" s="1266"/>
      <c r="W28" s="1298"/>
      <c r="X28" s="1461"/>
      <c r="Y28" s="1461"/>
      <c r="Z28" s="1461"/>
    </row>
    <row r="29" spans="1:26" ht="15" hidden="1" customHeight="1">
      <c r="A29" s="1352"/>
      <c r="B29" s="1266"/>
      <c r="C29" s="1453"/>
      <c r="D29" s="1266"/>
      <c r="E29" s="1266"/>
      <c r="F29" s="1404"/>
      <c r="G29" s="1404"/>
      <c r="H29" s="1404"/>
      <c r="I29" s="1404"/>
      <c r="J29" s="1453"/>
      <c r="K29" s="1267"/>
      <c r="L29" s="1465"/>
      <c r="M29" s="1298"/>
      <c r="N29" s="1453"/>
      <c r="O29" s="1266"/>
      <c r="P29" s="1266"/>
      <c r="Q29" s="1266"/>
      <c r="R29" s="1266"/>
      <c r="S29" s="1266"/>
      <c r="T29" s="1266"/>
      <c r="U29" s="1266"/>
      <c r="V29" s="1266"/>
      <c r="W29" s="1298"/>
      <c r="X29" s="1461"/>
      <c r="Y29" s="1461"/>
      <c r="Z29" s="1461"/>
    </row>
    <row r="30" spans="1:26" ht="15" customHeight="1">
      <c r="A30" s="1347" t="s">
        <v>1732</v>
      </c>
      <c r="B30" s="1266"/>
      <c r="C30" s="1453"/>
      <c r="D30" s="1266"/>
      <c r="E30" s="1266"/>
      <c r="F30" s="1404"/>
      <c r="G30" s="1404"/>
      <c r="H30" s="1404"/>
      <c r="I30" s="1404"/>
      <c r="J30" s="1453"/>
      <c r="K30" s="1267"/>
      <c r="L30" s="1465"/>
      <c r="M30" s="1298"/>
      <c r="N30" s="1453"/>
      <c r="O30" s="1266"/>
      <c r="P30" s="1266"/>
      <c r="Q30" s="1266"/>
      <c r="R30" s="1266"/>
      <c r="S30" s="1266"/>
      <c r="T30" s="1266"/>
      <c r="U30" s="1266"/>
      <c r="V30" s="1266"/>
      <c r="W30" s="1298"/>
      <c r="X30" s="1461"/>
      <c r="Y30" s="1461"/>
      <c r="Z30" s="1461"/>
    </row>
    <row r="31" spans="1:26" ht="15" customHeight="1">
      <c r="A31" s="1352" t="s">
        <v>1922</v>
      </c>
      <c r="B31" s="1266"/>
      <c r="C31" s="1453">
        <v>100000</v>
      </c>
      <c r="D31" s="1454"/>
      <c r="E31" s="1403">
        <v>42236</v>
      </c>
      <c r="F31" s="1456">
        <v>1E-3</v>
      </c>
      <c r="G31" s="1404">
        <v>100</v>
      </c>
      <c r="H31" s="1404">
        <v>0</v>
      </c>
      <c r="I31" s="1404">
        <v>100</v>
      </c>
      <c r="J31" s="1287">
        <v>100000</v>
      </c>
      <c r="K31" s="1267"/>
      <c r="L31" s="1470">
        <v>-2</v>
      </c>
      <c r="M31" s="1266"/>
      <c r="N31" s="1279">
        <v>100000</v>
      </c>
      <c r="O31" s="1266"/>
      <c r="P31" s="1462">
        <v>34.375</v>
      </c>
      <c r="Q31" s="1459">
        <v>34</v>
      </c>
      <c r="R31" s="1266"/>
      <c r="S31" s="1266"/>
      <c r="T31" s="1266"/>
      <c r="U31" s="1266"/>
      <c r="V31" s="1266"/>
      <c r="W31" s="1460">
        <v>0</v>
      </c>
      <c r="X31" s="1461">
        <v>0</v>
      </c>
      <c r="Y31" s="1461">
        <v>0</v>
      </c>
      <c r="Z31" s="1461">
        <v>0</v>
      </c>
    </row>
    <row r="32" spans="1:26" ht="15" customHeight="1">
      <c r="A32" s="1352"/>
      <c r="B32" s="1266"/>
      <c r="C32" s="1453"/>
      <c r="D32" s="1266"/>
      <c r="E32" s="1266"/>
      <c r="F32" s="1404"/>
      <c r="G32" s="1404"/>
      <c r="H32" s="1404"/>
      <c r="I32" s="1404"/>
      <c r="J32" s="1453"/>
      <c r="K32" s="1267"/>
      <c r="L32" s="1465"/>
      <c r="M32" s="1298"/>
      <c r="N32" s="1453"/>
      <c r="O32" s="1266"/>
      <c r="P32" s="1266"/>
      <c r="Q32" s="1266"/>
      <c r="R32" s="1266"/>
      <c r="S32" s="1266"/>
      <c r="T32" s="1266"/>
      <c r="U32" s="1266"/>
      <c r="V32" s="1266"/>
      <c r="W32" s="1266"/>
      <c r="X32" s="1404"/>
      <c r="Y32" s="1404"/>
      <c r="Z32" s="1404"/>
    </row>
    <row r="33" spans="1:26" ht="15" customHeight="1">
      <c r="A33" s="1347" t="s">
        <v>1735</v>
      </c>
      <c r="B33" s="1266"/>
      <c r="C33" s="1453"/>
      <c r="D33" s="1266"/>
      <c r="E33" s="1266"/>
      <c r="F33" s="1404"/>
      <c r="G33" s="1404"/>
      <c r="H33" s="1404"/>
      <c r="I33" s="1404"/>
      <c r="J33" s="1453"/>
      <c r="K33" s="1267"/>
      <c r="L33" s="1465"/>
      <c r="M33" s="1298"/>
      <c r="N33" s="1453"/>
      <c r="O33" s="1266"/>
      <c r="P33" s="1266"/>
      <c r="Q33" s="1266"/>
      <c r="R33" s="1266"/>
      <c r="S33" s="1266"/>
      <c r="T33" s="1266"/>
      <c r="U33" s="1266"/>
      <c r="V33" s="1266"/>
      <c r="W33" s="1266"/>
      <c r="X33" s="1404"/>
      <c r="Y33" s="1404"/>
      <c r="Z33" s="1404"/>
    </row>
    <row r="34" spans="1:26" ht="15" customHeight="1">
      <c r="A34" s="1352" t="s">
        <v>1841</v>
      </c>
      <c r="B34" s="1266"/>
      <c r="C34" s="1453">
        <v>322200</v>
      </c>
      <c r="D34" s="1471">
        <v>42486</v>
      </c>
      <c r="E34" s="1471">
        <v>42486</v>
      </c>
      <c r="F34" s="1298">
        <v>0.11</v>
      </c>
      <c r="G34" s="1404">
        <v>322.2</v>
      </c>
      <c r="H34" s="1404">
        <v>35119.800000000003</v>
      </c>
      <c r="I34" s="1404">
        <v>35442</v>
      </c>
      <c r="J34" s="1287">
        <v>322200</v>
      </c>
      <c r="K34" s="1267"/>
      <c r="L34" s="1465" t="s">
        <v>1730</v>
      </c>
      <c r="M34" s="1298"/>
      <c r="N34" s="1460">
        <v>322200</v>
      </c>
      <c r="O34" s="1266"/>
      <c r="P34" s="1266"/>
      <c r="Q34" s="1266"/>
      <c r="R34" s="1266"/>
      <c r="S34" s="1266"/>
      <c r="T34" s="1266"/>
      <c r="U34" s="1266"/>
      <c r="V34" s="1266"/>
      <c r="W34" s="1460">
        <v>0</v>
      </c>
      <c r="X34" s="1461">
        <v>0</v>
      </c>
      <c r="Y34" s="1461">
        <v>0</v>
      </c>
      <c r="Z34" s="1461">
        <v>0</v>
      </c>
    </row>
    <row r="35" spans="1:26" ht="15" customHeight="1">
      <c r="A35" s="1352"/>
      <c r="B35" s="1266"/>
      <c r="C35" s="1453"/>
      <c r="D35" s="1298"/>
      <c r="E35" s="1266"/>
      <c r="F35" s="1456"/>
      <c r="G35" s="1404"/>
      <c r="H35" s="1404"/>
      <c r="I35" s="1404"/>
      <c r="J35" s="1287"/>
      <c r="K35" s="1267"/>
      <c r="L35" s="1465"/>
      <c r="M35" s="1298"/>
      <c r="N35" s="1460"/>
      <c r="O35" s="1266"/>
      <c r="P35" s="1266"/>
      <c r="Q35" s="1266"/>
      <c r="R35" s="1266"/>
      <c r="S35" s="1266"/>
      <c r="T35" s="1266"/>
      <c r="U35" s="1266"/>
      <c r="V35" s="1266"/>
      <c r="W35" s="1266"/>
      <c r="X35" s="1404"/>
      <c r="Y35" s="1404"/>
      <c r="Z35" s="1404"/>
    </row>
    <row r="36" spans="1:26" ht="15" customHeight="1">
      <c r="A36" s="1347" t="s">
        <v>1923</v>
      </c>
      <c r="B36" s="1266"/>
      <c r="C36" s="1453"/>
      <c r="D36" s="1266"/>
      <c r="E36" s="1266"/>
      <c r="F36" s="1404"/>
      <c r="G36" s="1404"/>
      <c r="H36" s="1404"/>
      <c r="I36" s="1404"/>
      <c r="J36" s="1287"/>
      <c r="K36" s="1267"/>
      <c r="L36" s="1465"/>
      <c r="M36" s="1298"/>
      <c r="N36" s="1361"/>
      <c r="O36" s="1266"/>
      <c r="P36" s="1266"/>
      <c r="Q36" s="1266"/>
      <c r="R36" s="1266"/>
      <c r="S36" s="1266"/>
      <c r="T36" s="1266"/>
      <c r="U36" s="1266"/>
      <c r="V36" s="1266"/>
      <c r="W36" s="1266"/>
      <c r="X36" s="1404"/>
      <c r="Y36" s="1404"/>
      <c r="Z36" s="1404"/>
    </row>
    <row r="37" spans="1:26" ht="15" customHeight="1">
      <c r="A37" s="1352" t="s">
        <v>1924</v>
      </c>
      <c r="B37" s="1266"/>
      <c r="C37" s="1453">
        <v>50000</v>
      </c>
      <c r="D37" s="1454"/>
      <c r="E37" s="1403">
        <v>42236</v>
      </c>
      <c r="F37" s="1456">
        <v>1E-3</v>
      </c>
      <c r="G37" s="1404">
        <v>50</v>
      </c>
      <c r="H37" s="1404">
        <v>0</v>
      </c>
      <c r="I37" s="1404">
        <v>50</v>
      </c>
      <c r="J37" s="1287">
        <v>50000</v>
      </c>
      <c r="K37" s="1267"/>
      <c r="L37" s="1470">
        <v>-2</v>
      </c>
      <c r="M37" s="1266"/>
      <c r="N37" s="1279">
        <v>50000</v>
      </c>
      <c r="O37" s="1266"/>
      <c r="P37" s="1462">
        <v>34.375</v>
      </c>
      <c r="Q37" s="1459">
        <v>34</v>
      </c>
      <c r="R37" s="1266"/>
      <c r="S37" s="1266"/>
      <c r="T37" s="1266"/>
      <c r="U37" s="1266"/>
      <c r="V37" s="1266"/>
      <c r="W37" s="1460">
        <v>0</v>
      </c>
      <c r="X37" s="1461">
        <v>0</v>
      </c>
      <c r="Y37" s="1461">
        <v>0</v>
      </c>
      <c r="Z37" s="1461">
        <v>0</v>
      </c>
    </row>
    <row r="38" spans="1:26" ht="15" customHeight="1">
      <c r="A38" s="1352" t="s">
        <v>1925</v>
      </c>
      <c r="B38" s="1266"/>
      <c r="C38" s="1453">
        <v>35000</v>
      </c>
      <c r="D38" s="1454"/>
      <c r="E38" s="1403">
        <v>42236</v>
      </c>
      <c r="F38" s="1456">
        <v>1E-3</v>
      </c>
      <c r="G38" s="1404">
        <v>35</v>
      </c>
      <c r="H38" s="1404">
        <v>0</v>
      </c>
      <c r="I38" s="1404">
        <v>35</v>
      </c>
      <c r="J38" s="1287">
        <v>35000</v>
      </c>
      <c r="K38" s="1267"/>
      <c r="L38" s="1470">
        <v>-2</v>
      </c>
      <c r="M38" s="1266"/>
      <c r="N38" s="1279">
        <v>35000</v>
      </c>
      <c r="O38" s="1266"/>
      <c r="P38" s="1462">
        <v>34.375</v>
      </c>
      <c r="Q38" s="1459">
        <v>34</v>
      </c>
      <c r="R38" s="1266"/>
      <c r="S38" s="1266"/>
      <c r="T38" s="1266"/>
      <c r="U38" s="1266"/>
      <c r="V38" s="1266"/>
      <c r="W38" s="1460">
        <v>0</v>
      </c>
      <c r="X38" s="1461">
        <v>0</v>
      </c>
      <c r="Y38" s="1461">
        <v>0</v>
      </c>
      <c r="Z38" s="1461">
        <v>0</v>
      </c>
    </row>
    <row r="39" spans="1:26" ht="15" customHeight="1">
      <c r="A39" s="1298" t="s">
        <v>1926</v>
      </c>
      <c r="B39" s="1266"/>
      <c r="C39" s="1254">
        <v>25000</v>
      </c>
      <c r="D39" s="1454"/>
      <c r="E39" s="1403">
        <v>42236</v>
      </c>
      <c r="F39" s="1456">
        <v>1E-3</v>
      </c>
      <c r="G39" s="1404">
        <v>25</v>
      </c>
      <c r="H39" s="1404">
        <v>0</v>
      </c>
      <c r="I39" s="1404">
        <v>25</v>
      </c>
      <c r="J39" s="1287">
        <v>25000</v>
      </c>
      <c r="K39" s="1267"/>
      <c r="L39" s="1470">
        <v>-2</v>
      </c>
      <c r="M39" s="1266"/>
      <c r="N39" s="1279">
        <v>25000</v>
      </c>
      <c r="O39" s="1266"/>
      <c r="P39" s="1462">
        <v>34.375</v>
      </c>
      <c r="Q39" s="1459">
        <v>34</v>
      </c>
      <c r="R39" s="1266"/>
      <c r="S39" s="1266"/>
      <c r="T39" s="1266"/>
      <c r="U39" s="1266"/>
      <c r="V39" s="1266"/>
      <c r="W39" s="1460">
        <v>0</v>
      </c>
      <c r="X39" s="1461">
        <v>0</v>
      </c>
      <c r="Y39" s="1461">
        <v>0</v>
      </c>
      <c r="Z39" s="1461">
        <v>0</v>
      </c>
    </row>
    <row r="40" spans="1:26" ht="15" customHeight="1">
      <c r="A40" s="1298" t="s">
        <v>1927</v>
      </c>
      <c r="B40" s="1266"/>
      <c r="C40" s="1254">
        <v>10000</v>
      </c>
      <c r="D40" s="1454"/>
      <c r="E40" s="1403">
        <v>42236</v>
      </c>
      <c r="F40" s="1456">
        <v>1E-3</v>
      </c>
      <c r="G40" s="1404">
        <v>10</v>
      </c>
      <c r="H40" s="1404">
        <v>0</v>
      </c>
      <c r="I40" s="1404">
        <v>10</v>
      </c>
      <c r="J40" s="1287">
        <v>10000</v>
      </c>
      <c r="K40" s="1267"/>
      <c r="L40" s="1470">
        <v>-2</v>
      </c>
      <c r="M40" s="1266"/>
      <c r="N40" s="1279">
        <v>10000</v>
      </c>
      <c r="O40" s="1266"/>
      <c r="P40" s="1462">
        <v>34.375</v>
      </c>
      <c r="Q40" s="1459">
        <v>34</v>
      </c>
      <c r="R40" s="1266"/>
      <c r="S40" s="1266"/>
      <c r="T40" s="1266"/>
      <c r="U40" s="1266"/>
      <c r="V40" s="1266"/>
      <c r="W40" s="1460">
        <v>0</v>
      </c>
      <c r="X40" s="1461">
        <v>0</v>
      </c>
      <c r="Y40" s="1461">
        <v>0</v>
      </c>
      <c r="Z40" s="1461">
        <v>0</v>
      </c>
    </row>
    <row r="41" spans="1:26" ht="15" customHeight="1">
      <c r="A41" s="1298" t="s">
        <v>1928</v>
      </c>
      <c r="B41" s="1266"/>
      <c r="C41" s="1254">
        <v>10000</v>
      </c>
      <c r="D41" s="1454"/>
      <c r="E41" s="1403">
        <v>42236</v>
      </c>
      <c r="F41" s="1456">
        <v>1E-3</v>
      </c>
      <c r="G41" s="1404">
        <v>10</v>
      </c>
      <c r="H41" s="1404">
        <v>0</v>
      </c>
      <c r="I41" s="1404">
        <v>10</v>
      </c>
      <c r="J41" s="1287">
        <v>10000</v>
      </c>
      <c r="K41" s="1267"/>
      <c r="L41" s="1470">
        <v>-2</v>
      </c>
      <c r="M41" s="1266"/>
      <c r="N41" s="1279">
        <v>10000</v>
      </c>
      <c r="O41" s="1266"/>
      <c r="P41" s="1462">
        <v>34.375</v>
      </c>
      <c r="Q41" s="1459">
        <v>34</v>
      </c>
      <c r="R41" s="1266"/>
      <c r="S41" s="1266"/>
      <c r="T41" s="1266"/>
      <c r="U41" s="1266"/>
      <c r="V41" s="1266"/>
      <c r="W41" s="1460">
        <v>0</v>
      </c>
      <c r="X41" s="1461">
        <v>0</v>
      </c>
      <c r="Y41" s="1461">
        <v>0</v>
      </c>
      <c r="Z41" s="1461">
        <v>0</v>
      </c>
    </row>
    <row r="42" spans="1:26" ht="15" customHeight="1">
      <c r="A42" s="1298" t="s">
        <v>1929</v>
      </c>
      <c r="B42" s="1266"/>
      <c r="C42" s="1254">
        <v>10000</v>
      </c>
      <c r="D42" s="1454"/>
      <c r="E42" s="1403">
        <v>42236</v>
      </c>
      <c r="F42" s="1456">
        <v>1E-3</v>
      </c>
      <c r="G42" s="1404">
        <v>10</v>
      </c>
      <c r="H42" s="1404">
        <v>0</v>
      </c>
      <c r="I42" s="1404">
        <v>10</v>
      </c>
      <c r="J42" s="1287">
        <v>10000</v>
      </c>
      <c r="K42" s="1267"/>
      <c r="L42" s="1470">
        <v>-2</v>
      </c>
      <c r="M42" s="1266"/>
      <c r="N42" s="1279">
        <v>10000</v>
      </c>
      <c r="O42" s="1266"/>
      <c r="P42" s="1462">
        <v>34.375</v>
      </c>
      <c r="Q42" s="1459">
        <v>34</v>
      </c>
      <c r="R42" s="1266"/>
      <c r="S42" s="1266"/>
      <c r="T42" s="1266"/>
      <c r="U42" s="1266"/>
      <c r="V42" s="1266"/>
      <c r="W42" s="1460">
        <v>0</v>
      </c>
      <c r="X42" s="1461">
        <v>0</v>
      </c>
      <c r="Y42" s="1461">
        <v>0</v>
      </c>
      <c r="Z42" s="1461">
        <v>0</v>
      </c>
    </row>
    <row r="43" spans="1:26" ht="15" customHeight="1">
      <c r="A43" s="1298" t="s">
        <v>1930</v>
      </c>
      <c r="B43" s="1266"/>
      <c r="C43" s="1254">
        <v>10000</v>
      </c>
      <c r="D43" s="1454"/>
      <c r="E43" s="1403">
        <v>42236</v>
      </c>
      <c r="F43" s="1456">
        <v>1E-3</v>
      </c>
      <c r="G43" s="1404">
        <v>10</v>
      </c>
      <c r="H43" s="1404">
        <v>0</v>
      </c>
      <c r="I43" s="1404">
        <v>10</v>
      </c>
      <c r="J43" s="1287">
        <v>10000</v>
      </c>
      <c r="K43" s="1267"/>
      <c r="L43" s="1470">
        <v>-2</v>
      </c>
      <c r="M43" s="1266"/>
      <c r="N43" s="1279">
        <v>10000</v>
      </c>
      <c r="O43" s="1266"/>
      <c r="P43" s="1462">
        <v>34.375</v>
      </c>
      <c r="Q43" s="1459">
        <v>34</v>
      </c>
      <c r="R43" s="1266"/>
      <c r="S43" s="1266"/>
      <c r="T43" s="1266"/>
      <c r="U43" s="1266"/>
      <c r="V43" s="1266"/>
      <c r="W43" s="1460">
        <v>0</v>
      </c>
      <c r="X43" s="1461">
        <v>0</v>
      </c>
      <c r="Y43" s="1461">
        <v>0</v>
      </c>
      <c r="Z43" s="1461">
        <v>0</v>
      </c>
    </row>
    <row r="44" spans="1:26" ht="15" customHeight="1">
      <c r="A44" s="1298" t="s">
        <v>1931</v>
      </c>
      <c r="B44" s="1266"/>
      <c r="C44" s="1277">
        <v>5000</v>
      </c>
      <c r="D44" s="1472"/>
      <c r="E44" s="1455">
        <v>42236</v>
      </c>
      <c r="F44" s="1473">
        <v>1E-3</v>
      </c>
      <c r="G44" s="1474">
        <v>5</v>
      </c>
      <c r="H44" s="1474">
        <v>0</v>
      </c>
      <c r="I44" s="1474">
        <v>5</v>
      </c>
      <c r="J44" s="1303">
        <v>5000</v>
      </c>
      <c r="K44" s="1267"/>
      <c r="L44" s="1470">
        <v>-2</v>
      </c>
      <c r="M44" s="1266"/>
      <c r="N44" s="1279">
        <v>5000</v>
      </c>
      <c r="O44" s="1266"/>
      <c r="P44" s="1462">
        <v>34.375</v>
      </c>
      <c r="Q44" s="1459">
        <v>34</v>
      </c>
      <c r="R44" s="1266"/>
      <c r="S44" s="1266"/>
      <c r="T44" s="1266"/>
      <c r="U44" s="1266"/>
      <c r="V44" s="1266"/>
      <c r="W44" s="1460">
        <v>0</v>
      </c>
      <c r="X44" s="1461">
        <v>0</v>
      </c>
      <c r="Y44" s="1461">
        <v>0</v>
      </c>
      <c r="Z44" s="1461">
        <v>0</v>
      </c>
    </row>
    <row r="45" spans="1:26" ht="15" customHeight="1">
      <c r="A45" s="1298" t="s">
        <v>1932</v>
      </c>
      <c r="B45" s="1266"/>
      <c r="C45" s="1277">
        <v>5000</v>
      </c>
      <c r="D45" s="1472"/>
      <c r="E45" s="1455">
        <v>42236</v>
      </c>
      <c r="F45" s="1473">
        <v>1E-3</v>
      </c>
      <c r="G45" s="1474">
        <v>5</v>
      </c>
      <c r="H45" s="1474">
        <v>0</v>
      </c>
      <c r="I45" s="1474">
        <v>5</v>
      </c>
      <c r="J45" s="1303">
        <v>5000</v>
      </c>
      <c r="K45" s="1267"/>
      <c r="L45" s="1470">
        <v>-2</v>
      </c>
      <c r="M45" s="1266"/>
      <c r="N45" s="1279">
        <v>5000</v>
      </c>
      <c r="O45" s="1266"/>
      <c r="P45" s="1462">
        <v>34.375</v>
      </c>
      <c r="Q45" s="1459">
        <v>34</v>
      </c>
      <c r="R45" s="1266"/>
      <c r="S45" s="1266"/>
      <c r="T45" s="1266"/>
      <c r="U45" s="1266"/>
      <c r="V45" s="1266"/>
      <c r="W45" s="1460">
        <v>0</v>
      </c>
      <c r="X45" s="1461">
        <v>0</v>
      </c>
      <c r="Y45" s="1461">
        <v>0</v>
      </c>
      <c r="Z45" s="1461">
        <v>0</v>
      </c>
    </row>
    <row r="46" spans="1:26" ht="15" customHeight="1">
      <c r="A46" s="1298" t="s">
        <v>1933</v>
      </c>
      <c r="B46" s="1266"/>
      <c r="C46" s="1277">
        <v>175000</v>
      </c>
      <c r="D46" s="1472"/>
      <c r="E46" s="1455" t="s">
        <v>1934</v>
      </c>
      <c r="F46" s="1473">
        <v>1E-3</v>
      </c>
      <c r="G46" s="1474">
        <v>175</v>
      </c>
      <c r="H46" s="1474">
        <v>0</v>
      </c>
      <c r="I46" s="1474">
        <v>175</v>
      </c>
      <c r="J46" s="1303">
        <v>175000</v>
      </c>
      <c r="K46" s="1267"/>
      <c r="L46" s="1470" t="s">
        <v>13</v>
      </c>
      <c r="M46" s="1266"/>
      <c r="N46" s="1279">
        <v>175000</v>
      </c>
      <c r="O46" s="1266"/>
      <c r="P46" s="1462" t="s">
        <v>1935</v>
      </c>
      <c r="Q46" s="1459"/>
      <c r="R46" s="1266"/>
      <c r="S46" s="1266"/>
      <c r="T46" s="1266"/>
      <c r="U46" s="1266"/>
      <c r="V46" s="1266"/>
      <c r="W46" s="1460">
        <v>0</v>
      </c>
      <c r="X46" s="1461">
        <v>0</v>
      </c>
      <c r="Y46" s="1461">
        <v>0</v>
      </c>
      <c r="Z46" s="1461">
        <v>0</v>
      </c>
    </row>
    <row r="47" spans="1:26" ht="15" customHeight="1">
      <c r="A47" s="1298" t="s">
        <v>1936</v>
      </c>
      <c r="B47" s="1266"/>
      <c r="C47" s="1277">
        <v>175000</v>
      </c>
      <c r="D47" s="1454"/>
      <c r="E47" s="1455" t="s">
        <v>1934</v>
      </c>
      <c r="F47" s="1473">
        <v>1E-3</v>
      </c>
      <c r="G47" s="1474">
        <v>175</v>
      </c>
      <c r="H47" s="1474">
        <v>0</v>
      </c>
      <c r="I47" s="1474">
        <v>175</v>
      </c>
      <c r="J47" s="1303">
        <v>175000</v>
      </c>
      <c r="K47" s="1267"/>
      <c r="L47" s="1470" t="s">
        <v>13</v>
      </c>
      <c r="M47" s="1266"/>
      <c r="N47" s="1279">
        <v>175000</v>
      </c>
      <c r="O47" s="1266"/>
      <c r="P47" s="1462" t="s">
        <v>1935</v>
      </c>
      <c r="Q47" s="1459"/>
      <c r="R47" s="1266"/>
      <c r="S47" s="1266"/>
      <c r="T47" s="1266"/>
      <c r="U47" s="1266"/>
      <c r="V47" s="1266"/>
      <c r="W47" s="1460">
        <v>0</v>
      </c>
      <c r="X47" s="1461">
        <v>0</v>
      </c>
      <c r="Y47" s="1461">
        <v>0</v>
      </c>
      <c r="Z47" s="1461">
        <v>0</v>
      </c>
    </row>
    <row r="48" spans="1:26" ht="15" customHeight="1">
      <c r="A48" s="1298" t="s">
        <v>1937</v>
      </c>
      <c r="B48" s="1266"/>
      <c r="C48" s="1277">
        <v>175000</v>
      </c>
      <c r="D48" s="1454"/>
      <c r="E48" s="1455" t="s">
        <v>1934</v>
      </c>
      <c r="F48" s="1473">
        <v>1E-3</v>
      </c>
      <c r="G48" s="1474">
        <v>175</v>
      </c>
      <c r="H48" s="1474">
        <v>0</v>
      </c>
      <c r="I48" s="1474">
        <v>175</v>
      </c>
      <c r="J48" s="1303">
        <v>175000</v>
      </c>
      <c r="K48" s="1267"/>
      <c r="L48" s="1470" t="s">
        <v>13</v>
      </c>
      <c r="M48" s="1266"/>
      <c r="N48" s="1279">
        <v>175000</v>
      </c>
      <c r="O48" s="1266"/>
      <c r="P48" s="1462" t="s">
        <v>1935</v>
      </c>
      <c r="Q48" s="1459"/>
      <c r="R48" s="1266"/>
      <c r="S48" s="1266"/>
      <c r="T48" s="1266"/>
      <c r="U48" s="1266"/>
      <c r="V48" s="1266"/>
      <c r="W48" s="1460">
        <v>0</v>
      </c>
      <c r="X48" s="1461">
        <v>0</v>
      </c>
      <c r="Y48" s="1461">
        <v>0</v>
      </c>
      <c r="Z48" s="1461">
        <v>0</v>
      </c>
    </row>
    <row r="49" spans="1:26" ht="15" customHeight="1">
      <c r="A49" s="1298" t="s">
        <v>1938</v>
      </c>
      <c r="B49" s="1266"/>
      <c r="C49" s="1277">
        <v>50000</v>
      </c>
      <c r="D49" s="1454"/>
      <c r="E49" s="1455" t="s">
        <v>1934</v>
      </c>
      <c r="F49" s="1473">
        <v>1E-3</v>
      </c>
      <c r="G49" s="1474">
        <v>50</v>
      </c>
      <c r="H49" s="1474">
        <v>0</v>
      </c>
      <c r="I49" s="1474">
        <v>50</v>
      </c>
      <c r="J49" s="1303">
        <v>50000</v>
      </c>
      <c r="K49" s="1267"/>
      <c r="L49" s="1470" t="s">
        <v>13</v>
      </c>
      <c r="M49" s="1266"/>
      <c r="N49" s="1279">
        <v>50000</v>
      </c>
      <c r="O49" s="1266"/>
      <c r="P49" s="1462" t="s">
        <v>1935</v>
      </c>
      <c r="Q49" s="1459"/>
      <c r="R49" s="1266"/>
      <c r="S49" s="1266"/>
      <c r="T49" s="1266"/>
      <c r="U49" s="1266"/>
      <c r="V49" s="1266"/>
      <c r="W49" s="1460">
        <v>0</v>
      </c>
      <c r="X49" s="1475"/>
      <c r="Y49" s="1461">
        <v>0</v>
      </c>
      <c r="Z49" s="1461">
        <v>0</v>
      </c>
    </row>
    <row r="50" spans="1:26" ht="15" customHeight="1">
      <c r="A50" s="1298" t="s">
        <v>1939</v>
      </c>
      <c r="B50" s="1266"/>
      <c r="C50" s="1277">
        <v>50000</v>
      </c>
      <c r="D50" s="1454"/>
      <c r="E50" s="1455" t="s">
        <v>1934</v>
      </c>
      <c r="F50" s="1473">
        <v>1E-3</v>
      </c>
      <c r="G50" s="1474">
        <v>50</v>
      </c>
      <c r="H50" s="1474">
        <v>0</v>
      </c>
      <c r="I50" s="1474">
        <v>50</v>
      </c>
      <c r="J50" s="1303">
        <v>50000</v>
      </c>
      <c r="K50" s="1267"/>
      <c r="L50" s="1470" t="s">
        <v>13</v>
      </c>
      <c r="M50" s="1266"/>
      <c r="N50" s="1279">
        <v>50000</v>
      </c>
      <c r="O50" s="1266"/>
      <c r="P50" s="1462" t="s">
        <v>1935</v>
      </c>
      <c r="Q50" s="1459"/>
      <c r="R50" s="1266"/>
      <c r="S50" s="1266"/>
      <c r="T50" s="1266"/>
      <c r="U50" s="1266"/>
      <c r="V50" s="1266"/>
      <c r="W50" s="1460">
        <v>0</v>
      </c>
      <c r="X50" s="1461">
        <v>0</v>
      </c>
      <c r="Y50" s="1461">
        <v>0</v>
      </c>
      <c r="Z50" s="1461">
        <v>0</v>
      </c>
    </row>
    <row r="51" spans="1:26" ht="15" customHeight="1">
      <c r="A51" s="1298" t="s">
        <v>1940</v>
      </c>
      <c r="B51" s="1266"/>
      <c r="C51" s="1277">
        <v>50000</v>
      </c>
      <c r="D51" s="1454"/>
      <c r="E51" s="1455" t="s">
        <v>1934</v>
      </c>
      <c r="F51" s="1473">
        <v>1E-3</v>
      </c>
      <c r="G51" s="1474">
        <v>50</v>
      </c>
      <c r="H51" s="1474">
        <v>0</v>
      </c>
      <c r="I51" s="1474">
        <v>50</v>
      </c>
      <c r="J51" s="1303">
        <v>50000</v>
      </c>
      <c r="K51" s="1267"/>
      <c r="L51" s="1470" t="s">
        <v>13</v>
      </c>
      <c r="M51" s="1266"/>
      <c r="N51" s="1279">
        <v>50000</v>
      </c>
      <c r="O51" s="1266"/>
      <c r="P51" s="1462" t="s">
        <v>1935</v>
      </c>
      <c r="Q51" s="1459"/>
      <c r="R51" s="1266"/>
      <c r="S51" s="1266"/>
      <c r="T51" s="1266"/>
      <c r="U51" s="1266"/>
      <c r="V51" s="1266"/>
      <c r="W51" s="1460">
        <v>0</v>
      </c>
      <c r="X51" s="1461">
        <v>0</v>
      </c>
      <c r="Y51" s="1461">
        <v>0</v>
      </c>
      <c r="Z51" s="1461">
        <v>0</v>
      </c>
    </row>
    <row r="52" spans="1:26" ht="15" customHeight="1">
      <c r="A52" s="1298" t="s">
        <v>1941</v>
      </c>
      <c r="B52" s="1266"/>
      <c r="C52" s="1277">
        <v>150000</v>
      </c>
      <c r="D52" s="1454"/>
      <c r="E52" s="1455" t="s">
        <v>1934</v>
      </c>
      <c r="F52" s="1473">
        <v>1E-3</v>
      </c>
      <c r="G52" s="1474">
        <v>150</v>
      </c>
      <c r="H52" s="1474">
        <v>0</v>
      </c>
      <c r="I52" s="1474">
        <v>150</v>
      </c>
      <c r="J52" s="1303">
        <v>150000</v>
      </c>
      <c r="K52" s="1267"/>
      <c r="L52" s="1470" t="s">
        <v>13</v>
      </c>
      <c r="M52" s="1266"/>
      <c r="N52" s="1279">
        <v>150000</v>
      </c>
      <c r="O52" s="1266"/>
      <c r="P52" s="1462" t="s">
        <v>1935</v>
      </c>
      <c r="Q52" s="1459"/>
      <c r="R52" s="1266"/>
      <c r="S52" s="1266"/>
      <c r="T52" s="1266"/>
      <c r="U52" s="1266"/>
      <c r="V52" s="1266"/>
      <c r="W52" s="1460"/>
      <c r="X52" s="1461"/>
      <c r="Y52" s="1461"/>
      <c r="Z52" s="1461"/>
    </row>
    <row r="53" spans="1:26" ht="15" customHeight="1">
      <c r="A53" s="1298" t="s">
        <v>1942</v>
      </c>
      <c r="B53" s="1266"/>
      <c r="C53" s="1277">
        <v>150000</v>
      </c>
      <c r="D53" s="1454"/>
      <c r="E53" s="1455" t="s">
        <v>1934</v>
      </c>
      <c r="F53" s="1473">
        <v>1E-3</v>
      </c>
      <c r="G53" s="1474">
        <v>150</v>
      </c>
      <c r="H53" s="1474">
        <v>0</v>
      </c>
      <c r="I53" s="1474">
        <v>150</v>
      </c>
      <c r="J53" s="1303">
        <v>150000</v>
      </c>
      <c r="K53" s="1267"/>
      <c r="L53" s="1470" t="s">
        <v>13</v>
      </c>
      <c r="M53" s="1266"/>
      <c r="N53" s="1279">
        <v>150000</v>
      </c>
      <c r="O53" s="1266"/>
      <c r="P53" s="1462" t="s">
        <v>1935</v>
      </c>
      <c r="Q53" s="1459"/>
      <c r="R53" s="1266"/>
      <c r="S53" s="1266"/>
      <c r="T53" s="1266"/>
      <c r="U53" s="1266"/>
      <c r="V53" s="1266"/>
      <c r="W53" s="1460"/>
      <c r="X53" s="1461"/>
      <c r="Y53" s="1461"/>
      <c r="Z53" s="1461"/>
    </row>
    <row r="54" spans="1:26" ht="15" customHeight="1">
      <c r="A54" s="1298" t="s">
        <v>1943</v>
      </c>
      <c r="B54" s="1266"/>
      <c r="C54" s="1277">
        <v>150000</v>
      </c>
      <c r="D54" s="1454"/>
      <c r="E54" s="1455" t="s">
        <v>1934</v>
      </c>
      <c r="F54" s="1473">
        <v>1E-3</v>
      </c>
      <c r="G54" s="1474">
        <v>150</v>
      </c>
      <c r="H54" s="1474">
        <v>0</v>
      </c>
      <c r="I54" s="1474">
        <v>150</v>
      </c>
      <c r="J54" s="1303">
        <v>150000</v>
      </c>
      <c r="K54" s="1267"/>
      <c r="L54" s="1470" t="s">
        <v>13</v>
      </c>
      <c r="M54" s="1266"/>
      <c r="N54" s="1279">
        <v>150000</v>
      </c>
      <c r="O54" s="1266"/>
      <c r="P54" s="1462" t="s">
        <v>1935</v>
      </c>
      <c r="Q54" s="1459"/>
      <c r="R54" s="1266"/>
      <c r="S54" s="1266"/>
      <c r="T54" s="1266"/>
      <c r="U54" s="1266"/>
      <c r="V54" s="1266"/>
      <c r="W54" s="1460"/>
      <c r="X54" s="1461"/>
      <c r="Y54" s="1461"/>
      <c r="Z54" s="1461"/>
    </row>
    <row r="55" spans="1:26" ht="15" customHeight="1">
      <c r="A55" s="1298" t="s">
        <v>1944</v>
      </c>
      <c r="B55" s="1266"/>
      <c r="C55" s="1277">
        <v>450000</v>
      </c>
      <c r="D55" s="1454"/>
      <c r="E55" s="1455" t="s">
        <v>1934</v>
      </c>
      <c r="F55" s="1473">
        <v>1E-3</v>
      </c>
      <c r="G55" s="1474">
        <v>450</v>
      </c>
      <c r="H55" s="1474">
        <v>0</v>
      </c>
      <c r="I55" s="1474">
        <v>450</v>
      </c>
      <c r="J55" s="1303">
        <v>450000</v>
      </c>
      <c r="K55" s="1267"/>
      <c r="L55" s="1470" t="s">
        <v>13</v>
      </c>
      <c r="M55" s="1266"/>
      <c r="N55" s="1279">
        <v>450000</v>
      </c>
      <c r="O55" s="1266"/>
      <c r="P55" s="1462" t="s">
        <v>1935</v>
      </c>
      <c r="Q55" s="1459"/>
      <c r="R55" s="1266"/>
      <c r="S55" s="1266"/>
      <c r="T55" s="1266"/>
      <c r="U55" s="1266"/>
      <c r="V55" s="1266"/>
      <c r="W55" s="1460"/>
      <c r="X55" s="1461"/>
      <c r="Y55" s="1461"/>
      <c r="Z55" s="1461"/>
    </row>
    <row r="56" spans="1:26" ht="15" customHeight="1">
      <c r="A56" s="1298"/>
      <c r="B56" s="1266"/>
      <c r="C56" s="1277"/>
      <c r="D56" s="1454"/>
      <c r="E56" s="1455"/>
      <c r="F56" s="1473"/>
      <c r="G56" s="1474"/>
      <c r="H56" s="1474"/>
      <c r="I56" s="1474"/>
      <c r="J56" s="1303"/>
      <c r="K56" s="1267"/>
      <c r="L56" s="1470"/>
      <c r="M56" s="1266"/>
      <c r="N56" s="1279"/>
      <c r="O56" s="1266"/>
      <c r="P56" s="1462"/>
      <c r="Q56" s="1459"/>
      <c r="R56" s="1266"/>
      <c r="S56" s="1266"/>
      <c r="T56" s="1266"/>
      <c r="U56" s="1266"/>
      <c r="V56" s="1266"/>
      <c r="W56" s="1460"/>
      <c r="X56" s="1461"/>
      <c r="Y56" s="1461"/>
      <c r="Z56" s="1461"/>
    </row>
    <row r="57" spans="1:26">
      <c r="A57" s="1266"/>
      <c r="B57" s="1266"/>
      <c r="C57" s="1476">
        <v>2157200</v>
      </c>
      <c r="D57" s="1266"/>
      <c r="E57" s="1266"/>
      <c r="F57" s="1266"/>
      <c r="G57" s="1266"/>
      <c r="H57" s="1266"/>
      <c r="I57" s="1266"/>
      <c r="J57" s="1476">
        <v>2157200</v>
      </c>
      <c r="K57" s="1267"/>
      <c r="L57" s="1430"/>
      <c r="M57" s="1266"/>
      <c r="N57" s="1476">
        <v>2157200</v>
      </c>
      <c r="O57" s="1266"/>
      <c r="P57" s="1266"/>
      <c r="Q57" s="1266"/>
      <c r="R57" s="1266"/>
      <c r="S57" s="1266"/>
      <c r="T57" s="1266"/>
      <c r="U57" s="1266"/>
      <c r="V57" s="1266"/>
      <c r="W57" s="1476">
        <v>0</v>
      </c>
      <c r="X57" s="1477">
        <v>0</v>
      </c>
      <c r="Y57" s="1477">
        <v>0</v>
      </c>
      <c r="Z57" s="1477">
        <v>0</v>
      </c>
    </row>
    <row r="58" spans="1:26">
      <c r="A58" s="1266"/>
      <c r="B58" s="1266"/>
      <c r="C58" s="1254"/>
      <c r="D58" s="1266"/>
      <c r="E58" s="1266"/>
      <c r="F58" s="1266"/>
      <c r="G58" s="1266"/>
      <c r="H58" s="1266"/>
      <c r="I58" s="1266"/>
      <c r="J58" s="1266"/>
      <c r="K58" s="1267"/>
      <c r="L58" s="1430"/>
      <c r="M58" s="1266"/>
      <c r="N58" s="1298"/>
      <c r="O58" s="1266"/>
      <c r="P58" s="1266"/>
      <c r="Q58" s="1266"/>
      <c r="R58" s="1266"/>
      <c r="S58" s="1266"/>
      <c r="T58" s="1266"/>
      <c r="U58" s="1266"/>
      <c r="V58" s="1266"/>
      <c r="W58" s="1298"/>
      <c r="X58" s="1461"/>
      <c r="Y58" s="1461"/>
      <c r="Z58" s="1461"/>
    </row>
    <row r="59" spans="1:26">
      <c r="A59" s="1266"/>
      <c r="B59" s="1266"/>
      <c r="C59" s="1407">
        <v>11062200</v>
      </c>
      <c r="D59" s="1266"/>
      <c r="E59" s="1266"/>
      <c r="F59" s="1266"/>
      <c r="G59" s="1478">
        <v>11062.2</v>
      </c>
      <c r="H59" s="1478">
        <v>35119.800000000003</v>
      </c>
      <c r="I59" s="1478">
        <v>46182</v>
      </c>
      <c r="J59" s="1407">
        <v>11062200</v>
      </c>
      <c r="K59" s="1267"/>
      <c r="L59" s="1430"/>
      <c r="M59" s="1266"/>
      <c r="N59" s="1284">
        <v>8145533</v>
      </c>
      <c r="O59" s="1266"/>
      <c r="P59" s="1266"/>
      <c r="Q59" s="1266"/>
      <c r="R59" s="1266"/>
      <c r="S59" s="1266" t="s">
        <v>1730</v>
      </c>
      <c r="T59" s="1266"/>
      <c r="U59" s="1266"/>
      <c r="V59" s="1266"/>
      <c r="W59" s="1284">
        <v>1750000</v>
      </c>
      <c r="X59" s="1479">
        <v>1750</v>
      </c>
      <c r="Y59" s="1479">
        <v>0</v>
      </c>
      <c r="Z59" s="1479">
        <v>1750</v>
      </c>
    </row>
    <row r="60" spans="1:26" ht="12" customHeight="1">
      <c r="A60" s="1266"/>
      <c r="B60" s="1266"/>
      <c r="C60" s="1254"/>
      <c r="D60" s="1266"/>
      <c r="E60" s="1266"/>
      <c r="F60" s="1266"/>
      <c r="G60" s="1266"/>
      <c r="H60" s="1266"/>
      <c r="I60" s="1266"/>
      <c r="J60" s="1266"/>
      <c r="K60" s="1267"/>
      <c r="L60" s="1430"/>
      <c r="M60" s="1266"/>
      <c r="N60" s="1298"/>
      <c r="O60" s="1266"/>
      <c r="P60" s="1266"/>
      <c r="Q60" s="1266"/>
      <c r="R60" s="1266"/>
      <c r="S60" s="1266"/>
      <c r="T60" s="1266"/>
      <c r="U60" s="1266"/>
      <c r="V60" s="1266"/>
      <c r="W60" s="1266"/>
      <c r="X60" s="1404"/>
      <c r="Y60" s="1404"/>
      <c r="Z60" s="1404"/>
    </row>
    <row r="61" spans="1:26" ht="13.5">
      <c r="A61" s="1276" t="s">
        <v>1945</v>
      </c>
      <c r="B61" s="1266"/>
      <c r="C61" s="1254"/>
      <c r="D61" s="1266"/>
      <c r="E61" s="1266"/>
      <c r="F61" s="1266"/>
      <c r="G61" s="1266"/>
      <c r="H61" s="1266"/>
      <c r="I61" s="1266"/>
      <c r="J61" s="1266"/>
      <c r="K61" s="1267"/>
      <c r="L61" s="1430"/>
      <c r="M61" s="1266"/>
      <c r="N61" s="1266"/>
      <c r="O61" s="1266"/>
      <c r="P61" s="1266"/>
      <c r="Q61" s="1266"/>
      <c r="R61" s="1266"/>
      <c r="S61" s="1266"/>
      <c r="T61" s="1266"/>
      <c r="U61" s="1266"/>
      <c r="V61" s="1266"/>
      <c r="W61" s="1266"/>
      <c r="X61" s="1404"/>
      <c r="Y61" s="1404"/>
      <c r="Z61" s="1404"/>
    </row>
    <row r="62" spans="1:26">
      <c r="A62" s="1359" t="s">
        <v>1946</v>
      </c>
      <c r="B62" s="1267"/>
      <c r="C62" s="1254">
        <v>40000</v>
      </c>
      <c r="D62" s="1403">
        <v>42431</v>
      </c>
      <c r="E62" s="1480">
        <v>42317</v>
      </c>
      <c r="F62" s="1404">
        <v>0.11</v>
      </c>
      <c r="G62" s="1404">
        <v>40</v>
      </c>
      <c r="H62" s="1404">
        <v>4360</v>
      </c>
      <c r="I62" s="1404">
        <v>4400</v>
      </c>
      <c r="J62" s="1460">
        <v>40000</v>
      </c>
      <c r="K62" s="1312"/>
      <c r="L62" s="1481" t="s">
        <v>246</v>
      </c>
      <c r="M62" s="1298"/>
      <c r="N62" s="1279">
        <v>25833</v>
      </c>
      <c r="O62" s="1266"/>
      <c r="P62" s="1462">
        <v>31.710526315789476</v>
      </c>
      <c r="Q62" s="1459">
        <v>31</v>
      </c>
      <c r="R62" s="1460"/>
      <c r="S62" s="1266"/>
      <c r="T62" s="1266"/>
      <c r="U62" s="1266"/>
      <c r="V62" s="1266"/>
      <c r="W62" s="1460">
        <v>14167</v>
      </c>
      <c r="X62" s="1461">
        <v>14.167</v>
      </c>
      <c r="Y62" s="1461">
        <v>1544.2030000000002</v>
      </c>
      <c r="Z62" s="1461">
        <v>1558.3700000000001</v>
      </c>
    </row>
    <row r="63" spans="1:26">
      <c r="A63" s="1359" t="s">
        <v>1947</v>
      </c>
      <c r="B63" s="1267"/>
      <c r="C63" s="1254">
        <v>2482000</v>
      </c>
      <c r="D63" s="1403">
        <v>42487</v>
      </c>
      <c r="E63" s="1480">
        <v>42309</v>
      </c>
      <c r="F63" s="1404">
        <v>0.11</v>
      </c>
      <c r="G63" s="1404">
        <v>2482</v>
      </c>
      <c r="H63" s="1404">
        <v>270538</v>
      </c>
      <c r="I63" s="1404">
        <v>273020</v>
      </c>
      <c r="J63" s="1460">
        <v>2482000</v>
      </c>
      <c r="K63" s="1312"/>
      <c r="L63" s="1457" t="s">
        <v>210</v>
      </c>
      <c r="M63" s="1298"/>
      <c r="N63" s="1279">
        <v>1602958</v>
      </c>
      <c r="O63" s="1266"/>
      <c r="P63" s="1462">
        <v>31.973684210526319</v>
      </c>
      <c r="Q63" s="1459">
        <v>31</v>
      </c>
      <c r="R63" s="1460"/>
      <c r="S63" s="1266"/>
      <c r="T63" s="1266"/>
      <c r="U63" s="1266"/>
      <c r="V63" s="1266"/>
      <c r="W63" s="1460">
        <v>879042</v>
      </c>
      <c r="X63" s="1461">
        <v>879.04200000000003</v>
      </c>
      <c r="Y63" s="1461">
        <v>95815.577999999994</v>
      </c>
      <c r="Z63" s="1461">
        <v>96694.62</v>
      </c>
    </row>
    <row r="64" spans="1:26" ht="25.5">
      <c r="A64" s="1359" t="s">
        <v>1948</v>
      </c>
      <c r="B64" s="1267"/>
      <c r="C64" s="1254">
        <v>25000</v>
      </c>
      <c r="D64" s="1403">
        <v>42475</v>
      </c>
      <c r="E64" s="1480">
        <v>42339</v>
      </c>
      <c r="F64" s="1404">
        <v>0.11</v>
      </c>
      <c r="G64" s="1404">
        <v>25</v>
      </c>
      <c r="H64" s="1404">
        <v>2725</v>
      </c>
      <c r="I64" s="1404">
        <v>2750</v>
      </c>
      <c r="J64" s="1460">
        <v>25000</v>
      </c>
      <c r="K64" s="1312"/>
      <c r="L64" s="1481" t="s">
        <v>246</v>
      </c>
      <c r="M64" s="1298"/>
      <c r="N64" s="1279">
        <v>15625</v>
      </c>
      <c r="O64" s="1266"/>
      <c r="P64" s="1462">
        <v>30.986842105263161</v>
      </c>
      <c r="Q64" s="1459">
        <v>30</v>
      </c>
      <c r="R64" s="1460"/>
      <c r="S64" s="1266"/>
      <c r="T64" s="1266"/>
      <c r="U64" s="1266"/>
      <c r="V64" s="1266"/>
      <c r="W64" s="1460">
        <v>9375</v>
      </c>
      <c r="X64" s="1461">
        <v>9.375</v>
      </c>
      <c r="Y64" s="1461">
        <v>1021.875</v>
      </c>
      <c r="Z64" s="1461">
        <v>1031.25</v>
      </c>
    </row>
    <row r="65" spans="1:26">
      <c r="A65" s="1359" t="s">
        <v>1949</v>
      </c>
      <c r="B65" s="1267"/>
      <c r="C65" s="1254">
        <v>150000</v>
      </c>
      <c r="D65" s="1403">
        <v>42597</v>
      </c>
      <c r="E65" s="1480">
        <v>42278</v>
      </c>
      <c r="F65" s="1404">
        <v>0.11</v>
      </c>
      <c r="G65" s="1404">
        <v>150</v>
      </c>
      <c r="H65" s="1404">
        <v>16350</v>
      </c>
      <c r="I65" s="1404">
        <v>16500</v>
      </c>
      <c r="J65" s="1460">
        <v>150000</v>
      </c>
      <c r="K65" s="1312"/>
      <c r="L65" s="1457" t="s">
        <v>210</v>
      </c>
      <c r="M65" s="1298"/>
      <c r="N65" s="1279">
        <v>100000</v>
      </c>
      <c r="O65" s="1266"/>
      <c r="P65" s="1462">
        <v>32.993421052631582</v>
      </c>
      <c r="Q65" s="1459">
        <v>32</v>
      </c>
      <c r="R65" s="1460"/>
      <c r="S65" s="1266"/>
      <c r="T65" s="1266"/>
      <c r="U65" s="1266"/>
      <c r="V65" s="1266"/>
      <c r="W65" s="1460">
        <v>50000</v>
      </c>
      <c r="X65" s="1461">
        <v>50</v>
      </c>
      <c r="Y65" s="1461">
        <v>5450</v>
      </c>
      <c r="Z65" s="1461">
        <v>5500</v>
      </c>
    </row>
    <row r="66" spans="1:26">
      <c r="A66" s="1359" t="s">
        <v>1950</v>
      </c>
      <c r="B66" s="1267"/>
      <c r="C66" s="1254">
        <v>20000</v>
      </c>
      <c r="D66" s="1403">
        <v>42605</v>
      </c>
      <c r="E66" s="1480">
        <v>42478</v>
      </c>
      <c r="F66" s="1404">
        <v>0.11</v>
      </c>
      <c r="G66" s="1404">
        <v>20</v>
      </c>
      <c r="H66" s="1404">
        <v>2180</v>
      </c>
      <c r="I66" s="1404">
        <v>2200</v>
      </c>
      <c r="J66" s="1460">
        <v>20000</v>
      </c>
      <c r="K66" s="1312"/>
      <c r="L66" s="1457" t="s">
        <v>210</v>
      </c>
      <c r="M66" s="1298"/>
      <c r="N66" s="1279">
        <v>10833</v>
      </c>
      <c r="O66" s="1266"/>
      <c r="P66" s="1462">
        <v>26.414473684210527</v>
      </c>
      <c r="Q66" s="1459">
        <v>26</v>
      </c>
      <c r="R66" s="1460"/>
      <c r="S66" s="1266"/>
      <c r="T66" s="1266"/>
      <c r="U66" s="1266"/>
      <c r="V66" s="1266"/>
      <c r="W66" s="1460">
        <v>9167</v>
      </c>
      <c r="X66" s="1461">
        <v>9.1669999999999998</v>
      </c>
      <c r="Y66" s="1461">
        <v>999.20299999999997</v>
      </c>
      <c r="Z66" s="1461">
        <v>1008.37</v>
      </c>
    </row>
    <row r="67" spans="1:26">
      <c r="A67" s="1359" t="s">
        <v>1951</v>
      </c>
      <c r="B67" s="1267"/>
      <c r="C67" s="1254">
        <v>95000</v>
      </c>
      <c r="D67" s="1403">
        <v>42625</v>
      </c>
      <c r="E67" s="1480">
        <v>42292</v>
      </c>
      <c r="F67" s="1404">
        <v>0.11</v>
      </c>
      <c r="G67" s="1404">
        <v>95</v>
      </c>
      <c r="H67" s="1404">
        <v>10355</v>
      </c>
      <c r="I67" s="1404">
        <v>10450</v>
      </c>
      <c r="J67" s="1460">
        <v>95000</v>
      </c>
      <c r="K67" s="1312"/>
      <c r="L67" s="1457" t="s">
        <v>210</v>
      </c>
      <c r="M67" s="1298"/>
      <c r="N67" s="1279">
        <v>63333</v>
      </c>
      <c r="O67" s="1266"/>
      <c r="P67" s="1462">
        <v>32.53289473684211</v>
      </c>
      <c r="Q67" s="1459">
        <v>32</v>
      </c>
      <c r="R67" s="1460"/>
      <c r="S67" s="1266"/>
      <c r="T67" s="1266"/>
      <c r="U67" s="1266"/>
      <c r="V67" s="1266"/>
      <c r="W67" s="1460">
        <v>31667</v>
      </c>
      <c r="X67" s="1461">
        <v>31.667000000000002</v>
      </c>
      <c r="Y67" s="1461">
        <v>3451.703</v>
      </c>
      <c r="Z67" s="1461">
        <v>3483.37</v>
      </c>
    </row>
    <row r="68" spans="1:26" ht="25.5">
      <c r="A68" s="1359" t="s">
        <v>1952</v>
      </c>
      <c r="B68" s="1267"/>
      <c r="C68" s="1254">
        <v>85000</v>
      </c>
      <c r="D68" s="1403">
        <v>42626</v>
      </c>
      <c r="E68" s="1480">
        <v>42339</v>
      </c>
      <c r="F68" s="1404">
        <v>0.11</v>
      </c>
      <c r="G68" s="1404">
        <v>85</v>
      </c>
      <c r="H68" s="1404">
        <v>9265</v>
      </c>
      <c r="I68" s="1404">
        <v>9350</v>
      </c>
      <c r="J68" s="1460">
        <v>85000</v>
      </c>
      <c r="K68" s="1312"/>
      <c r="L68" s="1457" t="s">
        <v>210</v>
      </c>
      <c r="M68" s="1298"/>
      <c r="N68" s="1279">
        <v>53125</v>
      </c>
      <c r="O68" s="1266"/>
      <c r="P68" s="1462">
        <v>30.986842105263161</v>
      </c>
      <c r="Q68" s="1459">
        <v>30</v>
      </c>
      <c r="R68" s="1460"/>
      <c r="S68" s="1266"/>
      <c r="T68" s="1266"/>
      <c r="U68" s="1266"/>
      <c r="V68" s="1266"/>
      <c r="W68" s="1460">
        <v>31875</v>
      </c>
      <c r="X68" s="1461">
        <v>31.875</v>
      </c>
      <c r="Y68" s="1461">
        <v>3474.375</v>
      </c>
      <c r="Z68" s="1461">
        <v>3506.25</v>
      </c>
    </row>
    <row r="69" spans="1:26" ht="25.5">
      <c r="A69" s="1359" t="s">
        <v>1953</v>
      </c>
      <c r="B69" s="1267"/>
      <c r="C69" s="1254">
        <v>20000</v>
      </c>
      <c r="D69" s="1403">
        <v>42628</v>
      </c>
      <c r="E69" s="1480">
        <v>42541</v>
      </c>
      <c r="F69" s="1404">
        <v>0.11</v>
      </c>
      <c r="G69" s="1404">
        <v>20</v>
      </c>
      <c r="H69" s="1404">
        <v>2180</v>
      </c>
      <c r="I69" s="1404">
        <v>2200</v>
      </c>
      <c r="J69" s="1460">
        <v>20000</v>
      </c>
      <c r="K69" s="1312"/>
      <c r="L69" s="1457" t="s">
        <v>210</v>
      </c>
      <c r="M69" s="1298"/>
      <c r="N69" s="1279">
        <v>5000</v>
      </c>
      <c r="O69" s="1266"/>
      <c r="P69" s="1462" t="s">
        <v>1954</v>
      </c>
      <c r="Q69" s="1459"/>
      <c r="R69" s="1460"/>
      <c r="S69" s="1266"/>
      <c r="T69" s="1266"/>
      <c r="U69" s="1266"/>
      <c r="V69" s="1266"/>
      <c r="W69" s="1460">
        <v>0</v>
      </c>
      <c r="X69" s="1461">
        <v>0</v>
      </c>
      <c r="Y69" s="1461">
        <v>0</v>
      </c>
      <c r="Z69" s="1461">
        <v>0</v>
      </c>
    </row>
    <row r="70" spans="1:26">
      <c r="A70" s="1359" t="s">
        <v>1955</v>
      </c>
      <c r="B70" s="1267"/>
      <c r="C70" s="1254">
        <v>85000</v>
      </c>
      <c r="D70" s="1403">
        <v>42628</v>
      </c>
      <c r="E70" s="1480">
        <v>42556</v>
      </c>
      <c r="F70" s="1404">
        <v>0.11</v>
      </c>
      <c r="G70" s="1404">
        <v>85</v>
      </c>
      <c r="H70" s="1404">
        <v>9265</v>
      </c>
      <c r="I70" s="1404">
        <v>9350</v>
      </c>
      <c r="J70" s="1460">
        <v>85000</v>
      </c>
      <c r="K70" s="1312"/>
      <c r="L70" s="1457" t="s">
        <v>210</v>
      </c>
      <c r="M70" s="1298"/>
      <c r="N70" s="1279">
        <v>40729</v>
      </c>
      <c r="O70" s="1266"/>
      <c r="P70" s="1462">
        <v>23.848684210526319</v>
      </c>
      <c r="Q70" s="1459">
        <v>23</v>
      </c>
      <c r="R70" s="1460"/>
      <c r="S70" s="1266"/>
      <c r="T70" s="1266"/>
      <c r="U70" s="1266"/>
      <c r="V70" s="1266"/>
      <c r="W70" s="1460">
        <v>44271</v>
      </c>
      <c r="X70" s="1461">
        <v>44.271000000000001</v>
      </c>
      <c r="Y70" s="1461">
        <v>4825.5390000000007</v>
      </c>
      <c r="Z70" s="1461">
        <v>4869.8100000000004</v>
      </c>
    </row>
    <row r="71" spans="1:26" ht="25.5">
      <c r="A71" s="1359" t="s">
        <v>1956</v>
      </c>
      <c r="B71" s="1267"/>
      <c r="C71" s="1254">
        <v>85000</v>
      </c>
      <c r="D71" s="1403">
        <v>42628</v>
      </c>
      <c r="E71" s="1480">
        <v>42576</v>
      </c>
      <c r="F71" s="1404">
        <v>0.11</v>
      </c>
      <c r="G71" s="1404">
        <v>85</v>
      </c>
      <c r="H71" s="1404">
        <v>9265</v>
      </c>
      <c r="I71" s="1404">
        <v>9350</v>
      </c>
      <c r="J71" s="1460">
        <v>85000</v>
      </c>
      <c r="K71" s="1312"/>
      <c r="L71" s="1457" t="s">
        <v>210</v>
      </c>
      <c r="M71" s="1298"/>
      <c r="N71" s="1279">
        <v>40729</v>
      </c>
      <c r="O71" s="1266"/>
      <c r="P71" s="1462">
        <v>23.190789473684212</v>
      </c>
      <c r="Q71" s="1459">
        <v>23</v>
      </c>
      <c r="R71" s="1460"/>
      <c r="S71" s="1266"/>
      <c r="T71" s="1266"/>
      <c r="U71" s="1266"/>
      <c r="V71" s="1266"/>
      <c r="W71" s="1460">
        <v>44271</v>
      </c>
      <c r="X71" s="1461">
        <v>44.271000000000001</v>
      </c>
      <c r="Y71" s="1461">
        <v>4825.5390000000007</v>
      </c>
      <c r="Z71" s="1461">
        <v>4869.8100000000004</v>
      </c>
    </row>
    <row r="72" spans="1:26" ht="25.5">
      <c r="A72" s="1359" t="s">
        <v>1957</v>
      </c>
      <c r="B72" s="1267"/>
      <c r="C72" s="1254">
        <v>170000</v>
      </c>
      <c r="D72" s="1403">
        <v>42632</v>
      </c>
      <c r="E72" s="1480">
        <v>42278</v>
      </c>
      <c r="F72" s="1404">
        <v>0.11</v>
      </c>
      <c r="G72" s="1404">
        <v>170</v>
      </c>
      <c r="H72" s="1404">
        <v>18530</v>
      </c>
      <c r="I72" s="1404">
        <v>18700</v>
      </c>
      <c r="J72" s="1460">
        <v>170000</v>
      </c>
      <c r="K72" s="1312"/>
      <c r="L72" s="1457" t="s">
        <v>210</v>
      </c>
      <c r="M72" s="1298"/>
      <c r="N72" s="1279">
        <v>113333</v>
      </c>
      <c r="O72" s="1266"/>
      <c r="P72" s="1462">
        <v>32.993421052631582</v>
      </c>
      <c r="Q72" s="1459">
        <v>32</v>
      </c>
      <c r="R72" s="1460"/>
      <c r="S72" s="1266"/>
      <c r="T72" s="1266"/>
      <c r="U72" s="1266"/>
      <c r="V72" s="1266"/>
      <c r="W72" s="1460">
        <v>56667</v>
      </c>
      <c r="X72" s="1461">
        <v>56.667000000000002</v>
      </c>
      <c r="Y72" s="1461">
        <v>6176.7029999999995</v>
      </c>
      <c r="Z72" s="1461">
        <v>6233.37</v>
      </c>
    </row>
    <row r="73" spans="1:26">
      <c r="A73" s="1359" t="s">
        <v>1958</v>
      </c>
      <c r="B73" s="1267"/>
      <c r="C73" s="1254">
        <v>18000</v>
      </c>
      <c r="D73" s="1403">
        <v>42634</v>
      </c>
      <c r="E73" s="1480">
        <v>42292</v>
      </c>
      <c r="F73" s="1404">
        <v>0.11</v>
      </c>
      <c r="G73" s="1404">
        <v>18</v>
      </c>
      <c r="H73" s="1404">
        <v>1962</v>
      </c>
      <c r="I73" s="1404">
        <v>1980</v>
      </c>
      <c r="J73" s="1460">
        <v>18000</v>
      </c>
      <c r="K73" s="1312"/>
      <c r="L73" s="1457" t="s">
        <v>210</v>
      </c>
      <c r="M73" s="1298"/>
      <c r="N73" s="1279">
        <v>12000</v>
      </c>
      <c r="O73" s="1266"/>
      <c r="P73" s="1462">
        <v>32.53289473684211</v>
      </c>
      <c r="Q73" s="1459">
        <v>32</v>
      </c>
      <c r="R73" s="1460"/>
      <c r="S73" s="1266"/>
      <c r="T73" s="1266"/>
      <c r="U73" s="1266"/>
      <c r="V73" s="1266"/>
      <c r="W73" s="1460">
        <v>6000</v>
      </c>
      <c r="X73" s="1461">
        <v>6</v>
      </c>
      <c r="Y73" s="1461">
        <v>654</v>
      </c>
      <c r="Z73" s="1461">
        <v>660</v>
      </c>
    </row>
    <row r="74" spans="1:26">
      <c r="A74" s="1359" t="s">
        <v>1959</v>
      </c>
      <c r="B74" s="1267"/>
      <c r="C74" s="1254">
        <v>18000</v>
      </c>
      <c r="D74" s="1403">
        <v>42635</v>
      </c>
      <c r="E74" s="1480">
        <v>42492</v>
      </c>
      <c r="F74" s="1404">
        <v>0.11</v>
      </c>
      <c r="G74" s="1404">
        <v>18</v>
      </c>
      <c r="H74" s="1404">
        <v>1962</v>
      </c>
      <c r="I74" s="1404">
        <v>1980</v>
      </c>
      <c r="J74" s="1460">
        <v>18000</v>
      </c>
      <c r="K74" s="1312"/>
      <c r="L74" s="1457" t="s">
        <v>210</v>
      </c>
      <c r="M74" s="1298"/>
      <c r="N74" s="1279">
        <v>9375</v>
      </c>
      <c r="O74" s="1266"/>
      <c r="P74" s="1462">
        <v>25.953947368421055</v>
      </c>
      <c r="Q74" s="1459">
        <v>25</v>
      </c>
      <c r="R74" s="1460"/>
      <c r="S74" s="1266"/>
      <c r="T74" s="1266"/>
      <c r="U74" s="1266"/>
      <c r="V74" s="1266"/>
      <c r="W74" s="1460">
        <v>8625</v>
      </c>
      <c r="X74" s="1461">
        <v>8.625</v>
      </c>
      <c r="Y74" s="1461">
        <v>940.125</v>
      </c>
      <c r="Z74" s="1461">
        <v>948.75</v>
      </c>
    </row>
    <row r="75" spans="1:26">
      <c r="A75" s="1359" t="s">
        <v>1960</v>
      </c>
      <c r="B75" s="1267"/>
      <c r="C75" s="1254">
        <v>300000</v>
      </c>
      <c r="D75" s="1403">
        <v>42639</v>
      </c>
      <c r="E75" s="1480">
        <v>42556</v>
      </c>
      <c r="F75" s="1404">
        <v>0.11</v>
      </c>
      <c r="G75" s="1404">
        <v>300</v>
      </c>
      <c r="H75" s="1404">
        <v>32700</v>
      </c>
      <c r="I75" s="1404">
        <v>33000</v>
      </c>
      <c r="J75" s="1460">
        <v>300000</v>
      </c>
      <c r="K75" s="1312"/>
      <c r="L75" s="1457" t="s">
        <v>210</v>
      </c>
      <c r="M75" s="1298"/>
      <c r="N75" s="1279">
        <v>143750</v>
      </c>
      <c r="O75" s="1266"/>
      <c r="P75" s="1462">
        <v>23.848684210526319</v>
      </c>
      <c r="Q75" s="1459">
        <v>23</v>
      </c>
      <c r="R75" s="1460"/>
      <c r="S75" s="1266"/>
      <c r="T75" s="1266"/>
      <c r="U75" s="1266"/>
      <c r="V75" s="1266"/>
      <c r="W75" s="1460">
        <v>156250</v>
      </c>
      <c r="X75" s="1461">
        <v>156.25</v>
      </c>
      <c r="Y75" s="1461">
        <v>17031.25</v>
      </c>
      <c r="Z75" s="1461">
        <v>17187.5</v>
      </c>
    </row>
    <row r="76" spans="1:26">
      <c r="A76" s="1359" t="s">
        <v>1961</v>
      </c>
      <c r="B76" s="1267"/>
      <c r="C76" s="1254">
        <v>90000</v>
      </c>
      <c r="D76" s="1403">
        <v>42639</v>
      </c>
      <c r="E76" s="1480">
        <v>42619</v>
      </c>
      <c r="F76" s="1404">
        <v>0.11</v>
      </c>
      <c r="G76" s="1404">
        <v>90</v>
      </c>
      <c r="H76" s="1404">
        <v>9810</v>
      </c>
      <c r="I76" s="1404">
        <v>9900</v>
      </c>
      <c r="J76" s="1460">
        <v>90000</v>
      </c>
      <c r="K76" s="1312"/>
      <c r="L76" s="1457" t="s">
        <v>210</v>
      </c>
      <c r="M76" s="1298"/>
      <c r="N76" s="1279">
        <v>39375</v>
      </c>
      <c r="O76" s="1266"/>
      <c r="P76" s="1462">
        <v>21.776315789473685</v>
      </c>
      <c r="Q76" s="1459">
        <v>21</v>
      </c>
      <c r="R76" s="1460"/>
      <c r="S76" s="1266"/>
      <c r="T76" s="1266"/>
      <c r="U76" s="1266"/>
      <c r="V76" s="1266"/>
      <c r="W76" s="1460">
        <v>50625</v>
      </c>
      <c r="X76" s="1461">
        <v>50.625</v>
      </c>
      <c r="Y76" s="1461">
        <v>5518.125</v>
      </c>
      <c r="Z76" s="1461">
        <v>5568.75</v>
      </c>
    </row>
    <row r="77" spans="1:26" ht="25.5">
      <c r="A77" s="1359" t="s">
        <v>1962</v>
      </c>
      <c r="B77" s="1267"/>
      <c r="C77" s="1254">
        <v>20000</v>
      </c>
      <c r="D77" s="1403">
        <v>42640</v>
      </c>
      <c r="E77" s="1480">
        <v>42548</v>
      </c>
      <c r="F77" s="1404">
        <v>0.11</v>
      </c>
      <c r="G77" s="1404">
        <v>20</v>
      </c>
      <c r="H77" s="1404">
        <v>2180</v>
      </c>
      <c r="I77" s="1404">
        <v>2200</v>
      </c>
      <c r="J77" s="1460">
        <v>20000</v>
      </c>
      <c r="K77" s="1312"/>
      <c r="L77" s="1457" t="s">
        <v>210</v>
      </c>
      <c r="M77" s="1298"/>
      <c r="N77" s="1279">
        <v>10000</v>
      </c>
      <c r="O77" s="1266"/>
      <c r="P77" s="1462">
        <v>24.111842105263158</v>
      </c>
      <c r="Q77" s="1459">
        <v>24</v>
      </c>
      <c r="R77" s="1460"/>
      <c r="S77" s="1266"/>
      <c r="T77" s="1266"/>
      <c r="U77" s="1266"/>
      <c r="V77" s="1266"/>
      <c r="W77" s="1460">
        <v>10000</v>
      </c>
      <c r="X77" s="1461">
        <v>10</v>
      </c>
      <c r="Y77" s="1461">
        <v>1090</v>
      </c>
      <c r="Z77" s="1461">
        <v>1100</v>
      </c>
    </row>
    <row r="78" spans="1:26" ht="25.5">
      <c r="A78" s="1359" t="s">
        <v>1963</v>
      </c>
      <c r="B78" s="1267"/>
      <c r="C78" s="1254">
        <v>95000</v>
      </c>
      <c r="D78" s="1403">
        <v>42640</v>
      </c>
      <c r="E78" s="1480">
        <v>42614</v>
      </c>
      <c r="F78" s="1404">
        <v>0.11</v>
      </c>
      <c r="G78" s="1404">
        <v>95</v>
      </c>
      <c r="H78" s="1404">
        <v>10355</v>
      </c>
      <c r="I78" s="1404">
        <v>10450</v>
      </c>
      <c r="J78" s="1460">
        <v>95000</v>
      </c>
      <c r="K78" s="1312"/>
      <c r="L78" s="1457" t="s">
        <v>210</v>
      </c>
      <c r="M78" s="1298"/>
      <c r="N78" s="1279">
        <v>41563</v>
      </c>
      <c r="O78" s="1266"/>
      <c r="P78" s="1462">
        <v>21.940789473684212</v>
      </c>
      <c r="Q78" s="1459">
        <v>21</v>
      </c>
      <c r="R78" s="1460"/>
      <c r="S78" s="1266"/>
      <c r="T78" s="1266"/>
      <c r="U78" s="1266"/>
      <c r="V78" s="1266"/>
      <c r="W78" s="1460">
        <v>53437</v>
      </c>
      <c r="X78" s="1461">
        <v>53.436999999999998</v>
      </c>
      <c r="Y78" s="1461">
        <v>5824.6329999999998</v>
      </c>
      <c r="Z78" s="1461">
        <v>5878.07</v>
      </c>
    </row>
    <row r="79" spans="1:26" ht="25.5">
      <c r="A79" s="1359" t="s">
        <v>1964</v>
      </c>
      <c r="B79" s="1267"/>
      <c r="C79" s="1254">
        <v>170000</v>
      </c>
      <c r="D79" s="1403">
        <v>42642</v>
      </c>
      <c r="E79" s="1480">
        <v>42309</v>
      </c>
      <c r="F79" s="1404">
        <v>0.11</v>
      </c>
      <c r="G79" s="1404">
        <v>170</v>
      </c>
      <c r="H79" s="1404">
        <v>18530</v>
      </c>
      <c r="I79" s="1404">
        <v>18700</v>
      </c>
      <c r="J79" s="1460">
        <v>170000</v>
      </c>
      <c r="K79" s="1312"/>
      <c r="L79" s="1457" t="s">
        <v>210</v>
      </c>
      <c r="M79" s="1298"/>
      <c r="N79" s="1279">
        <v>109792</v>
      </c>
      <c r="O79" s="1266"/>
      <c r="P79" s="1462">
        <v>31.973684210526319</v>
      </c>
      <c r="Q79" s="1459">
        <v>31</v>
      </c>
      <c r="R79" s="1460"/>
      <c r="S79" s="1266"/>
      <c r="T79" s="1266"/>
      <c r="U79" s="1266"/>
      <c r="V79" s="1266"/>
      <c r="W79" s="1460">
        <v>60208</v>
      </c>
      <c r="X79" s="1461">
        <v>60.207999999999998</v>
      </c>
      <c r="Y79" s="1461">
        <v>6562.6720000000005</v>
      </c>
      <c r="Z79" s="1461">
        <v>6622.88</v>
      </c>
    </row>
    <row r="80" spans="1:26" ht="25.5">
      <c r="A80" s="1359" t="s">
        <v>1965</v>
      </c>
      <c r="B80" s="1267"/>
      <c r="C80" s="1254">
        <v>90000</v>
      </c>
      <c r="D80" s="1403">
        <v>42643</v>
      </c>
      <c r="E80" s="1480">
        <v>42292</v>
      </c>
      <c r="F80" s="1404">
        <v>0.11</v>
      </c>
      <c r="G80" s="1404">
        <v>90</v>
      </c>
      <c r="H80" s="1404">
        <v>9810</v>
      </c>
      <c r="I80" s="1404">
        <v>9900</v>
      </c>
      <c r="J80" s="1460">
        <v>90000</v>
      </c>
      <c r="K80" s="1312"/>
      <c r="L80" s="1457" t="s">
        <v>210</v>
      </c>
      <c r="M80" s="1298"/>
      <c r="N80" s="1279">
        <v>45000</v>
      </c>
      <c r="O80" s="1266"/>
      <c r="P80" s="1462" t="s">
        <v>1966</v>
      </c>
      <c r="Q80" s="1459"/>
      <c r="R80" s="1460"/>
      <c r="S80" s="1266"/>
      <c r="T80" s="1266"/>
      <c r="U80" s="1266"/>
      <c r="V80" s="1266"/>
      <c r="W80" s="1460">
        <v>0</v>
      </c>
      <c r="X80" s="1461">
        <v>0</v>
      </c>
      <c r="Y80" s="1461">
        <v>0</v>
      </c>
      <c r="Z80" s="1461">
        <v>0</v>
      </c>
    </row>
    <row r="81" spans="1:33">
      <c r="A81" s="1359" t="s">
        <v>1967</v>
      </c>
      <c r="B81" s="1267"/>
      <c r="C81" s="1254">
        <v>25000</v>
      </c>
      <c r="D81" s="1403">
        <v>42692</v>
      </c>
      <c r="E81" s="1480">
        <v>42522</v>
      </c>
      <c r="F81" s="1404">
        <v>0.11</v>
      </c>
      <c r="G81" s="1404">
        <v>25</v>
      </c>
      <c r="H81" s="1404">
        <v>2725</v>
      </c>
      <c r="I81" s="1404">
        <v>2750</v>
      </c>
      <c r="J81" s="1460">
        <v>25000</v>
      </c>
      <c r="K81" s="1312"/>
      <c r="L81" s="1457" t="s">
        <v>210</v>
      </c>
      <c r="M81" s="1298"/>
      <c r="N81" s="1279">
        <v>12500</v>
      </c>
      <c r="O81" s="1266"/>
      <c r="P81" s="1462">
        <v>24.967105263157897</v>
      </c>
      <c r="Q81" s="1459">
        <v>24</v>
      </c>
      <c r="R81" s="1460"/>
      <c r="S81" s="1266"/>
      <c r="T81" s="1266"/>
      <c r="U81" s="1266"/>
      <c r="V81" s="1266"/>
      <c r="W81" s="1460">
        <v>12500</v>
      </c>
      <c r="X81" s="1461">
        <v>12.5</v>
      </c>
      <c r="Y81" s="1461">
        <v>1362.5</v>
      </c>
      <c r="Z81" s="1461">
        <v>1375</v>
      </c>
    </row>
    <row r="82" spans="1:33" s="1361" customFormat="1">
      <c r="A82" s="1359" t="s">
        <v>1968</v>
      </c>
      <c r="B82" s="1312"/>
      <c r="C82" s="1279">
        <v>50000</v>
      </c>
      <c r="D82" s="1471">
        <v>42800</v>
      </c>
      <c r="E82" s="1482">
        <v>42695</v>
      </c>
      <c r="F82" s="1461">
        <v>0.13</v>
      </c>
      <c r="G82" s="1461">
        <v>50</v>
      </c>
      <c r="H82" s="1461">
        <v>6450</v>
      </c>
      <c r="I82" s="1461">
        <v>6500</v>
      </c>
      <c r="J82" s="1460">
        <v>50000</v>
      </c>
      <c r="K82" s="1312"/>
      <c r="L82" s="1457" t="s">
        <v>210</v>
      </c>
      <c r="M82" s="1298"/>
      <c r="N82" s="1279">
        <v>19792</v>
      </c>
      <c r="O82" s="1298"/>
      <c r="P82" s="1462">
        <v>19.276315789473685</v>
      </c>
      <c r="Q82" s="1459">
        <v>19</v>
      </c>
      <c r="R82" s="1460"/>
      <c r="S82" s="1298"/>
      <c r="T82" s="1298"/>
      <c r="U82" s="1298"/>
      <c r="V82" s="1298"/>
      <c r="W82" s="1460">
        <v>30208</v>
      </c>
      <c r="X82" s="1461">
        <v>30.208000000000002</v>
      </c>
      <c r="Y82" s="1461">
        <v>3896.8319999999999</v>
      </c>
      <c r="Z82" s="1461">
        <v>3927.04</v>
      </c>
      <c r="AB82" s="1462">
        <v>3.4539473684210527</v>
      </c>
      <c r="AC82" s="1459">
        <v>3</v>
      </c>
      <c r="AD82" s="1279">
        <v>0</v>
      </c>
      <c r="AE82" s="1461">
        <v>0</v>
      </c>
      <c r="AF82" s="1461">
        <v>0</v>
      </c>
      <c r="AG82" s="1461">
        <v>0</v>
      </c>
    </row>
    <row r="83" spans="1:33" s="1361" customFormat="1" ht="25.5">
      <c r="A83" s="1359" t="s">
        <v>1969</v>
      </c>
      <c r="B83" s="1312"/>
      <c r="C83" s="1279">
        <v>25000</v>
      </c>
      <c r="D83" s="1471">
        <v>42810</v>
      </c>
      <c r="E83" s="1482">
        <v>42716</v>
      </c>
      <c r="F83" s="1461">
        <v>0.13</v>
      </c>
      <c r="G83" s="1461">
        <v>25</v>
      </c>
      <c r="H83" s="1461">
        <v>3225</v>
      </c>
      <c r="I83" s="1461">
        <v>3250</v>
      </c>
      <c r="J83" s="1460">
        <v>25000</v>
      </c>
      <c r="K83" s="1312"/>
      <c r="L83" s="1457" t="s">
        <v>210</v>
      </c>
      <c r="M83" s="1298"/>
      <c r="N83" s="1279">
        <v>9375</v>
      </c>
      <c r="O83" s="1298"/>
      <c r="P83" s="1462">
        <v>18.585526315789476</v>
      </c>
      <c r="Q83" s="1459">
        <v>18</v>
      </c>
      <c r="R83" s="1460"/>
      <c r="S83" s="1298"/>
      <c r="T83" s="1298"/>
      <c r="U83" s="1298"/>
      <c r="V83" s="1298"/>
      <c r="W83" s="1460">
        <v>15625</v>
      </c>
      <c r="X83" s="1461">
        <v>15.625</v>
      </c>
      <c r="Y83" s="1461">
        <v>2015.625</v>
      </c>
      <c r="Z83" s="1461">
        <v>2031.25</v>
      </c>
      <c r="AB83" s="1462">
        <v>3.0921052631578947</v>
      </c>
      <c r="AC83" s="1459">
        <v>3</v>
      </c>
      <c r="AD83" s="1279">
        <v>0</v>
      </c>
      <c r="AE83" s="1461">
        <v>0</v>
      </c>
      <c r="AF83" s="1461">
        <v>0</v>
      </c>
      <c r="AG83" s="1461">
        <v>0</v>
      </c>
    </row>
    <row r="84" spans="1:33" s="1361" customFormat="1">
      <c r="A84" s="1359" t="s">
        <v>1970</v>
      </c>
      <c r="B84" s="1312"/>
      <c r="C84" s="1279">
        <v>30000</v>
      </c>
      <c r="D84" s="1471">
        <v>42898</v>
      </c>
      <c r="E84" s="1482">
        <v>42648</v>
      </c>
      <c r="F84" s="1461">
        <v>0.13</v>
      </c>
      <c r="G84" s="1461">
        <v>30</v>
      </c>
      <c r="H84" s="1461">
        <v>3870</v>
      </c>
      <c r="I84" s="1461">
        <v>3900</v>
      </c>
      <c r="J84" s="1460">
        <v>30000</v>
      </c>
      <c r="K84" s="1312"/>
      <c r="L84" s="1483" t="s">
        <v>247</v>
      </c>
      <c r="M84" s="1298"/>
      <c r="N84" s="1279">
        <v>13125</v>
      </c>
      <c r="O84" s="1298"/>
      <c r="P84" s="1462" t="s">
        <v>1971</v>
      </c>
      <c r="Q84" s="1459"/>
      <c r="R84" s="1460"/>
      <c r="S84" s="1298"/>
      <c r="T84" s="1298"/>
      <c r="U84" s="1298"/>
      <c r="V84" s="1298"/>
      <c r="W84" s="1460"/>
      <c r="X84" s="1461"/>
      <c r="Y84" s="1461"/>
      <c r="Z84" s="1461"/>
      <c r="AB84" s="1462">
        <v>8.2236842105263168</v>
      </c>
      <c r="AC84" s="1484">
        <v>8</v>
      </c>
      <c r="AD84" s="1279">
        <v>5139</v>
      </c>
      <c r="AE84" s="1461">
        <v>5.14</v>
      </c>
      <c r="AF84" s="1461">
        <v>662.93000000000006</v>
      </c>
      <c r="AG84" s="1461">
        <v>668.07</v>
      </c>
    </row>
    <row r="85" spans="1:33" s="1361" customFormat="1">
      <c r="A85" s="1359" t="s">
        <v>1972</v>
      </c>
      <c r="B85" s="1312"/>
      <c r="C85" s="1279">
        <v>21000</v>
      </c>
      <c r="D85" s="1471">
        <v>42915</v>
      </c>
      <c r="E85" s="1482">
        <v>42793</v>
      </c>
      <c r="F85" s="1461">
        <v>0.13</v>
      </c>
      <c r="G85" s="1461">
        <v>21</v>
      </c>
      <c r="H85" s="1461">
        <v>2709</v>
      </c>
      <c r="I85" s="1461">
        <v>2730</v>
      </c>
      <c r="J85" s="1460">
        <v>21000</v>
      </c>
      <c r="K85" s="1312"/>
      <c r="L85" s="1457" t="s">
        <v>210</v>
      </c>
      <c r="M85" s="1298"/>
      <c r="N85" s="1279">
        <v>7000</v>
      </c>
      <c r="O85" s="1298"/>
      <c r="P85" s="1462">
        <v>16.05263157894737</v>
      </c>
      <c r="Q85" s="1459">
        <v>16</v>
      </c>
      <c r="R85" s="1460"/>
      <c r="S85" s="1298"/>
      <c r="T85" s="1298"/>
      <c r="U85" s="1298"/>
      <c r="V85" s="1298"/>
      <c r="W85" s="1460">
        <v>14000</v>
      </c>
      <c r="X85" s="1461">
        <v>14</v>
      </c>
      <c r="Y85" s="1461">
        <v>1806</v>
      </c>
      <c r="Z85" s="1461">
        <v>1820</v>
      </c>
      <c r="AB85" s="1462">
        <v>4.0131578947368425</v>
      </c>
      <c r="AC85" s="1459">
        <v>4</v>
      </c>
      <c r="AD85" s="1279">
        <v>0</v>
      </c>
      <c r="AE85" s="1461">
        <v>0</v>
      </c>
      <c r="AF85" s="1461">
        <v>0</v>
      </c>
      <c r="AG85" s="1461">
        <v>0</v>
      </c>
    </row>
    <row r="86" spans="1:33" s="1361" customFormat="1" ht="38.25">
      <c r="A86" s="1359" t="s">
        <v>1973</v>
      </c>
      <c r="B86" s="1312"/>
      <c r="C86" s="1279">
        <v>-15000</v>
      </c>
      <c r="D86" s="1471"/>
      <c r="E86" s="1482"/>
      <c r="F86" s="1461">
        <v>0.11</v>
      </c>
      <c r="G86" s="1461">
        <v>-15</v>
      </c>
      <c r="H86" s="1461">
        <v>-1635</v>
      </c>
      <c r="I86" s="1461">
        <v>-1650</v>
      </c>
      <c r="J86" s="1460">
        <v>-15000</v>
      </c>
      <c r="K86" s="1312"/>
      <c r="L86" s="1457" t="s">
        <v>210</v>
      </c>
      <c r="M86" s="1298"/>
      <c r="N86" s="1279"/>
      <c r="O86" s="1298"/>
      <c r="P86" s="1462" t="s">
        <v>1954</v>
      </c>
      <c r="Q86" s="1459"/>
      <c r="R86" s="1460"/>
      <c r="S86" s="1298"/>
      <c r="T86" s="1298"/>
      <c r="U86" s="1298"/>
      <c r="V86" s="1298"/>
      <c r="W86" s="1460">
        <v>0</v>
      </c>
      <c r="X86" s="1461">
        <v>0</v>
      </c>
      <c r="Y86" s="1461">
        <v>0</v>
      </c>
      <c r="Z86" s="1461">
        <v>0</v>
      </c>
      <c r="AB86" s="1462"/>
      <c r="AC86" s="1459"/>
      <c r="AD86" s="1279"/>
      <c r="AE86" s="1461"/>
      <c r="AF86" s="1461"/>
      <c r="AG86" s="1461"/>
    </row>
    <row r="87" spans="1:33" s="1361" customFormat="1">
      <c r="A87" s="1359" t="s">
        <v>1974</v>
      </c>
      <c r="B87" s="1312"/>
      <c r="C87" s="1279">
        <v>450000</v>
      </c>
      <c r="D87" s="1471">
        <v>42984</v>
      </c>
      <c r="E87" s="1482">
        <v>42660</v>
      </c>
      <c r="F87" s="1461">
        <v>0.13</v>
      </c>
      <c r="G87" s="1461">
        <v>450</v>
      </c>
      <c r="H87" s="1461">
        <v>58050</v>
      </c>
      <c r="I87" s="1461">
        <v>58500</v>
      </c>
      <c r="J87" s="1460">
        <v>450000</v>
      </c>
      <c r="K87" s="1312"/>
      <c r="L87" s="1457" t="s">
        <v>210</v>
      </c>
      <c r="M87" s="1298"/>
      <c r="N87" s="1279">
        <v>187500</v>
      </c>
      <c r="O87" s="1298"/>
      <c r="P87" s="1462">
        <v>20.42763157894737</v>
      </c>
      <c r="Q87" s="1459">
        <v>20</v>
      </c>
      <c r="R87" s="1460"/>
      <c r="S87" s="1298"/>
      <c r="T87" s="1298"/>
      <c r="U87" s="1298"/>
      <c r="V87" s="1298"/>
      <c r="W87" s="1460">
        <v>262500</v>
      </c>
      <c r="X87" s="1461">
        <v>262.5</v>
      </c>
      <c r="Y87" s="1461">
        <v>33862.5</v>
      </c>
      <c r="Z87" s="1461">
        <v>34125</v>
      </c>
      <c r="AB87" s="1462">
        <v>10.657894736842106</v>
      </c>
      <c r="AC87" s="1459">
        <v>10</v>
      </c>
      <c r="AD87" s="1279">
        <v>0</v>
      </c>
      <c r="AE87" s="1461">
        <v>0</v>
      </c>
      <c r="AF87" s="1461">
        <v>0</v>
      </c>
      <c r="AG87" s="1461">
        <v>0</v>
      </c>
    </row>
    <row r="88" spans="1:33" s="1361" customFormat="1" ht="25.5">
      <c r="A88" s="1359" t="s">
        <v>1975</v>
      </c>
      <c r="B88" s="1312"/>
      <c r="C88" s="1279">
        <v>30000</v>
      </c>
      <c r="D88" s="1471">
        <v>42996</v>
      </c>
      <c r="E88" s="1482">
        <v>42807</v>
      </c>
      <c r="F88" s="1461">
        <v>0.13</v>
      </c>
      <c r="G88" s="1461">
        <v>30</v>
      </c>
      <c r="H88" s="1461">
        <v>3870</v>
      </c>
      <c r="I88" s="1461">
        <v>3900</v>
      </c>
      <c r="J88" s="1460">
        <v>30000</v>
      </c>
      <c r="K88" s="1312"/>
      <c r="L88" s="1457" t="s">
        <v>210</v>
      </c>
      <c r="M88" s="1298"/>
      <c r="N88" s="1279">
        <v>9375</v>
      </c>
      <c r="O88" s="1298"/>
      <c r="P88" s="1462">
        <v>15.592105263157896</v>
      </c>
      <c r="Q88" s="1459">
        <v>15</v>
      </c>
      <c r="R88" s="1460"/>
      <c r="S88" s="1298"/>
      <c r="T88" s="1298"/>
      <c r="U88" s="1298"/>
      <c r="V88" s="1298"/>
      <c r="W88" s="1460">
        <v>20625</v>
      </c>
      <c r="X88" s="1461">
        <v>20.625</v>
      </c>
      <c r="Y88" s="1461">
        <v>2660.625</v>
      </c>
      <c r="Z88" s="1461">
        <v>2681.25</v>
      </c>
      <c r="AB88" s="1462">
        <v>6.2171052631578947</v>
      </c>
      <c r="AC88" s="1459">
        <v>6</v>
      </c>
      <c r="AD88" s="1279">
        <v>0</v>
      </c>
      <c r="AE88" s="1461">
        <v>0</v>
      </c>
      <c r="AF88" s="1461">
        <v>0</v>
      </c>
      <c r="AG88" s="1461">
        <v>0</v>
      </c>
    </row>
    <row r="89" spans="1:33" s="1361" customFormat="1" ht="25.5">
      <c r="A89" s="1359" t="s">
        <v>1976</v>
      </c>
      <c r="B89" s="1312"/>
      <c r="C89" s="1279">
        <v>50000</v>
      </c>
      <c r="D89" s="1471">
        <v>43008</v>
      </c>
      <c r="E89" s="1482">
        <v>42821</v>
      </c>
      <c r="F89" s="1461">
        <v>0.13</v>
      </c>
      <c r="G89" s="1461">
        <v>50</v>
      </c>
      <c r="H89" s="1461">
        <v>6450</v>
      </c>
      <c r="I89" s="1461">
        <v>6500</v>
      </c>
      <c r="J89" s="1460">
        <v>50000</v>
      </c>
      <c r="K89" s="1312"/>
      <c r="L89" s="1457" t="s">
        <v>210</v>
      </c>
      <c r="M89" s="1298"/>
      <c r="N89" s="1279">
        <v>15625</v>
      </c>
      <c r="O89" s="1298"/>
      <c r="P89" s="1462">
        <v>15.131578947368421</v>
      </c>
      <c r="Q89" s="1459">
        <v>15</v>
      </c>
      <c r="R89" s="1460"/>
      <c r="S89" s="1298"/>
      <c r="T89" s="1298"/>
      <c r="U89" s="1298"/>
      <c r="V89" s="1298"/>
      <c r="W89" s="1460">
        <v>34375</v>
      </c>
      <c r="X89" s="1461">
        <v>34.375</v>
      </c>
      <c r="Y89" s="1461">
        <v>4434.375</v>
      </c>
      <c r="Z89" s="1461">
        <v>4468.75</v>
      </c>
      <c r="AB89" s="1462">
        <v>6.1513157894736841</v>
      </c>
      <c r="AC89" s="1459">
        <v>6</v>
      </c>
      <c r="AD89" s="1279">
        <v>0</v>
      </c>
      <c r="AE89" s="1461">
        <v>0</v>
      </c>
      <c r="AF89" s="1461">
        <v>0</v>
      </c>
      <c r="AG89" s="1461">
        <v>0</v>
      </c>
    </row>
    <row r="90" spans="1:33" s="1361" customFormat="1">
      <c r="A90" s="1359" t="s">
        <v>1977</v>
      </c>
      <c r="B90" s="1312"/>
      <c r="C90" s="1279">
        <v>25000</v>
      </c>
      <c r="D90" s="1471">
        <v>43006</v>
      </c>
      <c r="E90" s="1482">
        <v>42758</v>
      </c>
      <c r="F90" s="1461">
        <v>0.13</v>
      </c>
      <c r="G90" s="1461">
        <v>25</v>
      </c>
      <c r="H90" s="1461">
        <v>3225</v>
      </c>
      <c r="I90" s="1461">
        <v>3250</v>
      </c>
      <c r="J90" s="1460">
        <v>25000</v>
      </c>
      <c r="K90" s="1312"/>
      <c r="L90" s="1457" t="s">
        <v>210</v>
      </c>
      <c r="M90" s="1298"/>
      <c r="N90" s="1279">
        <v>8854</v>
      </c>
      <c r="O90" s="1298"/>
      <c r="P90" s="1462">
        <v>17.203947368421055</v>
      </c>
      <c r="Q90" s="1459">
        <v>17</v>
      </c>
      <c r="R90" s="1460"/>
      <c r="S90" s="1298"/>
      <c r="T90" s="1298"/>
      <c r="U90" s="1298"/>
      <c r="V90" s="1298"/>
      <c r="W90" s="1460">
        <v>16146</v>
      </c>
      <c r="X90" s="1461">
        <v>16.146000000000001</v>
      </c>
      <c r="Y90" s="1461">
        <v>2082.8339999999998</v>
      </c>
      <c r="Z90" s="1461">
        <v>2098.98</v>
      </c>
      <c r="AB90" s="1462">
        <v>8.1578947368421062</v>
      </c>
      <c r="AC90" s="1459">
        <v>8</v>
      </c>
      <c r="AD90" s="1279">
        <v>0</v>
      </c>
      <c r="AE90" s="1461">
        <v>0</v>
      </c>
      <c r="AF90" s="1461">
        <v>0</v>
      </c>
      <c r="AG90" s="1461">
        <v>0</v>
      </c>
    </row>
    <row r="91" spans="1:33" s="1361" customFormat="1" ht="25.5">
      <c r="A91" s="1359" t="s">
        <v>1978</v>
      </c>
      <c r="B91" s="1312"/>
      <c r="C91" s="1279">
        <v>18000</v>
      </c>
      <c r="D91" s="1471">
        <v>43004</v>
      </c>
      <c r="E91" s="1482">
        <v>42947</v>
      </c>
      <c r="F91" s="1461">
        <v>0.13</v>
      </c>
      <c r="G91" s="1461">
        <v>18</v>
      </c>
      <c r="H91" s="1461">
        <v>2322</v>
      </c>
      <c r="I91" s="1461">
        <v>2340</v>
      </c>
      <c r="J91" s="1460">
        <v>18000</v>
      </c>
      <c r="K91" s="1312"/>
      <c r="L91" s="1457" t="s">
        <v>210</v>
      </c>
      <c r="M91" s="1298"/>
      <c r="N91" s="1279">
        <v>0</v>
      </c>
      <c r="O91" s="1298"/>
      <c r="P91" s="1462">
        <v>10.986842105263158</v>
      </c>
      <c r="Q91" s="1459">
        <v>10</v>
      </c>
      <c r="R91" s="1460"/>
      <c r="S91" s="1298"/>
      <c r="T91" s="1298"/>
      <c r="U91" s="1298"/>
      <c r="V91" s="1298"/>
      <c r="W91" s="1460">
        <v>18000</v>
      </c>
      <c r="X91" s="1461">
        <v>18</v>
      </c>
      <c r="Y91" s="1461">
        <v>2322</v>
      </c>
      <c r="Z91" s="1461">
        <v>2340</v>
      </c>
      <c r="AB91" s="1462">
        <v>1.875</v>
      </c>
      <c r="AC91" s="1459">
        <v>1</v>
      </c>
      <c r="AD91" s="1279">
        <v>0</v>
      </c>
      <c r="AE91" s="1461">
        <v>0</v>
      </c>
      <c r="AF91" s="1461">
        <v>0</v>
      </c>
      <c r="AG91" s="1461">
        <v>0</v>
      </c>
    </row>
    <row r="92" spans="1:33" s="1361" customFormat="1" ht="38.25">
      <c r="A92" s="1359" t="s">
        <v>1979</v>
      </c>
      <c r="B92" s="1312"/>
      <c r="C92" s="1279">
        <v>-45000</v>
      </c>
      <c r="D92" s="1471"/>
      <c r="E92" s="1482"/>
      <c r="F92" s="1461">
        <v>0.11</v>
      </c>
      <c r="G92" s="1461">
        <v>-45</v>
      </c>
      <c r="H92" s="1461">
        <v>-4905</v>
      </c>
      <c r="I92" s="1461">
        <v>-4950</v>
      </c>
      <c r="J92" s="1460">
        <v>-45000</v>
      </c>
      <c r="K92" s="1312"/>
      <c r="L92" s="1457" t="s">
        <v>210</v>
      </c>
      <c r="M92" s="1298"/>
      <c r="N92" s="1279"/>
      <c r="O92" s="1298"/>
      <c r="P92" s="1462" t="s">
        <v>1980</v>
      </c>
      <c r="Q92" s="1459"/>
      <c r="R92" s="1460"/>
      <c r="S92" s="1298"/>
      <c r="T92" s="1298"/>
      <c r="U92" s="1298"/>
      <c r="V92" s="1298"/>
      <c r="W92" s="1460">
        <v>0</v>
      </c>
      <c r="X92" s="1461">
        <v>0</v>
      </c>
      <c r="Y92" s="1461">
        <v>0</v>
      </c>
      <c r="Z92" s="1461">
        <v>0</v>
      </c>
      <c r="AB92" s="1462"/>
      <c r="AC92" s="1459"/>
      <c r="AD92" s="1279"/>
      <c r="AE92" s="1461"/>
      <c r="AF92" s="1461"/>
      <c r="AG92" s="1461"/>
    </row>
    <row r="93" spans="1:33" s="1361" customFormat="1">
      <c r="A93" s="1359" t="s">
        <v>1981</v>
      </c>
      <c r="B93" s="1312"/>
      <c r="C93" s="1279">
        <v>90000</v>
      </c>
      <c r="D93" s="1471">
        <v>43041</v>
      </c>
      <c r="E93" s="1482">
        <v>42716</v>
      </c>
      <c r="F93" s="1461">
        <v>0.13</v>
      </c>
      <c r="G93" s="1461">
        <v>90</v>
      </c>
      <c r="H93" s="1461">
        <v>11610</v>
      </c>
      <c r="I93" s="1461">
        <v>11700</v>
      </c>
      <c r="J93" s="1460">
        <v>90000</v>
      </c>
      <c r="K93" s="1312"/>
      <c r="L93" s="1457" t="s">
        <v>210</v>
      </c>
      <c r="M93" s="1298"/>
      <c r="N93" s="1279">
        <v>33750</v>
      </c>
      <c r="O93" s="1298"/>
      <c r="P93" s="1485">
        <v>18.585526315789476</v>
      </c>
      <c r="Q93" s="1486">
        <v>18</v>
      </c>
      <c r="R93" s="1487"/>
      <c r="S93" s="1454"/>
      <c r="T93" s="1454"/>
      <c r="U93" s="1454"/>
      <c r="V93" s="1454"/>
      <c r="W93" s="1487">
        <v>56250</v>
      </c>
      <c r="X93" s="1488">
        <v>56.25</v>
      </c>
      <c r="Y93" s="1488">
        <v>7256.25</v>
      </c>
      <c r="Z93" s="1488">
        <v>7312.5</v>
      </c>
      <c r="AB93" s="1462">
        <v>10.690789473684211</v>
      </c>
      <c r="AC93" s="1459">
        <v>10</v>
      </c>
      <c r="AD93" s="1279">
        <v>0</v>
      </c>
      <c r="AE93" s="1461">
        <v>0</v>
      </c>
      <c r="AF93" s="1461">
        <v>0</v>
      </c>
      <c r="AG93" s="1461">
        <v>0</v>
      </c>
    </row>
    <row r="94" spans="1:33" s="1361" customFormat="1" ht="25.5">
      <c r="A94" s="1359" t="s">
        <v>1982</v>
      </c>
      <c r="B94" s="1312"/>
      <c r="C94" s="1279">
        <v>6750</v>
      </c>
      <c r="D94" s="1471">
        <v>43046</v>
      </c>
      <c r="E94" s="1482">
        <v>42709</v>
      </c>
      <c r="F94" s="1461">
        <v>0.13</v>
      </c>
      <c r="G94" s="1461">
        <v>6.75</v>
      </c>
      <c r="H94" s="1461">
        <v>870.75</v>
      </c>
      <c r="I94" s="1461">
        <v>877.5</v>
      </c>
      <c r="J94" s="1460">
        <v>6750</v>
      </c>
      <c r="K94" s="1312"/>
      <c r="L94" s="1457" t="s">
        <v>210</v>
      </c>
      <c r="M94" s="1298"/>
      <c r="N94" s="1279">
        <v>2532</v>
      </c>
      <c r="O94" s="1298"/>
      <c r="P94" s="1462">
        <v>18.815789473684212</v>
      </c>
      <c r="Q94" s="1459">
        <v>18</v>
      </c>
      <c r="R94" s="1460"/>
      <c r="S94" s="1298"/>
      <c r="T94" s="1298"/>
      <c r="U94" s="1298"/>
      <c r="V94" s="1298"/>
      <c r="W94" s="1460">
        <v>4218</v>
      </c>
      <c r="X94" s="1461">
        <v>4.218</v>
      </c>
      <c r="Y94" s="1461">
        <v>544.12200000000007</v>
      </c>
      <c r="Z94" s="1461">
        <v>548.34</v>
      </c>
      <c r="AB94" s="1462">
        <v>11.085526315789474</v>
      </c>
      <c r="AC94" s="1459">
        <v>11</v>
      </c>
      <c r="AD94" s="1279">
        <v>0</v>
      </c>
      <c r="AE94" s="1461">
        <v>0</v>
      </c>
      <c r="AF94" s="1461">
        <v>0</v>
      </c>
      <c r="AG94" s="1461">
        <v>0</v>
      </c>
    </row>
    <row r="95" spans="1:33" s="1361" customFormat="1">
      <c r="A95" s="1359" t="s">
        <v>1983</v>
      </c>
      <c r="B95" s="1312"/>
      <c r="C95" s="1279">
        <v>220000</v>
      </c>
      <c r="D95" s="1471">
        <v>43055</v>
      </c>
      <c r="E95" s="1482">
        <v>42815</v>
      </c>
      <c r="F95" s="1461">
        <v>0.13</v>
      </c>
      <c r="G95" s="1461">
        <v>220</v>
      </c>
      <c r="H95" s="1461">
        <v>28380</v>
      </c>
      <c r="I95" s="1461">
        <v>28600</v>
      </c>
      <c r="J95" s="1460">
        <v>220000</v>
      </c>
      <c r="K95" s="1312"/>
      <c r="L95" s="1457" t="s">
        <v>210</v>
      </c>
      <c r="M95" s="1298"/>
      <c r="N95" s="1279">
        <v>68750</v>
      </c>
      <c r="O95" s="1298"/>
      <c r="P95" s="1462">
        <v>15.328947368421053</v>
      </c>
      <c r="Q95" s="1459">
        <v>15</v>
      </c>
      <c r="R95" s="1460"/>
      <c r="S95" s="1298"/>
      <c r="T95" s="1298"/>
      <c r="U95" s="1298"/>
      <c r="V95" s="1298"/>
      <c r="W95" s="1460">
        <v>151250</v>
      </c>
      <c r="X95" s="1461">
        <v>151.25</v>
      </c>
      <c r="Y95" s="1461">
        <v>19511.25</v>
      </c>
      <c r="Z95" s="1461">
        <v>19662.5</v>
      </c>
      <c r="AB95" s="1462">
        <v>7.8947368421052637</v>
      </c>
      <c r="AC95" s="1459">
        <v>7</v>
      </c>
      <c r="AD95" s="1279">
        <v>0</v>
      </c>
      <c r="AE95" s="1461">
        <v>0</v>
      </c>
      <c r="AF95" s="1461">
        <v>0</v>
      </c>
      <c r="AG95" s="1461">
        <v>0</v>
      </c>
    </row>
    <row r="96" spans="1:33" s="1361" customFormat="1">
      <c r="A96" s="1359" t="s">
        <v>1984</v>
      </c>
      <c r="B96" s="1312"/>
      <c r="C96" s="1279">
        <v>153846</v>
      </c>
      <c r="D96" s="1471">
        <v>43059</v>
      </c>
      <c r="E96" s="1482">
        <v>42674</v>
      </c>
      <c r="F96" s="1461">
        <v>0.13</v>
      </c>
      <c r="G96" s="1461">
        <v>153.846</v>
      </c>
      <c r="H96" s="1461">
        <v>19846.133999999998</v>
      </c>
      <c r="I96" s="1461">
        <v>19999.98</v>
      </c>
      <c r="J96" s="1460">
        <v>153846</v>
      </c>
      <c r="K96" s="1312"/>
      <c r="L96" s="1457" t="s">
        <v>210</v>
      </c>
      <c r="M96" s="1298"/>
      <c r="N96" s="1279">
        <v>60898</v>
      </c>
      <c r="O96" s="1298"/>
      <c r="P96" s="1462">
        <v>19.967105263157897</v>
      </c>
      <c r="Q96" s="1459">
        <v>19</v>
      </c>
      <c r="R96" s="1460"/>
      <c r="S96" s="1298"/>
      <c r="T96" s="1298"/>
      <c r="U96" s="1298"/>
      <c r="V96" s="1298"/>
      <c r="W96" s="1460">
        <v>92948</v>
      </c>
      <c r="X96" s="1461">
        <v>92.948000000000008</v>
      </c>
      <c r="Y96" s="1461">
        <v>11990.291999999999</v>
      </c>
      <c r="Z96" s="1461">
        <v>12083.24</v>
      </c>
      <c r="AB96" s="1462">
        <v>12.664473684210527</v>
      </c>
      <c r="AC96" s="1484">
        <v>12</v>
      </c>
      <c r="AD96" s="1279">
        <v>40591</v>
      </c>
      <c r="AE96" s="1461">
        <v>40.590000000000003</v>
      </c>
      <c r="AF96" s="1461">
        <v>5236.24</v>
      </c>
      <c r="AG96" s="1461">
        <v>5276.83</v>
      </c>
    </row>
    <row r="97" spans="1:33" s="1361" customFormat="1">
      <c r="A97" s="1359" t="s">
        <v>1985</v>
      </c>
      <c r="B97" s="1312"/>
      <c r="C97" s="1279">
        <v>21000</v>
      </c>
      <c r="D97" s="1471">
        <v>43056</v>
      </c>
      <c r="E97" s="1482">
        <v>42842</v>
      </c>
      <c r="F97" s="1461">
        <v>0.13</v>
      </c>
      <c r="G97" s="1461">
        <v>21</v>
      </c>
      <c r="H97" s="1461">
        <v>2709</v>
      </c>
      <c r="I97" s="1461">
        <v>2730</v>
      </c>
      <c r="J97" s="1460">
        <v>21000</v>
      </c>
      <c r="K97" s="1312"/>
      <c r="L97" s="1457" t="s">
        <v>210</v>
      </c>
      <c r="M97" s="1298"/>
      <c r="N97" s="1279">
        <v>6125</v>
      </c>
      <c r="O97" s="1298"/>
      <c r="P97" s="1462">
        <v>14.440789473684211</v>
      </c>
      <c r="Q97" s="1459">
        <v>14</v>
      </c>
      <c r="R97" s="1460"/>
      <c r="S97" s="1298"/>
      <c r="T97" s="1298"/>
      <c r="U97" s="1298"/>
      <c r="V97" s="1298"/>
      <c r="W97" s="1460">
        <v>14875</v>
      </c>
      <c r="X97" s="1461">
        <v>14.875</v>
      </c>
      <c r="Y97" s="1461">
        <v>1918.875</v>
      </c>
      <c r="Z97" s="1461">
        <v>1933.75</v>
      </c>
      <c r="AB97" s="1462">
        <v>7.0394736842105265</v>
      </c>
      <c r="AC97" s="1459">
        <v>7</v>
      </c>
      <c r="AD97" s="1279">
        <v>0</v>
      </c>
      <c r="AE97" s="1461">
        <v>0</v>
      </c>
      <c r="AF97" s="1461">
        <v>0</v>
      </c>
      <c r="AG97" s="1461">
        <v>0</v>
      </c>
    </row>
    <row r="98" spans="1:33" s="1361" customFormat="1">
      <c r="A98" s="1359" t="s">
        <v>1986</v>
      </c>
      <c r="B98" s="1312"/>
      <c r="C98" s="1279">
        <v>85000</v>
      </c>
      <c r="D98" s="1471">
        <v>43067</v>
      </c>
      <c r="E98" s="1482">
        <v>42660</v>
      </c>
      <c r="F98" s="1461">
        <v>0.13</v>
      </c>
      <c r="G98" s="1461">
        <v>85</v>
      </c>
      <c r="H98" s="1461">
        <v>10965</v>
      </c>
      <c r="I98" s="1461">
        <v>11050</v>
      </c>
      <c r="J98" s="1460">
        <v>85000</v>
      </c>
      <c r="K98" s="1312"/>
      <c r="L98" s="1457" t="s">
        <v>210</v>
      </c>
      <c r="M98" s="1298"/>
      <c r="N98" s="1279">
        <v>35417</v>
      </c>
      <c r="O98" s="1298"/>
      <c r="P98" s="1462">
        <v>20.42763157894737</v>
      </c>
      <c r="Q98" s="1459">
        <v>20</v>
      </c>
      <c r="R98" s="1460"/>
      <c r="S98" s="1298"/>
      <c r="T98" s="1298"/>
      <c r="U98" s="1298"/>
      <c r="V98" s="1298"/>
      <c r="W98" s="1460">
        <v>49583</v>
      </c>
      <c r="X98" s="1461">
        <v>49.582999999999998</v>
      </c>
      <c r="Y98" s="1461">
        <v>6396.2070000000003</v>
      </c>
      <c r="Z98" s="1461">
        <v>6445.79</v>
      </c>
      <c r="AB98" s="1462">
        <v>13.388157894736842</v>
      </c>
      <c r="AC98" s="1484">
        <v>13</v>
      </c>
      <c r="AD98" s="1279">
        <v>23708</v>
      </c>
      <c r="AE98" s="1461">
        <v>23.71</v>
      </c>
      <c r="AF98" s="1461">
        <v>3058.33</v>
      </c>
      <c r="AG98" s="1461">
        <v>3082.04</v>
      </c>
    </row>
    <row r="99" spans="1:33" s="1361" customFormat="1">
      <c r="A99" s="1359" t="s">
        <v>1987</v>
      </c>
      <c r="B99" s="1312"/>
      <c r="C99" s="1279">
        <v>20000</v>
      </c>
      <c r="D99" s="1471">
        <v>43069</v>
      </c>
      <c r="E99" s="1482">
        <v>42724</v>
      </c>
      <c r="F99" s="1461">
        <v>0.13</v>
      </c>
      <c r="G99" s="1461">
        <v>20</v>
      </c>
      <c r="H99" s="1461">
        <v>2580</v>
      </c>
      <c r="I99" s="1461">
        <v>2600</v>
      </c>
      <c r="J99" s="1460">
        <v>20000</v>
      </c>
      <c r="K99" s="1312"/>
      <c r="L99" s="1457" t="s">
        <v>210</v>
      </c>
      <c r="M99" s="1298"/>
      <c r="N99" s="1279">
        <v>7500</v>
      </c>
      <c r="O99" s="1298"/>
      <c r="P99" s="1462">
        <v>18.322368421052634</v>
      </c>
      <c r="Q99" s="1459">
        <v>18</v>
      </c>
      <c r="R99" s="1460"/>
      <c r="S99" s="1298"/>
      <c r="T99" s="1298"/>
      <c r="U99" s="1298"/>
      <c r="V99" s="1298"/>
      <c r="W99" s="1460">
        <v>12500</v>
      </c>
      <c r="X99" s="1461">
        <v>12.5</v>
      </c>
      <c r="Y99" s="1461">
        <v>1612.5</v>
      </c>
      <c r="Z99" s="1461">
        <v>1625</v>
      </c>
      <c r="AB99" s="1462">
        <v>11.348684210526317</v>
      </c>
      <c r="AC99" s="1459">
        <v>11</v>
      </c>
      <c r="AD99" s="1279">
        <v>0</v>
      </c>
      <c r="AE99" s="1461">
        <v>0</v>
      </c>
      <c r="AF99" s="1461">
        <v>0</v>
      </c>
      <c r="AG99" s="1461">
        <v>0</v>
      </c>
    </row>
    <row r="100" spans="1:33" s="1361" customFormat="1">
      <c r="A100" s="1359" t="s">
        <v>1970</v>
      </c>
      <c r="B100" s="1312"/>
      <c r="C100" s="1279">
        <v>-16875</v>
      </c>
      <c r="D100" s="1471"/>
      <c r="E100" s="1482"/>
      <c r="F100" s="1461">
        <v>0.13</v>
      </c>
      <c r="G100" s="1461">
        <v>-16.875</v>
      </c>
      <c r="H100" s="1461">
        <v>-2176.875</v>
      </c>
      <c r="I100" s="1461">
        <v>-2193.75</v>
      </c>
      <c r="J100" s="1460">
        <v>-16875</v>
      </c>
      <c r="K100" s="1312"/>
      <c r="L100" s="1483" t="s">
        <v>247</v>
      </c>
      <c r="M100" s="1298"/>
      <c r="N100" s="1279"/>
      <c r="O100" s="1298"/>
      <c r="P100" s="1462" t="s">
        <v>1971</v>
      </c>
      <c r="Q100" s="1459"/>
      <c r="R100" s="1460"/>
      <c r="S100" s="1298"/>
      <c r="T100" s="1298"/>
      <c r="U100" s="1298"/>
      <c r="V100" s="1298"/>
      <c r="W100" s="1460"/>
      <c r="X100" s="1461"/>
      <c r="Y100" s="1461"/>
      <c r="Z100" s="1461"/>
      <c r="AB100" s="1462"/>
      <c r="AC100" s="1459"/>
      <c r="AD100" s="1279"/>
      <c r="AE100" s="1461"/>
      <c r="AF100" s="1461"/>
      <c r="AG100" s="1461"/>
    </row>
    <row r="101" spans="1:33" s="1361" customFormat="1" ht="25.5">
      <c r="A101" s="1359" t="s">
        <v>1957</v>
      </c>
      <c r="B101" s="1312"/>
      <c r="C101" s="1279">
        <v>25000</v>
      </c>
      <c r="D101" s="1471">
        <v>43160</v>
      </c>
      <c r="E101" s="1482">
        <v>43119</v>
      </c>
      <c r="F101" s="1461">
        <v>0.4</v>
      </c>
      <c r="G101" s="1461">
        <v>25</v>
      </c>
      <c r="H101" s="1461">
        <v>9975</v>
      </c>
      <c r="I101" s="1461">
        <v>10000</v>
      </c>
      <c r="J101" s="1460">
        <v>25000</v>
      </c>
      <c r="K101" s="1312"/>
      <c r="L101" s="1483" t="s">
        <v>248</v>
      </c>
      <c r="M101" s="1298"/>
      <c r="N101" s="1279">
        <v>2604</v>
      </c>
      <c r="O101" s="1298"/>
      <c r="P101" s="1462">
        <v>5.3289473684210531</v>
      </c>
      <c r="Q101" s="1459">
        <v>5</v>
      </c>
      <c r="R101" s="1459"/>
      <c r="S101" s="1298"/>
      <c r="T101" s="1298"/>
      <c r="U101" s="1298"/>
      <c r="V101" s="1298"/>
      <c r="W101" s="1460">
        <v>22396</v>
      </c>
      <c r="X101" s="1461">
        <v>22.396000000000001</v>
      </c>
      <c r="Y101" s="1461">
        <v>8936.003999999999</v>
      </c>
      <c r="Z101" s="1461">
        <v>8958.4</v>
      </c>
      <c r="AB101" s="1462">
        <v>1.3486842105263159</v>
      </c>
      <c r="AC101" s="1459">
        <v>1</v>
      </c>
      <c r="AD101" s="1279">
        <v>0</v>
      </c>
      <c r="AE101" s="1461">
        <v>0</v>
      </c>
      <c r="AF101" s="1461">
        <v>0</v>
      </c>
      <c r="AG101" s="1461">
        <v>0</v>
      </c>
    </row>
    <row r="102" spans="1:33" s="1361" customFormat="1" ht="25.5">
      <c r="A102" s="1359" t="s">
        <v>1988</v>
      </c>
      <c r="B102" s="1312"/>
      <c r="C102" s="1279">
        <v>-61875</v>
      </c>
      <c r="D102" s="1471"/>
      <c r="E102" s="1482"/>
      <c r="F102" s="1461">
        <v>0.13</v>
      </c>
      <c r="G102" s="1461">
        <v>-61.88</v>
      </c>
      <c r="H102" s="1461">
        <v>-7981.87</v>
      </c>
      <c r="I102" s="1461">
        <v>-8043.75</v>
      </c>
      <c r="J102" s="1460">
        <v>-61875</v>
      </c>
      <c r="K102" s="1312"/>
      <c r="L102" s="1457" t="s">
        <v>210</v>
      </c>
      <c r="M102" s="1298"/>
      <c r="N102" s="1279"/>
      <c r="O102" s="1298"/>
      <c r="P102" s="1462" t="s">
        <v>1989</v>
      </c>
      <c r="Q102" s="1459"/>
      <c r="R102" s="1459"/>
      <c r="S102" s="1298"/>
      <c r="T102" s="1298"/>
      <c r="U102" s="1298"/>
      <c r="V102" s="1298"/>
      <c r="W102" s="1460"/>
      <c r="X102" s="1461"/>
      <c r="Y102" s="1461"/>
      <c r="Z102" s="1461"/>
      <c r="AB102" s="1462"/>
      <c r="AC102" s="1459"/>
      <c r="AD102" s="1279"/>
      <c r="AE102" s="1461"/>
      <c r="AF102" s="1461"/>
      <c r="AG102" s="1461"/>
    </row>
    <row r="103" spans="1:33" s="1361" customFormat="1">
      <c r="A103" s="1359"/>
      <c r="B103" s="1312"/>
      <c r="C103" s="1279"/>
      <c r="D103" s="1471"/>
      <c r="E103" s="1482"/>
      <c r="F103" s="1461"/>
      <c r="G103" s="1461"/>
      <c r="H103" s="1461"/>
      <c r="I103" s="1461"/>
      <c r="J103" s="1460"/>
      <c r="K103" s="1312"/>
      <c r="L103" s="1483"/>
      <c r="M103" s="1298"/>
      <c r="N103" s="1279"/>
      <c r="O103" s="1298"/>
      <c r="P103" s="1462"/>
      <c r="Q103" s="1459"/>
      <c r="R103" s="1460"/>
      <c r="S103" s="1298"/>
      <c r="T103" s="1298"/>
      <c r="U103" s="1298"/>
      <c r="V103" s="1298"/>
      <c r="W103" s="1460"/>
      <c r="X103" s="1461"/>
      <c r="Y103" s="1461"/>
      <c r="Z103" s="1461"/>
      <c r="AB103" s="1462"/>
      <c r="AC103" s="1459"/>
      <c r="AD103" s="1279"/>
      <c r="AE103" s="1461"/>
      <c r="AF103" s="1461"/>
      <c r="AG103" s="1461"/>
    </row>
    <row r="104" spans="1:33">
      <c r="A104" s="1359"/>
      <c r="B104" s="1267"/>
      <c r="C104" s="1295"/>
      <c r="D104" s="1403"/>
      <c r="E104" s="1480"/>
      <c r="F104" s="1404"/>
      <c r="G104" s="1404"/>
      <c r="H104" s="1404"/>
      <c r="I104" s="1404"/>
      <c r="J104" s="1460"/>
      <c r="K104" s="1312"/>
      <c r="L104" s="1457"/>
      <c r="M104" s="1298"/>
      <c r="N104" s="1279"/>
      <c r="O104" s="1266"/>
      <c r="P104" s="1462"/>
      <c r="Q104" s="1459"/>
      <c r="R104" s="1460"/>
      <c r="S104" s="1266"/>
      <c r="T104" s="1266"/>
      <c r="U104" s="1266"/>
      <c r="V104" s="1266"/>
      <c r="W104" s="1460"/>
      <c r="X104" s="1461"/>
      <c r="Y104" s="1461"/>
      <c r="Z104" s="1461"/>
    </row>
    <row r="105" spans="1:33">
      <c r="A105" s="1359"/>
      <c r="B105" s="1267"/>
      <c r="C105" s="1254"/>
      <c r="D105" s="1403"/>
      <c r="E105" s="1480"/>
      <c r="F105" s="1404"/>
      <c r="G105" s="1404"/>
      <c r="H105" s="1404"/>
      <c r="I105" s="1404"/>
      <c r="J105" s="1460"/>
      <c r="K105" s="1312"/>
      <c r="L105" s="1457"/>
      <c r="M105" s="1298"/>
      <c r="N105" s="1279"/>
      <c r="O105" s="1266"/>
      <c r="P105" s="1462"/>
      <c r="Q105" s="1459"/>
      <c r="R105" s="1460"/>
      <c r="S105" s="1266"/>
      <c r="T105" s="1266"/>
      <c r="U105" s="1266"/>
      <c r="V105" s="1266"/>
      <c r="W105" s="1460"/>
      <c r="X105" s="1461"/>
      <c r="Y105" s="1461"/>
      <c r="Z105" s="1461"/>
    </row>
    <row r="106" spans="1:33">
      <c r="A106" s="1359"/>
      <c r="B106" s="1267"/>
      <c r="C106" s="1254"/>
      <c r="D106" s="1403"/>
      <c r="E106" s="1480"/>
      <c r="F106" s="1404"/>
      <c r="G106" s="1404"/>
      <c r="H106" s="1404"/>
      <c r="I106" s="1404"/>
      <c r="J106" s="1460"/>
      <c r="K106" s="1312"/>
      <c r="L106" s="1457"/>
      <c r="M106" s="1298"/>
      <c r="N106" s="1279"/>
      <c r="O106" s="1266"/>
      <c r="P106" s="1462"/>
      <c r="Q106" s="1459"/>
      <c r="R106" s="1460"/>
      <c r="S106" s="1266"/>
      <c r="T106" s="1266"/>
      <c r="U106" s="1266"/>
      <c r="V106" s="1266"/>
      <c r="W106" s="1460"/>
      <c r="X106" s="1461"/>
      <c r="Y106" s="1461"/>
      <c r="Z106" s="1461"/>
    </row>
    <row r="107" spans="1:33">
      <c r="A107" s="1266"/>
      <c r="B107" s="1266"/>
      <c r="C107" s="1407">
        <v>5264846</v>
      </c>
      <c r="D107" s="1266"/>
      <c r="E107" s="1266"/>
      <c r="F107" s="1266"/>
      <c r="G107" s="1489">
        <v>5264.8409999999994</v>
      </c>
      <c r="H107" s="1489">
        <v>605455.13899999997</v>
      </c>
      <c r="I107" s="1489">
        <v>610719.98</v>
      </c>
      <c r="J107" s="1407">
        <v>5264846</v>
      </c>
      <c r="K107" s="1282"/>
      <c r="L107" s="1490"/>
      <c r="M107" s="1279"/>
      <c r="N107" s="1407">
        <v>2983075</v>
      </c>
      <c r="O107" s="1266"/>
      <c r="P107" s="1266"/>
      <c r="Q107" s="1266"/>
      <c r="R107" s="1266"/>
      <c r="S107" s="1266"/>
      <c r="T107" s="1266"/>
      <c r="U107" s="1266"/>
      <c r="V107" s="1266"/>
      <c r="W107" s="1407">
        <v>2343646</v>
      </c>
      <c r="X107" s="1489">
        <v>2343.6460000000002</v>
      </c>
      <c r="Y107" s="1489">
        <v>277814.31400000001</v>
      </c>
      <c r="Z107" s="1489">
        <v>280157.96000000002</v>
      </c>
      <c r="AD107" s="1407">
        <v>69438</v>
      </c>
      <c r="AE107" s="1489">
        <v>69.44</v>
      </c>
      <c r="AF107" s="1489">
        <v>8957.5</v>
      </c>
      <c r="AG107" s="1489">
        <v>9026.9399999999987</v>
      </c>
    </row>
    <row r="108" spans="1:33">
      <c r="A108" s="1266"/>
      <c r="B108" s="1266"/>
      <c r="C108" s="1277"/>
      <c r="D108" s="1266"/>
      <c r="E108" s="1266"/>
      <c r="F108" s="1266"/>
      <c r="G108" s="1300"/>
      <c r="H108" s="1300"/>
      <c r="I108" s="1300"/>
      <c r="J108" s="1277"/>
      <c r="K108" s="1282"/>
      <c r="L108" s="1490"/>
      <c r="M108" s="1279"/>
      <c r="N108" s="1277"/>
      <c r="O108" s="1266"/>
      <c r="P108" s="1266"/>
      <c r="Q108" s="1266"/>
      <c r="R108" s="1266"/>
      <c r="S108" s="1266"/>
      <c r="T108" s="1266"/>
      <c r="U108" s="1266"/>
      <c r="V108" s="1266"/>
      <c r="W108" s="1277"/>
      <c r="X108" s="1300"/>
      <c r="Y108" s="1300"/>
      <c r="Z108" s="1300"/>
      <c r="AD108" s="1277"/>
      <c r="AE108" s="1300"/>
      <c r="AF108" s="1300"/>
      <c r="AG108" s="1300"/>
    </row>
    <row r="109" spans="1:33" ht="13.5">
      <c r="A109" s="1276" t="s">
        <v>1990</v>
      </c>
      <c r="B109" s="1266"/>
      <c r="C109" s="1254"/>
      <c r="D109" s="1266"/>
      <c r="E109" s="1266"/>
      <c r="F109" s="1266"/>
      <c r="G109" s="1266"/>
      <c r="H109" s="1266"/>
      <c r="I109" s="1266"/>
      <c r="J109" s="1298"/>
      <c r="K109" s="1312"/>
      <c r="L109" s="1331"/>
      <c r="M109" s="1298"/>
      <c r="N109" s="1298"/>
      <c r="O109" s="1266"/>
      <c r="P109" s="1266"/>
      <c r="Q109" s="1266"/>
      <c r="R109" s="1266"/>
      <c r="S109" s="1266"/>
      <c r="T109" s="1266"/>
      <c r="U109" s="1266"/>
      <c r="V109" s="1266"/>
      <c r="W109" s="1266"/>
      <c r="X109" s="1404"/>
      <c r="Y109" s="1404"/>
      <c r="Z109" s="1404"/>
    </row>
    <row r="110" spans="1:33">
      <c r="A110" s="1266" t="s">
        <v>1991</v>
      </c>
      <c r="B110" s="1266"/>
      <c r="C110" s="1254"/>
      <c r="D110" s="1266"/>
      <c r="E110" s="1266"/>
      <c r="F110" s="1266"/>
      <c r="G110" s="1266"/>
      <c r="H110" s="1404">
        <v>107105</v>
      </c>
      <c r="I110" s="1404">
        <v>107105</v>
      </c>
      <c r="J110" s="1298"/>
      <c r="K110" s="1312"/>
      <c r="L110" s="1331"/>
      <c r="M110" s="1298"/>
      <c r="N110" s="1298"/>
      <c r="O110" s="1266"/>
      <c r="P110" s="1266"/>
      <c r="Q110" s="1266"/>
      <c r="R110" s="1266"/>
      <c r="S110" s="1266"/>
      <c r="T110" s="1266"/>
      <c r="U110" s="1266"/>
      <c r="V110" s="1266"/>
      <c r="W110" s="1266"/>
      <c r="X110" s="1404"/>
      <c r="Y110" s="1404"/>
      <c r="Z110" s="1404"/>
    </row>
    <row r="111" spans="1:33">
      <c r="A111" s="1266" t="s">
        <v>1992</v>
      </c>
      <c r="B111" s="1266"/>
      <c r="C111" s="1254"/>
      <c r="D111" s="1266"/>
      <c r="E111" s="1266"/>
      <c r="F111" s="1266"/>
      <c r="G111" s="1266"/>
      <c r="H111" s="1404">
        <v>375553</v>
      </c>
      <c r="I111" s="1404">
        <v>375553</v>
      </c>
      <c r="J111" s="1298"/>
      <c r="K111" s="1312"/>
      <c r="L111" s="1331"/>
      <c r="M111" s="1298"/>
      <c r="N111" s="1298"/>
      <c r="O111" s="1266"/>
      <c r="P111" s="1266"/>
      <c r="Q111" s="1266"/>
      <c r="R111" s="1266"/>
      <c r="S111" s="1266"/>
      <c r="T111" s="1266"/>
      <c r="U111" s="1266"/>
      <c r="V111" s="1266"/>
      <c r="W111" s="1266"/>
      <c r="X111" s="1404"/>
      <c r="Y111" s="1404"/>
      <c r="Z111" s="1404"/>
    </row>
    <row r="112" spans="1:33">
      <c r="A112" s="1266" t="s">
        <v>1993</v>
      </c>
      <c r="B112" s="1266"/>
      <c r="C112" s="1254"/>
      <c r="D112" s="1266"/>
      <c r="E112" s="1266"/>
      <c r="F112" s="1266"/>
      <c r="G112" s="1266"/>
      <c r="H112" s="1404">
        <v>546008</v>
      </c>
      <c r="I112" s="1404">
        <v>546008</v>
      </c>
      <c r="J112" s="1298"/>
      <c r="K112" s="1312"/>
      <c r="L112" s="1331"/>
      <c r="M112" s="1298"/>
      <c r="N112" s="1298"/>
      <c r="O112" s="1266"/>
      <c r="P112" s="1266"/>
      <c r="Q112" s="1266"/>
      <c r="R112" s="1266"/>
      <c r="S112" s="1266"/>
      <c r="T112" s="1266"/>
      <c r="U112" s="1266"/>
      <c r="V112" s="1266"/>
      <c r="W112" s="1266"/>
      <c r="X112" s="1404"/>
      <c r="Y112" s="1404"/>
      <c r="Z112" s="1404"/>
    </row>
    <row r="113" spans="1:26">
      <c r="A113" s="1266"/>
      <c r="B113" s="1266"/>
      <c r="C113" s="1254"/>
      <c r="D113" s="1266"/>
      <c r="E113" s="1266"/>
      <c r="F113" s="1266"/>
      <c r="G113" s="1266"/>
      <c r="H113" s="1266"/>
      <c r="I113" s="1266"/>
      <c r="J113" s="1298"/>
      <c r="K113" s="1312"/>
      <c r="L113" s="1331"/>
      <c r="M113" s="1298"/>
      <c r="N113" s="1298"/>
      <c r="O113" s="1266"/>
      <c r="P113" s="1266"/>
      <c r="Q113" s="1266"/>
      <c r="R113" s="1266"/>
      <c r="S113" s="1266"/>
      <c r="T113" s="1266"/>
      <c r="U113" s="1266"/>
      <c r="V113" s="1266"/>
      <c r="W113" s="1266"/>
      <c r="X113" s="1404"/>
      <c r="Y113" s="1404"/>
      <c r="Z113" s="1404"/>
    </row>
    <row r="114" spans="1:26">
      <c r="A114" s="1266"/>
      <c r="B114" s="1266"/>
      <c r="C114" s="1277"/>
      <c r="D114" s="1266"/>
      <c r="E114" s="1266"/>
      <c r="F114" s="1266"/>
      <c r="G114" s="1478">
        <v>0</v>
      </c>
      <c r="H114" s="1478">
        <v>1028666</v>
      </c>
      <c r="I114" s="1478">
        <v>1028666</v>
      </c>
      <c r="J114" s="1277"/>
      <c r="K114" s="1267"/>
      <c r="L114" s="1491"/>
      <c r="M114" s="1267"/>
      <c r="N114" s="1277"/>
      <c r="O114" s="1266"/>
      <c r="P114" s="1266"/>
      <c r="Q114" s="1266"/>
      <c r="R114" s="1266"/>
      <c r="S114" s="1266"/>
      <c r="T114" s="1266"/>
      <c r="U114" s="1266"/>
      <c r="V114" s="1266"/>
      <c r="W114" s="1277"/>
      <c r="X114" s="1474"/>
      <c r="Y114" s="1474"/>
      <c r="Z114" s="1474"/>
    </row>
    <row r="115" spans="1:26" ht="12" customHeight="1">
      <c r="A115" s="1266"/>
      <c r="B115" s="1266"/>
      <c r="C115" s="1254"/>
      <c r="D115" s="1266"/>
      <c r="E115" s="1266"/>
      <c r="F115" s="1266"/>
      <c r="G115" s="1404"/>
      <c r="H115" s="1404"/>
      <c r="I115" s="1404"/>
      <c r="J115" s="1266"/>
      <c r="K115" s="1267"/>
      <c r="L115" s="1430"/>
      <c r="M115" s="1266"/>
      <c r="N115" s="1266"/>
      <c r="O115" s="1266"/>
      <c r="P115" s="1266"/>
      <c r="Q115" s="1266"/>
      <c r="R115" s="1266"/>
      <c r="S115" s="1266"/>
      <c r="T115" s="1266"/>
      <c r="U115" s="1266"/>
      <c r="V115" s="1266"/>
      <c r="W115" s="1266"/>
      <c r="X115" s="1404"/>
      <c r="Y115" s="1404"/>
      <c r="Z115" s="1404"/>
    </row>
    <row r="116" spans="1:26" ht="12" customHeight="1">
      <c r="A116" s="1266"/>
      <c r="B116" s="1266"/>
      <c r="C116" s="1254"/>
      <c r="D116" s="1266"/>
      <c r="E116" s="1266"/>
      <c r="F116" s="1266"/>
      <c r="G116" s="1404"/>
      <c r="H116" s="1404"/>
      <c r="I116" s="1404"/>
      <c r="J116" s="1266"/>
      <c r="K116" s="1267"/>
      <c r="L116" s="1430"/>
      <c r="M116" s="1266"/>
      <c r="N116" s="1266"/>
      <c r="O116" s="1266"/>
      <c r="P116" s="1266"/>
      <c r="Q116" s="1266"/>
      <c r="R116" s="1266"/>
      <c r="S116" s="1266"/>
      <c r="T116" s="1266"/>
      <c r="U116" s="1266"/>
      <c r="V116" s="1266"/>
      <c r="W116" s="1266"/>
      <c r="X116" s="1404"/>
      <c r="Y116" s="1404"/>
      <c r="Z116" s="1404"/>
    </row>
    <row r="117" spans="1:26" ht="13.5" thickBot="1">
      <c r="A117" s="1266"/>
      <c r="B117" s="1266"/>
      <c r="C117" s="1305">
        <v>16327046</v>
      </c>
      <c r="D117" s="1266"/>
      <c r="E117" s="1266"/>
      <c r="F117" s="1266"/>
      <c r="G117" s="1492">
        <v>16327.041000000001</v>
      </c>
      <c r="H117" s="1492">
        <v>1669240.939</v>
      </c>
      <c r="I117" s="1492">
        <v>1685567.98</v>
      </c>
      <c r="J117" s="1305">
        <v>16327046</v>
      </c>
      <c r="K117" s="1267"/>
      <c r="L117" s="1430"/>
      <c r="M117" s="1266"/>
      <c r="N117" s="1305">
        <v>11128608</v>
      </c>
      <c r="O117" s="1266"/>
      <c r="P117" s="1266"/>
      <c r="Q117" s="1266"/>
      <c r="R117" s="1266"/>
      <c r="S117" s="1266"/>
      <c r="T117" s="1266"/>
      <c r="U117" s="1266" t="s">
        <v>1994</v>
      </c>
      <c r="V117" s="1266"/>
      <c r="W117" s="1305">
        <v>4093646</v>
      </c>
      <c r="X117" s="1492">
        <v>4093.6460000000002</v>
      </c>
      <c r="Y117" s="1492">
        <v>277814.31400000001</v>
      </c>
      <c r="Z117" s="1492">
        <v>281907.96000000002</v>
      </c>
    </row>
    <row r="118" spans="1:26" ht="13.5" thickTop="1">
      <c r="A118" s="1266"/>
      <c r="B118" s="1266"/>
      <c r="C118" s="1254"/>
      <c r="D118" s="1266"/>
      <c r="E118" s="1266"/>
      <c r="F118" s="1266"/>
      <c r="G118" s="1266"/>
      <c r="H118" s="1266"/>
      <c r="I118" s="1266"/>
      <c r="J118" s="1266"/>
      <c r="K118" s="1267"/>
      <c r="L118" s="1430"/>
      <c r="M118" s="1266"/>
      <c r="N118" s="1266"/>
      <c r="O118" s="1266"/>
      <c r="P118" s="1266"/>
      <c r="Q118" s="1266"/>
      <c r="R118" s="1266"/>
      <c r="S118" s="1266"/>
      <c r="T118" s="1266"/>
      <c r="U118" s="1266"/>
      <c r="V118" s="1266"/>
      <c r="W118" s="1266"/>
      <c r="X118" s="1266"/>
      <c r="Y118" s="1266"/>
      <c r="Z118" s="1266"/>
    </row>
    <row r="119" spans="1:26">
      <c r="A119" s="1266"/>
      <c r="B119" s="1266"/>
      <c r="C119" s="1254"/>
      <c r="D119" s="1266"/>
      <c r="E119" s="1266"/>
      <c r="F119" s="1266" t="s">
        <v>1882</v>
      </c>
      <c r="G119" s="1404">
        <v>16327.04</v>
      </c>
      <c r="H119" s="1404">
        <v>1669241.1</v>
      </c>
      <c r="I119" s="1404">
        <v>1685568.1400000001</v>
      </c>
      <c r="J119" s="1266"/>
      <c r="K119" s="1267"/>
      <c r="L119" s="1430"/>
      <c r="M119" s="1266"/>
      <c r="N119" s="1266"/>
      <c r="O119" s="1266"/>
      <c r="P119" s="1266"/>
      <c r="Q119" s="1266"/>
      <c r="R119" s="1266"/>
      <c r="S119" s="1266"/>
      <c r="T119" s="1266"/>
      <c r="U119" s="1266" t="s">
        <v>1882</v>
      </c>
      <c r="V119" s="1266"/>
      <c r="W119" s="1493" t="s">
        <v>1730</v>
      </c>
      <c r="X119" s="1300">
        <v>4794.6379999999999</v>
      </c>
      <c r="Y119" s="1300">
        <v>315456.14199999988</v>
      </c>
      <c r="Z119" s="1300">
        <v>320250.78000000003</v>
      </c>
    </row>
    <row r="120" spans="1:26">
      <c r="A120" s="1266"/>
      <c r="B120" s="1266"/>
      <c r="C120" s="1254"/>
      <c r="D120" s="1266"/>
      <c r="E120" s="1266"/>
      <c r="F120" s="1266" t="s">
        <v>548</v>
      </c>
      <c r="G120" s="1488">
        <v>-1.0000000002037268E-3</v>
      </c>
      <c r="H120" s="1488">
        <v>0.16100000008009374</v>
      </c>
      <c r="I120" s="1488">
        <v>0.16000000014901161</v>
      </c>
      <c r="J120" s="1266"/>
      <c r="K120" s="1267"/>
      <c r="L120" s="1430"/>
      <c r="M120" s="1266"/>
      <c r="N120" s="1266"/>
      <c r="O120" s="1266"/>
      <c r="P120" s="1266"/>
      <c r="Q120" s="1266"/>
      <c r="R120" s="1266"/>
      <c r="S120" s="1266"/>
      <c r="T120" s="1266"/>
      <c r="U120" s="1266" t="s">
        <v>548</v>
      </c>
      <c r="V120" s="1266"/>
      <c r="W120" s="1287" t="s">
        <v>1730</v>
      </c>
      <c r="X120" s="1494">
        <v>-700.99199999999973</v>
      </c>
      <c r="Y120" s="1494">
        <v>-37641.827999999863</v>
      </c>
      <c r="Z120" s="1494">
        <v>-38342.820000000007</v>
      </c>
    </row>
    <row r="121" spans="1:26">
      <c r="A121" s="1495" t="s">
        <v>1995</v>
      </c>
      <c r="B121" s="1267"/>
      <c r="C121" s="1254"/>
      <c r="D121" s="1496"/>
      <c r="E121" s="1497"/>
      <c r="F121" s="1498"/>
      <c r="G121" s="1498"/>
      <c r="H121" s="1498"/>
      <c r="I121" s="1498"/>
      <c r="J121" s="1266"/>
      <c r="K121" s="1497"/>
      <c r="L121" s="1499"/>
      <c r="N121" s="1360"/>
      <c r="O121" s="1360"/>
      <c r="Q121" s="1360"/>
      <c r="S121" s="1360"/>
      <c r="U121" s="1266"/>
      <c r="V121" s="1266"/>
      <c r="W121" s="1360"/>
      <c r="X121" s="1360"/>
      <c r="Y121" s="1360"/>
      <c r="Z121" s="1360"/>
    </row>
    <row r="122" spans="1:26">
      <c r="A122" s="1500"/>
      <c r="B122" s="1267"/>
      <c r="C122" s="1254"/>
      <c r="D122" s="1456"/>
      <c r="E122" s="1430"/>
      <c r="F122" s="1392"/>
      <c r="G122" s="1392"/>
      <c r="H122" s="1392"/>
      <c r="I122" s="1392"/>
      <c r="J122" s="1266"/>
      <c r="K122" s="1430"/>
      <c r="L122" s="1501"/>
      <c r="M122" s="1266"/>
      <c r="N122" s="1254"/>
      <c r="O122" s="1254"/>
      <c r="P122" s="1266"/>
      <c r="Q122" s="1254"/>
      <c r="R122" s="1266"/>
      <c r="S122" s="1254"/>
      <c r="T122" s="1266"/>
      <c r="U122" s="1266"/>
      <c r="V122" s="1266"/>
      <c r="W122" s="1266"/>
      <c r="X122" s="1404" t="s">
        <v>1730</v>
      </c>
      <c r="Y122" s="1404" t="s">
        <v>1730</v>
      </c>
      <c r="Z122" s="1391" t="s">
        <v>1730</v>
      </c>
    </row>
    <row r="123" spans="1:26">
      <c r="A123" s="1502" t="s">
        <v>1996</v>
      </c>
      <c r="B123" s="1502"/>
      <c r="C123" s="1502"/>
      <c r="D123" s="1502"/>
      <c r="E123" s="1502"/>
      <c r="F123" s="1502"/>
      <c r="G123" s="1502"/>
      <c r="H123" s="1502"/>
      <c r="I123" s="1503"/>
      <c r="J123" s="1266"/>
      <c r="K123" s="1502"/>
      <c r="L123" s="1502"/>
      <c r="M123" s="1502"/>
      <c r="N123" s="1502"/>
      <c r="O123" s="1502"/>
      <c r="P123" s="1502"/>
      <c r="Q123" s="1502"/>
      <c r="R123" s="1502"/>
      <c r="U123" s="1266"/>
      <c r="V123" s="1266"/>
      <c r="W123" s="1266"/>
      <c r="X123" s="1266"/>
      <c r="Y123" s="1266" t="s">
        <v>1730</v>
      </c>
      <c r="Z123" s="1266"/>
    </row>
    <row r="124" spans="1:26">
      <c r="A124" s="1502" t="s">
        <v>1997</v>
      </c>
      <c r="B124" s="1266"/>
      <c r="D124" s="1266"/>
      <c r="E124" s="1266"/>
      <c r="F124" s="1266"/>
      <c r="G124" s="1266"/>
      <c r="H124" s="1266"/>
      <c r="I124" s="1266"/>
      <c r="J124" s="1266"/>
      <c r="K124" s="1267"/>
      <c r="L124" s="1430"/>
      <c r="M124" s="1266"/>
      <c r="N124" s="1266"/>
      <c r="O124" s="1266"/>
      <c r="P124" s="1266"/>
      <c r="Q124" s="1266"/>
      <c r="R124" s="1266"/>
      <c r="S124" s="1266"/>
      <c r="T124" s="1266"/>
      <c r="U124" s="1266"/>
      <c r="V124" s="1266"/>
      <c r="W124" s="1266"/>
      <c r="X124" s="1391" t="s">
        <v>1730</v>
      </c>
      <c r="Y124" s="1391" t="s">
        <v>1730</v>
      </c>
      <c r="Z124" s="1391" t="s">
        <v>1730</v>
      </c>
    </row>
    <row r="125" spans="1:26">
      <c r="A125" s="1502" t="s">
        <v>1998</v>
      </c>
      <c r="B125" s="1266"/>
      <c r="C125" s="1254"/>
      <c r="D125" s="1266"/>
      <c r="E125" s="1266"/>
      <c r="F125" s="1266"/>
      <c r="G125" s="1266"/>
      <c r="H125" s="1266"/>
      <c r="I125" s="1266"/>
      <c r="J125" s="1266"/>
      <c r="K125" s="1267"/>
      <c r="L125" s="1430"/>
      <c r="M125" s="1266"/>
      <c r="N125" s="1266"/>
      <c r="O125" s="1266"/>
      <c r="P125" s="1266"/>
      <c r="Q125" s="1266"/>
      <c r="R125" s="1266"/>
      <c r="S125" s="1266"/>
      <c r="T125" s="1266"/>
      <c r="U125" s="1266"/>
      <c r="V125" s="1266"/>
      <c r="W125" s="1266"/>
      <c r="X125" s="1266"/>
      <c r="Y125" s="1266"/>
      <c r="Z125" s="1266"/>
    </row>
    <row r="126" spans="1:26">
      <c r="A126" s="1502" t="s">
        <v>1999</v>
      </c>
      <c r="B126" s="1266"/>
      <c r="C126" s="1254"/>
      <c r="D126" s="1266"/>
      <c r="E126" s="1266"/>
      <c r="F126" s="1266"/>
      <c r="G126" s="1266"/>
      <c r="H126" s="1266"/>
      <c r="I126" s="1266"/>
      <c r="J126" s="1266"/>
      <c r="K126" s="1267"/>
      <c r="L126" s="1430"/>
      <c r="M126" s="1266"/>
      <c r="N126" s="1266"/>
      <c r="O126" s="1266"/>
      <c r="P126" s="1266"/>
      <c r="Q126" s="1266"/>
      <c r="R126" s="1266"/>
      <c r="S126" s="1266"/>
      <c r="T126" s="1266"/>
      <c r="U126" s="1266"/>
      <c r="V126" s="1266"/>
      <c r="W126" s="1266"/>
      <c r="X126" s="1266"/>
      <c r="Y126" s="1266"/>
      <c r="Z126" s="1266"/>
    </row>
    <row r="127" spans="1:26">
      <c r="A127" s="1266"/>
      <c r="B127" s="1266"/>
      <c r="C127" s="1254"/>
      <c r="D127" s="1266"/>
      <c r="E127" s="1266"/>
      <c r="F127" s="1266"/>
      <c r="G127" s="1266"/>
      <c r="H127" s="1266"/>
      <c r="I127" s="1266"/>
      <c r="J127" s="1266"/>
      <c r="K127" s="1267"/>
      <c r="L127" s="1430"/>
      <c r="M127" s="1266"/>
      <c r="N127" s="1266"/>
      <c r="O127" s="1266"/>
      <c r="P127" s="1266"/>
      <c r="Q127" s="1266"/>
      <c r="R127" s="1266"/>
      <c r="S127" s="1266"/>
      <c r="T127" s="1266"/>
      <c r="U127" s="1266"/>
      <c r="V127" s="1266"/>
      <c r="W127" s="1266"/>
      <c r="X127" s="1266"/>
      <c r="Y127" s="1266"/>
      <c r="Z127" s="1266"/>
    </row>
    <row r="128" spans="1:26">
      <c r="A128" s="1266">
        <v>8.3333333333333329E-2</v>
      </c>
      <c r="B128" s="1266"/>
      <c r="C128" s="1254"/>
      <c r="D128" s="1266"/>
      <c r="E128" s="1266"/>
      <c r="F128" s="1266"/>
      <c r="G128" s="1266"/>
      <c r="H128" s="1266" t="s">
        <v>2000</v>
      </c>
      <c r="I128" s="1391">
        <v>168427.48</v>
      </c>
      <c r="J128" s="1266"/>
      <c r="K128" s="1267"/>
      <c r="L128" s="1430"/>
      <c r="M128" s="1266"/>
      <c r="N128" s="1266"/>
      <c r="O128" s="1266"/>
      <c r="P128" s="1266"/>
      <c r="Q128" s="1266"/>
      <c r="R128" s="1266"/>
      <c r="S128" s="1266"/>
      <c r="T128" s="1266"/>
      <c r="U128" s="1266"/>
      <c r="V128" s="1266"/>
      <c r="W128" s="1266"/>
      <c r="X128" s="1266"/>
      <c r="Y128" s="1266"/>
      <c r="Z128" s="1266"/>
    </row>
    <row r="129" spans="1:26">
      <c r="A129" s="1266"/>
      <c r="B129" s="1266"/>
      <c r="C129" s="1254"/>
      <c r="D129" s="1266"/>
      <c r="E129" s="1266"/>
      <c r="F129" s="1266"/>
      <c r="G129" s="1266"/>
      <c r="H129" s="1266"/>
      <c r="I129" s="1266"/>
      <c r="J129" s="1266"/>
      <c r="K129" s="1267"/>
      <c r="L129" s="1430"/>
      <c r="M129" s="1266"/>
      <c r="N129" s="1266"/>
      <c r="O129" s="1266"/>
      <c r="P129" s="1266"/>
      <c r="Q129" s="1266"/>
      <c r="R129" s="1266"/>
      <c r="S129" s="1266"/>
      <c r="T129" s="1266"/>
      <c r="U129" s="1266"/>
      <c r="V129" s="1266"/>
      <c r="W129" s="1266"/>
      <c r="X129" s="1266"/>
      <c r="Y129" s="1266"/>
      <c r="Z129" s="1266"/>
    </row>
    <row r="130" spans="1:26">
      <c r="A130" s="1266"/>
      <c r="B130" s="1266"/>
      <c r="C130" s="1254"/>
      <c r="D130" s="1266"/>
      <c r="E130" s="1266"/>
      <c r="F130" s="1266"/>
      <c r="G130" s="1266"/>
      <c r="H130" s="1266"/>
      <c r="I130" s="1266"/>
      <c r="J130" s="1266"/>
      <c r="K130" s="1267"/>
      <c r="L130" s="1430"/>
      <c r="M130" s="1266"/>
      <c r="N130" s="1266"/>
      <c r="O130" s="1266"/>
      <c r="P130" s="1266"/>
      <c r="Q130" s="1266"/>
      <c r="R130" s="1266"/>
      <c r="S130" s="1266"/>
      <c r="T130" s="1266"/>
      <c r="U130" s="1266"/>
      <c r="V130" s="1266"/>
      <c r="W130" s="1266"/>
      <c r="X130" s="1266"/>
      <c r="Y130" s="1266"/>
      <c r="Z130" s="1266"/>
    </row>
    <row r="131" spans="1:26">
      <c r="J131" s="1266"/>
    </row>
    <row r="132" spans="1:26">
      <c r="J132" s="1266"/>
    </row>
    <row r="135" spans="1:26">
      <c r="C135" s="1360" t="s">
        <v>1730</v>
      </c>
    </row>
    <row r="136" spans="1:26">
      <c r="C136" s="1360" t="s">
        <v>1730</v>
      </c>
    </row>
    <row r="139" spans="1:26">
      <c r="C139" s="1360" t="s">
        <v>1730</v>
      </c>
    </row>
  </sheetData>
  <mergeCells count="4">
    <mergeCell ref="W5:Z5"/>
    <mergeCell ref="AB5:AG5"/>
    <mergeCell ref="G6:I6"/>
    <mergeCell ref="AD6:AG6"/>
  </mergeCells>
  <pageMargins left="0.25" right="0.25" top="0.75" bottom="0.75" header="0.3" footer="0.3"/>
  <pageSetup scale="70" orientation="landscape" r:id="rId1"/>
  <legacy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W193"/>
  <sheetViews>
    <sheetView zoomScaleNormal="100" workbookViewId="0">
      <pane ySplit="5" topLeftCell="A93" activePane="bottomLeft" state="frozen"/>
      <selection activeCell="A3" sqref="A3"/>
      <selection pane="bottomLeft" activeCell="D93" sqref="D93"/>
    </sheetView>
  </sheetViews>
  <sheetFormatPr defaultRowHeight="12.75"/>
  <cols>
    <col min="1" max="1" width="29.1640625" style="1295" customWidth="1"/>
    <col min="2" max="2" width="5.33203125" style="1504" bestFit="1" customWidth="1"/>
    <col min="3" max="3" width="19.6640625" style="1360" bestFit="1" customWidth="1"/>
    <col min="4" max="4" width="19.6640625" style="1360" customWidth="1"/>
    <col min="5" max="5" width="17.1640625" style="1496" bestFit="1" customWidth="1"/>
    <col min="6" max="6" width="13.5" style="1497" customWidth="1"/>
    <col min="7" max="7" width="13.1640625" style="1498" bestFit="1" customWidth="1"/>
    <col min="8" max="8" width="16.83203125" style="1295" bestFit="1" customWidth="1"/>
    <col min="9" max="9" width="10.6640625" style="1497" customWidth="1"/>
    <col min="10" max="10" width="13.1640625" style="1360" bestFit="1" customWidth="1"/>
    <col min="11" max="11" width="11.83203125" style="1295" bestFit="1" customWidth="1"/>
    <col min="12" max="12" width="11.6640625" style="1360" bestFit="1" customWidth="1"/>
    <col min="13" max="13" width="12.1640625" style="1360" bestFit="1" customWidth="1"/>
    <col min="14" max="14" width="13.1640625" style="1295" bestFit="1" customWidth="1"/>
    <col min="15" max="15" width="14.83203125" style="1360" bestFit="1" customWidth="1"/>
    <col min="16" max="16" width="3" style="1295" customWidth="1"/>
    <col min="17" max="17" width="12.5" style="1295" customWidth="1"/>
    <col min="18" max="18" width="14" style="1360" bestFit="1" customWidth="1"/>
    <col min="19" max="20" width="12" style="1295" bestFit="1" customWidth="1"/>
    <col min="21" max="16384" width="9.33203125" style="1295"/>
  </cols>
  <sheetData>
    <row r="1" spans="1:23">
      <c r="A1" s="1265" t="s">
        <v>1608</v>
      </c>
      <c r="B1" s="1267"/>
      <c r="F1" s="1456" t="s">
        <v>2001</v>
      </c>
      <c r="G1" s="1392"/>
      <c r="H1" s="1266"/>
      <c r="I1" s="1430"/>
      <c r="J1" s="1254"/>
      <c r="K1" s="1266"/>
      <c r="L1" s="1254"/>
      <c r="M1" s="1254"/>
      <c r="N1" s="1266"/>
      <c r="O1" s="1254"/>
      <c r="P1" s="1266"/>
      <c r="Q1" s="1505">
        <v>43281</v>
      </c>
      <c r="R1" s="1254"/>
      <c r="S1" s="1266"/>
      <c r="T1" s="1266"/>
      <c r="U1" s="1266"/>
      <c r="V1" s="1266"/>
      <c r="W1" s="1266"/>
    </row>
    <row r="2" spans="1:23">
      <c r="A2" s="1506" t="s">
        <v>2002</v>
      </c>
      <c r="B2" s="1267"/>
      <c r="C2" s="1254"/>
      <c r="D2" s="1254"/>
      <c r="E2" s="1456"/>
      <c r="F2" s="1430"/>
      <c r="G2" s="1392"/>
      <c r="H2" s="1266"/>
      <c r="I2" s="1430"/>
      <c r="J2" s="1254"/>
      <c r="K2" s="1266"/>
      <c r="L2" s="1254"/>
      <c r="M2" s="1254"/>
      <c r="N2" s="1266"/>
      <c r="O2" s="1254"/>
      <c r="P2" s="1266"/>
      <c r="Q2" s="1266"/>
      <c r="R2" s="1254"/>
      <c r="S2" s="1266"/>
      <c r="T2" s="1266"/>
      <c r="U2" s="1266"/>
      <c r="V2" s="1266"/>
      <c r="W2" s="1266"/>
    </row>
    <row r="3" spans="1:23">
      <c r="A3" s="1314">
        <v>43281</v>
      </c>
      <c r="B3" s="1267"/>
      <c r="C3" s="1279"/>
      <c r="D3" s="1279"/>
      <c r="E3" s="1507"/>
      <c r="F3" s="1430"/>
      <c r="G3" s="1392"/>
      <c r="H3" s="1266"/>
      <c r="I3" s="1430"/>
      <c r="J3" s="1254"/>
      <c r="K3" s="1266"/>
      <c r="L3" s="1254"/>
      <c r="M3" s="1254"/>
      <c r="N3" s="1266"/>
      <c r="O3" s="1254"/>
      <c r="P3" s="1266"/>
      <c r="Q3" s="1266"/>
      <c r="R3" s="1254"/>
      <c r="S3" s="1266"/>
      <c r="T3" s="1266"/>
      <c r="U3" s="1266"/>
      <c r="V3" s="1266"/>
      <c r="W3" s="1266"/>
    </row>
    <row r="4" spans="1:23">
      <c r="A4" s="1265"/>
      <c r="B4" s="1271"/>
      <c r="C4" s="1508"/>
      <c r="D4" s="1508"/>
      <c r="E4" s="1509"/>
      <c r="F4" s="1435"/>
      <c r="G4" s="1510"/>
      <c r="H4" s="1435"/>
      <c r="I4" s="1435"/>
      <c r="J4" s="1508"/>
      <c r="K4" s="1435"/>
      <c r="L4" s="1508"/>
      <c r="M4" s="1508"/>
      <c r="N4" s="1435"/>
      <c r="O4" s="1508"/>
      <c r="P4" s="1266"/>
      <c r="Q4" s="1266"/>
      <c r="R4" s="1508"/>
      <c r="S4" s="1266"/>
      <c r="T4" s="1266"/>
      <c r="U4" s="1266"/>
      <c r="V4" s="1266"/>
      <c r="W4" s="1266"/>
    </row>
    <row r="5" spans="1:23" ht="39" thickBot="1">
      <c r="A5" s="1511" t="s">
        <v>2003</v>
      </c>
      <c r="B5" s="1512"/>
      <c r="C5" s="1511" t="s">
        <v>2004</v>
      </c>
      <c r="D5" s="1511" t="s">
        <v>2005</v>
      </c>
      <c r="E5" s="1513" t="s">
        <v>2006</v>
      </c>
      <c r="F5" s="1514" t="s">
        <v>2007</v>
      </c>
      <c r="G5" s="1515" t="s">
        <v>2008</v>
      </c>
      <c r="H5" s="1514" t="s">
        <v>2009</v>
      </c>
      <c r="I5" s="1514" t="s">
        <v>2010</v>
      </c>
      <c r="J5" s="1514" t="s">
        <v>2011</v>
      </c>
      <c r="K5" s="1514" t="s">
        <v>2012</v>
      </c>
      <c r="L5" s="1514" t="s">
        <v>2013</v>
      </c>
      <c r="M5" s="1514" t="s">
        <v>2014</v>
      </c>
      <c r="N5" s="1514" t="s">
        <v>2015</v>
      </c>
      <c r="O5" s="1514" t="s">
        <v>2016</v>
      </c>
      <c r="P5" s="1266"/>
      <c r="Q5" s="1516" t="s">
        <v>2017</v>
      </c>
      <c r="R5" s="1329" t="s">
        <v>2018</v>
      </c>
      <c r="S5" s="1516" t="s">
        <v>2019</v>
      </c>
      <c r="T5" s="1266"/>
      <c r="U5" s="1266"/>
      <c r="V5" s="1266"/>
      <c r="W5" s="1266"/>
    </row>
    <row r="6" spans="1:23">
      <c r="A6" s="1517" t="s">
        <v>2020</v>
      </c>
      <c r="B6" s="1267"/>
      <c r="C6" s="1254"/>
      <c r="D6" s="1254"/>
      <c r="E6" s="1456"/>
      <c r="F6" s="1430"/>
      <c r="G6" s="1392"/>
      <c r="H6" s="1266"/>
      <c r="I6" s="1430"/>
      <c r="J6" s="1254"/>
      <c r="K6" s="1266"/>
      <c r="L6" s="1254"/>
      <c r="M6" s="1254"/>
      <c r="N6" s="1266"/>
      <c r="O6" s="1254"/>
      <c r="P6" s="1266"/>
      <c r="Q6" s="1266"/>
      <c r="R6" s="1254"/>
      <c r="S6" s="1266"/>
      <c r="T6" s="1266"/>
      <c r="U6" s="1266"/>
      <c r="V6" s="1266"/>
      <c r="W6" s="1266"/>
    </row>
    <row r="7" spans="1:23">
      <c r="A7" s="1359" t="s">
        <v>1783</v>
      </c>
      <c r="B7" s="1267" t="s">
        <v>1782</v>
      </c>
      <c r="C7" s="1453">
        <v>2482000</v>
      </c>
      <c r="D7" s="1518">
        <v>3.3020338586470716E-2</v>
      </c>
      <c r="E7" s="1519">
        <v>0.11</v>
      </c>
      <c r="F7" s="1480" t="s">
        <v>2021</v>
      </c>
      <c r="G7" s="1482">
        <v>42360</v>
      </c>
      <c r="H7" s="1482">
        <v>42309</v>
      </c>
      <c r="I7" s="1483" t="s">
        <v>210</v>
      </c>
      <c r="J7" s="1254">
        <v>-2482000</v>
      </c>
      <c r="K7" s="1471">
        <v>42487</v>
      </c>
      <c r="L7" s="1520"/>
      <c r="M7" s="1279"/>
      <c r="N7" s="1298"/>
      <c r="O7" s="1254">
        <v>0</v>
      </c>
      <c r="P7" s="1266"/>
      <c r="Q7" s="1298">
        <v>31</v>
      </c>
      <c r="R7" s="1279">
        <v>0</v>
      </c>
      <c r="S7" s="1287">
        <v>0</v>
      </c>
      <c r="T7" s="1266"/>
      <c r="U7" s="1266"/>
      <c r="V7" s="1266"/>
      <c r="W7" s="1266"/>
    </row>
    <row r="8" spans="1:23">
      <c r="A8" s="1359" t="s">
        <v>1786</v>
      </c>
      <c r="B8" s="1267"/>
      <c r="C8" s="1453">
        <v>170000</v>
      </c>
      <c r="D8" s="1518">
        <v>2.2616670264705972E-3</v>
      </c>
      <c r="E8" s="1519">
        <v>0.11</v>
      </c>
      <c r="F8" s="1480" t="s">
        <v>2021</v>
      </c>
      <c r="G8" s="1482">
        <v>42360</v>
      </c>
      <c r="H8" s="1482">
        <v>42309</v>
      </c>
      <c r="I8" s="1483" t="s">
        <v>210</v>
      </c>
      <c r="J8" s="1254">
        <v>-170000</v>
      </c>
      <c r="K8" s="1471">
        <v>42642</v>
      </c>
      <c r="L8" s="1520"/>
      <c r="M8" s="1279"/>
      <c r="N8" s="1298"/>
      <c r="O8" s="1254">
        <v>0</v>
      </c>
      <c r="P8" s="1266"/>
      <c r="Q8" s="1298">
        <v>31</v>
      </c>
      <c r="R8" s="1279">
        <v>0</v>
      </c>
      <c r="S8" s="1287">
        <v>0</v>
      </c>
      <c r="T8" s="1266"/>
      <c r="U8" s="1266"/>
      <c r="V8" s="1266"/>
      <c r="W8" s="1266"/>
    </row>
    <row r="9" spans="1:23">
      <c r="A9" s="1359" t="s">
        <v>1787</v>
      </c>
      <c r="B9" s="1267"/>
      <c r="C9" s="1453">
        <v>150000</v>
      </c>
      <c r="D9" s="1518">
        <v>1.9955885527681736E-3</v>
      </c>
      <c r="E9" s="1519">
        <v>0.11</v>
      </c>
      <c r="F9" s="1480" t="s">
        <v>2021</v>
      </c>
      <c r="G9" s="1482">
        <v>42360</v>
      </c>
      <c r="H9" s="1482">
        <v>42278</v>
      </c>
      <c r="I9" s="1483" t="s">
        <v>210</v>
      </c>
      <c r="J9" s="1254">
        <v>-150000</v>
      </c>
      <c r="K9" s="1471">
        <v>42597</v>
      </c>
      <c r="L9" s="1520"/>
      <c r="M9" s="1279"/>
      <c r="N9" s="1298"/>
      <c r="O9" s="1254">
        <v>0</v>
      </c>
      <c r="P9" s="1266"/>
      <c r="Q9" s="1298">
        <v>32</v>
      </c>
      <c r="R9" s="1279">
        <v>0</v>
      </c>
      <c r="S9" s="1287">
        <v>0</v>
      </c>
      <c r="T9" s="1266"/>
      <c r="U9" s="1266"/>
      <c r="V9" s="1266"/>
      <c r="W9" s="1266"/>
    </row>
    <row r="10" spans="1:23">
      <c r="A10" s="1359" t="s">
        <v>1788</v>
      </c>
      <c r="B10" s="1267"/>
      <c r="C10" s="1453">
        <v>170000</v>
      </c>
      <c r="D10" s="1518">
        <v>2.2616670264705972E-3</v>
      </c>
      <c r="E10" s="1519">
        <v>0.11</v>
      </c>
      <c r="F10" s="1480" t="s">
        <v>2021</v>
      </c>
      <c r="G10" s="1482">
        <v>42360</v>
      </c>
      <c r="H10" s="1482">
        <v>42278</v>
      </c>
      <c r="I10" s="1483" t="s">
        <v>210</v>
      </c>
      <c r="J10" s="1254">
        <v>-170000</v>
      </c>
      <c r="K10" s="1471">
        <v>42632</v>
      </c>
      <c r="L10" s="1520"/>
      <c r="M10" s="1279"/>
      <c r="N10" s="1298"/>
      <c r="O10" s="1254">
        <v>0</v>
      </c>
      <c r="P10" s="1266"/>
      <c r="Q10" s="1298">
        <v>32</v>
      </c>
      <c r="R10" s="1279">
        <v>0</v>
      </c>
      <c r="S10" s="1287">
        <v>0</v>
      </c>
      <c r="T10" s="1266"/>
      <c r="U10" s="1266"/>
      <c r="V10" s="1266"/>
      <c r="W10" s="1266"/>
    </row>
    <row r="11" spans="1:23">
      <c r="A11" s="1359" t="s">
        <v>1789</v>
      </c>
      <c r="B11" s="1267"/>
      <c r="C11" s="1453">
        <v>90000</v>
      </c>
      <c r="D11" s="1518">
        <v>1.1973531316609044E-3</v>
      </c>
      <c r="E11" s="1519">
        <v>0.11</v>
      </c>
      <c r="F11" s="1480" t="s">
        <v>2021</v>
      </c>
      <c r="G11" s="1482">
        <v>42360</v>
      </c>
      <c r="H11" s="1482">
        <v>42292</v>
      </c>
      <c r="I11" s="1483" t="s">
        <v>210</v>
      </c>
      <c r="J11" s="1254">
        <v>-90000</v>
      </c>
      <c r="K11" s="1471">
        <v>42643</v>
      </c>
      <c r="L11" s="1520">
        <v>-45000</v>
      </c>
      <c r="M11" s="1279">
        <v>45000</v>
      </c>
      <c r="N11" s="1471">
        <v>43028</v>
      </c>
      <c r="O11" s="1254">
        <v>0</v>
      </c>
      <c r="P11" s="1266"/>
      <c r="Q11" s="1298">
        <v>32</v>
      </c>
      <c r="R11" s="1279">
        <v>0</v>
      </c>
      <c r="S11" s="1287">
        <v>0</v>
      </c>
      <c r="T11" s="1266"/>
      <c r="U11" s="1266"/>
      <c r="V11" s="1266"/>
      <c r="W11" s="1266"/>
    </row>
    <row r="12" spans="1:23">
      <c r="A12" s="1359" t="s">
        <v>1790</v>
      </c>
      <c r="B12" s="1267"/>
      <c r="C12" s="1453">
        <v>18000</v>
      </c>
      <c r="D12" s="1518">
        <v>2.3947062633218087E-4</v>
      </c>
      <c r="E12" s="1519">
        <v>0.11</v>
      </c>
      <c r="F12" s="1480" t="s">
        <v>2021</v>
      </c>
      <c r="G12" s="1482">
        <v>42360</v>
      </c>
      <c r="H12" s="1482">
        <v>42292</v>
      </c>
      <c r="I12" s="1483" t="s">
        <v>210</v>
      </c>
      <c r="J12" s="1254">
        <v>-18000</v>
      </c>
      <c r="K12" s="1471">
        <v>42634</v>
      </c>
      <c r="L12" s="1520"/>
      <c r="M12" s="1279"/>
      <c r="N12" s="1298"/>
      <c r="O12" s="1254">
        <v>0</v>
      </c>
      <c r="P12" s="1266"/>
      <c r="Q12" s="1298">
        <v>32</v>
      </c>
      <c r="R12" s="1279">
        <v>0</v>
      </c>
      <c r="S12" s="1287">
        <v>0</v>
      </c>
      <c r="T12" s="1266"/>
      <c r="U12" s="1266"/>
      <c r="V12" s="1266"/>
      <c r="W12" s="1266"/>
    </row>
    <row r="13" spans="1:23">
      <c r="A13" s="1359" t="s">
        <v>1791</v>
      </c>
      <c r="B13" s="1267"/>
      <c r="C13" s="1453">
        <v>95000</v>
      </c>
      <c r="D13" s="1518">
        <v>1.2638727500865101E-3</v>
      </c>
      <c r="E13" s="1519">
        <v>0.11</v>
      </c>
      <c r="F13" s="1480" t="s">
        <v>2021</v>
      </c>
      <c r="G13" s="1482">
        <v>42360</v>
      </c>
      <c r="H13" s="1482">
        <v>42292</v>
      </c>
      <c r="I13" s="1483" t="s">
        <v>210</v>
      </c>
      <c r="J13" s="1254">
        <v>-95000</v>
      </c>
      <c r="K13" s="1471">
        <v>42625</v>
      </c>
      <c r="L13" s="1520"/>
      <c r="M13" s="1279"/>
      <c r="N13" s="1298"/>
      <c r="O13" s="1254">
        <v>0</v>
      </c>
      <c r="P13" s="1266"/>
      <c r="Q13" s="1298">
        <v>32</v>
      </c>
      <c r="R13" s="1279">
        <v>0</v>
      </c>
      <c r="S13" s="1287">
        <v>0</v>
      </c>
      <c r="T13" s="1266"/>
      <c r="U13" s="1266"/>
      <c r="V13" s="1266"/>
      <c r="W13" s="1266"/>
    </row>
    <row r="14" spans="1:23">
      <c r="A14" s="1359" t="s">
        <v>1792</v>
      </c>
      <c r="B14" s="1267"/>
      <c r="C14" s="1453">
        <v>85000</v>
      </c>
      <c r="D14" s="1518">
        <v>1.1308335132352986E-3</v>
      </c>
      <c r="E14" s="1519">
        <v>0.11</v>
      </c>
      <c r="F14" s="1482" t="s">
        <v>2021</v>
      </c>
      <c r="G14" s="1482">
        <v>42395</v>
      </c>
      <c r="H14" s="1482">
        <v>42339</v>
      </c>
      <c r="I14" s="1483" t="s">
        <v>210</v>
      </c>
      <c r="J14" s="1254">
        <v>-85000</v>
      </c>
      <c r="K14" s="1471">
        <v>42626</v>
      </c>
      <c r="L14" s="1520"/>
      <c r="M14" s="1279"/>
      <c r="N14" s="1298"/>
      <c r="O14" s="1254">
        <v>0</v>
      </c>
      <c r="P14" s="1266"/>
      <c r="Q14" s="1298">
        <v>30</v>
      </c>
      <c r="R14" s="1279">
        <v>0</v>
      </c>
      <c r="S14" s="1287">
        <v>0</v>
      </c>
      <c r="T14" s="1266"/>
      <c r="U14" s="1266"/>
      <c r="V14" s="1266"/>
      <c r="W14" s="1266"/>
    </row>
    <row r="15" spans="1:23">
      <c r="A15" s="1359" t="s">
        <v>1793</v>
      </c>
      <c r="B15" s="1267"/>
      <c r="C15" s="1453">
        <v>20000</v>
      </c>
      <c r="D15" s="1518">
        <v>2.660784737024232E-4</v>
      </c>
      <c r="E15" s="1519">
        <v>0.11</v>
      </c>
      <c r="F15" s="1482" t="s">
        <v>2021</v>
      </c>
      <c r="G15" s="1482">
        <v>42486</v>
      </c>
      <c r="H15" s="1482">
        <v>42478</v>
      </c>
      <c r="I15" s="1483" t="s">
        <v>210</v>
      </c>
      <c r="J15" s="1254">
        <v>-20000</v>
      </c>
      <c r="K15" s="1471">
        <v>42605</v>
      </c>
      <c r="L15" s="1520"/>
      <c r="M15" s="1279"/>
      <c r="N15" s="1298"/>
      <c r="O15" s="1254">
        <v>0</v>
      </c>
      <c r="P15" s="1266"/>
      <c r="Q15" s="1298">
        <v>26</v>
      </c>
      <c r="R15" s="1279">
        <v>0</v>
      </c>
      <c r="S15" s="1287">
        <v>0</v>
      </c>
      <c r="T15" s="1266"/>
      <c r="U15" s="1266"/>
      <c r="V15" s="1266"/>
      <c r="W15" s="1266"/>
    </row>
    <row r="16" spans="1:23">
      <c r="A16" s="1359" t="s">
        <v>1794</v>
      </c>
      <c r="B16" s="1267"/>
      <c r="C16" s="1453">
        <v>18000</v>
      </c>
      <c r="D16" s="1518">
        <v>2.3947062633218087E-4</v>
      </c>
      <c r="E16" s="1519">
        <v>0.11</v>
      </c>
      <c r="F16" s="1482" t="s">
        <v>2021</v>
      </c>
      <c r="G16" s="1482">
        <v>42549</v>
      </c>
      <c r="H16" s="1482">
        <v>42492</v>
      </c>
      <c r="I16" s="1483" t="s">
        <v>210</v>
      </c>
      <c r="J16" s="1254">
        <v>-18000</v>
      </c>
      <c r="K16" s="1471">
        <v>42635</v>
      </c>
      <c r="L16" s="1520"/>
      <c r="M16" s="1279"/>
      <c r="N16" s="1298"/>
      <c r="O16" s="1254">
        <v>0</v>
      </c>
      <c r="P16" s="1266"/>
      <c r="Q16" s="1298">
        <v>25</v>
      </c>
      <c r="R16" s="1279">
        <v>0</v>
      </c>
      <c r="S16" s="1287">
        <v>0</v>
      </c>
      <c r="T16" s="1266"/>
      <c r="U16" s="1266"/>
      <c r="V16" s="1266"/>
      <c r="W16" s="1266"/>
    </row>
    <row r="17" spans="1:23">
      <c r="A17" s="1359" t="s">
        <v>1795</v>
      </c>
      <c r="B17" s="1267"/>
      <c r="C17" s="1453">
        <v>20000</v>
      </c>
      <c r="D17" s="1518">
        <v>2.660784737024232E-4</v>
      </c>
      <c r="E17" s="1519">
        <v>0.11</v>
      </c>
      <c r="F17" s="1482" t="s">
        <v>2021</v>
      </c>
      <c r="G17" s="1482">
        <v>42549</v>
      </c>
      <c r="H17" s="1482">
        <v>42541</v>
      </c>
      <c r="I17" s="1483" t="s">
        <v>210</v>
      </c>
      <c r="J17" s="1254">
        <v>-20000</v>
      </c>
      <c r="K17" s="1471">
        <v>42628</v>
      </c>
      <c r="L17" s="1520">
        <v>-15000</v>
      </c>
      <c r="M17" s="1279">
        <v>15000</v>
      </c>
      <c r="N17" s="1471">
        <v>42915</v>
      </c>
      <c r="O17" s="1254">
        <v>0</v>
      </c>
      <c r="P17" s="1266"/>
      <c r="Q17" s="1298">
        <v>24</v>
      </c>
      <c r="R17" s="1279">
        <v>0</v>
      </c>
      <c r="S17" s="1287">
        <v>0</v>
      </c>
      <c r="T17" s="1266"/>
      <c r="U17" s="1266"/>
      <c r="V17" s="1266"/>
      <c r="W17" s="1266"/>
    </row>
    <row r="18" spans="1:23">
      <c r="A18" s="1359" t="s">
        <v>1796</v>
      </c>
      <c r="B18" s="1267"/>
      <c r="C18" s="1453">
        <v>25000</v>
      </c>
      <c r="D18" s="1518">
        <v>3.3259809212802898E-4</v>
      </c>
      <c r="E18" s="1519">
        <v>0.11</v>
      </c>
      <c r="F18" s="1482" t="s">
        <v>2021</v>
      </c>
      <c r="G18" s="1482">
        <v>42549</v>
      </c>
      <c r="H18" s="1482">
        <v>42522</v>
      </c>
      <c r="I18" s="1483" t="s">
        <v>210</v>
      </c>
      <c r="J18" s="1254">
        <v>-25000</v>
      </c>
      <c r="K18" s="1471">
        <v>42692</v>
      </c>
      <c r="L18" s="1520"/>
      <c r="M18" s="1279"/>
      <c r="N18" s="1298"/>
      <c r="O18" s="1254">
        <v>0</v>
      </c>
      <c r="P18" s="1266"/>
      <c r="Q18" s="1298">
        <v>24</v>
      </c>
      <c r="R18" s="1279">
        <v>0</v>
      </c>
      <c r="S18" s="1287">
        <v>0</v>
      </c>
      <c r="T18" s="1521"/>
      <c r="U18" s="1266"/>
      <c r="V18" s="1266"/>
      <c r="W18" s="1266"/>
    </row>
    <row r="19" spans="1:23">
      <c r="A19" s="1359" t="s">
        <v>1797</v>
      </c>
      <c r="B19" s="1267"/>
      <c r="C19" s="1453">
        <v>2000</v>
      </c>
      <c r="D19" s="1518">
        <v>2.6607847370242318E-5</v>
      </c>
      <c r="E19" s="1519">
        <v>0.11</v>
      </c>
      <c r="F19" s="1482" t="s">
        <v>2021</v>
      </c>
      <c r="G19" s="1482">
        <v>42549</v>
      </c>
      <c r="H19" s="1482">
        <v>42522</v>
      </c>
      <c r="I19" s="1483" t="s">
        <v>210</v>
      </c>
      <c r="J19" s="1254"/>
      <c r="K19" s="1471"/>
      <c r="L19" s="1520">
        <v>-2000</v>
      </c>
      <c r="M19" s="1279"/>
      <c r="N19" s="1471">
        <v>42565</v>
      </c>
      <c r="O19" s="1254">
        <v>0</v>
      </c>
      <c r="P19" s="1266"/>
      <c r="Q19" s="1298">
        <v>24</v>
      </c>
      <c r="R19" s="1279">
        <v>0</v>
      </c>
      <c r="S19" s="1287">
        <v>0</v>
      </c>
      <c r="T19" s="1266"/>
      <c r="U19" s="1266"/>
      <c r="V19" s="1266"/>
      <c r="W19" s="1266"/>
    </row>
    <row r="20" spans="1:23">
      <c r="A20" s="1359" t="s">
        <v>1798</v>
      </c>
      <c r="B20" s="1267"/>
      <c r="C20" s="1453">
        <v>20000</v>
      </c>
      <c r="D20" s="1518">
        <v>2.660784737024232E-4</v>
      </c>
      <c r="E20" s="1519">
        <v>0.11</v>
      </c>
      <c r="F20" s="1482" t="s">
        <v>2021</v>
      </c>
      <c r="G20" s="1482">
        <v>42549</v>
      </c>
      <c r="H20" s="1482">
        <v>42548</v>
      </c>
      <c r="I20" s="1483" t="s">
        <v>210</v>
      </c>
      <c r="J20" s="1254">
        <v>-20000</v>
      </c>
      <c r="K20" s="1471">
        <v>42640</v>
      </c>
      <c r="L20" s="1520"/>
      <c r="M20" s="1279"/>
      <c r="N20" s="1298"/>
      <c r="O20" s="1254">
        <v>0</v>
      </c>
      <c r="P20" s="1266"/>
      <c r="Q20" s="1298">
        <v>24</v>
      </c>
      <c r="R20" s="1279">
        <v>0</v>
      </c>
      <c r="S20" s="1287">
        <v>0</v>
      </c>
      <c r="T20" s="1266"/>
      <c r="U20" s="1266"/>
      <c r="V20" s="1266"/>
      <c r="W20" s="1266"/>
    </row>
    <row r="21" spans="1:23">
      <c r="A21" s="1359" t="s">
        <v>1799</v>
      </c>
      <c r="B21" s="1267"/>
      <c r="C21" s="1453">
        <v>85000</v>
      </c>
      <c r="D21" s="1518">
        <v>1.1308335132352986E-3</v>
      </c>
      <c r="E21" s="1519">
        <v>0.11</v>
      </c>
      <c r="F21" s="1482" t="s">
        <v>2021</v>
      </c>
      <c r="G21" s="1482">
        <v>42627</v>
      </c>
      <c r="H21" s="1482">
        <v>42556</v>
      </c>
      <c r="I21" s="1483" t="s">
        <v>210</v>
      </c>
      <c r="J21" s="1254">
        <v>-85000</v>
      </c>
      <c r="K21" s="1471">
        <v>42628</v>
      </c>
      <c r="L21" s="1520"/>
      <c r="M21" s="1279"/>
      <c r="N21" s="1298"/>
      <c r="O21" s="1254">
        <v>0</v>
      </c>
      <c r="P21" s="1266"/>
      <c r="Q21" s="1298">
        <v>23</v>
      </c>
      <c r="R21" s="1279">
        <v>0</v>
      </c>
      <c r="S21" s="1287">
        <v>0</v>
      </c>
      <c r="T21" s="1266"/>
      <c r="U21" s="1266"/>
      <c r="V21" s="1266"/>
      <c r="W21" s="1266"/>
    </row>
    <row r="22" spans="1:23">
      <c r="A22" s="1359" t="s">
        <v>1800</v>
      </c>
      <c r="B22" s="1267"/>
      <c r="C22" s="1453">
        <v>300000</v>
      </c>
      <c r="D22" s="1518">
        <v>3.9911771055363473E-3</v>
      </c>
      <c r="E22" s="1519">
        <v>0.11</v>
      </c>
      <c r="F22" s="1482" t="s">
        <v>2021</v>
      </c>
      <c r="G22" s="1482">
        <v>42627</v>
      </c>
      <c r="H22" s="1482">
        <v>42556</v>
      </c>
      <c r="I22" s="1483" t="s">
        <v>210</v>
      </c>
      <c r="J22" s="1254">
        <v>-300000</v>
      </c>
      <c r="K22" s="1471">
        <v>42639</v>
      </c>
      <c r="L22" s="1520"/>
      <c r="M22" s="1279"/>
      <c r="N22" s="1298"/>
      <c r="O22" s="1254">
        <v>0</v>
      </c>
      <c r="P22" s="1266"/>
      <c r="Q22" s="1298">
        <v>23</v>
      </c>
      <c r="R22" s="1279">
        <v>0</v>
      </c>
      <c r="S22" s="1287">
        <v>0</v>
      </c>
      <c r="T22" s="1266"/>
      <c r="U22" s="1266"/>
      <c r="V22" s="1266"/>
      <c r="W22" s="1266"/>
    </row>
    <row r="23" spans="1:23">
      <c r="A23" s="1359" t="s">
        <v>1801</v>
      </c>
      <c r="B23" s="1267"/>
      <c r="C23" s="1453">
        <v>85000</v>
      </c>
      <c r="D23" s="1518">
        <v>1.1308335132352986E-3</v>
      </c>
      <c r="E23" s="1519">
        <v>0.11</v>
      </c>
      <c r="F23" s="1482" t="s">
        <v>2021</v>
      </c>
      <c r="G23" s="1482">
        <v>42627</v>
      </c>
      <c r="H23" s="1482">
        <v>42576</v>
      </c>
      <c r="I23" s="1483" t="s">
        <v>210</v>
      </c>
      <c r="J23" s="1254">
        <v>-85000</v>
      </c>
      <c r="K23" s="1471">
        <v>42628</v>
      </c>
      <c r="L23" s="1520"/>
      <c r="M23" s="1279"/>
      <c r="N23" s="1298"/>
      <c r="O23" s="1254">
        <v>0</v>
      </c>
      <c r="P23" s="1266"/>
      <c r="Q23" s="1298">
        <v>23</v>
      </c>
      <c r="R23" s="1279">
        <v>0</v>
      </c>
      <c r="S23" s="1287">
        <v>0</v>
      </c>
      <c r="T23" s="1266"/>
      <c r="U23" s="1266"/>
      <c r="V23" s="1266"/>
      <c r="W23" s="1266"/>
    </row>
    <row r="24" spans="1:23">
      <c r="A24" s="1359" t="s">
        <v>1802</v>
      </c>
      <c r="B24" s="1267"/>
      <c r="C24" s="1453">
        <v>95000</v>
      </c>
      <c r="D24" s="1518">
        <v>1.2638727500865101E-3</v>
      </c>
      <c r="E24" s="1519">
        <v>0.11</v>
      </c>
      <c r="F24" s="1482" t="s">
        <v>2021</v>
      </c>
      <c r="G24" s="1482">
        <v>42627</v>
      </c>
      <c r="H24" s="1482">
        <v>42614</v>
      </c>
      <c r="I24" s="1483" t="s">
        <v>210</v>
      </c>
      <c r="J24" s="1254">
        <v>-95000</v>
      </c>
      <c r="K24" s="1471">
        <v>42640</v>
      </c>
      <c r="L24" s="1520"/>
      <c r="M24" s="1279"/>
      <c r="N24" s="1298"/>
      <c r="O24" s="1254">
        <v>0</v>
      </c>
      <c r="P24" s="1266"/>
      <c r="Q24" s="1298">
        <v>21</v>
      </c>
      <c r="R24" s="1279">
        <v>0</v>
      </c>
      <c r="S24" s="1287">
        <v>0</v>
      </c>
      <c r="T24" s="1266"/>
      <c r="U24" s="1266"/>
      <c r="V24" s="1266"/>
      <c r="W24" s="1266"/>
    </row>
    <row r="25" spans="1:23">
      <c r="A25" s="1359" t="s">
        <v>1803</v>
      </c>
      <c r="B25" s="1267"/>
      <c r="C25" s="1453">
        <v>90000</v>
      </c>
      <c r="D25" s="1518">
        <v>1.1973531316609044E-3</v>
      </c>
      <c r="E25" s="1519">
        <v>0.11</v>
      </c>
      <c r="F25" s="1482" t="s">
        <v>2021</v>
      </c>
      <c r="G25" s="1482">
        <v>42627</v>
      </c>
      <c r="H25" s="1482">
        <v>42619</v>
      </c>
      <c r="I25" s="1483" t="s">
        <v>210</v>
      </c>
      <c r="J25" s="1254">
        <v>-90000</v>
      </c>
      <c r="K25" s="1471">
        <v>42639</v>
      </c>
      <c r="L25" s="1520"/>
      <c r="M25" s="1279"/>
      <c r="N25" s="1298"/>
      <c r="O25" s="1254">
        <v>0</v>
      </c>
      <c r="P25" s="1266"/>
      <c r="Q25" s="1298">
        <v>21</v>
      </c>
      <c r="R25" s="1279">
        <v>0</v>
      </c>
      <c r="S25" s="1287">
        <v>0</v>
      </c>
      <c r="T25" s="1266"/>
      <c r="U25" s="1266"/>
      <c r="V25" s="1266"/>
      <c r="W25" s="1266"/>
    </row>
    <row r="26" spans="1:23">
      <c r="A26" s="1359" t="s">
        <v>1804</v>
      </c>
      <c r="B26" s="1267"/>
      <c r="C26" s="1453">
        <v>30000</v>
      </c>
      <c r="D26" s="1518">
        <v>3.9911771055363475E-4</v>
      </c>
      <c r="E26" s="1519">
        <v>0.13</v>
      </c>
      <c r="F26" s="1482" t="s">
        <v>2021</v>
      </c>
      <c r="G26" s="1482">
        <v>42762</v>
      </c>
      <c r="H26" s="1482">
        <v>42648</v>
      </c>
      <c r="I26" s="1483" t="s">
        <v>246</v>
      </c>
      <c r="J26" s="1254">
        <v>-30000</v>
      </c>
      <c r="K26" s="1471">
        <v>42898</v>
      </c>
      <c r="L26" s="1520">
        <v>-16875</v>
      </c>
      <c r="M26" s="1279">
        <v>16875</v>
      </c>
      <c r="N26" s="1471">
        <v>43105</v>
      </c>
      <c r="O26" s="1254">
        <v>0</v>
      </c>
      <c r="P26" s="1266"/>
      <c r="Q26" s="1298">
        <v>20</v>
      </c>
      <c r="R26" s="1279">
        <v>0</v>
      </c>
      <c r="S26" s="1460">
        <v>0</v>
      </c>
      <c r="T26" s="1403"/>
      <c r="U26" s="1521"/>
      <c r="V26" s="1287"/>
      <c r="W26" s="1266"/>
    </row>
    <row r="27" spans="1:23">
      <c r="A27" s="1359" t="s">
        <v>1805</v>
      </c>
      <c r="B27" s="1267"/>
      <c r="C27" s="1453">
        <v>450000</v>
      </c>
      <c r="D27" s="1518">
        <v>5.9867656583045218E-3</v>
      </c>
      <c r="E27" s="1519">
        <v>0.13</v>
      </c>
      <c r="F27" s="1482" t="s">
        <v>2021</v>
      </c>
      <c r="G27" s="1482">
        <v>42762</v>
      </c>
      <c r="H27" s="1482">
        <v>42660</v>
      </c>
      <c r="I27" s="1483" t="s">
        <v>210</v>
      </c>
      <c r="J27" s="1254">
        <v>-450000</v>
      </c>
      <c r="K27" s="1471">
        <v>42984</v>
      </c>
      <c r="L27" s="1520"/>
      <c r="M27" s="1279"/>
      <c r="N27" s="1298"/>
      <c r="O27" s="1254">
        <v>0</v>
      </c>
      <c r="P27" s="1266"/>
      <c r="Q27" s="1298">
        <v>20</v>
      </c>
      <c r="R27" s="1279">
        <v>0</v>
      </c>
      <c r="S27" s="1287">
        <v>0</v>
      </c>
      <c r="T27" s="1266"/>
      <c r="U27" s="1287"/>
      <c r="V27" s="1287"/>
      <c r="W27" s="1266"/>
    </row>
    <row r="28" spans="1:23">
      <c r="A28" s="1359" t="s">
        <v>1806</v>
      </c>
      <c r="B28" s="1267"/>
      <c r="C28" s="1453">
        <v>85000</v>
      </c>
      <c r="D28" s="1518">
        <v>1.1308335132352986E-3</v>
      </c>
      <c r="E28" s="1519">
        <v>0.13</v>
      </c>
      <c r="F28" s="1482" t="s">
        <v>2021</v>
      </c>
      <c r="G28" s="1482">
        <v>42762</v>
      </c>
      <c r="H28" s="1482">
        <v>42660</v>
      </c>
      <c r="I28" s="1483" t="s">
        <v>210</v>
      </c>
      <c r="J28" s="1279">
        <v>-85000</v>
      </c>
      <c r="K28" s="1471">
        <v>43067</v>
      </c>
      <c r="L28" s="1520"/>
      <c r="M28" s="1279"/>
      <c r="N28" s="1298"/>
      <c r="O28" s="1254">
        <v>0</v>
      </c>
      <c r="P28" s="1266"/>
      <c r="Q28" s="1298">
        <v>20</v>
      </c>
      <c r="R28" s="1279">
        <v>0</v>
      </c>
      <c r="S28" s="1287">
        <v>0</v>
      </c>
      <c r="T28" s="1266"/>
      <c r="U28" s="1266"/>
      <c r="V28" s="1266"/>
      <c r="W28" s="1266"/>
    </row>
    <row r="29" spans="1:23">
      <c r="A29" s="1359" t="s">
        <v>1807</v>
      </c>
      <c r="B29" s="1267"/>
      <c r="C29" s="1453">
        <v>220000</v>
      </c>
      <c r="D29" s="1518">
        <v>2.9268632107266549E-3</v>
      </c>
      <c r="E29" s="1519">
        <v>0.13</v>
      </c>
      <c r="F29" s="1482" t="s">
        <v>2021</v>
      </c>
      <c r="G29" s="1482">
        <v>42762</v>
      </c>
      <c r="H29" s="1482">
        <v>42674</v>
      </c>
      <c r="I29" s="1483" t="s">
        <v>210</v>
      </c>
      <c r="J29" s="1279">
        <v>-153846</v>
      </c>
      <c r="K29" s="1471">
        <v>43059</v>
      </c>
      <c r="L29" s="1520"/>
      <c r="M29" s="1279"/>
      <c r="N29" s="1298"/>
      <c r="O29" s="1254">
        <v>66154</v>
      </c>
      <c r="P29" s="1266"/>
      <c r="Q29" s="1298">
        <v>19</v>
      </c>
      <c r="R29" s="1279">
        <v>26185</v>
      </c>
      <c r="S29" s="1287">
        <v>39969</v>
      </c>
      <c r="T29" s="1266"/>
      <c r="U29" s="1521"/>
      <c r="V29" s="1266"/>
      <c r="W29" s="1266"/>
    </row>
    <row r="30" spans="1:23">
      <c r="A30" s="1359" t="s">
        <v>1808</v>
      </c>
      <c r="B30" s="1267"/>
      <c r="C30" s="1453">
        <v>50000</v>
      </c>
      <c r="D30" s="1518">
        <v>6.6519618425605795E-4</v>
      </c>
      <c r="E30" s="1519">
        <v>0.13</v>
      </c>
      <c r="F30" s="1482" t="s">
        <v>2021</v>
      </c>
      <c r="G30" s="1482">
        <v>42762</v>
      </c>
      <c r="H30" s="1482">
        <v>42695</v>
      </c>
      <c r="I30" s="1483" t="s">
        <v>210</v>
      </c>
      <c r="J30" s="1279">
        <v>-50000</v>
      </c>
      <c r="K30" s="1471">
        <v>42800</v>
      </c>
      <c r="L30" s="1520"/>
      <c r="M30" s="1279"/>
      <c r="N30" s="1298"/>
      <c r="O30" s="1254">
        <v>0</v>
      </c>
      <c r="P30" s="1266"/>
      <c r="Q30" s="1298">
        <v>19</v>
      </c>
      <c r="R30" s="1279">
        <v>0</v>
      </c>
      <c r="S30" s="1287">
        <v>0</v>
      </c>
      <c r="T30" s="1266"/>
      <c r="U30" s="1266"/>
      <c r="V30" s="1266"/>
      <c r="W30" s="1266"/>
    </row>
    <row r="31" spans="1:23">
      <c r="A31" s="1359" t="s">
        <v>1809</v>
      </c>
      <c r="B31" s="1267"/>
      <c r="C31" s="1453">
        <v>18000</v>
      </c>
      <c r="D31" s="1518">
        <v>2.3947062633218087E-4</v>
      </c>
      <c r="E31" s="1519">
        <v>0.13</v>
      </c>
      <c r="F31" s="1482" t="s">
        <v>2021</v>
      </c>
      <c r="G31" s="1482">
        <v>42762</v>
      </c>
      <c r="H31" s="1482">
        <v>42709</v>
      </c>
      <c r="I31" s="1483" t="s">
        <v>210</v>
      </c>
      <c r="J31" s="1279">
        <v>-6750</v>
      </c>
      <c r="K31" s="1471">
        <v>43046</v>
      </c>
      <c r="L31" s="1520"/>
      <c r="M31" s="1279"/>
      <c r="N31" s="1298"/>
      <c r="O31" s="1254">
        <v>11250</v>
      </c>
      <c r="P31" s="1266"/>
      <c r="Q31" s="1298">
        <v>18</v>
      </c>
      <c r="R31" s="1279">
        <v>4218</v>
      </c>
      <c r="S31" s="1287">
        <v>7032</v>
      </c>
      <c r="T31" s="1266"/>
      <c r="U31" s="1266"/>
      <c r="V31" s="1266"/>
      <c r="W31" s="1266"/>
    </row>
    <row r="32" spans="1:23">
      <c r="A32" s="1359" t="s">
        <v>1810</v>
      </c>
      <c r="B32" s="1267"/>
      <c r="C32" s="1453">
        <v>90000</v>
      </c>
      <c r="D32" s="1518">
        <v>1.1973531316609044E-3</v>
      </c>
      <c r="E32" s="1519">
        <v>0.13</v>
      </c>
      <c r="F32" s="1482" t="s">
        <v>2021</v>
      </c>
      <c r="G32" s="1482">
        <v>42762</v>
      </c>
      <c r="H32" s="1482">
        <v>42716</v>
      </c>
      <c r="I32" s="1483" t="s">
        <v>210</v>
      </c>
      <c r="J32" s="1279">
        <v>-90000</v>
      </c>
      <c r="K32" s="1471">
        <v>43041</v>
      </c>
      <c r="L32" s="1520">
        <v>-61875</v>
      </c>
      <c r="M32" s="1279">
        <v>61875</v>
      </c>
      <c r="N32" s="1471">
        <v>43185</v>
      </c>
      <c r="O32" s="1254">
        <v>0</v>
      </c>
      <c r="P32" s="1266"/>
      <c r="Q32" s="1298">
        <v>18</v>
      </c>
      <c r="R32" s="1279">
        <v>0</v>
      </c>
      <c r="S32" s="1287">
        <v>0</v>
      </c>
      <c r="T32" s="1266"/>
      <c r="U32" s="1266"/>
      <c r="V32" s="1266"/>
      <c r="W32" s="1266"/>
    </row>
    <row r="33" spans="1:19">
      <c r="A33" s="1359" t="s">
        <v>1811</v>
      </c>
      <c r="C33" s="1453">
        <v>25000</v>
      </c>
      <c r="D33" s="1518">
        <v>3.3259809212802898E-4</v>
      </c>
      <c r="E33" s="1519">
        <v>0.13</v>
      </c>
      <c r="F33" s="1482" t="s">
        <v>2021</v>
      </c>
      <c r="G33" s="1482">
        <v>42762</v>
      </c>
      <c r="H33" s="1482">
        <v>42716</v>
      </c>
      <c r="I33" s="1483" t="s">
        <v>210</v>
      </c>
      <c r="J33" s="1254">
        <v>-25000</v>
      </c>
      <c r="K33" s="1471">
        <v>42810</v>
      </c>
      <c r="O33" s="1254">
        <v>0</v>
      </c>
      <c r="Q33" s="1298">
        <v>18</v>
      </c>
      <c r="R33" s="1279">
        <v>0</v>
      </c>
      <c r="S33" s="1287">
        <v>0</v>
      </c>
    </row>
    <row r="34" spans="1:19">
      <c r="A34" s="1359" t="s">
        <v>1812</v>
      </c>
      <c r="C34" s="1453">
        <v>20000</v>
      </c>
      <c r="D34" s="1518">
        <v>2.660784737024232E-4</v>
      </c>
      <c r="E34" s="1519">
        <v>0.13</v>
      </c>
      <c r="F34" s="1482" t="s">
        <v>2021</v>
      </c>
      <c r="G34" s="1482">
        <v>42762</v>
      </c>
      <c r="H34" s="1482">
        <v>42716</v>
      </c>
      <c r="I34" s="1483" t="s">
        <v>210</v>
      </c>
      <c r="J34" s="1254"/>
      <c r="K34" s="1471"/>
      <c r="O34" s="1254">
        <v>20000</v>
      </c>
      <c r="Q34" s="1298">
        <v>18</v>
      </c>
      <c r="R34" s="1279">
        <v>7500</v>
      </c>
      <c r="S34" s="1287">
        <v>12500</v>
      </c>
    </row>
    <row r="35" spans="1:19">
      <c r="A35" s="1359" t="s">
        <v>1813</v>
      </c>
      <c r="C35" s="1453">
        <v>25000</v>
      </c>
      <c r="D35" s="1518">
        <v>3.3259809212802898E-4</v>
      </c>
      <c r="E35" s="1519">
        <v>0.13</v>
      </c>
      <c r="F35" s="1482" t="s">
        <v>2021</v>
      </c>
      <c r="G35" s="1482">
        <v>42762</v>
      </c>
      <c r="H35" s="1482">
        <v>42758</v>
      </c>
      <c r="I35" s="1483" t="s">
        <v>210</v>
      </c>
      <c r="J35" s="1254">
        <v>-25000</v>
      </c>
      <c r="K35" s="1471">
        <v>43006</v>
      </c>
      <c r="O35" s="1254">
        <v>0</v>
      </c>
      <c r="Q35" s="1298">
        <v>17</v>
      </c>
      <c r="R35" s="1279">
        <v>0</v>
      </c>
      <c r="S35" s="1287">
        <v>0</v>
      </c>
    </row>
    <row r="36" spans="1:19">
      <c r="A36" s="1359" t="s">
        <v>1814</v>
      </c>
      <c r="C36" s="1453">
        <v>50000</v>
      </c>
      <c r="D36" s="1518">
        <v>6.6519618425605795E-4</v>
      </c>
      <c r="E36" s="1519">
        <v>0.13</v>
      </c>
      <c r="F36" s="1482" t="s">
        <v>2021</v>
      </c>
      <c r="G36" s="1482">
        <v>42811</v>
      </c>
      <c r="H36" s="1482">
        <v>42772</v>
      </c>
      <c r="I36" s="1483" t="s">
        <v>210</v>
      </c>
      <c r="J36" s="1254"/>
      <c r="K36" s="1471"/>
      <c r="O36" s="1254">
        <v>50000</v>
      </c>
      <c r="Q36" s="1298">
        <v>16</v>
      </c>
      <c r="R36" s="1279">
        <v>16666</v>
      </c>
      <c r="S36" s="1287">
        <v>33334</v>
      </c>
    </row>
    <row r="37" spans="1:19" s="1361" customFormat="1">
      <c r="A37" s="1359" t="s">
        <v>1815</v>
      </c>
      <c r="B37" s="1313"/>
      <c r="C37" s="1453">
        <v>21000</v>
      </c>
      <c r="D37" s="1518">
        <v>2.7938239738754431E-4</v>
      </c>
      <c r="E37" s="1519">
        <v>0.13</v>
      </c>
      <c r="F37" s="1482" t="s">
        <v>2021</v>
      </c>
      <c r="G37" s="1482">
        <v>42811</v>
      </c>
      <c r="H37" s="1482">
        <v>42793</v>
      </c>
      <c r="I37" s="1483" t="s">
        <v>210</v>
      </c>
      <c r="J37" s="1279">
        <v>-21000</v>
      </c>
      <c r="K37" s="1471">
        <v>42915</v>
      </c>
      <c r="L37" s="1522"/>
      <c r="M37" s="1522"/>
      <c r="O37" s="1254">
        <v>0</v>
      </c>
      <c r="Q37" s="1298">
        <v>16</v>
      </c>
      <c r="R37" s="1279">
        <v>0</v>
      </c>
      <c r="S37" s="1460">
        <v>0</v>
      </c>
    </row>
    <row r="38" spans="1:19">
      <c r="A38" s="1359" t="s">
        <v>1816</v>
      </c>
      <c r="C38" s="1453">
        <v>220000</v>
      </c>
      <c r="D38" s="1518">
        <v>2.9268632107266549E-3</v>
      </c>
      <c r="E38" s="1519">
        <v>0.13</v>
      </c>
      <c r="F38" s="1482" t="s">
        <v>2021</v>
      </c>
      <c r="G38" s="1482">
        <v>42914</v>
      </c>
      <c r="H38" s="1482">
        <v>42815</v>
      </c>
      <c r="I38" s="1483" t="s">
        <v>210</v>
      </c>
      <c r="J38" s="1279">
        <v>-220000</v>
      </c>
      <c r="K38" s="1471">
        <v>43055</v>
      </c>
      <c r="O38" s="1254">
        <v>0</v>
      </c>
      <c r="Q38" s="1298">
        <v>15</v>
      </c>
      <c r="R38" s="1279">
        <v>0</v>
      </c>
      <c r="S38" s="1287">
        <v>0</v>
      </c>
    </row>
    <row r="39" spans="1:19">
      <c r="A39" s="1359" t="s">
        <v>1817</v>
      </c>
      <c r="C39" s="1453">
        <v>50000</v>
      </c>
      <c r="D39" s="1518">
        <v>6.6519618425605795E-4</v>
      </c>
      <c r="E39" s="1519">
        <v>0.13</v>
      </c>
      <c r="F39" s="1482" t="s">
        <v>2021</v>
      </c>
      <c r="G39" s="1482">
        <v>42914</v>
      </c>
      <c r="H39" s="1482">
        <v>42821</v>
      </c>
      <c r="I39" s="1483" t="s">
        <v>210</v>
      </c>
      <c r="J39" s="1254">
        <v>-50000</v>
      </c>
      <c r="K39" s="1471">
        <v>43008</v>
      </c>
      <c r="O39" s="1254">
        <v>0</v>
      </c>
      <c r="Q39" s="1298">
        <v>15</v>
      </c>
      <c r="R39" s="1279">
        <v>0</v>
      </c>
      <c r="S39" s="1287">
        <v>0</v>
      </c>
    </row>
    <row r="40" spans="1:19">
      <c r="A40" s="1359" t="s">
        <v>1818</v>
      </c>
      <c r="C40" s="1453">
        <v>105000</v>
      </c>
      <c r="D40" s="1518">
        <v>1.3969119869377217E-3</v>
      </c>
      <c r="E40" s="1519">
        <v>0.13</v>
      </c>
      <c r="F40" s="1482" t="s">
        <v>2021</v>
      </c>
      <c r="G40" s="1482">
        <v>42914</v>
      </c>
      <c r="H40" s="1482">
        <v>42828</v>
      </c>
      <c r="I40" s="1483" t="s">
        <v>210</v>
      </c>
      <c r="J40" s="1254"/>
      <c r="K40" s="1471"/>
      <c r="O40" s="1254">
        <v>105000</v>
      </c>
      <c r="Q40" s="1298">
        <v>14</v>
      </c>
      <c r="R40" s="1279">
        <v>30625</v>
      </c>
      <c r="S40" s="1287">
        <v>74375</v>
      </c>
    </row>
    <row r="41" spans="1:19">
      <c r="A41" s="1359" t="s">
        <v>1819</v>
      </c>
      <c r="C41" s="1453">
        <v>21000</v>
      </c>
      <c r="D41" s="1518">
        <v>2.7938239738754431E-4</v>
      </c>
      <c r="E41" s="1519">
        <v>0.13</v>
      </c>
      <c r="F41" s="1482" t="s">
        <v>2021</v>
      </c>
      <c r="G41" s="1482">
        <v>42914</v>
      </c>
      <c r="H41" s="1482">
        <v>42842</v>
      </c>
      <c r="I41" s="1483" t="s">
        <v>210</v>
      </c>
      <c r="J41" s="1279">
        <v>-21000</v>
      </c>
      <c r="K41" s="1471">
        <v>43056</v>
      </c>
      <c r="O41" s="1254">
        <v>0</v>
      </c>
      <c r="Q41" s="1298">
        <v>14</v>
      </c>
      <c r="R41" s="1279">
        <v>0</v>
      </c>
      <c r="S41" s="1287">
        <v>0</v>
      </c>
    </row>
    <row r="42" spans="1:19">
      <c r="A42" s="1359" t="s">
        <v>1820</v>
      </c>
      <c r="C42" s="1453">
        <v>21000</v>
      </c>
      <c r="D42" s="1518">
        <v>2.7938239738754431E-4</v>
      </c>
      <c r="E42" s="1519">
        <v>0.13</v>
      </c>
      <c r="F42" s="1482" t="s">
        <v>2021</v>
      </c>
      <c r="G42" s="1482">
        <v>42914</v>
      </c>
      <c r="H42" s="1482">
        <v>42873</v>
      </c>
      <c r="I42" s="1483" t="s">
        <v>210</v>
      </c>
      <c r="J42" s="1254"/>
      <c r="K42" s="1471"/>
      <c r="O42" s="1254">
        <v>21000</v>
      </c>
      <c r="Q42" s="1298">
        <v>13</v>
      </c>
      <c r="R42" s="1279">
        <v>5687</v>
      </c>
      <c r="S42" s="1287">
        <v>15313</v>
      </c>
    </row>
    <row r="43" spans="1:19">
      <c r="A43" s="1359" t="s">
        <v>1821</v>
      </c>
      <c r="C43" s="1453">
        <v>20000</v>
      </c>
      <c r="D43" s="1518">
        <v>2.660784737024232E-4</v>
      </c>
      <c r="E43" s="1519">
        <v>0.13</v>
      </c>
      <c r="F43" s="1482" t="s">
        <v>2021</v>
      </c>
      <c r="G43" s="1482">
        <v>42914</v>
      </c>
      <c r="H43" s="1482">
        <v>42912</v>
      </c>
      <c r="I43" s="1483" t="s">
        <v>210</v>
      </c>
      <c r="J43" s="1254"/>
      <c r="K43" s="1471"/>
      <c r="O43" s="1254">
        <v>20000</v>
      </c>
      <c r="Q43" s="1298">
        <v>12</v>
      </c>
      <c r="R43" s="1279">
        <v>5000</v>
      </c>
      <c r="S43" s="1287">
        <v>15000</v>
      </c>
    </row>
    <row r="44" spans="1:19">
      <c r="A44" s="1359" t="s">
        <v>1822</v>
      </c>
      <c r="C44" s="1453">
        <v>18000</v>
      </c>
      <c r="D44" s="1518">
        <v>2.9045281594005051E-4</v>
      </c>
      <c r="E44" s="1519">
        <v>0.13</v>
      </c>
      <c r="F44" s="1482" t="s">
        <v>2021</v>
      </c>
      <c r="G44" s="1482">
        <v>42985</v>
      </c>
      <c r="H44" s="1482">
        <v>42926</v>
      </c>
      <c r="I44" s="1483" t="s">
        <v>210</v>
      </c>
      <c r="J44" s="1254"/>
      <c r="K44" s="1471"/>
      <c r="O44" s="1254">
        <v>18000</v>
      </c>
      <c r="Q44" s="1298">
        <v>11</v>
      </c>
      <c r="R44" s="1279">
        <v>0</v>
      </c>
      <c r="S44" s="1287">
        <v>18000</v>
      </c>
    </row>
    <row r="45" spans="1:19">
      <c r="A45" s="1359" t="s">
        <v>1823</v>
      </c>
      <c r="C45" s="1453">
        <v>80000</v>
      </c>
      <c r="D45" s="1518">
        <v>1.2909014041780024E-3</v>
      </c>
      <c r="E45" s="1519">
        <v>0.13</v>
      </c>
      <c r="F45" s="1482" t="s">
        <v>2021</v>
      </c>
      <c r="G45" s="1482">
        <v>42985</v>
      </c>
      <c r="H45" s="1482">
        <v>42933</v>
      </c>
      <c r="I45" s="1483" t="s">
        <v>210</v>
      </c>
      <c r="J45" s="1254"/>
      <c r="K45" s="1471"/>
      <c r="O45" s="1254">
        <v>80000</v>
      </c>
      <c r="Q45" s="1298">
        <v>11</v>
      </c>
      <c r="R45" s="1279">
        <v>0</v>
      </c>
      <c r="S45" s="1287">
        <v>80000</v>
      </c>
    </row>
    <row r="46" spans="1:19">
      <c r="A46" s="1359" t="s">
        <v>1824</v>
      </c>
      <c r="C46" s="1453">
        <v>18000</v>
      </c>
      <c r="D46" s="1518">
        <v>2.9045281594005051E-4</v>
      </c>
      <c r="E46" s="1519">
        <v>0.13</v>
      </c>
      <c r="F46" s="1482" t="s">
        <v>2021</v>
      </c>
      <c r="G46" s="1482">
        <v>42985</v>
      </c>
      <c r="H46" s="1482">
        <v>42947</v>
      </c>
      <c r="I46" s="1483" t="s">
        <v>210</v>
      </c>
      <c r="J46" s="1254">
        <v>-18000</v>
      </c>
      <c r="K46" s="1471">
        <v>43004</v>
      </c>
      <c r="O46" s="1254">
        <v>0</v>
      </c>
      <c r="Q46" s="1298">
        <v>10</v>
      </c>
      <c r="R46" s="1279">
        <v>0</v>
      </c>
      <c r="S46" s="1287">
        <v>0</v>
      </c>
    </row>
    <row r="47" spans="1:19">
      <c r="A47" s="1359" t="s">
        <v>1825</v>
      </c>
      <c r="C47" s="1453">
        <v>18000</v>
      </c>
      <c r="D47" s="1518">
        <v>2.9045281594005051E-4</v>
      </c>
      <c r="E47" s="1519">
        <v>0.13</v>
      </c>
      <c r="F47" s="1482" t="s">
        <v>2021</v>
      </c>
      <c r="G47" s="1482">
        <v>42985</v>
      </c>
      <c r="H47" s="1482">
        <v>42961</v>
      </c>
      <c r="I47" s="1483" t="s">
        <v>210</v>
      </c>
      <c r="J47" s="1254"/>
      <c r="K47" s="1471"/>
      <c r="O47" s="1254">
        <v>18000</v>
      </c>
      <c r="Q47" s="1298">
        <v>10</v>
      </c>
      <c r="R47" s="1279">
        <v>0</v>
      </c>
      <c r="S47" s="1287">
        <v>18000</v>
      </c>
    </row>
    <row r="48" spans="1:19">
      <c r="A48" s="1359" t="s">
        <v>1826</v>
      </c>
      <c r="C48" s="1453">
        <v>21000</v>
      </c>
      <c r="D48" s="1518">
        <v>3.3886161859672564E-4</v>
      </c>
      <c r="E48" s="1519">
        <v>0.13</v>
      </c>
      <c r="F48" s="1482" t="s">
        <v>2021</v>
      </c>
      <c r="G48" s="1482">
        <v>42985</v>
      </c>
      <c r="H48" s="1482">
        <v>42979</v>
      </c>
      <c r="I48" s="1483" t="s">
        <v>210</v>
      </c>
      <c r="J48" s="1254"/>
      <c r="K48" s="1471"/>
      <c r="O48" s="1254">
        <v>21000</v>
      </c>
      <c r="Q48" s="1298">
        <v>9</v>
      </c>
      <c r="R48" s="1279">
        <v>0</v>
      </c>
      <c r="S48" s="1287">
        <v>21000</v>
      </c>
    </row>
    <row r="49" spans="1:23">
      <c r="A49" s="1359" t="s">
        <v>1827</v>
      </c>
      <c r="C49" s="1453">
        <v>30000</v>
      </c>
      <c r="D49" s="1518">
        <v>4.8408802656675089E-4</v>
      </c>
      <c r="E49" s="1519">
        <v>0.13</v>
      </c>
      <c r="F49" s="1482" t="s">
        <v>2021</v>
      </c>
      <c r="G49" s="1482">
        <v>42985</v>
      </c>
      <c r="H49" s="1482">
        <v>42983</v>
      </c>
      <c r="I49" s="1483" t="s">
        <v>210</v>
      </c>
      <c r="J49" s="1254"/>
      <c r="K49" s="1471"/>
      <c r="O49" s="1254">
        <v>30000</v>
      </c>
      <c r="Q49" s="1298">
        <v>9</v>
      </c>
      <c r="R49" s="1279">
        <v>0</v>
      </c>
      <c r="S49" s="1287">
        <v>30000</v>
      </c>
    </row>
    <row r="50" spans="1:23">
      <c r="A50" s="1359" t="s">
        <v>1828</v>
      </c>
      <c r="C50" s="1453">
        <v>30000</v>
      </c>
      <c r="D50" s="1518">
        <v>4.8408802656675089E-4</v>
      </c>
      <c r="E50" s="1519">
        <v>0.4</v>
      </c>
      <c r="F50" s="1482" t="s">
        <v>2021</v>
      </c>
      <c r="G50" s="1482">
        <v>43119</v>
      </c>
      <c r="H50" s="1482">
        <v>43119</v>
      </c>
      <c r="I50" s="1483" t="s">
        <v>210</v>
      </c>
      <c r="J50" s="1254"/>
      <c r="K50" s="1471"/>
      <c r="O50" s="1254">
        <v>30000</v>
      </c>
      <c r="Q50" s="1298">
        <v>5</v>
      </c>
      <c r="R50" s="1279">
        <v>0</v>
      </c>
      <c r="S50" s="1287">
        <v>30000</v>
      </c>
    </row>
    <row r="51" spans="1:23">
      <c r="A51" s="1359" t="s">
        <v>1829</v>
      </c>
      <c r="C51" s="1453">
        <v>85000</v>
      </c>
      <c r="D51" s="1518">
        <v>1.3715827419391276E-3</v>
      </c>
      <c r="E51" s="1519">
        <v>0.4</v>
      </c>
      <c r="F51" s="1482" t="s">
        <v>2021</v>
      </c>
      <c r="G51" s="1482">
        <v>43119</v>
      </c>
      <c r="H51" s="1482">
        <v>43119</v>
      </c>
      <c r="I51" s="1483" t="s">
        <v>210</v>
      </c>
      <c r="J51" s="1254"/>
      <c r="K51" s="1471"/>
      <c r="O51" s="1254">
        <v>85000</v>
      </c>
      <c r="Q51" s="1298">
        <v>5</v>
      </c>
      <c r="R51" s="1279">
        <v>0</v>
      </c>
      <c r="S51" s="1287">
        <v>85000</v>
      </c>
    </row>
    <row r="52" spans="1:23">
      <c r="A52" s="1359" t="s">
        <v>1787</v>
      </c>
      <c r="C52" s="1453">
        <v>35000</v>
      </c>
      <c r="D52" s="1518">
        <v>5.6476936432787604E-4</v>
      </c>
      <c r="E52" s="1519">
        <v>0.4</v>
      </c>
      <c r="F52" s="1482" t="s">
        <v>2021</v>
      </c>
      <c r="G52" s="1482">
        <v>43119</v>
      </c>
      <c r="H52" s="1482">
        <v>43119</v>
      </c>
      <c r="I52" s="1483" t="s">
        <v>248</v>
      </c>
      <c r="J52" s="1254"/>
      <c r="K52" s="1471"/>
      <c r="O52" s="1254">
        <v>35000</v>
      </c>
      <c r="Q52" s="1298">
        <v>5</v>
      </c>
      <c r="R52" s="1279">
        <v>729</v>
      </c>
      <c r="S52" s="1287">
        <v>34271</v>
      </c>
    </row>
    <row r="53" spans="1:23" s="1361" customFormat="1">
      <c r="A53" s="1359" t="s">
        <v>1788</v>
      </c>
      <c r="B53" s="1313"/>
      <c r="C53" s="1453">
        <v>25000</v>
      </c>
      <c r="D53" s="1518">
        <v>4.0340668880562574E-4</v>
      </c>
      <c r="E53" s="1519">
        <v>0.4</v>
      </c>
      <c r="F53" s="1482" t="s">
        <v>2021</v>
      </c>
      <c r="G53" s="1482">
        <v>43119</v>
      </c>
      <c r="H53" s="1482">
        <v>43119</v>
      </c>
      <c r="I53" s="1483" t="s">
        <v>248</v>
      </c>
      <c r="J53" s="1279">
        <v>-25000</v>
      </c>
      <c r="K53" s="1471">
        <v>43160</v>
      </c>
      <c r="L53" s="1522"/>
      <c r="M53" s="1522"/>
      <c r="O53" s="1279">
        <v>0</v>
      </c>
      <c r="Q53" s="1298">
        <v>5</v>
      </c>
      <c r="R53" s="1279">
        <v>0</v>
      </c>
      <c r="S53" s="1460">
        <v>0</v>
      </c>
    </row>
    <row r="54" spans="1:23">
      <c r="A54" s="1359" t="s">
        <v>1786</v>
      </c>
      <c r="C54" s="1453">
        <v>20000</v>
      </c>
      <c r="D54" s="1518">
        <v>3.2272535104450059E-4</v>
      </c>
      <c r="E54" s="1519">
        <v>0.4</v>
      </c>
      <c r="F54" s="1482" t="s">
        <v>2021</v>
      </c>
      <c r="G54" s="1482">
        <v>43119</v>
      </c>
      <c r="H54" s="1482">
        <v>43119</v>
      </c>
      <c r="I54" s="1483" t="s">
        <v>248</v>
      </c>
      <c r="J54" s="1254"/>
      <c r="K54" s="1471"/>
      <c r="O54" s="1254">
        <v>20000</v>
      </c>
      <c r="Q54" s="1298">
        <v>5</v>
      </c>
      <c r="R54" s="1279">
        <v>416</v>
      </c>
      <c r="S54" s="1287">
        <v>19584</v>
      </c>
    </row>
    <row r="55" spans="1:23">
      <c r="A55" s="1359" t="s">
        <v>1791</v>
      </c>
      <c r="C55" s="1453">
        <v>18000</v>
      </c>
      <c r="D55" s="1518">
        <v>2.9045281594005051E-4</v>
      </c>
      <c r="E55" s="1519">
        <v>0.4</v>
      </c>
      <c r="F55" s="1482" t="s">
        <v>2021</v>
      </c>
      <c r="G55" s="1482">
        <v>43119</v>
      </c>
      <c r="H55" s="1482">
        <v>43119</v>
      </c>
      <c r="I55" s="1483" t="s">
        <v>248</v>
      </c>
      <c r="J55" s="1254"/>
      <c r="K55" s="1471"/>
      <c r="O55" s="1254">
        <v>18000</v>
      </c>
      <c r="Q55" s="1298">
        <v>5</v>
      </c>
      <c r="R55" s="1279">
        <v>375</v>
      </c>
      <c r="S55" s="1287">
        <v>17625</v>
      </c>
    </row>
    <row r="56" spans="1:23">
      <c r="A56" s="1359" t="s">
        <v>1792</v>
      </c>
      <c r="C56" s="1453">
        <v>18000</v>
      </c>
      <c r="D56" s="1518">
        <v>2.9045281594005051E-4</v>
      </c>
      <c r="E56" s="1519">
        <v>0.4</v>
      </c>
      <c r="F56" s="1482" t="s">
        <v>2021</v>
      </c>
      <c r="G56" s="1482">
        <v>43119</v>
      </c>
      <c r="H56" s="1482">
        <v>43119</v>
      </c>
      <c r="I56" s="1483" t="s">
        <v>248</v>
      </c>
      <c r="J56" s="1254"/>
      <c r="K56" s="1471"/>
      <c r="O56" s="1254">
        <v>18000</v>
      </c>
      <c r="Q56" s="1298">
        <v>5</v>
      </c>
      <c r="R56" s="1279">
        <v>375</v>
      </c>
      <c r="S56" s="1287">
        <v>17625</v>
      </c>
    </row>
    <row r="57" spans="1:23">
      <c r="A57" s="1359" t="s">
        <v>1783</v>
      </c>
      <c r="C57" s="1453">
        <v>600000</v>
      </c>
      <c r="D57" s="1518">
        <v>9.6817605313350187E-3</v>
      </c>
      <c r="E57" s="1519">
        <v>0.4</v>
      </c>
      <c r="F57" s="1482" t="s">
        <v>2021</v>
      </c>
      <c r="G57" s="1482">
        <v>43119</v>
      </c>
      <c r="H57" s="1482">
        <v>43119</v>
      </c>
      <c r="I57" s="1483" t="s">
        <v>248</v>
      </c>
      <c r="J57" s="1254"/>
      <c r="K57" s="1471"/>
      <c r="O57" s="1254">
        <v>600000</v>
      </c>
      <c r="Q57" s="1298">
        <v>1</v>
      </c>
      <c r="R57" s="1279">
        <v>12500</v>
      </c>
      <c r="S57" s="1287">
        <v>587500</v>
      </c>
    </row>
    <row r="58" spans="1:23">
      <c r="A58" s="1523"/>
      <c r="B58" s="1267"/>
      <c r="C58" s="1524"/>
      <c r="D58" s="1524"/>
      <c r="E58" s="1525"/>
      <c r="F58" s="1480"/>
      <c r="G58" s="1480"/>
      <c r="H58" s="1430"/>
      <c r="I58" s="1266"/>
      <c r="J58" s="1254"/>
      <c r="K58" s="1471"/>
      <c r="L58" s="1254"/>
      <c r="M58" s="1254"/>
      <c r="N58" s="1266"/>
      <c r="O58" s="1254"/>
      <c r="P58" s="1266"/>
      <c r="Q58" s="1266"/>
      <c r="R58" s="1254"/>
      <c r="S58" s="1287"/>
      <c r="T58" s="1266"/>
      <c r="U58" s="1266"/>
      <c r="V58" s="1266"/>
      <c r="W58" s="1266"/>
    </row>
    <row r="59" spans="1:23">
      <c r="A59" s="1517" t="s">
        <v>2022</v>
      </c>
      <c r="B59" s="1267"/>
      <c r="C59" s="1524"/>
      <c r="D59" s="1524"/>
      <c r="E59" s="1525"/>
      <c r="F59" s="1480"/>
      <c r="G59" s="1480"/>
      <c r="H59" s="1430"/>
      <c r="I59" s="1266"/>
      <c r="J59" s="1254"/>
      <c r="K59" s="1471"/>
      <c r="L59" s="1254"/>
      <c r="M59" s="1254"/>
      <c r="N59" s="1254"/>
      <c r="O59" s="1254"/>
      <c r="P59" s="1266"/>
      <c r="Q59" s="1266"/>
      <c r="R59" s="1254"/>
      <c r="S59" s="1287"/>
      <c r="T59" s="1266"/>
      <c r="U59" s="1266"/>
      <c r="V59" s="1266"/>
      <c r="W59" s="1266"/>
    </row>
    <row r="60" spans="1:23">
      <c r="A60" s="1359" t="s">
        <v>1830</v>
      </c>
      <c r="B60" s="1267" t="s">
        <v>1731</v>
      </c>
      <c r="C60" s="1453">
        <v>40000</v>
      </c>
      <c r="D60" s="1518">
        <v>5.3215694740484641E-4</v>
      </c>
      <c r="E60" s="1525">
        <v>0.11</v>
      </c>
      <c r="F60" s="1482" t="s">
        <v>2023</v>
      </c>
      <c r="G60" s="1480">
        <v>42395</v>
      </c>
      <c r="H60" s="1480">
        <v>42317</v>
      </c>
      <c r="I60" s="1483" t="s">
        <v>209</v>
      </c>
      <c r="J60" s="1254"/>
      <c r="K60" s="1471"/>
      <c r="L60" s="1520"/>
      <c r="M60" s="1279"/>
      <c r="N60" s="1298"/>
      <c r="O60" s="1254">
        <v>40000</v>
      </c>
      <c r="P60" s="1266"/>
      <c r="Q60" s="1298">
        <v>31</v>
      </c>
      <c r="R60" s="1279">
        <v>25833</v>
      </c>
      <c r="S60" s="1460">
        <v>14167</v>
      </c>
      <c r="T60" s="1266"/>
      <c r="U60" s="1266" t="s">
        <v>2024</v>
      </c>
      <c r="V60" s="1266"/>
      <c r="W60" s="1266"/>
    </row>
    <row r="61" spans="1:23">
      <c r="A61" s="1359" t="s">
        <v>1831</v>
      </c>
      <c r="B61" s="1267" t="s">
        <v>1731</v>
      </c>
      <c r="C61" s="1453">
        <v>40000</v>
      </c>
      <c r="D61" s="1518">
        <v>5.3215694740484641E-4</v>
      </c>
      <c r="E61" s="1525">
        <v>0.11</v>
      </c>
      <c r="F61" s="1482" t="s">
        <v>2023</v>
      </c>
      <c r="G61" s="1480">
        <v>42395</v>
      </c>
      <c r="H61" s="1480">
        <v>42317</v>
      </c>
      <c r="I61" s="1483" t="s">
        <v>209</v>
      </c>
      <c r="J61" s="1254">
        <v>-40000</v>
      </c>
      <c r="K61" s="1471">
        <v>42431</v>
      </c>
      <c r="L61" s="1520"/>
      <c r="M61" s="1279"/>
      <c r="N61" s="1298"/>
      <c r="O61" s="1254">
        <v>0</v>
      </c>
      <c r="P61" s="1266"/>
      <c r="Q61" s="1298">
        <v>31</v>
      </c>
      <c r="R61" s="1279">
        <v>0</v>
      </c>
      <c r="S61" s="1460">
        <v>0</v>
      </c>
      <c r="T61" s="1266"/>
      <c r="U61" s="1266" t="s">
        <v>2024</v>
      </c>
      <c r="V61" s="1266"/>
      <c r="W61" s="1266"/>
    </row>
    <row r="62" spans="1:23">
      <c r="A62" s="1359" t="s">
        <v>1832</v>
      </c>
      <c r="B62" s="1267" t="s">
        <v>1731</v>
      </c>
      <c r="C62" s="1453">
        <v>40000</v>
      </c>
      <c r="D62" s="1518">
        <v>5.3215694740484641E-4</v>
      </c>
      <c r="E62" s="1525">
        <v>0.11</v>
      </c>
      <c r="F62" s="1482" t="s">
        <v>2023</v>
      </c>
      <c r="G62" s="1480">
        <v>42395</v>
      </c>
      <c r="H62" s="1480">
        <v>42317</v>
      </c>
      <c r="I62" s="1483" t="s">
        <v>209</v>
      </c>
      <c r="J62" s="1254"/>
      <c r="K62" s="1471"/>
      <c r="L62" s="1520"/>
      <c r="M62" s="1279"/>
      <c r="N62" s="1298"/>
      <c r="O62" s="1254">
        <v>40000</v>
      </c>
      <c r="P62" s="1266"/>
      <c r="Q62" s="1298">
        <v>31</v>
      </c>
      <c r="R62" s="1279">
        <v>25833</v>
      </c>
      <c r="S62" s="1460">
        <v>14167</v>
      </c>
      <c r="T62" s="1266"/>
      <c r="U62" s="1266" t="s">
        <v>2024</v>
      </c>
      <c r="V62" s="1266"/>
      <c r="W62" s="1266"/>
    </row>
    <row r="63" spans="1:23">
      <c r="A63" s="1359" t="s">
        <v>1833</v>
      </c>
      <c r="B63" s="1267" t="s">
        <v>1731</v>
      </c>
      <c r="C63" s="1453">
        <v>40000</v>
      </c>
      <c r="D63" s="1518">
        <v>5.3215694740484641E-4</v>
      </c>
      <c r="E63" s="1525">
        <v>0.11</v>
      </c>
      <c r="F63" s="1482" t="s">
        <v>2023</v>
      </c>
      <c r="G63" s="1480">
        <v>42395</v>
      </c>
      <c r="H63" s="1480">
        <v>42317</v>
      </c>
      <c r="I63" s="1483" t="s">
        <v>209</v>
      </c>
      <c r="J63" s="1254"/>
      <c r="K63" s="1471"/>
      <c r="L63" s="1520"/>
      <c r="M63" s="1279"/>
      <c r="N63" s="1298"/>
      <c r="O63" s="1254">
        <v>40000</v>
      </c>
      <c r="P63" s="1266"/>
      <c r="Q63" s="1298">
        <v>31</v>
      </c>
      <c r="R63" s="1279">
        <v>25833</v>
      </c>
      <c r="S63" s="1460">
        <v>14167</v>
      </c>
      <c r="T63" s="1266"/>
      <c r="U63" s="1266" t="s">
        <v>2024</v>
      </c>
      <c r="V63" s="1266"/>
      <c r="W63" s="1266"/>
    </row>
    <row r="64" spans="1:23">
      <c r="A64" s="1526" t="s">
        <v>1805</v>
      </c>
      <c r="B64" s="1312" t="s">
        <v>2025</v>
      </c>
      <c r="C64" s="1279">
        <v>25000</v>
      </c>
      <c r="D64" s="1518">
        <v>3.3259809212802898E-4</v>
      </c>
      <c r="E64" s="1519">
        <v>0.11</v>
      </c>
      <c r="F64" s="1482" t="s">
        <v>2023</v>
      </c>
      <c r="G64" s="1482">
        <v>42395</v>
      </c>
      <c r="H64" s="1482">
        <v>42339</v>
      </c>
      <c r="I64" s="1483" t="s">
        <v>209</v>
      </c>
      <c r="J64" s="1254">
        <v>-25000</v>
      </c>
      <c r="K64" s="1471">
        <v>42475</v>
      </c>
      <c r="L64" s="1279"/>
      <c r="M64" s="1279"/>
      <c r="N64" s="1298"/>
      <c r="O64" s="1254">
        <v>0</v>
      </c>
      <c r="P64" s="1298"/>
      <c r="Q64" s="1298">
        <v>30</v>
      </c>
      <c r="R64" s="1279">
        <v>0</v>
      </c>
      <c r="S64" s="1460">
        <v>0</v>
      </c>
      <c r="T64" s="1266"/>
      <c r="U64" s="1266"/>
      <c r="V64" s="1266"/>
      <c r="W64" s="1266"/>
    </row>
    <row r="65" spans="1:23">
      <c r="A65" s="1526" t="s">
        <v>1836</v>
      </c>
      <c r="B65" s="1312" t="s">
        <v>2025</v>
      </c>
      <c r="C65" s="1279">
        <v>30000</v>
      </c>
      <c r="D65" s="1518">
        <v>3.9911771055363475E-4</v>
      </c>
      <c r="E65" s="1519">
        <v>0.11</v>
      </c>
      <c r="F65" s="1482" t="s">
        <v>2023</v>
      </c>
      <c r="G65" s="1482">
        <v>42486</v>
      </c>
      <c r="H65" s="1482">
        <v>42430</v>
      </c>
      <c r="I65" s="1483" t="s">
        <v>210</v>
      </c>
      <c r="J65" s="1254"/>
      <c r="K65" s="1471"/>
      <c r="L65" s="1279"/>
      <c r="M65" s="1279"/>
      <c r="N65" s="1298"/>
      <c r="O65" s="1254">
        <v>30000</v>
      </c>
      <c r="P65" s="1298"/>
      <c r="Q65" s="1298">
        <v>27</v>
      </c>
      <c r="R65" s="1279">
        <v>16875</v>
      </c>
      <c r="S65" s="1287">
        <v>13125</v>
      </c>
      <c r="T65" s="1266"/>
      <c r="U65" s="1266"/>
      <c r="V65" s="1266"/>
      <c r="W65" s="1266"/>
    </row>
    <row r="66" spans="1:23">
      <c r="A66" s="1359" t="s">
        <v>1834</v>
      </c>
      <c r="B66" s="1267" t="s">
        <v>1731</v>
      </c>
      <c r="C66" s="1254">
        <v>40000</v>
      </c>
      <c r="D66" s="1518">
        <v>5.3215694740484641E-4</v>
      </c>
      <c r="E66" s="1519">
        <v>0.11</v>
      </c>
      <c r="F66" s="1482" t="s">
        <v>2023</v>
      </c>
      <c r="G66" s="1527">
        <v>42549</v>
      </c>
      <c r="H66" s="1528">
        <v>42489</v>
      </c>
      <c r="I66" s="1483" t="s">
        <v>210</v>
      </c>
      <c r="J66" s="1254"/>
      <c r="K66" s="1471"/>
      <c r="L66" s="1254"/>
      <c r="M66" s="1254"/>
      <c r="N66" s="1266"/>
      <c r="O66" s="1254">
        <v>40000</v>
      </c>
      <c r="P66" s="1266"/>
      <c r="Q66" s="1266">
        <v>26</v>
      </c>
      <c r="R66" s="1254">
        <v>21666</v>
      </c>
      <c r="S66" s="1254">
        <v>18334</v>
      </c>
      <c r="T66" s="1266"/>
      <c r="U66" s="1266"/>
      <c r="V66" s="1266"/>
      <c r="W66" s="1266"/>
    </row>
    <row r="67" spans="1:23">
      <c r="A67" s="1359" t="s">
        <v>1835</v>
      </c>
      <c r="B67" s="1267" t="s">
        <v>1731</v>
      </c>
      <c r="C67" s="1254">
        <v>40000</v>
      </c>
      <c r="D67" s="1518">
        <v>5.3215694740484641E-4</v>
      </c>
      <c r="E67" s="1519">
        <v>0.13</v>
      </c>
      <c r="F67" s="1482" t="s">
        <v>2023</v>
      </c>
      <c r="G67" s="1482">
        <v>42762</v>
      </c>
      <c r="H67" s="1527">
        <v>42670</v>
      </c>
      <c r="I67" s="1483" t="s">
        <v>210</v>
      </c>
      <c r="J67" s="1254"/>
      <c r="K67" s="1471"/>
      <c r="L67" s="1254"/>
      <c r="M67" s="1254"/>
      <c r="N67" s="1266"/>
      <c r="O67" s="1254">
        <v>40000</v>
      </c>
      <c r="P67" s="1266"/>
      <c r="Q67" s="1298">
        <v>20</v>
      </c>
      <c r="R67" s="1279">
        <v>16666</v>
      </c>
      <c r="S67" s="1279">
        <v>23334</v>
      </c>
      <c r="T67" s="1266"/>
      <c r="U67" s="1266"/>
      <c r="V67" s="1266"/>
      <c r="W67" s="1266"/>
    </row>
    <row r="68" spans="1:23">
      <c r="A68" s="1359" t="s">
        <v>1837</v>
      </c>
      <c r="B68" s="1267" t="s">
        <v>2025</v>
      </c>
      <c r="C68" s="1254">
        <v>20000</v>
      </c>
      <c r="D68" s="1518">
        <v>2.660784737024232E-4</v>
      </c>
      <c r="E68" s="1519">
        <v>0.13</v>
      </c>
      <c r="F68" s="1482" t="s">
        <v>2023</v>
      </c>
      <c r="G68" s="1482">
        <v>42762</v>
      </c>
      <c r="H68" s="1527">
        <v>42724</v>
      </c>
      <c r="I68" s="1483" t="s">
        <v>247</v>
      </c>
      <c r="J68" s="1279">
        <v>-20000</v>
      </c>
      <c r="K68" s="1471">
        <v>43069</v>
      </c>
      <c r="L68" s="1254"/>
      <c r="M68" s="1254"/>
      <c r="N68" s="1266"/>
      <c r="O68" s="1254">
        <v>0</v>
      </c>
      <c r="P68" s="1266"/>
      <c r="Q68" s="1298">
        <v>18</v>
      </c>
      <c r="R68" s="1279">
        <v>0</v>
      </c>
      <c r="S68" s="1279">
        <v>0</v>
      </c>
      <c r="T68" s="1403"/>
      <c r="U68" s="1266"/>
      <c r="V68" s="1266"/>
      <c r="W68" s="1266"/>
    </row>
    <row r="69" spans="1:23">
      <c r="A69" s="1359" t="s">
        <v>1838</v>
      </c>
      <c r="B69" s="1267" t="s">
        <v>2025</v>
      </c>
      <c r="C69" s="1254">
        <v>30000</v>
      </c>
      <c r="D69" s="1518">
        <v>3.9911771055363475E-4</v>
      </c>
      <c r="E69" s="1519">
        <v>0.13</v>
      </c>
      <c r="F69" s="1482" t="s">
        <v>2023</v>
      </c>
      <c r="G69" s="1482">
        <v>42762</v>
      </c>
      <c r="H69" s="1527">
        <v>42807</v>
      </c>
      <c r="I69" s="1483" t="s">
        <v>210</v>
      </c>
      <c r="J69" s="1254">
        <v>-30000</v>
      </c>
      <c r="K69" s="1471">
        <v>42996</v>
      </c>
      <c r="L69" s="1254"/>
      <c r="M69" s="1254"/>
      <c r="N69" s="1266"/>
      <c r="O69" s="1254">
        <v>0</v>
      </c>
      <c r="P69" s="1266"/>
      <c r="Q69" s="1298">
        <v>15</v>
      </c>
      <c r="R69" s="1279">
        <v>0</v>
      </c>
      <c r="S69" s="1279">
        <v>0</v>
      </c>
      <c r="T69" s="1403"/>
      <c r="U69" s="1266"/>
      <c r="V69" s="1266"/>
      <c r="W69" s="1266"/>
    </row>
    <row r="70" spans="1:23">
      <c r="A70" s="1359" t="s">
        <v>1839</v>
      </c>
      <c r="B70" s="1267" t="s">
        <v>2025</v>
      </c>
      <c r="C70" s="1254">
        <v>20000</v>
      </c>
      <c r="D70" s="1518">
        <v>3.2272535104450059E-4</v>
      </c>
      <c r="E70" s="1519">
        <v>0.13</v>
      </c>
      <c r="F70" s="1482" t="s">
        <v>2023</v>
      </c>
      <c r="G70" s="1482">
        <v>42985</v>
      </c>
      <c r="H70" s="1528">
        <v>42948</v>
      </c>
      <c r="I70" s="1483" t="s">
        <v>210</v>
      </c>
      <c r="J70" s="1254"/>
      <c r="K70" s="1471"/>
      <c r="L70" s="1254"/>
      <c r="M70" s="1254"/>
      <c r="N70" s="1266"/>
      <c r="O70" s="1254">
        <v>20000</v>
      </c>
      <c r="P70" s="1266"/>
      <c r="Q70" s="1266">
        <v>10</v>
      </c>
      <c r="R70" s="1279">
        <v>4166</v>
      </c>
      <c r="S70" s="1279">
        <v>15834</v>
      </c>
      <c r="T70" s="1266"/>
      <c r="U70" s="1266"/>
      <c r="V70" s="1266"/>
      <c r="W70" s="1266"/>
    </row>
    <row r="71" spans="1:23">
      <c r="A71" s="1359" t="s">
        <v>1840</v>
      </c>
      <c r="B71" s="1267" t="s">
        <v>2025</v>
      </c>
      <c r="C71" s="1254">
        <v>20000</v>
      </c>
      <c r="D71" s="1518">
        <v>3.2272535104450059E-4</v>
      </c>
      <c r="E71" s="1519">
        <v>0.4</v>
      </c>
      <c r="F71" s="1482" t="s">
        <v>2023</v>
      </c>
      <c r="G71" s="1482">
        <v>43119</v>
      </c>
      <c r="H71" s="1528">
        <v>43000</v>
      </c>
      <c r="I71" s="1483" t="s">
        <v>210</v>
      </c>
      <c r="J71" s="1254"/>
      <c r="K71" s="1471"/>
      <c r="L71" s="1254"/>
      <c r="M71" s="1254"/>
      <c r="N71" s="1266"/>
      <c r="O71" s="1254">
        <v>20000</v>
      </c>
      <c r="P71" s="1266"/>
      <c r="Q71" s="1266">
        <v>9</v>
      </c>
      <c r="R71" s="1279">
        <v>3750</v>
      </c>
      <c r="S71" s="1279">
        <v>16250</v>
      </c>
      <c r="T71" s="1266"/>
      <c r="U71" s="1266"/>
      <c r="V71" s="1266"/>
      <c r="W71" s="1266"/>
    </row>
    <row r="72" spans="1:23">
      <c r="A72" s="1529"/>
      <c r="B72" s="1267"/>
      <c r="C72" s="1254"/>
      <c r="D72" s="1254"/>
      <c r="E72" s="1456"/>
      <c r="F72" s="1430"/>
      <c r="G72" s="1392"/>
      <c r="H72" s="1530"/>
      <c r="I72" s="1430"/>
      <c r="J72" s="1254"/>
      <c r="K72" s="1471"/>
      <c r="L72" s="1254"/>
      <c r="M72" s="1254"/>
      <c r="N72" s="1266"/>
      <c r="O72" s="1254"/>
      <c r="P72" s="1266"/>
      <c r="Q72" s="1266"/>
      <c r="R72" s="1254"/>
      <c r="S72" s="1266"/>
      <c r="T72" s="1266"/>
      <c r="U72" s="1266"/>
      <c r="V72" s="1266"/>
      <c r="W72" s="1266"/>
    </row>
    <row r="73" spans="1:23">
      <c r="A73" s="1517" t="s">
        <v>2026</v>
      </c>
      <c r="B73" s="1267"/>
      <c r="C73" s="1254"/>
      <c r="D73" s="1254"/>
      <c r="E73" s="1456"/>
      <c r="F73" s="1430"/>
      <c r="G73" s="1392"/>
      <c r="H73" s="1530"/>
      <c r="I73" s="1430"/>
      <c r="J73" s="1254"/>
      <c r="K73" s="1471"/>
      <c r="L73" s="1254"/>
      <c r="M73" s="1254"/>
      <c r="N73" s="1266"/>
      <c r="O73" s="1254"/>
      <c r="P73" s="1266"/>
      <c r="Q73" s="1266"/>
      <c r="R73" s="1254"/>
      <c r="S73" s="1266"/>
      <c r="T73" s="1266"/>
      <c r="U73" s="1266"/>
      <c r="V73" s="1266"/>
      <c r="W73" s="1266"/>
    </row>
    <row r="74" spans="1:23">
      <c r="A74" s="1531" t="s">
        <v>2027</v>
      </c>
      <c r="B74" s="1267"/>
      <c r="C74" s="1254"/>
      <c r="D74" s="1254"/>
      <c r="E74" s="1456"/>
      <c r="F74" s="1430"/>
      <c r="G74" s="1392"/>
      <c r="H74" s="1530"/>
      <c r="I74" s="1430"/>
      <c r="J74" s="1254"/>
      <c r="K74" s="1471"/>
      <c r="L74" s="1254"/>
      <c r="M74" s="1254"/>
      <c r="N74" s="1266"/>
      <c r="O74" s="1254">
        <v>0</v>
      </c>
      <c r="P74" s="1266"/>
      <c r="Q74" s="1266"/>
      <c r="R74" s="1254"/>
      <c r="S74" s="1266"/>
      <c r="T74" s="1266"/>
      <c r="U74" s="1266"/>
      <c r="V74" s="1266"/>
      <c r="W74" s="1266"/>
    </row>
    <row r="75" spans="1:23">
      <c r="A75" s="1531" t="s">
        <v>2028</v>
      </c>
      <c r="B75" s="1267"/>
      <c r="C75" s="1254"/>
      <c r="D75" s="1254"/>
      <c r="E75" s="1456"/>
      <c r="F75" s="1430"/>
      <c r="G75" s="1392"/>
      <c r="H75" s="1530"/>
      <c r="I75" s="1430"/>
      <c r="J75" s="1254"/>
      <c r="K75" s="1471"/>
      <c r="L75" s="1254"/>
      <c r="M75" s="1254"/>
      <c r="N75" s="1266"/>
      <c r="O75" s="1254">
        <v>0</v>
      </c>
      <c r="P75" s="1266"/>
      <c r="Q75" s="1266"/>
      <c r="R75" s="1254"/>
      <c r="S75" s="1266"/>
      <c r="T75" s="1266"/>
      <c r="U75" s="1266"/>
      <c r="V75" s="1266"/>
      <c r="W75" s="1266"/>
    </row>
    <row r="76" spans="1:23">
      <c r="A76" s="1531" t="s">
        <v>2029</v>
      </c>
      <c r="B76" s="1267"/>
      <c r="C76" s="1254"/>
      <c r="D76" s="1254"/>
      <c r="E76" s="1456"/>
      <c r="F76" s="1430"/>
      <c r="G76" s="1392"/>
      <c r="H76" s="1530"/>
      <c r="I76" s="1430"/>
      <c r="J76" s="1254"/>
      <c r="K76" s="1471"/>
      <c r="L76" s="1254"/>
      <c r="M76" s="1254"/>
      <c r="N76" s="1266"/>
      <c r="O76" s="1254">
        <v>0</v>
      </c>
      <c r="P76" s="1266"/>
      <c r="Q76" s="1266"/>
      <c r="R76" s="1254"/>
      <c r="S76" s="1266"/>
      <c r="T76" s="1266"/>
      <c r="U76" s="1266"/>
      <c r="V76" s="1266"/>
      <c r="W76" s="1266"/>
    </row>
    <row r="77" spans="1:23">
      <c r="A77" s="1531" t="s">
        <v>2030</v>
      </c>
      <c r="B77" s="1267"/>
      <c r="C77" s="1254"/>
      <c r="D77" s="1254"/>
      <c r="E77" s="1456"/>
      <c r="F77" s="1430"/>
      <c r="G77" s="1392"/>
      <c r="H77" s="1530"/>
      <c r="I77" s="1430"/>
      <c r="J77" s="1254"/>
      <c r="K77" s="1471"/>
      <c r="L77" s="1254"/>
      <c r="M77" s="1254"/>
      <c r="N77" s="1266"/>
      <c r="O77" s="1254">
        <v>0</v>
      </c>
      <c r="P77" s="1266"/>
      <c r="Q77" s="1266"/>
      <c r="R77" s="1254"/>
      <c r="S77" s="1266"/>
      <c r="T77" s="1266"/>
      <c r="U77" s="1266"/>
      <c r="V77" s="1266"/>
      <c r="W77" s="1266"/>
    </row>
    <row r="78" spans="1:23">
      <c r="A78" s="1531" t="s">
        <v>1781</v>
      </c>
      <c r="B78" s="1267"/>
      <c r="C78" s="1254">
        <v>100000</v>
      </c>
      <c r="D78" s="1518">
        <v>1.613626755222503E-3</v>
      </c>
      <c r="E78" s="1519">
        <v>0.13</v>
      </c>
      <c r="F78" s="1482" t="s">
        <v>2023</v>
      </c>
      <c r="G78" s="1482">
        <v>42762</v>
      </c>
      <c r="H78" s="1527">
        <v>42662</v>
      </c>
      <c r="I78" s="1483" t="s">
        <v>210</v>
      </c>
      <c r="J78" s="1254"/>
      <c r="K78" s="1471"/>
      <c r="L78" s="1254"/>
      <c r="M78" s="1254"/>
      <c r="N78" s="1266"/>
      <c r="O78" s="1254">
        <v>100000</v>
      </c>
      <c r="P78" s="1266"/>
      <c r="Q78" s="1298">
        <v>20</v>
      </c>
      <c r="R78" s="1279">
        <v>41666</v>
      </c>
      <c r="S78" s="1279">
        <v>58334</v>
      </c>
      <c r="T78" s="1266"/>
      <c r="U78" s="1266"/>
      <c r="V78" s="1266"/>
      <c r="W78" s="1266"/>
    </row>
    <row r="79" spans="1:23">
      <c r="A79" s="1529"/>
      <c r="B79" s="1267"/>
      <c r="C79" s="1254"/>
      <c r="D79" s="1254"/>
      <c r="E79" s="1456"/>
      <c r="F79" s="1430"/>
      <c r="G79" s="1392"/>
      <c r="H79" s="1530"/>
      <c r="I79" s="1430"/>
      <c r="J79" s="1254"/>
      <c r="K79" s="1471"/>
      <c r="L79" s="1254"/>
      <c r="M79" s="1254"/>
      <c r="N79" s="1266"/>
      <c r="O79" s="1254"/>
      <c r="P79" s="1266"/>
      <c r="Q79" s="1266"/>
      <c r="R79" s="1254"/>
      <c r="S79" s="1266"/>
      <c r="T79" s="1266"/>
      <c r="U79" s="1266"/>
      <c r="V79" s="1266"/>
      <c r="W79" s="1266"/>
    </row>
    <row r="80" spans="1:23" hidden="1">
      <c r="A80" s="1529" t="s">
        <v>2031</v>
      </c>
      <c r="B80" s="1267"/>
      <c r="C80" s="1254"/>
      <c r="D80" s="1254"/>
      <c r="E80" s="1456"/>
      <c r="F80" s="1430"/>
      <c r="G80" s="1392"/>
      <c r="H80" s="1530"/>
      <c r="I80" s="1430"/>
      <c r="J80" s="1254"/>
      <c r="K80" s="1266"/>
      <c r="L80" s="1254"/>
      <c r="M80" s="1254"/>
      <c r="N80" s="1266"/>
      <c r="O80" s="1254"/>
      <c r="P80" s="1266"/>
      <c r="Q80" s="1266"/>
      <c r="R80" s="1254"/>
      <c r="S80" s="1266"/>
      <c r="T80" s="1266"/>
      <c r="U80" s="1266"/>
      <c r="V80" s="1266"/>
      <c r="W80" s="1266"/>
    </row>
    <row r="81" spans="1:23">
      <c r="A81" s="1266"/>
      <c r="B81" s="1267"/>
      <c r="C81" s="1254"/>
      <c r="D81" s="1254"/>
      <c r="E81" s="1456"/>
      <c r="F81" s="1430"/>
      <c r="G81" s="1392"/>
      <c r="H81" s="1266"/>
      <c r="I81" s="1430"/>
      <c r="J81" s="1254"/>
      <c r="K81" s="1266"/>
      <c r="L81" s="1254"/>
      <c r="M81" s="1254"/>
      <c r="N81" s="1266"/>
      <c r="O81" s="1254"/>
      <c r="P81" s="1266"/>
      <c r="Q81" s="1266"/>
      <c r="R81" s="1254"/>
      <c r="S81" s="1266"/>
      <c r="T81" s="1266"/>
      <c r="U81" s="1266"/>
      <c r="V81" s="1266"/>
      <c r="W81" s="1266"/>
    </row>
    <row r="82" spans="1:23" ht="13.5" thickBot="1">
      <c r="A82" s="1266"/>
      <c r="B82" s="1267"/>
      <c r="C82" s="1293">
        <v>7042000</v>
      </c>
      <c r="D82" s="1277"/>
      <c r="E82" s="1456"/>
      <c r="F82" s="1430"/>
      <c r="G82" s="1392"/>
      <c r="H82" s="1266"/>
      <c r="I82" s="1430"/>
      <c r="J82" s="1293">
        <v>-5403596</v>
      </c>
      <c r="K82" s="1266"/>
      <c r="L82" s="1293">
        <v>-140750</v>
      </c>
      <c r="M82" s="1293">
        <v>138750</v>
      </c>
      <c r="N82" s="1266"/>
      <c r="O82" s="1293">
        <v>1636404</v>
      </c>
      <c r="P82" s="1266"/>
      <c r="Q82" s="1266"/>
      <c r="R82" s="1293">
        <v>292564</v>
      </c>
      <c r="S82" s="1293">
        <v>1343840</v>
      </c>
      <c r="T82" s="1287">
        <v>1636404</v>
      </c>
      <c r="U82" s="1266"/>
      <c r="V82" s="1266"/>
      <c r="W82" s="1266"/>
    </row>
    <row r="83" spans="1:23" ht="13.5" thickTop="1">
      <c r="A83" s="1266"/>
      <c r="B83" s="1267"/>
      <c r="C83" s="1254"/>
      <c r="D83" s="1254"/>
      <c r="E83" s="1456"/>
      <c r="F83" s="1430"/>
      <c r="G83" s="1392"/>
      <c r="H83" s="1266"/>
      <c r="I83" s="1430"/>
      <c r="J83" s="1254"/>
      <c r="K83" s="1266"/>
      <c r="L83" s="1254"/>
      <c r="M83" s="1254"/>
      <c r="N83" s="1266"/>
      <c r="O83" s="1254"/>
      <c r="P83" s="1266"/>
      <c r="Q83" s="1266"/>
      <c r="R83" s="1254"/>
      <c r="S83" s="1266"/>
      <c r="T83" s="1266"/>
      <c r="U83" s="1266"/>
      <c r="V83" s="1266"/>
      <c r="W83" s="1266"/>
    </row>
    <row r="84" spans="1:23">
      <c r="A84" s="1266"/>
      <c r="B84" s="1267"/>
      <c r="C84" s="1254"/>
      <c r="D84" s="1254"/>
      <c r="E84" s="1456"/>
      <c r="F84" s="1430" t="s">
        <v>1730</v>
      </c>
      <c r="G84" s="1532" t="s">
        <v>1730</v>
      </c>
      <c r="H84" s="1266"/>
      <c r="I84" s="1533" t="s">
        <v>2032</v>
      </c>
      <c r="J84" s="1254">
        <v>-596596</v>
      </c>
      <c r="K84" s="1266"/>
      <c r="L84" s="1254"/>
      <c r="M84" s="1254"/>
      <c r="N84" s="1266"/>
      <c r="O84" s="1254" t="s">
        <v>1730</v>
      </c>
      <c r="P84" s="1266"/>
      <c r="Q84" s="1266"/>
      <c r="R84" s="1254"/>
      <c r="S84" s="1266"/>
      <c r="T84" s="1266"/>
      <c r="U84" s="1266"/>
      <c r="V84" s="1266"/>
      <c r="W84" s="1266"/>
    </row>
    <row r="85" spans="1:23">
      <c r="A85" s="1266"/>
      <c r="B85" s="1267"/>
      <c r="C85" s="1254"/>
      <c r="D85" s="1254"/>
      <c r="E85" s="1456"/>
      <c r="F85" s="1430"/>
      <c r="G85" s="1392"/>
      <c r="H85" s="1266"/>
      <c r="I85" s="1533" t="s">
        <v>2033</v>
      </c>
      <c r="J85" s="1254">
        <v>-1295596</v>
      </c>
      <c r="K85" s="1266"/>
      <c r="L85" s="1254"/>
      <c r="M85" s="1254"/>
      <c r="N85" s="1266"/>
      <c r="O85" s="1254"/>
      <c r="P85" s="1266"/>
      <c r="Q85" s="1266"/>
      <c r="R85" s="1254"/>
      <c r="S85" s="1266"/>
      <c r="T85" s="1266"/>
      <c r="U85" s="1266"/>
      <c r="V85" s="1266"/>
      <c r="W85" s="1266"/>
    </row>
    <row r="86" spans="1:23">
      <c r="A86" s="1266" t="s">
        <v>2034</v>
      </c>
      <c r="B86" s="1267"/>
      <c r="C86" s="1254">
        <v>9028598.969072165</v>
      </c>
      <c r="D86" s="1254"/>
      <c r="E86" s="1456"/>
      <c r="F86" s="1534" t="s">
        <v>1743</v>
      </c>
      <c r="G86" s="1392"/>
      <c r="H86" s="1266"/>
      <c r="I86" s="1430"/>
      <c r="J86" s="1254"/>
      <c r="K86" s="1266"/>
      <c r="L86" s="1254"/>
      <c r="M86" s="1254"/>
      <c r="N86" s="1266"/>
      <c r="O86" s="1254"/>
      <c r="P86" s="1266"/>
      <c r="Q86" s="1266"/>
      <c r="R86" s="1254"/>
      <c r="S86" s="1266"/>
      <c r="T86" s="1266"/>
      <c r="U86" s="1266"/>
      <c r="V86" s="1266"/>
      <c r="W86" s="1266"/>
    </row>
    <row r="87" spans="1:23" ht="7.5" customHeight="1">
      <c r="A87" s="1266"/>
      <c r="B87" s="1267"/>
      <c r="C87" s="1254"/>
      <c r="D87" s="1254"/>
      <c r="E87" s="1456"/>
      <c r="F87" s="1430"/>
      <c r="G87" s="1392"/>
      <c r="H87" s="1266"/>
      <c r="I87" s="1430"/>
      <c r="J87" s="1254"/>
      <c r="K87" s="1266"/>
      <c r="L87" s="1254"/>
      <c r="M87" s="1254"/>
      <c r="N87" s="1266"/>
      <c r="O87" s="1254"/>
      <c r="P87" s="1266"/>
      <c r="Q87" s="1266"/>
      <c r="R87" s="1254"/>
      <c r="S87" s="1266"/>
      <c r="T87" s="1266"/>
      <c r="U87" s="1266"/>
      <c r="V87" s="1266"/>
      <c r="W87" s="1266"/>
    </row>
    <row r="88" spans="1:23">
      <c r="A88" s="1266" t="s">
        <v>2035</v>
      </c>
      <c r="B88" s="1267"/>
      <c r="C88" s="1254">
        <v>-7042000</v>
      </c>
      <c r="D88" s="1254"/>
      <c r="E88" s="1254"/>
      <c r="F88" s="1534"/>
      <c r="G88" s="1392"/>
      <c r="H88" s="1266"/>
      <c r="K88" s="1266"/>
      <c r="L88" s="1254"/>
      <c r="M88" s="1254"/>
      <c r="N88" s="1266"/>
      <c r="O88" s="1254"/>
      <c r="P88" s="1266"/>
      <c r="Q88" s="1266"/>
      <c r="R88" s="1254"/>
      <c r="S88" s="1266"/>
      <c r="T88" s="1266"/>
      <c r="U88" s="1266"/>
      <c r="V88" s="1266"/>
      <c r="W88" s="1266"/>
    </row>
    <row r="89" spans="1:23">
      <c r="A89" s="1266" t="s">
        <v>2036</v>
      </c>
      <c r="B89" s="1267"/>
      <c r="C89" s="1254">
        <v>140750</v>
      </c>
      <c r="D89" s="1254"/>
      <c r="E89" s="1456"/>
      <c r="F89" s="1534"/>
      <c r="G89" s="1392"/>
      <c r="H89" s="1266"/>
      <c r="I89" s="1430"/>
      <c r="J89" s="1254"/>
      <c r="K89" s="1266"/>
      <c r="L89" s="1254"/>
      <c r="M89" s="1254"/>
      <c r="N89" s="1266"/>
      <c r="O89" s="1254"/>
      <c r="P89" s="1266"/>
      <c r="Q89" s="1266"/>
      <c r="R89" s="1254"/>
      <c r="S89" s="1266"/>
      <c r="T89" s="1266"/>
      <c r="U89" s="1266"/>
      <c r="V89" s="1266"/>
      <c r="W89" s="1266"/>
    </row>
    <row r="90" spans="1:23" ht="6" customHeight="1">
      <c r="A90" s="1266"/>
      <c r="B90" s="1267"/>
      <c r="C90" s="1254"/>
      <c r="D90" s="1254"/>
      <c r="E90" s="1456"/>
      <c r="F90" s="1430"/>
      <c r="G90" s="1534"/>
      <c r="H90" s="1266"/>
      <c r="I90" s="1430"/>
      <c r="J90" s="1254"/>
      <c r="K90" s="1266"/>
      <c r="L90" s="1254"/>
      <c r="M90" s="1254"/>
      <c r="N90" s="1266"/>
      <c r="O90" s="1254"/>
      <c r="P90" s="1266"/>
      <c r="Q90" s="1266"/>
      <c r="R90" s="1254"/>
      <c r="S90" s="1266"/>
      <c r="T90" s="1266"/>
      <c r="U90" s="1266"/>
      <c r="V90" s="1266"/>
      <c r="W90" s="1266"/>
    </row>
    <row r="91" spans="1:23" ht="13.5" thickBot="1">
      <c r="A91" s="1266" t="s">
        <v>2037</v>
      </c>
      <c r="B91" s="1267"/>
      <c r="C91" s="1293">
        <v>2127348.969072165</v>
      </c>
      <c r="D91" s="1277"/>
      <c r="E91" s="1456"/>
      <c r="F91" s="1534"/>
      <c r="G91" s="1534"/>
      <c r="H91" s="1266"/>
      <c r="I91" s="1430"/>
      <c r="J91" s="1254"/>
      <c r="K91" s="1266"/>
      <c r="L91" s="1254"/>
      <c r="M91" s="1254"/>
      <c r="N91" s="1266"/>
      <c r="O91" s="1254"/>
      <c r="P91" s="1266"/>
      <c r="Q91" s="1266"/>
      <c r="R91" s="1254"/>
      <c r="S91" s="1266"/>
      <c r="T91" s="1266"/>
      <c r="U91" s="1266"/>
      <c r="V91" s="1266"/>
      <c r="W91" s="1266"/>
    </row>
    <row r="92" spans="1:23" ht="13.5" thickTop="1">
      <c r="A92" s="1266"/>
      <c r="B92" s="1267"/>
      <c r="C92" s="1254"/>
      <c r="D92" s="1254"/>
      <c r="E92" s="1456"/>
      <c r="F92" s="1534"/>
      <c r="G92" s="1534"/>
      <c r="H92" s="1266"/>
      <c r="I92" s="1430"/>
      <c r="J92" s="1254"/>
      <c r="K92" s="1266"/>
      <c r="L92" s="1254"/>
      <c r="M92" s="1254"/>
      <c r="N92" s="1266"/>
      <c r="O92" s="1254"/>
      <c r="P92" s="1266"/>
      <c r="Q92" s="1266"/>
      <c r="R92" s="1254"/>
      <c r="S92" s="1266"/>
      <c r="T92" s="1266"/>
      <c r="U92" s="1266"/>
      <c r="V92" s="1266"/>
      <c r="W92" s="1266"/>
    </row>
    <row r="93" spans="1:23">
      <c r="A93" s="1266"/>
      <c r="B93" s="1267"/>
      <c r="C93" s="1277"/>
      <c r="D93" s="1277"/>
      <c r="E93" s="1456"/>
      <c r="F93" s="1534"/>
      <c r="G93" s="1534"/>
      <c r="H93" s="1266"/>
      <c r="I93" s="1430"/>
      <c r="J93" s="1254"/>
      <c r="K93" s="1266"/>
      <c r="L93" s="1254"/>
      <c r="M93" s="1254"/>
      <c r="N93" s="1266"/>
      <c r="O93" s="1254"/>
      <c r="P93" s="1266"/>
      <c r="Q93" s="1266"/>
      <c r="R93" s="1254"/>
      <c r="S93" s="1266"/>
      <c r="T93" s="1266"/>
      <c r="U93" s="1266"/>
      <c r="V93" s="1266"/>
      <c r="W93" s="1266"/>
    </row>
    <row r="94" spans="1:23">
      <c r="A94" s="1266" t="s">
        <v>2038</v>
      </c>
      <c r="B94" s="1267"/>
      <c r="C94" s="1277">
        <v>7042000</v>
      </c>
      <c r="D94" s="1277"/>
      <c r="E94" s="1456"/>
      <c r="F94" s="1534"/>
      <c r="G94" s="1534"/>
      <c r="H94" s="1266"/>
      <c r="I94" s="1430"/>
      <c r="J94" s="1254"/>
      <c r="K94" s="1266"/>
      <c r="L94" s="1254"/>
      <c r="M94" s="1254"/>
      <c r="N94" s="1266"/>
      <c r="O94" s="1254"/>
      <c r="P94" s="1266"/>
      <c r="Q94" s="1266"/>
      <c r="R94" s="1254"/>
      <c r="S94" s="1266"/>
      <c r="T94" s="1266"/>
      <c r="U94" s="1266"/>
      <c r="V94" s="1266"/>
      <c r="W94" s="1266"/>
    </row>
    <row r="95" spans="1:23">
      <c r="A95" s="1266" t="s">
        <v>2039</v>
      </c>
      <c r="B95" s="1267"/>
      <c r="C95" s="1277">
        <v>138750</v>
      </c>
      <c r="D95" s="1277"/>
      <c r="E95" s="1456"/>
      <c r="F95" s="1534"/>
      <c r="G95" s="1534"/>
      <c r="H95" s="1644">
        <v>0.11</v>
      </c>
      <c r="I95" s="1645">
        <f>SUMIF($E$7:$E$81,H95,$O$7:$O$81)</f>
        <v>190000</v>
      </c>
      <c r="J95" s="1254"/>
      <c r="K95" s="1266"/>
      <c r="L95" s="1254"/>
      <c r="M95" s="1254"/>
      <c r="N95" s="1266"/>
      <c r="O95" s="1254"/>
      <c r="P95" s="1266"/>
      <c r="Q95" s="1266"/>
      <c r="R95" s="1254"/>
      <c r="S95" s="1266"/>
      <c r="T95" s="1266"/>
      <c r="U95" s="1266"/>
      <c r="V95" s="1266"/>
      <c r="W95" s="1266"/>
    </row>
    <row r="96" spans="1:23">
      <c r="A96" s="1266" t="s">
        <v>2036</v>
      </c>
      <c r="B96" s="1267"/>
      <c r="C96" s="1277">
        <v>-140750</v>
      </c>
      <c r="D96" s="1277"/>
      <c r="E96" s="1456"/>
      <c r="F96" s="1534"/>
      <c r="G96" s="1534"/>
      <c r="H96" s="1646">
        <v>0.13</v>
      </c>
      <c r="I96" s="1647">
        <f t="shared" ref="I96:I97" si="0">SUMIF($E$7:$E$81,H96,$O$7:$O$81)</f>
        <v>620404</v>
      </c>
      <c r="J96" s="1254"/>
      <c r="K96" s="1266"/>
      <c r="L96" s="1254"/>
      <c r="M96" s="1254"/>
      <c r="N96" s="1266"/>
      <c r="O96" s="1254"/>
      <c r="P96" s="1266"/>
      <c r="Q96" s="1266"/>
      <c r="R96" s="1254"/>
      <c r="S96" s="1266"/>
      <c r="T96" s="1266"/>
      <c r="U96" s="1266"/>
      <c r="V96" s="1266"/>
      <c r="W96" s="1266"/>
    </row>
    <row r="97" spans="1:23">
      <c r="A97" s="1266" t="s">
        <v>2040</v>
      </c>
      <c r="B97" s="1267"/>
      <c r="C97" s="1288">
        <v>-5403596</v>
      </c>
      <c r="D97" s="1277"/>
      <c r="E97" s="1456"/>
      <c r="F97" s="1534"/>
      <c r="G97" s="1534"/>
      <c r="H97" s="1648">
        <v>0.4</v>
      </c>
      <c r="I97" s="1649">
        <f t="shared" si="0"/>
        <v>826000</v>
      </c>
      <c r="J97" s="1254"/>
      <c r="K97" s="1266"/>
      <c r="L97" s="1254"/>
      <c r="M97" s="1254"/>
      <c r="N97" s="1266"/>
      <c r="O97" s="1254"/>
      <c r="P97" s="1266"/>
      <c r="Q97" s="1266"/>
      <c r="R97" s="1254"/>
      <c r="S97" s="1266"/>
      <c r="T97" s="1266"/>
      <c r="U97" s="1266"/>
      <c r="V97" s="1266"/>
      <c r="W97" s="1266"/>
    </row>
    <row r="98" spans="1:23" ht="9" customHeight="1">
      <c r="A98" s="1266"/>
      <c r="B98" s="1267"/>
      <c r="C98" s="1277"/>
      <c r="D98" s="1277"/>
      <c r="E98" s="1456"/>
      <c r="F98" s="1534"/>
      <c r="G98" s="1534"/>
      <c r="H98" s="1650"/>
      <c r="I98" s="1647"/>
      <c r="J98" s="1254"/>
      <c r="K98" s="1266"/>
      <c r="L98" s="1254"/>
      <c r="M98" s="1254"/>
      <c r="N98" s="1266"/>
      <c r="O98" s="1254"/>
      <c r="P98" s="1266"/>
      <c r="Q98" s="1266"/>
      <c r="R98" s="1254"/>
      <c r="S98" s="1266"/>
      <c r="T98" s="1266"/>
      <c r="U98" s="1266"/>
      <c r="V98" s="1266"/>
      <c r="W98" s="1266"/>
    </row>
    <row r="99" spans="1:23" ht="13.5" thickBot="1">
      <c r="A99" s="1266" t="s">
        <v>2041</v>
      </c>
      <c r="B99" s="1267"/>
      <c r="C99" s="1305">
        <v>1636404</v>
      </c>
      <c r="D99" s="1277"/>
      <c r="E99" s="1456"/>
      <c r="F99" s="1534"/>
      <c r="G99" s="1534"/>
      <c r="H99" s="1651"/>
      <c r="I99" s="1652">
        <v>0</v>
      </c>
      <c r="J99" s="1266"/>
      <c r="K99" s="1254"/>
      <c r="L99" s="1254"/>
      <c r="M99" s="1266"/>
      <c r="N99" s="1254"/>
      <c r="O99" s="1266"/>
      <c r="P99" s="1254"/>
      <c r="Q99" s="1254"/>
      <c r="R99" s="1266"/>
      <c r="S99" s="1266"/>
      <c r="T99" s="1266"/>
      <c r="U99" s="1266"/>
      <c r="V99" s="1266"/>
    </row>
    <row r="100" spans="1:23" ht="13.5" thickTop="1">
      <c r="A100" s="1266"/>
      <c r="B100" s="1267"/>
      <c r="C100" s="1277"/>
      <c r="D100" s="1277"/>
      <c r="E100" s="1456"/>
      <c r="F100" s="1430"/>
      <c r="G100" s="1534"/>
      <c r="H100" s="1266"/>
      <c r="I100" s="1430"/>
      <c r="J100" s="1254"/>
      <c r="K100" s="1266"/>
      <c r="L100" s="1254"/>
      <c r="M100" s="1254"/>
      <c r="N100" s="1266"/>
      <c r="O100" s="1254"/>
      <c r="P100" s="1266"/>
      <c r="Q100" s="1266"/>
      <c r="R100" s="1254"/>
      <c r="S100" s="1266"/>
      <c r="T100" s="1266"/>
      <c r="U100" s="1266"/>
      <c r="V100" s="1266"/>
      <c r="W100" s="1266"/>
    </row>
    <row r="101" spans="1:23" ht="13.5" thickBot="1">
      <c r="A101" s="1266" t="s">
        <v>2042</v>
      </c>
      <c r="B101" s="1267"/>
      <c r="C101" s="1305">
        <v>3763752.969072165</v>
      </c>
      <c r="D101" s="1277"/>
      <c r="E101" s="1277"/>
      <c r="F101" s="1534"/>
      <c r="G101" s="1534"/>
      <c r="H101" s="1266"/>
      <c r="I101" s="1430"/>
      <c r="J101" s="1254"/>
      <c r="K101" s="1266"/>
      <c r="L101" s="1254"/>
      <c r="M101" s="1254"/>
      <c r="N101" s="1266"/>
      <c r="O101" s="1254"/>
      <c r="P101" s="1266"/>
      <c r="Q101" s="1266"/>
      <c r="R101" s="1254"/>
      <c r="S101" s="1266"/>
      <c r="T101" s="1266"/>
      <c r="U101" s="1266"/>
      <c r="V101" s="1266"/>
      <c r="W101" s="1266"/>
    </row>
    <row r="102" spans="1:23" ht="13.5" thickTop="1">
      <c r="A102" s="1266"/>
      <c r="B102" s="1267"/>
      <c r="C102" s="1254"/>
      <c r="D102" s="1254"/>
      <c r="E102" s="1456"/>
      <c r="F102" s="1430"/>
      <c r="G102" s="1534"/>
      <c r="H102" s="1266"/>
      <c r="I102" s="1430"/>
      <c r="J102" s="1254"/>
      <c r="K102" s="1266"/>
      <c r="L102" s="1254"/>
      <c r="M102" s="1254"/>
      <c r="N102" s="1266"/>
      <c r="O102" s="1254"/>
      <c r="P102" s="1266"/>
      <c r="Q102" s="1266"/>
      <c r="R102" s="1254"/>
      <c r="S102" s="1266"/>
      <c r="T102" s="1266"/>
      <c r="U102" s="1266"/>
      <c r="V102" s="1266"/>
      <c r="W102" s="1266"/>
    </row>
    <row r="103" spans="1:23">
      <c r="A103" s="1266"/>
      <c r="B103" s="1267"/>
      <c r="C103" s="1254"/>
      <c r="D103" s="1254"/>
      <c r="E103" s="1456"/>
      <c r="F103" s="1430"/>
      <c r="G103" s="1534"/>
      <c r="H103" s="1266"/>
      <c r="I103" s="1430"/>
      <c r="J103" s="1254"/>
      <c r="K103" s="1266"/>
      <c r="L103" s="1254"/>
      <c r="M103" s="1254"/>
      <c r="N103" s="1266"/>
      <c r="O103" s="1254"/>
      <c r="P103" s="1266"/>
      <c r="Q103" s="1266"/>
      <c r="R103" s="1254"/>
      <c r="S103" s="1266"/>
      <c r="T103" s="1266"/>
      <c r="U103" s="1266"/>
      <c r="V103" s="1266"/>
      <c r="W103" s="1266"/>
    </row>
    <row r="104" spans="1:23">
      <c r="A104" s="1266"/>
      <c r="B104" s="1267"/>
      <c r="C104" s="1254"/>
      <c r="D104" s="1254"/>
      <c r="E104" s="1456"/>
      <c r="F104" s="1430"/>
      <c r="G104" s="1534"/>
      <c r="H104" s="1266"/>
      <c r="I104" s="1430"/>
      <c r="J104" s="1254"/>
      <c r="K104" s="1266"/>
      <c r="L104" s="1254"/>
      <c r="M104" s="1254"/>
      <c r="N104" s="1266"/>
      <c r="O104" s="1254"/>
      <c r="P104" s="1266"/>
      <c r="Q104" s="1266"/>
      <c r="R104" s="1254"/>
      <c r="S104" s="1266"/>
      <c r="T104" s="1266"/>
      <c r="U104" s="1266"/>
      <c r="V104" s="1266"/>
      <c r="W104" s="1266"/>
    </row>
    <row r="105" spans="1:23">
      <c r="U105" s="1266"/>
      <c r="V105" s="1266"/>
      <c r="W105" s="1266"/>
    </row>
    <row r="106" spans="1:23">
      <c r="A106" s="1495" t="s">
        <v>1995</v>
      </c>
      <c r="B106" s="1267"/>
      <c r="C106" s="1254"/>
      <c r="D106" s="1254"/>
      <c r="T106" s="1266"/>
      <c r="U106" s="1266"/>
      <c r="V106" s="1266"/>
      <c r="W106" s="1266"/>
    </row>
    <row r="107" spans="1:23">
      <c r="A107" s="1500"/>
      <c r="B107" s="1267"/>
      <c r="C107" s="1254"/>
      <c r="D107" s="1254"/>
      <c r="E107" s="1456"/>
      <c r="F107" s="1430"/>
      <c r="G107" s="1392"/>
      <c r="H107" s="1266"/>
      <c r="I107" s="1430"/>
      <c r="J107" s="1254"/>
      <c r="K107" s="1266"/>
      <c r="L107" s="1254"/>
      <c r="M107" s="1254"/>
      <c r="N107" s="1266"/>
      <c r="O107" s="1254"/>
      <c r="P107" s="1266"/>
      <c r="Q107" s="1266"/>
      <c r="R107" s="1254"/>
      <c r="S107" s="1266"/>
      <c r="T107" s="1266"/>
      <c r="U107" s="1266"/>
      <c r="V107" s="1266"/>
      <c r="W107" s="1266"/>
    </row>
    <row r="108" spans="1:23" ht="15.75" customHeight="1">
      <c r="A108" s="1502" t="s">
        <v>2043</v>
      </c>
      <c r="B108" s="1535"/>
      <c r="C108" s="1535"/>
      <c r="D108" s="1535"/>
      <c r="E108" s="1535"/>
      <c r="F108" s="1535"/>
      <c r="G108" s="1535"/>
      <c r="H108" s="1535"/>
      <c r="I108" s="1535"/>
      <c r="J108" s="1535"/>
      <c r="K108" s="1535"/>
      <c r="L108" s="1535"/>
      <c r="M108" s="1535"/>
      <c r="N108" s="1535"/>
      <c r="O108" s="1535"/>
      <c r="P108" s="1535"/>
      <c r="Q108" s="1535"/>
      <c r="T108" s="1266"/>
      <c r="U108" s="1266"/>
      <c r="V108" s="1266"/>
      <c r="W108" s="1266"/>
    </row>
    <row r="109" spans="1:23" ht="15.75" customHeight="1">
      <c r="A109" s="1502" t="s">
        <v>2044</v>
      </c>
      <c r="B109" s="1535"/>
      <c r="C109" s="1535"/>
      <c r="D109" s="1535"/>
      <c r="E109" s="1535"/>
      <c r="F109" s="1535"/>
      <c r="G109" s="1535"/>
      <c r="H109" s="1535"/>
      <c r="I109" s="1535"/>
      <c r="J109" s="1535"/>
      <c r="K109" s="1535"/>
      <c r="L109" s="1535"/>
      <c r="M109" s="1535"/>
      <c r="N109" s="1535"/>
      <c r="O109" s="1535"/>
      <c r="P109" s="1535"/>
      <c r="Q109" s="1535"/>
      <c r="T109" s="1266"/>
      <c r="U109" s="1266"/>
      <c r="V109" s="1266"/>
      <c r="W109" s="1266"/>
    </row>
    <row r="110" spans="1:23" ht="15.75" customHeight="1">
      <c r="A110" s="1502" t="s">
        <v>2045</v>
      </c>
      <c r="C110" s="1536"/>
      <c r="D110" s="1536"/>
      <c r="E110" s="1535"/>
      <c r="F110" s="1535"/>
      <c r="G110" s="1535"/>
      <c r="H110" s="1535"/>
      <c r="I110" s="1535"/>
      <c r="J110" s="1535"/>
      <c r="K110" s="1535"/>
      <c r="L110" s="1535"/>
      <c r="M110" s="1535"/>
      <c r="N110" s="1535"/>
      <c r="O110" s="1535"/>
      <c r="P110" s="1535"/>
      <c r="Q110" s="1535"/>
      <c r="R110" s="1535"/>
      <c r="S110" s="1535"/>
      <c r="T110" s="1266"/>
      <c r="U110" s="1266"/>
      <c r="V110" s="1266"/>
      <c r="W110" s="1266"/>
    </row>
    <row r="111" spans="1:23" ht="15.75" customHeight="1">
      <c r="A111" s="1502" t="s">
        <v>2046</v>
      </c>
      <c r="C111" s="1536"/>
      <c r="D111" s="1536"/>
      <c r="E111" s="1535"/>
      <c r="F111" s="1535"/>
      <c r="G111" s="1535"/>
      <c r="H111" s="1535"/>
      <c r="I111" s="1535"/>
      <c r="J111" s="1535"/>
      <c r="K111" s="1535"/>
      <c r="L111" s="1535"/>
      <c r="M111" s="1535"/>
      <c r="N111" s="1535"/>
      <c r="O111" s="1535"/>
      <c r="P111" s="1535"/>
      <c r="Q111" s="1535"/>
      <c r="R111" s="1535"/>
      <c r="S111" s="1535"/>
      <c r="T111" s="1266"/>
      <c r="U111" s="1266"/>
      <c r="V111" s="1266"/>
      <c r="W111" s="1266"/>
    </row>
    <row r="112" spans="1:23">
      <c r="A112" s="1502" t="s">
        <v>2047</v>
      </c>
      <c r="B112" s="1266"/>
      <c r="C112" s="1254"/>
      <c r="D112" s="1254"/>
      <c r="E112" s="1266"/>
      <c r="F112" s="1266"/>
      <c r="G112" s="1266"/>
      <c r="H112" s="1266"/>
      <c r="I112" s="1267"/>
      <c r="J112" s="1266"/>
      <c r="K112" s="1266"/>
      <c r="L112" s="1266"/>
      <c r="M112" s="1266"/>
      <c r="N112" s="1266"/>
      <c r="O112" s="1266"/>
      <c r="P112" s="1266"/>
      <c r="Q112" s="1266"/>
      <c r="R112" s="1266"/>
      <c r="S112" s="1266"/>
      <c r="T112" s="1266"/>
      <c r="U112" s="1266"/>
      <c r="V112" s="1266"/>
      <c r="W112" s="1266"/>
    </row>
    <row r="113" spans="1:23">
      <c r="A113" s="1266"/>
      <c r="B113" s="1267"/>
      <c r="C113" s="1254"/>
      <c r="D113" s="1254"/>
      <c r="E113" s="1456"/>
      <c r="F113" s="1430"/>
      <c r="G113" s="1392"/>
      <c r="H113" s="1266"/>
      <c r="I113" s="1430"/>
      <c r="J113" s="1254"/>
      <c r="K113" s="1266"/>
      <c r="L113" s="1254"/>
      <c r="M113" s="1254"/>
      <c r="N113" s="1266"/>
      <c r="O113" s="1254"/>
      <c r="P113" s="1266"/>
      <c r="Q113" s="1266"/>
      <c r="R113" s="1254"/>
      <c r="S113" s="1266"/>
      <c r="T113" s="1266"/>
      <c r="U113" s="1266"/>
      <c r="V113" s="1266"/>
      <c r="W113" s="1266"/>
    </row>
    <row r="114" spans="1:23">
      <c r="A114" s="1266"/>
      <c r="S114" s="1266"/>
      <c r="T114" s="1266"/>
      <c r="U114" s="1266"/>
      <c r="V114" s="1266"/>
      <c r="W114" s="1266"/>
    </row>
    <row r="115" spans="1:23">
      <c r="A115" s="1266"/>
      <c r="S115" s="1266"/>
      <c r="T115" s="1266"/>
      <c r="U115" s="1266"/>
      <c r="V115" s="1266"/>
      <c r="W115" s="1266"/>
    </row>
    <row r="116" spans="1:23">
      <c r="A116" s="1266"/>
      <c r="C116" s="1537"/>
      <c r="S116" s="1266"/>
      <c r="T116" s="1266"/>
      <c r="U116" s="1266"/>
      <c r="V116" s="1266"/>
      <c r="W116" s="1266"/>
    </row>
    <row r="117" spans="1:23">
      <c r="A117" s="1266"/>
      <c r="B117" s="1267"/>
      <c r="C117" s="1254"/>
      <c r="D117" s="1254"/>
      <c r="E117" s="1456"/>
      <c r="F117" s="1430"/>
      <c r="G117" s="1392"/>
      <c r="H117" s="1266"/>
      <c r="I117" s="1430"/>
      <c r="J117" s="1254"/>
      <c r="K117" s="1266"/>
      <c r="L117" s="1254"/>
      <c r="M117" s="1254"/>
      <c r="N117" s="1266"/>
      <c r="O117" s="1254"/>
      <c r="P117" s="1266"/>
      <c r="Q117" s="1266"/>
      <c r="R117" s="1254"/>
      <c r="S117" s="1266"/>
      <c r="T117" s="1266"/>
      <c r="U117" s="1266"/>
      <c r="V117" s="1266"/>
      <c r="W117" s="1266"/>
    </row>
    <row r="118" spans="1:23">
      <c r="A118" s="1266"/>
      <c r="B118" s="1267"/>
      <c r="C118" s="1254"/>
      <c r="D118" s="1254"/>
      <c r="E118" s="1456"/>
      <c r="F118" s="1430"/>
      <c r="G118" s="1392"/>
      <c r="H118" s="1266"/>
      <c r="I118" s="1430"/>
      <c r="J118" s="1254"/>
      <c r="K118" s="1266"/>
      <c r="L118" s="1254"/>
      <c r="M118" s="1254"/>
      <c r="N118" s="1266"/>
      <c r="O118" s="1254"/>
      <c r="P118" s="1266"/>
      <c r="Q118" s="1266"/>
      <c r="R118" s="1254"/>
      <c r="S118" s="1266"/>
      <c r="T118" s="1266"/>
      <c r="U118" s="1266"/>
      <c r="V118" s="1266"/>
      <c r="W118" s="1266"/>
    </row>
    <row r="119" spans="1:23">
      <c r="A119" s="1266"/>
      <c r="B119" s="1267"/>
      <c r="C119" s="1254"/>
      <c r="D119" s="1254"/>
      <c r="E119" s="1456"/>
      <c r="F119" s="1430"/>
      <c r="G119" s="1392"/>
      <c r="H119" s="1266"/>
      <c r="I119" s="1430"/>
      <c r="J119" s="1254"/>
      <c r="K119" s="1266"/>
      <c r="L119" s="1254"/>
      <c r="M119" s="1254"/>
      <c r="N119" s="1266"/>
      <c r="O119" s="1254"/>
      <c r="P119" s="1266"/>
      <c r="Q119" s="1266"/>
      <c r="R119" s="1254"/>
      <c r="S119" s="1266"/>
      <c r="T119" s="1266"/>
      <c r="U119" s="1266"/>
      <c r="V119" s="1266"/>
      <c r="W119" s="1266"/>
    </row>
    <row r="120" spans="1:23">
      <c r="A120" s="1266"/>
      <c r="B120" s="1267"/>
      <c r="C120" s="1254"/>
      <c r="D120" s="1254"/>
      <c r="E120" s="1456"/>
      <c r="F120" s="1430"/>
      <c r="G120" s="1392"/>
      <c r="H120" s="1266"/>
      <c r="I120" s="1430"/>
      <c r="J120" s="1254"/>
      <c r="K120" s="1266"/>
      <c r="L120" s="1254"/>
      <c r="M120" s="1254"/>
      <c r="N120" s="1266"/>
      <c r="O120" s="1254"/>
      <c r="P120" s="1266"/>
      <c r="Q120" s="1266"/>
      <c r="R120" s="1254"/>
      <c r="S120" s="1266"/>
      <c r="T120" s="1266"/>
      <c r="U120" s="1266"/>
      <c r="V120" s="1266"/>
      <c r="W120" s="1266"/>
    </row>
    <row r="121" spans="1:23">
      <c r="A121" s="1266"/>
      <c r="B121" s="1267"/>
      <c r="C121" s="1254"/>
      <c r="D121" s="1254"/>
      <c r="E121" s="1456"/>
      <c r="F121" s="1430"/>
      <c r="G121" s="1392"/>
      <c r="H121" s="1266"/>
      <c r="I121" s="1430"/>
      <c r="J121" s="1254"/>
      <c r="K121" s="1266"/>
      <c r="L121" s="1254"/>
      <c r="M121" s="1254"/>
      <c r="N121" s="1266"/>
      <c r="O121" s="1254"/>
      <c r="P121" s="1266"/>
      <c r="Q121" s="1266"/>
      <c r="R121" s="1254"/>
      <c r="S121" s="1266"/>
      <c r="T121" s="1266"/>
      <c r="U121" s="1266"/>
      <c r="V121" s="1266"/>
      <c r="W121" s="1266"/>
    </row>
    <row r="122" spans="1:23">
      <c r="A122" s="1266"/>
      <c r="B122" s="1267"/>
      <c r="C122" s="1254"/>
      <c r="D122" s="1254"/>
      <c r="E122" s="1456"/>
      <c r="F122" s="1430"/>
      <c r="G122" s="1392"/>
      <c r="H122" s="1266"/>
      <c r="I122" s="1430"/>
      <c r="J122" s="1254"/>
      <c r="K122" s="1266"/>
      <c r="L122" s="1254"/>
      <c r="M122" s="1254"/>
      <c r="N122" s="1266"/>
      <c r="O122" s="1254"/>
      <c r="P122" s="1266"/>
      <c r="Q122" s="1266"/>
      <c r="R122" s="1254"/>
      <c r="S122" s="1266"/>
      <c r="T122" s="1266"/>
      <c r="U122" s="1266"/>
      <c r="V122" s="1266"/>
      <c r="W122" s="1266"/>
    </row>
    <row r="123" spans="1:23">
      <c r="A123" s="1266"/>
      <c r="B123" s="1267"/>
      <c r="C123" s="1254"/>
      <c r="D123" s="1254"/>
      <c r="E123" s="1456"/>
      <c r="F123" s="1430"/>
      <c r="G123" s="1392"/>
      <c r="H123" s="1266"/>
      <c r="I123" s="1430"/>
      <c r="J123" s="1254"/>
      <c r="K123" s="1266"/>
      <c r="L123" s="1254"/>
      <c r="M123" s="1254"/>
      <c r="N123" s="1266"/>
      <c r="O123" s="1254"/>
      <c r="P123" s="1266"/>
      <c r="Q123" s="1266"/>
      <c r="R123" s="1254"/>
      <c r="S123" s="1266"/>
      <c r="T123" s="1266"/>
      <c r="U123" s="1266"/>
      <c r="V123" s="1266"/>
      <c r="W123" s="1266"/>
    </row>
    <row r="124" spans="1:23">
      <c r="A124" s="1266"/>
      <c r="B124" s="1267"/>
      <c r="C124" s="1254"/>
      <c r="D124" s="1254"/>
      <c r="E124" s="1456"/>
      <c r="F124" s="1430"/>
      <c r="G124" s="1392"/>
      <c r="H124" s="1266"/>
      <c r="I124" s="1430"/>
      <c r="J124" s="1254"/>
      <c r="K124" s="1266"/>
      <c r="L124" s="1254"/>
      <c r="M124" s="1254"/>
      <c r="N124" s="1266"/>
      <c r="O124" s="1254"/>
      <c r="P124" s="1266"/>
      <c r="Q124" s="1266"/>
      <c r="R124" s="1254"/>
      <c r="S124" s="1266"/>
      <c r="T124" s="1266"/>
      <c r="U124" s="1266"/>
      <c r="V124" s="1266"/>
      <c r="W124" s="1266"/>
    </row>
    <row r="125" spans="1:23">
      <c r="A125" s="1266"/>
      <c r="B125" s="1267"/>
      <c r="C125" s="1254"/>
      <c r="D125" s="1254"/>
      <c r="E125" s="1456"/>
      <c r="F125" s="1430"/>
      <c r="G125" s="1392"/>
      <c r="H125" s="1266"/>
      <c r="I125" s="1430"/>
      <c r="J125" s="1254"/>
      <c r="K125" s="1266"/>
      <c r="L125" s="1254"/>
      <c r="M125" s="1254"/>
      <c r="N125" s="1266"/>
      <c r="O125" s="1254"/>
      <c r="P125" s="1266"/>
      <c r="Q125" s="1266"/>
      <c r="R125" s="1254"/>
      <c r="S125" s="1266"/>
      <c r="T125" s="1266"/>
      <c r="U125" s="1266"/>
      <c r="V125" s="1266"/>
      <c r="W125" s="1266"/>
    </row>
    <row r="126" spans="1:23">
      <c r="A126" s="1266"/>
      <c r="B126" s="1267"/>
      <c r="C126" s="1254"/>
      <c r="D126" s="1254"/>
      <c r="E126" s="1456"/>
      <c r="F126" s="1430"/>
      <c r="G126" s="1392"/>
      <c r="H126" s="1266"/>
      <c r="I126" s="1430"/>
      <c r="J126" s="1254"/>
      <c r="K126" s="1266"/>
      <c r="L126" s="1254"/>
      <c r="M126" s="1254"/>
      <c r="N126" s="1266"/>
      <c r="O126" s="1254"/>
      <c r="P126" s="1266"/>
      <c r="Q126" s="1266"/>
      <c r="R126" s="1254"/>
      <c r="S126" s="1266"/>
      <c r="T126" s="1266"/>
      <c r="U126" s="1266"/>
      <c r="V126" s="1266"/>
      <c r="W126" s="1266"/>
    </row>
    <row r="127" spans="1:23">
      <c r="A127" s="1266"/>
      <c r="B127" s="1267"/>
      <c r="C127" s="1254"/>
      <c r="D127" s="1254"/>
      <c r="E127" s="1456"/>
      <c r="F127" s="1430"/>
      <c r="G127" s="1392"/>
      <c r="H127" s="1266"/>
      <c r="I127" s="1430"/>
      <c r="J127" s="1254"/>
      <c r="K127" s="1266"/>
      <c r="L127" s="1254"/>
      <c r="M127" s="1254"/>
      <c r="N127" s="1266"/>
      <c r="O127" s="1254"/>
      <c r="P127" s="1266"/>
      <c r="Q127" s="1266"/>
      <c r="R127" s="1254"/>
      <c r="S127" s="1266"/>
      <c r="T127" s="1266"/>
      <c r="U127" s="1266"/>
      <c r="V127" s="1266"/>
      <c r="W127" s="1266"/>
    </row>
    <row r="128" spans="1:23">
      <c r="A128" s="1266"/>
      <c r="B128" s="1267"/>
      <c r="C128" s="1254"/>
      <c r="D128" s="1254"/>
      <c r="E128" s="1456"/>
      <c r="F128" s="1430"/>
      <c r="G128" s="1392"/>
      <c r="H128" s="1266"/>
      <c r="I128" s="1430"/>
      <c r="J128" s="1254"/>
      <c r="K128" s="1266"/>
      <c r="L128" s="1254"/>
      <c r="M128" s="1254"/>
      <c r="N128" s="1266"/>
      <c r="O128" s="1254"/>
      <c r="P128" s="1266"/>
      <c r="Q128" s="1266"/>
      <c r="R128" s="1254"/>
      <c r="S128" s="1266"/>
      <c r="T128" s="1266"/>
      <c r="U128" s="1266"/>
      <c r="V128" s="1266"/>
      <c r="W128" s="1266"/>
    </row>
    <row r="129" spans="1:23">
      <c r="A129" s="1266"/>
      <c r="B129" s="1267"/>
      <c r="C129" s="1254"/>
      <c r="D129" s="1254"/>
      <c r="E129" s="1456"/>
      <c r="F129" s="1430"/>
      <c r="G129" s="1392"/>
      <c r="H129" s="1266"/>
      <c r="I129" s="1430"/>
      <c r="J129" s="1254"/>
      <c r="K129" s="1266"/>
      <c r="L129" s="1254"/>
      <c r="M129" s="1254"/>
      <c r="N129" s="1266"/>
      <c r="O129" s="1254"/>
      <c r="P129" s="1266"/>
      <c r="Q129" s="1266"/>
      <c r="R129" s="1254"/>
      <c r="S129" s="1266"/>
      <c r="T129" s="1266"/>
      <c r="U129" s="1266"/>
      <c r="V129" s="1266"/>
      <c r="W129" s="1266"/>
    </row>
    <row r="130" spans="1:23">
      <c r="A130" s="1266"/>
      <c r="B130" s="1267"/>
      <c r="C130" s="1254"/>
      <c r="D130" s="1254"/>
      <c r="G130" s="1392"/>
      <c r="H130" s="1266"/>
      <c r="I130" s="1430"/>
      <c r="J130" s="1254"/>
      <c r="K130" s="1266"/>
      <c r="L130" s="1254"/>
      <c r="M130" s="1254"/>
      <c r="N130" s="1266"/>
      <c r="O130" s="1254"/>
      <c r="P130" s="1266"/>
      <c r="Q130" s="1266"/>
      <c r="R130" s="1254"/>
      <c r="S130" s="1266"/>
      <c r="T130" s="1266"/>
      <c r="U130" s="1266"/>
      <c r="V130" s="1266"/>
      <c r="W130" s="1266"/>
    </row>
    <row r="131" spans="1:23">
      <c r="A131" s="1266"/>
      <c r="B131" s="1267"/>
      <c r="C131" s="1254"/>
      <c r="D131" s="1254"/>
      <c r="G131" s="1392"/>
      <c r="H131" s="1266"/>
      <c r="I131" s="1430"/>
      <c r="J131" s="1254"/>
      <c r="K131" s="1266"/>
      <c r="L131" s="1254"/>
      <c r="M131" s="1254"/>
      <c r="N131" s="1266"/>
      <c r="O131" s="1254"/>
      <c r="P131" s="1266"/>
      <c r="Q131" s="1266"/>
      <c r="R131" s="1254"/>
      <c r="S131" s="1266"/>
      <c r="T131" s="1266"/>
      <c r="U131" s="1266"/>
      <c r="V131" s="1266"/>
      <c r="W131" s="1266"/>
    </row>
    <row r="132" spans="1:23">
      <c r="A132" s="1266"/>
      <c r="B132" s="1267"/>
      <c r="C132" s="1254"/>
      <c r="D132" s="1254"/>
      <c r="G132" s="1392"/>
      <c r="H132" s="1266"/>
      <c r="I132" s="1430"/>
      <c r="J132" s="1254"/>
      <c r="K132" s="1266"/>
      <c r="L132" s="1254"/>
      <c r="M132" s="1254"/>
      <c r="N132" s="1266"/>
      <c r="O132" s="1254"/>
      <c r="P132" s="1266"/>
      <c r="Q132" s="1266"/>
      <c r="R132" s="1254"/>
      <c r="S132" s="1266"/>
      <c r="T132" s="1266"/>
      <c r="U132" s="1266"/>
      <c r="V132" s="1266"/>
      <c r="W132" s="1266"/>
    </row>
    <row r="133" spans="1:23">
      <c r="A133" s="1266"/>
      <c r="B133" s="1267"/>
      <c r="C133" s="1254"/>
      <c r="D133" s="1254"/>
      <c r="E133"/>
      <c r="F133" s="1430"/>
      <c r="G133" s="1392"/>
      <c r="H133" s="1266"/>
      <c r="I133" s="1430"/>
      <c r="J133" s="1254"/>
      <c r="K133" s="1266"/>
      <c r="L133" s="1254"/>
      <c r="M133" s="1254"/>
      <c r="N133" s="1266"/>
      <c r="O133" s="1254"/>
      <c r="P133" s="1266"/>
      <c r="Q133" s="1266"/>
      <c r="R133" s="1254"/>
      <c r="S133" s="1266"/>
      <c r="T133" s="1266"/>
      <c r="U133" s="1266"/>
      <c r="V133" s="1266"/>
      <c r="W133" s="1266"/>
    </row>
    <row r="134" spans="1:23">
      <c r="A134" s="1266"/>
      <c r="B134" s="1267"/>
      <c r="C134" s="1254"/>
      <c r="D134" s="1254"/>
      <c r="E134"/>
      <c r="F134" s="1430"/>
      <c r="G134" s="1392"/>
      <c r="H134" s="1266"/>
      <c r="I134" s="1430"/>
      <c r="J134" s="1254"/>
      <c r="K134" s="1266"/>
      <c r="L134" s="1254"/>
      <c r="M134" s="1254"/>
      <c r="N134" s="1266"/>
      <c r="O134" s="1254"/>
      <c r="P134" s="1266"/>
      <c r="Q134" s="1266"/>
      <c r="R134" s="1254"/>
      <c r="S134" s="1266"/>
      <c r="T134" s="1266"/>
      <c r="U134" s="1266"/>
      <c r="V134" s="1266"/>
      <c r="W134" s="1266"/>
    </row>
    <row r="135" spans="1:23">
      <c r="A135" s="1266"/>
      <c r="B135" s="1267"/>
      <c r="C135" s="1254"/>
      <c r="D135" s="1254"/>
      <c r="E135"/>
      <c r="F135" s="1430"/>
      <c r="G135" s="1392"/>
      <c r="H135" s="1266"/>
      <c r="I135" s="1430"/>
      <c r="J135" s="1254"/>
      <c r="K135" s="1266"/>
      <c r="L135" s="1254"/>
      <c r="M135" s="1254"/>
      <c r="N135" s="1266"/>
      <c r="O135" s="1254"/>
      <c r="P135" s="1266"/>
      <c r="Q135" s="1266"/>
      <c r="R135" s="1254"/>
      <c r="S135" s="1266"/>
      <c r="T135" s="1266"/>
      <c r="U135" s="1266"/>
      <c r="V135" s="1266"/>
      <c r="W135" s="1266"/>
    </row>
    <row r="136" spans="1:23">
      <c r="A136" s="1266"/>
      <c r="B136" s="1267"/>
      <c r="C136" s="1254"/>
      <c r="D136" s="1254"/>
      <c r="E136"/>
      <c r="F136" s="1430"/>
      <c r="G136" s="1392"/>
      <c r="H136" s="1266"/>
      <c r="I136" s="1430"/>
      <c r="J136" s="1254"/>
      <c r="K136" s="1266"/>
      <c r="L136" s="1254"/>
      <c r="M136" s="1254"/>
      <c r="N136" s="1266"/>
      <c r="O136" s="1254"/>
      <c r="P136" s="1266"/>
      <c r="Q136" s="1266"/>
      <c r="R136" s="1254"/>
      <c r="S136" s="1266"/>
      <c r="T136" s="1266"/>
      <c r="U136" s="1266"/>
      <c r="V136" s="1266"/>
      <c r="W136" s="1266"/>
    </row>
    <row r="137" spans="1:23">
      <c r="A137" s="1266"/>
      <c r="B137" s="1267"/>
      <c r="C137" s="1254"/>
      <c r="D137" s="1254"/>
      <c r="E137"/>
      <c r="F137" s="1430"/>
      <c r="G137" s="1392"/>
      <c r="H137" s="1266"/>
      <c r="I137" s="1430"/>
      <c r="J137" s="1254"/>
      <c r="K137" s="1266"/>
      <c r="L137" s="1254"/>
      <c r="M137" s="1254"/>
      <c r="N137" s="1266"/>
      <c r="O137" s="1254"/>
      <c r="P137" s="1266"/>
      <c r="Q137" s="1266"/>
      <c r="R137" s="1254"/>
      <c r="S137" s="1266"/>
      <c r="T137" s="1266"/>
      <c r="U137" s="1266"/>
      <c r="V137" s="1266"/>
      <c r="W137" s="1266"/>
    </row>
    <row r="138" spans="1:23">
      <c r="A138" s="1266"/>
      <c r="B138" s="1267"/>
      <c r="C138" s="1254"/>
      <c r="D138" s="1254"/>
      <c r="E138"/>
      <c r="F138" s="1430"/>
      <c r="G138" s="1392"/>
      <c r="H138" s="1266"/>
      <c r="I138" s="1430"/>
      <c r="J138" s="1254"/>
      <c r="K138" s="1266"/>
      <c r="L138" s="1254"/>
      <c r="M138" s="1254"/>
      <c r="N138" s="1266"/>
      <c r="O138" s="1254"/>
      <c r="P138" s="1266"/>
      <c r="Q138" s="1266"/>
      <c r="R138" s="1254"/>
      <c r="S138" s="1266"/>
      <c r="T138" s="1266"/>
      <c r="U138" s="1266"/>
      <c r="V138" s="1266"/>
      <c r="W138" s="1266"/>
    </row>
    <row r="139" spans="1:23">
      <c r="A139" s="1266"/>
      <c r="B139" s="1267"/>
      <c r="C139" s="1254"/>
      <c r="D139" s="1254"/>
      <c r="E139"/>
      <c r="F139" s="1430"/>
      <c r="G139" s="1392"/>
      <c r="H139" s="1266"/>
      <c r="I139" s="1430"/>
      <c r="J139" s="1254"/>
      <c r="K139" s="1266"/>
      <c r="L139" s="1254"/>
      <c r="M139" s="1254"/>
      <c r="N139" s="1266"/>
      <c r="O139" s="1254"/>
      <c r="P139" s="1266"/>
      <c r="Q139" s="1266"/>
      <c r="R139" s="1254"/>
      <c r="S139" s="1266"/>
      <c r="T139" s="1266"/>
      <c r="U139" s="1266"/>
      <c r="V139" s="1266"/>
      <c r="W139" s="1266"/>
    </row>
    <row r="140" spans="1:23">
      <c r="A140" s="1266"/>
      <c r="B140" s="1267"/>
      <c r="C140" s="1254"/>
      <c r="D140" s="1254"/>
      <c r="E140"/>
      <c r="F140" s="1430"/>
      <c r="G140" s="1392"/>
      <c r="H140" s="1266"/>
      <c r="I140" s="1430"/>
      <c r="J140" s="1254"/>
      <c r="K140" s="1266"/>
      <c r="L140" s="1254"/>
      <c r="M140" s="1254"/>
      <c r="N140" s="1266"/>
      <c r="O140" s="1254"/>
      <c r="P140" s="1266"/>
      <c r="Q140" s="1266"/>
      <c r="R140" s="1254"/>
      <c r="S140" s="1266"/>
      <c r="T140" s="1266"/>
      <c r="U140" s="1266"/>
      <c r="V140" s="1266"/>
      <c r="W140" s="1266"/>
    </row>
    <row r="141" spans="1:23">
      <c r="A141" s="1266"/>
      <c r="B141" s="1267"/>
      <c r="C141" s="1254"/>
      <c r="D141" s="1254"/>
      <c r="E141"/>
      <c r="F141" s="1430"/>
      <c r="G141" s="1392"/>
      <c r="H141" s="1266"/>
      <c r="I141" s="1430"/>
      <c r="J141" s="1254"/>
      <c r="K141" s="1266"/>
      <c r="L141" s="1254"/>
      <c r="M141" s="1254"/>
      <c r="N141" s="1266"/>
      <c r="O141" s="1254"/>
      <c r="P141" s="1266"/>
      <c r="Q141" s="1266"/>
      <c r="R141" s="1254"/>
      <c r="S141" s="1266"/>
      <c r="T141" s="1266"/>
      <c r="U141" s="1266"/>
      <c r="V141" s="1266"/>
      <c r="W141" s="1266"/>
    </row>
    <row r="142" spans="1:23">
      <c r="A142" s="1266"/>
      <c r="B142" s="1267"/>
      <c r="C142" s="1254"/>
      <c r="D142" s="1254"/>
      <c r="E142"/>
      <c r="F142" s="1430"/>
      <c r="G142" s="1392"/>
      <c r="H142" s="1266"/>
      <c r="I142" s="1430"/>
      <c r="J142" s="1254"/>
      <c r="K142" s="1266"/>
      <c r="L142" s="1254"/>
      <c r="M142" s="1254"/>
      <c r="N142" s="1266"/>
      <c r="O142" s="1254"/>
      <c r="P142" s="1266"/>
      <c r="Q142" s="1266"/>
      <c r="R142" s="1254"/>
      <c r="S142" s="1266"/>
      <c r="T142" s="1266"/>
      <c r="U142" s="1266"/>
      <c r="V142" s="1266"/>
      <c r="W142" s="1266"/>
    </row>
    <row r="143" spans="1:23">
      <c r="A143" s="1266"/>
      <c r="B143" s="1267"/>
      <c r="C143" s="1254"/>
      <c r="D143" s="1254"/>
      <c r="E143"/>
      <c r="F143" s="1430"/>
      <c r="G143" s="1392"/>
      <c r="H143" s="1266"/>
      <c r="I143" s="1430"/>
      <c r="J143" s="1254"/>
      <c r="K143" s="1266"/>
      <c r="L143" s="1254"/>
      <c r="M143" s="1254"/>
      <c r="N143" s="1266"/>
      <c r="O143" s="1254"/>
      <c r="P143" s="1266"/>
      <c r="Q143" s="1266"/>
      <c r="R143" s="1254"/>
      <c r="S143" s="1266"/>
      <c r="T143" s="1266"/>
      <c r="U143" s="1266"/>
      <c r="V143" s="1266"/>
      <c r="W143" s="1266"/>
    </row>
    <row r="144" spans="1:23">
      <c r="A144" s="1266"/>
      <c r="B144" s="1267"/>
      <c r="C144" s="1254"/>
      <c r="D144" s="1254"/>
      <c r="E144"/>
      <c r="F144" s="1430"/>
      <c r="G144" s="1392"/>
      <c r="H144" s="1266"/>
      <c r="I144" s="1430"/>
      <c r="J144" s="1254"/>
      <c r="K144" s="1266"/>
      <c r="L144" s="1254"/>
      <c r="M144" s="1254"/>
      <c r="N144" s="1266"/>
      <c r="O144" s="1254"/>
      <c r="P144" s="1266"/>
      <c r="Q144" s="1266"/>
      <c r="R144" s="1254"/>
      <c r="S144" s="1266"/>
      <c r="T144" s="1266"/>
      <c r="U144" s="1266"/>
      <c r="V144" s="1266"/>
      <c r="W144" s="1266"/>
    </row>
    <row r="145" spans="1:23">
      <c r="A145" s="1266"/>
      <c r="B145" s="1267"/>
      <c r="C145" s="1254"/>
      <c r="D145" s="1254"/>
      <c r="E145"/>
      <c r="F145" s="1430"/>
      <c r="G145" s="1392"/>
      <c r="H145" s="1266"/>
      <c r="I145" s="1430"/>
      <c r="J145" s="1254"/>
      <c r="K145" s="1266"/>
      <c r="L145" s="1254"/>
      <c r="M145" s="1254"/>
      <c r="N145" s="1266"/>
      <c r="O145" s="1254"/>
      <c r="P145" s="1266"/>
      <c r="Q145" s="1266"/>
      <c r="R145" s="1254"/>
      <c r="S145" s="1266"/>
      <c r="T145" s="1266"/>
      <c r="U145" s="1266"/>
      <c r="V145" s="1266"/>
      <c r="W145" s="1266"/>
    </row>
    <row r="146" spans="1:23">
      <c r="A146" s="1266"/>
      <c r="B146" s="1267"/>
      <c r="C146" s="1254"/>
      <c r="D146" s="1254"/>
      <c r="E146"/>
      <c r="F146" s="1430"/>
      <c r="G146" s="1392"/>
      <c r="H146" s="1266"/>
      <c r="I146" s="1430"/>
      <c r="J146" s="1254"/>
      <c r="K146" s="1266"/>
      <c r="L146" s="1254"/>
      <c r="M146" s="1254"/>
      <c r="N146" s="1266"/>
      <c r="O146" s="1254"/>
      <c r="P146" s="1266"/>
      <c r="Q146" s="1266"/>
      <c r="R146" s="1254"/>
      <c r="S146" s="1266"/>
      <c r="T146" s="1266"/>
      <c r="U146" s="1266"/>
      <c r="V146" s="1266"/>
      <c r="W146" s="1266"/>
    </row>
    <row r="147" spans="1:23">
      <c r="A147" s="1266"/>
      <c r="B147" s="1267"/>
      <c r="C147" s="1254"/>
      <c r="D147" s="1254"/>
      <c r="E147"/>
      <c r="F147" s="1430"/>
      <c r="G147" s="1392"/>
      <c r="H147" s="1266"/>
      <c r="I147" s="1430"/>
      <c r="J147" s="1254"/>
      <c r="K147" s="1266"/>
      <c r="L147" s="1254"/>
      <c r="M147" s="1254"/>
      <c r="N147" s="1266"/>
      <c r="O147" s="1254"/>
      <c r="P147" s="1266"/>
      <c r="Q147" s="1266"/>
      <c r="R147" s="1254"/>
      <c r="S147" s="1266"/>
      <c r="T147" s="1266"/>
      <c r="U147" s="1266"/>
      <c r="V147" s="1266"/>
      <c r="W147" s="1266"/>
    </row>
    <row r="148" spans="1:23">
      <c r="A148" s="1266"/>
      <c r="B148" s="1267"/>
      <c r="C148" s="1254"/>
      <c r="D148" s="1254"/>
      <c r="E148"/>
      <c r="F148" s="1430"/>
      <c r="G148" s="1392"/>
      <c r="H148" s="1266"/>
      <c r="I148" s="1430"/>
      <c r="J148" s="1254"/>
      <c r="K148" s="1266"/>
      <c r="L148" s="1254"/>
      <c r="M148" s="1254"/>
      <c r="N148" s="1266"/>
      <c r="O148" s="1254"/>
      <c r="P148" s="1266"/>
      <c r="Q148" s="1266"/>
      <c r="R148" s="1254"/>
      <c r="S148" s="1266"/>
      <c r="T148" s="1266"/>
      <c r="U148" s="1266"/>
      <c r="V148" s="1266"/>
      <c r="W148" s="1266"/>
    </row>
    <row r="149" spans="1:23">
      <c r="A149" s="1266"/>
      <c r="B149" s="1267"/>
      <c r="C149" s="1254"/>
      <c r="D149" s="1254"/>
      <c r="E149"/>
      <c r="F149" s="1430"/>
      <c r="G149" s="1392"/>
      <c r="H149" s="1266"/>
      <c r="I149" s="1430"/>
      <c r="J149" s="1254"/>
      <c r="K149" s="1266"/>
      <c r="L149" s="1254"/>
      <c r="M149" s="1254"/>
      <c r="N149" s="1266"/>
      <c r="O149" s="1254"/>
      <c r="P149" s="1266"/>
      <c r="Q149" s="1266"/>
      <c r="R149" s="1254"/>
      <c r="S149" s="1266"/>
      <c r="T149" s="1266"/>
      <c r="U149" s="1266"/>
      <c r="V149" s="1266"/>
      <c r="W149" s="1266"/>
    </row>
    <row r="150" spans="1:23">
      <c r="A150" s="1266"/>
      <c r="B150" s="1267"/>
      <c r="C150" s="1254"/>
      <c r="D150" s="1254"/>
      <c r="E150"/>
      <c r="F150" s="1430"/>
      <c r="G150" s="1392"/>
      <c r="H150" s="1266"/>
      <c r="I150" s="1430"/>
      <c r="J150" s="1254"/>
      <c r="K150" s="1266"/>
      <c r="L150" s="1254"/>
      <c r="M150" s="1254"/>
      <c r="N150" s="1266"/>
      <c r="O150" s="1254"/>
      <c r="P150" s="1266"/>
      <c r="Q150" s="1266"/>
      <c r="R150" s="1254"/>
      <c r="S150" s="1266"/>
      <c r="T150" s="1266"/>
      <c r="U150" s="1266"/>
      <c r="V150" s="1266"/>
      <c r="W150" s="1266"/>
    </row>
    <row r="151" spans="1:23">
      <c r="A151" s="1266"/>
      <c r="B151" s="1267"/>
      <c r="C151" s="1254"/>
      <c r="D151" s="1254"/>
      <c r="E151"/>
      <c r="F151" s="1430"/>
      <c r="G151" s="1392"/>
      <c r="H151" s="1266"/>
      <c r="I151" s="1430"/>
      <c r="J151" s="1254"/>
      <c r="K151" s="1266"/>
      <c r="L151" s="1254"/>
      <c r="M151" s="1254"/>
      <c r="N151" s="1266"/>
      <c r="O151" s="1254"/>
      <c r="P151" s="1266"/>
      <c r="Q151" s="1266"/>
      <c r="R151" s="1254"/>
      <c r="S151" s="1266"/>
      <c r="T151" s="1266"/>
      <c r="U151" s="1266"/>
      <c r="V151" s="1266"/>
      <c r="W151" s="1266"/>
    </row>
    <row r="152" spans="1:23">
      <c r="A152" s="1266"/>
      <c r="B152" s="1267"/>
      <c r="C152" s="1254"/>
      <c r="D152" s="1254"/>
      <c r="E152"/>
      <c r="F152" s="1430"/>
      <c r="G152" s="1392"/>
      <c r="H152" s="1266"/>
      <c r="I152" s="1430"/>
      <c r="J152" s="1254"/>
      <c r="K152" s="1266"/>
      <c r="L152" s="1254"/>
      <c r="M152" s="1254"/>
      <c r="N152" s="1266"/>
      <c r="O152" s="1254"/>
      <c r="P152" s="1266"/>
      <c r="Q152" s="1266"/>
      <c r="R152" s="1254"/>
      <c r="S152" s="1266"/>
      <c r="T152" s="1266"/>
      <c r="U152" s="1266"/>
      <c r="V152" s="1266"/>
      <c r="W152" s="1266"/>
    </row>
    <row r="153" spans="1:23">
      <c r="E153"/>
    </row>
    <row r="154" spans="1:23">
      <c r="E154"/>
    </row>
    <row r="155" spans="1:23">
      <c r="E155"/>
    </row>
    <row r="156" spans="1:23">
      <c r="E156"/>
    </row>
    <row r="157" spans="1:23">
      <c r="E157"/>
    </row>
    <row r="158" spans="1:23">
      <c r="E158"/>
    </row>
    <row r="159" spans="1:23">
      <c r="E159"/>
    </row>
    <row r="160" spans="1:23">
      <c r="E160"/>
    </row>
    <row r="161" spans="5:5">
      <c r="E161"/>
    </row>
    <row r="162" spans="5:5">
      <c r="E162"/>
    </row>
    <row r="163" spans="5:5">
      <c r="E163"/>
    </row>
    <row r="164" spans="5:5">
      <c r="E164"/>
    </row>
    <row r="165" spans="5:5">
      <c r="E165"/>
    </row>
    <row r="166" spans="5:5">
      <c r="E166"/>
    </row>
    <row r="167" spans="5:5">
      <c r="E167"/>
    </row>
    <row r="168" spans="5:5">
      <c r="E168"/>
    </row>
    <row r="169" spans="5:5">
      <c r="E169"/>
    </row>
    <row r="170" spans="5:5">
      <c r="E170"/>
    </row>
    <row r="171" spans="5:5">
      <c r="E171"/>
    </row>
    <row r="172" spans="5:5">
      <c r="E172"/>
    </row>
    <row r="173" spans="5:5">
      <c r="E173"/>
    </row>
    <row r="174" spans="5:5">
      <c r="E174"/>
    </row>
    <row r="175" spans="5:5">
      <c r="E175"/>
    </row>
    <row r="176" spans="5:5">
      <c r="E176"/>
    </row>
    <row r="177" spans="5:5">
      <c r="E177"/>
    </row>
    <row r="178" spans="5:5">
      <c r="E178"/>
    </row>
    <row r="179" spans="5:5">
      <c r="E179"/>
    </row>
    <row r="180" spans="5:5">
      <c r="E180"/>
    </row>
    <row r="181" spans="5:5">
      <c r="E181"/>
    </row>
    <row r="182" spans="5:5">
      <c r="E182"/>
    </row>
    <row r="183" spans="5:5">
      <c r="E183"/>
    </row>
    <row r="184" spans="5:5">
      <c r="E184"/>
    </row>
    <row r="185" spans="5:5">
      <c r="E185"/>
    </row>
    <row r="186" spans="5:5">
      <c r="E186"/>
    </row>
    <row r="187" spans="5:5">
      <c r="E187"/>
    </row>
    <row r="188" spans="5:5">
      <c r="E188"/>
    </row>
    <row r="189" spans="5:5">
      <c r="E189"/>
    </row>
    <row r="190" spans="5:5">
      <c r="E190"/>
    </row>
    <row r="191" spans="5:5">
      <c r="E191"/>
    </row>
    <row r="192" spans="5:5">
      <c r="E192"/>
    </row>
    <row r="193" spans="5:5">
      <c r="E193"/>
    </row>
  </sheetData>
  <pageMargins left="0.25" right="0.25" top="0.75" bottom="0.75" header="0.3" footer="0.3"/>
  <pageSetup paperSize="3" scale="10" orientation="landscape"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80"/>
  <sheetViews>
    <sheetView topLeftCell="D1" workbookViewId="0">
      <selection activeCell="D1" sqref="A1:XFD1048576"/>
    </sheetView>
  </sheetViews>
  <sheetFormatPr defaultColWidth="10.6640625" defaultRowHeight="15"/>
  <cols>
    <col min="1" max="1" width="13.83203125" style="1539" customWidth="1"/>
    <col min="2" max="2" width="56.1640625" style="1539" customWidth="1"/>
    <col min="3" max="4" width="13.5" style="1539" customWidth="1"/>
    <col min="5" max="6" width="17.83203125" style="1539" customWidth="1"/>
    <col min="7" max="7" width="16.1640625" style="1539" customWidth="1"/>
    <col min="8" max="8" width="17.83203125" style="1539" customWidth="1"/>
    <col min="9" max="9" width="4.33203125" style="1539" customWidth="1"/>
    <col min="10" max="11" width="13.5" style="1539" customWidth="1"/>
    <col min="12" max="13" width="17.83203125" style="1539" customWidth="1"/>
    <col min="14" max="14" width="16.1640625" style="1539" customWidth="1"/>
    <col min="15" max="15" width="17.83203125" style="1539" customWidth="1"/>
    <col min="16" max="16" width="1.6640625" style="1539" customWidth="1"/>
    <col min="17" max="17" width="18.5" style="1539" customWidth="1"/>
    <col min="18" max="18" width="17.83203125" style="1539" customWidth="1"/>
    <col min="19" max="20" width="18.33203125" style="1539" customWidth="1"/>
    <col min="21" max="21" width="1.6640625" style="1539" customWidth="1"/>
    <col min="22" max="22" width="19.1640625" style="1539" customWidth="1"/>
    <col min="23" max="23" width="1.6640625" style="1539" customWidth="1"/>
    <col min="24" max="24" width="18.6640625" style="1539" bestFit="1" customWidth="1"/>
    <col min="25" max="25" width="10.6640625" style="1539"/>
    <col min="26" max="26" width="21.6640625" style="1539" customWidth="1"/>
    <col min="27" max="27" width="7.83203125" style="1539" customWidth="1"/>
    <col min="28" max="28" width="18.83203125" style="1539" customWidth="1"/>
    <col min="29" max="16384" width="10.6640625" style="1539"/>
  </cols>
  <sheetData>
    <row r="1" spans="1:24">
      <c r="A1" s="1538" t="s">
        <v>2048</v>
      </c>
    </row>
    <row r="2" spans="1:24">
      <c r="A2" s="1538"/>
    </row>
    <row r="5" spans="1:24">
      <c r="C5" s="3285" t="s">
        <v>429</v>
      </c>
      <c r="D5" s="3285"/>
      <c r="E5" s="3285"/>
      <c r="F5" s="3285"/>
      <c r="G5" s="3285"/>
      <c r="H5" s="3285"/>
      <c r="I5" s="1540"/>
      <c r="J5" s="3285" t="s">
        <v>435</v>
      </c>
      <c r="K5" s="3285"/>
      <c r="L5" s="3285"/>
      <c r="M5" s="3285"/>
      <c r="N5" s="3285"/>
      <c r="O5" s="3285"/>
      <c r="Q5" s="3285" t="s">
        <v>2049</v>
      </c>
      <c r="R5" s="3285"/>
      <c r="S5" s="3285"/>
      <c r="T5" s="3285"/>
      <c r="X5" s="1541"/>
    </row>
    <row r="6" spans="1:24" s="1542" customFormat="1" ht="45">
      <c r="C6" s="1543" t="s">
        <v>2050</v>
      </c>
      <c r="D6" s="1543" t="s">
        <v>2051</v>
      </c>
      <c r="E6" s="1543" t="s">
        <v>1906</v>
      </c>
      <c r="F6" s="1543" t="s">
        <v>2052</v>
      </c>
      <c r="G6" s="1543" t="s">
        <v>2053</v>
      </c>
      <c r="H6" s="1543" t="s">
        <v>160</v>
      </c>
      <c r="I6" s="1544"/>
      <c r="J6" s="1543" t="s">
        <v>2050</v>
      </c>
      <c r="K6" s="1543" t="s">
        <v>2051</v>
      </c>
      <c r="L6" s="1543" t="s">
        <v>1906</v>
      </c>
      <c r="M6" s="1543" t="s">
        <v>2052</v>
      </c>
      <c r="N6" s="1543" t="s">
        <v>2053</v>
      </c>
      <c r="O6" s="1543" t="s">
        <v>160</v>
      </c>
      <c r="Q6" s="1543" t="s">
        <v>2050</v>
      </c>
      <c r="R6" s="1543" t="s">
        <v>2051</v>
      </c>
      <c r="S6" s="1543" t="s">
        <v>1906</v>
      </c>
      <c r="T6" s="1543" t="s">
        <v>160</v>
      </c>
      <c r="V6" s="1545" t="s">
        <v>1670</v>
      </c>
      <c r="X6" s="1546" t="s">
        <v>2054</v>
      </c>
    </row>
    <row r="7" spans="1:24">
      <c r="A7" s="1547" t="s">
        <v>2055</v>
      </c>
      <c r="C7" s="1540"/>
      <c r="D7" s="1548"/>
      <c r="E7" s="1548"/>
      <c r="F7" s="1548"/>
      <c r="G7" s="1548"/>
      <c r="H7" s="1548"/>
      <c r="I7" s="1548"/>
      <c r="J7" s="1540"/>
      <c r="K7" s="1548"/>
      <c r="L7" s="1548"/>
      <c r="M7" s="1548"/>
      <c r="N7" s="1548"/>
      <c r="O7" s="1548"/>
      <c r="Q7" s="1540"/>
      <c r="R7" s="1540"/>
      <c r="S7" s="1540"/>
      <c r="T7" s="1540"/>
      <c r="X7" s="1549"/>
    </row>
    <row r="8" spans="1:24">
      <c r="B8" s="1539" t="s">
        <v>2056</v>
      </c>
      <c r="C8" s="1550"/>
      <c r="D8" s="1551"/>
      <c r="E8" s="1551"/>
      <c r="F8" s="1551"/>
      <c r="G8" s="1551"/>
      <c r="H8" s="1551"/>
      <c r="I8" s="1551"/>
      <c r="J8" s="1550"/>
      <c r="K8" s="1551"/>
      <c r="L8" s="1551"/>
      <c r="M8" s="1551"/>
      <c r="N8" s="1551"/>
      <c r="O8" s="1551"/>
      <c r="Q8" s="1552">
        <v>10740000</v>
      </c>
      <c r="R8" s="1553">
        <v>10740</v>
      </c>
      <c r="S8" s="1553">
        <v>0</v>
      </c>
      <c r="T8" s="1554">
        <v>10740</v>
      </c>
      <c r="U8" s="1554"/>
      <c r="V8" s="1554">
        <v>0</v>
      </c>
      <c r="W8" s="1554"/>
      <c r="X8" s="1554">
        <v>10740</v>
      </c>
    </row>
    <row r="9" spans="1:24">
      <c r="B9" s="1539" t="s">
        <v>2057</v>
      </c>
      <c r="C9" s="1552">
        <v>100000</v>
      </c>
      <c r="D9" s="1553">
        <v>100</v>
      </c>
      <c r="E9" s="1553">
        <v>99900</v>
      </c>
      <c r="F9" s="1553">
        <v>100000</v>
      </c>
      <c r="G9" s="1553"/>
      <c r="H9" s="1554">
        <v>100000</v>
      </c>
      <c r="I9" s="1554"/>
      <c r="J9" s="1552">
        <v>0</v>
      </c>
      <c r="K9" s="1553">
        <v>0</v>
      </c>
      <c r="L9" s="1553">
        <v>0</v>
      </c>
      <c r="M9" s="1553">
        <v>0</v>
      </c>
      <c r="N9" s="1553"/>
      <c r="O9" s="1554">
        <v>0</v>
      </c>
      <c r="Q9" s="1550"/>
      <c r="R9" s="1553"/>
      <c r="S9" s="1553"/>
      <c r="T9" s="1553"/>
      <c r="U9" s="1554"/>
      <c r="V9" s="1554"/>
      <c r="W9" s="1554"/>
      <c r="X9" s="1554"/>
    </row>
    <row r="10" spans="1:24">
      <c r="B10" s="1539" t="s">
        <v>2058</v>
      </c>
      <c r="C10" s="1552">
        <v>11950000</v>
      </c>
      <c r="D10" s="1553">
        <v>11950</v>
      </c>
      <c r="E10" s="1553">
        <v>11938050</v>
      </c>
      <c r="F10" s="1553">
        <v>11950000</v>
      </c>
      <c r="G10" s="1553">
        <v>-49870.31</v>
      </c>
      <c r="H10" s="1554">
        <v>11900129.689999999</v>
      </c>
      <c r="I10" s="1554"/>
      <c r="J10" s="1552">
        <v>0</v>
      </c>
      <c r="K10" s="1553">
        <v>0</v>
      </c>
      <c r="L10" s="1553">
        <v>0</v>
      </c>
      <c r="M10" s="1553">
        <v>0</v>
      </c>
      <c r="N10" s="1553">
        <v>0</v>
      </c>
      <c r="O10" s="1554">
        <v>0</v>
      </c>
      <c r="Q10" s="1550"/>
      <c r="R10" s="1553"/>
      <c r="S10" s="1553"/>
      <c r="T10" s="1553"/>
      <c r="U10" s="1554"/>
      <c r="V10" s="1554"/>
      <c r="W10" s="1554"/>
      <c r="X10" s="1554"/>
    </row>
    <row r="11" spans="1:24">
      <c r="B11" s="1539" t="s">
        <v>2059</v>
      </c>
      <c r="C11" s="1552"/>
      <c r="D11" s="1553"/>
      <c r="E11" s="1553">
        <v>-5760000</v>
      </c>
      <c r="F11" s="1553">
        <v>-5760000</v>
      </c>
      <c r="G11" s="1553"/>
      <c r="H11" s="1554">
        <v>-5760000</v>
      </c>
      <c r="I11" s="1554"/>
      <c r="J11" s="1552"/>
      <c r="K11" s="1553"/>
      <c r="L11" s="1553">
        <v>0</v>
      </c>
      <c r="M11" s="1553">
        <v>0</v>
      </c>
      <c r="N11" s="1553"/>
      <c r="O11" s="1554">
        <v>0</v>
      </c>
      <c r="Q11" s="1550"/>
      <c r="R11" s="1553"/>
      <c r="S11" s="1553"/>
      <c r="T11" s="1553"/>
      <c r="U11" s="1554"/>
      <c r="V11" s="1554"/>
      <c r="W11" s="1554"/>
      <c r="X11" s="1554"/>
    </row>
    <row r="12" spans="1:24">
      <c r="B12" s="1539" t="s">
        <v>2060</v>
      </c>
      <c r="C12" s="1552"/>
      <c r="D12" s="1553"/>
      <c r="E12" s="1553"/>
      <c r="F12" s="1553"/>
      <c r="G12" s="1553"/>
      <c r="H12" s="1554"/>
      <c r="I12" s="1554"/>
      <c r="J12" s="1552"/>
      <c r="K12" s="1553"/>
      <c r="L12" s="1553"/>
      <c r="M12" s="1553"/>
      <c r="N12" s="1553"/>
      <c r="O12" s="1554"/>
      <c r="Q12" s="1552">
        <v>-10216666</v>
      </c>
      <c r="R12" s="1553">
        <v>-10216.67</v>
      </c>
      <c r="S12" s="1553">
        <v>0</v>
      </c>
      <c r="T12" s="1554">
        <v>-10216.67</v>
      </c>
      <c r="U12" s="1554"/>
      <c r="V12" s="1554"/>
      <c r="W12" s="1554"/>
      <c r="X12" s="1554">
        <v>-10216.67</v>
      </c>
    </row>
    <row r="13" spans="1:24">
      <c r="B13" s="1555" t="s">
        <v>1990</v>
      </c>
      <c r="C13" s="1552"/>
      <c r="D13" s="1553"/>
      <c r="E13" s="1553"/>
      <c r="F13" s="1553"/>
      <c r="G13" s="1553"/>
      <c r="H13" s="1554"/>
      <c r="I13" s="1554"/>
      <c r="J13" s="1552"/>
      <c r="K13" s="1553"/>
      <c r="L13" s="1553"/>
      <c r="M13" s="1553"/>
      <c r="N13" s="1553"/>
      <c r="O13" s="1554"/>
      <c r="Q13" s="1552"/>
      <c r="R13" s="1553"/>
      <c r="S13" s="1553">
        <v>107105</v>
      </c>
      <c r="T13" s="1554">
        <v>107105</v>
      </c>
      <c r="U13" s="1554"/>
      <c r="V13" s="1554"/>
      <c r="W13" s="1554"/>
      <c r="X13" s="1554">
        <v>107105</v>
      </c>
    </row>
    <row r="14" spans="1:24">
      <c r="B14" s="1539" t="s">
        <v>2061</v>
      </c>
      <c r="C14" s="1552"/>
      <c r="D14" s="1553"/>
      <c r="E14" s="1553"/>
      <c r="F14" s="1553"/>
      <c r="G14" s="1553"/>
      <c r="H14" s="1554"/>
      <c r="I14" s="1554"/>
      <c r="J14" s="1552"/>
      <c r="K14" s="1553"/>
      <c r="L14" s="1553"/>
      <c r="M14" s="1553"/>
      <c r="N14" s="1553"/>
      <c r="O14" s="1554"/>
      <c r="Q14" s="1552"/>
      <c r="R14" s="1553"/>
      <c r="S14" s="1553"/>
      <c r="T14" s="1554"/>
      <c r="U14" s="1554"/>
      <c r="V14" s="1554">
        <v>-1238081.6200000001</v>
      </c>
      <c r="W14" s="1554"/>
      <c r="X14" s="1554">
        <v>-1238081.6200000001</v>
      </c>
    </row>
    <row r="15" spans="1:24">
      <c r="C15" s="1540"/>
      <c r="D15" s="1540"/>
      <c r="E15" s="1540"/>
      <c r="F15" s="1540"/>
      <c r="G15" s="1540"/>
      <c r="H15" s="1540"/>
      <c r="I15" s="1540"/>
      <c r="J15" s="1540"/>
      <c r="K15" s="1540"/>
      <c r="L15" s="1540"/>
      <c r="M15" s="1540"/>
      <c r="N15" s="1540"/>
      <c r="O15" s="1540"/>
      <c r="Q15" s="1540"/>
      <c r="R15" s="1556"/>
      <c r="S15" s="1556"/>
      <c r="T15" s="1556"/>
      <c r="U15" s="1554"/>
      <c r="V15" s="1554"/>
      <c r="W15" s="1554"/>
      <c r="X15" s="1557"/>
    </row>
    <row r="16" spans="1:24">
      <c r="A16" s="1558" t="s">
        <v>2062</v>
      </c>
      <c r="B16" s="1559"/>
      <c r="C16" s="1560">
        <v>12050000</v>
      </c>
      <c r="D16" s="1561">
        <v>12050</v>
      </c>
      <c r="E16" s="1561">
        <v>6277950</v>
      </c>
      <c r="F16" s="1561">
        <v>6290000</v>
      </c>
      <c r="G16" s="1561">
        <v>-49870.31</v>
      </c>
      <c r="H16" s="1561">
        <v>6240129.6899999995</v>
      </c>
      <c r="I16" s="1562"/>
      <c r="J16" s="1560">
        <v>0</v>
      </c>
      <c r="K16" s="1561">
        <v>0</v>
      </c>
      <c r="L16" s="1561">
        <v>0</v>
      </c>
      <c r="M16" s="1561">
        <v>0</v>
      </c>
      <c r="N16" s="1561">
        <v>0</v>
      </c>
      <c r="O16" s="1561">
        <v>0</v>
      </c>
      <c r="P16" s="1563"/>
      <c r="Q16" s="1560">
        <v>523334</v>
      </c>
      <c r="R16" s="1561">
        <v>523.32999999999993</v>
      </c>
      <c r="S16" s="1561">
        <v>107105</v>
      </c>
      <c r="T16" s="1561">
        <v>107628.33</v>
      </c>
      <c r="U16" s="1554"/>
      <c r="V16" s="1561">
        <v>-1238081.6200000001</v>
      </c>
      <c r="W16" s="1554"/>
      <c r="X16" s="1561">
        <v>-1130453.29</v>
      </c>
    </row>
    <row r="17" spans="1:24">
      <c r="D17" s="1563"/>
      <c r="E17" s="1563"/>
      <c r="F17" s="1563"/>
      <c r="H17" s="1563"/>
      <c r="I17" s="1563"/>
      <c r="K17" s="1563"/>
      <c r="L17" s="1563"/>
      <c r="M17" s="1563"/>
      <c r="O17" s="1563"/>
      <c r="P17" s="1563"/>
      <c r="R17" s="1554"/>
      <c r="S17" s="1554"/>
      <c r="T17" s="1554"/>
      <c r="U17" s="1554"/>
      <c r="V17" s="1554"/>
      <c r="W17" s="1554"/>
      <c r="X17" s="1554"/>
    </row>
    <row r="18" spans="1:24">
      <c r="A18" s="1559">
        <v>42486</v>
      </c>
      <c r="B18" s="1539" t="s">
        <v>2063</v>
      </c>
      <c r="C18" s="1564"/>
      <c r="D18" s="1565"/>
      <c r="E18" s="1565"/>
      <c r="F18" s="1551"/>
      <c r="G18" s="1565"/>
      <c r="H18" s="1565"/>
      <c r="I18" s="1565"/>
      <c r="J18" s="1564"/>
      <c r="K18" s="1565"/>
      <c r="L18" s="1565"/>
      <c r="M18" s="1551"/>
      <c r="N18" s="1565"/>
      <c r="O18" s="1565"/>
      <c r="P18" s="1563"/>
      <c r="Q18" s="1564">
        <v>322200</v>
      </c>
      <c r="R18" s="1554">
        <v>322.2</v>
      </c>
      <c r="S18" s="1554">
        <v>35119.800000000003</v>
      </c>
      <c r="T18" s="1554">
        <v>35442</v>
      </c>
      <c r="U18" s="1554"/>
      <c r="V18" s="1554"/>
      <c r="W18" s="1554"/>
      <c r="X18" s="1554">
        <v>35442</v>
      </c>
    </row>
    <row r="19" spans="1:24">
      <c r="A19" s="1566">
        <v>42475</v>
      </c>
      <c r="B19" s="1539" t="s">
        <v>2064</v>
      </c>
      <c r="C19" s="1564"/>
      <c r="D19" s="1567">
        <v>-1E-3</v>
      </c>
      <c r="E19" s="1565"/>
      <c r="F19" s="1551"/>
      <c r="G19" s="1565"/>
      <c r="H19" s="1565"/>
      <c r="I19" s="1565"/>
      <c r="J19" s="1564"/>
      <c r="K19" s="1567">
        <v>0</v>
      </c>
      <c r="L19" s="1565"/>
      <c r="M19" s="1551"/>
      <c r="N19" s="1565"/>
      <c r="O19" s="1565"/>
      <c r="P19" s="1563"/>
      <c r="Q19" s="1568">
        <v>2083</v>
      </c>
      <c r="R19" s="1554">
        <v>2.0830000000000002</v>
      </c>
      <c r="S19" s="1554">
        <v>226.917</v>
      </c>
      <c r="T19" s="1554">
        <v>229</v>
      </c>
      <c r="U19" s="1554"/>
      <c r="V19" s="1554"/>
      <c r="W19" s="1554"/>
      <c r="X19" s="1554">
        <v>229</v>
      </c>
    </row>
    <row r="20" spans="1:24">
      <c r="A20" s="1566" t="s">
        <v>1205</v>
      </c>
      <c r="B20" s="1539" t="s">
        <v>2065</v>
      </c>
      <c r="C20" s="1564"/>
      <c r="D20" s="1565"/>
      <c r="E20" s="1565"/>
      <c r="F20" s="1551"/>
      <c r="G20" s="1565"/>
      <c r="H20" s="1565"/>
      <c r="I20" s="1565"/>
      <c r="J20" s="1564"/>
      <c r="K20" s="1565"/>
      <c r="L20" s="1565"/>
      <c r="M20" s="1551"/>
      <c r="N20" s="1565"/>
      <c r="O20" s="1565"/>
      <c r="P20" s="1563"/>
      <c r="Q20" s="1568">
        <v>4434582</v>
      </c>
      <c r="R20" s="1569">
        <v>4434.5870000000014</v>
      </c>
      <c r="S20" s="1569">
        <v>105866.4329999999</v>
      </c>
      <c r="T20" s="1569">
        <v>110301.0199999999</v>
      </c>
      <c r="U20" s="1554"/>
      <c r="V20" s="1554"/>
      <c r="W20" s="1554"/>
      <c r="X20" s="1554">
        <v>110301.0199999999</v>
      </c>
    </row>
    <row r="21" spans="1:24">
      <c r="A21" s="1559">
        <v>42663</v>
      </c>
      <c r="B21" s="1539" t="s">
        <v>2058</v>
      </c>
      <c r="C21" s="1564">
        <v>16000000</v>
      </c>
      <c r="D21" s="1565">
        <v>16000</v>
      </c>
      <c r="E21" s="1551">
        <v>15984000</v>
      </c>
      <c r="F21" s="1551">
        <v>16000000</v>
      </c>
      <c r="G21" s="1565">
        <v>-15229.57</v>
      </c>
      <c r="H21" s="1554">
        <v>15984770.43</v>
      </c>
      <c r="I21" s="1554"/>
      <c r="J21" s="1564">
        <v>0</v>
      </c>
      <c r="K21" s="1565">
        <v>0</v>
      </c>
      <c r="L21" s="1551">
        <v>0</v>
      </c>
      <c r="M21" s="1551">
        <v>0</v>
      </c>
      <c r="N21" s="1565">
        <v>0</v>
      </c>
      <c r="O21" s="1554">
        <v>0</v>
      </c>
      <c r="P21" s="1563"/>
      <c r="Q21" s="1564"/>
      <c r="R21" s="1554"/>
      <c r="S21" s="1554"/>
      <c r="T21" s="1554"/>
      <c r="U21" s="1554"/>
      <c r="V21" s="1554"/>
      <c r="W21" s="1554"/>
      <c r="X21" s="1554"/>
    </row>
    <row r="22" spans="1:24">
      <c r="A22" s="1559"/>
      <c r="B22" s="1555" t="s">
        <v>1990</v>
      </c>
      <c r="C22" s="1564"/>
      <c r="D22" s="1565"/>
      <c r="E22" s="1551"/>
      <c r="F22" s="1551"/>
      <c r="G22" s="1565"/>
      <c r="H22" s="1565"/>
      <c r="I22" s="1565"/>
      <c r="J22" s="1564"/>
      <c r="K22" s="1565"/>
      <c r="L22" s="1551"/>
      <c r="M22" s="1551"/>
      <c r="N22" s="1565"/>
      <c r="O22" s="1565"/>
      <c r="P22" s="1563"/>
      <c r="Q22" s="1564"/>
      <c r="R22" s="1554"/>
      <c r="S22" s="1554">
        <v>375553</v>
      </c>
      <c r="T22" s="1554">
        <v>375553</v>
      </c>
      <c r="U22" s="1554"/>
      <c r="V22" s="1554"/>
      <c r="W22" s="1554"/>
      <c r="X22" s="1554">
        <v>375553</v>
      </c>
    </row>
    <row r="23" spans="1:24">
      <c r="A23" s="1559"/>
      <c r="B23" s="1539" t="s">
        <v>2061</v>
      </c>
      <c r="C23" s="1564"/>
      <c r="D23" s="1565"/>
      <c r="E23" s="1551"/>
      <c r="F23" s="1551"/>
      <c r="G23" s="1565"/>
      <c r="H23" s="1565"/>
      <c r="I23" s="1565"/>
      <c r="J23" s="1564"/>
      <c r="K23" s="1565"/>
      <c r="L23" s="1551"/>
      <c r="M23" s="1551"/>
      <c r="N23" s="1565"/>
      <c r="O23" s="1565"/>
      <c r="P23" s="1563"/>
      <c r="Q23" s="1564"/>
      <c r="R23" s="1554"/>
      <c r="S23" s="1554"/>
      <c r="T23" s="1554"/>
      <c r="U23" s="1554"/>
      <c r="V23" s="1554">
        <v>-3476840.6500000004</v>
      </c>
      <c r="W23" s="1554"/>
      <c r="X23" s="1554">
        <v>-3476840.6500000004</v>
      </c>
    </row>
    <row r="24" spans="1:24">
      <c r="A24" s="1559"/>
      <c r="D24" s="1563"/>
      <c r="E24" s="1563"/>
      <c r="F24" s="1563"/>
      <c r="G24" s="1565"/>
      <c r="H24" s="1570"/>
      <c r="I24" s="1570"/>
      <c r="K24" s="1563"/>
      <c r="L24" s="1563"/>
      <c r="M24" s="1563"/>
      <c r="N24" s="1565"/>
      <c r="O24" s="1570"/>
      <c r="P24" s="1571"/>
      <c r="Q24" s="1564"/>
      <c r="R24" s="1554"/>
      <c r="S24" s="1554"/>
      <c r="T24" s="1554"/>
      <c r="U24" s="1554"/>
      <c r="V24" s="1554"/>
      <c r="W24" s="1554"/>
      <c r="X24" s="1554"/>
    </row>
    <row r="25" spans="1:24" ht="15.75" thickBot="1">
      <c r="A25" s="1558" t="s">
        <v>2066</v>
      </c>
      <c r="C25" s="1572">
        <v>28050000</v>
      </c>
      <c r="D25" s="1573">
        <v>28049.999</v>
      </c>
      <c r="E25" s="1573">
        <v>22261950</v>
      </c>
      <c r="F25" s="1573">
        <v>22290000</v>
      </c>
      <c r="G25" s="1573">
        <v>-65099.88</v>
      </c>
      <c r="H25" s="1573">
        <v>22224900.119999997</v>
      </c>
      <c r="I25" s="1562"/>
      <c r="J25" s="1572">
        <v>0</v>
      </c>
      <c r="K25" s="1573">
        <v>0</v>
      </c>
      <c r="L25" s="1573">
        <v>0</v>
      </c>
      <c r="M25" s="1573">
        <v>0</v>
      </c>
      <c r="N25" s="1573">
        <v>0</v>
      </c>
      <c r="O25" s="1573">
        <v>0</v>
      </c>
      <c r="P25" s="1571"/>
      <c r="Q25" s="1572">
        <v>5282199</v>
      </c>
      <c r="R25" s="1573">
        <v>5282.2000000000016</v>
      </c>
      <c r="S25" s="1573">
        <v>623871.14999999991</v>
      </c>
      <c r="T25" s="1573">
        <v>629153.34999999986</v>
      </c>
      <c r="U25" s="1554"/>
      <c r="V25" s="1573">
        <v>-4714922.2700000005</v>
      </c>
      <c r="W25" s="1554"/>
      <c r="X25" s="1573">
        <v>-4085768.9200000004</v>
      </c>
    </row>
    <row r="26" spans="1:24">
      <c r="D26" s="1563"/>
      <c r="E26" s="1563"/>
      <c r="F26" s="1563"/>
      <c r="H26" s="1563" t="s">
        <v>1730</v>
      </c>
      <c r="I26" s="1563"/>
      <c r="K26" s="1563"/>
      <c r="L26" s="1563"/>
      <c r="M26" s="1563"/>
      <c r="O26" s="1563" t="s">
        <v>1730</v>
      </c>
      <c r="P26" s="1571"/>
      <c r="R26" s="1554"/>
      <c r="S26" s="1554"/>
      <c r="T26" s="1569"/>
      <c r="U26" s="1569"/>
      <c r="V26" s="1569"/>
      <c r="W26" s="1569"/>
      <c r="X26" s="1569"/>
    </row>
    <row r="27" spans="1:24">
      <c r="B27" s="1539" t="s">
        <v>2064</v>
      </c>
      <c r="P27" s="1574"/>
      <c r="Q27" s="1575">
        <v>69438</v>
      </c>
      <c r="R27" s="1554">
        <v>69.44</v>
      </c>
      <c r="S27" s="1554">
        <v>8957.5</v>
      </c>
      <c r="T27" s="1569">
        <v>9026.94</v>
      </c>
      <c r="U27" s="1554"/>
      <c r="V27" s="1554"/>
      <c r="W27" s="1554"/>
      <c r="X27" s="1554">
        <v>9026.94</v>
      </c>
    </row>
    <row r="28" spans="1:24">
      <c r="B28" s="1539" t="s">
        <v>2067</v>
      </c>
      <c r="P28" s="1574"/>
      <c r="Q28" s="1575">
        <v>-60000</v>
      </c>
      <c r="R28" s="1554">
        <v>-60</v>
      </c>
      <c r="S28" s="1554">
        <v>-6540</v>
      </c>
      <c r="T28" s="1569">
        <v>-6600</v>
      </c>
      <c r="U28" s="1554"/>
      <c r="V28" s="1554"/>
      <c r="W28" s="1554"/>
      <c r="X28" s="1554">
        <v>-6600</v>
      </c>
    </row>
    <row r="29" spans="1:24">
      <c r="B29" s="1539" t="s">
        <v>2065</v>
      </c>
      <c r="P29" s="1574"/>
      <c r="Q29" s="1576">
        <v>3929622</v>
      </c>
      <c r="R29" s="1576">
        <v>3929.6189999999988</v>
      </c>
      <c r="S29" s="1576">
        <v>150241.32399999996</v>
      </c>
      <c r="T29" s="1569">
        <v>154170.94299999997</v>
      </c>
      <c r="U29" s="1554"/>
      <c r="V29" s="1554"/>
      <c r="W29" s="1554"/>
      <c r="X29" s="1554">
        <v>154170.94299999997</v>
      </c>
    </row>
    <row r="30" spans="1:24">
      <c r="B30" s="1539" t="s">
        <v>2058</v>
      </c>
      <c r="C30" s="1575">
        <v>16000000</v>
      </c>
      <c r="D30" s="1577">
        <v>16000</v>
      </c>
      <c r="E30" s="1578">
        <v>15984000</v>
      </c>
      <c r="F30" s="1578">
        <v>16000000</v>
      </c>
      <c r="G30" s="1578">
        <v>0</v>
      </c>
      <c r="H30" s="1554">
        <v>16000000</v>
      </c>
      <c r="I30" s="1554"/>
      <c r="J30" s="1575">
        <v>0</v>
      </c>
      <c r="K30" s="1577">
        <v>0</v>
      </c>
      <c r="L30" s="1578">
        <v>0</v>
      </c>
      <c r="M30" s="1578">
        <v>0</v>
      </c>
      <c r="N30" s="1578">
        <v>0</v>
      </c>
      <c r="O30" s="1554">
        <v>0</v>
      </c>
      <c r="P30" s="1574"/>
      <c r="Q30" s="1576"/>
      <c r="R30" s="1576"/>
      <c r="S30" s="1576"/>
      <c r="T30" s="1576"/>
      <c r="U30" s="1554"/>
      <c r="V30" s="1554"/>
      <c r="W30" s="1554"/>
      <c r="X30" s="1554"/>
    </row>
    <row r="31" spans="1:24">
      <c r="B31" s="1539" t="s">
        <v>2068</v>
      </c>
      <c r="C31" s="1575"/>
      <c r="D31" s="1577"/>
      <c r="E31" s="1578">
        <v>4640000</v>
      </c>
      <c r="F31" s="1578">
        <v>4640000</v>
      </c>
      <c r="G31" s="1578"/>
      <c r="H31" s="1554">
        <v>4640000</v>
      </c>
      <c r="I31" s="1554"/>
      <c r="J31" s="1575"/>
      <c r="K31" s="1577"/>
      <c r="L31" s="1578">
        <v>0</v>
      </c>
      <c r="M31" s="1578">
        <v>0</v>
      </c>
      <c r="N31" s="1578"/>
      <c r="O31" s="1554">
        <v>0</v>
      </c>
      <c r="P31" s="1574"/>
      <c r="Q31" s="1576"/>
      <c r="R31" s="1576"/>
      <c r="S31" s="1576"/>
      <c r="T31" s="1576"/>
      <c r="U31" s="1554"/>
      <c r="V31" s="1554"/>
      <c r="W31" s="1554"/>
      <c r="X31" s="1554"/>
    </row>
    <row r="32" spans="1:24">
      <c r="B32" s="1555" t="s">
        <v>1990</v>
      </c>
      <c r="C32" s="1575"/>
      <c r="D32" s="1577"/>
      <c r="E32" s="1578"/>
      <c r="F32" s="1578"/>
      <c r="G32" s="1578"/>
      <c r="H32" s="1554"/>
      <c r="I32" s="1554"/>
      <c r="J32" s="1575"/>
      <c r="K32" s="1577"/>
      <c r="L32" s="1578"/>
      <c r="M32" s="1578"/>
      <c r="N32" s="1578"/>
      <c r="O32" s="1554"/>
      <c r="P32" s="1574"/>
      <c r="Q32" s="1576"/>
      <c r="R32" s="1576"/>
      <c r="S32" s="1554">
        <v>546008</v>
      </c>
      <c r="T32" s="1554">
        <v>546008</v>
      </c>
      <c r="U32" s="1554"/>
      <c r="V32" s="1554"/>
      <c r="W32" s="1554"/>
      <c r="X32" s="1554">
        <v>546008</v>
      </c>
    </row>
    <row r="33" spans="1:28">
      <c r="B33" s="1539" t="s">
        <v>2061</v>
      </c>
      <c r="P33" s="1574"/>
      <c r="R33" s="1554"/>
      <c r="S33" s="1554"/>
      <c r="T33" s="1554"/>
      <c r="U33" s="1554"/>
      <c r="V33" s="1554">
        <v>-16894650.98</v>
      </c>
      <c r="W33" s="1554"/>
      <c r="X33" s="1554">
        <v>-16894650.98</v>
      </c>
    </row>
    <row r="34" spans="1:28">
      <c r="P34" s="1574"/>
      <c r="R34" s="1554"/>
      <c r="S34" s="1554"/>
      <c r="T34" s="1554"/>
      <c r="U34" s="1554"/>
      <c r="V34" s="1554"/>
      <c r="W34" s="1554"/>
      <c r="X34" s="1554"/>
    </row>
    <row r="35" spans="1:28" ht="15.75" thickBot="1">
      <c r="A35" s="1558" t="s">
        <v>2069</v>
      </c>
      <c r="C35" s="1572">
        <v>44050000</v>
      </c>
      <c r="D35" s="1573">
        <v>44049.998999999996</v>
      </c>
      <c r="E35" s="1573">
        <v>42885950</v>
      </c>
      <c r="F35" s="1573">
        <v>42930000</v>
      </c>
      <c r="G35" s="1573">
        <v>-65099.88</v>
      </c>
      <c r="H35" s="1573">
        <v>42864900.119999997</v>
      </c>
      <c r="I35" s="1562"/>
      <c r="J35" s="1572">
        <v>0</v>
      </c>
      <c r="K35" s="1573">
        <v>0</v>
      </c>
      <c r="L35" s="1573">
        <v>0</v>
      </c>
      <c r="M35" s="1573">
        <v>0</v>
      </c>
      <c r="N35" s="1573">
        <v>0</v>
      </c>
      <c r="O35" s="1573">
        <v>0</v>
      </c>
      <c r="P35" s="1571"/>
      <c r="Q35" s="1572">
        <v>9221259</v>
      </c>
      <c r="R35" s="1573">
        <v>9221.259</v>
      </c>
      <c r="S35" s="1573">
        <v>1322537.9739999999</v>
      </c>
      <c r="T35" s="1573">
        <v>1331759.2329999998</v>
      </c>
      <c r="U35" s="1554"/>
      <c r="V35" s="1573">
        <v>-21609573.25</v>
      </c>
      <c r="W35" s="1554"/>
      <c r="X35" s="1573">
        <v>-20277814.017000001</v>
      </c>
    </row>
    <row r="36" spans="1:28">
      <c r="A36" s="1558"/>
      <c r="C36" s="1579"/>
      <c r="D36" s="1562"/>
      <c r="E36" s="1562"/>
      <c r="F36" s="1562"/>
      <c r="G36" s="1562"/>
      <c r="H36" s="1562"/>
      <c r="I36" s="1562"/>
      <c r="J36" s="1579"/>
      <c r="K36" s="1562"/>
      <c r="L36" s="1562"/>
      <c r="M36" s="1562"/>
      <c r="N36" s="1562"/>
      <c r="O36" s="1562"/>
      <c r="P36" s="1571"/>
      <c r="Q36" s="1579"/>
      <c r="R36" s="1562"/>
      <c r="S36" s="1562"/>
      <c r="T36" s="1562"/>
      <c r="U36" s="1554"/>
      <c r="V36" s="1562"/>
      <c r="W36" s="1554"/>
      <c r="X36" s="1562"/>
    </row>
    <row r="37" spans="1:28">
      <c r="A37" s="1558"/>
      <c r="C37" s="1579"/>
      <c r="D37" s="1562"/>
      <c r="E37" s="1562"/>
      <c r="F37" s="1562"/>
      <c r="G37" s="1562"/>
      <c r="H37" s="1562"/>
      <c r="I37" s="1562"/>
      <c r="J37" s="1579"/>
      <c r="K37" s="1562"/>
      <c r="L37" s="1562"/>
      <c r="M37" s="1562"/>
      <c r="N37" s="1562"/>
      <c r="O37" s="1562"/>
      <c r="P37" s="1571"/>
      <c r="Q37" s="1579"/>
      <c r="R37" s="1562"/>
      <c r="S37" s="1562"/>
      <c r="T37" s="1562"/>
      <c r="U37" s="1554"/>
      <c r="V37" s="1562"/>
      <c r="W37" s="1554"/>
      <c r="X37" s="1562"/>
    </row>
    <row r="38" spans="1:28">
      <c r="B38" s="1539" t="s">
        <v>2070</v>
      </c>
      <c r="C38" s="1575">
        <v>0</v>
      </c>
      <c r="D38" s="1577">
        <v>0</v>
      </c>
      <c r="E38" s="1578">
        <v>0</v>
      </c>
      <c r="F38" s="1578">
        <v>0</v>
      </c>
      <c r="G38" s="1578">
        <v>0</v>
      </c>
      <c r="H38" s="1554">
        <v>0</v>
      </c>
      <c r="I38" s="1554"/>
      <c r="J38" s="1277">
        <v>11024996</v>
      </c>
      <c r="K38" s="1577">
        <v>11024.996000000001</v>
      </c>
      <c r="L38" s="1578">
        <v>22038967</v>
      </c>
      <c r="M38" s="1578">
        <v>22049991.995999999</v>
      </c>
      <c r="N38" s="1578">
        <v>-49572.09</v>
      </c>
      <c r="O38" s="1554">
        <v>22000419.905999999</v>
      </c>
      <c r="P38" s="1574"/>
      <c r="Q38" s="1576">
        <v>0</v>
      </c>
      <c r="R38" s="1576">
        <v>0</v>
      </c>
      <c r="S38" s="1576">
        <v>0</v>
      </c>
      <c r="T38" s="1554">
        <v>0</v>
      </c>
      <c r="U38" s="1554"/>
      <c r="V38" s="1554"/>
      <c r="W38" s="1554"/>
      <c r="X38" s="1554">
        <v>22000419.905999999</v>
      </c>
    </row>
    <row r="39" spans="1:28">
      <c r="B39" s="1539" t="s">
        <v>2064</v>
      </c>
      <c r="C39" s="1575">
        <v>0</v>
      </c>
      <c r="D39" s="1577">
        <v>0</v>
      </c>
      <c r="E39" s="1578">
        <v>0</v>
      </c>
      <c r="F39" s="1578">
        <v>0</v>
      </c>
      <c r="G39" s="1578">
        <v>0</v>
      </c>
      <c r="H39" s="1554">
        <v>0</v>
      </c>
      <c r="I39" s="1554"/>
      <c r="J39" s="1579">
        <v>0</v>
      </c>
      <c r="K39" s="1562">
        <v>0</v>
      </c>
      <c r="L39" s="1562">
        <v>0</v>
      </c>
      <c r="M39" s="1562">
        <v>0</v>
      </c>
      <c r="N39" s="1562">
        <v>0</v>
      </c>
      <c r="O39" s="1554">
        <v>0</v>
      </c>
      <c r="P39" s="1574"/>
      <c r="Q39" s="1576">
        <v>0</v>
      </c>
      <c r="R39" s="1554">
        <v>0</v>
      </c>
      <c r="S39" s="1554">
        <v>0</v>
      </c>
      <c r="T39" s="1554">
        <v>0</v>
      </c>
      <c r="U39" s="1554"/>
      <c r="V39" s="1554"/>
      <c r="W39" s="1554"/>
      <c r="X39" s="1554">
        <v>0</v>
      </c>
    </row>
    <row r="40" spans="1:28">
      <c r="A40" s="1558"/>
      <c r="B40" s="1539" t="s">
        <v>2067</v>
      </c>
      <c r="C40" s="1579">
        <v>0</v>
      </c>
      <c r="D40" s="1562">
        <v>0</v>
      </c>
      <c r="E40" s="1562">
        <v>0</v>
      </c>
      <c r="F40" s="1562">
        <v>0</v>
      </c>
      <c r="G40" s="1562">
        <v>0</v>
      </c>
      <c r="H40" s="1554">
        <v>0</v>
      </c>
      <c r="I40" s="1562"/>
      <c r="J40" s="1579">
        <v>0</v>
      </c>
      <c r="K40" s="1562">
        <v>0</v>
      </c>
      <c r="L40" s="1562">
        <v>0</v>
      </c>
      <c r="M40" s="1562">
        <v>0</v>
      </c>
      <c r="N40" s="1562">
        <v>0</v>
      </c>
      <c r="O40" s="1554">
        <v>0</v>
      </c>
      <c r="P40" s="1571"/>
      <c r="Q40" s="1580">
        <v>-78750</v>
      </c>
      <c r="R40" s="1581">
        <v>-78.760000000000005</v>
      </c>
      <c r="S40" s="1581">
        <v>-10158.74</v>
      </c>
      <c r="T40" s="1582">
        <v>-10237.5</v>
      </c>
      <c r="U40" s="1582"/>
      <c r="V40" s="1581"/>
      <c r="W40" s="1582"/>
      <c r="X40" s="1582">
        <v>-10237.5</v>
      </c>
      <c r="Y40" s="1583"/>
      <c r="Z40" s="1583" t="s">
        <v>1730</v>
      </c>
      <c r="AA40" s="1583"/>
      <c r="AB40" s="1584" t="s">
        <v>1730</v>
      </c>
    </row>
    <row r="41" spans="1:28">
      <c r="A41" s="1558"/>
      <c r="B41" s="1539" t="s">
        <v>2065</v>
      </c>
      <c r="C41" s="1579">
        <v>0</v>
      </c>
      <c r="D41" s="1562">
        <v>0</v>
      </c>
      <c r="E41" s="1562">
        <v>0</v>
      </c>
      <c r="F41" s="1562">
        <v>0</v>
      </c>
      <c r="G41" s="1562">
        <v>0</v>
      </c>
      <c r="H41" s="1554">
        <v>0</v>
      </c>
      <c r="I41" s="1562"/>
      <c r="J41" s="1579">
        <v>0</v>
      </c>
      <c r="K41" s="1562">
        <v>0</v>
      </c>
      <c r="L41" s="1562">
        <v>0</v>
      </c>
      <c r="M41" s="1562">
        <v>0</v>
      </c>
      <c r="N41" s="1562">
        <v>0</v>
      </c>
      <c r="O41" s="1554">
        <v>0</v>
      </c>
      <c r="P41" s="1571"/>
      <c r="Q41" s="1579">
        <v>3090891</v>
      </c>
      <c r="R41" s="1562">
        <v>3090.8939999999998</v>
      </c>
      <c r="S41" s="1562">
        <v>79047.555999999982</v>
      </c>
      <c r="T41" s="1554">
        <v>82138.449999999983</v>
      </c>
      <c r="U41" s="1554"/>
      <c r="V41" s="1562"/>
      <c r="W41" s="1554"/>
      <c r="X41" s="1554">
        <v>82138.449999999983</v>
      </c>
      <c r="Z41" s="1554" t="s">
        <v>1730</v>
      </c>
    </row>
    <row r="42" spans="1:28">
      <c r="A42" s="1558"/>
      <c r="B42" s="1555" t="s">
        <v>1990</v>
      </c>
      <c r="C42" s="1575">
        <v>0</v>
      </c>
      <c r="D42" s="1577">
        <v>0</v>
      </c>
      <c r="E42" s="1578">
        <v>0</v>
      </c>
      <c r="F42" s="1578">
        <v>0</v>
      </c>
      <c r="G42" s="1578">
        <v>0</v>
      </c>
      <c r="H42" s="1554">
        <v>0</v>
      </c>
      <c r="I42" s="1562"/>
      <c r="J42" s="1579">
        <v>0</v>
      </c>
      <c r="K42" s="1562">
        <v>0</v>
      </c>
      <c r="L42" s="1562">
        <v>0</v>
      </c>
      <c r="M42" s="1562">
        <v>0</v>
      </c>
      <c r="N42" s="1562">
        <v>0</v>
      </c>
      <c r="O42" s="1554">
        <v>0</v>
      </c>
      <c r="P42" s="1571"/>
      <c r="Q42" s="1579"/>
      <c r="R42" s="1562"/>
      <c r="S42" s="1562"/>
      <c r="T42" s="1554"/>
      <c r="U42" s="1554"/>
      <c r="V42" s="1562"/>
      <c r="W42" s="1554"/>
      <c r="X42" s="1554"/>
    </row>
    <row r="43" spans="1:28">
      <c r="A43" s="1558"/>
      <c r="B43" s="1539" t="s">
        <v>2061</v>
      </c>
      <c r="C43" s="1575">
        <v>0</v>
      </c>
      <c r="D43" s="1577">
        <v>0</v>
      </c>
      <c r="E43" s="1578">
        <v>0</v>
      </c>
      <c r="F43" s="1578">
        <v>0</v>
      </c>
      <c r="G43" s="1578">
        <v>0</v>
      </c>
      <c r="H43" s="1554">
        <v>0</v>
      </c>
      <c r="I43" s="1562"/>
      <c r="J43" s="1579">
        <v>0</v>
      </c>
      <c r="K43" s="1562">
        <v>0</v>
      </c>
      <c r="L43" s="1562">
        <v>0</v>
      </c>
      <c r="M43" s="1562">
        <v>0</v>
      </c>
      <c r="N43" s="1562">
        <v>0</v>
      </c>
      <c r="O43" s="1554">
        <v>0</v>
      </c>
      <c r="P43" s="1571"/>
      <c r="Q43" s="1579"/>
      <c r="R43" s="1562"/>
      <c r="S43" s="1562"/>
      <c r="T43" s="1562"/>
      <c r="U43" s="1554"/>
      <c r="V43" s="1562">
        <v>0</v>
      </c>
      <c r="W43" s="1554"/>
      <c r="X43" s="1562"/>
    </row>
    <row r="44" spans="1:28">
      <c r="A44" s="1558"/>
      <c r="C44" s="1579"/>
      <c r="D44" s="1562"/>
      <c r="E44" s="1562"/>
      <c r="F44" s="1562"/>
      <c r="G44" s="1562"/>
      <c r="H44" s="1562"/>
      <c r="I44" s="1562"/>
      <c r="J44" s="1579"/>
      <c r="K44" s="1562"/>
      <c r="L44" s="1562"/>
      <c r="M44" s="1562"/>
      <c r="N44" s="1562"/>
      <c r="O44" s="1562"/>
      <c r="P44" s="1571"/>
      <c r="Q44" s="1579"/>
      <c r="R44" s="1562"/>
      <c r="S44" s="1562"/>
      <c r="T44" s="1562"/>
      <c r="U44" s="1554"/>
      <c r="V44" s="1562"/>
      <c r="W44" s="1554"/>
      <c r="X44" s="1562"/>
    </row>
    <row r="45" spans="1:28">
      <c r="A45" s="1558"/>
      <c r="C45" s="1579"/>
      <c r="D45" s="1562"/>
      <c r="E45" s="1562"/>
      <c r="F45" s="1562"/>
      <c r="G45" s="1562"/>
      <c r="H45" s="1562"/>
      <c r="I45" s="1562"/>
      <c r="J45" s="1579"/>
      <c r="K45" s="1562"/>
      <c r="L45" s="1562"/>
      <c r="M45" s="1562"/>
      <c r="N45" s="1562"/>
      <c r="O45" s="1562"/>
      <c r="P45" s="1571"/>
      <c r="Q45" s="1579"/>
      <c r="R45" s="1562"/>
      <c r="S45" s="1562"/>
      <c r="T45" s="1562"/>
      <c r="U45" s="1554"/>
      <c r="V45" s="1562"/>
      <c r="W45" s="1554"/>
      <c r="X45" s="1562"/>
    </row>
    <row r="46" spans="1:28">
      <c r="A46" s="1558"/>
      <c r="C46" s="1579"/>
      <c r="D46" s="1562"/>
      <c r="E46" s="1562"/>
      <c r="F46" s="1562"/>
      <c r="G46" s="1562"/>
      <c r="H46" s="1562"/>
      <c r="I46" s="1562"/>
      <c r="J46" s="1579"/>
      <c r="K46" s="1562"/>
      <c r="L46" s="1562"/>
      <c r="M46" s="1562"/>
      <c r="N46" s="1562"/>
      <c r="O46" s="1562"/>
      <c r="P46" s="1571"/>
      <c r="Q46" s="1579"/>
      <c r="R46" s="1562"/>
      <c r="S46" s="1562"/>
      <c r="T46" s="1562"/>
      <c r="U46" s="1554"/>
      <c r="V46" s="1562"/>
      <c r="W46" s="1554"/>
      <c r="X46" s="1562"/>
    </row>
    <row r="47" spans="1:28" ht="10.5" customHeight="1">
      <c r="P47" s="1574"/>
      <c r="R47" s="1554"/>
      <c r="S47" s="1554"/>
      <c r="T47" s="1554"/>
      <c r="U47" s="1554"/>
      <c r="V47" s="1554"/>
      <c r="W47" s="1554"/>
      <c r="X47" s="1554"/>
    </row>
    <row r="48" spans="1:28" ht="15.75" thickBot="1">
      <c r="A48" s="1539" t="s">
        <v>2071</v>
      </c>
      <c r="C48" s="1585">
        <v>44050000</v>
      </c>
      <c r="D48" s="1586">
        <v>44049.998999999996</v>
      </c>
      <c r="E48" s="1586">
        <v>42885950</v>
      </c>
      <c r="F48" s="1586">
        <v>42930000</v>
      </c>
      <c r="G48" s="1586">
        <v>-65099.88</v>
      </c>
      <c r="H48" s="1586">
        <v>42864900.119999997</v>
      </c>
      <c r="I48" s="1554"/>
      <c r="J48" s="1585">
        <v>11024996</v>
      </c>
      <c r="K48" s="1586">
        <v>11024.996000000001</v>
      </c>
      <c r="L48" s="1586">
        <v>22038967</v>
      </c>
      <c r="M48" s="1586">
        <v>22049991.995999999</v>
      </c>
      <c r="N48" s="1586">
        <v>-49572.09</v>
      </c>
      <c r="O48" s="1586">
        <v>22000419.905999999</v>
      </c>
      <c r="Q48" s="1587">
        <v>12233400</v>
      </c>
      <c r="R48" s="1573">
        <v>12233.393</v>
      </c>
      <c r="S48" s="1573">
        <v>1391426.79</v>
      </c>
      <c r="T48" s="1573">
        <v>1403660.1829999997</v>
      </c>
      <c r="U48" s="1554"/>
      <c r="V48" s="1573">
        <v>-21609573.25</v>
      </c>
      <c r="W48" s="1554"/>
      <c r="X48" s="1573">
        <v>1794506.8389999985</v>
      </c>
    </row>
    <row r="49" spans="1:24">
      <c r="D49" s="1539" t="s">
        <v>1730</v>
      </c>
      <c r="E49" s="1539" t="s">
        <v>1730</v>
      </c>
      <c r="F49" s="1539" t="s">
        <v>1730</v>
      </c>
      <c r="G49" s="1539" t="s">
        <v>1730</v>
      </c>
      <c r="H49" s="1539" t="s">
        <v>1730</v>
      </c>
      <c r="K49" s="1539" t="s">
        <v>1730</v>
      </c>
      <c r="L49" s="1539" t="s">
        <v>1730</v>
      </c>
      <c r="M49" s="1539" t="s">
        <v>1730</v>
      </c>
      <c r="N49" s="1539" t="s">
        <v>1730</v>
      </c>
      <c r="O49" s="1539" t="s">
        <v>1730</v>
      </c>
      <c r="P49" s="1539" t="s">
        <v>1730</v>
      </c>
      <c r="Q49" s="1588" t="s">
        <v>2072</v>
      </c>
      <c r="R49" s="1582">
        <v>-4794.63</v>
      </c>
      <c r="S49" s="1582">
        <v>-315456.15000000002</v>
      </c>
      <c r="T49" s="1582">
        <v>-320250.78000000003</v>
      </c>
      <c r="U49" s="1554"/>
      <c r="V49" s="1554" t="s">
        <v>1730</v>
      </c>
      <c r="W49" s="1554"/>
      <c r="X49" s="1554"/>
    </row>
    <row r="50" spans="1:24">
      <c r="A50" s="1539" t="s">
        <v>2073</v>
      </c>
      <c r="D50" s="1589">
        <v>44050</v>
      </c>
      <c r="E50" s="1589">
        <v>42885950</v>
      </c>
      <c r="F50" s="1589">
        <v>42930000</v>
      </c>
      <c r="G50" s="1589">
        <v>-65099.88</v>
      </c>
      <c r="H50" s="1589">
        <v>42864900.119999997</v>
      </c>
      <c r="I50" s="1590"/>
      <c r="K50" s="1589">
        <v>11025</v>
      </c>
      <c r="L50" s="1589">
        <v>22038967</v>
      </c>
      <c r="M50" s="1589">
        <v>22049992</v>
      </c>
      <c r="N50" s="1589">
        <v>-49572.09</v>
      </c>
      <c r="O50" s="1589">
        <v>22000419.91</v>
      </c>
      <c r="Q50" s="1578" t="s">
        <v>1730</v>
      </c>
      <c r="R50" s="1591">
        <v>7438.7629999999999</v>
      </c>
      <c r="S50" s="1591">
        <v>1075970.6400000001</v>
      </c>
      <c r="T50" s="1591">
        <v>1083409.4030000002</v>
      </c>
      <c r="U50" s="1554"/>
      <c r="V50" s="1592">
        <v>-21609573.25</v>
      </c>
      <c r="W50" s="1554"/>
      <c r="X50" s="1554"/>
    </row>
    <row r="51" spans="1:24">
      <c r="D51" s="1593">
        <v>1.0000000038417056E-3</v>
      </c>
      <c r="E51" s="1593">
        <v>0</v>
      </c>
      <c r="F51" s="1593">
        <v>0</v>
      </c>
      <c r="G51" s="1593">
        <v>0</v>
      </c>
      <c r="H51" s="1593">
        <v>0</v>
      </c>
      <c r="I51" s="1594"/>
      <c r="K51" s="1593">
        <v>-3.9999999989959178E-3</v>
      </c>
      <c r="L51" s="1593">
        <v>0</v>
      </c>
      <c r="M51" s="1593">
        <v>-4.0000006556510925E-3</v>
      </c>
      <c r="N51" s="1593">
        <v>0</v>
      </c>
      <c r="O51" s="1593">
        <v>-4.0000006556510925E-3</v>
      </c>
      <c r="P51" s="1595"/>
      <c r="Q51" s="1595" t="s">
        <v>1730</v>
      </c>
      <c r="R51" s="1584">
        <v>0</v>
      </c>
      <c r="S51" s="1584">
        <v>0</v>
      </c>
      <c r="T51" s="1584">
        <v>0</v>
      </c>
      <c r="U51" s="1596"/>
      <c r="V51" s="1593">
        <v>0</v>
      </c>
    </row>
    <row r="53" spans="1:24">
      <c r="Q53" s="1576" t="s">
        <v>1730</v>
      </c>
      <c r="R53" s="1539" t="s">
        <v>1730</v>
      </c>
      <c r="S53" s="1539" t="s">
        <v>1730</v>
      </c>
      <c r="T53" s="1539" t="s">
        <v>1730</v>
      </c>
    </row>
    <row r="54" spans="1:24" ht="15.75" thickBot="1">
      <c r="F54" s="1574"/>
      <c r="G54" s="1574"/>
      <c r="H54" s="1574"/>
      <c r="I54" s="1574"/>
      <c r="J54" s="1574"/>
      <c r="K54" s="1574"/>
      <c r="L54" s="1574"/>
    </row>
    <row r="55" spans="1:24">
      <c r="F55" s="1574"/>
      <c r="G55" s="1597" t="s">
        <v>1730</v>
      </c>
      <c r="H55" s="1597"/>
      <c r="I55" s="1597"/>
      <c r="J55" s="1574"/>
      <c r="K55" s="1574"/>
      <c r="L55" s="1574"/>
      <c r="N55" s="1598" t="s">
        <v>2074</v>
      </c>
      <c r="O55" s="1599"/>
      <c r="P55" s="1599"/>
      <c r="Q55" s="1599"/>
      <c r="R55" s="1600" t="s">
        <v>1730</v>
      </c>
      <c r="S55" s="1599"/>
      <c r="T55" s="1601"/>
    </row>
    <row r="56" spans="1:24">
      <c r="F56" s="1574"/>
      <c r="G56" s="1597" t="s">
        <v>1730</v>
      </c>
      <c r="H56" s="1602" t="s">
        <v>1730</v>
      </c>
      <c r="I56" s="1602"/>
      <c r="J56" s="1574"/>
      <c r="K56" s="1574"/>
      <c r="L56" s="1574"/>
      <c r="N56" s="1603" t="s">
        <v>2075</v>
      </c>
      <c r="O56" s="1602" t="s">
        <v>1730</v>
      </c>
      <c r="P56" s="1597"/>
      <c r="Q56" s="1604">
        <v>523334</v>
      </c>
      <c r="R56" s="1602">
        <v>523.33000000000004</v>
      </c>
      <c r="S56" s="1602">
        <v>0</v>
      </c>
      <c r="T56" s="1605">
        <v>523.33000000000004</v>
      </c>
      <c r="V56" s="1554" t="s">
        <v>1730</v>
      </c>
      <c r="X56" s="1554" t="s">
        <v>1730</v>
      </c>
    </row>
    <row r="57" spans="1:24">
      <c r="F57" s="1574"/>
      <c r="G57" s="1597"/>
      <c r="H57" s="1602"/>
      <c r="I57" s="1602"/>
      <c r="J57" s="1574"/>
      <c r="K57" s="1574"/>
      <c r="L57" s="1574"/>
      <c r="N57" s="1603"/>
      <c r="O57" s="1602"/>
      <c r="P57" s="1597"/>
      <c r="Q57" s="1604"/>
      <c r="R57" s="1602"/>
      <c r="S57" s="1602"/>
      <c r="T57" s="1605"/>
      <c r="V57" s="1554"/>
      <c r="X57" s="1606" t="s">
        <v>1730</v>
      </c>
    </row>
    <row r="58" spans="1:24">
      <c r="F58" s="1574"/>
      <c r="G58" s="1597" t="s">
        <v>1730</v>
      </c>
      <c r="H58" s="1597" t="s">
        <v>1730</v>
      </c>
      <c r="I58" s="1597"/>
      <c r="J58" s="1574"/>
      <c r="K58" s="1574"/>
      <c r="L58" s="1574"/>
      <c r="N58" s="1603" t="s">
        <v>2076</v>
      </c>
      <c r="O58" s="1597" t="s">
        <v>160</v>
      </c>
      <c r="P58" s="1597"/>
      <c r="Q58" s="1604">
        <v>15145200</v>
      </c>
      <c r="R58" s="1602">
        <v>15145.2</v>
      </c>
      <c r="S58" s="1602">
        <v>962824.96</v>
      </c>
      <c r="T58" s="1605">
        <v>977970.15999999992</v>
      </c>
      <c r="V58" s="1554" t="s">
        <v>1730</v>
      </c>
      <c r="X58" s="1578" t="s">
        <v>1730</v>
      </c>
    </row>
    <row r="59" spans="1:24">
      <c r="F59" s="1574"/>
      <c r="G59" s="1597"/>
      <c r="H59" s="1597" t="s">
        <v>1730</v>
      </c>
      <c r="I59" s="1597"/>
      <c r="J59" s="1574"/>
      <c r="K59" s="1574"/>
      <c r="L59" s="1574"/>
      <c r="N59" s="1603"/>
      <c r="O59" s="1597" t="s">
        <v>2072</v>
      </c>
      <c r="P59" s="1597"/>
      <c r="Q59" s="1604">
        <v>-9863001</v>
      </c>
      <c r="R59" s="1602">
        <v>-9863</v>
      </c>
      <c r="S59" s="1602">
        <v>-338953.81</v>
      </c>
      <c r="T59" s="1605">
        <v>-348816.81</v>
      </c>
      <c r="V59" s="1554"/>
    </row>
    <row r="60" spans="1:24" ht="15.75" thickBot="1">
      <c r="F60" s="1574"/>
      <c r="G60" s="1597"/>
      <c r="H60" s="1597"/>
      <c r="I60" s="1597"/>
      <c r="J60" s="1574"/>
      <c r="K60" s="1574"/>
      <c r="L60" s="1574"/>
      <c r="N60" s="1603"/>
      <c r="O60" s="1597"/>
      <c r="P60" s="1597"/>
      <c r="Q60" s="1607">
        <v>5282199</v>
      </c>
      <c r="R60" s="1608">
        <v>5282.2000000000007</v>
      </c>
      <c r="S60" s="1608">
        <v>623871.14999999991</v>
      </c>
      <c r="T60" s="1609">
        <v>629153.34999999986</v>
      </c>
    </row>
    <row r="61" spans="1:24" ht="15.75" thickTop="1">
      <c r="F61" s="1574"/>
      <c r="G61" s="1597"/>
      <c r="H61" s="1597"/>
      <c r="I61" s="1597"/>
      <c r="J61" s="1574"/>
      <c r="K61" s="1574"/>
      <c r="L61" s="1574"/>
      <c r="N61" s="1603"/>
      <c r="O61" s="1597"/>
      <c r="P61" s="1597"/>
      <c r="Q61" s="1597"/>
      <c r="R61" s="1602"/>
      <c r="S61" s="1602"/>
      <c r="T61" s="1605"/>
    </row>
    <row r="62" spans="1:24">
      <c r="F62" s="1574"/>
      <c r="G62" s="1597" t="s">
        <v>1730</v>
      </c>
      <c r="H62" s="1597" t="s">
        <v>1730</v>
      </c>
      <c r="I62" s="1597"/>
      <c r="J62" s="1574"/>
      <c r="K62" s="1574"/>
      <c r="L62" s="1574"/>
      <c r="N62" s="1603" t="s">
        <v>2077</v>
      </c>
      <c r="O62" s="1597" t="s">
        <v>160</v>
      </c>
      <c r="P62" s="1597"/>
      <c r="Q62" s="1610">
        <v>16380796</v>
      </c>
      <c r="R62" s="1611">
        <v>16380.796</v>
      </c>
      <c r="S62" s="1611">
        <v>1669424.6839999999</v>
      </c>
      <c r="T62" s="1612">
        <v>1685805.48</v>
      </c>
    </row>
    <row r="63" spans="1:24">
      <c r="F63" s="1574"/>
      <c r="G63" s="1597"/>
      <c r="H63" s="1597" t="s">
        <v>1730</v>
      </c>
      <c r="I63" s="1597"/>
      <c r="J63" s="1574"/>
      <c r="K63" s="1574"/>
      <c r="L63" s="1574"/>
      <c r="N63" s="1603"/>
      <c r="O63" s="1597" t="s">
        <v>2072</v>
      </c>
      <c r="P63" s="1597"/>
      <c r="Q63" s="1610">
        <v>-7159537</v>
      </c>
      <c r="R63" s="1613">
        <v>-7159.5370000000003</v>
      </c>
      <c r="S63" s="1613">
        <v>-346886.87000000005</v>
      </c>
      <c r="T63" s="1614">
        <v>-354046.40700000006</v>
      </c>
    </row>
    <row r="64" spans="1:24" ht="15.75" thickBot="1">
      <c r="F64" s="1574"/>
      <c r="G64" s="1597"/>
      <c r="H64" s="1597"/>
      <c r="I64" s="1597"/>
      <c r="J64" s="1574"/>
      <c r="K64" s="1574"/>
      <c r="L64" s="1574"/>
      <c r="N64" s="1603"/>
      <c r="O64" s="1597"/>
      <c r="P64" s="1597"/>
      <c r="Q64" s="1615">
        <v>9221259</v>
      </c>
      <c r="R64" s="1608">
        <v>9221.259</v>
      </c>
      <c r="S64" s="1608">
        <v>1322537.8139999998</v>
      </c>
      <c r="T64" s="1609">
        <v>1331759.0729999999</v>
      </c>
    </row>
    <row r="65" spans="6:22" ht="15.75" thickTop="1">
      <c r="F65" s="1574"/>
      <c r="G65" s="1597"/>
      <c r="H65" s="1597"/>
      <c r="I65" s="1597"/>
      <c r="J65" s="1574"/>
      <c r="K65" s="1574"/>
      <c r="L65" s="1574"/>
      <c r="N65" s="1603"/>
      <c r="O65" s="1597"/>
      <c r="P65" s="1597"/>
      <c r="Q65" s="1610"/>
      <c r="R65" s="1602"/>
      <c r="S65" s="1602"/>
      <c r="T65" s="1605"/>
    </row>
    <row r="66" spans="6:22">
      <c r="F66" s="1574"/>
      <c r="G66" s="1574"/>
      <c r="H66" s="1574"/>
      <c r="I66" s="1574"/>
      <c r="J66" s="1574"/>
      <c r="K66" s="1574"/>
      <c r="L66" s="1574"/>
      <c r="N66" s="1603" t="s">
        <v>2078</v>
      </c>
      <c r="O66" s="1597" t="s">
        <v>160</v>
      </c>
      <c r="P66" s="1597"/>
      <c r="Q66" s="1610">
        <v>16327046</v>
      </c>
      <c r="R66" s="1611">
        <v>16327.04</v>
      </c>
      <c r="S66" s="1611">
        <v>1669241.1</v>
      </c>
      <c r="T66" s="1612">
        <v>1685568.1400000001</v>
      </c>
    </row>
    <row r="67" spans="6:22">
      <c r="F67" s="1574"/>
      <c r="G67" s="1574"/>
      <c r="H67" s="1574"/>
      <c r="I67" s="1574"/>
      <c r="J67" s="1574"/>
      <c r="K67" s="1574"/>
      <c r="L67" s="1574"/>
      <c r="N67" s="1603"/>
      <c r="O67" s="1597" t="s">
        <v>2072</v>
      </c>
      <c r="P67" s="1597"/>
      <c r="Q67" s="1610">
        <v>-4093646</v>
      </c>
      <c r="R67" s="1613">
        <v>-4093.6460000000002</v>
      </c>
      <c r="S67" s="1613">
        <v>-277814.31400000001</v>
      </c>
      <c r="T67" s="1614">
        <v>-281907.96000000002</v>
      </c>
    </row>
    <row r="68" spans="6:22" ht="15.75" thickBot="1">
      <c r="F68" s="1574"/>
      <c r="G68" s="1616" t="s">
        <v>1730</v>
      </c>
      <c r="H68" s="1616"/>
      <c r="I68" s="1616"/>
      <c r="J68" s="1574"/>
      <c r="K68" s="1574"/>
      <c r="L68" s="1574"/>
      <c r="N68" s="1603"/>
      <c r="O68" s="1597"/>
      <c r="P68" s="1597"/>
      <c r="Q68" s="1615">
        <v>12233400</v>
      </c>
      <c r="R68" s="1608">
        <v>12233.394</v>
      </c>
      <c r="S68" s="1608">
        <v>1391426.7860000001</v>
      </c>
      <c r="T68" s="1609">
        <v>1403660.1800000002</v>
      </c>
    </row>
    <row r="69" spans="6:22" ht="15.75" thickTop="1">
      <c r="F69" s="1574"/>
      <c r="G69" s="1574"/>
      <c r="H69" s="1574"/>
      <c r="I69" s="1574"/>
      <c r="J69" s="1574"/>
      <c r="K69" s="1574"/>
      <c r="L69" s="1574"/>
      <c r="N69" s="1603"/>
      <c r="O69" s="1597"/>
      <c r="P69" s="1597"/>
      <c r="Q69" s="1610">
        <v>0</v>
      </c>
      <c r="R69" s="1610">
        <v>-1.0000000002037268E-3</v>
      </c>
      <c r="S69" s="1610">
        <v>3.9999999571591616E-3</v>
      </c>
      <c r="T69" s="1610">
        <v>2.9999995604157448E-3</v>
      </c>
      <c r="V69" s="1554" t="s">
        <v>1730</v>
      </c>
    </row>
    <row r="70" spans="6:22" ht="15.75" thickBot="1">
      <c r="F70" s="1574"/>
      <c r="G70" s="1617" t="s">
        <v>1730</v>
      </c>
      <c r="H70" s="1574"/>
      <c r="I70" s="1574"/>
      <c r="J70" s="1574"/>
      <c r="K70" s="1574"/>
      <c r="L70" s="1574"/>
      <c r="N70" s="1618"/>
      <c r="O70" s="1619"/>
      <c r="P70" s="1619"/>
      <c r="Q70" s="1619"/>
      <c r="R70" s="1619"/>
      <c r="S70" s="1619"/>
      <c r="T70" s="1620"/>
    </row>
    <row r="71" spans="6:22">
      <c r="F71" s="1574"/>
      <c r="G71" s="1621" t="s">
        <v>1730</v>
      </c>
      <c r="H71" s="1574"/>
      <c r="I71" s="1574"/>
      <c r="J71" s="1574"/>
      <c r="K71" s="1574"/>
      <c r="L71" s="1574"/>
    </row>
    <row r="72" spans="6:22" ht="15.75" thickBot="1">
      <c r="F72" s="1574"/>
      <c r="G72" s="1621" t="s">
        <v>1730</v>
      </c>
      <c r="H72" s="1574"/>
      <c r="I72" s="1574"/>
      <c r="J72" s="1574"/>
      <c r="K72" s="1574"/>
      <c r="L72" s="1574"/>
    </row>
    <row r="73" spans="6:22">
      <c r="F73" s="1574"/>
      <c r="G73" s="3286" t="s">
        <v>1730</v>
      </c>
      <c r="H73" s="3286"/>
      <c r="I73" s="1622"/>
      <c r="J73" s="1574"/>
      <c r="K73" s="1574"/>
      <c r="L73" s="1574"/>
      <c r="N73" s="1623" t="s">
        <v>2079</v>
      </c>
      <c r="O73" s="1624"/>
      <c r="P73" s="1624"/>
      <c r="Q73" s="1624"/>
      <c r="R73" s="1625"/>
      <c r="S73" s="1625"/>
      <c r="T73" s="1626"/>
    </row>
    <row r="74" spans="6:22">
      <c r="F74" s="1574"/>
      <c r="G74" s="1574"/>
      <c r="H74" s="1574"/>
      <c r="I74" s="1574"/>
      <c r="J74" s="1574"/>
      <c r="K74" s="1574"/>
      <c r="L74" s="1574"/>
      <c r="N74" s="1627"/>
      <c r="O74" s="1574"/>
      <c r="P74" s="1574"/>
      <c r="Q74" s="1574"/>
      <c r="R74" s="1574"/>
      <c r="S74" s="1574"/>
      <c r="T74" s="1628"/>
    </row>
    <row r="75" spans="6:22">
      <c r="F75" s="1574"/>
      <c r="G75" s="1574"/>
      <c r="H75" s="1574"/>
      <c r="I75" s="1574"/>
      <c r="J75" s="1574"/>
      <c r="K75" s="1574"/>
      <c r="L75" s="1574"/>
      <c r="N75" s="1629" t="s">
        <v>2080</v>
      </c>
      <c r="O75" s="1574"/>
      <c r="P75" s="1574"/>
      <c r="Q75" s="1630">
        <v>7159537</v>
      </c>
      <c r="R75" s="1590">
        <v>7159.54</v>
      </c>
      <c r="S75" s="1590">
        <v>346886.87</v>
      </c>
      <c r="T75" s="1631">
        <v>354046.41</v>
      </c>
    </row>
    <row r="76" spans="6:22">
      <c r="F76" s="1574"/>
      <c r="G76" s="1574"/>
      <c r="H76" s="1574"/>
      <c r="I76" s="1574"/>
      <c r="J76" s="1574"/>
      <c r="K76" s="1574"/>
      <c r="L76" s="1574"/>
      <c r="N76" s="1632" t="s">
        <v>2081</v>
      </c>
      <c r="O76" s="1574"/>
      <c r="P76" s="1574"/>
      <c r="Q76" s="1633">
        <v>25000</v>
      </c>
      <c r="R76" s="1634">
        <v>25</v>
      </c>
      <c r="S76" s="1634">
        <v>9975</v>
      </c>
      <c r="T76" s="1631">
        <v>10000</v>
      </c>
    </row>
    <row r="77" spans="6:22">
      <c r="F77" s="1574"/>
      <c r="G77" s="1574"/>
      <c r="H77" s="1574"/>
      <c r="I77" s="1574"/>
      <c r="J77" s="1574"/>
      <c r="K77" s="1574"/>
      <c r="L77" s="1574"/>
      <c r="N77" s="1632" t="s">
        <v>2082</v>
      </c>
      <c r="O77" s="1574"/>
      <c r="P77" s="1574"/>
      <c r="Q77" s="1635">
        <v>-4093646</v>
      </c>
      <c r="R77" s="1636">
        <v>-4093.6460000000002</v>
      </c>
      <c r="S77" s="1636">
        <v>-277814.31400000001</v>
      </c>
      <c r="T77" s="1637">
        <v>-281907.96000000002</v>
      </c>
    </row>
    <row r="78" spans="6:22">
      <c r="F78" s="1574"/>
      <c r="G78" s="1574"/>
      <c r="H78" s="1574"/>
      <c r="I78" s="1574"/>
      <c r="J78" s="1574"/>
      <c r="K78" s="1574"/>
      <c r="L78" s="1574"/>
      <c r="N78" s="3287" t="s">
        <v>2083</v>
      </c>
      <c r="O78" s="3286"/>
      <c r="P78" s="1574"/>
      <c r="Q78" s="1630">
        <v>3090891</v>
      </c>
      <c r="R78" s="1590">
        <v>3090.8939999999998</v>
      </c>
      <c r="S78" s="1590">
        <v>79047.555999999982</v>
      </c>
      <c r="T78" s="1631">
        <v>82138.449999999983</v>
      </c>
    </row>
    <row r="79" spans="6:22">
      <c r="F79" s="1574"/>
      <c r="G79" s="1574"/>
      <c r="H79" s="1574"/>
      <c r="I79" s="1574"/>
      <c r="J79" s="1574"/>
      <c r="K79" s="1574"/>
      <c r="L79" s="1574"/>
      <c r="N79" s="1627"/>
      <c r="O79" s="1574"/>
      <c r="P79" s="1574"/>
      <c r="Q79" s="1574"/>
      <c r="R79" s="1574"/>
      <c r="S79" s="1574"/>
      <c r="T79" s="1628"/>
    </row>
    <row r="80" spans="6:22" ht="15.75" thickBot="1">
      <c r="F80" s="1574"/>
      <c r="G80" s="1574"/>
      <c r="H80" s="1574"/>
      <c r="I80" s="1574"/>
      <c r="J80" s="1574"/>
      <c r="K80" s="1574"/>
      <c r="L80" s="1574"/>
      <c r="N80" s="1638"/>
      <c r="O80" s="1639"/>
      <c r="P80" s="1639"/>
      <c r="Q80" s="1639"/>
      <c r="R80" s="1639"/>
      <c r="S80" s="1639"/>
      <c r="T80" s="1640"/>
    </row>
  </sheetData>
  <mergeCells count="5">
    <mergeCell ref="C5:H5"/>
    <mergeCell ref="J5:O5"/>
    <mergeCell ref="Q5:T5"/>
    <mergeCell ref="G73:H73"/>
    <mergeCell ref="N78:O78"/>
  </mergeCells>
  <pageMargins left="0.25" right="0.25" top="0.75" bottom="0.75" header="0.3" footer="0.3"/>
  <pageSetup scale="56" fitToHeight="2" orientation="landscape" r:id="rId1"/>
  <rowBreaks count="1" manualBreakCount="1">
    <brk id="53" max="16383" man="1"/>
  </rowBreak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workbookViewId="0"/>
  </sheetViews>
  <sheetFormatPr defaultColWidth="10.6640625" defaultRowHeight="12.75"/>
  <cols>
    <col min="1" max="1" width="14.5" style="1266" customWidth="1"/>
    <col min="2" max="4" width="10.6640625" style="1266"/>
    <col min="5" max="5" width="14" style="1266" bestFit="1" customWidth="1"/>
    <col min="6" max="16384" width="10.6640625" style="1266"/>
  </cols>
  <sheetData>
    <row r="1" spans="1:5">
      <c r="A1" s="1265" t="s">
        <v>2084</v>
      </c>
    </row>
    <row r="2" spans="1:5">
      <c r="A2" s="1265" t="s">
        <v>2085</v>
      </c>
    </row>
    <row r="3" spans="1:5">
      <c r="A3" s="1641">
        <f>Summary!A3</f>
        <v>43281</v>
      </c>
    </row>
    <row r="7" spans="1:5">
      <c r="A7" s="1266" t="s">
        <v>2086</v>
      </c>
      <c r="E7" s="1254">
        <f>'Common Stock'!C16+'Common Stock'!C21+'Common Stock'!C57-'Common Stock'!C34</f>
        <v>10740000</v>
      </c>
    </row>
    <row r="8" spans="1:5">
      <c r="E8" s="1280">
        <v>0.03</v>
      </c>
    </row>
    <row r="9" spans="1:5" ht="13.5" thickBot="1">
      <c r="E9" s="1642">
        <f>E7*E8</f>
        <v>322200</v>
      </c>
    </row>
    <row r="11" spans="1:5">
      <c r="A11" s="1266" t="s">
        <v>2087</v>
      </c>
      <c r="E11" s="1404">
        <v>0.11</v>
      </c>
    </row>
    <row r="13" spans="1:5" ht="13.5" thickBot="1">
      <c r="A13" s="1266" t="s">
        <v>2088</v>
      </c>
      <c r="E13" s="1643">
        <f>E9*E11</f>
        <v>35442</v>
      </c>
    </row>
    <row r="14" spans="1:5" ht="13.5" thickTop="1"/>
  </sheetData>
  <pageMargins left="0.7" right="0.7" top="0.75" bottom="0.75" header="0.3" footer="0.3"/>
  <pageSetup orientation="portrait" horizontalDpi="4294967292" verticalDpi="0"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74"/>
  <sheetViews>
    <sheetView showGridLines="0" zoomScale="85" zoomScaleNormal="85" workbookViewId="0">
      <pane xSplit="1" ySplit="2" topLeftCell="B3" activePane="bottomRight" state="frozen"/>
      <selection pane="topRight" activeCell="B1" sqref="B1"/>
      <selection pane="bottomLeft" activeCell="A3" sqref="A3"/>
      <selection pane="bottomRight" activeCell="H6" sqref="H6"/>
    </sheetView>
  </sheetViews>
  <sheetFormatPr defaultRowHeight="15"/>
  <cols>
    <col min="1" max="1" width="36.1640625" style="1073" bestFit="1" customWidth="1"/>
    <col min="2" max="3" width="14.83203125" style="1073" customWidth="1"/>
    <col min="4" max="8" width="14.83203125" style="1080" customWidth="1"/>
    <col min="9" max="13" width="14.83203125" style="1073" customWidth="1"/>
    <col min="14" max="14" width="15.5" style="1080" bestFit="1" customWidth="1"/>
    <col min="15" max="15" width="2.6640625" style="1073" customWidth="1"/>
    <col min="16" max="27" width="14.83203125" style="1073" bestFit="1" customWidth="1"/>
    <col min="28" max="28" width="15.5" style="1073" bestFit="1" customWidth="1"/>
    <col min="29" max="29" width="2.6640625" style="1073" customWidth="1"/>
    <col min="30" max="35" width="14.83203125" style="1073" bestFit="1" customWidth="1"/>
    <col min="36" max="42" width="15.5" style="1073" bestFit="1" customWidth="1"/>
    <col min="43" max="16384" width="9.33203125" style="1073"/>
  </cols>
  <sheetData>
    <row r="1" spans="1:42">
      <c r="B1" s="3288">
        <v>2018</v>
      </c>
      <c r="C1" s="3288"/>
      <c r="D1" s="3288"/>
      <c r="E1" s="3288"/>
      <c r="F1" s="3288"/>
      <c r="G1" s="3288"/>
      <c r="H1" s="3288"/>
      <c r="I1" s="3288"/>
      <c r="J1" s="3288"/>
      <c r="K1" s="3288"/>
      <c r="L1" s="3288"/>
      <c r="M1" s="3288"/>
      <c r="N1" s="3288"/>
      <c r="O1" s="1074"/>
      <c r="P1" s="3288">
        <v>2019</v>
      </c>
      <c r="Q1" s="3288"/>
      <c r="R1" s="3288"/>
      <c r="S1" s="3288"/>
      <c r="T1" s="3288"/>
      <c r="U1" s="3288"/>
      <c r="V1" s="3288"/>
      <c r="W1" s="3288"/>
      <c r="X1" s="3288"/>
      <c r="Y1" s="3288"/>
      <c r="Z1" s="3288"/>
      <c r="AA1" s="3288"/>
      <c r="AB1" s="3288"/>
      <c r="AC1" s="1074"/>
      <c r="AD1" s="3288">
        <v>2020</v>
      </c>
      <c r="AE1" s="3288"/>
      <c r="AF1" s="3288"/>
      <c r="AG1" s="3288"/>
      <c r="AH1" s="3288"/>
      <c r="AI1" s="3288"/>
      <c r="AJ1" s="3288"/>
      <c r="AK1" s="3288"/>
      <c r="AL1" s="3288"/>
      <c r="AM1" s="3288"/>
      <c r="AN1" s="3288"/>
      <c r="AO1" s="3288"/>
      <c r="AP1" s="3288"/>
    </row>
    <row r="2" spans="1:42">
      <c r="B2" s="1075" t="s">
        <v>1640</v>
      </c>
      <c r="C2" s="1075" t="s">
        <v>1641</v>
      </c>
      <c r="D2" s="1075" t="s">
        <v>1642</v>
      </c>
      <c r="E2" s="1075" t="s">
        <v>1643</v>
      </c>
      <c r="F2" s="1075" t="s">
        <v>1644</v>
      </c>
      <c r="G2" s="1076" t="s">
        <v>1645</v>
      </c>
      <c r="H2" s="1076" t="s">
        <v>1646</v>
      </c>
      <c r="I2" s="1076" t="s">
        <v>1647</v>
      </c>
      <c r="J2" s="1076" t="s">
        <v>1648</v>
      </c>
      <c r="K2" s="1076" t="s">
        <v>1649</v>
      </c>
      <c r="L2" s="1076" t="s">
        <v>1650</v>
      </c>
      <c r="M2" s="1076" t="s">
        <v>1651</v>
      </c>
      <c r="N2" s="1077" t="s">
        <v>160</v>
      </c>
      <c r="O2" s="1074"/>
      <c r="P2" s="1076" t="s">
        <v>1640</v>
      </c>
      <c r="Q2" s="1076" t="s">
        <v>1641</v>
      </c>
      <c r="R2" s="1076" t="s">
        <v>1642</v>
      </c>
      <c r="S2" s="1076" t="s">
        <v>1643</v>
      </c>
      <c r="T2" s="1076" t="s">
        <v>1644</v>
      </c>
      <c r="U2" s="1076" t="s">
        <v>1645</v>
      </c>
      <c r="V2" s="1076" t="s">
        <v>1646</v>
      </c>
      <c r="W2" s="1076" t="s">
        <v>1647</v>
      </c>
      <c r="X2" s="1076" t="s">
        <v>1648</v>
      </c>
      <c r="Y2" s="1076" t="s">
        <v>1649</v>
      </c>
      <c r="Z2" s="1076" t="s">
        <v>1650</v>
      </c>
      <c r="AA2" s="1076" t="s">
        <v>1651</v>
      </c>
      <c r="AB2" s="1077" t="s">
        <v>160</v>
      </c>
      <c r="AC2" s="1074"/>
      <c r="AD2" s="1076" t="s">
        <v>1640</v>
      </c>
      <c r="AE2" s="1076" t="s">
        <v>1641</v>
      </c>
      <c r="AF2" s="1076" t="s">
        <v>1642</v>
      </c>
      <c r="AG2" s="1076" t="s">
        <v>1643</v>
      </c>
      <c r="AH2" s="1076" t="s">
        <v>1644</v>
      </c>
      <c r="AI2" s="1076" t="s">
        <v>1645</v>
      </c>
      <c r="AJ2" s="1076" t="s">
        <v>1646</v>
      </c>
      <c r="AK2" s="1076" t="s">
        <v>1647</v>
      </c>
      <c r="AL2" s="1076" t="s">
        <v>1648</v>
      </c>
      <c r="AM2" s="1076" t="s">
        <v>1649</v>
      </c>
      <c r="AN2" s="1076" t="s">
        <v>1650</v>
      </c>
      <c r="AO2" s="1076" t="s">
        <v>1651</v>
      </c>
      <c r="AP2" s="1077" t="s">
        <v>160</v>
      </c>
    </row>
    <row r="3" spans="1:42">
      <c r="B3" s="1075"/>
      <c r="C3" s="1075"/>
      <c r="D3" s="1075"/>
      <c r="E3" s="1075"/>
      <c r="F3" s="1075"/>
      <c r="G3" s="1076"/>
      <c r="H3" s="1076"/>
      <c r="I3" s="1076"/>
      <c r="J3" s="1076"/>
      <c r="K3" s="1076"/>
      <c r="L3" s="1076"/>
      <c r="M3" s="1076"/>
      <c r="N3" s="1077"/>
      <c r="O3" s="1074"/>
      <c r="P3" s="1076"/>
      <c r="Q3" s="1076"/>
      <c r="R3" s="1076"/>
      <c r="S3" s="1076"/>
      <c r="T3" s="1076"/>
      <c r="U3" s="1076"/>
      <c r="V3" s="1076"/>
      <c r="W3" s="1076"/>
      <c r="X3" s="1076"/>
      <c r="Y3" s="1076"/>
      <c r="Z3" s="1076"/>
      <c r="AA3" s="1076"/>
      <c r="AB3" s="1077"/>
      <c r="AC3" s="1074"/>
      <c r="AD3" s="1076"/>
      <c r="AE3" s="1076"/>
      <c r="AF3" s="1076"/>
      <c r="AG3" s="1076"/>
      <c r="AH3" s="1076"/>
      <c r="AI3" s="1076"/>
      <c r="AJ3" s="1076"/>
      <c r="AK3" s="1076"/>
      <c r="AL3" s="1076"/>
      <c r="AM3" s="1076"/>
      <c r="AN3" s="1076"/>
      <c r="AO3" s="1076"/>
      <c r="AP3" s="1077"/>
    </row>
    <row r="4" spans="1:42">
      <c r="A4" s="1078" t="s">
        <v>1652</v>
      </c>
      <c r="B4" s="1075"/>
      <c r="C4" s="1075"/>
      <c r="D4" s="1075"/>
      <c r="E4" s="1075"/>
      <c r="F4" s="1075"/>
      <c r="G4" s="1076"/>
      <c r="H4" s="1076"/>
      <c r="I4" s="1076"/>
      <c r="J4" s="1076"/>
      <c r="K4" s="1076"/>
      <c r="L4" s="1076"/>
      <c r="M4" s="1076"/>
      <c r="N4" s="1077"/>
      <c r="O4" s="1074"/>
      <c r="P4" s="1076"/>
      <c r="Q4" s="1076"/>
      <c r="R4" s="1076"/>
      <c r="S4" s="1076"/>
      <c r="T4" s="1076"/>
      <c r="U4" s="1076"/>
      <c r="V4" s="1076"/>
      <c r="W4" s="1076"/>
      <c r="X4" s="1076"/>
      <c r="Y4" s="1076"/>
      <c r="Z4" s="1076"/>
      <c r="AA4" s="1076"/>
      <c r="AB4" s="1077"/>
      <c r="AC4" s="1074"/>
      <c r="AD4" s="1076"/>
      <c r="AE4" s="1076"/>
      <c r="AF4" s="1076"/>
      <c r="AG4" s="1076"/>
      <c r="AH4" s="1076"/>
      <c r="AI4" s="1076"/>
      <c r="AJ4" s="1076"/>
      <c r="AK4" s="1076"/>
      <c r="AL4" s="1076"/>
      <c r="AM4" s="1076"/>
      <c r="AN4" s="1076"/>
      <c r="AO4" s="1076"/>
      <c r="AP4" s="1077"/>
    </row>
    <row r="5" spans="1:42">
      <c r="A5" s="1079" t="s">
        <v>1653</v>
      </c>
      <c r="B5" s="1080"/>
      <c r="C5" s="1080"/>
      <c r="G5" s="1081"/>
      <c r="H5" s="1081"/>
      <c r="I5" s="1081"/>
      <c r="J5" s="1081"/>
      <c r="K5" s="1081"/>
      <c r="L5" s="1081"/>
      <c r="M5" s="1081"/>
      <c r="N5" s="1082"/>
      <c r="P5" s="1081"/>
      <c r="Q5" s="1081"/>
      <c r="R5" s="1081"/>
      <c r="S5" s="1081"/>
      <c r="T5" s="1081"/>
      <c r="U5" s="1081"/>
      <c r="V5" s="1081"/>
      <c r="W5" s="1081"/>
      <c r="X5" s="1081"/>
      <c r="Y5" s="1081"/>
      <c r="Z5" s="1081"/>
      <c r="AA5" s="1081"/>
      <c r="AB5" s="1082"/>
      <c r="AD5" s="1081"/>
      <c r="AE5" s="1081"/>
      <c r="AF5" s="1081"/>
      <c r="AG5" s="1081"/>
      <c r="AH5" s="1081"/>
      <c r="AI5" s="1081"/>
      <c r="AJ5" s="1081"/>
      <c r="AK5" s="1081"/>
      <c r="AL5" s="1081"/>
      <c r="AM5" s="1081"/>
      <c r="AN5" s="1081"/>
      <c r="AO5" s="1081"/>
      <c r="AP5" s="1082"/>
    </row>
    <row r="6" spans="1:42">
      <c r="A6" s="1073" t="s">
        <v>1654</v>
      </c>
      <c r="B6" s="1083">
        <v>1216813</v>
      </c>
      <c r="C6" s="1083">
        <v>1222327</v>
      </c>
      <c r="D6" s="1083">
        <v>1395237</v>
      </c>
      <c r="E6" s="1083">
        <v>1442778</v>
      </c>
      <c r="F6" s="1083">
        <v>1351254</v>
      </c>
      <c r="G6" s="1084">
        <v>1466037.9215911108</v>
      </c>
      <c r="H6" s="1084">
        <v>1512110.0686577775</v>
      </c>
      <c r="I6" s="1084">
        <v>1533746.5964355553</v>
      </c>
      <c r="J6" s="1084">
        <v>1544207.6797688885</v>
      </c>
      <c r="K6" s="1084">
        <v>1581048.165406222</v>
      </c>
      <c r="L6" s="1084">
        <v>1584425.2487395552</v>
      </c>
      <c r="M6" s="1084">
        <v>1581402.3320728885</v>
      </c>
      <c r="N6" s="1085">
        <v>17431387.012671996</v>
      </c>
      <c r="P6" s="1084">
        <v>1760698.8360365096</v>
      </c>
      <c r="Q6" s="1084">
        <v>1761439.5767772507</v>
      </c>
      <c r="R6" s="1084">
        <v>1762180.3175179914</v>
      </c>
      <c r="S6" s="1084">
        <v>1762921.0582587321</v>
      </c>
      <c r="T6" s="1084">
        <v>1763661.7989994728</v>
      </c>
      <c r="U6" s="1084">
        <v>1764596.9841846579</v>
      </c>
      <c r="V6" s="1084">
        <v>1765337.7249253986</v>
      </c>
      <c r="W6" s="1084">
        <v>1766078.4656661393</v>
      </c>
      <c r="X6" s="1084">
        <v>1766819.2064068804</v>
      </c>
      <c r="Y6" s="1084">
        <v>1767754.3915920656</v>
      </c>
      <c r="Z6" s="1084">
        <v>1768495.1323328062</v>
      </c>
      <c r="AA6" s="1084">
        <v>1769235.8730735469</v>
      </c>
      <c r="AB6" s="1085">
        <v>21179219.365771454</v>
      </c>
      <c r="AD6" s="1084">
        <v>2078821.6116731607</v>
      </c>
      <c r="AE6" s="1084">
        <v>2079562.3524139014</v>
      </c>
      <c r="AF6" s="1084">
        <v>2080303.093154642</v>
      </c>
      <c r="AG6" s="1084">
        <v>2081043.8338953827</v>
      </c>
      <c r="AH6" s="1084">
        <v>2081784.5746361234</v>
      </c>
      <c r="AI6" s="1084">
        <v>2082719.7598213085</v>
      </c>
      <c r="AJ6" s="1084">
        <v>2083460.5005620492</v>
      </c>
      <c r="AK6" s="1084">
        <v>2084201.2413027899</v>
      </c>
      <c r="AL6" s="1084">
        <v>2084941.982043531</v>
      </c>
      <c r="AM6" s="1084">
        <v>2085877.1672287162</v>
      </c>
      <c r="AN6" s="1084">
        <v>2086617.9079694569</v>
      </c>
      <c r="AO6" s="1084">
        <v>2087358.6487101975</v>
      </c>
      <c r="AP6" s="1085">
        <v>24996692.673411261</v>
      </c>
    </row>
    <row r="7" spans="1:42">
      <c r="A7" s="1073" t="s">
        <v>1655</v>
      </c>
      <c r="B7" s="1086">
        <v>243234</v>
      </c>
      <c r="C7" s="1086">
        <v>225870</v>
      </c>
      <c r="D7" s="1086">
        <v>303634</v>
      </c>
      <c r="E7" s="1086">
        <v>374828</v>
      </c>
      <c r="F7" s="1086">
        <v>379636</v>
      </c>
      <c r="G7" s="1087">
        <v>239815.17942000003</v>
      </c>
      <c r="H7" s="1087">
        <v>241609.00090888891</v>
      </c>
      <c r="I7" s="1087">
        <v>239747.88979777781</v>
      </c>
      <c r="J7" s="1087">
        <v>235986.77868666669</v>
      </c>
      <c r="K7" s="1087">
        <v>246743.78745555558</v>
      </c>
      <c r="L7" s="1087">
        <v>253382.67634444445</v>
      </c>
      <c r="M7" s="1087">
        <v>243621.56523333336</v>
      </c>
      <c r="N7" s="1088">
        <v>3228108.8778466671</v>
      </c>
      <c r="P7" s="1087">
        <v>267125.71280636109</v>
      </c>
      <c r="Q7" s="1087">
        <v>267820.15725080553</v>
      </c>
      <c r="R7" s="1087">
        <v>268514.60169525002</v>
      </c>
      <c r="S7" s="1087">
        <v>269209.04613969446</v>
      </c>
      <c r="T7" s="1087">
        <v>269903.4905841389</v>
      </c>
      <c r="U7" s="1087">
        <v>270597.93502858334</v>
      </c>
      <c r="V7" s="1087">
        <v>271292.37947302777</v>
      </c>
      <c r="W7" s="1087">
        <v>271986.82391747221</v>
      </c>
      <c r="X7" s="1087">
        <v>272681.26836191665</v>
      </c>
      <c r="Y7" s="1087">
        <v>273375.71280636109</v>
      </c>
      <c r="Z7" s="1087">
        <v>274070.15725080553</v>
      </c>
      <c r="AA7" s="1087">
        <v>274764.60169525002</v>
      </c>
      <c r="AB7" s="1088">
        <v>3251341.8870096663</v>
      </c>
      <c r="AD7" s="1087">
        <v>278893.2075238853</v>
      </c>
      <c r="AE7" s="1087">
        <v>279587.65196832974</v>
      </c>
      <c r="AF7" s="1087">
        <v>280282.09641277418</v>
      </c>
      <c r="AG7" s="1087">
        <v>280976.54085721861</v>
      </c>
      <c r="AH7" s="1087">
        <v>281670.98530166305</v>
      </c>
      <c r="AI7" s="1087">
        <v>282365.42974610749</v>
      </c>
      <c r="AJ7" s="1087">
        <v>283059.87419055193</v>
      </c>
      <c r="AK7" s="1087">
        <v>283754.31863499642</v>
      </c>
      <c r="AL7" s="1087">
        <v>284448.7630794408</v>
      </c>
      <c r="AM7" s="1087">
        <v>285143.2075238853</v>
      </c>
      <c r="AN7" s="1087">
        <v>285837.65196832974</v>
      </c>
      <c r="AO7" s="1087">
        <v>286532.09641277418</v>
      </c>
      <c r="AP7" s="1088">
        <v>3392551.8236199562</v>
      </c>
    </row>
    <row r="8" spans="1:42">
      <c r="A8" s="1089" t="s">
        <v>1656</v>
      </c>
      <c r="B8" s="1090">
        <v>1460047</v>
      </c>
      <c r="C8" s="1090">
        <v>1448197</v>
      </c>
      <c r="D8" s="1090">
        <v>1698871</v>
      </c>
      <c r="E8" s="1090">
        <v>1817606</v>
      </c>
      <c r="F8" s="1090">
        <v>1730890</v>
      </c>
      <c r="G8" s="1091">
        <v>1705853.1010111107</v>
      </c>
      <c r="H8" s="1091">
        <v>1753719.0695666664</v>
      </c>
      <c r="I8" s="1091">
        <v>1773494.4862333331</v>
      </c>
      <c r="J8" s="1091">
        <v>1780194.4584555551</v>
      </c>
      <c r="K8" s="1091">
        <v>1827791.9528617775</v>
      </c>
      <c r="L8" s="1091">
        <v>1837807.9250839998</v>
      </c>
      <c r="M8" s="1091">
        <v>1825023.8973062218</v>
      </c>
      <c r="N8" s="1092">
        <v>20659495.890518662</v>
      </c>
      <c r="P8" s="1091">
        <v>2027824.5488428706</v>
      </c>
      <c r="Q8" s="1091">
        <v>2029259.7340280563</v>
      </c>
      <c r="R8" s="1091">
        <v>2030694.9192132414</v>
      </c>
      <c r="S8" s="1091">
        <v>2032130.1043984266</v>
      </c>
      <c r="T8" s="1091">
        <v>2033565.2895836118</v>
      </c>
      <c r="U8" s="1091">
        <v>2035194.9192132412</v>
      </c>
      <c r="V8" s="1091">
        <v>2036630.1043984264</v>
      </c>
      <c r="W8" s="1091">
        <v>2038065.2895836115</v>
      </c>
      <c r="X8" s="1091">
        <v>2039500.4747687969</v>
      </c>
      <c r="Y8" s="1091">
        <v>2041130.1043984266</v>
      </c>
      <c r="Z8" s="1091">
        <v>2042565.2895836118</v>
      </c>
      <c r="AA8" s="1091">
        <v>2044000.4747687969</v>
      </c>
      <c r="AB8" s="1092">
        <v>24430561.252781119</v>
      </c>
      <c r="AD8" s="1091">
        <v>2357714.8191970461</v>
      </c>
      <c r="AE8" s="1091">
        <v>2359150.0043822313</v>
      </c>
      <c r="AF8" s="1091">
        <v>2360585.189567416</v>
      </c>
      <c r="AG8" s="1091">
        <v>2362020.3747526011</v>
      </c>
      <c r="AH8" s="1091">
        <v>2363455.5599377863</v>
      </c>
      <c r="AI8" s="1091">
        <v>2365085.189567416</v>
      </c>
      <c r="AJ8" s="1091">
        <v>2366520.3747526011</v>
      </c>
      <c r="AK8" s="1091">
        <v>2367955.5599377863</v>
      </c>
      <c r="AL8" s="1091">
        <v>2369390.7451229719</v>
      </c>
      <c r="AM8" s="1091">
        <v>2371020.3747526016</v>
      </c>
      <c r="AN8" s="1091">
        <v>2372455.5599377868</v>
      </c>
      <c r="AO8" s="1091">
        <v>2373890.7451229719</v>
      </c>
      <c r="AP8" s="1092">
        <v>28389244.497031219</v>
      </c>
    </row>
    <row r="9" spans="1:42">
      <c r="B9" s="1086"/>
      <c r="C9" s="1086"/>
      <c r="D9" s="1086"/>
      <c r="E9" s="1086"/>
      <c r="F9" s="1086"/>
      <c r="G9" s="1087"/>
      <c r="H9" s="1087"/>
      <c r="I9" s="1087"/>
      <c r="J9" s="1087"/>
      <c r="K9" s="1087"/>
      <c r="L9" s="1087"/>
      <c r="M9" s="1087"/>
      <c r="N9" s="1088"/>
      <c r="P9" s="1087"/>
      <c r="Q9" s="1087"/>
      <c r="R9" s="1087"/>
      <c r="S9" s="1087"/>
      <c r="T9" s="1087"/>
      <c r="U9" s="1087"/>
      <c r="V9" s="1087"/>
      <c r="W9" s="1087"/>
      <c r="X9" s="1087"/>
      <c r="Y9" s="1087"/>
      <c r="Z9" s="1087"/>
      <c r="AA9" s="1087"/>
      <c r="AB9" s="1088"/>
      <c r="AD9" s="1087"/>
      <c r="AE9" s="1087"/>
      <c r="AF9" s="1087"/>
      <c r="AG9" s="1087"/>
      <c r="AH9" s="1087"/>
      <c r="AI9" s="1087"/>
      <c r="AJ9" s="1087"/>
      <c r="AK9" s="1087"/>
      <c r="AL9" s="1087"/>
      <c r="AM9" s="1087"/>
      <c r="AN9" s="1087"/>
      <c r="AO9" s="1087"/>
      <c r="AP9" s="1088"/>
    </row>
    <row r="10" spans="1:42">
      <c r="A10" s="1079" t="s">
        <v>1657</v>
      </c>
      <c r="B10" s="1093">
        <v>-1460047</v>
      </c>
      <c r="C10" s="1093">
        <v>-1448197</v>
      </c>
      <c r="D10" s="1093">
        <v>-1698871</v>
      </c>
      <c r="E10" s="1093">
        <v>-1817606</v>
      </c>
      <c r="F10" s="1093">
        <v>-1730890</v>
      </c>
      <c r="G10" s="1094">
        <v>-1705853.1010111107</v>
      </c>
      <c r="H10" s="1094">
        <v>-1753719.0695666664</v>
      </c>
      <c r="I10" s="1094">
        <v>-1773494.4862333331</v>
      </c>
      <c r="J10" s="1094">
        <v>-1780194.4584555551</v>
      </c>
      <c r="K10" s="1094">
        <v>-1827791.9528617775</v>
      </c>
      <c r="L10" s="1094">
        <v>-1837807.9250839998</v>
      </c>
      <c r="M10" s="1094">
        <v>-1825023.8973062218</v>
      </c>
      <c r="N10" s="1095">
        <v>-20659495.890518662</v>
      </c>
      <c r="P10" s="1094">
        <v>-2027824.5488428706</v>
      </c>
      <c r="Q10" s="1094">
        <v>-2029259.7340280563</v>
      </c>
      <c r="R10" s="1094">
        <v>-2030694.9192132414</v>
      </c>
      <c r="S10" s="1094">
        <v>-2032130.1043984266</v>
      </c>
      <c r="T10" s="1094">
        <v>-2033565.2895836118</v>
      </c>
      <c r="U10" s="1094">
        <v>-2035194.9192132412</v>
      </c>
      <c r="V10" s="1094">
        <v>-2036630.1043984264</v>
      </c>
      <c r="W10" s="1094">
        <v>-2038065.2895836115</v>
      </c>
      <c r="X10" s="1094">
        <v>-2039500.4747687969</v>
      </c>
      <c r="Y10" s="1094">
        <v>-2041130.1043984266</v>
      </c>
      <c r="Z10" s="1094">
        <v>-2042565.2895836118</v>
      </c>
      <c r="AA10" s="1094">
        <v>-2044000.4747687969</v>
      </c>
      <c r="AB10" s="1095">
        <v>-24430561.252781119</v>
      </c>
      <c r="AD10" s="1094">
        <v>-2357714.8191970461</v>
      </c>
      <c r="AE10" s="1094">
        <v>-2359150.0043822313</v>
      </c>
      <c r="AF10" s="1094">
        <v>-2360585.189567416</v>
      </c>
      <c r="AG10" s="1094">
        <v>-2362020.3747526011</v>
      </c>
      <c r="AH10" s="1094">
        <v>-2363455.5599377863</v>
      </c>
      <c r="AI10" s="1094">
        <v>-2365085.189567416</v>
      </c>
      <c r="AJ10" s="1094">
        <v>-2366520.3747526011</v>
      </c>
      <c r="AK10" s="1094">
        <v>-2367955.5599377863</v>
      </c>
      <c r="AL10" s="1094">
        <v>-2369390.7451229719</v>
      </c>
      <c r="AM10" s="1094">
        <v>-2371020.3747526016</v>
      </c>
      <c r="AN10" s="1094">
        <v>-2372455.5599377868</v>
      </c>
      <c r="AO10" s="1094">
        <v>-2373890.7451229719</v>
      </c>
      <c r="AP10" s="1095">
        <v>-28389244.497031219</v>
      </c>
    </row>
    <row r="11" spans="1:42">
      <c r="B11" s="1086"/>
      <c r="C11" s="1086"/>
      <c r="D11" s="1086"/>
      <c r="E11" s="1086"/>
      <c r="F11" s="1086"/>
      <c r="G11" s="1087"/>
      <c r="H11" s="1087"/>
      <c r="I11" s="1087"/>
      <c r="J11" s="1087"/>
      <c r="K11" s="1087"/>
      <c r="L11" s="1087"/>
      <c r="M11" s="1087"/>
      <c r="N11" s="1088"/>
      <c r="P11" s="1087"/>
      <c r="Q11" s="1087"/>
      <c r="R11" s="1087"/>
      <c r="S11" s="1087"/>
      <c r="T11" s="1087"/>
      <c r="U11" s="1087"/>
      <c r="V11" s="1087"/>
      <c r="W11" s="1087"/>
      <c r="X11" s="1087"/>
      <c r="Y11" s="1087"/>
      <c r="Z11" s="1087"/>
      <c r="AA11" s="1087"/>
      <c r="AB11" s="1088"/>
      <c r="AD11" s="1087"/>
      <c r="AE11" s="1087"/>
      <c r="AF11" s="1087"/>
      <c r="AG11" s="1087"/>
      <c r="AH11" s="1087"/>
      <c r="AI11" s="1087"/>
      <c r="AJ11" s="1087"/>
      <c r="AK11" s="1087"/>
      <c r="AL11" s="1087"/>
      <c r="AM11" s="1087"/>
      <c r="AN11" s="1087"/>
      <c r="AO11" s="1087"/>
      <c r="AP11" s="1088"/>
    </row>
    <row r="12" spans="1:42">
      <c r="A12" s="1073" t="s">
        <v>1658</v>
      </c>
      <c r="B12" s="1086">
        <v>35966</v>
      </c>
      <c r="C12" s="1086">
        <v>38183</v>
      </c>
      <c r="D12" s="1086">
        <v>43687</v>
      </c>
      <c r="E12" s="1086">
        <v>44496</v>
      </c>
      <c r="F12" s="1086">
        <v>47672</v>
      </c>
      <c r="G12" s="1087">
        <v>17193.22246691546</v>
      </c>
      <c r="H12" s="1087">
        <v>16326.464539525223</v>
      </c>
      <c r="I12" s="1087">
        <v>15515.713489820133</v>
      </c>
      <c r="J12" s="1087">
        <v>14702.510258499382</v>
      </c>
      <c r="K12" s="1087">
        <v>13862.605867884444</v>
      </c>
      <c r="L12" s="1087">
        <v>13019.479845265078</v>
      </c>
      <c r="M12" s="1087">
        <v>12165.622894170163</v>
      </c>
      <c r="N12" s="1088">
        <v>312789.61936207995</v>
      </c>
      <c r="P12" s="1087">
        <v>22244.10706926366</v>
      </c>
      <c r="Q12" s="1087">
        <v>20820.178496127326</v>
      </c>
      <c r="R12" s="1087">
        <v>19856.222945215533</v>
      </c>
      <c r="S12" s="1087">
        <v>18891.785175418845</v>
      </c>
      <c r="T12" s="1087">
        <v>17926.864945507201</v>
      </c>
      <c r="U12" s="1087">
        <v>16887.96026325443</v>
      </c>
      <c r="V12" s="1087">
        <v>15907.030115927997</v>
      </c>
      <c r="W12" s="1087">
        <v>14940.205636111654</v>
      </c>
      <c r="X12" s="1087">
        <v>13972.89750222837</v>
      </c>
      <c r="Y12" s="1087">
        <v>12990.633236212079</v>
      </c>
      <c r="Z12" s="1087">
        <v>12021.126199827593</v>
      </c>
      <c r="AA12" s="1087">
        <v>11037.739970328359</v>
      </c>
      <c r="AB12" s="1088">
        <v>197496.75155542302</v>
      </c>
      <c r="AD12" s="1087">
        <v>20979.179754763558</v>
      </c>
      <c r="AE12" s="1087">
        <v>19345.870635975614</v>
      </c>
      <c r="AF12" s="1087">
        <v>18229.725444591983</v>
      </c>
      <c r="AG12" s="1087">
        <v>17113.021901436769</v>
      </c>
      <c r="AH12" s="1087">
        <v>15995.759727194436</v>
      </c>
      <c r="AI12" s="1087">
        <v>14804.436891534273</v>
      </c>
      <c r="AJ12" s="1087">
        <v>13666.009842349518</v>
      </c>
      <c r="AK12" s="1087">
        <v>12546.599840563871</v>
      </c>
      <c r="AL12" s="1087">
        <v>11426.629853784832</v>
      </c>
      <c r="AM12" s="1087">
        <v>10290.526815486646</v>
      </c>
      <c r="AN12" s="1087">
        <v>9168.1678922768533</v>
      </c>
      <c r="AO12" s="1087">
        <v>8031.8533117768111</v>
      </c>
      <c r="AP12" s="1088">
        <v>171597.78191173519</v>
      </c>
    </row>
    <row r="13" spans="1:42">
      <c r="A13" s="1073" t="s">
        <v>1659</v>
      </c>
      <c r="B13" s="1086">
        <v>0</v>
      </c>
      <c r="C13" s="1086">
        <v>77393</v>
      </c>
      <c r="D13" s="1086">
        <v>0</v>
      </c>
      <c r="E13" s="1086">
        <v>0</v>
      </c>
      <c r="F13" s="1086">
        <v>0</v>
      </c>
      <c r="G13" s="1087">
        <v>0</v>
      </c>
      <c r="H13" s="1087">
        <v>0</v>
      </c>
      <c r="I13" s="1087">
        <v>0</v>
      </c>
      <c r="J13" s="1087">
        <v>0</v>
      </c>
      <c r="K13" s="1087">
        <v>0</v>
      </c>
      <c r="L13" s="1087">
        <v>0</v>
      </c>
      <c r="M13" s="1087">
        <v>0</v>
      </c>
      <c r="N13" s="1088">
        <v>77393</v>
      </c>
      <c r="P13" s="1087">
        <v>0</v>
      </c>
      <c r="Q13" s="1087">
        <v>0</v>
      </c>
      <c r="R13" s="1087">
        <v>0</v>
      </c>
      <c r="S13" s="1087">
        <v>0</v>
      </c>
      <c r="T13" s="1087">
        <v>0</v>
      </c>
      <c r="U13" s="1087">
        <v>0</v>
      </c>
      <c r="V13" s="1087">
        <v>0</v>
      </c>
      <c r="W13" s="1087">
        <v>0</v>
      </c>
      <c r="X13" s="1087">
        <v>0</v>
      </c>
      <c r="Y13" s="1087">
        <v>0</v>
      </c>
      <c r="Z13" s="1087">
        <v>0</v>
      </c>
      <c r="AA13" s="1087">
        <v>0</v>
      </c>
      <c r="AB13" s="1088">
        <v>0</v>
      </c>
      <c r="AD13" s="1087">
        <v>0</v>
      </c>
      <c r="AE13" s="1087">
        <v>0</v>
      </c>
      <c r="AF13" s="1087">
        <v>0</v>
      </c>
      <c r="AG13" s="1087">
        <v>0</v>
      </c>
      <c r="AH13" s="1087">
        <v>0</v>
      </c>
      <c r="AI13" s="1087">
        <v>0</v>
      </c>
      <c r="AJ13" s="1087">
        <v>0</v>
      </c>
      <c r="AK13" s="1087">
        <v>0</v>
      </c>
      <c r="AL13" s="1087">
        <v>0</v>
      </c>
      <c r="AM13" s="1087">
        <v>0</v>
      </c>
      <c r="AN13" s="1087">
        <v>0</v>
      </c>
      <c r="AO13" s="1087">
        <v>0</v>
      </c>
      <c r="AP13" s="1088">
        <v>0</v>
      </c>
    </row>
    <row r="14" spans="1:42" ht="15.75" thickBot="1">
      <c r="A14" s="1079" t="s">
        <v>1633</v>
      </c>
      <c r="B14" s="1096">
        <v>-1424081</v>
      </c>
      <c r="C14" s="1096">
        <v>-1332621</v>
      </c>
      <c r="D14" s="1096">
        <v>-1655184</v>
      </c>
      <c r="E14" s="1096">
        <v>-1773110</v>
      </c>
      <c r="F14" s="1096">
        <v>-1683218</v>
      </c>
      <c r="G14" s="1097">
        <v>-1688659.8785441953</v>
      </c>
      <c r="H14" s="1097">
        <v>-1737392.605027141</v>
      </c>
      <c r="I14" s="1097">
        <v>-1757978.7727435129</v>
      </c>
      <c r="J14" s="1097">
        <v>-1765491.9481970558</v>
      </c>
      <c r="K14" s="1097">
        <v>-1813929.3469938932</v>
      </c>
      <c r="L14" s="1097">
        <v>-1824788.4452387346</v>
      </c>
      <c r="M14" s="1097">
        <v>-1812858.2744120515</v>
      </c>
      <c r="N14" s="1098">
        <v>-20269313.271156583</v>
      </c>
      <c r="P14" s="1097">
        <v>-2005580.4417736069</v>
      </c>
      <c r="Q14" s="1097">
        <v>-2008439.555531929</v>
      </c>
      <c r="R14" s="1097">
        <v>-2010838.6962680258</v>
      </c>
      <c r="S14" s="1097">
        <v>-2013238.3192230077</v>
      </c>
      <c r="T14" s="1097">
        <v>-2015638.4246381046</v>
      </c>
      <c r="U14" s="1097">
        <v>-2018306.9589499868</v>
      </c>
      <c r="V14" s="1097">
        <v>-2020723.0742824983</v>
      </c>
      <c r="W14" s="1097">
        <v>-2023125.0839475</v>
      </c>
      <c r="X14" s="1097">
        <v>-2025527.5772665686</v>
      </c>
      <c r="Y14" s="1097">
        <v>-2028139.4711622144</v>
      </c>
      <c r="Z14" s="1097">
        <v>-2030544.1633837842</v>
      </c>
      <c r="AA14" s="1097">
        <v>-2032962.7347984686</v>
      </c>
      <c r="AB14" s="1098">
        <v>-24233064.501225695</v>
      </c>
      <c r="AD14" s="1097">
        <v>-2336735.6394422827</v>
      </c>
      <c r="AE14" s="1097">
        <v>-2339804.1337462557</v>
      </c>
      <c r="AF14" s="1097">
        <v>-2342355.4641228239</v>
      </c>
      <c r="AG14" s="1097">
        <v>-2344907.3528511645</v>
      </c>
      <c r="AH14" s="1097">
        <v>-2347459.8002105919</v>
      </c>
      <c r="AI14" s="1097">
        <v>-2350280.7526758816</v>
      </c>
      <c r="AJ14" s="1097">
        <v>-2352854.3649102515</v>
      </c>
      <c r="AK14" s="1097">
        <v>-2355408.9600972226</v>
      </c>
      <c r="AL14" s="1097">
        <v>-2357964.1152691869</v>
      </c>
      <c r="AM14" s="1097">
        <v>-2360729.847937115</v>
      </c>
      <c r="AN14" s="1097">
        <v>-2363287.39204551</v>
      </c>
      <c r="AO14" s="1097">
        <v>-2365858.8918111953</v>
      </c>
      <c r="AP14" s="1098">
        <v>-28217646.715119485</v>
      </c>
    </row>
    <row r="15" spans="1:42" ht="15.75" thickTop="1">
      <c r="B15" s="1099"/>
      <c r="C15" s="1080"/>
      <c r="G15" s="1081"/>
      <c r="H15" s="1081"/>
      <c r="I15" s="1081"/>
      <c r="J15" s="1081"/>
      <c r="K15" s="1081"/>
      <c r="L15" s="1081"/>
      <c r="M15" s="1081"/>
      <c r="N15" s="1082"/>
      <c r="P15" s="1081"/>
      <c r="Q15" s="1081"/>
      <c r="R15" s="1081"/>
      <c r="S15" s="1081"/>
      <c r="T15" s="1081"/>
      <c r="U15" s="1081"/>
      <c r="V15" s="1081"/>
      <c r="W15" s="1081"/>
      <c r="X15" s="1081"/>
      <c r="Y15" s="1081"/>
      <c r="Z15" s="1081"/>
      <c r="AA15" s="1081"/>
      <c r="AB15" s="1082"/>
      <c r="AD15" s="1081"/>
      <c r="AE15" s="1081"/>
      <c r="AF15" s="1081"/>
      <c r="AG15" s="1081"/>
      <c r="AH15" s="1081"/>
      <c r="AI15" s="1081"/>
      <c r="AJ15" s="1081"/>
      <c r="AK15" s="1081"/>
      <c r="AL15" s="1081"/>
      <c r="AM15" s="1081"/>
      <c r="AN15" s="1081"/>
      <c r="AO15" s="1081"/>
      <c r="AP15" s="1082"/>
    </row>
    <row r="16" spans="1:42">
      <c r="B16" s="1080"/>
      <c r="C16" s="1080"/>
      <c r="G16" s="1081"/>
      <c r="H16" s="1081"/>
      <c r="I16" s="1081"/>
      <c r="J16" s="1081"/>
      <c r="K16" s="1081"/>
      <c r="L16" s="1081"/>
      <c r="M16" s="1081"/>
      <c r="N16" s="1082"/>
      <c r="P16" s="1081"/>
      <c r="Q16" s="1081"/>
      <c r="R16" s="1081"/>
      <c r="S16" s="1081"/>
      <c r="T16" s="1081"/>
      <c r="U16" s="1081"/>
      <c r="V16" s="1081"/>
      <c r="W16" s="1081"/>
      <c r="X16" s="1081"/>
      <c r="Y16" s="1081"/>
      <c r="Z16" s="1081"/>
      <c r="AA16" s="1081"/>
      <c r="AB16" s="1082"/>
      <c r="AD16" s="1081"/>
      <c r="AE16" s="1081"/>
      <c r="AF16" s="1081"/>
      <c r="AG16" s="1081"/>
      <c r="AH16" s="1081"/>
      <c r="AI16" s="1081"/>
      <c r="AJ16" s="1081"/>
      <c r="AK16" s="1081"/>
      <c r="AL16" s="1081"/>
      <c r="AM16" s="1081"/>
      <c r="AN16" s="1081"/>
      <c r="AO16" s="1081"/>
      <c r="AP16" s="1082"/>
    </row>
    <row r="17" spans="1:42">
      <c r="A17" s="1078" t="s">
        <v>1660</v>
      </c>
      <c r="B17" s="1080"/>
      <c r="C17" s="1080"/>
      <c r="G17" s="1081"/>
      <c r="H17" s="1081"/>
      <c r="I17" s="1081"/>
      <c r="J17" s="1081"/>
      <c r="K17" s="1081"/>
      <c r="L17" s="1081"/>
      <c r="M17" s="1081"/>
      <c r="N17" s="1082"/>
      <c r="P17" s="1081"/>
      <c r="Q17" s="1081"/>
      <c r="R17" s="1081"/>
      <c r="S17" s="1081"/>
      <c r="T17" s="1081"/>
      <c r="U17" s="1081"/>
      <c r="V17" s="1081"/>
      <c r="W17" s="1081"/>
      <c r="X17" s="1081"/>
      <c r="Y17" s="1081"/>
      <c r="Z17" s="1081"/>
      <c r="AA17" s="1081"/>
      <c r="AB17" s="1082"/>
      <c r="AD17" s="1081"/>
      <c r="AE17" s="1081"/>
      <c r="AF17" s="1081"/>
      <c r="AG17" s="1081"/>
      <c r="AH17" s="1081"/>
      <c r="AI17" s="1081"/>
      <c r="AJ17" s="1081"/>
      <c r="AK17" s="1081"/>
      <c r="AL17" s="1081"/>
      <c r="AM17" s="1081"/>
      <c r="AN17" s="1081"/>
      <c r="AO17" s="1081"/>
      <c r="AP17" s="1082"/>
    </row>
    <row r="18" spans="1:42">
      <c r="A18" s="1079" t="s">
        <v>181</v>
      </c>
      <c r="B18" s="1080"/>
      <c r="C18" s="1080"/>
      <c r="G18" s="1081"/>
      <c r="H18" s="1081"/>
      <c r="I18" s="1081"/>
      <c r="J18" s="1081"/>
      <c r="K18" s="1081"/>
      <c r="L18" s="1081"/>
      <c r="M18" s="1081"/>
      <c r="N18" s="1082"/>
      <c r="P18" s="1081"/>
      <c r="Q18" s="1081"/>
      <c r="R18" s="1081"/>
      <c r="S18" s="1081"/>
      <c r="T18" s="1081"/>
      <c r="U18" s="1081"/>
      <c r="V18" s="1081"/>
      <c r="W18" s="1081"/>
      <c r="X18" s="1081"/>
      <c r="Y18" s="1081"/>
      <c r="Z18" s="1081"/>
      <c r="AA18" s="1081"/>
      <c r="AB18" s="1082"/>
      <c r="AD18" s="1081"/>
      <c r="AE18" s="1081"/>
      <c r="AF18" s="1081"/>
      <c r="AG18" s="1081"/>
      <c r="AH18" s="1081"/>
      <c r="AI18" s="1081"/>
      <c r="AJ18" s="1081"/>
      <c r="AK18" s="1081"/>
      <c r="AL18" s="1081"/>
      <c r="AM18" s="1081"/>
      <c r="AN18" s="1081"/>
      <c r="AO18" s="1081"/>
      <c r="AP18" s="1082"/>
    </row>
    <row r="19" spans="1:42">
      <c r="A19" s="1073" t="s">
        <v>183</v>
      </c>
      <c r="B19" s="1083">
        <v>42534354</v>
      </c>
      <c r="C19" s="1083">
        <v>41160780</v>
      </c>
      <c r="D19" s="1083">
        <v>39156870</v>
      </c>
      <c r="E19" s="1083">
        <v>38168357</v>
      </c>
      <c r="F19" s="1083">
        <v>36501771</v>
      </c>
      <c r="G19" s="1084">
        <v>34386444.933830917</v>
      </c>
      <c r="H19" s="1084">
        <v>32652929.079050444</v>
      </c>
      <c r="I19" s="1084">
        <v>31031426.979640264</v>
      </c>
      <c r="J19" s="1084">
        <v>29405020.516998764</v>
      </c>
      <c r="K19" s="1084">
        <v>27725211.735768888</v>
      </c>
      <c r="L19" s="1084">
        <v>26038959.690530155</v>
      </c>
      <c r="M19" s="1084">
        <v>24331245.788340326</v>
      </c>
      <c r="N19" s="1085">
        <v>24331245.788340326</v>
      </c>
      <c r="P19" s="1084">
        <v>44488214.138527319</v>
      </c>
      <c r="Q19" s="1084">
        <v>41640356.992254652</v>
      </c>
      <c r="R19" s="1084">
        <v>39712445.890431069</v>
      </c>
      <c r="S19" s="1084">
        <v>37783570.350837693</v>
      </c>
      <c r="T19" s="1084">
        <v>35853729.891014405</v>
      </c>
      <c r="U19" s="1084">
        <v>33775920.52650886</v>
      </c>
      <c r="V19" s="1084">
        <v>31814060.231855992</v>
      </c>
      <c r="W19" s="1084">
        <v>29880411.272223309</v>
      </c>
      <c r="X19" s="1084">
        <v>27945795.00445674</v>
      </c>
      <c r="Y19" s="1084">
        <v>25981266.472424157</v>
      </c>
      <c r="Z19" s="1084">
        <v>24042252.399655186</v>
      </c>
      <c r="AA19" s="1084">
        <v>22075479.940656718</v>
      </c>
      <c r="AB19" s="1085">
        <v>22075479.940656718</v>
      </c>
      <c r="AD19" s="1084">
        <v>41958359.509527117</v>
      </c>
      <c r="AE19" s="1084">
        <v>38691741.271951228</v>
      </c>
      <c r="AF19" s="1084">
        <v>36459450.889183961</v>
      </c>
      <c r="AG19" s="1084">
        <v>34226043.802873537</v>
      </c>
      <c r="AH19" s="1084">
        <v>31991519.454388872</v>
      </c>
      <c r="AI19" s="1084">
        <v>29608873.783068545</v>
      </c>
      <c r="AJ19" s="1084">
        <v>27332019.684699036</v>
      </c>
      <c r="AK19" s="1084">
        <v>25093199.681127742</v>
      </c>
      <c r="AL19" s="1084">
        <v>22853259.707569666</v>
      </c>
      <c r="AM19" s="1084">
        <v>20581053.630973291</v>
      </c>
      <c r="AN19" s="1084">
        <v>18336335.784553707</v>
      </c>
      <c r="AO19" s="1084">
        <v>16063706.623553623</v>
      </c>
      <c r="AP19" s="1085">
        <v>16063706.623553623</v>
      </c>
    </row>
    <row r="20" spans="1:42">
      <c r="A20" s="1080" t="s">
        <v>184</v>
      </c>
      <c r="B20" s="1086">
        <v>339866</v>
      </c>
      <c r="C20" s="1086">
        <v>394278</v>
      </c>
      <c r="D20" s="1086">
        <v>661962</v>
      </c>
      <c r="E20" s="1086">
        <v>645386</v>
      </c>
      <c r="F20" s="1086">
        <v>623893</v>
      </c>
      <c r="G20" s="1087">
        <v>744267.66666666663</v>
      </c>
      <c r="H20" s="1087">
        <v>749642.33333333326</v>
      </c>
      <c r="I20" s="1087">
        <v>730016.99999999988</v>
      </c>
      <c r="J20" s="1087">
        <v>710391.66666666651</v>
      </c>
      <c r="K20" s="1087">
        <v>710770.33333333314</v>
      </c>
      <c r="L20" s="1087">
        <v>691144.99999999977</v>
      </c>
      <c r="M20" s="1087">
        <v>697019.6666666664</v>
      </c>
      <c r="N20" s="1088">
        <v>697019.6666666664</v>
      </c>
      <c r="P20" s="1087">
        <v>707121.74999999977</v>
      </c>
      <c r="Q20" s="1087">
        <v>687223.83333333314</v>
      </c>
      <c r="R20" s="1087">
        <v>667325.91666666651</v>
      </c>
      <c r="S20" s="1087">
        <v>647427.99999999988</v>
      </c>
      <c r="T20" s="1087">
        <v>627530.08333333326</v>
      </c>
      <c r="U20" s="1087">
        <v>747632.16666666663</v>
      </c>
      <c r="V20" s="1087">
        <v>757734.25</v>
      </c>
      <c r="W20" s="1087">
        <v>737836.33333333337</v>
      </c>
      <c r="X20" s="1087">
        <v>717938.41666666674</v>
      </c>
      <c r="Y20" s="1087">
        <v>720040.50000000012</v>
      </c>
      <c r="Z20" s="1087">
        <v>700142.58333333349</v>
      </c>
      <c r="AA20" s="1087">
        <v>707019.66666666686</v>
      </c>
      <c r="AB20" s="1088">
        <v>707019.66666666686</v>
      </c>
      <c r="AD20" s="1087">
        <v>726938.41666666686</v>
      </c>
      <c r="AE20" s="1087">
        <v>706857.16666666686</v>
      </c>
      <c r="AF20" s="1087">
        <v>686775.91666666686</v>
      </c>
      <c r="AG20" s="1087">
        <v>666694.66666666686</v>
      </c>
      <c r="AH20" s="1087">
        <v>646613.41666666686</v>
      </c>
      <c r="AI20" s="1087">
        <v>766532.16666666686</v>
      </c>
      <c r="AJ20" s="1087">
        <v>786450.91666666686</v>
      </c>
      <c r="AK20" s="1087">
        <v>766369.66666666686</v>
      </c>
      <c r="AL20" s="1087">
        <v>746288.41666666686</v>
      </c>
      <c r="AM20" s="1087">
        <v>750407.16666666686</v>
      </c>
      <c r="AN20" s="1087">
        <v>730325.91666666686</v>
      </c>
      <c r="AO20" s="1087">
        <v>737019.66666666686</v>
      </c>
      <c r="AP20" s="1088">
        <v>737019.66666666686</v>
      </c>
    </row>
    <row r="21" spans="1:42">
      <c r="A21" s="1100" t="s">
        <v>182</v>
      </c>
      <c r="B21" s="1101">
        <v>42874220</v>
      </c>
      <c r="C21" s="1101">
        <v>41555058</v>
      </c>
      <c r="D21" s="1101">
        <v>39818832</v>
      </c>
      <c r="E21" s="1101">
        <v>38813743</v>
      </c>
      <c r="F21" s="1101">
        <v>37125664</v>
      </c>
      <c r="G21" s="1102">
        <v>35130712.600497581</v>
      </c>
      <c r="H21" s="1102">
        <v>33402571.412383776</v>
      </c>
      <c r="I21" s="1102">
        <v>31761443.979640264</v>
      </c>
      <c r="J21" s="1102">
        <v>30115412.183665432</v>
      </c>
      <c r="K21" s="1102">
        <v>28435982.06910222</v>
      </c>
      <c r="L21" s="1102">
        <v>26730104.690530155</v>
      </c>
      <c r="M21" s="1102">
        <v>25028265.455006994</v>
      </c>
      <c r="N21" s="1103">
        <v>25028265.455006994</v>
      </c>
      <c r="P21" s="1102">
        <v>45195335.888527319</v>
      </c>
      <c r="Q21" s="1102">
        <v>42327580.825587988</v>
      </c>
      <c r="R21" s="1102">
        <v>40379771.807097733</v>
      </c>
      <c r="S21" s="1102">
        <v>38430998.350837693</v>
      </c>
      <c r="T21" s="1102">
        <v>36481259.97434774</v>
      </c>
      <c r="U21" s="1102">
        <v>34523552.693175524</v>
      </c>
      <c r="V21" s="1102">
        <v>32571794.481855992</v>
      </c>
      <c r="W21" s="1102">
        <v>30618247.605556641</v>
      </c>
      <c r="X21" s="1102">
        <v>28663733.421123408</v>
      </c>
      <c r="Y21" s="1102">
        <v>26701306.972424157</v>
      </c>
      <c r="Z21" s="1102">
        <v>24742394.982988518</v>
      </c>
      <c r="AA21" s="1102">
        <v>22782499.607323386</v>
      </c>
      <c r="AB21" s="1103">
        <v>22782499.607323386</v>
      </c>
      <c r="AD21" s="1102">
        <v>42685297.926193781</v>
      </c>
      <c r="AE21" s="1102">
        <v>39398598.438617893</v>
      </c>
      <c r="AF21" s="1102">
        <v>37146226.805850625</v>
      </c>
      <c r="AG21" s="1102">
        <v>34892738.469540201</v>
      </c>
      <c r="AH21" s="1102">
        <v>32638132.87105554</v>
      </c>
      <c r="AI21" s="1102">
        <v>30375405.949735213</v>
      </c>
      <c r="AJ21" s="1102">
        <v>28118470.601365704</v>
      </c>
      <c r="AK21" s="1102">
        <v>25859569.34779441</v>
      </c>
      <c r="AL21" s="1102">
        <v>23599548.124236334</v>
      </c>
      <c r="AM21" s="1102">
        <v>21331460.797639959</v>
      </c>
      <c r="AN21" s="1102">
        <v>19066661.701220375</v>
      </c>
      <c r="AO21" s="1102">
        <v>16800726.29022029</v>
      </c>
      <c r="AP21" s="1103">
        <v>16800726.29022029</v>
      </c>
    </row>
    <row r="22" spans="1:42">
      <c r="B22" s="1086"/>
      <c r="C22" s="1086"/>
      <c r="D22" s="1086"/>
      <c r="E22" s="1086"/>
      <c r="F22" s="1086"/>
      <c r="G22" s="1087"/>
      <c r="H22" s="1087"/>
      <c r="I22" s="1087"/>
      <c r="J22" s="1087"/>
      <c r="K22" s="1087"/>
      <c r="L22" s="1087"/>
      <c r="M22" s="1087"/>
      <c r="N22" s="1088"/>
      <c r="P22" s="1087"/>
      <c r="Q22" s="1087"/>
      <c r="R22" s="1087"/>
      <c r="S22" s="1087"/>
      <c r="T22" s="1087"/>
      <c r="U22" s="1087"/>
      <c r="V22" s="1087"/>
      <c r="W22" s="1087"/>
      <c r="X22" s="1087"/>
      <c r="Y22" s="1087"/>
      <c r="Z22" s="1087"/>
      <c r="AA22" s="1087"/>
      <c r="AB22" s="1088"/>
      <c r="AD22" s="1087"/>
      <c r="AE22" s="1087"/>
      <c r="AF22" s="1087"/>
      <c r="AG22" s="1087"/>
      <c r="AH22" s="1087"/>
      <c r="AI22" s="1087"/>
      <c r="AJ22" s="1087"/>
      <c r="AK22" s="1087"/>
      <c r="AL22" s="1087"/>
      <c r="AM22" s="1087"/>
      <c r="AN22" s="1087"/>
      <c r="AO22" s="1087"/>
      <c r="AP22" s="1088"/>
    </row>
    <row r="23" spans="1:42">
      <c r="A23" s="1073" t="s">
        <v>1661</v>
      </c>
      <c r="B23" s="1086">
        <v>1889436</v>
      </c>
      <c r="C23" s="1086">
        <v>1850500</v>
      </c>
      <c r="D23" s="1086">
        <v>1802349</v>
      </c>
      <c r="E23" s="1086">
        <v>1763188</v>
      </c>
      <c r="F23" s="1086">
        <v>1733472</v>
      </c>
      <c r="G23" s="1087">
        <v>1893197.416666667</v>
      </c>
      <c r="H23" s="1087">
        <v>1978382.8333333335</v>
      </c>
      <c r="I23" s="1087">
        <v>1945057.8333333335</v>
      </c>
      <c r="J23" s="1087">
        <v>1904416.8611111115</v>
      </c>
      <c r="K23" s="1087">
        <v>1863459.9166666674</v>
      </c>
      <c r="L23" s="1087">
        <v>1822187.0000000009</v>
      </c>
      <c r="M23" s="1087">
        <v>1780598.1111111119</v>
      </c>
      <c r="N23" s="1088">
        <v>1780598.1111111119</v>
      </c>
      <c r="P23" s="1087">
        <v>1804532.3703703713</v>
      </c>
      <c r="Q23" s="1087">
        <v>1827031.4444444454</v>
      </c>
      <c r="R23" s="1087">
        <v>1848095.333333334</v>
      </c>
      <c r="S23" s="1087">
        <v>1867724.0370370373</v>
      </c>
      <c r="T23" s="1087">
        <v>1885917.555555556</v>
      </c>
      <c r="U23" s="1087">
        <v>1909481.4444444445</v>
      </c>
      <c r="V23" s="1087">
        <v>1924610.1481481479</v>
      </c>
      <c r="W23" s="1087">
        <v>1938303.6666666665</v>
      </c>
      <c r="X23" s="1087">
        <v>1950561.9999999995</v>
      </c>
      <c r="Y23" s="1087">
        <v>1968190.7037037029</v>
      </c>
      <c r="Z23" s="1087">
        <v>1977384.2222222211</v>
      </c>
      <c r="AA23" s="1087">
        <v>1985142.5555555546</v>
      </c>
      <c r="AB23" s="1088">
        <v>1985142.5555555546</v>
      </c>
      <c r="AD23" s="1087">
        <v>1991465.7037037024</v>
      </c>
      <c r="AE23" s="1087">
        <v>1996353.6666666651</v>
      </c>
      <c r="AF23" s="1087">
        <v>1999806.4444444426</v>
      </c>
      <c r="AG23" s="1087">
        <v>2001824.037037035</v>
      </c>
      <c r="AH23" s="1087">
        <v>2002406.4444444422</v>
      </c>
      <c r="AI23" s="1087">
        <v>2008359.2222222202</v>
      </c>
      <c r="AJ23" s="1087">
        <v>2005876.8148148125</v>
      </c>
      <c r="AK23" s="1087">
        <v>2001959.2222222197</v>
      </c>
      <c r="AL23" s="1087">
        <v>1996606.4444444417</v>
      </c>
      <c r="AM23" s="1087">
        <v>1996624.0370370341</v>
      </c>
      <c r="AN23" s="1087">
        <v>1988206.4444444412</v>
      </c>
      <c r="AO23" s="1087">
        <v>1978353.6666666633</v>
      </c>
      <c r="AP23" s="1088">
        <v>1978353.6666666633</v>
      </c>
    </row>
    <row r="24" spans="1:42">
      <c r="A24" s="1073" t="s">
        <v>1662</v>
      </c>
      <c r="B24" s="1086">
        <v>229527</v>
      </c>
      <c r="C24" s="1086">
        <v>229527</v>
      </c>
      <c r="D24" s="1086">
        <v>229527</v>
      </c>
      <c r="E24" s="1086">
        <v>229527</v>
      </c>
      <c r="F24" s="1086">
        <v>229527</v>
      </c>
      <c r="G24" s="1087">
        <v>229527</v>
      </c>
      <c r="H24" s="1087">
        <v>229527</v>
      </c>
      <c r="I24" s="1087">
        <v>229527</v>
      </c>
      <c r="J24" s="1087">
        <v>229527</v>
      </c>
      <c r="K24" s="1087">
        <v>229527</v>
      </c>
      <c r="L24" s="1087">
        <v>229527</v>
      </c>
      <c r="M24" s="1087">
        <v>229527</v>
      </c>
      <c r="N24" s="1088">
        <v>229527</v>
      </c>
      <c r="P24" s="1087">
        <v>229527</v>
      </c>
      <c r="Q24" s="1087">
        <v>229527</v>
      </c>
      <c r="R24" s="1087">
        <v>229527</v>
      </c>
      <c r="S24" s="1087">
        <v>229527</v>
      </c>
      <c r="T24" s="1087">
        <v>229527</v>
      </c>
      <c r="U24" s="1087">
        <v>229527</v>
      </c>
      <c r="V24" s="1087">
        <v>229527</v>
      </c>
      <c r="W24" s="1087">
        <v>229527</v>
      </c>
      <c r="X24" s="1087">
        <v>229527</v>
      </c>
      <c r="Y24" s="1087">
        <v>229527</v>
      </c>
      <c r="Z24" s="1087">
        <v>229527</v>
      </c>
      <c r="AA24" s="1087">
        <v>229527</v>
      </c>
      <c r="AB24" s="1088">
        <v>229527</v>
      </c>
      <c r="AD24" s="1087">
        <v>229527</v>
      </c>
      <c r="AE24" s="1087">
        <v>229527</v>
      </c>
      <c r="AF24" s="1087">
        <v>229527</v>
      </c>
      <c r="AG24" s="1087">
        <v>229527</v>
      </c>
      <c r="AH24" s="1087">
        <v>229527</v>
      </c>
      <c r="AI24" s="1087">
        <v>229527</v>
      </c>
      <c r="AJ24" s="1087">
        <v>229527</v>
      </c>
      <c r="AK24" s="1087">
        <v>229527</v>
      </c>
      <c r="AL24" s="1087">
        <v>229527</v>
      </c>
      <c r="AM24" s="1087">
        <v>229527</v>
      </c>
      <c r="AN24" s="1087">
        <v>229527</v>
      </c>
      <c r="AO24" s="1087">
        <v>229527</v>
      </c>
      <c r="AP24" s="1088">
        <v>229527</v>
      </c>
    </row>
    <row r="25" spans="1:42" ht="15.75" thickBot="1">
      <c r="A25" s="1079" t="s">
        <v>189</v>
      </c>
      <c r="B25" s="1096">
        <v>44993183</v>
      </c>
      <c r="C25" s="1096">
        <v>43635085</v>
      </c>
      <c r="D25" s="1096">
        <v>41850708</v>
      </c>
      <c r="E25" s="1096">
        <v>40806458</v>
      </c>
      <c r="F25" s="1096">
        <v>39088663</v>
      </c>
      <c r="G25" s="1097">
        <v>37253437.017164245</v>
      </c>
      <c r="H25" s="1097">
        <v>35610481.245717108</v>
      </c>
      <c r="I25" s="1097">
        <v>33936028.812973596</v>
      </c>
      <c r="J25" s="1097">
        <v>32249356.044776544</v>
      </c>
      <c r="K25" s="1097">
        <v>30528968.985768888</v>
      </c>
      <c r="L25" s="1097">
        <v>28781818.690530155</v>
      </c>
      <c r="M25" s="1097">
        <v>27038390.566118106</v>
      </c>
      <c r="N25" s="1098">
        <v>27038390.566118106</v>
      </c>
      <c r="P25" s="1097">
        <v>47229395.258897692</v>
      </c>
      <c r="Q25" s="1097">
        <v>44384139.270032436</v>
      </c>
      <c r="R25" s="1097">
        <v>42457394.140431069</v>
      </c>
      <c r="S25" s="1097">
        <v>40528249.38787473</v>
      </c>
      <c r="T25" s="1097">
        <v>38596704.529903293</v>
      </c>
      <c r="U25" s="1097">
        <v>36662561.137619972</v>
      </c>
      <c r="V25" s="1097">
        <v>34725931.630004138</v>
      </c>
      <c r="W25" s="1097">
        <v>32786078.272223309</v>
      </c>
      <c r="X25" s="1097">
        <v>30843822.421123408</v>
      </c>
      <c r="Y25" s="1097">
        <v>28899024.676127858</v>
      </c>
      <c r="Z25" s="1097">
        <v>26949306.205210738</v>
      </c>
      <c r="AA25" s="1097">
        <v>24997169.162878942</v>
      </c>
      <c r="AB25" s="1098">
        <v>24997169.162878942</v>
      </c>
      <c r="AD25" s="1097">
        <v>44906290.629897483</v>
      </c>
      <c r="AE25" s="1097">
        <v>41624479.105284557</v>
      </c>
      <c r="AF25" s="1097">
        <v>39375560.250295065</v>
      </c>
      <c r="AG25" s="1097">
        <v>37124089.506577238</v>
      </c>
      <c r="AH25" s="1097">
        <v>34870066.315499984</v>
      </c>
      <c r="AI25" s="1097">
        <v>32613292.171957433</v>
      </c>
      <c r="AJ25" s="1097">
        <v>30353874.416180518</v>
      </c>
      <c r="AK25" s="1097">
        <v>28091055.57001663</v>
      </c>
      <c r="AL25" s="1097">
        <v>25825681.568680774</v>
      </c>
      <c r="AM25" s="1097">
        <v>23557611.834676992</v>
      </c>
      <c r="AN25" s="1097">
        <v>21284395.145664815</v>
      </c>
      <c r="AO25" s="1097">
        <v>19008606.956886955</v>
      </c>
      <c r="AP25" s="1098">
        <v>19008606.956886955</v>
      </c>
    </row>
    <row r="26" spans="1:42" ht="15.75" thickTop="1">
      <c r="B26" s="1080"/>
      <c r="C26" s="1080"/>
      <c r="G26" s="1081"/>
      <c r="H26" s="1081"/>
      <c r="I26" s="1081"/>
      <c r="J26" s="1081"/>
      <c r="K26" s="1081"/>
      <c r="L26" s="1081"/>
      <c r="M26" s="1081"/>
      <c r="N26" s="1082"/>
      <c r="P26" s="1081"/>
      <c r="Q26" s="1081"/>
      <c r="R26" s="1081"/>
      <c r="S26" s="1081"/>
      <c r="T26" s="1081"/>
      <c r="U26" s="1081"/>
      <c r="V26" s="1081"/>
      <c r="W26" s="1081"/>
      <c r="X26" s="1081"/>
      <c r="Y26" s="1081"/>
      <c r="Z26" s="1081"/>
      <c r="AA26" s="1081"/>
      <c r="AB26" s="1082"/>
      <c r="AD26" s="1081"/>
      <c r="AE26" s="1081"/>
      <c r="AF26" s="1081"/>
      <c r="AG26" s="1081"/>
      <c r="AH26" s="1081"/>
      <c r="AI26" s="1081"/>
      <c r="AJ26" s="1081"/>
      <c r="AK26" s="1081"/>
      <c r="AL26" s="1081"/>
      <c r="AM26" s="1081"/>
      <c r="AN26" s="1081"/>
      <c r="AO26" s="1081"/>
      <c r="AP26" s="1082"/>
    </row>
    <row r="27" spans="1:42">
      <c r="A27" s="1079" t="s">
        <v>1663</v>
      </c>
      <c r="B27" s="1080"/>
      <c r="C27" s="1080"/>
      <c r="G27" s="1081"/>
      <c r="H27" s="1081"/>
      <c r="I27" s="1081"/>
      <c r="J27" s="1081"/>
      <c r="K27" s="1081"/>
      <c r="L27" s="1081"/>
      <c r="M27" s="1081"/>
      <c r="N27" s="1082"/>
      <c r="P27" s="1081"/>
      <c r="Q27" s="1081"/>
      <c r="R27" s="1081"/>
      <c r="S27" s="1081"/>
      <c r="T27" s="1081"/>
      <c r="U27" s="1081"/>
      <c r="V27" s="1081"/>
      <c r="W27" s="1081"/>
      <c r="X27" s="1081"/>
      <c r="Y27" s="1081"/>
      <c r="Z27" s="1081"/>
      <c r="AA27" s="1081"/>
      <c r="AB27" s="1082"/>
      <c r="AD27" s="1081"/>
      <c r="AE27" s="1081"/>
      <c r="AF27" s="1081"/>
      <c r="AG27" s="1081"/>
      <c r="AH27" s="1081"/>
      <c r="AI27" s="1081"/>
      <c r="AJ27" s="1081"/>
      <c r="AK27" s="1081"/>
      <c r="AL27" s="1081"/>
      <c r="AM27" s="1081"/>
      <c r="AN27" s="1081"/>
      <c r="AO27" s="1081"/>
      <c r="AP27" s="1082"/>
    </row>
    <row r="28" spans="1:42">
      <c r="A28" s="1080" t="s">
        <v>192</v>
      </c>
      <c r="B28" s="1083">
        <v>812472</v>
      </c>
      <c r="C28" s="1083">
        <v>794682</v>
      </c>
      <c r="D28" s="1083">
        <v>536973</v>
      </c>
      <c r="E28" s="1083">
        <v>970633</v>
      </c>
      <c r="F28" s="1083">
        <v>837878</v>
      </c>
      <c r="G28" s="1084">
        <v>614107.11636399978</v>
      </c>
      <c r="H28" s="1084">
        <v>631338.86504399986</v>
      </c>
      <c r="I28" s="1084">
        <v>638458.01504399988</v>
      </c>
      <c r="J28" s="1084">
        <v>640870.00504399987</v>
      </c>
      <c r="K28" s="1084">
        <v>658005.10303023993</v>
      </c>
      <c r="L28" s="1084">
        <v>661610.85303023993</v>
      </c>
      <c r="M28" s="1084">
        <v>657008.60303023981</v>
      </c>
      <c r="N28" s="1088">
        <v>657008.60303023981</v>
      </c>
      <c r="P28" s="1084">
        <v>730016.83758343337</v>
      </c>
      <c r="Q28" s="1084">
        <v>730533.50425010023</v>
      </c>
      <c r="R28" s="1084">
        <v>731050.17091676686</v>
      </c>
      <c r="S28" s="1084">
        <v>731566.8375834336</v>
      </c>
      <c r="T28" s="1084">
        <v>732083.50425010023</v>
      </c>
      <c r="U28" s="1084">
        <v>732670.17091676686</v>
      </c>
      <c r="V28" s="1084">
        <v>733186.83758343349</v>
      </c>
      <c r="W28" s="1084">
        <v>733703.50425010012</v>
      </c>
      <c r="X28" s="1084">
        <v>734220.17091676686</v>
      </c>
      <c r="Y28" s="1084">
        <v>734806.8375834336</v>
      </c>
      <c r="Z28" s="1084">
        <v>735323.50425010023</v>
      </c>
      <c r="AA28" s="1084">
        <v>735840.17091676686</v>
      </c>
      <c r="AB28" s="1088">
        <v>735840.17091676686</v>
      </c>
      <c r="AD28" s="1084">
        <v>848777.33491093654</v>
      </c>
      <c r="AE28" s="1084">
        <v>849294.00157760328</v>
      </c>
      <c r="AF28" s="1084">
        <v>849810.66824426968</v>
      </c>
      <c r="AG28" s="1084">
        <v>850327.33491093642</v>
      </c>
      <c r="AH28" s="1084">
        <v>850844.00157760305</v>
      </c>
      <c r="AI28" s="1084">
        <v>851430.66824426968</v>
      </c>
      <c r="AJ28" s="1084">
        <v>851947.33491093642</v>
      </c>
      <c r="AK28" s="1084">
        <v>852464.00157760305</v>
      </c>
      <c r="AL28" s="1084">
        <v>852980.66824426991</v>
      </c>
      <c r="AM28" s="1084">
        <v>853567.33491093654</v>
      </c>
      <c r="AN28" s="1084">
        <v>854084.00157760317</v>
      </c>
      <c r="AO28" s="1084">
        <v>854600.66824426991</v>
      </c>
      <c r="AP28" s="1088">
        <v>854600.66824426991</v>
      </c>
    </row>
    <row r="29" spans="1:42">
      <c r="A29" s="1104" t="s">
        <v>193</v>
      </c>
      <c r="B29" s="1086">
        <v>473845</v>
      </c>
      <c r="C29" s="1086">
        <v>382257</v>
      </c>
      <c r="D29" s="1086">
        <v>508353</v>
      </c>
      <c r="E29" s="1086">
        <v>605951</v>
      </c>
      <c r="F29" s="1086">
        <v>703666</v>
      </c>
      <c r="G29" s="1087">
        <v>780408.5</v>
      </c>
      <c r="H29" s="1087">
        <v>857151</v>
      </c>
      <c r="I29" s="1087">
        <v>933893.5</v>
      </c>
      <c r="J29" s="1087">
        <v>1010636</v>
      </c>
      <c r="K29" s="1087">
        <v>1087378.5</v>
      </c>
      <c r="L29" s="1087">
        <v>1164121</v>
      </c>
      <c r="M29" s="1087">
        <v>1240863.5</v>
      </c>
      <c r="N29" s="1088">
        <v>1240863.5</v>
      </c>
      <c r="P29" s="1087">
        <v>1327150.5</v>
      </c>
      <c r="Q29" s="1087">
        <v>492527.5</v>
      </c>
      <c r="R29" s="1087">
        <v>578814.5</v>
      </c>
      <c r="S29" s="1087">
        <v>665101.5</v>
      </c>
      <c r="T29" s="1087">
        <v>751388.5</v>
      </c>
      <c r="U29" s="1087">
        <v>837675.5</v>
      </c>
      <c r="V29" s="1087">
        <v>923962.5</v>
      </c>
      <c r="W29" s="1087">
        <v>1010249.5</v>
      </c>
      <c r="X29" s="1087">
        <v>1096536.5</v>
      </c>
      <c r="Y29" s="1087">
        <v>1182823.5</v>
      </c>
      <c r="Z29" s="1087">
        <v>1269110.5</v>
      </c>
      <c r="AA29" s="1087">
        <v>1355397.5</v>
      </c>
      <c r="AB29" s="1088">
        <v>1355397.5</v>
      </c>
      <c r="AD29" s="1087">
        <v>1454295.4166666667</v>
      </c>
      <c r="AE29" s="1087">
        <v>517749.33333333349</v>
      </c>
      <c r="AF29" s="1087">
        <v>616647.25000000023</v>
      </c>
      <c r="AG29" s="1087">
        <v>715545.16666666698</v>
      </c>
      <c r="AH29" s="1087">
        <v>814443.08333333372</v>
      </c>
      <c r="AI29" s="1087">
        <v>913341.00000000047</v>
      </c>
      <c r="AJ29" s="1087">
        <v>1012238.9166666672</v>
      </c>
      <c r="AK29" s="1087">
        <v>1111136.833333334</v>
      </c>
      <c r="AL29" s="1087">
        <v>1210034.7500000007</v>
      </c>
      <c r="AM29" s="1087">
        <v>1308932.6666666674</v>
      </c>
      <c r="AN29" s="1087">
        <v>1407830.5833333342</v>
      </c>
      <c r="AO29" s="1087">
        <v>1506728.5000000009</v>
      </c>
      <c r="AP29" s="1088">
        <v>1506728.5000000009</v>
      </c>
    </row>
    <row r="30" spans="1:42">
      <c r="A30" s="1080" t="s">
        <v>1664</v>
      </c>
      <c r="B30" s="1086">
        <v>191588</v>
      </c>
      <c r="C30" s="1086">
        <v>192050</v>
      </c>
      <c r="D30" s="1086">
        <v>192513</v>
      </c>
      <c r="E30" s="1086">
        <v>192975</v>
      </c>
      <c r="F30" s="1086">
        <v>193438</v>
      </c>
      <c r="G30" s="1087">
        <v>193900.58490000002</v>
      </c>
      <c r="H30" s="1087">
        <v>194363.16980000003</v>
      </c>
      <c r="I30" s="1087">
        <v>194027.85980000003</v>
      </c>
      <c r="J30" s="1087">
        <v>193692.54980000004</v>
      </c>
      <c r="K30" s="1087">
        <v>193357.23980000004</v>
      </c>
      <c r="L30" s="1087">
        <v>190647.13980000003</v>
      </c>
      <c r="M30" s="1087">
        <v>187937.03980000003</v>
      </c>
      <c r="N30" s="1088">
        <v>187937.03980000003</v>
      </c>
      <c r="P30" s="1087">
        <v>185226.93980000002</v>
      </c>
      <c r="Q30" s="1087">
        <v>182516.83980000002</v>
      </c>
      <c r="R30" s="1087">
        <v>179806.73980000001</v>
      </c>
      <c r="S30" s="1087">
        <v>177096.6398</v>
      </c>
      <c r="T30" s="1087">
        <v>174386.5398</v>
      </c>
      <c r="U30" s="1087">
        <v>171676.43979999999</v>
      </c>
      <c r="V30" s="1087">
        <v>168966.33979999999</v>
      </c>
      <c r="W30" s="1087">
        <v>165434.39929999996</v>
      </c>
      <c r="X30" s="1087">
        <v>161902.45879999993</v>
      </c>
      <c r="Y30" s="1087">
        <v>158370.51829999991</v>
      </c>
      <c r="Z30" s="1087">
        <v>152392.54409999991</v>
      </c>
      <c r="AA30" s="1087">
        <v>146414.56989999991</v>
      </c>
      <c r="AB30" s="1088">
        <v>146414.56989999991</v>
      </c>
      <c r="AD30" s="1087">
        <v>140436.59569999992</v>
      </c>
      <c r="AE30" s="1087">
        <v>134458.62149999992</v>
      </c>
      <c r="AF30" s="1087">
        <v>128480.64729999992</v>
      </c>
      <c r="AG30" s="1087">
        <v>122502.67309999993</v>
      </c>
      <c r="AH30" s="1087">
        <v>116524.69889999993</v>
      </c>
      <c r="AI30" s="1087">
        <v>110546.72469999993</v>
      </c>
      <c r="AJ30" s="1087">
        <v>104568.75049999994</v>
      </c>
      <c r="AK30" s="1087">
        <v>97744.281099999949</v>
      </c>
      <c r="AL30" s="1087">
        <v>90919.811699999962</v>
      </c>
      <c r="AM30" s="1087">
        <v>84095.342299999975</v>
      </c>
      <c r="AN30" s="1087">
        <v>74751.461999999985</v>
      </c>
      <c r="AO30" s="1087">
        <v>65407.581699999995</v>
      </c>
      <c r="AP30" s="1088">
        <v>65407.581699999995</v>
      </c>
    </row>
    <row r="31" spans="1:42">
      <c r="A31" s="1080" t="s">
        <v>1665</v>
      </c>
      <c r="B31" s="1086">
        <v>337460</v>
      </c>
      <c r="C31" s="1086">
        <v>332891</v>
      </c>
      <c r="D31" s="1086">
        <v>320251</v>
      </c>
      <c r="E31" s="1086">
        <v>307542</v>
      </c>
      <c r="F31" s="1086">
        <v>293740</v>
      </c>
      <c r="G31" s="1087">
        <v>284703.95833333331</v>
      </c>
      <c r="H31" s="1087">
        <v>263751.25</v>
      </c>
      <c r="I31" s="1087">
        <v>254646.45833333334</v>
      </c>
      <c r="J31" s="1087">
        <v>240465</v>
      </c>
      <c r="K31" s="1087">
        <v>230947.08333333334</v>
      </c>
      <c r="L31" s="1087">
        <v>221429.16666666669</v>
      </c>
      <c r="M31" s="1087">
        <v>211911.25000000003</v>
      </c>
      <c r="N31" s="1088">
        <v>211911.25000000003</v>
      </c>
      <c r="P31" s="1087">
        <v>202393.33333333337</v>
      </c>
      <c r="Q31" s="1087">
        <v>192875.41666666672</v>
      </c>
      <c r="R31" s="1087">
        <v>183357.50000000006</v>
      </c>
      <c r="S31" s="1087">
        <v>173839.5833333334</v>
      </c>
      <c r="T31" s="1087">
        <v>164321.66666666674</v>
      </c>
      <c r="U31" s="1087">
        <v>154803.75000000009</v>
      </c>
      <c r="V31" s="1087">
        <v>145285.83333333343</v>
      </c>
      <c r="W31" s="1087">
        <v>135767.91666666677</v>
      </c>
      <c r="X31" s="1087">
        <v>126250.0000000001</v>
      </c>
      <c r="Y31" s="1087">
        <v>116732.08333333343</v>
      </c>
      <c r="Z31" s="1087">
        <v>107214.16666666676</v>
      </c>
      <c r="AA31" s="1087">
        <v>107214.16666666676</v>
      </c>
      <c r="AB31" s="1088">
        <v>107214.16666666676</v>
      </c>
      <c r="AD31" s="1087">
        <v>97696.250000000087</v>
      </c>
      <c r="AE31" s="1087">
        <v>88180.091145833416</v>
      </c>
      <c r="AF31" s="1087">
        <v>78663.932291666744</v>
      </c>
      <c r="AG31" s="1087">
        <v>69147.773437500073</v>
      </c>
      <c r="AH31" s="1087">
        <v>59631.614583333401</v>
      </c>
      <c r="AI31" s="1087">
        <v>50115.45572916673</v>
      </c>
      <c r="AJ31" s="1087">
        <v>40815.872395833394</v>
      </c>
      <c r="AK31" s="1087">
        <v>31516.289062500058</v>
      </c>
      <c r="AL31" s="1087">
        <v>23415.24739583339</v>
      </c>
      <c r="AM31" s="1087">
        <v>21483.37239583339</v>
      </c>
      <c r="AN31" s="1087">
        <v>21483.37239583339</v>
      </c>
      <c r="AO31" s="1087">
        <v>21483.37239583339</v>
      </c>
      <c r="AP31" s="1088">
        <v>21483.37239583339</v>
      </c>
    </row>
    <row r="32" spans="1:42">
      <c r="A32" s="1080" t="s">
        <v>1666</v>
      </c>
      <c r="B32" s="1086">
        <v>0</v>
      </c>
      <c r="C32" s="1086">
        <v>0</v>
      </c>
      <c r="D32" s="1086">
        <v>0</v>
      </c>
      <c r="E32" s="1086">
        <v>0</v>
      </c>
      <c r="F32" s="1086">
        <v>0</v>
      </c>
      <c r="G32" s="1087">
        <v>0</v>
      </c>
      <c r="H32" s="1087">
        <v>0</v>
      </c>
      <c r="I32" s="1087">
        <v>0</v>
      </c>
      <c r="J32" s="1087">
        <v>0</v>
      </c>
      <c r="K32" s="1087">
        <v>0</v>
      </c>
      <c r="L32" s="1087">
        <v>0</v>
      </c>
      <c r="M32" s="1087">
        <v>0</v>
      </c>
      <c r="N32" s="1088">
        <v>0</v>
      </c>
      <c r="P32" s="1087">
        <v>0</v>
      </c>
      <c r="Q32" s="1087">
        <v>0</v>
      </c>
      <c r="R32" s="1087">
        <v>0</v>
      </c>
      <c r="S32" s="1087">
        <v>0</v>
      </c>
      <c r="T32" s="1087">
        <v>0</v>
      </c>
      <c r="U32" s="1087">
        <v>0</v>
      </c>
      <c r="V32" s="1087">
        <v>0</v>
      </c>
      <c r="W32" s="1087">
        <v>0</v>
      </c>
      <c r="X32" s="1087">
        <v>0</v>
      </c>
      <c r="Y32" s="1087">
        <v>0</v>
      </c>
      <c r="Z32" s="1087">
        <v>0</v>
      </c>
      <c r="AA32" s="1087">
        <v>0</v>
      </c>
      <c r="AB32" s="1088">
        <v>0</v>
      </c>
      <c r="AD32" s="1087">
        <v>0</v>
      </c>
      <c r="AE32" s="1087">
        <v>0</v>
      </c>
      <c r="AF32" s="1087">
        <v>0</v>
      </c>
      <c r="AG32" s="1087">
        <v>0</v>
      </c>
      <c r="AH32" s="1087">
        <v>0</v>
      </c>
      <c r="AI32" s="1087">
        <v>0</v>
      </c>
      <c r="AJ32" s="1087">
        <v>0</v>
      </c>
      <c r="AK32" s="1087">
        <v>0</v>
      </c>
      <c r="AL32" s="1087">
        <v>0</v>
      </c>
      <c r="AM32" s="1087">
        <v>0</v>
      </c>
      <c r="AN32" s="1087">
        <v>0</v>
      </c>
      <c r="AO32" s="1087">
        <v>0</v>
      </c>
      <c r="AP32" s="1088">
        <v>0</v>
      </c>
    </row>
    <row r="33" spans="1:42">
      <c r="A33" s="1079" t="s">
        <v>196</v>
      </c>
      <c r="B33" s="1105">
        <v>1815365</v>
      </c>
      <c r="C33" s="1105">
        <v>1701880</v>
      </c>
      <c r="D33" s="1105">
        <v>1558090</v>
      </c>
      <c r="E33" s="1105">
        <v>2077101</v>
      </c>
      <c r="F33" s="1105">
        <v>2028722</v>
      </c>
      <c r="G33" s="1106">
        <v>1873120.1595973333</v>
      </c>
      <c r="H33" s="1106">
        <v>1946604.2848439999</v>
      </c>
      <c r="I33" s="1106">
        <v>2021025.8331773332</v>
      </c>
      <c r="J33" s="1106">
        <v>2085663.5548439999</v>
      </c>
      <c r="K33" s="1106">
        <v>2169687.9261635733</v>
      </c>
      <c r="L33" s="1106">
        <v>2237808.1594969067</v>
      </c>
      <c r="M33" s="1106">
        <v>2297720.3928302396</v>
      </c>
      <c r="N33" s="1107">
        <v>2297720.3928302396</v>
      </c>
      <c r="P33" s="1106">
        <v>2444787.6107167667</v>
      </c>
      <c r="Q33" s="1106">
        <v>1598453.2607167671</v>
      </c>
      <c r="R33" s="1106">
        <v>1673028.910716767</v>
      </c>
      <c r="S33" s="1106">
        <v>1747604.5607167671</v>
      </c>
      <c r="T33" s="1106">
        <v>1822180.210716767</v>
      </c>
      <c r="U33" s="1106">
        <v>1896825.8607167669</v>
      </c>
      <c r="V33" s="1106">
        <v>1971401.5107167668</v>
      </c>
      <c r="W33" s="1106">
        <v>2045155.3202167668</v>
      </c>
      <c r="X33" s="1106">
        <v>2118909.129716767</v>
      </c>
      <c r="Y33" s="1106">
        <v>2192732.939216767</v>
      </c>
      <c r="Z33" s="1106">
        <v>2264040.7150167674</v>
      </c>
      <c r="AA33" s="1106">
        <v>2344866.4074834338</v>
      </c>
      <c r="AB33" s="1107">
        <v>2344866.4074834338</v>
      </c>
      <c r="AD33" s="1106">
        <v>2541205.5972776031</v>
      </c>
      <c r="AE33" s="1106">
        <v>1589682.04755677</v>
      </c>
      <c r="AF33" s="1106">
        <v>1673602.4978359365</v>
      </c>
      <c r="AG33" s="1106">
        <v>1757522.9481151034</v>
      </c>
      <c r="AH33" s="1106">
        <v>1841443.3983942701</v>
      </c>
      <c r="AI33" s="1106">
        <v>1925433.8486734368</v>
      </c>
      <c r="AJ33" s="1106">
        <v>2009570.874473437</v>
      </c>
      <c r="AK33" s="1106">
        <v>2092861.4050734371</v>
      </c>
      <c r="AL33" s="1106">
        <v>2177350.4773401041</v>
      </c>
      <c r="AM33" s="1106">
        <v>2268078.7162734377</v>
      </c>
      <c r="AN33" s="1106">
        <v>2358149.4193067709</v>
      </c>
      <c r="AO33" s="1106">
        <v>2448220.1223401041</v>
      </c>
      <c r="AP33" s="1107">
        <v>2448220.1223401041</v>
      </c>
    </row>
    <row r="34" spans="1:42">
      <c r="B34" s="1080"/>
      <c r="C34" s="1080"/>
      <c r="G34" s="1081"/>
      <c r="H34" s="1081"/>
      <c r="I34" s="1081"/>
      <c r="J34" s="1081"/>
      <c r="K34" s="1081"/>
      <c r="L34" s="1081"/>
      <c r="M34" s="1081"/>
      <c r="N34" s="1082"/>
      <c r="P34" s="1081"/>
      <c r="Q34" s="1081"/>
      <c r="R34" s="1081"/>
      <c r="S34" s="1081"/>
      <c r="T34" s="1081"/>
      <c r="U34" s="1081"/>
      <c r="V34" s="1081"/>
      <c r="W34" s="1081"/>
      <c r="X34" s="1081"/>
      <c r="Y34" s="1081"/>
      <c r="Z34" s="1081"/>
      <c r="AA34" s="1081"/>
      <c r="AB34" s="1082"/>
      <c r="AD34" s="1081"/>
      <c r="AE34" s="1081"/>
      <c r="AF34" s="1081"/>
      <c r="AG34" s="1081"/>
      <c r="AH34" s="1081"/>
      <c r="AI34" s="1081"/>
      <c r="AJ34" s="1081"/>
      <c r="AK34" s="1081"/>
      <c r="AL34" s="1081"/>
      <c r="AM34" s="1081"/>
      <c r="AN34" s="1081"/>
      <c r="AO34" s="1081"/>
      <c r="AP34" s="1082"/>
    </row>
    <row r="35" spans="1:42">
      <c r="A35" s="1079" t="s">
        <v>1667</v>
      </c>
      <c r="B35" s="1080"/>
      <c r="C35" s="1080"/>
      <c r="G35" s="1081"/>
      <c r="H35" s="1081"/>
      <c r="I35" s="1081"/>
      <c r="J35" s="1081"/>
      <c r="K35" s="1081"/>
      <c r="L35" s="1081"/>
      <c r="M35" s="1081"/>
      <c r="N35" s="1082"/>
      <c r="P35" s="1081"/>
      <c r="Q35" s="1081"/>
      <c r="R35" s="1081"/>
      <c r="S35" s="1081"/>
      <c r="T35" s="1081"/>
      <c r="U35" s="1081"/>
      <c r="V35" s="1081"/>
      <c r="W35" s="1081"/>
      <c r="X35" s="1081"/>
      <c r="Y35" s="1081"/>
      <c r="Z35" s="1081"/>
      <c r="AA35" s="1081"/>
      <c r="AB35" s="1082"/>
      <c r="AD35" s="1081"/>
      <c r="AE35" s="1081"/>
      <c r="AF35" s="1081"/>
      <c r="AG35" s="1081"/>
      <c r="AH35" s="1081"/>
      <c r="AI35" s="1081"/>
      <c r="AJ35" s="1081"/>
      <c r="AK35" s="1081"/>
      <c r="AL35" s="1081"/>
      <c r="AM35" s="1081"/>
      <c r="AN35" s="1081"/>
      <c r="AO35" s="1081"/>
      <c r="AP35" s="1082"/>
    </row>
    <row r="36" spans="1:42">
      <c r="A36" s="1073" t="s">
        <v>1668</v>
      </c>
      <c r="B36" s="1083">
        <v>1346152</v>
      </c>
      <c r="C36" s="1083">
        <v>1350721</v>
      </c>
      <c r="D36" s="1083">
        <v>1365318</v>
      </c>
      <c r="E36" s="1083">
        <v>1378026</v>
      </c>
      <c r="F36" s="1083">
        <v>1391828</v>
      </c>
      <c r="G36" s="1084">
        <v>1400864.0416666667</v>
      </c>
      <c r="H36" s="1084">
        <v>1421816.75</v>
      </c>
      <c r="I36" s="1084">
        <v>1430921.5416666667</v>
      </c>
      <c r="J36" s="1084">
        <v>1445103</v>
      </c>
      <c r="K36" s="1084">
        <v>1454620.9166666667</v>
      </c>
      <c r="L36" s="1084">
        <v>1464138.8333333335</v>
      </c>
      <c r="M36" s="1084">
        <v>1473656.7500000002</v>
      </c>
      <c r="N36" s="1085">
        <v>1473656.7500000002</v>
      </c>
      <c r="P36" s="1084">
        <v>1483174.666666667</v>
      </c>
      <c r="Q36" s="1084">
        <v>1492692.5833333337</v>
      </c>
      <c r="R36" s="1084">
        <v>1502210.5000000005</v>
      </c>
      <c r="S36" s="1084">
        <v>1511728.4166666672</v>
      </c>
      <c r="T36" s="1084">
        <v>1521246.333333334</v>
      </c>
      <c r="U36" s="1084">
        <v>1530764.2500000007</v>
      </c>
      <c r="V36" s="1084">
        <v>1540282.1666666674</v>
      </c>
      <c r="W36" s="1084">
        <v>1549800.0833333342</v>
      </c>
      <c r="X36" s="1084">
        <v>1559318.0000000009</v>
      </c>
      <c r="Y36" s="1084">
        <v>1568835.9166666677</v>
      </c>
      <c r="Z36" s="1084">
        <v>1578353.8333333344</v>
      </c>
      <c r="AA36" s="1084">
        <v>1578353.8333333344</v>
      </c>
      <c r="AB36" s="1085">
        <v>1578353.8333333344</v>
      </c>
      <c r="AD36" s="1084">
        <v>1587871.7500000012</v>
      </c>
      <c r="AE36" s="1084">
        <v>1597387.9088541679</v>
      </c>
      <c r="AF36" s="1084">
        <v>1606904.0677083347</v>
      </c>
      <c r="AG36" s="1084">
        <v>1616420.2265625014</v>
      </c>
      <c r="AH36" s="1084">
        <v>1625936.3854166681</v>
      </c>
      <c r="AI36" s="1084">
        <v>1635452.5442708349</v>
      </c>
      <c r="AJ36" s="1084">
        <v>1644752.1276041681</v>
      </c>
      <c r="AK36" s="1084">
        <v>1654051.7109375014</v>
      </c>
      <c r="AL36" s="1084">
        <v>1662152.7526041681</v>
      </c>
      <c r="AM36" s="1084">
        <v>1664084.6276041681</v>
      </c>
      <c r="AN36" s="1084">
        <v>1664084.6276041681</v>
      </c>
      <c r="AO36" s="1084">
        <v>1664084.6276041681</v>
      </c>
      <c r="AP36" s="1085">
        <v>1664084.6276041681</v>
      </c>
    </row>
    <row r="37" spans="1:42">
      <c r="A37" s="1080" t="s">
        <v>1669</v>
      </c>
      <c r="B37" s="1086">
        <v>64865320</v>
      </c>
      <c r="C37" s="1086">
        <v>64865320</v>
      </c>
      <c r="D37" s="1086">
        <v>64865320</v>
      </c>
      <c r="E37" s="1086">
        <v>64865320</v>
      </c>
      <c r="F37" s="1086">
        <v>64865320</v>
      </c>
      <c r="G37" s="1087">
        <v>64865320</v>
      </c>
      <c r="H37" s="1087">
        <v>64865320</v>
      </c>
      <c r="I37" s="1087">
        <v>64865320</v>
      </c>
      <c r="J37" s="1087">
        <v>64865320</v>
      </c>
      <c r="K37" s="1087">
        <v>64865320</v>
      </c>
      <c r="L37" s="1087">
        <v>64865320</v>
      </c>
      <c r="M37" s="1087">
        <v>64865320</v>
      </c>
      <c r="N37" s="1088">
        <v>64865320</v>
      </c>
      <c r="P37" s="1087">
        <v>86905320</v>
      </c>
      <c r="Q37" s="1087">
        <v>86905320</v>
      </c>
      <c r="R37" s="1087">
        <v>86905320</v>
      </c>
      <c r="S37" s="1087">
        <v>86905320</v>
      </c>
      <c r="T37" s="1087">
        <v>86905320</v>
      </c>
      <c r="U37" s="1087">
        <v>86905320</v>
      </c>
      <c r="V37" s="1087">
        <v>86905320</v>
      </c>
      <c r="W37" s="1087">
        <v>86905320</v>
      </c>
      <c r="X37" s="1087">
        <v>86905320</v>
      </c>
      <c r="Y37" s="1087">
        <v>86905320</v>
      </c>
      <c r="Z37" s="1087">
        <v>86905320</v>
      </c>
      <c r="AA37" s="1087">
        <v>86905320</v>
      </c>
      <c r="AB37" s="1088">
        <v>86905320</v>
      </c>
      <c r="AD37" s="1087">
        <v>108945320</v>
      </c>
      <c r="AE37" s="1087">
        <v>108945320</v>
      </c>
      <c r="AF37" s="1087">
        <v>108945320</v>
      </c>
      <c r="AG37" s="1087">
        <v>108945320</v>
      </c>
      <c r="AH37" s="1087">
        <v>108945320</v>
      </c>
      <c r="AI37" s="1087">
        <v>108945320</v>
      </c>
      <c r="AJ37" s="1087">
        <v>108945320</v>
      </c>
      <c r="AK37" s="1087">
        <v>108945320</v>
      </c>
      <c r="AL37" s="1087">
        <v>108945320</v>
      </c>
      <c r="AM37" s="1087">
        <v>108945320</v>
      </c>
      <c r="AN37" s="1087">
        <v>108945320</v>
      </c>
      <c r="AO37" s="1087">
        <v>108945320</v>
      </c>
      <c r="AP37" s="1088">
        <v>108945320</v>
      </c>
    </row>
    <row r="38" spans="1:42">
      <c r="A38" s="1073" t="s">
        <v>1670</v>
      </c>
      <c r="B38" s="1086">
        <v>-23033654</v>
      </c>
      <c r="C38" s="1086">
        <v>-24282836</v>
      </c>
      <c r="D38" s="1086">
        <v>-25938020</v>
      </c>
      <c r="E38" s="1086">
        <v>-27513989</v>
      </c>
      <c r="F38" s="1086">
        <v>-29197206.960000001</v>
      </c>
      <c r="G38" s="1087">
        <v>-30885866.838544197</v>
      </c>
      <c r="H38" s="1087">
        <v>-32623259.443571337</v>
      </c>
      <c r="I38" s="1087">
        <v>-34381238.216314852</v>
      </c>
      <c r="J38" s="1087">
        <v>-36146730.164511912</v>
      </c>
      <c r="K38" s="1087">
        <v>-37960659.511505805</v>
      </c>
      <c r="L38" s="1087">
        <v>-39785447.956744537</v>
      </c>
      <c r="M38" s="1087">
        <v>-41598306.231156588</v>
      </c>
      <c r="N38" s="1088">
        <v>-41598306.231156588</v>
      </c>
      <c r="P38" s="1087">
        <v>-43603886.672930196</v>
      </c>
      <c r="Q38" s="1087">
        <v>-45612326.228462122</v>
      </c>
      <c r="R38" s="1087">
        <v>-47623164.924730152</v>
      </c>
      <c r="S38" s="1087">
        <v>-49636403.243953161</v>
      </c>
      <c r="T38" s="1087">
        <v>-51652041.668591268</v>
      </c>
      <c r="U38" s="1087">
        <v>-53670348.627541259</v>
      </c>
      <c r="V38" s="1087">
        <v>-55691071.701823756</v>
      </c>
      <c r="W38" s="1087">
        <v>-57714196.785771258</v>
      </c>
      <c r="X38" s="1087">
        <v>-59739724.363037825</v>
      </c>
      <c r="Y38" s="1087">
        <v>-61767863.83420004</v>
      </c>
      <c r="Z38" s="1087">
        <v>-63798407.997583821</v>
      </c>
      <c r="AA38" s="1087">
        <v>-65831370.73238229</v>
      </c>
      <c r="AB38" s="1088">
        <v>-65831370.73238229</v>
      </c>
      <c r="AD38" s="1087">
        <v>-68168106.371824577</v>
      </c>
      <c r="AE38" s="1087">
        <v>-70507910.505570829</v>
      </c>
      <c r="AF38" s="1087">
        <v>-72850265.969693646</v>
      </c>
      <c r="AG38" s="1087">
        <v>-75195173.322544813</v>
      </c>
      <c r="AH38" s="1087">
        <v>-77542633.122755408</v>
      </c>
      <c r="AI38" s="1087">
        <v>-79892913.875431284</v>
      </c>
      <c r="AJ38" s="1087">
        <v>-82245768.240341529</v>
      </c>
      <c r="AK38" s="1087">
        <v>-84601177.200438753</v>
      </c>
      <c r="AL38" s="1087">
        <v>-86959141.315707937</v>
      </c>
      <c r="AM38" s="1087">
        <v>-89319871.163645059</v>
      </c>
      <c r="AN38" s="1087">
        <v>-91683158.555690572</v>
      </c>
      <c r="AO38" s="1087">
        <v>-94049017.447501764</v>
      </c>
      <c r="AP38" s="1088">
        <v>-94049017.447501764</v>
      </c>
    </row>
    <row r="39" spans="1:42">
      <c r="A39" s="1079" t="s">
        <v>1671</v>
      </c>
      <c r="B39" s="1105">
        <v>43177818</v>
      </c>
      <c r="C39" s="1105">
        <v>41933205</v>
      </c>
      <c r="D39" s="1105">
        <v>40292618</v>
      </c>
      <c r="E39" s="1105">
        <v>38729357</v>
      </c>
      <c r="F39" s="1105">
        <v>37059941.039999999</v>
      </c>
      <c r="G39" s="1106">
        <v>35380317.203122467</v>
      </c>
      <c r="H39" s="1106">
        <v>33663877.306428663</v>
      </c>
      <c r="I39" s="1106">
        <v>31915003.325351812</v>
      </c>
      <c r="J39" s="1106">
        <v>30163692.835488088</v>
      </c>
      <c r="K39" s="1106">
        <v>28359281.405160859</v>
      </c>
      <c r="L39" s="1106">
        <v>26544010.876588799</v>
      </c>
      <c r="M39" s="1106">
        <v>24740670.518843412</v>
      </c>
      <c r="N39" s="1107">
        <v>24740670.518843412</v>
      </c>
      <c r="P39" s="1106">
        <v>44784607.993736476</v>
      </c>
      <c r="Q39" s="1106">
        <v>42785686.354871206</v>
      </c>
      <c r="R39" s="1106">
        <v>40784365.575269848</v>
      </c>
      <c r="S39" s="1106">
        <v>38780645.172713511</v>
      </c>
      <c r="T39" s="1106">
        <v>36774524.66474206</v>
      </c>
      <c r="U39" s="1106">
        <v>34765735.622458741</v>
      </c>
      <c r="V39" s="1106">
        <v>32754530.464842916</v>
      </c>
      <c r="W39" s="1106">
        <v>30740923.29756207</v>
      </c>
      <c r="X39" s="1106">
        <v>28724913.636962175</v>
      </c>
      <c r="Y39" s="1106">
        <v>26706292.082466632</v>
      </c>
      <c r="Z39" s="1106">
        <v>24685265.835749507</v>
      </c>
      <c r="AA39" s="1106">
        <v>22652303.100951038</v>
      </c>
      <c r="AB39" s="1107">
        <v>22652303.100951038</v>
      </c>
      <c r="AD39" s="1106">
        <v>42365085.378175423</v>
      </c>
      <c r="AE39" s="1106">
        <v>40034797.403283343</v>
      </c>
      <c r="AF39" s="1106">
        <v>37701958.098014683</v>
      </c>
      <c r="AG39" s="1106">
        <v>35366566.904017687</v>
      </c>
      <c r="AH39" s="1106">
        <v>33028623.262661263</v>
      </c>
      <c r="AI39" s="1106">
        <v>30687858.668839544</v>
      </c>
      <c r="AJ39" s="1106">
        <v>28344303.887262642</v>
      </c>
      <c r="AK39" s="1106">
        <v>25998194.510498747</v>
      </c>
      <c r="AL39" s="1106">
        <v>23648331.436896235</v>
      </c>
      <c r="AM39" s="1106">
        <v>21289533.463959113</v>
      </c>
      <c r="AN39" s="1106">
        <v>18926246.0719136</v>
      </c>
      <c r="AO39" s="1106">
        <v>16560387.180102408</v>
      </c>
      <c r="AP39" s="1107">
        <v>16560387.180102408</v>
      </c>
    </row>
    <row r="40" spans="1:42">
      <c r="B40" s="1080"/>
      <c r="C40" s="1080"/>
      <c r="G40" s="1081"/>
      <c r="H40" s="1081"/>
      <c r="I40" s="1081"/>
      <c r="J40" s="1081"/>
      <c r="K40" s="1081"/>
      <c r="L40" s="1081"/>
      <c r="M40" s="1081"/>
      <c r="N40" s="1082"/>
      <c r="P40" s="1081"/>
      <c r="Q40" s="1081"/>
      <c r="R40" s="1081"/>
      <c r="S40" s="1081"/>
      <c r="T40" s="1081"/>
      <c r="U40" s="1081"/>
      <c r="V40" s="1081"/>
      <c r="W40" s="1081"/>
      <c r="X40" s="1081"/>
      <c r="Y40" s="1081"/>
      <c r="Z40" s="1081"/>
      <c r="AA40" s="1081"/>
      <c r="AB40" s="1082"/>
      <c r="AD40" s="1081"/>
      <c r="AE40" s="1081"/>
      <c r="AF40" s="1081"/>
      <c r="AG40" s="1081"/>
      <c r="AH40" s="1081"/>
      <c r="AI40" s="1081"/>
      <c r="AJ40" s="1081"/>
      <c r="AK40" s="1081"/>
      <c r="AL40" s="1081"/>
      <c r="AM40" s="1081"/>
      <c r="AN40" s="1081"/>
      <c r="AO40" s="1081"/>
      <c r="AP40" s="1082"/>
    </row>
    <row r="41" spans="1:42" ht="15.75" thickBot="1">
      <c r="A41" s="1079" t="s">
        <v>1672</v>
      </c>
      <c r="B41" s="1096">
        <v>44993183</v>
      </c>
      <c r="C41" s="1096">
        <v>43635085</v>
      </c>
      <c r="D41" s="1096">
        <v>41850708</v>
      </c>
      <c r="E41" s="1096">
        <v>40806458</v>
      </c>
      <c r="F41" s="1096">
        <v>39088663.039999999</v>
      </c>
      <c r="G41" s="1097">
        <v>37253437.362719797</v>
      </c>
      <c r="H41" s="1097">
        <v>35610481.591272667</v>
      </c>
      <c r="I41" s="1097">
        <v>33936029.158529148</v>
      </c>
      <c r="J41" s="1097">
        <v>32249356.390332088</v>
      </c>
      <c r="K41" s="1097">
        <v>30528969.331324432</v>
      </c>
      <c r="L41" s="1097">
        <v>28781819.036085706</v>
      </c>
      <c r="M41" s="1097">
        <v>27038390.91167365</v>
      </c>
      <c r="N41" s="1098">
        <v>27038390.91167365</v>
      </c>
      <c r="P41" s="1097">
        <v>47229395.604453243</v>
      </c>
      <c r="Q41" s="1097">
        <v>44384139.615587972</v>
      </c>
      <c r="R41" s="1097">
        <v>42457394.485986613</v>
      </c>
      <c r="S41" s="1097">
        <v>40528249.733430281</v>
      </c>
      <c r="T41" s="1097">
        <v>38596704.875458829</v>
      </c>
      <c r="U41" s="1097">
        <v>36662561.483175509</v>
      </c>
      <c r="V41" s="1097">
        <v>34725931.975559682</v>
      </c>
      <c r="W41" s="1097">
        <v>32786078.617778838</v>
      </c>
      <c r="X41" s="1097">
        <v>30843822.766678944</v>
      </c>
      <c r="Y41" s="1097">
        <v>28899025.021683399</v>
      </c>
      <c r="Z41" s="1097">
        <v>26949306.550766274</v>
      </c>
      <c r="AA41" s="1097">
        <v>24997169.508434471</v>
      </c>
      <c r="AB41" s="1098">
        <v>24997169.508434471</v>
      </c>
      <c r="AD41" s="1097">
        <v>44906290.975453027</v>
      </c>
      <c r="AE41" s="1097">
        <v>41624479.450840116</v>
      </c>
      <c r="AF41" s="1097">
        <v>39375560.595850617</v>
      </c>
      <c r="AG41" s="1097">
        <v>37124089.85213279</v>
      </c>
      <c r="AH41" s="1097">
        <v>34870066.661055535</v>
      </c>
      <c r="AI41" s="1097">
        <v>32613292.517512981</v>
      </c>
      <c r="AJ41" s="1097">
        <v>30353874.76173608</v>
      </c>
      <c r="AK41" s="1097">
        <v>28091055.915572185</v>
      </c>
      <c r="AL41" s="1097">
        <v>25825681.914236337</v>
      </c>
      <c r="AM41" s="1097">
        <v>23557612.180232551</v>
      </c>
      <c r="AN41" s="1097">
        <v>21284395.49122037</v>
      </c>
      <c r="AO41" s="1097">
        <v>19008607.302442513</v>
      </c>
      <c r="AP41" s="1098">
        <v>19008607.302442513</v>
      </c>
    </row>
    <row r="42" spans="1:42" ht="15.75" thickTop="1">
      <c r="B42" s="1108" t="s">
        <v>1673</v>
      </c>
      <c r="C42" s="1108" t="s">
        <v>1673</v>
      </c>
      <c r="D42" s="1108" t="s">
        <v>1673</v>
      </c>
      <c r="E42" s="1108" t="s">
        <v>1673</v>
      </c>
      <c r="F42" s="1108" t="s">
        <v>1673</v>
      </c>
      <c r="G42" s="1109" t="s">
        <v>1673</v>
      </c>
      <c r="H42" s="1109" t="s">
        <v>1673</v>
      </c>
      <c r="I42" s="1109" t="s">
        <v>1673</v>
      </c>
      <c r="J42" s="1109" t="s">
        <v>1673</v>
      </c>
      <c r="K42" s="1109" t="s">
        <v>1673</v>
      </c>
      <c r="L42" s="1109" t="s">
        <v>1673</v>
      </c>
      <c r="M42" s="1109" t="s">
        <v>1673</v>
      </c>
      <c r="N42" s="1110" t="s">
        <v>1673</v>
      </c>
      <c r="P42" s="1109" t="s">
        <v>1673</v>
      </c>
      <c r="Q42" s="1109" t="s">
        <v>1673</v>
      </c>
      <c r="R42" s="1109" t="s">
        <v>1673</v>
      </c>
      <c r="S42" s="1109" t="s">
        <v>1673</v>
      </c>
      <c r="T42" s="1109" t="s">
        <v>1673</v>
      </c>
      <c r="U42" s="1109" t="s">
        <v>1673</v>
      </c>
      <c r="V42" s="1109" t="s">
        <v>1673</v>
      </c>
      <c r="W42" s="1109" t="s">
        <v>1673</v>
      </c>
      <c r="X42" s="1109" t="s">
        <v>1673</v>
      </c>
      <c r="Y42" s="1109" t="s">
        <v>1673</v>
      </c>
      <c r="Z42" s="1109" t="s">
        <v>1673</v>
      </c>
      <c r="AA42" s="1109" t="s">
        <v>1673</v>
      </c>
      <c r="AB42" s="1110" t="s">
        <v>1673</v>
      </c>
      <c r="AD42" s="1109" t="s">
        <v>1673</v>
      </c>
      <c r="AE42" s="1109" t="s">
        <v>1673</v>
      </c>
      <c r="AF42" s="1109" t="s">
        <v>1673</v>
      </c>
      <c r="AG42" s="1109" t="s">
        <v>1673</v>
      </c>
      <c r="AH42" s="1109" t="s">
        <v>1673</v>
      </c>
      <c r="AI42" s="1109" t="s">
        <v>1673</v>
      </c>
      <c r="AJ42" s="1109" t="s">
        <v>1673</v>
      </c>
      <c r="AK42" s="1109" t="s">
        <v>1673</v>
      </c>
      <c r="AL42" s="1109" t="s">
        <v>1673</v>
      </c>
      <c r="AM42" s="1109" t="s">
        <v>1673</v>
      </c>
      <c r="AN42" s="1109" t="s">
        <v>1673</v>
      </c>
      <c r="AO42" s="1109" t="s">
        <v>1673</v>
      </c>
      <c r="AP42" s="1110" t="s">
        <v>1673</v>
      </c>
    </row>
    <row r="43" spans="1:42">
      <c r="B43" s="1080"/>
      <c r="C43" s="1111"/>
      <c r="G43" s="1081"/>
      <c r="H43" s="1081"/>
      <c r="I43" s="1081"/>
      <c r="J43" s="1081"/>
      <c r="K43" s="1081"/>
      <c r="L43" s="1081"/>
      <c r="M43" s="1081"/>
      <c r="N43" s="1082"/>
      <c r="P43" s="1081"/>
      <c r="Q43" s="1081"/>
      <c r="R43" s="1081"/>
      <c r="S43" s="1081"/>
      <c r="T43" s="1081"/>
      <c r="U43" s="1081"/>
      <c r="V43" s="1081"/>
      <c r="W43" s="1081"/>
      <c r="X43" s="1081"/>
      <c r="Y43" s="1081"/>
      <c r="Z43" s="1081"/>
      <c r="AA43" s="1081"/>
      <c r="AB43" s="1082"/>
      <c r="AD43" s="1081"/>
      <c r="AE43" s="1081"/>
      <c r="AF43" s="1081"/>
      <c r="AG43" s="1081"/>
      <c r="AH43" s="1081"/>
      <c r="AI43" s="1081"/>
      <c r="AJ43" s="1081"/>
      <c r="AK43" s="1081"/>
      <c r="AL43" s="1081"/>
      <c r="AM43" s="1081"/>
      <c r="AN43" s="1081"/>
      <c r="AO43" s="1081"/>
      <c r="AP43" s="1082"/>
    </row>
    <row r="44" spans="1:42">
      <c r="A44" s="1078" t="s">
        <v>1674</v>
      </c>
      <c r="B44" s="1080"/>
      <c r="C44" s="1080"/>
      <c r="G44" s="1081"/>
      <c r="H44" s="1081"/>
      <c r="I44" s="1081"/>
      <c r="J44" s="1081"/>
      <c r="K44" s="1081"/>
      <c r="L44" s="1081"/>
      <c r="M44" s="1081"/>
      <c r="N44" s="1082"/>
      <c r="P44" s="1081"/>
      <c r="Q44" s="1081"/>
      <c r="R44" s="1081"/>
      <c r="S44" s="1081"/>
      <c r="T44" s="1081"/>
      <c r="U44" s="1081"/>
      <c r="V44" s="1081"/>
      <c r="W44" s="1081"/>
      <c r="X44" s="1081"/>
      <c r="Y44" s="1081"/>
      <c r="Z44" s="1081"/>
      <c r="AA44" s="1081"/>
      <c r="AB44" s="1082"/>
      <c r="AD44" s="1081"/>
      <c r="AE44" s="1081"/>
      <c r="AF44" s="1081"/>
      <c r="AG44" s="1081"/>
      <c r="AH44" s="1081"/>
      <c r="AI44" s="1081"/>
      <c r="AJ44" s="1081"/>
      <c r="AK44" s="1081"/>
      <c r="AL44" s="1081"/>
      <c r="AM44" s="1081"/>
      <c r="AN44" s="1081"/>
      <c r="AO44" s="1081"/>
      <c r="AP44" s="1082"/>
    </row>
    <row r="45" spans="1:42">
      <c r="A45" s="1079" t="s">
        <v>1675</v>
      </c>
      <c r="B45" s="1080"/>
      <c r="C45" s="1080"/>
      <c r="G45" s="1081"/>
      <c r="H45" s="1081"/>
      <c r="I45" s="1081"/>
      <c r="J45" s="1081"/>
      <c r="K45" s="1081"/>
      <c r="L45" s="1081"/>
      <c r="M45" s="1081"/>
      <c r="N45" s="1082"/>
      <c r="P45" s="1081"/>
      <c r="Q45" s="1081"/>
      <c r="R45" s="1081"/>
      <c r="S45" s="1081"/>
      <c r="T45" s="1081"/>
      <c r="U45" s="1081"/>
      <c r="V45" s="1081"/>
      <c r="W45" s="1081"/>
      <c r="X45" s="1081"/>
      <c r="Y45" s="1081"/>
      <c r="Z45" s="1081"/>
      <c r="AA45" s="1081"/>
      <c r="AB45" s="1082"/>
      <c r="AD45" s="1081"/>
      <c r="AE45" s="1081"/>
      <c r="AF45" s="1081"/>
      <c r="AG45" s="1081"/>
      <c r="AH45" s="1081"/>
      <c r="AI45" s="1081"/>
      <c r="AJ45" s="1081"/>
      <c r="AK45" s="1081"/>
      <c r="AL45" s="1081"/>
      <c r="AM45" s="1081"/>
      <c r="AN45" s="1081"/>
      <c r="AO45" s="1081"/>
      <c r="AP45" s="1082"/>
    </row>
    <row r="46" spans="1:42">
      <c r="A46" s="1073" t="s">
        <v>1633</v>
      </c>
      <c r="B46" s="1083">
        <v>-1424081</v>
      </c>
      <c r="C46" s="1083">
        <v>-1332621</v>
      </c>
      <c r="D46" s="1083">
        <v>-1655184</v>
      </c>
      <c r="E46" s="1083">
        <v>-1773110</v>
      </c>
      <c r="F46" s="1083">
        <v>-1683218</v>
      </c>
      <c r="G46" s="1084">
        <v>-1688659.8785441953</v>
      </c>
      <c r="H46" s="1084">
        <v>-1737392.605027141</v>
      </c>
      <c r="I46" s="1084">
        <v>-1757978.7727435129</v>
      </c>
      <c r="J46" s="1084">
        <v>-1765491.9481970558</v>
      </c>
      <c r="K46" s="1084">
        <v>-1813929.3469938932</v>
      </c>
      <c r="L46" s="1084">
        <v>-1824788.4452387346</v>
      </c>
      <c r="M46" s="1084">
        <v>-1812858.2744120515</v>
      </c>
      <c r="N46" s="1085">
        <v>-20269313.271156583</v>
      </c>
      <c r="P46" s="1084">
        <v>-2005580.4417736069</v>
      </c>
      <c r="Q46" s="1084">
        <v>-2008439.555531929</v>
      </c>
      <c r="R46" s="1084">
        <v>-2010838.6962680258</v>
      </c>
      <c r="S46" s="1084">
        <v>-2013238.3192230077</v>
      </c>
      <c r="T46" s="1084">
        <v>-2015638.4246381046</v>
      </c>
      <c r="U46" s="1084">
        <v>-2018306.9589499868</v>
      </c>
      <c r="V46" s="1084">
        <v>-2020723.0742824983</v>
      </c>
      <c r="W46" s="1084">
        <v>-2023125.0839475</v>
      </c>
      <c r="X46" s="1084">
        <v>-2025527.5772665686</v>
      </c>
      <c r="Y46" s="1084">
        <v>-2028139.4711622144</v>
      </c>
      <c r="Z46" s="1084">
        <v>-2030544.1633837842</v>
      </c>
      <c r="AA46" s="1084">
        <v>-2032962.7347984686</v>
      </c>
      <c r="AB46" s="1085">
        <v>-24233064.501225699</v>
      </c>
      <c r="AD46" s="1084">
        <v>-2336735.6394422827</v>
      </c>
      <c r="AE46" s="1084">
        <v>-2339804.1337462557</v>
      </c>
      <c r="AF46" s="1084">
        <v>-2342355.4641228239</v>
      </c>
      <c r="AG46" s="1084">
        <v>-2344907.3528511645</v>
      </c>
      <c r="AH46" s="1084">
        <v>-2347459.8002105919</v>
      </c>
      <c r="AI46" s="1084">
        <v>-2350280.7526758816</v>
      </c>
      <c r="AJ46" s="1084">
        <v>-2352854.3649102515</v>
      </c>
      <c r="AK46" s="1084">
        <v>-2355408.9600972226</v>
      </c>
      <c r="AL46" s="1084">
        <v>-2357964.1152691869</v>
      </c>
      <c r="AM46" s="1084">
        <v>-2360729.847937115</v>
      </c>
      <c r="AN46" s="1084">
        <v>-2363287.39204551</v>
      </c>
      <c r="AO46" s="1084">
        <v>-2365858.8918111953</v>
      </c>
      <c r="AP46" s="1085">
        <v>-28217646.715119481</v>
      </c>
    </row>
    <row r="47" spans="1:42">
      <c r="A47" s="1112" t="s">
        <v>1676</v>
      </c>
      <c r="B47" s="1086"/>
      <c r="C47" s="1086"/>
      <c r="D47" s="1086"/>
      <c r="E47" s="1086"/>
      <c r="F47" s="1086"/>
      <c r="G47" s="1087"/>
      <c r="H47" s="1087"/>
      <c r="I47" s="1087"/>
      <c r="J47" s="1087"/>
      <c r="K47" s="1087"/>
      <c r="L47" s="1087"/>
      <c r="M47" s="1087"/>
      <c r="N47" s="1088"/>
      <c r="P47" s="1087"/>
      <c r="Q47" s="1087"/>
      <c r="R47" s="1087"/>
      <c r="S47" s="1087"/>
      <c r="T47" s="1087"/>
      <c r="U47" s="1087"/>
      <c r="V47" s="1087"/>
      <c r="W47" s="1087"/>
      <c r="X47" s="1087"/>
      <c r="Y47" s="1087"/>
      <c r="Z47" s="1087"/>
      <c r="AA47" s="1087"/>
      <c r="AB47" s="1088">
        <v>0</v>
      </c>
      <c r="AD47" s="1087"/>
      <c r="AE47" s="1087"/>
      <c r="AF47" s="1087"/>
      <c r="AG47" s="1087"/>
      <c r="AH47" s="1087"/>
      <c r="AI47" s="1087"/>
      <c r="AJ47" s="1087"/>
      <c r="AK47" s="1087"/>
      <c r="AL47" s="1087"/>
      <c r="AM47" s="1087"/>
      <c r="AN47" s="1087"/>
      <c r="AO47" s="1087"/>
      <c r="AP47" s="1088">
        <v>0</v>
      </c>
    </row>
    <row r="48" spans="1:42">
      <c r="A48" s="1113" t="s">
        <v>164</v>
      </c>
      <c r="B48" s="1086">
        <v>48289</v>
      </c>
      <c r="C48" s="1086">
        <v>45652</v>
      </c>
      <c r="D48" s="1086">
        <v>48151</v>
      </c>
      <c r="E48" s="1086">
        <v>48240</v>
      </c>
      <c r="F48" s="1086">
        <v>48617</v>
      </c>
      <c r="G48" s="1087">
        <v>55456.944444444445</v>
      </c>
      <c r="H48" s="1087">
        <v>57856.25</v>
      </c>
      <c r="I48" s="1087">
        <v>58366.666666666672</v>
      </c>
      <c r="J48" s="1087">
        <v>58682.638888888891</v>
      </c>
      <c r="K48" s="1087">
        <v>58998.611111111109</v>
      </c>
      <c r="L48" s="1087">
        <v>59314.583333333336</v>
      </c>
      <c r="M48" s="1087">
        <v>59630.555555555562</v>
      </c>
      <c r="N48" s="1088">
        <v>647255.25</v>
      </c>
      <c r="P48" s="1087">
        <v>61065.740740740737</v>
      </c>
      <c r="Q48" s="1087">
        <v>62500.925925925927</v>
      </c>
      <c r="R48" s="1087">
        <v>63936.111111111109</v>
      </c>
      <c r="S48" s="1087">
        <v>65371.296296296292</v>
      </c>
      <c r="T48" s="1087">
        <v>66806.481481481474</v>
      </c>
      <c r="U48" s="1087">
        <v>68436.111111111109</v>
      </c>
      <c r="V48" s="1087">
        <v>69871.296296296292</v>
      </c>
      <c r="W48" s="1087">
        <v>71306.481481481474</v>
      </c>
      <c r="X48" s="1087">
        <v>72741.666666666672</v>
      </c>
      <c r="Y48" s="1087">
        <v>74371.296296296292</v>
      </c>
      <c r="Z48" s="1087">
        <v>75806.481481481489</v>
      </c>
      <c r="AA48" s="1087">
        <v>77241.666666666672</v>
      </c>
      <c r="AB48" s="1088">
        <v>829455.55555555539</v>
      </c>
      <c r="AD48" s="1087">
        <v>78676.851851851854</v>
      </c>
      <c r="AE48" s="1087">
        <v>80112.037037037036</v>
      </c>
      <c r="AF48" s="1087">
        <v>81547.222222222234</v>
      </c>
      <c r="AG48" s="1087">
        <v>82982.407407407416</v>
      </c>
      <c r="AH48" s="1087">
        <v>84417.592592592599</v>
      </c>
      <c r="AI48" s="1087">
        <v>86047.222222222219</v>
      </c>
      <c r="AJ48" s="1087">
        <v>87482.407407407416</v>
      </c>
      <c r="AK48" s="1087">
        <v>88917.592592592599</v>
      </c>
      <c r="AL48" s="1087">
        <v>90352.777777777781</v>
      </c>
      <c r="AM48" s="1087">
        <v>91982.407407407416</v>
      </c>
      <c r="AN48" s="1087">
        <v>93417.592592592599</v>
      </c>
      <c r="AO48" s="1087">
        <v>94852.777777777781</v>
      </c>
      <c r="AP48" s="1088">
        <v>1040788.8888888889</v>
      </c>
    </row>
    <row r="49" spans="1:42">
      <c r="A49" s="1114" t="s">
        <v>1677</v>
      </c>
      <c r="B49" s="1086">
        <v>-524618</v>
      </c>
      <c r="C49" s="1086">
        <v>-80351</v>
      </c>
      <c r="D49" s="1086">
        <v>-399297</v>
      </c>
      <c r="E49" s="1086">
        <v>547834</v>
      </c>
      <c r="F49" s="1086">
        <v>-13547</v>
      </c>
      <c r="G49" s="1087">
        <v>-267403.05030266673</v>
      </c>
      <c r="H49" s="1087">
        <v>88599.582013333333</v>
      </c>
      <c r="I49" s="1087">
        <v>103486.98333333351</v>
      </c>
      <c r="J49" s="1087">
        <v>98779.82333333313</v>
      </c>
      <c r="K49" s="1087">
        <v>93498.931319573545</v>
      </c>
      <c r="L49" s="1087">
        <v>99973.583333333372</v>
      </c>
      <c r="M49" s="1087">
        <v>66265.583333333139</v>
      </c>
      <c r="N49" s="1088">
        <v>-186777.5636364267</v>
      </c>
      <c r="P49" s="1087">
        <v>149193.1512198603</v>
      </c>
      <c r="Q49" s="1087">
        <v>-814208.4166666664</v>
      </c>
      <c r="R49" s="1087">
        <v>106701.58333333314</v>
      </c>
      <c r="S49" s="1087">
        <v>106701.58333333337</v>
      </c>
      <c r="T49" s="1087">
        <v>106701.58333333337</v>
      </c>
      <c r="U49" s="1087">
        <v>-33228.416666666861</v>
      </c>
      <c r="V49" s="1087">
        <v>76701.583333333139</v>
      </c>
      <c r="W49" s="1087">
        <v>106701.58333333337</v>
      </c>
      <c r="X49" s="1087">
        <v>106701.58333333337</v>
      </c>
      <c r="Y49" s="1087">
        <v>84771.583333333372</v>
      </c>
      <c r="Z49" s="1087">
        <v>106701.58333333337</v>
      </c>
      <c r="AA49" s="1087">
        <v>79926.583333333139</v>
      </c>
      <c r="AB49" s="1088">
        <v>183365.5678865267</v>
      </c>
      <c r="AD49" s="1087">
        <v>191916.33066083631</v>
      </c>
      <c r="AE49" s="1087">
        <v>-915948.16666666651</v>
      </c>
      <c r="AF49" s="1087">
        <v>119495.83333333326</v>
      </c>
      <c r="AG49" s="1087">
        <v>119495.83333333349</v>
      </c>
      <c r="AH49" s="1087">
        <v>119495.83333333326</v>
      </c>
      <c r="AI49" s="1087">
        <v>-20434.166666666511</v>
      </c>
      <c r="AJ49" s="1087">
        <v>79495.833333333489</v>
      </c>
      <c r="AK49" s="1087">
        <v>119495.83333333349</v>
      </c>
      <c r="AL49" s="1087">
        <v>119495.83333333349</v>
      </c>
      <c r="AM49" s="1087">
        <v>95365.833333333489</v>
      </c>
      <c r="AN49" s="1087">
        <v>119495.83333333349</v>
      </c>
      <c r="AO49" s="1087">
        <v>92720.833333333023</v>
      </c>
      <c r="AP49" s="1088">
        <v>240091.49732750375</v>
      </c>
    </row>
    <row r="50" spans="1:42">
      <c r="A50" s="1113" t="s">
        <v>1678</v>
      </c>
      <c r="B50" s="1086">
        <v>463</v>
      </c>
      <c r="C50" s="1086">
        <v>462</v>
      </c>
      <c r="D50" s="1086">
        <v>463</v>
      </c>
      <c r="E50" s="1086">
        <v>462</v>
      </c>
      <c r="F50" s="1086">
        <v>463</v>
      </c>
      <c r="G50" s="1087">
        <v>462.58490000001621</v>
      </c>
      <c r="H50" s="1087">
        <v>462.58490000001621</v>
      </c>
      <c r="I50" s="1087">
        <v>-335.30999999999767</v>
      </c>
      <c r="J50" s="1087">
        <v>-335.30999999999767</v>
      </c>
      <c r="K50" s="1087">
        <v>-335.30999999999767</v>
      </c>
      <c r="L50" s="1087">
        <v>-2710.1000000000058</v>
      </c>
      <c r="M50" s="1087">
        <v>-2710.1000000000058</v>
      </c>
      <c r="N50" s="1088">
        <v>-3187.9601999999722</v>
      </c>
      <c r="P50" s="1087">
        <v>-2710.1000000000058</v>
      </c>
      <c r="Q50" s="1087">
        <v>-2710.1000000000058</v>
      </c>
      <c r="R50" s="1087">
        <v>-2710.1000000000058</v>
      </c>
      <c r="S50" s="1087">
        <v>-2710.1000000000058</v>
      </c>
      <c r="T50" s="1087">
        <v>-2710.1000000000058</v>
      </c>
      <c r="U50" s="1087">
        <v>-2710.1000000000058</v>
      </c>
      <c r="V50" s="1087">
        <v>-2710.1000000000058</v>
      </c>
      <c r="W50" s="1087">
        <v>-3531.9405000000261</v>
      </c>
      <c r="X50" s="1087">
        <v>-3531.9405000000261</v>
      </c>
      <c r="Y50" s="1087">
        <v>-3531.9405000000261</v>
      </c>
      <c r="Z50" s="1087">
        <v>-5977.9741999999969</v>
      </c>
      <c r="AA50" s="1087">
        <v>-5977.9741999999969</v>
      </c>
      <c r="AB50" s="1088">
        <v>-41522.469900000113</v>
      </c>
      <c r="AD50" s="1087">
        <v>-5977.9741999999969</v>
      </c>
      <c r="AE50" s="1087">
        <v>-5977.9741999999969</v>
      </c>
      <c r="AF50" s="1087">
        <v>-5977.9741999999969</v>
      </c>
      <c r="AG50" s="1087">
        <v>-5977.9741999999969</v>
      </c>
      <c r="AH50" s="1087">
        <v>-5977.9741999999969</v>
      </c>
      <c r="AI50" s="1087">
        <v>-5977.9741999999969</v>
      </c>
      <c r="AJ50" s="1087">
        <v>-5977.9741999999969</v>
      </c>
      <c r="AK50" s="1087">
        <v>-6824.4693999999872</v>
      </c>
      <c r="AL50" s="1087">
        <v>-6824.4693999999872</v>
      </c>
      <c r="AM50" s="1087">
        <v>-6824.4693999999872</v>
      </c>
      <c r="AN50" s="1087">
        <v>-9343.8802999999898</v>
      </c>
      <c r="AO50" s="1087">
        <v>-9343.8802999999898</v>
      </c>
      <c r="AP50" s="1088">
        <v>-81006.98819999992</v>
      </c>
    </row>
    <row r="51" spans="1:42">
      <c r="A51" s="1115" t="s">
        <v>1679</v>
      </c>
      <c r="B51" s="1105">
        <v>-1899947</v>
      </c>
      <c r="C51" s="1105">
        <v>-1366858</v>
      </c>
      <c r="D51" s="1105">
        <v>-2005867</v>
      </c>
      <c r="E51" s="1105">
        <v>-1176574</v>
      </c>
      <c r="F51" s="1105">
        <v>-1647685</v>
      </c>
      <c r="G51" s="1106">
        <v>-1900143.3995024175</v>
      </c>
      <c r="H51" s="1106">
        <v>-1590474.1881138077</v>
      </c>
      <c r="I51" s="1106">
        <v>-1596460.4327435126</v>
      </c>
      <c r="J51" s="1106">
        <v>-1608364.7959748339</v>
      </c>
      <c r="K51" s="1106">
        <v>-1661767.1145632085</v>
      </c>
      <c r="L51" s="1106">
        <v>-1668210.3785720682</v>
      </c>
      <c r="M51" s="1106">
        <v>-1689672.2355231629</v>
      </c>
      <c r="N51" s="1107">
        <v>-19812023.544993009</v>
      </c>
      <c r="P51" s="1106">
        <v>-1798031.6498130062</v>
      </c>
      <c r="Q51" s="1106">
        <v>-2762857.1462726695</v>
      </c>
      <c r="R51" s="1106">
        <v>-1842911.1018235818</v>
      </c>
      <c r="S51" s="1106">
        <v>-1843875.5395933781</v>
      </c>
      <c r="T51" s="1106">
        <v>-1844840.4598232899</v>
      </c>
      <c r="U51" s="1106">
        <v>-1985809.3645055429</v>
      </c>
      <c r="V51" s="1106">
        <v>-1876860.294652869</v>
      </c>
      <c r="W51" s="1106">
        <v>-1848648.9596326849</v>
      </c>
      <c r="X51" s="1106">
        <v>-1849616.2677665683</v>
      </c>
      <c r="Y51" s="1106">
        <v>-1872528.5320325848</v>
      </c>
      <c r="Z51" s="1106">
        <v>-1854014.0727689695</v>
      </c>
      <c r="AA51" s="1106">
        <v>-1881772.4589984687</v>
      </c>
      <c r="AB51" s="1107">
        <v>-23261765.847683616</v>
      </c>
      <c r="AD51" s="1106">
        <v>-2072120.4311295948</v>
      </c>
      <c r="AE51" s="1106">
        <v>-3181618.2375758854</v>
      </c>
      <c r="AF51" s="1106">
        <v>-2147290.3827672685</v>
      </c>
      <c r="AG51" s="1106">
        <v>-2148407.0863104234</v>
      </c>
      <c r="AH51" s="1106">
        <v>-2149524.3484846661</v>
      </c>
      <c r="AI51" s="1106">
        <v>-2290645.6713203262</v>
      </c>
      <c r="AJ51" s="1106">
        <v>-2191854.0983695104</v>
      </c>
      <c r="AK51" s="1106">
        <v>-2153820.0035712961</v>
      </c>
      <c r="AL51" s="1106">
        <v>-2154939.9735580753</v>
      </c>
      <c r="AM51" s="1106">
        <v>-2180206.0765963742</v>
      </c>
      <c r="AN51" s="1106">
        <v>-2159717.8464195835</v>
      </c>
      <c r="AO51" s="1106">
        <v>-2187629.1610000841</v>
      </c>
      <c r="AP51" s="1107">
        <v>-27017773.317103092</v>
      </c>
    </row>
    <row r="52" spans="1:42">
      <c r="B52" s="1080"/>
      <c r="C52" s="1080"/>
      <c r="G52" s="1081"/>
      <c r="H52" s="1081"/>
      <c r="I52" s="1081"/>
      <c r="J52" s="1081"/>
      <c r="K52" s="1081"/>
      <c r="L52" s="1081"/>
      <c r="M52" s="1081"/>
      <c r="N52" s="1082"/>
      <c r="P52" s="1081"/>
      <c r="Q52" s="1081"/>
      <c r="R52" s="1081"/>
      <c r="S52" s="1081"/>
      <c r="T52" s="1081"/>
      <c r="U52" s="1081"/>
      <c r="V52" s="1081"/>
      <c r="W52" s="1081"/>
      <c r="X52" s="1081"/>
      <c r="Y52" s="1081"/>
      <c r="Z52" s="1081"/>
      <c r="AA52" s="1081"/>
      <c r="AB52" s="1082"/>
      <c r="AD52" s="1081"/>
      <c r="AE52" s="1081"/>
      <c r="AF52" s="1081"/>
      <c r="AG52" s="1081"/>
      <c r="AH52" s="1081"/>
      <c r="AI52" s="1081"/>
      <c r="AJ52" s="1081"/>
      <c r="AK52" s="1081"/>
      <c r="AL52" s="1081"/>
      <c r="AM52" s="1081"/>
      <c r="AN52" s="1081"/>
      <c r="AO52" s="1081"/>
      <c r="AP52" s="1082"/>
    </row>
    <row r="53" spans="1:42">
      <c r="A53" s="1115" t="s">
        <v>1680</v>
      </c>
      <c r="B53" s="1080"/>
      <c r="C53" s="1080"/>
      <c r="G53" s="1081"/>
      <c r="H53" s="1081"/>
      <c r="I53" s="1081"/>
      <c r="J53" s="1081"/>
      <c r="K53" s="1081"/>
      <c r="L53" s="1081"/>
      <c r="M53" s="1081"/>
      <c r="N53" s="1082"/>
      <c r="P53" s="1081"/>
      <c r="Q53" s="1081"/>
      <c r="R53" s="1081"/>
      <c r="S53" s="1081"/>
      <c r="T53" s="1081"/>
      <c r="U53" s="1081"/>
      <c r="V53" s="1081"/>
      <c r="W53" s="1081"/>
      <c r="X53" s="1081"/>
      <c r="Y53" s="1081"/>
      <c r="Z53" s="1081"/>
      <c r="AA53" s="1081"/>
      <c r="AB53" s="1082"/>
      <c r="AD53" s="1081"/>
      <c r="AE53" s="1081"/>
      <c r="AF53" s="1081"/>
      <c r="AG53" s="1081"/>
      <c r="AH53" s="1081"/>
      <c r="AI53" s="1081"/>
      <c r="AJ53" s="1081"/>
      <c r="AK53" s="1081"/>
      <c r="AL53" s="1081"/>
      <c r="AM53" s="1081"/>
      <c r="AN53" s="1081"/>
      <c r="AO53" s="1081"/>
      <c r="AP53" s="1082"/>
    </row>
    <row r="54" spans="1:42">
      <c r="A54" s="1073" t="s">
        <v>1681</v>
      </c>
      <c r="B54" s="1086">
        <v>-10181</v>
      </c>
      <c r="C54" s="1086">
        <v>-6716</v>
      </c>
      <c r="D54" s="1086">
        <v>0</v>
      </c>
      <c r="E54" s="1086">
        <v>-9079</v>
      </c>
      <c r="F54" s="1086">
        <v>-18901</v>
      </c>
      <c r="G54" s="1087">
        <v>-18041.666666666668</v>
      </c>
      <c r="H54" s="1087">
        <v>-143041.66666666669</v>
      </c>
      <c r="I54" s="1087">
        <v>-25041.666666666672</v>
      </c>
      <c r="J54" s="1087">
        <v>-18041.666666666668</v>
      </c>
      <c r="K54" s="1087">
        <v>-18041.666666666668</v>
      </c>
      <c r="L54" s="1087">
        <v>-18041.666666666668</v>
      </c>
      <c r="M54" s="1087">
        <v>-18041.666666666668</v>
      </c>
      <c r="N54" s="1088">
        <v>-303168.66666666674</v>
      </c>
      <c r="P54" s="1087">
        <v>-85000</v>
      </c>
      <c r="Q54" s="1087">
        <v>-85000</v>
      </c>
      <c r="R54" s="1087">
        <v>-85000</v>
      </c>
      <c r="S54" s="1087">
        <v>-85000</v>
      </c>
      <c r="T54" s="1087">
        <v>-85000</v>
      </c>
      <c r="U54" s="1087">
        <v>-92000</v>
      </c>
      <c r="V54" s="1087">
        <v>-85000</v>
      </c>
      <c r="W54" s="1087">
        <v>-85000</v>
      </c>
      <c r="X54" s="1087">
        <v>-85000</v>
      </c>
      <c r="Y54" s="1087">
        <v>-92000</v>
      </c>
      <c r="Z54" s="1087">
        <v>-85000</v>
      </c>
      <c r="AA54" s="1087">
        <v>-85000</v>
      </c>
      <c r="AB54" s="1088">
        <v>-1034000</v>
      </c>
      <c r="AD54" s="1087">
        <v>-85000</v>
      </c>
      <c r="AE54" s="1087">
        <v>-85000</v>
      </c>
      <c r="AF54" s="1087">
        <v>-85000</v>
      </c>
      <c r="AG54" s="1087">
        <v>-85000</v>
      </c>
      <c r="AH54" s="1087">
        <v>-85000</v>
      </c>
      <c r="AI54" s="1087">
        <v>-92000</v>
      </c>
      <c r="AJ54" s="1087">
        <v>-85000</v>
      </c>
      <c r="AK54" s="1087">
        <v>-85000</v>
      </c>
      <c r="AL54" s="1087">
        <v>-85000</v>
      </c>
      <c r="AM54" s="1087">
        <v>-92000</v>
      </c>
      <c r="AN54" s="1087">
        <v>-85000</v>
      </c>
      <c r="AO54" s="1087">
        <v>-85000</v>
      </c>
      <c r="AP54" s="1088">
        <v>-1034000</v>
      </c>
    </row>
    <row r="55" spans="1:42">
      <c r="A55" s="1079" t="s">
        <v>1682</v>
      </c>
      <c r="B55" s="1105">
        <v>-10181</v>
      </c>
      <c r="C55" s="1105">
        <v>-6716</v>
      </c>
      <c r="D55" s="1105">
        <v>0</v>
      </c>
      <c r="E55" s="1105">
        <v>-9079</v>
      </c>
      <c r="F55" s="1105">
        <v>-18901</v>
      </c>
      <c r="G55" s="1106">
        <v>-18041.666666666668</v>
      </c>
      <c r="H55" s="1106">
        <v>-143041.66666666669</v>
      </c>
      <c r="I55" s="1106">
        <v>-25041.666666666672</v>
      </c>
      <c r="J55" s="1106">
        <v>-18041.666666666668</v>
      </c>
      <c r="K55" s="1106">
        <v>-18041.666666666668</v>
      </c>
      <c r="L55" s="1106">
        <v>-18041.666666666668</v>
      </c>
      <c r="M55" s="1106">
        <v>-18041.666666666668</v>
      </c>
      <c r="N55" s="1107">
        <v>-303168.66666666674</v>
      </c>
      <c r="P55" s="1106">
        <v>-85000</v>
      </c>
      <c r="Q55" s="1106">
        <v>-85000</v>
      </c>
      <c r="R55" s="1106">
        <v>-85000</v>
      </c>
      <c r="S55" s="1106">
        <v>-85000</v>
      </c>
      <c r="T55" s="1106">
        <v>-85000</v>
      </c>
      <c r="U55" s="1106">
        <v>-92000</v>
      </c>
      <c r="V55" s="1106">
        <v>-85000</v>
      </c>
      <c r="W55" s="1106">
        <v>-85000</v>
      </c>
      <c r="X55" s="1106">
        <v>-85000</v>
      </c>
      <c r="Y55" s="1106">
        <v>-92000</v>
      </c>
      <c r="Z55" s="1106">
        <v>-85000</v>
      </c>
      <c r="AA55" s="1106">
        <v>-85000</v>
      </c>
      <c r="AB55" s="1107">
        <v>-1034000</v>
      </c>
      <c r="AD55" s="1106">
        <v>-85000</v>
      </c>
      <c r="AE55" s="1106">
        <v>-85000</v>
      </c>
      <c r="AF55" s="1106">
        <v>-85000</v>
      </c>
      <c r="AG55" s="1106">
        <v>-85000</v>
      </c>
      <c r="AH55" s="1106">
        <v>-85000</v>
      </c>
      <c r="AI55" s="1106">
        <v>-92000</v>
      </c>
      <c r="AJ55" s="1106">
        <v>-85000</v>
      </c>
      <c r="AK55" s="1106">
        <v>-85000</v>
      </c>
      <c r="AL55" s="1106">
        <v>-85000</v>
      </c>
      <c r="AM55" s="1106">
        <v>-92000</v>
      </c>
      <c r="AN55" s="1106">
        <v>-85000</v>
      </c>
      <c r="AO55" s="1106">
        <v>-85000</v>
      </c>
      <c r="AP55" s="1107">
        <v>-1034000</v>
      </c>
    </row>
    <row r="56" spans="1:42">
      <c r="B56" s="1080"/>
      <c r="C56" s="1080"/>
      <c r="G56" s="1081"/>
      <c r="H56" s="1081"/>
      <c r="I56" s="1081"/>
      <c r="J56" s="1081"/>
      <c r="K56" s="1081"/>
      <c r="L56" s="1081"/>
      <c r="M56" s="1081"/>
      <c r="N56" s="1082"/>
      <c r="P56" s="1081"/>
      <c r="Q56" s="1081"/>
      <c r="R56" s="1081"/>
      <c r="S56" s="1081"/>
      <c r="T56" s="1081"/>
      <c r="U56" s="1081"/>
      <c r="V56" s="1081"/>
      <c r="W56" s="1081"/>
      <c r="X56" s="1081"/>
      <c r="Y56" s="1081"/>
      <c r="Z56" s="1081"/>
      <c r="AA56" s="1081"/>
      <c r="AB56" s="1082"/>
      <c r="AD56" s="1081"/>
      <c r="AE56" s="1081"/>
      <c r="AF56" s="1081"/>
      <c r="AG56" s="1081"/>
      <c r="AH56" s="1081"/>
      <c r="AI56" s="1081"/>
      <c r="AJ56" s="1081"/>
      <c r="AK56" s="1081"/>
      <c r="AL56" s="1081"/>
      <c r="AM56" s="1081"/>
      <c r="AN56" s="1081"/>
      <c r="AO56" s="1081"/>
      <c r="AP56" s="1082"/>
    </row>
    <row r="57" spans="1:42">
      <c r="A57" s="1079" t="s">
        <v>1683</v>
      </c>
      <c r="B57" s="1080"/>
      <c r="C57" s="1080"/>
      <c r="G57" s="1081"/>
      <c r="H57" s="1081"/>
      <c r="I57" s="1081"/>
      <c r="J57" s="1081"/>
      <c r="K57" s="1081"/>
      <c r="L57" s="1081"/>
      <c r="M57" s="1081"/>
      <c r="N57" s="1082"/>
      <c r="P57" s="1081"/>
      <c r="Q57" s="1081"/>
      <c r="R57" s="1081"/>
      <c r="S57" s="1081"/>
      <c r="T57" s="1081"/>
      <c r="U57" s="1081"/>
      <c r="V57" s="1081"/>
      <c r="W57" s="1081"/>
      <c r="X57" s="1081"/>
      <c r="Y57" s="1081"/>
      <c r="Z57" s="1081"/>
      <c r="AA57" s="1081"/>
      <c r="AB57" s="1082"/>
      <c r="AD57" s="1081"/>
      <c r="AE57" s="1081"/>
      <c r="AF57" s="1081"/>
      <c r="AG57" s="1081"/>
      <c r="AH57" s="1081"/>
      <c r="AI57" s="1081"/>
      <c r="AJ57" s="1081"/>
      <c r="AK57" s="1081"/>
      <c r="AL57" s="1081"/>
      <c r="AM57" s="1081"/>
      <c r="AN57" s="1081"/>
      <c r="AO57" s="1081"/>
      <c r="AP57" s="1082"/>
    </row>
    <row r="58" spans="1:42">
      <c r="A58" s="1073" t="s">
        <v>1684</v>
      </c>
      <c r="B58" s="1086">
        <v>22000420</v>
      </c>
      <c r="C58" s="1086">
        <v>0</v>
      </c>
      <c r="D58" s="1086">
        <v>10000</v>
      </c>
      <c r="E58" s="1086">
        <v>0</v>
      </c>
      <c r="F58" s="1086">
        <v>0</v>
      </c>
      <c r="G58" s="1087">
        <v>0</v>
      </c>
      <c r="H58" s="1087">
        <v>0</v>
      </c>
      <c r="I58" s="1087">
        <v>0</v>
      </c>
      <c r="J58" s="1087">
        <v>0</v>
      </c>
      <c r="K58" s="1087">
        <v>0</v>
      </c>
      <c r="L58" s="1087">
        <v>0</v>
      </c>
      <c r="M58" s="1087">
        <v>0</v>
      </c>
      <c r="N58" s="1088">
        <v>22010420</v>
      </c>
      <c r="P58" s="1087">
        <v>22040000</v>
      </c>
      <c r="Q58" s="1087">
        <v>0</v>
      </c>
      <c r="R58" s="1087">
        <v>0</v>
      </c>
      <c r="S58" s="1087">
        <v>0</v>
      </c>
      <c r="T58" s="1087">
        <v>0</v>
      </c>
      <c r="U58" s="1087">
        <v>0</v>
      </c>
      <c r="V58" s="1087">
        <v>0</v>
      </c>
      <c r="W58" s="1087">
        <v>0</v>
      </c>
      <c r="X58" s="1087">
        <v>0</v>
      </c>
      <c r="Y58" s="1087">
        <v>0</v>
      </c>
      <c r="Z58" s="1087">
        <v>0</v>
      </c>
      <c r="AA58" s="1087">
        <v>0</v>
      </c>
      <c r="AB58" s="1088">
        <v>22040000</v>
      </c>
      <c r="AD58" s="1087">
        <v>22040000</v>
      </c>
      <c r="AE58" s="1087">
        <v>0</v>
      </c>
      <c r="AF58" s="1087">
        <v>0</v>
      </c>
      <c r="AG58" s="1087">
        <v>0</v>
      </c>
      <c r="AH58" s="1087">
        <v>0</v>
      </c>
      <c r="AI58" s="1087">
        <v>0</v>
      </c>
      <c r="AJ58" s="1087">
        <v>0</v>
      </c>
      <c r="AK58" s="1087">
        <v>0</v>
      </c>
      <c r="AL58" s="1087">
        <v>0</v>
      </c>
      <c r="AM58" s="1087">
        <v>0</v>
      </c>
      <c r="AN58" s="1087">
        <v>0</v>
      </c>
      <c r="AO58" s="1087">
        <v>0</v>
      </c>
      <c r="AP58" s="1088">
        <v>22040000</v>
      </c>
    </row>
    <row r="59" spans="1:42">
      <c r="A59" s="1116" t="s">
        <v>1685</v>
      </c>
      <c r="B59" s="1086">
        <v>-2194</v>
      </c>
      <c r="C59" s="1086">
        <v>0</v>
      </c>
      <c r="D59" s="1086">
        <v>-8044</v>
      </c>
      <c r="E59" s="1086">
        <v>0</v>
      </c>
      <c r="F59" s="1086">
        <v>0</v>
      </c>
      <c r="G59" s="1087">
        <v>0</v>
      </c>
      <c r="H59" s="1087">
        <v>0</v>
      </c>
      <c r="I59" s="1087">
        <v>0</v>
      </c>
      <c r="J59" s="1087">
        <v>0</v>
      </c>
      <c r="K59" s="1087">
        <v>0</v>
      </c>
      <c r="L59" s="1087">
        <v>0</v>
      </c>
      <c r="M59" s="1087">
        <v>0</v>
      </c>
      <c r="N59" s="1088">
        <v>-10238</v>
      </c>
      <c r="P59" s="1087">
        <v>0</v>
      </c>
      <c r="Q59" s="1087">
        <v>0</v>
      </c>
      <c r="R59" s="1087">
        <v>0</v>
      </c>
      <c r="S59" s="1087">
        <v>0</v>
      </c>
      <c r="T59" s="1087">
        <v>0</v>
      </c>
      <c r="U59" s="1087">
        <v>0</v>
      </c>
      <c r="V59" s="1087">
        <v>0</v>
      </c>
      <c r="W59" s="1087">
        <v>0</v>
      </c>
      <c r="X59" s="1087">
        <v>0</v>
      </c>
      <c r="Y59" s="1087">
        <v>0</v>
      </c>
      <c r="Z59" s="1087">
        <v>0</v>
      </c>
      <c r="AA59" s="1087">
        <v>0</v>
      </c>
      <c r="AB59" s="1088">
        <v>0</v>
      </c>
      <c r="AD59" s="1087">
        <v>0</v>
      </c>
      <c r="AE59" s="1087">
        <v>0</v>
      </c>
      <c r="AF59" s="1087">
        <v>0</v>
      </c>
      <c r="AG59" s="1087">
        <v>0</v>
      </c>
      <c r="AH59" s="1087">
        <v>0</v>
      </c>
      <c r="AI59" s="1087">
        <v>0</v>
      </c>
      <c r="AJ59" s="1087">
        <v>0</v>
      </c>
      <c r="AK59" s="1087">
        <v>0</v>
      </c>
      <c r="AL59" s="1087">
        <v>0</v>
      </c>
      <c r="AM59" s="1087">
        <v>0</v>
      </c>
      <c r="AN59" s="1087">
        <v>0</v>
      </c>
      <c r="AO59" s="1087">
        <v>0</v>
      </c>
      <c r="AP59" s="1088">
        <v>0</v>
      </c>
    </row>
    <row r="60" spans="1:42">
      <c r="A60" s="1073" t="s">
        <v>1686</v>
      </c>
      <c r="B60" s="1086">
        <v>0</v>
      </c>
      <c r="C60" s="1086">
        <v>0</v>
      </c>
      <c r="D60" s="1086">
        <v>0</v>
      </c>
      <c r="E60" s="1086">
        <v>0</v>
      </c>
      <c r="F60" s="1086">
        <v>0</v>
      </c>
      <c r="G60" s="1087">
        <v>0</v>
      </c>
      <c r="H60" s="1087">
        <v>0</v>
      </c>
      <c r="I60" s="1087">
        <v>0</v>
      </c>
      <c r="J60" s="1087">
        <v>0</v>
      </c>
      <c r="K60" s="1087">
        <v>0</v>
      </c>
      <c r="L60" s="1087">
        <v>0</v>
      </c>
      <c r="M60" s="1087">
        <v>0</v>
      </c>
      <c r="N60" s="1088">
        <v>0</v>
      </c>
      <c r="P60" s="1087">
        <v>0</v>
      </c>
      <c r="Q60" s="1087">
        <v>0</v>
      </c>
      <c r="R60" s="1087">
        <v>0</v>
      </c>
      <c r="S60" s="1087">
        <v>0</v>
      </c>
      <c r="T60" s="1087">
        <v>0</v>
      </c>
      <c r="U60" s="1087">
        <v>0</v>
      </c>
      <c r="V60" s="1087">
        <v>0</v>
      </c>
      <c r="W60" s="1087">
        <v>0</v>
      </c>
      <c r="X60" s="1087">
        <v>0</v>
      </c>
      <c r="Y60" s="1087">
        <v>0</v>
      </c>
      <c r="Z60" s="1087">
        <v>0</v>
      </c>
      <c r="AA60" s="1087">
        <v>0</v>
      </c>
      <c r="AB60" s="1088">
        <v>0</v>
      </c>
      <c r="AD60" s="1087">
        <v>0</v>
      </c>
      <c r="AE60" s="1087">
        <v>0</v>
      </c>
      <c r="AF60" s="1087">
        <v>0</v>
      </c>
      <c r="AG60" s="1087">
        <v>0</v>
      </c>
      <c r="AH60" s="1087">
        <v>0</v>
      </c>
      <c r="AI60" s="1087">
        <v>0</v>
      </c>
      <c r="AJ60" s="1087">
        <v>0</v>
      </c>
      <c r="AK60" s="1087">
        <v>0</v>
      </c>
      <c r="AL60" s="1087">
        <v>0</v>
      </c>
      <c r="AM60" s="1087">
        <v>0</v>
      </c>
      <c r="AN60" s="1087">
        <v>0</v>
      </c>
      <c r="AO60" s="1087">
        <v>0</v>
      </c>
      <c r="AP60" s="1088">
        <v>0</v>
      </c>
    </row>
    <row r="61" spans="1:42">
      <c r="A61" s="1079" t="s">
        <v>1687</v>
      </c>
      <c r="B61" s="1105">
        <v>21998226</v>
      </c>
      <c r="C61" s="1105">
        <v>0</v>
      </c>
      <c r="D61" s="1105">
        <v>1956</v>
      </c>
      <c r="E61" s="1105">
        <v>0</v>
      </c>
      <c r="F61" s="1105">
        <v>0</v>
      </c>
      <c r="G61" s="1106">
        <v>0</v>
      </c>
      <c r="H61" s="1106">
        <v>0</v>
      </c>
      <c r="I61" s="1106">
        <v>0</v>
      </c>
      <c r="J61" s="1106">
        <v>0</v>
      </c>
      <c r="K61" s="1106">
        <v>0</v>
      </c>
      <c r="L61" s="1106">
        <v>0</v>
      </c>
      <c r="M61" s="1106">
        <v>0</v>
      </c>
      <c r="N61" s="1107">
        <v>22000182</v>
      </c>
      <c r="P61" s="1106">
        <v>22040000</v>
      </c>
      <c r="Q61" s="1106">
        <v>0</v>
      </c>
      <c r="R61" s="1106">
        <v>0</v>
      </c>
      <c r="S61" s="1106">
        <v>0</v>
      </c>
      <c r="T61" s="1106">
        <v>0</v>
      </c>
      <c r="U61" s="1106">
        <v>0</v>
      </c>
      <c r="V61" s="1106">
        <v>0</v>
      </c>
      <c r="W61" s="1106">
        <v>0</v>
      </c>
      <c r="X61" s="1106">
        <v>0</v>
      </c>
      <c r="Y61" s="1106">
        <v>0</v>
      </c>
      <c r="Z61" s="1106">
        <v>0</v>
      </c>
      <c r="AA61" s="1106">
        <v>0</v>
      </c>
      <c r="AB61" s="1107">
        <v>22040000</v>
      </c>
      <c r="AD61" s="1106">
        <v>22040000</v>
      </c>
      <c r="AE61" s="1106">
        <v>0</v>
      </c>
      <c r="AF61" s="1106">
        <v>0</v>
      </c>
      <c r="AG61" s="1106">
        <v>0</v>
      </c>
      <c r="AH61" s="1106">
        <v>0</v>
      </c>
      <c r="AI61" s="1106">
        <v>0</v>
      </c>
      <c r="AJ61" s="1106">
        <v>0</v>
      </c>
      <c r="AK61" s="1106">
        <v>0</v>
      </c>
      <c r="AL61" s="1106">
        <v>0</v>
      </c>
      <c r="AM61" s="1106">
        <v>0</v>
      </c>
      <c r="AN61" s="1106">
        <v>0</v>
      </c>
      <c r="AO61" s="1106">
        <v>0</v>
      </c>
      <c r="AP61" s="1107">
        <v>22040000</v>
      </c>
    </row>
    <row r="62" spans="1:42">
      <c r="B62" s="1080"/>
      <c r="C62" s="1080"/>
      <c r="G62" s="1081"/>
      <c r="H62" s="1081"/>
      <c r="I62" s="1081"/>
      <c r="J62" s="1081"/>
      <c r="K62" s="1081"/>
      <c r="L62" s="1081"/>
      <c r="M62" s="1081"/>
      <c r="N62" s="1082"/>
      <c r="P62" s="1081"/>
      <c r="Q62" s="1081"/>
      <c r="R62" s="1081"/>
      <c r="S62" s="1081"/>
      <c r="T62" s="1081"/>
      <c r="U62" s="1081"/>
      <c r="V62" s="1081"/>
      <c r="W62" s="1081"/>
      <c r="X62" s="1081"/>
      <c r="Y62" s="1081"/>
      <c r="Z62" s="1081"/>
      <c r="AA62" s="1081"/>
      <c r="AB62" s="1082"/>
      <c r="AD62" s="1081"/>
      <c r="AE62" s="1081"/>
      <c r="AF62" s="1081"/>
      <c r="AG62" s="1081"/>
      <c r="AH62" s="1081"/>
      <c r="AI62" s="1081"/>
      <c r="AJ62" s="1081"/>
      <c r="AK62" s="1081"/>
      <c r="AL62" s="1081"/>
      <c r="AM62" s="1081"/>
      <c r="AN62" s="1081"/>
      <c r="AO62" s="1081"/>
      <c r="AP62" s="1082"/>
    </row>
    <row r="63" spans="1:42">
      <c r="A63" s="1073" t="s">
        <v>1635</v>
      </c>
      <c r="B63" s="1086">
        <v>22446256</v>
      </c>
      <c r="C63" s="1086">
        <v>42534354</v>
      </c>
      <c r="D63" s="1086">
        <v>41160780</v>
      </c>
      <c r="E63" s="1086">
        <v>39156869</v>
      </c>
      <c r="F63" s="1086">
        <v>37971216</v>
      </c>
      <c r="G63" s="1087">
        <v>36304630</v>
      </c>
      <c r="H63" s="1087">
        <v>34386444.933830917</v>
      </c>
      <c r="I63" s="1087">
        <v>32652929.079050444</v>
      </c>
      <c r="J63" s="1087">
        <v>31031426.979640264</v>
      </c>
      <c r="K63" s="1087">
        <v>29405020.516998764</v>
      </c>
      <c r="L63" s="1087">
        <v>27725211.735768888</v>
      </c>
      <c r="M63" s="1087">
        <v>26038959.690530155</v>
      </c>
      <c r="N63" s="1088">
        <v>22446256</v>
      </c>
      <c r="P63" s="1087">
        <v>24331245.788340323</v>
      </c>
      <c r="Q63" s="1087">
        <v>44488214.138527319</v>
      </c>
      <c r="R63" s="1087">
        <v>41640356.992254652</v>
      </c>
      <c r="S63" s="1087">
        <v>39712445.890431069</v>
      </c>
      <c r="T63" s="1087">
        <v>37783570.350837693</v>
      </c>
      <c r="U63" s="1087">
        <v>35853729.891014405</v>
      </c>
      <c r="V63" s="1087">
        <v>33775920.52650886</v>
      </c>
      <c r="W63" s="1087">
        <v>31814060.231855992</v>
      </c>
      <c r="X63" s="1087">
        <v>29880411.272223309</v>
      </c>
      <c r="Y63" s="1087">
        <v>27945795.00445674</v>
      </c>
      <c r="Z63" s="1087">
        <v>25981266.472424157</v>
      </c>
      <c r="AA63" s="1087">
        <v>24042252.399655186</v>
      </c>
      <c r="AB63" s="1088">
        <v>24331245.788340323</v>
      </c>
      <c r="AD63" s="1087">
        <v>22075479.940656707</v>
      </c>
      <c r="AE63" s="1087">
        <v>41958359.509527117</v>
      </c>
      <c r="AF63" s="1087">
        <v>38691741.271951228</v>
      </c>
      <c r="AG63" s="1087">
        <v>36459450.889183961</v>
      </c>
      <c r="AH63" s="1087">
        <v>34226043.802873537</v>
      </c>
      <c r="AI63" s="1087">
        <v>31991519.454388872</v>
      </c>
      <c r="AJ63" s="1087">
        <v>29608873.783068545</v>
      </c>
      <c r="AK63" s="1087">
        <v>27332019.684699036</v>
      </c>
      <c r="AL63" s="1087">
        <v>25093199.681127742</v>
      </c>
      <c r="AM63" s="1087">
        <v>22853259.707569666</v>
      </c>
      <c r="AN63" s="1087">
        <v>20581053.630973291</v>
      </c>
      <c r="AO63" s="1087">
        <v>18336335.784553707</v>
      </c>
      <c r="AP63" s="1088">
        <v>22075479.940656707</v>
      </c>
    </row>
    <row r="64" spans="1:42">
      <c r="A64" s="1073" t="s">
        <v>1688</v>
      </c>
      <c r="B64" s="1086">
        <v>20088098</v>
      </c>
      <c r="C64" s="1086">
        <v>-1373574</v>
      </c>
      <c r="D64" s="1086">
        <v>-2003911</v>
      </c>
      <c r="E64" s="1086">
        <v>-1185653</v>
      </c>
      <c r="F64" s="1086">
        <v>-1666586</v>
      </c>
      <c r="G64" s="1087">
        <v>-1918185.0661690843</v>
      </c>
      <c r="H64" s="1087">
        <v>-1733515.8547804744</v>
      </c>
      <c r="I64" s="1087">
        <v>-1621502.0994101793</v>
      </c>
      <c r="J64" s="1087">
        <v>-1626406.4626415006</v>
      </c>
      <c r="K64" s="1087">
        <v>-1679808.7812298753</v>
      </c>
      <c r="L64" s="1087">
        <v>-1686252.0452387349</v>
      </c>
      <c r="M64" s="1087">
        <v>-1707713.9021898296</v>
      </c>
      <c r="N64" s="1088">
        <v>1884989.7883403227</v>
      </c>
      <c r="P64" s="1087">
        <v>20156968.350186992</v>
      </c>
      <c r="Q64" s="1087">
        <v>-2847857.1462726695</v>
      </c>
      <c r="R64" s="1087">
        <v>-1927911.1018235818</v>
      </c>
      <c r="S64" s="1087">
        <v>-1928875.5395933781</v>
      </c>
      <c r="T64" s="1087">
        <v>-1929840.4598232899</v>
      </c>
      <c r="U64" s="1087">
        <v>-2077809.3645055429</v>
      </c>
      <c r="V64" s="1087">
        <v>-1961860.294652869</v>
      </c>
      <c r="W64" s="1087">
        <v>-1933648.9596326849</v>
      </c>
      <c r="X64" s="1087">
        <v>-1934616.2677665683</v>
      </c>
      <c r="Y64" s="1087">
        <v>-1964528.5320325848</v>
      </c>
      <c r="Z64" s="1087">
        <v>-1939014.0727689695</v>
      </c>
      <c r="AA64" s="1087">
        <v>-1966772.4589984687</v>
      </c>
      <c r="AB64" s="1088">
        <v>-2255765.847683616</v>
      </c>
      <c r="AD64" s="1087">
        <v>19882879.568870407</v>
      </c>
      <c r="AE64" s="1087">
        <v>-3266618.2375758854</v>
      </c>
      <c r="AF64" s="1087">
        <v>-2232290.3827672685</v>
      </c>
      <c r="AG64" s="1087">
        <v>-2233407.0863104234</v>
      </c>
      <c r="AH64" s="1087">
        <v>-2234524.3484846661</v>
      </c>
      <c r="AI64" s="1087">
        <v>-2382645.6713203262</v>
      </c>
      <c r="AJ64" s="1087">
        <v>-2276854.0983695104</v>
      </c>
      <c r="AK64" s="1087">
        <v>-2238820.0035712961</v>
      </c>
      <c r="AL64" s="1087">
        <v>-2239939.9735580753</v>
      </c>
      <c r="AM64" s="1087">
        <v>-2272206.0765963742</v>
      </c>
      <c r="AN64" s="1087">
        <v>-2244717.8464195835</v>
      </c>
      <c r="AO64" s="1087">
        <v>-2272629.1610000841</v>
      </c>
      <c r="AP64" s="1088">
        <v>-6011773.3171030916</v>
      </c>
    </row>
    <row r="65" spans="1:45" ht="15.75" thickBot="1">
      <c r="A65" s="1079" t="s">
        <v>1638</v>
      </c>
      <c r="B65" s="1096">
        <v>42534354</v>
      </c>
      <c r="C65" s="1096">
        <v>41160780</v>
      </c>
      <c r="D65" s="1096">
        <v>39156869</v>
      </c>
      <c r="E65" s="1096">
        <v>37971216</v>
      </c>
      <c r="F65" s="1096">
        <v>36304630</v>
      </c>
      <c r="G65" s="1097">
        <v>34386444.933830917</v>
      </c>
      <c r="H65" s="1097">
        <v>32652929.079050444</v>
      </c>
      <c r="I65" s="1097">
        <v>31031426.979640264</v>
      </c>
      <c r="J65" s="1097">
        <v>29405020.516998764</v>
      </c>
      <c r="K65" s="1097">
        <v>27725211.735768888</v>
      </c>
      <c r="L65" s="1097">
        <v>26038959.690530155</v>
      </c>
      <c r="M65" s="1097">
        <v>24331245.788340326</v>
      </c>
      <c r="N65" s="1098">
        <v>24331245.788340323</v>
      </c>
      <c r="P65" s="1097">
        <v>44488214.138527319</v>
      </c>
      <c r="Q65" s="1097">
        <v>41640356.992254652</v>
      </c>
      <c r="R65" s="1097">
        <v>39712445.890431069</v>
      </c>
      <c r="S65" s="1097">
        <v>37783570.350837693</v>
      </c>
      <c r="T65" s="1097">
        <v>35853729.891014405</v>
      </c>
      <c r="U65" s="1097">
        <v>33775920.52650886</v>
      </c>
      <c r="V65" s="1097">
        <v>31814060.231855992</v>
      </c>
      <c r="W65" s="1097">
        <v>29880411.272223309</v>
      </c>
      <c r="X65" s="1097">
        <v>27945795.00445674</v>
      </c>
      <c r="Y65" s="1097">
        <v>25981266.472424157</v>
      </c>
      <c r="Z65" s="1097">
        <v>24042252.399655186</v>
      </c>
      <c r="AA65" s="1097">
        <v>22075479.940656718</v>
      </c>
      <c r="AB65" s="1098">
        <v>22075479.940656707</v>
      </c>
      <c r="AD65" s="1097">
        <v>41958359.509527117</v>
      </c>
      <c r="AE65" s="1097">
        <v>38691741.271951228</v>
      </c>
      <c r="AF65" s="1097">
        <v>36459450.889183961</v>
      </c>
      <c r="AG65" s="1097">
        <v>34226043.802873537</v>
      </c>
      <c r="AH65" s="1097">
        <v>31991519.454388872</v>
      </c>
      <c r="AI65" s="1097">
        <v>29608873.783068545</v>
      </c>
      <c r="AJ65" s="1097">
        <v>27332019.684699036</v>
      </c>
      <c r="AK65" s="1097">
        <v>25093199.681127742</v>
      </c>
      <c r="AL65" s="1097">
        <v>22853259.707569666</v>
      </c>
      <c r="AM65" s="1097">
        <v>20581053.630973291</v>
      </c>
      <c r="AN65" s="1097">
        <v>18336335.784553707</v>
      </c>
      <c r="AO65" s="1097">
        <v>16063706.623553623</v>
      </c>
      <c r="AP65" s="1098">
        <v>16063706.623553615</v>
      </c>
      <c r="AS65" s="1073">
        <f>AP65/AO64</f>
        <v>-7.0683360484931406</v>
      </c>
    </row>
    <row r="66" spans="1:45" ht="15.75" thickTop="1">
      <c r="C66" s="1080"/>
      <c r="M66" s="1117"/>
      <c r="N66" s="1111"/>
    </row>
    <row r="67" spans="1:45">
      <c r="C67" s="1080"/>
      <c r="N67" s="1118"/>
      <c r="AB67" s="1119">
        <f>SUM(P64:AA64)-X58</f>
        <v>-2255765.8476836146</v>
      </c>
      <c r="AP67" s="1119">
        <f>SUM(AD64:AO64)-AL58</f>
        <v>-6011773.317103086</v>
      </c>
    </row>
    <row r="68" spans="1:45">
      <c r="C68" s="1080"/>
      <c r="N68" s="1118"/>
    </row>
    <row r="69" spans="1:45">
      <c r="C69" s="1080"/>
      <c r="N69" s="1118"/>
    </row>
    <row r="70" spans="1:45">
      <c r="C70" s="1080"/>
      <c r="N70" s="1118"/>
    </row>
    <row r="71" spans="1:45">
      <c r="C71" s="1080"/>
      <c r="N71" s="1118"/>
    </row>
    <row r="72" spans="1:45">
      <c r="C72" s="1080"/>
    </row>
    <row r="73" spans="1:45">
      <c r="C73" s="1080"/>
      <c r="N73" s="1118"/>
    </row>
    <row r="74" spans="1:45">
      <c r="C74" s="1080"/>
    </row>
  </sheetData>
  <mergeCells count="3">
    <mergeCell ref="B1:N1"/>
    <mergeCell ref="P1:AB1"/>
    <mergeCell ref="AD1:AP1"/>
  </mergeCell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
  <sheetViews>
    <sheetView workbookViewId="0"/>
  </sheetViews>
  <sheetFormatPr defaultRowHeight="12.75"/>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FF0000"/>
  </sheetPr>
  <dimension ref="A1:CH74"/>
  <sheetViews>
    <sheetView showGridLines="0" view="pageBreakPreview" topLeftCell="AD1" zoomScaleNormal="100" zoomScaleSheetLayoutView="100" workbookViewId="0">
      <pane ySplit="10" topLeftCell="A11" activePane="bottomLeft" state="frozen"/>
      <selection activeCell="BU10" sqref="BU10"/>
      <selection pane="bottomLeft" activeCell="AP13" sqref="AP13"/>
    </sheetView>
  </sheetViews>
  <sheetFormatPr defaultRowHeight="11.25" outlineLevelCol="1"/>
  <cols>
    <col min="1" max="1" width="40.1640625" style="495" bestFit="1" customWidth="1"/>
    <col min="2" max="2" width="14.83203125" style="495" bestFit="1" customWidth="1"/>
    <col min="3" max="3" width="25.1640625" style="493" bestFit="1" customWidth="1"/>
    <col min="4" max="4" width="19" style="493" bestFit="1" customWidth="1"/>
    <col min="5" max="9" width="17.83203125" style="493" customWidth="1"/>
    <col min="10" max="10" width="15.33203125" style="493" customWidth="1"/>
    <col min="11" max="11" width="14" style="493" customWidth="1"/>
    <col min="12" max="12" width="15.6640625" style="493" bestFit="1" customWidth="1"/>
    <col min="13" max="13" width="16.1640625" style="493" customWidth="1"/>
    <col min="14" max="16" width="14.83203125" style="493" bestFit="1" customWidth="1"/>
    <col min="17" max="18" width="14.83203125" style="493" customWidth="1"/>
    <col min="19" max="23" width="14.83203125" style="493" bestFit="1" customWidth="1"/>
    <col min="24" max="24" width="14.83203125" style="493" customWidth="1"/>
    <col min="25" max="29" width="14.83203125" style="493" bestFit="1" customWidth="1"/>
    <col min="30" max="30" width="17" style="493" bestFit="1" customWidth="1"/>
    <col min="31" max="31" width="14.83203125" style="493" bestFit="1" customWidth="1"/>
    <col min="32" max="32" width="19.1640625" style="493" customWidth="1"/>
    <col min="33" max="33" width="19.5" style="493" customWidth="1"/>
    <col min="34" max="34" width="21.1640625" style="493" customWidth="1"/>
    <col min="35" max="35" width="19" style="493" bestFit="1" customWidth="1"/>
    <col min="36" max="36" width="12.83203125" style="493" customWidth="1"/>
    <col min="37" max="37" width="15.33203125" style="493" customWidth="1"/>
    <col min="38" max="38" width="13.1640625" style="493" customWidth="1"/>
    <col min="39" max="39" width="18.5" style="493" bestFit="1" customWidth="1"/>
    <col min="40" max="40" width="14.83203125" style="493" bestFit="1" customWidth="1"/>
    <col min="41" max="42" width="14.83203125" style="493" customWidth="1"/>
    <col min="43" max="43" width="14.83203125" style="492" customWidth="1"/>
    <col min="44" max="44" width="14.83203125" style="493" customWidth="1"/>
    <col min="45" max="45" width="11.1640625" style="492" customWidth="1"/>
    <col min="46" max="46" width="14.83203125" style="493" bestFit="1" customWidth="1"/>
    <col min="47" max="50" width="14.83203125" style="492" customWidth="1"/>
    <col min="51" max="51" width="16" style="492" customWidth="1"/>
    <col min="52" max="54" width="14.83203125" style="492" customWidth="1"/>
    <col min="55" max="55" width="14.83203125" style="493" customWidth="1"/>
    <col min="56" max="69" width="14.83203125" style="492" customWidth="1"/>
    <col min="70" max="70" width="17" style="492" customWidth="1" outlineLevel="1"/>
    <col min="71" max="78" width="9.33203125" style="492"/>
    <col min="79" max="82" width="9.33203125" style="491"/>
    <col min="83" max="83" width="9.33203125" style="547"/>
    <col min="84" max="16384" width="9.33203125" style="491"/>
  </cols>
  <sheetData>
    <row r="1" spans="1:86" s="488" customFormat="1">
      <c r="A1" s="495" t="s">
        <v>646</v>
      </c>
      <c r="B1" s="529">
        <v>43281</v>
      </c>
      <c r="C1" s="493"/>
      <c r="D1" s="493"/>
      <c r="E1" s="493"/>
      <c r="F1" s="493"/>
      <c r="G1" s="493"/>
      <c r="H1" s="493"/>
      <c r="I1" s="493"/>
      <c r="J1" s="493"/>
      <c r="K1" s="493"/>
      <c r="L1" s="493"/>
      <c r="M1" s="493"/>
      <c r="N1" s="493"/>
      <c r="O1" s="493"/>
      <c r="P1" s="493"/>
      <c r="Q1" s="493"/>
      <c r="R1" s="493"/>
      <c r="S1" s="493"/>
      <c r="T1" s="493"/>
      <c r="U1" s="493"/>
      <c r="V1" s="493"/>
      <c r="W1" s="493"/>
      <c r="X1" s="493"/>
      <c r="Y1" s="493"/>
      <c r="Z1" s="493"/>
      <c r="AA1" s="493"/>
      <c r="AB1" s="493"/>
      <c r="AC1" s="493"/>
      <c r="AD1" s="493"/>
      <c r="AE1" s="493"/>
      <c r="AF1" s="493"/>
      <c r="AG1" s="493"/>
      <c r="AH1" s="493"/>
      <c r="AI1" s="493"/>
      <c r="AJ1" s="493"/>
      <c r="AK1" s="493"/>
      <c r="AL1" s="493"/>
      <c r="AM1" s="493"/>
      <c r="AN1" s="493"/>
      <c r="AO1" s="493"/>
      <c r="AP1" s="493"/>
      <c r="AQ1" s="489"/>
      <c r="AR1" s="493"/>
      <c r="AS1" s="490"/>
      <c r="AT1" s="493"/>
      <c r="AU1" s="489"/>
      <c r="AV1" s="489"/>
      <c r="AW1" s="489"/>
      <c r="AX1" s="489"/>
      <c r="AY1" s="489"/>
      <c r="AZ1" s="489"/>
      <c r="BA1" s="489"/>
      <c r="BB1" s="489"/>
      <c r="BC1" s="489"/>
      <c r="BD1" s="489"/>
      <c r="BE1" s="489"/>
      <c r="BF1" s="489"/>
      <c r="BG1" s="489"/>
      <c r="BH1" s="489"/>
      <c r="BI1" s="489"/>
      <c r="BJ1" s="489"/>
      <c r="BK1" s="489"/>
      <c r="BL1" s="489"/>
      <c r="BM1" s="489"/>
      <c r="BN1" s="489"/>
      <c r="BO1" s="489"/>
      <c r="BP1" s="489"/>
      <c r="BQ1" s="489"/>
      <c r="BR1" s="489"/>
      <c r="BS1" s="489"/>
      <c r="BT1" s="489"/>
      <c r="BU1" s="489"/>
      <c r="BV1" s="489"/>
      <c r="BW1" s="489"/>
      <c r="BX1" s="489"/>
      <c r="BY1" s="489"/>
      <c r="BZ1" s="489"/>
    </row>
    <row r="2" spans="1:86" s="488" customFormat="1">
      <c r="A2" s="495" t="s">
        <v>647</v>
      </c>
      <c r="B2" s="530" t="s">
        <v>676</v>
      </c>
      <c r="C2" s="493"/>
      <c r="D2" s="493"/>
      <c r="E2" s="493"/>
      <c r="F2" s="493"/>
      <c r="G2" s="493"/>
      <c r="H2" s="493"/>
      <c r="I2" s="493"/>
      <c r="J2" s="493"/>
      <c r="K2" s="531" t="s">
        <v>87</v>
      </c>
      <c r="L2" s="532">
        <v>43281</v>
      </c>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89"/>
      <c r="AR2" s="493"/>
      <c r="AS2" s="490"/>
      <c r="AT2" s="493"/>
      <c r="AU2" s="489"/>
      <c r="AV2" s="489"/>
      <c r="AW2" s="489"/>
      <c r="AX2" s="489"/>
      <c r="AY2" s="489"/>
      <c r="AZ2" s="489"/>
      <c r="BA2" s="489"/>
      <c r="BB2" s="489"/>
      <c r="BC2" s="489"/>
      <c r="BD2" s="489"/>
      <c r="BE2" s="489"/>
      <c r="BF2" s="489"/>
      <c r="BG2" s="489"/>
      <c r="BH2" s="489"/>
      <c r="BI2" s="489"/>
      <c r="BJ2" s="489"/>
      <c r="BK2" s="489"/>
      <c r="BL2" s="489"/>
      <c r="BM2" s="489"/>
      <c r="BN2" s="489"/>
      <c r="BO2" s="489"/>
      <c r="BP2" s="489"/>
      <c r="BQ2" s="489"/>
      <c r="BR2" s="489"/>
      <c r="BS2" s="489"/>
      <c r="BT2" s="489"/>
      <c r="BU2" s="489"/>
      <c r="BV2" s="489"/>
      <c r="BW2" s="489"/>
      <c r="BX2" s="489"/>
      <c r="BY2" s="489"/>
      <c r="BZ2" s="489"/>
    </row>
    <row r="3" spans="1:86" s="488" customFormat="1">
      <c r="A3" s="495" t="s">
        <v>648</v>
      </c>
      <c r="B3" s="530" t="s">
        <v>677</v>
      </c>
      <c r="C3" s="493"/>
      <c r="D3" s="493"/>
      <c r="E3" s="493"/>
      <c r="F3" s="493"/>
      <c r="G3" s="493"/>
      <c r="H3" s="493"/>
      <c r="I3" s="493"/>
      <c r="J3" s="493"/>
      <c r="K3" s="533" t="s">
        <v>398</v>
      </c>
      <c r="L3" s="534" t="s">
        <v>400</v>
      </c>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493"/>
      <c r="AN3" s="493"/>
      <c r="AO3" s="493"/>
      <c r="AP3" s="493"/>
      <c r="AQ3" s="489"/>
      <c r="AR3" s="493"/>
      <c r="AS3" s="490"/>
      <c r="AT3" s="493"/>
      <c r="AU3" s="489"/>
      <c r="AV3" s="489"/>
      <c r="AW3" s="489"/>
      <c r="AX3" s="489"/>
      <c r="AY3" s="489"/>
      <c r="AZ3" s="489"/>
      <c r="BA3" s="489"/>
      <c r="BB3" s="489"/>
      <c r="BC3" s="489"/>
      <c r="BD3" s="489"/>
      <c r="BE3" s="489"/>
      <c r="BF3" s="489"/>
      <c r="BG3" s="489"/>
      <c r="BH3" s="489"/>
      <c r="BI3" s="489"/>
      <c r="BJ3" s="489"/>
      <c r="BK3" s="489"/>
      <c r="BL3" s="489"/>
      <c r="BM3" s="489"/>
      <c r="BN3" s="489"/>
      <c r="BO3" s="489"/>
      <c r="BP3" s="489"/>
      <c r="BQ3" s="489"/>
      <c r="BR3" s="489"/>
      <c r="BS3" s="489"/>
      <c r="BT3" s="489"/>
      <c r="BU3" s="489"/>
      <c r="BV3" s="489"/>
      <c r="BW3" s="489"/>
      <c r="BX3" s="489"/>
      <c r="BY3" s="489"/>
      <c r="BZ3" s="489"/>
    </row>
    <row r="4" spans="1:86" s="488" customFormat="1">
      <c r="A4" s="495" t="s">
        <v>649</v>
      </c>
      <c r="B4" s="530" t="s">
        <v>678</v>
      </c>
      <c r="C4" s="493"/>
      <c r="D4" s="493"/>
      <c r="E4" s="493"/>
      <c r="F4" s="493"/>
      <c r="G4" s="493"/>
      <c r="H4" s="493"/>
      <c r="I4" s="493"/>
      <c r="J4" s="493"/>
      <c r="K4" s="533" t="s">
        <v>739</v>
      </c>
      <c r="L4" s="534" t="s">
        <v>740</v>
      </c>
      <c r="M4" s="493"/>
      <c r="N4" s="493"/>
      <c r="O4" s="493"/>
      <c r="P4" s="493"/>
      <c r="Q4" s="493"/>
      <c r="R4" s="493"/>
      <c r="S4" s="493"/>
      <c r="T4" s="493"/>
      <c r="U4" s="493"/>
      <c r="V4" s="493"/>
      <c r="W4" s="493"/>
      <c r="X4" s="493"/>
      <c r="Y4" s="493"/>
      <c r="Z4" s="493"/>
      <c r="AA4" s="493"/>
      <c r="AB4" s="493"/>
      <c r="AC4" s="493"/>
      <c r="AD4" s="493"/>
      <c r="AE4" s="493"/>
      <c r="AF4" s="493"/>
      <c r="AG4" s="493"/>
      <c r="AH4" s="493"/>
      <c r="AI4" s="493"/>
      <c r="AJ4" s="493"/>
      <c r="AK4" s="493"/>
      <c r="AL4" s="493"/>
      <c r="AM4" s="493"/>
      <c r="AN4" s="493"/>
      <c r="AO4" s="493"/>
      <c r="AP4" s="493"/>
      <c r="AQ4" s="489"/>
      <c r="AR4" s="493"/>
      <c r="AS4" s="489"/>
      <c r="AT4" s="493"/>
      <c r="AU4" s="489"/>
      <c r="AV4" s="489"/>
      <c r="AW4" s="489"/>
      <c r="AX4" s="489"/>
      <c r="AY4" s="489"/>
      <c r="AZ4" s="489"/>
      <c r="BA4" s="489"/>
      <c r="BB4" s="489"/>
      <c r="BC4" s="489"/>
      <c r="BD4" s="489"/>
      <c r="BE4" s="489"/>
      <c r="BF4" s="489"/>
      <c r="BG4" s="489"/>
      <c r="BH4" s="489"/>
      <c r="BI4" s="489"/>
      <c r="BJ4" s="489"/>
      <c r="BK4" s="489"/>
      <c r="BL4" s="489"/>
      <c r="BM4" s="489"/>
      <c r="BN4" s="489"/>
      <c r="BO4" s="489"/>
      <c r="BP4" s="489"/>
      <c r="BQ4" s="489"/>
      <c r="BR4" s="489"/>
      <c r="BS4" s="489"/>
      <c r="BT4" s="489"/>
      <c r="BU4" s="489"/>
      <c r="BV4" s="489"/>
      <c r="BW4" s="489"/>
      <c r="BX4" s="489"/>
      <c r="BY4" s="489"/>
      <c r="BZ4" s="489"/>
    </row>
    <row r="5" spans="1:86" s="488" customFormat="1">
      <c r="A5" s="495" t="s">
        <v>650</v>
      </c>
      <c r="B5" s="530" t="s">
        <v>742</v>
      </c>
      <c r="C5" s="493"/>
      <c r="D5" s="493"/>
      <c r="E5" s="493"/>
      <c r="F5" s="493"/>
      <c r="G5" s="493"/>
      <c r="H5" s="493"/>
      <c r="I5" s="493"/>
      <c r="J5" s="493"/>
      <c r="K5" s="533" t="s">
        <v>399</v>
      </c>
      <c r="L5" s="534" t="s">
        <v>401</v>
      </c>
      <c r="M5" s="493"/>
      <c r="N5" s="493"/>
      <c r="O5" s="493"/>
      <c r="P5" s="493"/>
      <c r="Q5" s="493"/>
      <c r="R5" s="493"/>
      <c r="S5" s="493"/>
      <c r="T5" s="493"/>
      <c r="U5" s="493"/>
      <c r="V5" s="493"/>
      <c r="W5" s="493"/>
      <c r="X5" s="493"/>
      <c r="Y5" s="493"/>
      <c r="Z5" s="493"/>
      <c r="AA5" s="493"/>
      <c r="AB5" s="493"/>
      <c r="AC5" s="493"/>
      <c r="AD5" s="493"/>
      <c r="AE5" s="493"/>
      <c r="AF5" s="493"/>
      <c r="AG5" s="493"/>
      <c r="AH5" s="493"/>
      <c r="AI5" s="493"/>
      <c r="AJ5" s="493"/>
      <c r="AK5" s="493"/>
      <c r="AL5" s="493"/>
      <c r="AM5" s="493"/>
      <c r="AN5" s="493"/>
      <c r="AO5" s="493"/>
      <c r="AP5" s="493"/>
      <c r="AQ5" s="489"/>
      <c r="AR5" s="493"/>
      <c r="AS5" s="489"/>
      <c r="AT5" s="493"/>
      <c r="AU5" s="489"/>
      <c r="AV5" s="489"/>
      <c r="AW5" s="489"/>
      <c r="AX5" s="489"/>
      <c r="AY5" s="489"/>
      <c r="AZ5" s="489"/>
      <c r="BA5" s="489"/>
      <c r="BB5" s="489"/>
      <c r="BC5" s="489"/>
      <c r="BD5" s="489"/>
      <c r="BE5" s="489"/>
      <c r="BF5" s="489"/>
      <c r="BG5" s="489"/>
      <c r="BH5" s="489"/>
      <c r="BI5" s="489"/>
      <c r="BJ5" s="489"/>
      <c r="BK5" s="489"/>
      <c r="BL5" s="489"/>
      <c r="BM5" s="489"/>
      <c r="BN5" s="489"/>
      <c r="BO5" s="489"/>
      <c r="BP5" s="489"/>
      <c r="BQ5" s="489"/>
      <c r="BR5" s="489"/>
      <c r="BS5" s="489"/>
      <c r="BT5" s="489"/>
      <c r="BU5" s="489"/>
      <c r="BV5" s="489"/>
      <c r="BW5" s="489"/>
      <c r="BX5" s="489"/>
      <c r="BY5" s="489"/>
      <c r="BZ5" s="489"/>
    </row>
    <row r="6" spans="1:86" s="488" customFormat="1">
      <c r="A6" s="495" t="s">
        <v>651</v>
      </c>
      <c r="B6" s="530" t="s">
        <v>2117</v>
      </c>
      <c r="C6" s="493"/>
      <c r="D6" s="493"/>
      <c r="E6" s="493"/>
      <c r="F6" s="493"/>
      <c r="G6" s="493"/>
      <c r="H6" s="493"/>
      <c r="I6" s="493"/>
      <c r="J6" s="493"/>
      <c r="K6" s="535" t="s">
        <v>89</v>
      </c>
      <c r="L6" s="536" t="s">
        <v>90</v>
      </c>
      <c r="M6" s="493"/>
      <c r="N6" s="493"/>
      <c r="O6" s="493"/>
      <c r="P6" s="493"/>
      <c r="Q6" s="493"/>
      <c r="R6" s="493"/>
      <c r="S6" s="493"/>
      <c r="T6" s="493"/>
      <c r="U6" s="493"/>
      <c r="V6" s="493"/>
      <c r="W6" s="493"/>
      <c r="X6" s="493"/>
      <c r="Y6" s="493"/>
      <c r="Z6" s="493"/>
      <c r="AA6" s="493"/>
      <c r="AB6" s="493"/>
      <c r="AC6" s="493"/>
      <c r="AD6" s="493"/>
      <c r="AE6" s="537"/>
      <c r="AF6" s="493"/>
      <c r="AG6" s="493"/>
      <c r="AH6" s="493"/>
      <c r="AI6" s="493"/>
      <c r="AJ6" s="493"/>
      <c r="AK6" s="493"/>
      <c r="AL6" s="493"/>
      <c r="AM6" s="493"/>
      <c r="AN6" s="493"/>
      <c r="AO6" s="493"/>
      <c r="AP6" s="493"/>
      <c r="AQ6" s="489"/>
      <c r="AR6" s="493"/>
      <c r="AS6" s="489"/>
      <c r="AT6" s="493"/>
      <c r="AU6" s="489"/>
      <c r="AV6" s="489"/>
      <c r="AW6" s="489"/>
      <c r="AX6" s="489"/>
      <c r="AY6" s="489"/>
      <c r="AZ6" s="489"/>
      <c r="BA6" s="489"/>
      <c r="BB6" s="489"/>
      <c r="BC6" s="489"/>
      <c r="BD6" s="489"/>
      <c r="BE6" s="489"/>
      <c r="BF6" s="489"/>
      <c r="BG6" s="489"/>
      <c r="BH6" s="489"/>
      <c r="BI6" s="489"/>
      <c r="BJ6" s="489"/>
      <c r="BK6" s="489"/>
      <c r="BL6" s="489"/>
      <c r="BM6" s="489"/>
      <c r="BN6" s="489"/>
      <c r="BO6" s="489"/>
      <c r="BP6" s="489"/>
      <c r="BQ6" s="489"/>
      <c r="BR6" s="489"/>
      <c r="BS6" s="489"/>
      <c r="BT6" s="489"/>
      <c r="BU6" s="489"/>
      <c r="BV6" s="489"/>
      <c r="BW6" s="489"/>
      <c r="BX6" s="489"/>
      <c r="BY6" s="489"/>
      <c r="BZ6" s="489"/>
    </row>
    <row r="7" spans="1:86" s="488" customFormat="1">
      <c r="A7" s="495" t="s">
        <v>741</v>
      </c>
      <c r="B7" s="530" t="s">
        <v>2118</v>
      </c>
      <c r="C7" s="493"/>
      <c r="D7" s="493"/>
      <c r="E7" s="493"/>
      <c r="F7" s="493"/>
      <c r="G7" s="493"/>
      <c r="H7" s="493"/>
      <c r="I7" s="493"/>
      <c r="J7" s="493"/>
      <c r="K7" s="537"/>
      <c r="L7" s="537"/>
      <c r="M7" s="493"/>
      <c r="N7" s="493"/>
      <c r="O7" s="493"/>
      <c r="P7" s="493"/>
      <c r="Q7" s="493"/>
      <c r="R7" s="493"/>
      <c r="S7" s="493"/>
      <c r="T7" s="493"/>
      <c r="U7" s="493"/>
      <c r="V7" s="493"/>
      <c r="W7" s="493"/>
      <c r="X7" s="493"/>
      <c r="Y7" s="493"/>
      <c r="Z7" s="493"/>
      <c r="AA7" s="493"/>
      <c r="AB7" s="493"/>
      <c r="AC7" s="493"/>
      <c r="AD7" s="493"/>
      <c r="AE7" s="537"/>
      <c r="AF7" s="538"/>
      <c r="AG7" s="538"/>
      <c r="AH7" s="493"/>
      <c r="AI7" s="493"/>
      <c r="AJ7" s="493"/>
      <c r="AK7" s="493"/>
      <c r="AL7" s="493"/>
      <c r="AM7" s="493"/>
      <c r="AN7" s="493"/>
      <c r="AO7" s="493"/>
      <c r="AP7" s="493"/>
      <c r="AQ7" s="489"/>
      <c r="AR7" s="493"/>
      <c r="AS7" s="489"/>
      <c r="AT7" s="493"/>
      <c r="AU7" s="489"/>
      <c r="AV7" s="489"/>
      <c r="AW7" s="489"/>
      <c r="AX7" s="489"/>
      <c r="AY7" s="489"/>
      <c r="AZ7" s="489"/>
      <c r="BA7" s="489"/>
      <c r="BB7" s="489"/>
      <c r="BC7" s="489"/>
      <c r="BD7" s="489"/>
      <c r="BE7" s="489"/>
      <c r="BF7" s="489"/>
      <c r="BG7" s="489"/>
      <c r="BH7" s="489"/>
      <c r="BI7" s="489"/>
      <c r="BJ7" s="489"/>
      <c r="BK7" s="489"/>
      <c r="BL7" s="489"/>
      <c r="BM7" s="489"/>
      <c r="BN7" s="489"/>
      <c r="BO7" s="489"/>
      <c r="BP7" s="489"/>
      <c r="BQ7" s="489"/>
      <c r="BR7" s="489"/>
      <c r="BS7" s="489"/>
      <c r="BT7" s="489"/>
      <c r="BU7" s="489"/>
      <c r="BV7" s="489"/>
      <c r="BW7" s="489"/>
      <c r="BX7" s="489"/>
      <c r="BY7" s="489"/>
      <c r="BZ7" s="489"/>
    </row>
    <row r="8" spans="1:86" s="488" customFormat="1">
      <c r="A8" s="495" t="s">
        <v>652</v>
      </c>
      <c r="B8" s="529">
        <v>43105</v>
      </c>
      <c r="C8" s="493"/>
      <c r="D8" s="493"/>
      <c r="E8" s="493"/>
      <c r="F8" s="493"/>
      <c r="G8" s="493"/>
      <c r="H8" s="493"/>
      <c r="I8" s="493"/>
      <c r="J8" s="493"/>
      <c r="K8" s="493"/>
      <c r="L8" s="493"/>
      <c r="M8" s="493"/>
      <c r="N8" s="493"/>
      <c r="O8" s="493"/>
      <c r="P8" s="493"/>
      <c r="Q8" s="493"/>
      <c r="R8" s="493"/>
      <c r="S8" s="493"/>
      <c r="T8" s="493"/>
      <c r="U8" s="493"/>
      <c r="V8" s="493"/>
      <c r="W8" s="493"/>
      <c r="X8" s="493"/>
      <c r="Y8" s="493"/>
      <c r="Z8" s="493"/>
      <c r="AA8" s="493"/>
      <c r="AB8" s="493"/>
      <c r="AC8" s="493"/>
      <c r="AD8" s="493"/>
      <c r="AE8" s="493"/>
      <c r="AF8" s="493"/>
      <c r="AG8" s="493"/>
      <c r="AH8" s="493"/>
      <c r="AI8" s="493"/>
      <c r="AJ8" s="493"/>
      <c r="AK8" s="493"/>
      <c r="AL8" s="493"/>
      <c r="AM8" s="493"/>
      <c r="AN8" s="493"/>
      <c r="AO8" s="493"/>
      <c r="AP8" s="493"/>
      <c r="AQ8" s="489"/>
      <c r="AR8" s="493"/>
      <c r="AS8" s="489"/>
      <c r="AT8" s="493"/>
      <c r="AU8" s="489"/>
      <c r="AV8" s="489"/>
      <c r="AW8" s="489"/>
      <c r="AX8" s="489"/>
      <c r="AY8" s="489"/>
      <c r="AZ8" s="489"/>
      <c r="BA8" s="489"/>
      <c r="BB8" s="489"/>
      <c r="BC8" s="489"/>
      <c r="BD8" s="489"/>
      <c r="BE8" s="489"/>
      <c r="BF8" s="489"/>
      <c r="BG8" s="489"/>
      <c r="BH8" s="489"/>
      <c r="BI8" s="489"/>
      <c r="BJ8" s="489"/>
      <c r="BK8" s="489"/>
      <c r="BL8" s="489"/>
      <c r="BM8" s="489"/>
      <c r="BN8" s="489"/>
      <c r="BO8" s="489"/>
      <c r="BP8" s="489"/>
      <c r="BQ8" s="489"/>
      <c r="BR8" s="489"/>
      <c r="BS8" s="489"/>
      <c r="BT8" s="489"/>
      <c r="BU8" s="489"/>
      <c r="BV8" s="489"/>
      <c r="BW8" s="489"/>
      <c r="BX8" s="489"/>
      <c r="BY8" s="489"/>
      <c r="BZ8" s="489"/>
    </row>
    <row r="9" spans="1:86" s="499" customFormat="1" ht="12.75">
      <c r="A9" s="21"/>
      <c r="B9" s="21"/>
      <c r="C9" s="169"/>
      <c r="D9" s="169"/>
      <c r="E9" s="169"/>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69"/>
      <c r="AI9" s="169"/>
      <c r="AJ9" s="169"/>
      <c r="AK9" s="169"/>
      <c r="AL9" s="169"/>
      <c r="AM9" s="169"/>
      <c r="AN9" s="169"/>
      <c r="AO9" s="169"/>
      <c r="AP9" s="169"/>
      <c r="AQ9" s="500"/>
      <c r="AR9" s="169"/>
      <c r="AS9" s="500"/>
      <c r="AT9" s="169"/>
      <c r="AU9" s="500"/>
      <c r="AV9" s="500"/>
      <c r="AW9" s="500"/>
      <c r="AX9" s="500"/>
      <c r="AY9" s="500"/>
      <c r="AZ9" s="500"/>
      <c r="BA9" s="500"/>
      <c r="BB9" s="500"/>
      <c r="BC9" s="169"/>
      <c r="BD9" s="500"/>
      <c r="BE9" s="500"/>
      <c r="BF9" s="500"/>
      <c r="BG9" s="500"/>
      <c r="BH9" s="500"/>
      <c r="BI9" s="500"/>
      <c r="BJ9" s="500"/>
      <c r="BK9" s="500"/>
      <c r="BL9" s="500"/>
      <c r="BM9" s="500"/>
      <c r="BN9" s="500"/>
      <c r="BO9" s="500"/>
      <c r="BP9" s="500"/>
      <c r="BQ9" s="500"/>
      <c r="BR9" s="500"/>
      <c r="BS9" s="500"/>
      <c r="BT9" s="500"/>
      <c r="BU9" s="500"/>
      <c r="BV9" s="500"/>
      <c r="BW9" s="500"/>
      <c r="BX9" s="500"/>
      <c r="BY9" s="500"/>
      <c r="BZ9" s="500"/>
    </row>
    <row r="10" spans="1:86">
      <c r="A10" s="539" t="s">
        <v>679</v>
      </c>
      <c r="W10" s="540"/>
      <c r="AF10" s="493" t="s">
        <v>277</v>
      </c>
      <c r="AJ10" s="493" t="s">
        <v>290</v>
      </c>
      <c r="AK10" s="493" t="s">
        <v>276</v>
      </c>
      <c r="AL10" s="493" t="s">
        <v>277</v>
      </c>
      <c r="AM10" s="493" t="s">
        <v>290</v>
      </c>
      <c r="AN10" s="493" t="s">
        <v>276</v>
      </c>
      <c r="AO10" s="493" t="s">
        <v>277</v>
      </c>
      <c r="AQ10" s="489">
        <v>1</v>
      </c>
      <c r="AR10" s="493">
        <v>2</v>
      </c>
      <c r="AS10" s="489">
        <v>5</v>
      </c>
      <c r="AU10" s="493" t="s">
        <v>290</v>
      </c>
      <c r="AV10" s="493" t="s">
        <v>276</v>
      </c>
      <c r="AW10" s="493" t="s">
        <v>277</v>
      </c>
      <c r="AX10" s="540" t="s">
        <v>676</v>
      </c>
      <c r="AY10" s="540" t="s">
        <v>677</v>
      </c>
      <c r="AZ10" s="493" t="s">
        <v>290</v>
      </c>
      <c r="BA10" s="493" t="s">
        <v>276</v>
      </c>
      <c r="BB10" s="493" t="s">
        <v>277</v>
      </c>
      <c r="BC10" s="493" t="s">
        <v>676</v>
      </c>
      <c r="BD10" s="493" t="s">
        <v>677</v>
      </c>
      <c r="BE10" s="493"/>
      <c r="BF10" s="493"/>
      <c r="BG10" s="493"/>
      <c r="BH10" s="489"/>
      <c r="BI10" s="489"/>
      <c r="BJ10" s="489"/>
      <c r="BK10" s="489"/>
      <c r="BL10" s="489"/>
      <c r="BM10" s="489"/>
      <c r="BN10" s="489"/>
      <c r="BO10" s="489"/>
      <c r="BP10" s="489"/>
      <c r="BQ10" s="489"/>
      <c r="BR10" s="489"/>
      <c r="BS10" s="489" t="s">
        <v>117</v>
      </c>
      <c r="BT10" s="489"/>
      <c r="BU10" s="489"/>
      <c r="BV10" s="489"/>
      <c r="BW10" s="489"/>
      <c r="BX10" s="489"/>
      <c r="BY10" s="489"/>
      <c r="BZ10" s="489"/>
      <c r="CA10" s="488"/>
      <c r="CB10" s="488"/>
      <c r="CC10" s="488"/>
      <c r="CD10" s="488"/>
      <c r="CE10" s="488"/>
      <c r="CF10" s="488"/>
      <c r="CG10" s="488"/>
      <c r="CH10" s="488"/>
    </row>
    <row r="11" spans="1:86" ht="12.75">
      <c r="A11" s="495" t="s">
        <v>108</v>
      </c>
      <c r="B11" s="495" t="s">
        <v>653</v>
      </c>
      <c r="C11" s="493" t="s">
        <v>654</v>
      </c>
      <c r="D11" s="493" t="s">
        <v>655</v>
      </c>
      <c r="E11" s="493" t="s">
        <v>656</v>
      </c>
      <c r="F11" s="493" t="s">
        <v>743</v>
      </c>
      <c r="G11" s="492" t="s">
        <v>657</v>
      </c>
      <c r="H11" s="492" t="s">
        <v>145</v>
      </c>
      <c r="I11" s="492" t="s">
        <v>615</v>
      </c>
      <c r="J11" s="493" t="s">
        <v>94</v>
      </c>
      <c r="K11" s="493" t="s">
        <v>95</v>
      </c>
      <c r="L11" s="493" t="s">
        <v>96</v>
      </c>
      <c r="M11" s="493" t="s">
        <v>97</v>
      </c>
      <c r="N11" s="493" t="s">
        <v>100</v>
      </c>
      <c r="O11" s="169" t="s">
        <v>702</v>
      </c>
      <c r="P11" s="493" t="s">
        <v>703</v>
      </c>
      <c r="Q11" s="493" t="s">
        <v>704</v>
      </c>
      <c r="R11" s="493" t="s">
        <v>744</v>
      </c>
      <c r="S11" s="493" t="s">
        <v>745</v>
      </c>
      <c r="T11" s="493" t="s">
        <v>746</v>
      </c>
      <c r="U11" s="493" t="s">
        <v>747</v>
      </c>
      <c r="V11" s="493" t="s">
        <v>2119</v>
      </c>
      <c r="W11" s="493" t="s">
        <v>2120</v>
      </c>
      <c r="X11" s="169" t="s">
        <v>705</v>
      </c>
      <c r="Y11" s="493" t="s">
        <v>706</v>
      </c>
      <c r="Z11" s="493" t="s">
        <v>658</v>
      </c>
      <c r="AA11" s="493" t="s">
        <v>709</v>
      </c>
      <c r="AB11" s="493" t="s">
        <v>710</v>
      </c>
      <c r="AC11" s="493" t="s">
        <v>711</v>
      </c>
      <c r="AD11" s="493" t="s">
        <v>2121</v>
      </c>
      <c r="AE11" s="493" t="s">
        <v>2122</v>
      </c>
      <c r="AF11" s="493" t="s">
        <v>714</v>
      </c>
      <c r="AG11" s="493" t="s">
        <v>759</v>
      </c>
      <c r="AH11" s="493" t="s">
        <v>760</v>
      </c>
      <c r="AI11" s="493" t="s">
        <v>761</v>
      </c>
      <c r="AJ11" s="493" t="s">
        <v>715</v>
      </c>
      <c r="AK11" s="493" t="s">
        <v>715</v>
      </c>
      <c r="AL11" s="493" t="s">
        <v>715</v>
      </c>
      <c r="AM11" s="493" t="s">
        <v>611</v>
      </c>
      <c r="AN11" s="493" t="s">
        <v>611</v>
      </c>
      <c r="AO11" s="493" t="s">
        <v>611</v>
      </c>
      <c r="AP11" s="493" t="s">
        <v>762</v>
      </c>
      <c r="AQ11" s="493" t="s">
        <v>661</v>
      </c>
      <c r="AR11" s="493" t="s">
        <v>660</v>
      </c>
      <c r="AS11" s="493" t="s">
        <v>659</v>
      </c>
      <c r="AT11" s="493" t="s">
        <v>73</v>
      </c>
      <c r="AU11" s="492" t="s">
        <v>528</v>
      </c>
      <c r="AV11" s="492" t="s">
        <v>528</v>
      </c>
      <c r="AW11" s="492" t="s">
        <v>528</v>
      </c>
      <c r="AX11" s="492" t="s">
        <v>528</v>
      </c>
      <c r="AY11" s="493" t="s">
        <v>528</v>
      </c>
      <c r="AZ11" s="492" t="s">
        <v>529</v>
      </c>
      <c r="BA11" s="492" t="s">
        <v>529</v>
      </c>
      <c r="BB11" s="492" t="s">
        <v>529</v>
      </c>
      <c r="BC11" s="493" t="s">
        <v>529</v>
      </c>
      <c r="BD11" s="492" t="s">
        <v>529</v>
      </c>
      <c r="BE11" s="492" t="s">
        <v>749</v>
      </c>
      <c r="BF11" s="492" t="s">
        <v>750</v>
      </c>
      <c r="BG11" s="492" t="s">
        <v>751</v>
      </c>
      <c r="BH11" s="492" t="s">
        <v>752</v>
      </c>
      <c r="BI11" s="492" t="s">
        <v>753</v>
      </c>
      <c r="BJ11" s="492" t="s">
        <v>754</v>
      </c>
      <c r="BK11" s="492" t="s">
        <v>662</v>
      </c>
      <c r="BL11" s="492" t="s">
        <v>663</v>
      </c>
      <c r="BM11" s="492" t="s">
        <v>664</v>
      </c>
      <c r="BN11" s="492" t="s">
        <v>665</v>
      </c>
      <c r="BO11" s="492" t="s">
        <v>666</v>
      </c>
      <c r="BP11" s="492" t="s">
        <v>667</v>
      </c>
      <c r="BQ11" s="492" t="s">
        <v>668</v>
      </c>
      <c r="BR11" s="492" t="s">
        <v>669</v>
      </c>
      <c r="BS11" s="494" t="s">
        <v>680</v>
      </c>
      <c r="BT11" s="494" t="s">
        <v>681</v>
      </c>
      <c r="BU11" s="494" t="s">
        <v>682</v>
      </c>
      <c r="BV11" s="494" t="s">
        <v>683</v>
      </c>
      <c r="BW11" s="494" t="s">
        <v>684</v>
      </c>
      <c r="BX11" s="494" t="s">
        <v>1269</v>
      </c>
      <c r="BY11" s="494" t="s">
        <v>1270</v>
      </c>
      <c r="BZ11" s="494" t="s">
        <v>1271</v>
      </c>
      <c r="CB11" s="491" t="s">
        <v>763</v>
      </c>
      <c r="CC11" s="491" t="s">
        <v>249</v>
      </c>
      <c r="CD11" s="491" t="s">
        <v>250</v>
      </c>
      <c r="CE11" s="492" t="s">
        <v>719</v>
      </c>
    </row>
    <row r="12" spans="1:86">
      <c r="CE12" s="491"/>
    </row>
    <row r="13" spans="1:86" s="492" customFormat="1" ht="12.75">
      <c r="A13" s="493" t="s">
        <v>2123</v>
      </c>
      <c r="B13" s="541" t="s">
        <v>2124</v>
      </c>
      <c r="C13" s="493" t="s">
        <v>2125</v>
      </c>
      <c r="D13" s="493" t="s">
        <v>687</v>
      </c>
      <c r="E13" s="540">
        <v>43100</v>
      </c>
      <c r="F13" s="540">
        <v>43190</v>
      </c>
      <c r="G13" s="540">
        <v>38134</v>
      </c>
      <c r="H13" s="542">
        <v>1608.02955</v>
      </c>
      <c r="I13" s="542">
        <v>15.27</v>
      </c>
      <c r="J13" s="542">
        <v>1906.0925500000001</v>
      </c>
      <c r="K13" s="542">
        <v>0</v>
      </c>
      <c r="L13" s="542">
        <v>0</v>
      </c>
      <c r="M13" s="542">
        <v>0</v>
      </c>
      <c r="N13" s="542">
        <v>298.06299999999999</v>
      </c>
      <c r="O13" s="542">
        <v>6.0999999999999999E-2</v>
      </c>
      <c r="P13" s="542">
        <v>32.613</v>
      </c>
      <c r="Q13" s="542">
        <v>158.483</v>
      </c>
      <c r="R13" s="542">
        <v>17.331</v>
      </c>
      <c r="S13" s="542">
        <v>124.901</v>
      </c>
      <c r="T13" s="542">
        <v>261.38290999999998</v>
      </c>
      <c r="U13" s="542">
        <v>415.07722999999999</v>
      </c>
      <c r="V13" s="542">
        <v>788.02</v>
      </c>
      <c r="W13" s="542">
        <v>1425.6933300000001</v>
      </c>
      <c r="X13" s="542">
        <v>-173.65899999999999</v>
      </c>
      <c r="Y13" s="542">
        <v>-308.94499999999999</v>
      </c>
      <c r="Z13" s="542">
        <v>-255.673</v>
      </c>
      <c r="AA13" s="542">
        <v>-270.98700000000002</v>
      </c>
      <c r="AB13" s="542">
        <v>-289.697</v>
      </c>
      <c r="AC13" s="542">
        <v>-217.79479000000001</v>
      </c>
      <c r="AD13" s="542">
        <v>-132.79400000000001</v>
      </c>
      <c r="AE13" s="542">
        <v>159.08000000000001</v>
      </c>
      <c r="AF13" s="543">
        <v>-5.1614000000000007E-2</v>
      </c>
      <c r="AG13" s="543">
        <v>-1.613251</v>
      </c>
      <c r="AH13" s="543">
        <v>-1.63114</v>
      </c>
      <c r="AI13" s="543">
        <v>-1.6144059999999998</v>
      </c>
      <c r="AJ13" s="542">
        <v>-16.013000000000002</v>
      </c>
      <c r="AK13" s="542">
        <v>-24.992999999999999</v>
      </c>
      <c r="AL13" s="542">
        <v>-4.1379999999999999</v>
      </c>
      <c r="AM13" s="542">
        <v>-1.36</v>
      </c>
      <c r="AN13" s="542">
        <v>-1.784</v>
      </c>
      <c r="AO13" s="542">
        <v>-0.77500000000000002</v>
      </c>
      <c r="AP13" s="544" t="s">
        <v>2126</v>
      </c>
      <c r="AQ13" s="545">
        <v>1.8105100000000001</v>
      </c>
      <c r="AR13" s="545">
        <v>2.3029099999999998</v>
      </c>
      <c r="AS13" s="545">
        <v>3.6416200000000001</v>
      </c>
      <c r="AT13" s="543">
        <v>0</v>
      </c>
      <c r="AU13" s="542">
        <v>-173.83</v>
      </c>
      <c r="AV13" s="542">
        <v>-309.47399999999999</v>
      </c>
      <c r="AW13" s="542">
        <v>-255.85599999999999</v>
      </c>
      <c r="AX13" s="542">
        <v>-271.39299999999997</v>
      </c>
      <c r="AY13" s="542">
        <v>-289.40300000000002</v>
      </c>
      <c r="AZ13" s="542">
        <v>445.25099999999998</v>
      </c>
      <c r="BA13" s="542">
        <v>457.524</v>
      </c>
      <c r="BB13" s="542">
        <v>304.16899999999998</v>
      </c>
      <c r="BC13" s="542">
        <v>518.41099999999994</v>
      </c>
      <c r="BD13" s="542">
        <v>335.28500000000003</v>
      </c>
      <c r="BE13" s="542" t="s">
        <v>4027</v>
      </c>
      <c r="BF13" s="542" t="s">
        <v>4027</v>
      </c>
      <c r="BG13" s="542" t="s">
        <v>4027</v>
      </c>
      <c r="BH13" s="492" t="s">
        <v>4027</v>
      </c>
      <c r="BI13" s="492" t="s">
        <v>4027</v>
      </c>
      <c r="BJ13" s="542" t="s">
        <v>4027</v>
      </c>
      <c r="BK13" s="492" t="s">
        <v>686</v>
      </c>
      <c r="BL13" s="492">
        <v>49.971384</v>
      </c>
      <c r="BM13" s="492">
        <v>10.901954</v>
      </c>
      <c r="BN13" s="492">
        <v>1.0064090000000001</v>
      </c>
      <c r="BO13" s="492" t="s">
        <v>13</v>
      </c>
      <c r="BP13" s="492" t="s">
        <v>13</v>
      </c>
      <c r="BQ13" s="492" t="s">
        <v>13</v>
      </c>
      <c r="BR13" s="496">
        <v>1.7888353955944802E-2</v>
      </c>
      <c r="BS13" s="546">
        <v>0.64880599142897266</v>
      </c>
      <c r="BT13" s="546">
        <v>0.58252533739595691</v>
      </c>
      <c r="BU13" s="546">
        <v>0.62802538852908885</v>
      </c>
      <c r="BV13" s="546">
        <v>0.60104330440966869</v>
      </c>
      <c r="BW13" s="546">
        <v>0.60253741475360179</v>
      </c>
      <c r="BX13" s="546">
        <v>0.73682913406937545</v>
      </c>
      <c r="BY13" s="546">
        <v>0.73182300193684113</v>
      </c>
      <c r="BZ13" s="546">
        <v>0.74384858559525979</v>
      </c>
      <c r="CB13" s="492">
        <v>2</v>
      </c>
      <c r="CC13" s="55" t="s">
        <v>253</v>
      </c>
      <c r="CD13" s="55" t="s">
        <v>252</v>
      </c>
      <c r="CE13" s="494">
        <v>42551</v>
      </c>
    </row>
    <row r="14" spans="1:86" s="492" customFormat="1" ht="12.75">
      <c r="A14" s="493" t="s">
        <v>1454</v>
      </c>
      <c r="B14" s="541" t="s">
        <v>1456</v>
      </c>
      <c r="C14" s="493" t="s">
        <v>1453</v>
      </c>
      <c r="D14" s="493" t="s">
        <v>685</v>
      </c>
      <c r="E14" s="540">
        <v>43100</v>
      </c>
      <c r="F14" s="540">
        <v>43190</v>
      </c>
      <c r="G14" s="540">
        <v>43013</v>
      </c>
      <c r="H14" s="542">
        <v>930.20021999999994</v>
      </c>
      <c r="I14" s="542">
        <v>31.26</v>
      </c>
      <c r="J14" s="542">
        <v>1066.6532199999999</v>
      </c>
      <c r="K14" s="542">
        <v>0</v>
      </c>
      <c r="L14" s="542">
        <v>0</v>
      </c>
      <c r="M14" s="542">
        <v>0</v>
      </c>
      <c r="N14" s="542">
        <v>136.453</v>
      </c>
      <c r="O14" s="542">
        <v>0</v>
      </c>
      <c r="P14" s="542">
        <v>0</v>
      </c>
      <c r="Q14" s="542">
        <v>0</v>
      </c>
      <c r="R14" s="542">
        <v>0</v>
      </c>
      <c r="S14" s="542">
        <v>0</v>
      </c>
      <c r="T14" s="542" t="s">
        <v>13</v>
      </c>
      <c r="U14" s="542">
        <v>0.67901999999999996</v>
      </c>
      <c r="V14" s="542">
        <v>44</v>
      </c>
      <c r="W14" s="542">
        <v>142.5</v>
      </c>
      <c r="X14" s="542">
        <v>0</v>
      </c>
      <c r="Y14" s="542">
        <v>0</v>
      </c>
      <c r="Z14" s="542">
        <v>-42.793999999999997</v>
      </c>
      <c r="AA14" s="542">
        <v>-25.760999999999999</v>
      </c>
      <c r="AB14" s="542">
        <v>-32.189</v>
      </c>
      <c r="AC14" s="542">
        <v>-51.885309999999997</v>
      </c>
      <c r="AD14" s="542">
        <v>-63.808480000000003</v>
      </c>
      <c r="AE14" s="542" t="s">
        <v>13</v>
      </c>
      <c r="AF14" s="543">
        <v>0</v>
      </c>
      <c r="AG14" s="543">
        <v>0</v>
      </c>
      <c r="AH14" s="543">
        <v>0</v>
      </c>
      <c r="AI14" s="543">
        <v>0</v>
      </c>
      <c r="AJ14" s="542">
        <v>0</v>
      </c>
      <c r="AK14" s="542">
        <v>-3.21</v>
      </c>
      <c r="AL14" s="542">
        <v>-3.6179999999999999</v>
      </c>
      <c r="AM14" s="542">
        <v>-0.57799999999999996</v>
      </c>
      <c r="AN14" s="542">
        <v>-0.496</v>
      </c>
      <c r="AO14" s="542">
        <v>-0.13300000000000001</v>
      </c>
      <c r="AP14" s="544" t="s">
        <v>2127</v>
      </c>
      <c r="AQ14" s="545">
        <v>1.56447</v>
      </c>
      <c r="AR14" s="545" t="s">
        <v>13</v>
      </c>
      <c r="AS14" s="545" t="s">
        <v>13</v>
      </c>
      <c r="AT14" s="543">
        <v>0</v>
      </c>
      <c r="AU14" s="542">
        <v>-15.553000000000001</v>
      </c>
      <c r="AV14" s="542">
        <v>-26.847000000000001</v>
      </c>
      <c r="AW14" s="542">
        <v>-43.808</v>
      </c>
      <c r="AX14" s="542">
        <v>-25.872</v>
      </c>
      <c r="AY14" s="542">
        <v>-33.709000000000003</v>
      </c>
      <c r="AZ14" s="542">
        <v>32.000999999999998</v>
      </c>
      <c r="BA14" s="542">
        <v>21.574999999999999</v>
      </c>
      <c r="BB14" s="542">
        <v>133.65799999999999</v>
      </c>
      <c r="BC14" s="542">
        <v>7.2969999999999997</v>
      </c>
      <c r="BD14" s="542">
        <v>144.78800000000001</v>
      </c>
      <c r="BE14" s="542" t="s">
        <v>4027</v>
      </c>
      <c r="BF14" s="542" t="s">
        <v>4027</v>
      </c>
      <c r="BG14" s="542" t="s">
        <v>4027</v>
      </c>
      <c r="BH14" s="492" t="s">
        <v>4027</v>
      </c>
      <c r="BI14" s="492" t="s">
        <v>4027</v>
      </c>
      <c r="BJ14" s="542" t="s">
        <v>4027</v>
      </c>
      <c r="BK14" s="492" t="s">
        <v>13</v>
      </c>
      <c r="BL14" s="492">
        <v>0</v>
      </c>
      <c r="BM14" s="492">
        <v>0</v>
      </c>
      <c r="BN14" s="492">
        <v>0</v>
      </c>
      <c r="BO14" s="492">
        <v>0</v>
      </c>
      <c r="BP14" s="492">
        <v>0</v>
      </c>
      <c r="BQ14" s="492">
        <v>0</v>
      </c>
      <c r="BR14" s="496" t="s">
        <v>686</v>
      </c>
      <c r="BS14" s="546">
        <v>0.75506822835532827</v>
      </c>
      <c r="BT14" s="546" t="s">
        <v>13</v>
      </c>
      <c r="BU14" s="546" t="s">
        <v>13</v>
      </c>
      <c r="BV14" s="546" t="s">
        <v>13</v>
      </c>
      <c r="BW14" s="546" t="s">
        <v>13</v>
      </c>
      <c r="BX14" s="546" t="s">
        <v>13</v>
      </c>
      <c r="BY14" s="546" t="s">
        <v>13</v>
      </c>
      <c r="BZ14" s="546" t="s">
        <v>13</v>
      </c>
      <c r="CB14" s="492">
        <v>2</v>
      </c>
      <c r="CC14" s="55" t="s">
        <v>253</v>
      </c>
      <c r="CD14" s="55" t="s">
        <v>252</v>
      </c>
      <c r="CE14" s="494">
        <v>42551</v>
      </c>
    </row>
    <row r="15" spans="1:86" s="492" customFormat="1" ht="12.75">
      <c r="A15" s="493" t="s">
        <v>2128</v>
      </c>
      <c r="B15" s="541" t="s">
        <v>2129</v>
      </c>
      <c r="C15" s="493" t="s">
        <v>2130</v>
      </c>
      <c r="D15" s="493" t="s">
        <v>717</v>
      </c>
      <c r="E15" s="540">
        <v>43100</v>
      </c>
      <c r="F15" s="540">
        <v>43190</v>
      </c>
      <c r="G15" s="540">
        <v>40529</v>
      </c>
      <c r="H15" s="542">
        <v>696.63467000000003</v>
      </c>
      <c r="I15" s="542">
        <v>39.21</v>
      </c>
      <c r="J15" s="542">
        <v>805.79364999999996</v>
      </c>
      <c r="K15" s="542">
        <v>0</v>
      </c>
      <c r="L15" s="542">
        <v>0</v>
      </c>
      <c r="M15" s="542">
        <v>0</v>
      </c>
      <c r="N15" s="542">
        <v>109.15898</v>
      </c>
      <c r="O15" s="542">
        <v>0</v>
      </c>
      <c r="P15" s="542">
        <v>0.68437000000000003</v>
      </c>
      <c r="Q15" s="542">
        <v>11.89944</v>
      </c>
      <c r="R15" s="542">
        <v>0</v>
      </c>
      <c r="S15" s="542">
        <v>9.0187500000000007</v>
      </c>
      <c r="T15" s="542">
        <v>10.15503</v>
      </c>
      <c r="U15" s="542">
        <v>11.85</v>
      </c>
      <c r="V15" s="542">
        <v>17.3</v>
      </c>
      <c r="W15" s="542">
        <v>47.3</v>
      </c>
      <c r="X15" s="542">
        <v>-33.65992</v>
      </c>
      <c r="Y15" s="542">
        <v>-47.837530000000001</v>
      </c>
      <c r="Z15" s="542">
        <v>-54.613799999999998</v>
      </c>
      <c r="AA15" s="542">
        <v>-45.198210000000003</v>
      </c>
      <c r="AB15" s="542">
        <v>-52.007649999999998</v>
      </c>
      <c r="AC15" s="542" t="s">
        <v>13</v>
      </c>
      <c r="AD15" s="542" t="s">
        <v>13</v>
      </c>
      <c r="AE15" s="542" t="s">
        <v>13</v>
      </c>
      <c r="AF15" s="543" t="s">
        <v>13</v>
      </c>
      <c r="AG15" s="543" t="s">
        <v>13</v>
      </c>
      <c r="AH15" s="543" t="s">
        <v>13</v>
      </c>
      <c r="AI15" s="543" t="s">
        <v>13</v>
      </c>
      <c r="AJ15" s="542">
        <v>-2.8036599999999998</v>
      </c>
      <c r="AK15" s="542">
        <v>-9.6579700000000006</v>
      </c>
      <c r="AL15" s="542">
        <v>-8.1133100000000002</v>
      </c>
      <c r="AM15" s="542">
        <v>-2.971E-2</v>
      </c>
      <c r="AN15" s="542">
        <v>-0.14416999999999999</v>
      </c>
      <c r="AO15" s="542">
        <v>-0.90412000000000003</v>
      </c>
      <c r="AP15" s="544" t="s">
        <v>2131</v>
      </c>
      <c r="AQ15" s="545">
        <v>1.7247699999999999</v>
      </c>
      <c r="AR15" s="545">
        <v>0.77400999999999998</v>
      </c>
      <c r="AS15" s="545">
        <v>0.82081000000000004</v>
      </c>
      <c r="AT15" s="543">
        <v>0</v>
      </c>
      <c r="AU15" s="542">
        <v>-32.297440000000002</v>
      </c>
      <c r="AV15" s="542">
        <v>-47.203600000000002</v>
      </c>
      <c r="AW15" s="542">
        <v>-45.126710000000003</v>
      </c>
      <c r="AX15" s="542">
        <v>-44.261560000000003</v>
      </c>
      <c r="AY15" s="542">
        <v>-42.808549999999997</v>
      </c>
      <c r="AZ15" s="542">
        <v>109.28498</v>
      </c>
      <c r="BA15" s="542">
        <v>67.888159999999999</v>
      </c>
      <c r="BB15" s="542">
        <v>102.38124999999999</v>
      </c>
      <c r="BC15" s="542">
        <v>79.878</v>
      </c>
      <c r="BD15" s="542">
        <v>113.11977</v>
      </c>
      <c r="BE15" s="542" t="s">
        <v>4027</v>
      </c>
      <c r="BF15" s="542" t="s">
        <v>4027</v>
      </c>
      <c r="BG15" s="542" t="s">
        <v>4027</v>
      </c>
      <c r="BH15" s="492" t="s">
        <v>4027</v>
      </c>
      <c r="BI15" s="492" t="s">
        <v>4027</v>
      </c>
      <c r="BJ15" s="542" t="s">
        <v>4027</v>
      </c>
      <c r="BK15" s="492" t="s">
        <v>686</v>
      </c>
      <c r="BL15" s="492">
        <v>0</v>
      </c>
      <c r="BM15" s="492">
        <v>0</v>
      </c>
      <c r="BN15" s="492">
        <v>0</v>
      </c>
      <c r="BO15" s="492" t="s">
        <v>13</v>
      </c>
      <c r="BP15" s="492" t="s">
        <v>13</v>
      </c>
      <c r="BQ15" s="492" t="s">
        <v>13</v>
      </c>
      <c r="BR15" s="496">
        <v>2.9866951722097846E-2</v>
      </c>
      <c r="BS15" s="546">
        <v>0.51581867616959842</v>
      </c>
      <c r="BT15" s="546">
        <v>0.53098119755231199</v>
      </c>
      <c r="BU15" s="546">
        <v>0.61179906568161346</v>
      </c>
      <c r="BV15" s="546">
        <v>0.65170735229916987</v>
      </c>
      <c r="BW15" s="546">
        <v>0.78950004378678795</v>
      </c>
      <c r="BX15" s="546">
        <v>0.76516734376148998</v>
      </c>
      <c r="BY15" s="546">
        <v>0.81212954472395738</v>
      </c>
      <c r="BZ15" s="546">
        <v>0.80538454694258466</v>
      </c>
      <c r="CB15" s="492">
        <v>2</v>
      </c>
      <c r="CC15" s="55" t="s">
        <v>253</v>
      </c>
      <c r="CD15" s="55" t="s">
        <v>252</v>
      </c>
      <c r="CE15" s="494">
        <v>42551</v>
      </c>
    </row>
    <row r="16" spans="1:86" s="492" customFormat="1" ht="12.75">
      <c r="A16" s="493" t="s">
        <v>972</v>
      </c>
      <c r="B16" s="541" t="s">
        <v>974</v>
      </c>
      <c r="C16" s="493" t="s">
        <v>721</v>
      </c>
      <c r="D16" s="493" t="s">
        <v>687</v>
      </c>
      <c r="E16" s="540">
        <v>43100</v>
      </c>
      <c r="F16" s="540">
        <v>43190</v>
      </c>
      <c r="G16" s="540">
        <v>42319</v>
      </c>
      <c r="H16" s="542">
        <v>413.35426000000001</v>
      </c>
      <c r="I16" s="542">
        <v>19.54</v>
      </c>
      <c r="J16" s="542">
        <v>631.55226000000005</v>
      </c>
      <c r="K16" s="542">
        <v>0</v>
      </c>
      <c r="L16" s="542">
        <v>0</v>
      </c>
      <c r="M16" s="542">
        <v>0</v>
      </c>
      <c r="N16" s="542">
        <v>218.19800000000001</v>
      </c>
      <c r="O16" s="542">
        <v>19.588000000000001</v>
      </c>
      <c r="P16" s="542">
        <v>10.853999999999999</v>
      </c>
      <c r="Q16" s="542">
        <v>9.6129999999999995</v>
      </c>
      <c r="R16" s="542">
        <v>14.22</v>
      </c>
      <c r="S16" s="542">
        <v>10.135</v>
      </c>
      <c r="T16" s="542">
        <v>9.1322500000000009</v>
      </c>
      <c r="U16" s="542">
        <v>19.754439999999999</v>
      </c>
      <c r="V16" s="542">
        <v>11.54833</v>
      </c>
      <c r="W16" s="542">
        <v>15.6775</v>
      </c>
      <c r="X16" s="542">
        <v>-22.288</v>
      </c>
      <c r="Y16" s="542">
        <v>-50.561</v>
      </c>
      <c r="Z16" s="542">
        <v>-73.7</v>
      </c>
      <c r="AA16" s="542">
        <v>-40.686999999999998</v>
      </c>
      <c r="AB16" s="542">
        <v>-70.268000000000001</v>
      </c>
      <c r="AC16" s="542">
        <v>-91.902000000000001</v>
      </c>
      <c r="AD16" s="542">
        <v>-110.76867</v>
      </c>
      <c r="AE16" s="542">
        <v>-94.6</v>
      </c>
      <c r="AF16" s="543" t="s">
        <v>13</v>
      </c>
      <c r="AG16" s="543" t="s">
        <v>13</v>
      </c>
      <c r="AH16" s="543" t="s">
        <v>13</v>
      </c>
      <c r="AI16" s="543" t="s">
        <v>13</v>
      </c>
      <c r="AJ16" s="542">
        <v>-21.370999999999999</v>
      </c>
      <c r="AK16" s="542">
        <v>-7.6539999999999999</v>
      </c>
      <c r="AL16" s="542">
        <v>-28.507000000000001</v>
      </c>
      <c r="AM16" s="542">
        <v>-1.34</v>
      </c>
      <c r="AN16" s="542">
        <v>-7.5140000000000002</v>
      </c>
      <c r="AO16" s="542">
        <v>-2.6469999999999998</v>
      </c>
      <c r="AP16" s="544" t="s">
        <v>2132</v>
      </c>
      <c r="AQ16" s="545">
        <v>1.7963</v>
      </c>
      <c r="AR16" s="545">
        <v>1.89943</v>
      </c>
      <c r="AS16" s="545">
        <v>3.0486499999999999</v>
      </c>
      <c r="AT16" s="543">
        <v>0</v>
      </c>
      <c r="AU16" s="542">
        <v>-22.283000000000001</v>
      </c>
      <c r="AV16" s="542">
        <v>-49.652999999999999</v>
      </c>
      <c r="AW16" s="542">
        <v>-73.975999999999999</v>
      </c>
      <c r="AX16" s="542">
        <v>-40.192999999999998</v>
      </c>
      <c r="AY16" s="542">
        <v>-70.697999999999993</v>
      </c>
      <c r="AZ16" s="542">
        <v>163.59700000000001</v>
      </c>
      <c r="BA16" s="542">
        <v>122.697</v>
      </c>
      <c r="BB16" s="542">
        <v>98.293000000000006</v>
      </c>
      <c r="BC16" s="542">
        <v>135.922</v>
      </c>
      <c r="BD16" s="542">
        <v>134.05099999999999</v>
      </c>
      <c r="BE16" s="542" t="s">
        <v>4027</v>
      </c>
      <c r="BF16" s="542" t="s">
        <v>4027</v>
      </c>
      <c r="BG16" s="542" t="s">
        <v>4027</v>
      </c>
      <c r="BH16" s="492" t="s">
        <v>4027</v>
      </c>
      <c r="BI16" s="492" t="s">
        <v>4027</v>
      </c>
      <c r="BJ16" s="542" t="s">
        <v>4027</v>
      </c>
      <c r="BK16" s="492" t="s">
        <v>686</v>
      </c>
      <c r="BL16" s="492">
        <v>-0.299458</v>
      </c>
      <c r="BM16" s="492">
        <v>0.55109200000000003</v>
      </c>
      <c r="BN16" s="492">
        <v>0</v>
      </c>
      <c r="BO16" s="492" t="s">
        <v>13</v>
      </c>
      <c r="BP16" s="492" t="s">
        <v>13</v>
      </c>
      <c r="BQ16" s="492">
        <v>0</v>
      </c>
      <c r="BR16" s="496">
        <v>0.1803807344221367</v>
      </c>
      <c r="BS16" s="546">
        <v>0.82950927699237276</v>
      </c>
      <c r="BT16" s="546">
        <v>0.69953331928686346</v>
      </c>
      <c r="BU16" s="546">
        <v>0.74099767206184253</v>
      </c>
      <c r="BV16" s="546" t="s">
        <v>13</v>
      </c>
      <c r="BW16" s="546" t="s">
        <v>13</v>
      </c>
      <c r="BX16" s="546" t="s">
        <v>13</v>
      </c>
      <c r="BY16" s="546" t="s">
        <v>13</v>
      </c>
      <c r="BZ16" s="546" t="s">
        <v>13</v>
      </c>
      <c r="CB16" s="492">
        <v>2</v>
      </c>
      <c r="CC16" s="55" t="s">
        <v>253</v>
      </c>
      <c r="CD16" s="55" t="s">
        <v>252</v>
      </c>
      <c r="CE16" s="494">
        <v>42551</v>
      </c>
    </row>
    <row r="17" spans="1:83" s="492" customFormat="1" ht="12.75">
      <c r="A17" s="493" t="s">
        <v>1163</v>
      </c>
      <c r="B17" s="541" t="s">
        <v>2133</v>
      </c>
      <c r="C17" s="493" t="s">
        <v>2134</v>
      </c>
      <c r="D17" s="493" t="s">
        <v>687</v>
      </c>
      <c r="E17" s="540">
        <v>43100</v>
      </c>
      <c r="F17" s="540">
        <v>43190</v>
      </c>
      <c r="G17" s="540">
        <v>41810</v>
      </c>
      <c r="H17" s="542">
        <v>294.85737</v>
      </c>
      <c r="I17" s="542">
        <v>10.23</v>
      </c>
      <c r="J17" s="542">
        <v>363.76737000000003</v>
      </c>
      <c r="K17" s="542">
        <v>20.16</v>
      </c>
      <c r="L17" s="542">
        <v>0</v>
      </c>
      <c r="M17" s="542">
        <v>0</v>
      </c>
      <c r="N17" s="542">
        <v>89.07</v>
      </c>
      <c r="O17" s="542">
        <v>0</v>
      </c>
      <c r="P17" s="542">
        <v>0</v>
      </c>
      <c r="Q17" s="542">
        <v>0</v>
      </c>
      <c r="R17" s="542">
        <v>0</v>
      </c>
      <c r="S17" s="542">
        <v>0</v>
      </c>
      <c r="T17" s="542" t="s">
        <v>13</v>
      </c>
      <c r="U17" s="542">
        <v>3.3333300000000001</v>
      </c>
      <c r="V17" s="542" t="s">
        <v>13</v>
      </c>
      <c r="W17" s="542" t="s">
        <v>13</v>
      </c>
      <c r="X17" s="542">
        <v>-78.314999999999998</v>
      </c>
      <c r="Y17" s="542">
        <v>-52.027000000000001</v>
      </c>
      <c r="Z17" s="542">
        <v>-55.238999999999997</v>
      </c>
      <c r="AA17" s="542">
        <v>-56.61</v>
      </c>
      <c r="AB17" s="542">
        <v>-52.811</v>
      </c>
      <c r="AC17" s="542" t="s">
        <v>13</v>
      </c>
      <c r="AD17" s="542" t="s">
        <v>13</v>
      </c>
      <c r="AE17" s="542" t="s">
        <v>13</v>
      </c>
      <c r="AF17" s="543">
        <v>0</v>
      </c>
      <c r="AG17" s="543">
        <v>0</v>
      </c>
      <c r="AH17" s="543">
        <v>0</v>
      </c>
      <c r="AI17" s="543">
        <v>0</v>
      </c>
      <c r="AJ17" s="542">
        <v>-7.2249999999999996</v>
      </c>
      <c r="AK17" s="542">
        <v>-4.0140000000000002</v>
      </c>
      <c r="AL17" s="542">
        <v>-5.1050000000000004</v>
      </c>
      <c r="AM17" s="542">
        <v>-0.96799999999999997</v>
      </c>
      <c r="AN17" s="542">
        <v>-0.27</v>
      </c>
      <c r="AO17" s="542">
        <v>-4.5999999999999999E-2</v>
      </c>
      <c r="AP17" s="544" t="s">
        <v>2135</v>
      </c>
      <c r="AQ17" s="545">
        <v>-1.17459</v>
      </c>
      <c r="AR17" s="545">
        <v>-0.30192999999999998</v>
      </c>
      <c r="AS17" s="545">
        <v>-0.58462000000000003</v>
      </c>
      <c r="AT17" s="543">
        <v>0</v>
      </c>
      <c r="AU17" s="542">
        <v>-78.55</v>
      </c>
      <c r="AV17" s="542">
        <v>-53.152999999999999</v>
      </c>
      <c r="AW17" s="542">
        <v>-54.972999999999999</v>
      </c>
      <c r="AX17" s="542">
        <v>-57.878</v>
      </c>
      <c r="AY17" s="542">
        <v>-52.027999999999999</v>
      </c>
      <c r="AZ17" s="542">
        <v>154.428</v>
      </c>
      <c r="BA17" s="542">
        <v>110.774</v>
      </c>
      <c r="BB17" s="542">
        <v>64.997</v>
      </c>
      <c r="BC17" s="542">
        <v>121.727</v>
      </c>
      <c r="BD17" s="542">
        <v>78.216999999999999</v>
      </c>
      <c r="BE17" s="542" t="s">
        <v>4027</v>
      </c>
      <c r="BF17" s="542" t="s">
        <v>4027</v>
      </c>
      <c r="BG17" s="542" t="s">
        <v>4027</v>
      </c>
      <c r="BH17" s="492" t="s">
        <v>4027</v>
      </c>
      <c r="BI17" s="492" t="s">
        <v>4027</v>
      </c>
      <c r="BJ17" s="542" t="s">
        <v>4027</v>
      </c>
      <c r="BK17" s="492" t="s">
        <v>13</v>
      </c>
      <c r="BL17" s="492">
        <v>0</v>
      </c>
      <c r="BM17" s="492">
        <v>0</v>
      </c>
      <c r="BN17" s="492">
        <v>0</v>
      </c>
      <c r="BO17" s="492" t="s">
        <v>13</v>
      </c>
      <c r="BP17" s="492" t="s">
        <v>13</v>
      </c>
      <c r="BQ17" s="492">
        <v>0</v>
      </c>
      <c r="BR17" s="496" t="s">
        <v>686</v>
      </c>
      <c r="BS17" s="546">
        <v>0.62800291493254212</v>
      </c>
      <c r="BT17" s="546">
        <v>0.78226227350182032</v>
      </c>
      <c r="BU17" s="546">
        <v>1.1302394832325817</v>
      </c>
      <c r="BV17" s="546">
        <v>1.020360192619892</v>
      </c>
      <c r="BW17" s="546">
        <v>1.0178372234009103</v>
      </c>
      <c r="BX17" s="546" t="s">
        <v>13</v>
      </c>
      <c r="BY17" s="546" t="s">
        <v>13</v>
      </c>
      <c r="BZ17" s="546" t="s">
        <v>13</v>
      </c>
      <c r="CB17" s="492">
        <v>2</v>
      </c>
      <c r="CC17" s="55" t="s">
        <v>253</v>
      </c>
      <c r="CD17" s="55" t="s">
        <v>252</v>
      </c>
      <c r="CE17" s="494">
        <v>42551</v>
      </c>
    </row>
    <row r="18" spans="1:83" s="492" customFormat="1" ht="12.75">
      <c r="A18" s="493" t="s">
        <v>1039</v>
      </c>
      <c r="B18" s="541" t="s">
        <v>1041</v>
      </c>
      <c r="C18" s="493" t="s">
        <v>1038</v>
      </c>
      <c r="D18" s="493" t="s">
        <v>687</v>
      </c>
      <c r="E18" s="540">
        <v>43100</v>
      </c>
      <c r="F18" s="540">
        <v>43190</v>
      </c>
      <c r="G18" s="540">
        <v>42181</v>
      </c>
      <c r="H18" s="542">
        <v>227.41893999999999</v>
      </c>
      <c r="I18" s="542">
        <v>8.6</v>
      </c>
      <c r="J18" s="542">
        <v>349.61295000000001</v>
      </c>
      <c r="K18" s="542">
        <v>0</v>
      </c>
      <c r="L18" s="542">
        <v>0</v>
      </c>
      <c r="M18" s="542">
        <v>0</v>
      </c>
      <c r="N18" s="542">
        <v>122.194</v>
      </c>
      <c r="O18" s="542">
        <v>2.71</v>
      </c>
      <c r="P18" s="542">
        <v>22.071000000000002</v>
      </c>
      <c r="Q18" s="542">
        <v>33.055999999999997</v>
      </c>
      <c r="R18" s="542">
        <v>21.765999999999998</v>
      </c>
      <c r="S18" s="542">
        <v>32.1</v>
      </c>
      <c r="T18" s="542">
        <v>29.106300000000001</v>
      </c>
      <c r="U18" s="542">
        <v>16.6995</v>
      </c>
      <c r="V18" s="542">
        <v>101.8246</v>
      </c>
      <c r="W18" s="542">
        <v>240.24074999999999</v>
      </c>
      <c r="X18" s="542">
        <v>-65.582999999999998</v>
      </c>
      <c r="Y18" s="542">
        <v>-93.263999999999996</v>
      </c>
      <c r="Z18" s="542">
        <v>-86.301000000000002</v>
      </c>
      <c r="AA18" s="542">
        <v>-88.634</v>
      </c>
      <c r="AB18" s="542">
        <v>-84.135999999999996</v>
      </c>
      <c r="AC18" s="542">
        <v>-96.689959999999999</v>
      </c>
      <c r="AD18" s="542">
        <v>-123.65827</v>
      </c>
      <c r="AE18" s="542">
        <v>-112.498</v>
      </c>
      <c r="AF18" s="543">
        <v>-1.8065100000000001</v>
      </c>
      <c r="AG18" s="543">
        <v>-2.610751</v>
      </c>
      <c r="AH18" s="543">
        <v>-2.8367309999999999</v>
      </c>
      <c r="AI18" s="543">
        <v>-2.7778609999999997</v>
      </c>
      <c r="AJ18" s="542">
        <v>-21.254000000000001</v>
      </c>
      <c r="AK18" s="542">
        <v>-22.056000000000001</v>
      </c>
      <c r="AL18" s="542">
        <v>-30.89</v>
      </c>
      <c r="AM18" s="542">
        <v>-7.548</v>
      </c>
      <c r="AN18" s="542">
        <v>-20.338999999999999</v>
      </c>
      <c r="AO18" s="542">
        <v>-3.3820000000000001</v>
      </c>
      <c r="AP18" s="544" t="s">
        <v>2136</v>
      </c>
      <c r="AQ18" s="545">
        <v>1.42967</v>
      </c>
      <c r="AR18" s="545">
        <v>1.7229300000000001</v>
      </c>
      <c r="AS18" s="545">
        <v>0.49370999999999998</v>
      </c>
      <c r="AT18" s="543">
        <v>0</v>
      </c>
      <c r="AU18" s="542">
        <v>-66.513000000000005</v>
      </c>
      <c r="AV18" s="542">
        <v>-97.349000000000004</v>
      </c>
      <c r="AW18" s="542">
        <v>-91.825000000000003</v>
      </c>
      <c r="AX18" s="542">
        <v>-91.578999999999994</v>
      </c>
      <c r="AY18" s="542">
        <v>-89.38</v>
      </c>
      <c r="AZ18" s="542">
        <v>189.82900000000001</v>
      </c>
      <c r="BA18" s="542">
        <v>111.453</v>
      </c>
      <c r="BB18" s="542">
        <v>10.032999999999999</v>
      </c>
      <c r="BC18" s="542">
        <v>132.631</v>
      </c>
      <c r="BD18" s="542">
        <v>60.698999999999998</v>
      </c>
      <c r="BE18" s="542" t="s">
        <v>4027</v>
      </c>
      <c r="BF18" s="542" t="s">
        <v>4027</v>
      </c>
      <c r="BG18" s="542" t="s">
        <v>4027</v>
      </c>
      <c r="BH18" s="492" t="s">
        <v>4027</v>
      </c>
      <c r="BI18" s="492" t="s">
        <v>4027</v>
      </c>
      <c r="BJ18" s="542" t="s">
        <v>4027</v>
      </c>
      <c r="BK18" s="492" t="s">
        <v>13</v>
      </c>
      <c r="BL18" s="492">
        <v>2.4925329999999999</v>
      </c>
      <c r="BM18" s="492">
        <v>0</v>
      </c>
      <c r="BN18" s="492">
        <v>0</v>
      </c>
      <c r="BO18" s="492" t="s">
        <v>13</v>
      </c>
      <c r="BP18" s="492" t="s">
        <v>13</v>
      </c>
      <c r="BQ18" s="492">
        <v>0</v>
      </c>
      <c r="BR18" s="496">
        <v>0.22598015488867379</v>
      </c>
      <c r="BS18" s="546">
        <v>0.55699337102406377</v>
      </c>
      <c r="BT18" s="546">
        <v>1.0233551347357785</v>
      </c>
      <c r="BU18" s="546">
        <v>0.9382914450442692</v>
      </c>
      <c r="BV18" s="546">
        <v>0.95360103062997992</v>
      </c>
      <c r="BW18" s="546" t="s">
        <v>13</v>
      </c>
      <c r="BX18" s="546" t="s">
        <v>13</v>
      </c>
      <c r="BY18" s="546" t="s">
        <v>13</v>
      </c>
      <c r="BZ18" s="546" t="s">
        <v>13</v>
      </c>
      <c r="CB18" s="492">
        <v>2</v>
      </c>
      <c r="CC18" s="55" t="s">
        <v>253</v>
      </c>
      <c r="CD18" s="55" t="s">
        <v>252</v>
      </c>
      <c r="CE18" s="494">
        <v>42551</v>
      </c>
    </row>
    <row r="19" spans="1:83" s="492" customFormat="1" ht="12.75">
      <c r="A19" s="493" t="s">
        <v>2137</v>
      </c>
      <c r="B19" s="541" t="s">
        <v>2138</v>
      </c>
      <c r="C19" s="493" t="s">
        <v>2139</v>
      </c>
      <c r="D19" s="493" t="s">
        <v>2140</v>
      </c>
      <c r="E19" s="540">
        <v>43100</v>
      </c>
      <c r="F19" s="540">
        <v>43190</v>
      </c>
      <c r="G19" s="540">
        <v>42012</v>
      </c>
      <c r="H19" s="542">
        <v>204.76295999999999</v>
      </c>
      <c r="I19" s="542">
        <v>5</v>
      </c>
      <c r="J19" s="542">
        <v>211.81835000000001</v>
      </c>
      <c r="K19" s="542">
        <v>1.40126</v>
      </c>
      <c r="L19" s="542">
        <v>0</v>
      </c>
      <c r="M19" s="542">
        <v>0</v>
      </c>
      <c r="N19" s="542">
        <v>8.4566599999999994</v>
      </c>
      <c r="O19" s="542">
        <v>0</v>
      </c>
      <c r="P19" s="542">
        <v>0</v>
      </c>
      <c r="Q19" s="542">
        <v>0</v>
      </c>
      <c r="R19" s="542">
        <v>0</v>
      </c>
      <c r="S19" s="542">
        <v>0</v>
      </c>
      <c r="T19" s="542" t="s">
        <v>13</v>
      </c>
      <c r="U19" s="542" t="s">
        <v>13</v>
      </c>
      <c r="V19" s="542" t="s">
        <v>13</v>
      </c>
      <c r="W19" s="542" t="s">
        <v>13</v>
      </c>
      <c r="X19" s="542">
        <v>-4.2691400000000002</v>
      </c>
      <c r="Y19" s="542">
        <v>-7.0307199999999996</v>
      </c>
      <c r="Z19" s="542">
        <v>-11.161670000000001</v>
      </c>
      <c r="AA19" s="542">
        <v>-6.0186000000000002</v>
      </c>
      <c r="AB19" s="542">
        <v>-9.8017199999999995</v>
      </c>
      <c r="AC19" s="542" t="s">
        <v>13</v>
      </c>
      <c r="AD19" s="542" t="s">
        <v>13</v>
      </c>
      <c r="AE19" s="542" t="s">
        <v>13</v>
      </c>
      <c r="AF19" s="543">
        <v>0</v>
      </c>
      <c r="AG19" s="543">
        <v>0</v>
      </c>
      <c r="AH19" s="543">
        <v>0</v>
      </c>
      <c r="AI19" s="543">
        <v>0</v>
      </c>
      <c r="AJ19" s="542">
        <v>-0.38286999999999999</v>
      </c>
      <c r="AK19" s="542">
        <v>-0.55620999999999998</v>
      </c>
      <c r="AL19" s="542">
        <v>-0.82562000000000002</v>
      </c>
      <c r="AM19" s="542">
        <v>-0.22181999999999999</v>
      </c>
      <c r="AN19" s="542">
        <v>-8.0490000000000006E-2</v>
      </c>
      <c r="AO19" s="542">
        <v>-3.2499999999999999E-3</v>
      </c>
      <c r="AP19" s="544" t="s">
        <v>2141</v>
      </c>
      <c r="AQ19" s="545">
        <v>3.0872299999999999</v>
      </c>
      <c r="AR19" s="545">
        <v>2.1240199999999998</v>
      </c>
      <c r="AS19" s="545">
        <v>2.83392</v>
      </c>
      <c r="AT19" s="543">
        <v>0</v>
      </c>
      <c r="AU19" s="542">
        <v>-4.31325</v>
      </c>
      <c r="AV19" s="542">
        <v>-7.0908100000000003</v>
      </c>
      <c r="AW19" s="542">
        <v>-11.18763</v>
      </c>
      <c r="AX19" s="542">
        <v>-6.0750000000000002</v>
      </c>
      <c r="AY19" s="542">
        <v>-9.8331499999999998</v>
      </c>
      <c r="AZ19" s="542">
        <v>8.7286800000000007</v>
      </c>
      <c r="BA19" s="542">
        <v>8.7828700000000008</v>
      </c>
      <c r="BB19" s="542">
        <v>6.4572799999999999</v>
      </c>
      <c r="BC19" s="542">
        <v>8.6979699999999998</v>
      </c>
      <c r="BD19" s="542">
        <v>7.6189099999999996</v>
      </c>
      <c r="BE19" s="542" t="s">
        <v>4027</v>
      </c>
      <c r="BF19" s="542" t="s">
        <v>4027</v>
      </c>
      <c r="BG19" s="542" t="s">
        <v>4027</v>
      </c>
      <c r="BH19" s="492" t="s">
        <v>4027</v>
      </c>
      <c r="BI19" s="492" t="s">
        <v>4027</v>
      </c>
      <c r="BJ19" s="542" t="s">
        <v>4027</v>
      </c>
      <c r="BK19" s="492" t="s">
        <v>13</v>
      </c>
      <c r="BL19" s="492">
        <v>0</v>
      </c>
      <c r="BM19" s="492">
        <v>0</v>
      </c>
      <c r="BN19" s="492">
        <v>0</v>
      </c>
      <c r="BO19" s="492" t="s">
        <v>13</v>
      </c>
      <c r="BP19" s="492" t="s">
        <v>13</v>
      </c>
      <c r="BQ19" s="492">
        <v>0</v>
      </c>
      <c r="BR19" s="496" t="s">
        <v>686</v>
      </c>
      <c r="BS19" s="546">
        <v>1.1006050499094084</v>
      </c>
      <c r="BT19" s="546">
        <v>0.96962907722855873</v>
      </c>
      <c r="BU19" s="546">
        <v>0.92782915284976175</v>
      </c>
      <c r="BV19" s="546">
        <v>0.89467871227668438</v>
      </c>
      <c r="BW19" s="546" t="s">
        <v>13</v>
      </c>
      <c r="BX19" s="546" t="s">
        <v>13</v>
      </c>
      <c r="BY19" s="546" t="s">
        <v>13</v>
      </c>
      <c r="BZ19" s="546" t="s">
        <v>13</v>
      </c>
      <c r="CB19" s="492">
        <v>2</v>
      </c>
      <c r="CC19" s="55" t="s">
        <v>253</v>
      </c>
      <c r="CD19" s="55" t="s">
        <v>252</v>
      </c>
      <c r="CE19" s="494">
        <v>42551</v>
      </c>
    </row>
    <row r="20" spans="1:83" s="492" customFormat="1" ht="12.75">
      <c r="A20" s="493" t="s">
        <v>2143</v>
      </c>
      <c r="B20" s="541" t="s">
        <v>2144</v>
      </c>
      <c r="C20" s="493" t="s">
        <v>2145</v>
      </c>
      <c r="D20" s="493" t="s">
        <v>687</v>
      </c>
      <c r="E20" s="540">
        <v>43100</v>
      </c>
      <c r="F20" s="540">
        <v>43190</v>
      </c>
      <c r="G20" s="540">
        <v>34431</v>
      </c>
      <c r="H20" s="542">
        <v>102.15013999999999</v>
      </c>
      <c r="I20" s="542">
        <v>0.70499999999999996</v>
      </c>
      <c r="J20" s="542">
        <v>74.768140000000002</v>
      </c>
      <c r="K20" s="542">
        <v>236.50700000000001</v>
      </c>
      <c r="L20" s="542">
        <v>0</v>
      </c>
      <c r="M20" s="542">
        <v>0</v>
      </c>
      <c r="N20" s="542">
        <v>209.125</v>
      </c>
      <c r="O20" s="542">
        <v>78.587999999999994</v>
      </c>
      <c r="P20" s="542">
        <v>135.946</v>
      </c>
      <c r="Q20" s="542">
        <v>50.261000000000003</v>
      </c>
      <c r="R20" s="542">
        <v>124.258</v>
      </c>
      <c r="S20" s="542">
        <v>65.373000000000005</v>
      </c>
      <c r="T20" s="542">
        <v>59.9</v>
      </c>
      <c r="U20" s="542">
        <v>60</v>
      </c>
      <c r="V20" s="542" t="s">
        <v>13</v>
      </c>
      <c r="W20" s="542" t="s">
        <v>13</v>
      </c>
      <c r="X20" s="542">
        <v>-24.63</v>
      </c>
      <c r="Y20" s="542">
        <v>68.491</v>
      </c>
      <c r="Z20" s="542">
        <v>-6.0170000000000003</v>
      </c>
      <c r="AA20" s="542">
        <v>56.765000000000001</v>
      </c>
      <c r="AB20" s="542">
        <v>3.6040000000000001</v>
      </c>
      <c r="AC20" s="542" t="s">
        <v>13</v>
      </c>
      <c r="AD20" s="542" t="s">
        <v>13</v>
      </c>
      <c r="AE20" s="542" t="s">
        <v>13</v>
      </c>
      <c r="AF20" s="543">
        <v>0.726607</v>
      </c>
      <c r="AG20" s="543">
        <v>-0.119715</v>
      </c>
      <c r="AH20" s="543">
        <v>-0.13396</v>
      </c>
      <c r="AI20" s="543">
        <v>-0.79799400000000009</v>
      </c>
      <c r="AJ20" s="542">
        <v>-7.5730000000000004</v>
      </c>
      <c r="AK20" s="542">
        <v>6.4130000000000003</v>
      </c>
      <c r="AL20" s="542">
        <v>10.991</v>
      </c>
      <c r="AM20" s="542">
        <v>-0.26300000000000001</v>
      </c>
      <c r="AN20" s="542">
        <v>-0.23200000000000001</v>
      </c>
      <c r="AO20" s="542">
        <v>-3.4000000000000002E-2</v>
      </c>
      <c r="AP20" s="544" t="s">
        <v>2146</v>
      </c>
      <c r="AQ20" s="545">
        <v>3.7670000000000002E-2</v>
      </c>
      <c r="AR20" s="545">
        <v>0.41127000000000002</v>
      </c>
      <c r="AS20" s="545">
        <v>0.59199999999999997</v>
      </c>
      <c r="AT20" s="543">
        <v>0</v>
      </c>
      <c r="AU20" s="542">
        <v>-90.349000000000004</v>
      </c>
      <c r="AV20" s="542">
        <v>34.954000000000001</v>
      </c>
      <c r="AW20" s="542">
        <v>-40.107999999999997</v>
      </c>
      <c r="AX20" s="542">
        <v>23.302</v>
      </c>
      <c r="AY20" s="542">
        <v>-30.510999999999999</v>
      </c>
      <c r="AZ20" s="542">
        <v>-19.103999999999999</v>
      </c>
      <c r="BA20" s="542">
        <v>17.981000000000002</v>
      </c>
      <c r="BB20" s="542">
        <v>-19.542999999999999</v>
      </c>
      <c r="BC20" s="542">
        <v>18.184999999999999</v>
      </c>
      <c r="BD20" s="542">
        <v>-9.3379999999999992</v>
      </c>
      <c r="BE20" s="542" t="s">
        <v>4027</v>
      </c>
      <c r="BF20" s="542" t="s">
        <v>4027</v>
      </c>
      <c r="BG20" s="542" t="s">
        <v>4027</v>
      </c>
      <c r="BH20" s="492" t="s">
        <v>4027</v>
      </c>
      <c r="BI20" s="492" t="s">
        <v>4027</v>
      </c>
      <c r="BJ20" s="542" t="s">
        <v>4027</v>
      </c>
      <c r="BK20" s="492" t="s">
        <v>686</v>
      </c>
      <c r="BL20" s="492">
        <v>-0.20028099999999999</v>
      </c>
      <c r="BM20" s="492">
        <v>-0.22897899999999999</v>
      </c>
      <c r="BN20" s="492">
        <v>0.52348899999999998</v>
      </c>
      <c r="BO20" s="497" t="s">
        <v>13</v>
      </c>
      <c r="BP20" s="492" t="s">
        <v>13</v>
      </c>
      <c r="BQ20" s="492" t="s">
        <v>13</v>
      </c>
      <c r="BR20" s="496">
        <v>1.4245637770836234E-2</v>
      </c>
      <c r="BS20" s="546">
        <v>0.86045485382114273</v>
      </c>
      <c r="BT20" s="546">
        <v>0.69142064470826325</v>
      </c>
      <c r="BU20" s="546">
        <v>0.69803335239953213</v>
      </c>
      <c r="BV20" s="546">
        <v>0.65477238914194269</v>
      </c>
      <c r="BW20" s="546">
        <v>0.62641061737964543</v>
      </c>
      <c r="BX20" s="546">
        <v>0.62711024603902565</v>
      </c>
      <c r="BY20" s="546">
        <v>0.62065644569477552</v>
      </c>
      <c r="BZ20" s="546">
        <v>0.62394207178490346</v>
      </c>
      <c r="CB20" s="492">
        <v>2</v>
      </c>
      <c r="CC20" s="55" t="s">
        <v>253</v>
      </c>
      <c r="CD20" s="55" t="s">
        <v>252</v>
      </c>
      <c r="CE20" s="494">
        <v>42551</v>
      </c>
    </row>
    <row r="21" spans="1:83" s="492" customFormat="1" ht="12.75">
      <c r="A21" s="493" t="s">
        <v>2147</v>
      </c>
      <c r="B21" s="541" t="s">
        <v>2148</v>
      </c>
      <c r="C21" s="493" t="s">
        <v>2149</v>
      </c>
      <c r="D21" s="493" t="s">
        <v>717</v>
      </c>
      <c r="E21" s="540">
        <v>43008</v>
      </c>
      <c r="F21" s="540">
        <v>43190</v>
      </c>
      <c r="G21" s="540">
        <v>38820</v>
      </c>
      <c r="H21" s="542">
        <v>91.352779999999996</v>
      </c>
      <c r="I21" s="542">
        <v>2.62</v>
      </c>
      <c r="J21" s="542">
        <v>117.00936</v>
      </c>
      <c r="K21" s="542">
        <v>0</v>
      </c>
      <c r="L21" s="542">
        <v>0</v>
      </c>
      <c r="M21" s="542">
        <v>0</v>
      </c>
      <c r="N21" s="542">
        <v>25.656580000000002</v>
      </c>
      <c r="O21" s="542">
        <v>0</v>
      </c>
      <c r="P21" s="542">
        <v>0</v>
      </c>
      <c r="Q21" s="542">
        <v>0</v>
      </c>
      <c r="R21" s="542">
        <v>0</v>
      </c>
      <c r="S21" s="542">
        <v>0</v>
      </c>
      <c r="T21" s="542" t="s">
        <v>13</v>
      </c>
      <c r="U21" s="542">
        <v>6.5</v>
      </c>
      <c r="V21" s="542">
        <v>31.1892</v>
      </c>
      <c r="W21" s="542">
        <v>59.784799999999997</v>
      </c>
      <c r="X21" s="542">
        <v>-11.62021</v>
      </c>
      <c r="Y21" s="542">
        <v>-13.62978</v>
      </c>
      <c r="Z21" s="542">
        <v>0</v>
      </c>
      <c r="AA21" s="542">
        <v>-13.65287</v>
      </c>
      <c r="AB21" s="542">
        <v>0</v>
      </c>
      <c r="AC21" s="542" t="s">
        <v>13</v>
      </c>
      <c r="AD21" s="542" t="s">
        <v>13</v>
      </c>
      <c r="AE21" s="542" t="s">
        <v>13</v>
      </c>
      <c r="AF21" s="543">
        <v>0</v>
      </c>
      <c r="AG21" s="543">
        <v>0</v>
      </c>
      <c r="AH21" s="543">
        <v>0</v>
      </c>
      <c r="AI21" s="543">
        <v>0</v>
      </c>
      <c r="AJ21" s="542">
        <v>-2.1799400000000002</v>
      </c>
      <c r="AK21" s="542">
        <v>-1.91727</v>
      </c>
      <c r="AL21" s="542">
        <v>-3.2610700000000001</v>
      </c>
      <c r="AM21" s="542">
        <v>0</v>
      </c>
      <c r="AN21" s="542">
        <v>0</v>
      </c>
      <c r="AO21" s="542">
        <v>0</v>
      </c>
      <c r="AP21" s="544" t="s">
        <v>2150</v>
      </c>
      <c r="AQ21" s="545">
        <v>1.84724</v>
      </c>
      <c r="AR21" s="545">
        <v>2.35649</v>
      </c>
      <c r="AS21" s="545">
        <v>1.1634500000000001</v>
      </c>
      <c r="AT21" s="543">
        <v>0</v>
      </c>
      <c r="AU21" s="542">
        <v>-15.581860000000001</v>
      </c>
      <c r="AV21" s="542">
        <v>-13.44713</v>
      </c>
      <c r="AW21" s="542">
        <v>-17.575849999999999</v>
      </c>
      <c r="AX21" s="542">
        <v>-13.928850000000001</v>
      </c>
      <c r="AY21" s="542">
        <v>-14.372909999999999</v>
      </c>
      <c r="AZ21" s="542">
        <v>9.6831899999999997</v>
      </c>
      <c r="BA21" s="542">
        <v>21.486689999999999</v>
      </c>
      <c r="BB21" s="542">
        <v>22.478860000000001</v>
      </c>
      <c r="BC21" s="542">
        <v>19.179040000000001</v>
      </c>
      <c r="BD21" s="542">
        <v>25.545339999999999</v>
      </c>
      <c r="BE21" s="542" t="s">
        <v>4027</v>
      </c>
      <c r="BF21" s="542" t="s">
        <v>4027</v>
      </c>
      <c r="BG21" s="542" t="s">
        <v>4027</v>
      </c>
      <c r="BH21" s="492" t="s">
        <v>4027</v>
      </c>
      <c r="BI21" s="492" t="s">
        <v>4027</v>
      </c>
      <c r="BJ21" s="542" t="s">
        <v>4027</v>
      </c>
      <c r="BK21" s="492" t="s">
        <v>686</v>
      </c>
      <c r="BL21" s="492">
        <v>0</v>
      </c>
      <c r="BM21" s="492">
        <v>0</v>
      </c>
      <c r="BN21" s="492">
        <v>0</v>
      </c>
      <c r="BO21" s="492">
        <v>0</v>
      </c>
      <c r="BP21" s="492">
        <v>0</v>
      </c>
      <c r="BQ21" s="492">
        <v>0</v>
      </c>
      <c r="BR21" s="496" t="s">
        <v>686</v>
      </c>
      <c r="BS21" s="546">
        <v>0.71511852104993068</v>
      </c>
      <c r="BT21" s="546">
        <v>0.83438376633307754</v>
      </c>
      <c r="BU21" s="546">
        <v>1.0581745625825705</v>
      </c>
      <c r="BV21" s="546">
        <v>1.026754180763048</v>
      </c>
      <c r="BW21" s="546">
        <v>1.0604665387374532</v>
      </c>
      <c r="BX21" s="546">
        <v>1.0799998283264112</v>
      </c>
      <c r="BY21" s="546">
        <v>1.100613921225378</v>
      </c>
      <c r="BZ21" s="546">
        <v>1.0435777674526621</v>
      </c>
      <c r="CB21" s="492">
        <v>2</v>
      </c>
      <c r="CC21" s="55" t="s">
        <v>253</v>
      </c>
      <c r="CD21" s="55" t="s">
        <v>252</v>
      </c>
      <c r="CE21" s="494">
        <v>42551</v>
      </c>
    </row>
    <row r="22" spans="1:83" s="492" customFormat="1" ht="12.75">
      <c r="A22" s="493" t="s">
        <v>2151</v>
      </c>
      <c r="B22" s="541" t="s">
        <v>2152</v>
      </c>
      <c r="C22" s="493" t="s">
        <v>2153</v>
      </c>
      <c r="D22" s="493" t="s">
        <v>2154</v>
      </c>
      <c r="E22" s="540">
        <v>43069</v>
      </c>
      <c r="F22" s="540">
        <v>43069</v>
      </c>
      <c r="G22" s="540">
        <v>41856</v>
      </c>
      <c r="H22" s="542">
        <v>71.269909999999996</v>
      </c>
      <c r="I22" s="542">
        <v>0.86428000000000005</v>
      </c>
      <c r="J22" s="542">
        <v>72.915899999999993</v>
      </c>
      <c r="K22" s="542">
        <v>0</v>
      </c>
      <c r="L22" s="542">
        <v>0</v>
      </c>
      <c r="M22" s="542">
        <v>0</v>
      </c>
      <c r="N22" s="542">
        <v>1.6849400000000001</v>
      </c>
      <c r="O22" s="542">
        <v>4.2450000000000002E-2</v>
      </c>
      <c r="P22" s="542">
        <v>0.35974</v>
      </c>
      <c r="Q22" s="542">
        <v>0.25808999999999999</v>
      </c>
      <c r="R22" s="542">
        <v>0.35974</v>
      </c>
      <c r="S22" s="542">
        <v>0.25808999999999999</v>
      </c>
      <c r="T22" s="542" t="s">
        <v>13</v>
      </c>
      <c r="U22" s="542" t="s">
        <v>13</v>
      </c>
      <c r="V22" s="542" t="s">
        <v>13</v>
      </c>
      <c r="W22" s="542" t="s">
        <v>13</v>
      </c>
      <c r="X22" s="542">
        <v>-1.97106</v>
      </c>
      <c r="Y22" s="542">
        <v>-1.7505999999999999</v>
      </c>
      <c r="Z22" s="542">
        <v>-2.7107000000000001</v>
      </c>
      <c r="AA22" s="542">
        <v>-1.7505999999999999</v>
      </c>
      <c r="AB22" s="542">
        <v>-2.7107000000000001</v>
      </c>
      <c r="AC22" s="542" t="s">
        <v>13</v>
      </c>
      <c r="AD22" s="542" t="s">
        <v>13</v>
      </c>
      <c r="AE22" s="542" t="s">
        <v>13</v>
      </c>
      <c r="AF22" s="543">
        <v>-6.1106999999999995E-2</v>
      </c>
      <c r="AG22" s="543" t="s">
        <v>13</v>
      </c>
      <c r="AH22" s="543" t="s">
        <v>13</v>
      </c>
      <c r="AI22" s="543">
        <v>9.982785999999999</v>
      </c>
      <c r="AJ22" s="542">
        <v>8.5459999999999994E-2</v>
      </c>
      <c r="AK22" s="542">
        <v>0.10868999999999999</v>
      </c>
      <c r="AL22" s="542">
        <v>8.0460000000000004E-2</v>
      </c>
      <c r="AM22" s="542">
        <v>-2.96E-3</v>
      </c>
      <c r="AN22" s="542">
        <v>-1.3169999999999999E-2</v>
      </c>
      <c r="AO22" s="542">
        <v>-2.4399999999999999E-3</v>
      </c>
      <c r="AP22" s="544" t="s">
        <v>2155</v>
      </c>
      <c r="AQ22" s="545">
        <v>1.1296900000000001</v>
      </c>
      <c r="AR22" s="545">
        <v>0.53061000000000003</v>
      </c>
      <c r="AS22" s="545">
        <v>1.1851</v>
      </c>
      <c r="AT22" s="543">
        <v>0</v>
      </c>
      <c r="AU22" s="542">
        <v>-1.92764</v>
      </c>
      <c r="AV22" s="542">
        <v>-1.67452</v>
      </c>
      <c r="AW22" s="542">
        <v>2.59022</v>
      </c>
      <c r="AX22" s="542">
        <v>-1.67452</v>
      </c>
      <c r="AY22" s="542">
        <v>2.59022</v>
      </c>
      <c r="AZ22" s="542">
        <v>5.7451600000000003</v>
      </c>
      <c r="BA22" s="542">
        <v>6.2468899999999996</v>
      </c>
      <c r="BB22" s="542">
        <v>9.5168700000000008</v>
      </c>
      <c r="BC22" s="542">
        <v>6.2468899999999996</v>
      </c>
      <c r="BD22" s="542">
        <v>9.5168700000000008</v>
      </c>
      <c r="BE22" s="542" t="s">
        <v>4027</v>
      </c>
      <c r="BF22" s="542" t="s">
        <v>4027</v>
      </c>
      <c r="BG22" s="542" t="s">
        <v>4027</v>
      </c>
      <c r="BH22" s="492" t="s">
        <v>4027</v>
      </c>
      <c r="BI22" s="492" t="s">
        <v>4027</v>
      </c>
      <c r="BJ22" s="542" t="s">
        <v>4027</v>
      </c>
      <c r="BK22" s="492" t="s">
        <v>686</v>
      </c>
      <c r="BL22" s="492">
        <v>1.6030059999999999</v>
      </c>
      <c r="BM22" s="492">
        <v>0</v>
      </c>
      <c r="BN22" s="492">
        <v>0</v>
      </c>
      <c r="BO22" s="492" t="s">
        <v>13</v>
      </c>
      <c r="BP22" s="492" t="s">
        <v>13</v>
      </c>
      <c r="BQ22" s="492">
        <v>0</v>
      </c>
      <c r="BR22" s="496">
        <v>0.62784300050370023</v>
      </c>
      <c r="BS22" s="546">
        <v>0.41030129325483672</v>
      </c>
      <c r="BT22" s="546">
        <v>0.42567453868013866</v>
      </c>
      <c r="BU22" s="546">
        <v>0.52958074472522787</v>
      </c>
      <c r="BV22" s="546">
        <v>0.57731598641262194</v>
      </c>
      <c r="BW22" s="546" t="s">
        <v>13</v>
      </c>
      <c r="BX22" s="546" t="s">
        <v>13</v>
      </c>
      <c r="BY22" s="546" t="s">
        <v>13</v>
      </c>
      <c r="BZ22" s="546" t="s">
        <v>13</v>
      </c>
      <c r="CB22" s="492">
        <v>2</v>
      </c>
      <c r="CC22" s="55" t="s">
        <v>253</v>
      </c>
      <c r="CD22" s="55" t="s">
        <v>252</v>
      </c>
      <c r="CE22" s="494">
        <v>42551</v>
      </c>
    </row>
    <row r="23" spans="1:83" s="492" customFormat="1" ht="12.75">
      <c r="A23" s="493" t="s">
        <v>2156</v>
      </c>
      <c r="B23" s="541" t="s">
        <v>1341</v>
      </c>
      <c r="C23" s="493" t="s">
        <v>2157</v>
      </c>
      <c r="D23" s="493" t="s">
        <v>717</v>
      </c>
      <c r="E23" s="540">
        <v>43100</v>
      </c>
      <c r="F23" s="540">
        <v>43190</v>
      </c>
      <c r="G23" s="540">
        <v>41957</v>
      </c>
      <c r="H23" s="542">
        <v>31.391999999999999</v>
      </c>
      <c r="I23" s="542">
        <v>2.34</v>
      </c>
      <c r="J23" s="542">
        <v>46.258000000000003</v>
      </c>
      <c r="K23" s="542">
        <v>0</v>
      </c>
      <c r="L23" s="542">
        <v>0</v>
      </c>
      <c r="M23" s="542">
        <v>0</v>
      </c>
      <c r="N23" s="542">
        <v>14.866</v>
      </c>
      <c r="O23" s="542">
        <v>1.03247</v>
      </c>
      <c r="P23" s="542">
        <v>-0.44700000000000001</v>
      </c>
      <c r="Q23" s="542">
        <v>0</v>
      </c>
      <c r="R23" s="542">
        <v>0</v>
      </c>
      <c r="S23" s="542">
        <v>0</v>
      </c>
      <c r="T23" s="542">
        <v>0.2225</v>
      </c>
      <c r="U23" s="542">
        <v>0.75</v>
      </c>
      <c r="V23" s="542">
        <v>1.25</v>
      </c>
      <c r="W23" s="542">
        <v>20.21</v>
      </c>
      <c r="X23" s="542">
        <v>-13.883520000000001</v>
      </c>
      <c r="Y23" s="542">
        <v>-5.1414499999999999</v>
      </c>
      <c r="Z23" s="542">
        <v>-9.3688500000000001</v>
      </c>
      <c r="AA23" s="542">
        <v>-8.1304499999999997</v>
      </c>
      <c r="AB23" s="542">
        <v>-8.06785</v>
      </c>
      <c r="AC23" s="542" t="s">
        <v>13</v>
      </c>
      <c r="AD23" s="542" t="s">
        <v>13</v>
      </c>
      <c r="AE23" s="542" t="s">
        <v>13</v>
      </c>
      <c r="AF23" s="543">
        <v>0</v>
      </c>
      <c r="AG23" s="543">
        <v>0</v>
      </c>
      <c r="AH23" s="543">
        <v>0</v>
      </c>
      <c r="AI23" s="543">
        <v>0</v>
      </c>
      <c r="AJ23" s="542">
        <v>-1.488</v>
      </c>
      <c r="AK23" s="542">
        <v>-0.91100000000000003</v>
      </c>
      <c r="AL23" s="542">
        <v>-1</v>
      </c>
      <c r="AM23" s="542">
        <v>-7.3779999999999998E-2</v>
      </c>
      <c r="AN23" s="542">
        <v>4.2100000000000002E-3</v>
      </c>
      <c r="AO23" s="542">
        <v>-2.5699999999999998E-3</v>
      </c>
      <c r="AP23" s="544" t="s">
        <v>2158</v>
      </c>
      <c r="AQ23" s="545">
        <v>0.28597</v>
      </c>
      <c r="AR23" s="545">
        <v>1.2109999999999999E-2</v>
      </c>
      <c r="AS23" s="545">
        <v>5.0160799999999997</v>
      </c>
      <c r="AT23" s="543">
        <v>0</v>
      </c>
      <c r="AU23" s="542">
        <v>-7.4465500000000002</v>
      </c>
      <c r="AV23" s="542">
        <v>-5.5936199999999996</v>
      </c>
      <c r="AW23" s="542">
        <v>-13.26985</v>
      </c>
      <c r="AX23" s="542">
        <v>-6.7376199999999997</v>
      </c>
      <c r="AY23" s="542">
        <v>-12.07385</v>
      </c>
      <c r="AZ23" s="542">
        <v>5.8339999999999996</v>
      </c>
      <c r="BA23" s="542">
        <v>30.143999999999998</v>
      </c>
      <c r="BB23" s="542">
        <v>23.018999999999998</v>
      </c>
      <c r="BC23" s="542">
        <v>3.4352</v>
      </c>
      <c r="BD23" s="542">
        <v>26.53491</v>
      </c>
      <c r="BE23" s="542" t="s">
        <v>4027</v>
      </c>
      <c r="BF23" s="542" t="s">
        <v>4027</v>
      </c>
      <c r="BG23" s="542" t="s">
        <v>4027</v>
      </c>
      <c r="BH23" s="492" t="s">
        <v>4027</v>
      </c>
      <c r="BI23" s="492" t="s">
        <v>4027</v>
      </c>
      <c r="BJ23" s="542" t="s">
        <v>4027</v>
      </c>
      <c r="BK23" s="492" t="s">
        <v>686</v>
      </c>
      <c r="BL23" s="492">
        <v>0</v>
      </c>
      <c r="BM23" s="492">
        <v>0</v>
      </c>
      <c r="BN23" s="492">
        <v>0</v>
      </c>
      <c r="BO23" s="492" t="s">
        <v>13</v>
      </c>
      <c r="BP23" s="492" t="s">
        <v>13</v>
      </c>
      <c r="BQ23" s="492">
        <v>0</v>
      </c>
      <c r="BR23" s="496" t="s">
        <v>686</v>
      </c>
      <c r="BS23" s="546">
        <v>0.90727608700034945</v>
      </c>
      <c r="BT23" s="546">
        <v>0.77412653461001024</v>
      </c>
      <c r="BU23" s="546">
        <v>0.99646473832161442</v>
      </c>
      <c r="BV23" s="546">
        <v>1.1508768139771337</v>
      </c>
      <c r="BW23" s="546" t="s">
        <v>13</v>
      </c>
      <c r="BX23" s="546" t="s">
        <v>13</v>
      </c>
      <c r="BY23" s="546" t="s">
        <v>13</v>
      </c>
      <c r="BZ23" s="546" t="s">
        <v>13</v>
      </c>
      <c r="CB23" s="492">
        <v>2</v>
      </c>
      <c r="CC23" s="55" t="s">
        <v>253</v>
      </c>
      <c r="CD23" s="55" t="s">
        <v>252</v>
      </c>
      <c r="CE23" s="494">
        <v>42551</v>
      </c>
    </row>
    <row r="24" spans="1:83" s="492" customFormat="1" ht="12.75">
      <c r="A24" s="493" t="s">
        <v>2159</v>
      </c>
      <c r="B24" s="541" t="s">
        <v>2160</v>
      </c>
      <c r="C24" s="493" t="s">
        <v>2161</v>
      </c>
      <c r="D24" s="493" t="s">
        <v>716</v>
      </c>
      <c r="E24" s="540">
        <v>43100</v>
      </c>
      <c r="F24" s="540">
        <v>43190</v>
      </c>
      <c r="G24" s="540">
        <v>39022</v>
      </c>
      <c r="H24" s="542">
        <v>29.879480000000001</v>
      </c>
      <c r="I24" s="542">
        <v>8.3650000000000002</v>
      </c>
      <c r="J24" s="542">
        <v>30.72748</v>
      </c>
      <c r="K24" s="542">
        <v>0</v>
      </c>
      <c r="L24" s="542">
        <v>12.112</v>
      </c>
      <c r="M24" s="542">
        <v>-1.923</v>
      </c>
      <c r="N24" s="542">
        <v>11.037000000000001</v>
      </c>
      <c r="O24" s="542">
        <v>0</v>
      </c>
      <c r="P24" s="542">
        <v>0</v>
      </c>
      <c r="Q24" s="542">
        <v>0</v>
      </c>
      <c r="R24" s="542">
        <v>0</v>
      </c>
      <c r="S24" s="542">
        <v>0</v>
      </c>
      <c r="T24" s="542" t="s">
        <v>13</v>
      </c>
      <c r="U24" s="542">
        <v>40</v>
      </c>
      <c r="V24" s="542" t="s">
        <v>13</v>
      </c>
      <c r="W24" s="542" t="s">
        <v>13</v>
      </c>
      <c r="X24" s="542">
        <v>-43.253</v>
      </c>
      <c r="Y24" s="542">
        <v>-36.643000000000001</v>
      </c>
      <c r="Z24" s="542">
        <v>-22.832999999999998</v>
      </c>
      <c r="AA24" s="542">
        <v>-39.094999999999999</v>
      </c>
      <c r="AB24" s="542">
        <v>-26.006</v>
      </c>
      <c r="AC24" s="542" t="s">
        <v>13</v>
      </c>
      <c r="AD24" s="542" t="s">
        <v>13</v>
      </c>
      <c r="AE24" s="542" t="s">
        <v>13</v>
      </c>
      <c r="AF24" s="543">
        <v>0</v>
      </c>
      <c r="AG24" s="543">
        <v>0</v>
      </c>
      <c r="AH24" s="543">
        <v>0</v>
      </c>
      <c r="AI24" s="543">
        <v>0</v>
      </c>
      <c r="AJ24" s="542">
        <v>-10.41</v>
      </c>
      <c r="AK24" s="542">
        <v>-13.122</v>
      </c>
      <c r="AL24" s="542">
        <v>-4.4809999999999999</v>
      </c>
      <c r="AM24" s="542">
        <v>-0.52700000000000002</v>
      </c>
      <c r="AN24" s="542">
        <v>-0.53600000000000003</v>
      </c>
      <c r="AO24" s="542">
        <v>-0.20100000000000001</v>
      </c>
      <c r="AP24" s="544" t="s">
        <v>2162</v>
      </c>
      <c r="AQ24" s="545">
        <v>1.80226</v>
      </c>
      <c r="AR24" s="545">
        <v>2.5698699999999999</v>
      </c>
      <c r="AS24" s="545">
        <v>1.7118500000000001</v>
      </c>
      <c r="AT24" s="543">
        <v>0</v>
      </c>
      <c r="AU24" s="542">
        <v>-43.505000000000003</v>
      </c>
      <c r="AV24" s="542">
        <v>-19.783000000000001</v>
      </c>
      <c r="AW24" s="542">
        <v>-14.76</v>
      </c>
      <c r="AX24" s="542">
        <v>-27.803000000000001</v>
      </c>
      <c r="AY24" s="542">
        <v>-15.492000000000001</v>
      </c>
      <c r="AZ24" s="542">
        <v>4.9770000000000003</v>
      </c>
      <c r="BA24" s="542">
        <v>0.76100000000000001</v>
      </c>
      <c r="BB24" s="542">
        <v>7.0030000000000001</v>
      </c>
      <c r="BC24" s="542">
        <v>2.2490000000000001</v>
      </c>
      <c r="BD24" s="542">
        <v>8.6430000000000007</v>
      </c>
      <c r="BE24" s="542" t="s">
        <v>4027</v>
      </c>
      <c r="BF24" s="542" t="s">
        <v>4027</v>
      </c>
      <c r="BG24" s="542" t="s">
        <v>4027</v>
      </c>
      <c r="BH24" s="492" t="s">
        <v>4027</v>
      </c>
      <c r="BI24" s="492" t="s">
        <v>4027</v>
      </c>
      <c r="BJ24" s="542" t="s">
        <v>4027</v>
      </c>
      <c r="BK24" s="492" t="s">
        <v>13</v>
      </c>
      <c r="BL24" s="492">
        <v>0</v>
      </c>
      <c r="BM24" s="492">
        <v>0</v>
      </c>
      <c r="BN24" s="492">
        <v>0</v>
      </c>
      <c r="BO24" s="492" t="s">
        <v>13</v>
      </c>
      <c r="BP24" s="492" t="s">
        <v>13</v>
      </c>
      <c r="BQ24" s="492" t="s">
        <v>13</v>
      </c>
      <c r="BR24" s="496" t="s">
        <v>686</v>
      </c>
      <c r="BS24" s="546">
        <v>0.80405994497907174</v>
      </c>
      <c r="BT24" s="546">
        <v>0.80665365567653446</v>
      </c>
      <c r="BU24" s="546">
        <v>0.86084148620167278</v>
      </c>
      <c r="BV24" s="546">
        <v>0.84691152261417069</v>
      </c>
      <c r="BW24" s="546">
        <v>0.86189374799365637</v>
      </c>
      <c r="BX24" s="546">
        <v>0.8230785321875862</v>
      </c>
      <c r="BY24" s="546">
        <v>0.84335757355803964</v>
      </c>
      <c r="BZ24" s="546">
        <v>0.86784046422784034</v>
      </c>
      <c r="CB24" s="492">
        <v>2</v>
      </c>
      <c r="CC24" s="55" t="s">
        <v>253</v>
      </c>
      <c r="CD24" s="55" t="s">
        <v>252</v>
      </c>
      <c r="CE24" s="494">
        <v>42551</v>
      </c>
    </row>
    <row r="25" spans="1:83" s="492" customFormat="1" ht="12.75">
      <c r="A25" s="493" t="s">
        <v>2163</v>
      </c>
      <c r="B25" s="541" t="s">
        <v>2164</v>
      </c>
      <c r="C25" s="493" t="s">
        <v>2165</v>
      </c>
      <c r="D25" s="493" t="s">
        <v>826</v>
      </c>
      <c r="E25" s="540">
        <v>42794</v>
      </c>
      <c r="F25" s="540">
        <v>42886</v>
      </c>
      <c r="G25" s="540">
        <v>42531</v>
      </c>
      <c r="H25" s="542">
        <v>4.2106599999999998</v>
      </c>
      <c r="I25" s="542">
        <v>5.9900000000000002E-2</v>
      </c>
      <c r="J25" s="542">
        <v>3.8515700000000002</v>
      </c>
      <c r="K25" s="542">
        <v>0.36752000000000001</v>
      </c>
      <c r="L25" s="542">
        <v>0</v>
      </c>
      <c r="M25" s="542">
        <v>0</v>
      </c>
      <c r="N25" s="542">
        <v>8.43E-3</v>
      </c>
      <c r="O25" s="542">
        <v>0</v>
      </c>
      <c r="P25" s="542">
        <v>0</v>
      </c>
      <c r="Q25" s="542">
        <v>0</v>
      </c>
      <c r="R25" s="542">
        <v>0</v>
      </c>
      <c r="S25" s="542">
        <v>0</v>
      </c>
      <c r="T25" s="542" t="s">
        <v>13</v>
      </c>
      <c r="U25" s="542" t="s">
        <v>13</v>
      </c>
      <c r="V25" s="542" t="s">
        <v>13</v>
      </c>
      <c r="W25" s="542" t="s">
        <v>13</v>
      </c>
      <c r="X25" s="542">
        <v>0</v>
      </c>
      <c r="Y25" s="542">
        <v>0</v>
      </c>
      <c r="Z25" s="542">
        <v>-0.56271000000000004</v>
      </c>
      <c r="AA25" s="542">
        <v>0</v>
      </c>
      <c r="AB25" s="542">
        <v>-0.56271000000000004</v>
      </c>
      <c r="AC25" s="542" t="s">
        <v>13</v>
      </c>
      <c r="AD25" s="542" t="s">
        <v>13</v>
      </c>
      <c r="AE25" s="542" t="s">
        <v>13</v>
      </c>
      <c r="AF25" s="543">
        <v>0</v>
      </c>
      <c r="AG25" s="543">
        <v>0</v>
      </c>
      <c r="AH25" s="543">
        <v>0</v>
      </c>
      <c r="AI25" s="543">
        <v>0</v>
      </c>
      <c r="AJ25" s="542">
        <v>0</v>
      </c>
      <c r="AK25" s="542">
        <v>-0.73329</v>
      </c>
      <c r="AL25" s="542">
        <v>-1.4980800000000001</v>
      </c>
      <c r="AM25" s="542">
        <v>0</v>
      </c>
      <c r="AN25" s="542">
        <v>0</v>
      </c>
      <c r="AO25" s="542">
        <v>-1.6900000000000001E-3</v>
      </c>
      <c r="AP25" s="544" t="s">
        <v>2166</v>
      </c>
      <c r="AQ25" s="545">
        <v>3.8710399999999998</v>
      </c>
      <c r="AR25" s="545">
        <v>3.7693300000000001</v>
      </c>
      <c r="AS25" s="545">
        <v>4.5839299999999996</v>
      </c>
      <c r="AT25" s="543">
        <v>0</v>
      </c>
      <c r="AU25" s="542">
        <v>0</v>
      </c>
      <c r="AV25" s="542">
        <v>-1.26711</v>
      </c>
      <c r="AW25" s="542">
        <v>-0.81664000000000003</v>
      </c>
      <c r="AX25" s="542">
        <v>-0.65646000000000004</v>
      </c>
      <c r="AY25" s="542">
        <v>-0.81664000000000003</v>
      </c>
      <c r="AZ25" s="542">
        <v>0</v>
      </c>
      <c r="BA25" s="542">
        <v>-0.93464999999999998</v>
      </c>
      <c r="BB25" s="542">
        <v>-1.8492</v>
      </c>
      <c r="BC25" s="542">
        <v>-1.34463</v>
      </c>
      <c r="BD25" s="542">
        <v>-1.8492</v>
      </c>
      <c r="BE25" s="542" t="s">
        <v>4027</v>
      </c>
      <c r="BF25" s="542" t="s">
        <v>4027</v>
      </c>
      <c r="BG25" s="542" t="s">
        <v>4027</v>
      </c>
      <c r="BH25" s="492" t="s">
        <v>4027</v>
      </c>
      <c r="BI25" s="492" t="s">
        <v>4027</v>
      </c>
      <c r="BJ25" s="542" t="s">
        <v>4027</v>
      </c>
      <c r="BK25" s="492" t="s">
        <v>13</v>
      </c>
      <c r="BL25" s="492">
        <v>0</v>
      </c>
      <c r="BM25" s="492">
        <v>0</v>
      </c>
      <c r="BN25" s="492">
        <v>0</v>
      </c>
      <c r="BO25" s="492">
        <v>0</v>
      </c>
      <c r="BP25" s="492">
        <v>0</v>
      </c>
      <c r="BQ25" s="492">
        <v>0</v>
      </c>
      <c r="BR25" s="496" t="s">
        <v>686</v>
      </c>
      <c r="BS25" s="546">
        <v>2.7642539241187154</v>
      </c>
      <c r="BT25" s="546">
        <v>2.3602791126601241</v>
      </c>
      <c r="BU25" s="546">
        <v>2.3373167702285089</v>
      </c>
      <c r="BV25" s="546" t="s">
        <v>13</v>
      </c>
      <c r="BW25" s="546" t="s">
        <v>13</v>
      </c>
      <c r="BX25" s="546" t="s">
        <v>13</v>
      </c>
      <c r="BY25" s="546" t="s">
        <v>13</v>
      </c>
      <c r="BZ25" s="546" t="s">
        <v>13</v>
      </c>
      <c r="CB25" s="492">
        <v>2</v>
      </c>
      <c r="CC25" s="55" t="s">
        <v>253</v>
      </c>
      <c r="CD25" s="55" t="s">
        <v>252</v>
      </c>
      <c r="CE25" s="494">
        <v>42551</v>
      </c>
    </row>
    <row r="26" spans="1:83" s="492" customFormat="1" ht="12.75">
      <c r="A26" s="493" t="s">
        <v>1048</v>
      </c>
      <c r="B26" s="541" t="s">
        <v>1051</v>
      </c>
      <c r="C26" s="493" t="s">
        <v>1047</v>
      </c>
      <c r="D26" s="493" t="s">
        <v>717</v>
      </c>
      <c r="E26" s="540">
        <v>43100</v>
      </c>
      <c r="F26" s="540">
        <v>43190</v>
      </c>
      <c r="G26" s="540">
        <v>42179</v>
      </c>
      <c r="H26" s="542">
        <v>-1.06759</v>
      </c>
      <c r="I26" s="542">
        <v>2.57</v>
      </c>
      <c r="J26" s="542">
        <v>12.90047</v>
      </c>
      <c r="K26" s="542">
        <v>0</v>
      </c>
      <c r="L26" s="542">
        <v>4.9489799999999997</v>
      </c>
      <c r="M26" s="542">
        <v>0</v>
      </c>
      <c r="N26" s="542">
        <v>18.91704</v>
      </c>
      <c r="O26" s="542">
        <v>0</v>
      </c>
      <c r="P26" s="542">
        <v>0</v>
      </c>
      <c r="Q26" s="542">
        <v>0</v>
      </c>
      <c r="R26" s="542">
        <v>0</v>
      </c>
      <c r="S26" s="542">
        <v>0</v>
      </c>
      <c r="T26" s="542" t="s">
        <v>13</v>
      </c>
      <c r="U26" s="542" t="s">
        <v>13</v>
      </c>
      <c r="V26" s="542">
        <v>1</v>
      </c>
      <c r="W26" s="542" t="s">
        <v>13</v>
      </c>
      <c r="X26" s="542">
        <v>-10.65944</v>
      </c>
      <c r="Y26" s="542">
        <v>-16.97242</v>
      </c>
      <c r="Z26" s="542">
        <v>-8.2541600000000006</v>
      </c>
      <c r="AA26" s="542">
        <v>-18.441520000000001</v>
      </c>
      <c r="AB26" s="542">
        <v>-7.8967400000000003</v>
      </c>
      <c r="AC26" s="542" t="s">
        <v>13</v>
      </c>
      <c r="AD26" s="542" t="s">
        <v>13</v>
      </c>
      <c r="AE26" s="542" t="s">
        <v>13</v>
      </c>
      <c r="AF26" s="543">
        <v>0</v>
      </c>
      <c r="AG26" s="543">
        <v>0</v>
      </c>
      <c r="AH26" s="543">
        <v>0</v>
      </c>
      <c r="AI26" s="543">
        <v>0</v>
      </c>
      <c r="AJ26" s="542">
        <v>-2.18946</v>
      </c>
      <c r="AK26" s="542">
        <v>-2.4008699999999998</v>
      </c>
      <c r="AL26" s="542">
        <v>-0.62397999999999998</v>
      </c>
      <c r="AM26" s="542">
        <v>-2.443E-2</v>
      </c>
      <c r="AN26" s="542">
        <v>-6.3000000000000003E-4</v>
      </c>
      <c r="AO26" s="542">
        <v>-7.6800000000000002E-3</v>
      </c>
      <c r="AP26" s="544" t="s">
        <v>2796</v>
      </c>
      <c r="AQ26" s="545">
        <v>1.80436</v>
      </c>
      <c r="AR26" s="545">
        <v>2.1932900000000002</v>
      </c>
      <c r="AS26" s="545">
        <v>0.78029000000000004</v>
      </c>
      <c r="AT26" s="543">
        <v>0</v>
      </c>
      <c r="AU26" s="542">
        <v>-10.52922</v>
      </c>
      <c r="AV26" s="542">
        <v>-16.92942</v>
      </c>
      <c r="AW26" s="542">
        <v>-8.2033100000000001</v>
      </c>
      <c r="AX26" s="542">
        <v>-18.384630000000001</v>
      </c>
      <c r="AY26" s="542">
        <v>-7.8638599999999999</v>
      </c>
      <c r="AZ26" s="542">
        <v>11.93627</v>
      </c>
      <c r="BA26" s="542">
        <v>2.7240000000000002</v>
      </c>
      <c r="BB26" s="542">
        <v>18.325900000000001</v>
      </c>
      <c r="BC26" s="542">
        <v>4.1030600000000002</v>
      </c>
      <c r="BD26" s="542">
        <v>20.125979999999998</v>
      </c>
      <c r="BE26" s="542" t="s">
        <v>4027</v>
      </c>
      <c r="BF26" s="542" t="s">
        <v>4027</v>
      </c>
      <c r="BG26" s="542" t="s">
        <v>4027</v>
      </c>
      <c r="BH26" s="492" t="s">
        <v>4027</v>
      </c>
      <c r="BI26" s="492" t="s">
        <v>4027</v>
      </c>
      <c r="BJ26" s="542" t="s">
        <v>4027</v>
      </c>
      <c r="BK26" s="492" t="s">
        <v>13</v>
      </c>
      <c r="BL26" s="492">
        <v>0</v>
      </c>
      <c r="BM26" s="492">
        <v>0</v>
      </c>
      <c r="BN26" s="492">
        <v>0</v>
      </c>
      <c r="BO26" s="492" t="s">
        <v>13</v>
      </c>
      <c r="BP26" s="492" t="s">
        <v>13</v>
      </c>
      <c r="BQ26" s="492">
        <v>0</v>
      </c>
      <c r="BR26" s="496" t="s">
        <v>686</v>
      </c>
      <c r="BS26" s="546">
        <v>0.78024392754863803</v>
      </c>
      <c r="BT26" s="546">
        <v>0.85279968408266305</v>
      </c>
      <c r="BU26" s="546">
        <v>0.88676691262394824</v>
      </c>
      <c r="BV26" s="546">
        <v>0.88587043357810058</v>
      </c>
      <c r="BW26" s="546" t="s">
        <v>13</v>
      </c>
      <c r="BX26" s="546" t="s">
        <v>13</v>
      </c>
      <c r="BY26" s="546" t="s">
        <v>13</v>
      </c>
      <c r="BZ26" s="546" t="s">
        <v>13</v>
      </c>
      <c r="CB26" s="492">
        <v>2</v>
      </c>
      <c r="CC26" s="55" t="s">
        <v>253</v>
      </c>
      <c r="CD26" s="55" t="s">
        <v>252</v>
      </c>
      <c r="CE26" s="494">
        <v>42551</v>
      </c>
    </row>
    <row r="27" spans="1:83" s="492" customFormat="1" ht="12.75">
      <c r="A27" s="493" t="s">
        <v>688</v>
      </c>
      <c r="B27" s="541" t="s">
        <v>688</v>
      </c>
      <c r="C27" s="493" t="s">
        <v>688</v>
      </c>
      <c r="D27" s="493" t="s">
        <v>688</v>
      </c>
      <c r="E27" s="540" t="s">
        <v>688</v>
      </c>
      <c r="F27" s="540" t="s">
        <v>688</v>
      </c>
      <c r="G27" s="540" t="s">
        <v>688</v>
      </c>
      <c r="H27" s="542" t="s">
        <v>688</v>
      </c>
      <c r="I27" s="542" t="s">
        <v>688</v>
      </c>
      <c r="J27" s="542" t="s">
        <v>688</v>
      </c>
      <c r="K27" s="542" t="s">
        <v>688</v>
      </c>
      <c r="L27" s="542" t="s">
        <v>688</v>
      </c>
      <c r="M27" s="542" t="s">
        <v>688</v>
      </c>
      <c r="N27" s="542" t="s">
        <v>688</v>
      </c>
      <c r="O27" s="542" t="s">
        <v>688</v>
      </c>
      <c r="P27" s="542" t="s">
        <v>688</v>
      </c>
      <c r="Q27" s="542" t="s">
        <v>688</v>
      </c>
      <c r="R27" s="542" t="s">
        <v>688</v>
      </c>
      <c r="S27" s="542" t="s">
        <v>688</v>
      </c>
      <c r="T27" s="542" t="s">
        <v>688</v>
      </c>
      <c r="U27" s="542" t="s">
        <v>688</v>
      </c>
      <c r="V27" s="542" t="s">
        <v>688</v>
      </c>
      <c r="W27" s="542" t="s">
        <v>688</v>
      </c>
      <c r="X27" s="542" t="s">
        <v>688</v>
      </c>
      <c r="Y27" s="542" t="s">
        <v>688</v>
      </c>
      <c r="Z27" s="542" t="s">
        <v>688</v>
      </c>
      <c r="AA27" s="542" t="s">
        <v>688</v>
      </c>
      <c r="AB27" s="542" t="s">
        <v>688</v>
      </c>
      <c r="AC27" s="542" t="s">
        <v>688</v>
      </c>
      <c r="AD27" s="542" t="s">
        <v>688</v>
      </c>
      <c r="AE27" s="542" t="s">
        <v>688</v>
      </c>
      <c r="AF27" s="543" t="s">
        <v>13</v>
      </c>
      <c r="AG27" s="543" t="s">
        <v>13</v>
      </c>
      <c r="AH27" s="543" t="s">
        <v>13</v>
      </c>
      <c r="AI27" s="543" t="s">
        <v>13</v>
      </c>
      <c r="AJ27" s="542" t="s">
        <v>688</v>
      </c>
      <c r="AK27" s="542" t="s">
        <v>688</v>
      </c>
      <c r="AL27" s="542" t="s">
        <v>688</v>
      </c>
      <c r="AM27" s="542" t="s">
        <v>688</v>
      </c>
      <c r="AN27" s="542" t="s">
        <v>688</v>
      </c>
      <c r="AO27" s="542" t="s">
        <v>688</v>
      </c>
      <c r="AP27" s="544" t="s">
        <v>688</v>
      </c>
      <c r="AQ27" s="545" t="s">
        <v>688</v>
      </c>
      <c r="AR27" s="545" t="s">
        <v>688</v>
      </c>
      <c r="AS27" s="545" t="s">
        <v>688</v>
      </c>
      <c r="AT27" s="543" t="s">
        <v>13</v>
      </c>
      <c r="AU27" s="542" t="s">
        <v>688</v>
      </c>
      <c r="AV27" s="542" t="s">
        <v>688</v>
      </c>
      <c r="AW27" s="542" t="s">
        <v>688</v>
      </c>
      <c r="AX27" s="542" t="s">
        <v>688</v>
      </c>
      <c r="AY27" s="542" t="s">
        <v>688</v>
      </c>
      <c r="AZ27" s="542" t="s">
        <v>688</v>
      </c>
      <c r="BA27" s="542" t="s">
        <v>688</v>
      </c>
      <c r="BB27" s="542" t="s">
        <v>688</v>
      </c>
      <c r="BC27" s="542" t="s">
        <v>688</v>
      </c>
      <c r="BD27" s="542" t="s">
        <v>688</v>
      </c>
      <c r="BE27" s="542" t="s">
        <v>4027</v>
      </c>
      <c r="BF27" s="542" t="s">
        <v>4027</v>
      </c>
      <c r="BG27" s="542" t="s">
        <v>4027</v>
      </c>
      <c r="BH27" s="492" t="s">
        <v>4027</v>
      </c>
      <c r="BI27" s="492" t="s">
        <v>4027</v>
      </c>
      <c r="BJ27" s="542" t="s">
        <v>4027</v>
      </c>
      <c r="BK27" s="492" t="s">
        <v>688</v>
      </c>
      <c r="BL27" s="492" t="e">
        <v>#VALUE!</v>
      </c>
      <c r="BM27" s="492" t="e">
        <v>#VALUE!</v>
      </c>
      <c r="BN27" s="492" t="e">
        <v>#VALUE!</v>
      </c>
      <c r="BO27" s="492" t="e">
        <v>#VALUE!</v>
      </c>
      <c r="BP27" s="492" t="e">
        <v>#VALUE!</v>
      </c>
      <c r="BQ27" s="492" t="e">
        <v>#VALUE!</v>
      </c>
      <c r="BR27" s="496" t="s">
        <v>686</v>
      </c>
      <c r="BS27" s="546" t="e">
        <v>#VALUE!</v>
      </c>
      <c r="BT27" s="546" t="e">
        <v>#VALUE!</v>
      </c>
      <c r="BU27" s="546" t="e">
        <v>#VALUE!</v>
      </c>
      <c r="BV27" s="546" t="e">
        <v>#VALUE!</v>
      </c>
      <c r="BW27" s="546" t="e">
        <v>#VALUE!</v>
      </c>
      <c r="BX27" s="546" t="e">
        <v>#VALUE!</v>
      </c>
      <c r="BY27" s="546" t="e">
        <v>#VALUE!</v>
      </c>
      <c r="BZ27" s="546" t="e">
        <v>#VALUE!</v>
      </c>
      <c r="CB27" s="492">
        <v>2</v>
      </c>
      <c r="CC27" s="55" t="s">
        <v>253</v>
      </c>
      <c r="CD27" s="55" t="s">
        <v>252</v>
      </c>
      <c r="CE27" s="494">
        <v>42551</v>
      </c>
    </row>
    <row r="28" spans="1:83" s="492" customFormat="1" ht="12.75">
      <c r="A28" s="493" t="s">
        <v>688</v>
      </c>
      <c r="B28" s="541" t="s">
        <v>688</v>
      </c>
      <c r="C28" s="493" t="s">
        <v>688</v>
      </c>
      <c r="D28" s="493" t="s">
        <v>688</v>
      </c>
      <c r="E28" s="540" t="s">
        <v>688</v>
      </c>
      <c r="F28" s="540" t="s">
        <v>688</v>
      </c>
      <c r="G28" s="540" t="s">
        <v>688</v>
      </c>
      <c r="H28" s="542" t="s">
        <v>688</v>
      </c>
      <c r="I28" s="542" t="s">
        <v>688</v>
      </c>
      <c r="J28" s="542" t="s">
        <v>688</v>
      </c>
      <c r="K28" s="542" t="s">
        <v>688</v>
      </c>
      <c r="L28" s="542" t="s">
        <v>688</v>
      </c>
      <c r="M28" s="542" t="s">
        <v>688</v>
      </c>
      <c r="N28" s="542" t="s">
        <v>688</v>
      </c>
      <c r="O28" s="542" t="s">
        <v>688</v>
      </c>
      <c r="P28" s="542" t="s">
        <v>688</v>
      </c>
      <c r="Q28" s="542" t="s">
        <v>688</v>
      </c>
      <c r="R28" s="542" t="s">
        <v>688</v>
      </c>
      <c r="S28" s="542" t="s">
        <v>688</v>
      </c>
      <c r="T28" s="542" t="s">
        <v>688</v>
      </c>
      <c r="U28" s="542" t="s">
        <v>688</v>
      </c>
      <c r="V28" s="542" t="s">
        <v>688</v>
      </c>
      <c r="W28" s="542" t="s">
        <v>688</v>
      </c>
      <c r="X28" s="542" t="s">
        <v>688</v>
      </c>
      <c r="Y28" s="542" t="s">
        <v>688</v>
      </c>
      <c r="Z28" s="542" t="s">
        <v>688</v>
      </c>
      <c r="AA28" s="542" t="s">
        <v>688</v>
      </c>
      <c r="AB28" s="542" t="s">
        <v>688</v>
      </c>
      <c r="AC28" s="542" t="s">
        <v>688</v>
      </c>
      <c r="AD28" s="542" t="s">
        <v>688</v>
      </c>
      <c r="AE28" s="542" t="s">
        <v>688</v>
      </c>
      <c r="AF28" s="543" t="s">
        <v>13</v>
      </c>
      <c r="AG28" s="543" t="s">
        <v>13</v>
      </c>
      <c r="AH28" s="543" t="s">
        <v>13</v>
      </c>
      <c r="AI28" s="543" t="s">
        <v>13</v>
      </c>
      <c r="AJ28" s="542" t="s">
        <v>688</v>
      </c>
      <c r="AK28" s="542" t="s">
        <v>688</v>
      </c>
      <c r="AL28" s="542" t="s">
        <v>688</v>
      </c>
      <c r="AM28" s="542" t="s">
        <v>688</v>
      </c>
      <c r="AN28" s="542" t="s">
        <v>688</v>
      </c>
      <c r="AO28" s="542" t="s">
        <v>688</v>
      </c>
      <c r="AP28" s="544" t="s">
        <v>688</v>
      </c>
      <c r="AQ28" s="545" t="s">
        <v>688</v>
      </c>
      <c r="AR28" s="545" t="s">
        <v>688</v>
      </c>
      <c r="AS28" s="545" t="s">
        <v>688</v>
      </c>
      <c r="AT28" s="543" t="s">
        <v>13</v>
      </c>
      <c r="AU28" s="542" t="s">
        <v>688</v>
      </c>
      <c r="AV28" s="542" t="s">
        <v>688</v>
      </c>
      <c r="AW28" s="542" t="s">
        <v>688</v>
      </c>
      <c r="AX28" s="542" t="s">
        <v>688</v>
      </c>
      <c r="AY28" s="542" t="s">
        <v>688</v>
      </c>
      <c r="AZ28" s="542" t="s">
        <v>688</v>
      </c>
      <c r="BA28" s="542" t="s">
        <v>688</v>
      </c>
      <c r="BB28" s="542" t="s">
        <v>688</v>
      </c>
      <c r="BC28" s="542" t="s">
        <v>688</v>
      </c>
      <c r="BD28" s="542" t="s">
        <v>688</v>
      </c>
      <c r="BE28" s="542" t="s">
        <v>4027</v>
      </c>
      <c r="BF28" s="542" t="s">
        <v>4027</v>
      </c>
      <c r="BG28" s="542" t="s">
        <v>4027</v>
      </c>
      <c r="BH28" s="492" t="s">
        <v>4027</v>
      </c>
      <c r="BI28" s="492" t="s">
        <v>4027</v>
      </c>
      <c r="BJ28" s="542" t="s">
        <v>4027</v>
      </c>
      <c r="BK28" s="492" t="s">
        <v>688</v>
      </c>
      <c r="BL28" s="492" t="e">
        <v>#VALUE!</v>
      </c>
      <c r="BM28" s="492" t="e">
        <v>#VALUE!</v>
      </c>
      <c r="BN28" s="492" t="e">
        <v>#VALUE!</v>
      </c>
      <c r="BO28" s="492" t="e">
        <v>#VALUE!</v>
      </c>
      <c r="BP28" s="492" t="e">
        <v>#VALUE!</v>
      </c>
      <c r="BQ28" s="492" t="e">
        <v>#VALUE!</v>
      </c>
      <c r="BR28" s="496" t="s">
        <v>686</v>
      </c>
      <c r="BS28" s="546" t="e">
        <v>#VALUE!</v>
      </c>
      <c r="BT28" s="546" t="e">
        <v>#VALUE!</v>
      </c>
      <c r="BU28" s="546" t="e">
        <v>#VALUE!</v>
      </c>
      <c r="BV28" s="546" t="e">
        <v>#VALUE!</v>
      </c>
      <c r="BW28" s="546" t="e">
        <v>#VALUE!</v>
      </c>
      <c r="BX28" s="546" t="e">
        <v>#VALUE!</v>
      </c>
      <c r="BY28" s="546" t="e">
        <v>#VALUE!</v>
      </c>
      <c r="BZ28" s="546" t="e">
        <v>#VALUE!</v>
      </c>
      <c r="CB28" s="492">
        <v>2</v>
      </c>
      <c r="CC28" s="55" t="s">
        <v>253</v>
      </c>
      <c r="CD28" s="55" t="s">
        <v>252</v>
      </c>
      <c r="CE28" s="494">
        <v>42551</v>
      </c>
    </row>
    <row r="29" spans="1:83" s="492" customFormat="1" ht="12.75">
      <c r="A29" s="493" t="s">
        <v>688</v>
      </c>
      <c r="B29" s="541" t="s">
        <v>688</v>
      </c>
      <c r="C29" s="493" t="s">
        <v>688</v>
      </c>
      <c r="D29" s="493" t="s">
        <v>688</v>
      </c>
      <c r="E29" s="540" t="s">
        <v>688</v>
      </c>
      <c r="F29" s="540" t="s">
        <v>688</v>
      </c>
      <c r="G29" s="540" t="s">
        <v>688</v>
      </c>
      <c r="H29" s="542" t="s">
        <v>688</v>
      </c>
      <c r="I29" s="542" t="s">
        <v>688</v>
      </c>
      <c r="J29" s="542" t="s">
        <v>688</v>
      </c>
      <c r="K29" s="542" t="s">
        <v>688</v>
      </c>
      <c r="L29" s="542" t="s">
        <v>688</v>
      </c>
      <c r="M29" s="542" t="s">
        <v>688</v>
      </c>
      <c r="N29" s="542" t="s">
        <v>688</v>
      </c>
      <c r="O29" s="542" t="s">
        <v>688</v>
      </c>
      <c r="P29" s="542" t="s">
        <v>688</v>
      </c>
      <c r="Q29" s="542" t="s">
        <v>688</v>
      </c>
      <c r="R29" s="542" t="s">
        <v>688</v>
      </c>
      <c r="S29" s="542" t="s">
        <v>688</v>
      </c>
      <c r="T29" s="542" t="s">
        <v>688</v>
      </c>
      <c r="U29" s="542" t="s">
        <v>688</v>
      </c>
      <c r="V29" s="542" t="s">
        <v>688</v>
      </c>
      <c r="W29" s="542" t="s">
        <v>688</v>
      </c>
      <c r="X29" s="542" t="s">
        <v>688</v>
      </c>
      <c r="Y29" s="542" t="s">
        <v>688</v>
      </c>
      <c r="Z29" s="542" t="s">
        <v>688</v>
      </c>
      <c r="AA29" s="542" t="s">
        <v>688</v>
      </c>
      <c r="AB29" s="542" t="s">
        <v>688</v>
      </c>
      <c r="AC29" s="542" t="s">
        <v>688</v>
      </c>
      <c r="AD29" s="542" t="s">
        <v>688</v>
      </c>
      <c r="AE29" s="542" t="s">
        <v>688</v>
      </c>
      <c r="AF29" s="543" t="s">
        <v>13</v>
      </c>
      <c r="AG29" s="543" t="s">
        <v>13</v>
      </c>
      <c r="AH29" s="543" t="s">
        <v>13</v>
      </c>
      <c r="AI29" s="543" t="s">
        <v>13</v>
      </c>
      <c r="AJ29" s="542" t="s">
        <v>688</v>
      </c>
      <c r="AK29" s="542" t="s">
        <v>688</v>
      </c>
      <c r="AL29" s="542" t="s">
        <v>688</v>
      </c>
      <c r="AM29" s="542" t="s">
        <v>688</v>
      </c>
      <c r="AN29" s="542" t="s">
        <v>688</v>
      </c>
      <c r="AO29" s="542" t="s">
        <v>688</v>
      </c>
      <c r="AP29" s="544" t="s">
        <v>688</v>
      </c>
      <c r="AQ29" s="545" t="s">
        <v>688</v>
      </c>
      <c r="AR29" s="545" t="s">
        <v>688</v>
      </c>
      <c r="AS29" s="545" t="s">
        <v>688</v>
      </c>
      <c r="AT29" s="543" t="s">
        <v>13</v>
      </c>
      <c r="AU29" s="542" t="s">
        <v>688</v>
      </c>
      <c r="AV29" s="542" t="s">
        <v>688</v>
      </c>
      <c r="AW29" s="542" t="s">
        <v>688</v>
      </c>
      <c r="AX29" s="542" t="s">
        <v>688</v>
      </c>
      <c r="AY29" s="542" t="s">
        <v>688</v>
      </c>
      <c r="AZ29" s="542" t="s">
        <v>688</v>
      </c>
      <c r="BA29" s="542" t="s">
        <v>688</v>
      </c>
      <c r="BB29" s="542" t="s">
        <v>688</v>
      </c>
      <c r="BC29" s="542" t="s">
        <v>688</v>
      </c>
      <c r="BD29" s="542" t="s">
        <v>688</v>
      </c>
      <c r="BE29" s="542" t="s">
        <v>4027</v>
      </c>
      <c r="BF29" s="542" t="s">
        <v>4027</v>
      </c>
      <c r="BG29" s="542" t="s">
        <v>4027</v>
      </c>
      <c r="BH29" s="492" t="s">
        <v>4027</v>
      </c>
      <c r="BI29" s="492" t="s">
        <v>4027</v>
      </c>
      <c r="BJ29" s="542" t="s">
        <v>4027</v>
      </c>
      <c r="BK29" s="492" t="s">
        <v>688</v>
      </c>
      <c r="BL29" s="492" t="e">
        <v>#VALUE!</v>
      </c>
      <c r="BM29" s="492" t="e">
        <v>#VALUE!</v>
      </c>
      <c r="BN29" s="492" t="e">
        <v>#VALUE!</v>
      </c>
      <c r="BO29" s="492" t="e">
        <v>#VALUE!</v>
      </c>
      <c r="BP29" s="492" t="e">
        <v>#VALUE!</v>
      </c>
      <c r="BQ29" s="492" t="e">
        <v>#VALUE!</v>
      </c>
      <c r="BR29" s="496" t="s">
        <v>686</v>
      </c>
      <c r="BS29" s="546" t="e">
        <v>#VALUE!</v>
      </c>
      <c r="BT29" s="546" t="e">
        <v>#VALUE!</v>
      </c>
      <c r="BU29" s="546" t="e">
        <v>#VALUE!</v>
      </c>
      <c r="BV29" s="546" t="e">
        <v>#VALUE!</v>
      </c>
      <c r="BW29" s="546" t="e">
        <v>#VALUE!</v>
      </c>
      <c r="BX29" s="546" t="e">
        <v>#VALUE!</v>
      </c>
      <c r="BY29" s="546" t="e">
        <v>#VALUE!</v>
      </c>
      <c r="BZ29" s="546" t="e">
        <v>#VALUE!</v>
      </c>
      <c r="CB29" s="492">
        <v>2</v>
      </c>
      <c r="CC29" s="55" t="s">
        <v>253</v>
      </c>
      <c r="CD29" s="55" t="s">
        <v>252</v>
      </c>
      <c r="CE29" s="494">
        <v>42551</v>
      </c>
    </row>
    <row r="30" spans="1:83" s="492" customFormat="1" ht="12.75">
      <c r="A30" s="493" t="s">
        <v>688</v>
      </c>
      <c r="B30" s="541" t="s">
        <v>688</v>
      </c>
      <c r="C30" s="493" t="s">
        <v>688</v>
      </c>
      <c r="D30" s="493" t="s">
        <v>688</v>
      </c>
      <c r="E30" s="540" t="s">
        <v>688</v>
      </c>
      <c r="F30" s="540" t="s">
        <v>688</v>
      </c>
      <c r="G30" s="540" t="s">
        <v>688</v>
      </c>
      <c r="H30" s="542" t="s">
        <v>688</v>
      </c>
      <c r="I30" s="542" t="s">
        <v>688</v>
      </c>
      <c r="J30" s="542" t="s">
        <v>688</v>
      </c>
      <c r="K30" s="542" t="s">
        <v>688</v>
      </c>
      <c r="L30" s="542" t="s">
        <v>688</v>
      </c>
      <c r="M30" s="542" t="s">
        <v>688</v>
      </c>
      <c r="N30" s="542" t="s">
        <v>688</v>
      </c>
      <c r="O30" s="542" t="s">
        <v>688</v>
      </c>
      <c r="P30" s="542" t="s">
        <v>688</v>
      </c>
      <c r="Q30" s="542" t="s">
        <v>688</v>
      </c>
      <c r="R30" s="542" t="s">
        <v>688</v>
      </c>
      <c r="S30" s="542" t="s">
        <v>688</v>
      </c>
      <c r="T30" s="542" t="s">
        <v>688</v>
      </c>
      <c r="U30" s="542" t="s">
        <v>688</v>
      </c>
      <c r="V30" s="542" t="s">
        <v>688</v>
      </c>
      <c r="W30" s="542" t="s">
        <v>688</v>
      </c>
      <c r="X30" s="542" t="s">
        <v>688</v>
      </c>
      <c r="Y30" s="542" t="s">
        <v>688</v>
      </c>
      <c r="Z30" s="542" t="s">
        <v>688</v>
      </c>
      <c r="AA30" s="542" t="s">
        <v>688</v>
      </c>
      <c r="AB30" s="542" t="s">
        <v>688</v>
      </c>
      <c r="AC30" s="542" t="s">
        <v>688</v>
      </c>
      <c r="AD30" s="542" t="s">
        <v>688</v>
      </c>
      <c r="AE30" s="542" t="s">
        <v>688</v>
      </c>
      <c r="AF30" s="543" t="s">
        <v>13</v>
      </c>
      <c r="AG30" s="543" t="s">
        <v>13</v>
      </c>
      <c r="AH30" s="543" t="s">
        <v>13</v>
      </c>
      <c r="AI30" s="543" t="s">
        <v>13</v>
      </c>
      <c r="AJ30" s="542" t="s">
        <v>688</v>
      </c>
      <c r="AK30" s="542" t="s">
        <v>688</v>
      </c>
      <c r="AL30" s="542" t="s">
        <v>688</v>
      </c>
      <c r="AM30" s="542" t="s">
        <v>688</v>
      </c>
      <c r="AN30" s="542" t="s">
        <v>688</v>
      </c>
      <c r="AO30" s="542" t="s">
        <v>688</v>
      </c>
      <c r="AP30" s="544" t="s">
        <v>688</v>
      </c>
      <c r="AQ30" s="545" t="s">
        <v>688</v>
      </c>
      <c r="AR30" s="545" t="s">
        <v>688</v>
      </c>
      <c r="AS30" s="545" t="s">
        <v>688</v>
      </c>
      <c r="AT30" s="543" t="s">
        <v>13</v>
      </c>
      <c r="AU30" s="542" t="s">
        <v>688</v>
      </c>
      <c r="AV30" s="542" t="s">
        <v>688</v>
      </c>
      <c r="AW30" s="542" t="s">
        <v>688</v>
      </c>
      <c r="AX30" s="542" t="s">
        <v>688</v>
      </c>
      <c r="AY30" s="542" t="s">
        <v>688</v>
      </c>
      <c r="AZ30" s="542" t="s">
        <v>688</v>
      </c>
      <c r="BA30" s="542" t="s">
        <v>688</v>
      </c>
      <c r="BB30" s="542" t="s">
        <v>688</v>
      </c>
      <c r="BC30" s="542" t="s">
        <v>688</v>
      </c>
      <c r="BD30" s="542" t="s">
        <v>688</v>
      </c>
      <c r="BE30" s="542" t="s">
        <v>4027</v>
      </c>
      <c r="BF30" s="542" t="s">
        <v>4027</v>
      </c>
      <c r="BG30" s="542" t="s">
        <v>4027</v>
      </c>
      <c r="BH30" s="492" t="s">
        <v>4027</v>
      </c>
      <c r="BI30" s="492" t="s">
        <v>4027</v>
      </c>
      <c r="BJ30" s="542" t="s">
        <v>4027</v>
      </c>
      <c r="BK30" s="492" t="s">
        <v>688</v>
      </c>
      <c r="BL30" s="492" t="e">
        <v>#VALUE!</v>
      </c>
      <c r="BM30" s="492" t="e">
        <v>#VALUE!</v>
      </c>
      <c r="BN30" s="492" t="e">
        <v>#VALUE!</v>
      </c>
      <c r="BO30" s="492" t="e">
        <v>#VALUE!</v>
      </c>
      <c r="BP30" s="492" t="e">
        <v>#VALUE!</v>
      </c>
      <c r="BQ30" s="492" t="e">
        <v>#VALUE!</v>
      </c>
      <c r="BR30" s="496" t="s">
        <v>686</v>
      </c>
      <c r="BS30" s="546" t="e">
        <v>#VALUE!</v>
      </c>
      <c r="BT30" s="546" t="e">
        <v>#VALUE!</v>
      </c>
      <c r="BU30" s="546" t="e">
        <v>#VALUE!</v>
      </c>
      <c r="BV30" s="546" t="e">
        <v>#VALUE!</v>
      </c>
      <c r="BW30" s="546" t="e">
        <v>#VALUE!</v>
      </c>
      <c r="BX30" s="546" t="e">
        <v>#VALUE!</v>
      </c>
      <c r="BY30" s="546" t="e">
        <v>#VALUE!</v>
      </c>
      <c r="BZ30" s="546" t="e">
        <v>#VALUE!</v>
      </c>
      <c r="CB30" s="492">
        <v>2</v>
      </c>
      <c r="CC30" s="55" t="s">
        <v>253</v>
      </c>
      <c r="CD30" s="55" t="s">
        <v>252</v>
      </c>
      <c r="CE30" s="494">
        <v>42551</v>
      </c>
    </row>
    <row r="31" spans="1:83" s="492" customFormat="1" ht="12.75">
      <c r="A31" s="493" t="s">
        <v>688</v>
      </c>
      <c r="B31" s="541" t="s">
        <v>688</v>
      </c>
      <c r="C31" s="493" t="s">
        <v>688</v>
      </c>
      <c r="D31" s="493" t="s">
        <v>688</v>
      </c>
      <c r="E31" s="540" t="s">
        <v>688</v>
      </c>
      <c r="F31" s="540" t="s">
        <v>688</v>
      </c>
      <c r="G31" s="540" t="s">
        <v>688</v>
      </c>
      <c r="H31" s="542" t="s">
        <v>688</v>
      </c>
      <c r="I31" s="542" t="s">
        <v>688</v>
      </c>
      <c r="J31" s="542" t="s">
        <v>688</v>
      </c>
      <c r="K31" s="542" t="s">
        <v>688</v>
      </c>
      <c r="L31" s="542" t="s">
        <v>688</v>
      </c>
      <c r="M31" s="542" t="s">
        <v>688</v>
      </c>
      <c r="N31" s="542" t="s">
        <v>688</v>
      </c>
      <c r="O31" s="542" t="s">
        <v>688</v>
      </c>
      <c r="P31" s="542" t="s">
        <v>688</v>
      </c>
      <c r="Q31" s="542" t="s">
        <v>688</v>
      </c>
      <c r="R31" s="542" t="s">
        <v>688</v>
      </c>
      <c r="S31" s="542" t="s">
        <v>688</v>
      </c>
      <c r="T31" s="542" t="s">
        <v>688</v>
      </c>
      <c r="U31" s="542" t="s">
        <v>688</v>
      </c>
      <c r="V31" s="542" t="s">
        <v>688</v>
      </c>
      <c r="W31" s="542" t="s">
        <v>688</v>
      </c>
      <c r="X31" s="542" t="s">
        <v>688</v>
      </c>
      <c r="Y31" s="542" t="s">
        <v>688</v>
      </c>
      <c r="Z31" s="542" t="s">
        <v>688</v>
      </c>
      <c r="AA31" s="542" t="s">
        <v>688</v>
      </c>
      <c r="AB31" s="542" t="s">
        <v>688</v>
      </c>
      <c r="AC31" s="542" t="s">
        <v>688</v>
      </c>
      <c r="AD31" s="542" t="s">
        <v>688</v>
      </c>
      <c r="AE31" s="542" t="s">
        <v>688</v>
      </c>
      <c r="AF31" s="543" t="s">
        <v>13</v>
      </c>
      <c r="AG31" s="543" t="s">
        <v>13</v>
      </c>
      <c r="AH31" s="543" t="s">
        <v>13</v>
      </c>
      <c r="AI31" s="543" t="s">
        <v>13</v>
      </c>
      <c r="AJ31" s="542" t="s">
        <v>688</v>
      </c>
      <c r="AK31" s="542" t="s">
        <v>688</v>
      </c>
      <c r="AL31" s="542" t="s">
        <v>688</v>
      </c>
      <c r="AM31" s="542" t="s">
        <v>688</v>
      </c>
      <c r="AN31" s="542" t="s">
        <v>688</v>
      </c>
      <c r="AO31" s="542" t="s">
        <v>688</v>
      </c>
      <c r="AP31" s="544" t="s">
        <v>688</v>
      </c>
      <c r="AQ31" s="545" t="s">
        <v>688</v>
      </c>
      <c r="AR31" s="545" t="s">
        <v>688</v>
      </c>
      <c r="AS31" s="545" t="s">
        <v>688</v>
      </c>
      <c r="AT31" s="543" t="s">
        <v>13</v>
      </c>
      <c r="AU31" s="542" t="s">
        <v>688</v>
      </c>
      <c r="AV31" s="542" t="s">
        <v>688</v>
      </c>
      <c r="AW31" s="542" t="s">
        <v>688</v>
      </c>
      <c r="AX31" s="542" t="s">
        <v>688</v>
      </c>
      <c r="AY31" s="542" t="s">
        <v>688</v>
      </c>
      <c r="AZ31" s="542" t="s">
        <v>688</v>
      </c>
      <c r="BA31" s="542" t="s">
        <v>688</v>
      </c>
      <c r="BB31" s="542" t="s">
        <v>688</v>
      </c>
      <c r="BC31" s="542" t="s">
        <v>688</v>
      </c>
      <c r="BD31" s="542" t="s">
        <v>688</v>
      </c>
      <c r="BE31" s="542" t="s">
        <v>4027</v>
      </c>
      <c r="BF31" s="542" t="s">
        <v>4027</v>
      </c>
      <c r="BG31" s="542" t="s">
        <v>4027</v>
      </c>
      <c r="BH31" s="492" t="s">
        <v>4027</v>
      </c>
      <c r="BI31" s="492" t="s">
        <v>4027</v>
      </c>
      <c r="BJ31" s="542" t="s">
        <v>4027</v>
      </c>
      <c r="BK31" s="492" t="s">
        <v>688</v>
      </c>
      <c r="BL31" s="492" t="e">
        <v>#VALUE!</v>
      </c>
      <c r="BM31" s="492" t="e">
        <v>#VALUE!</v>
      </c>
      <c r="BN31" s="492" t="e">
        <v>#VALUE!</v>
      </c>
      <c r="BO31" s="492" t="e">
        <v>#VALUE!</v>
      </c>
      <c r="BP31" s="492" t="e">
        <v>#VALUE!</v>
      </c>
      <c r="BQ31" s="492" t="e">
        <v>#VALUE!</v>
      </c>
      <c r="BR31" s="496" t="s">
        <v>686</v>
      </c>
      <c r="BS31" s="546" t="e">
        <v>#VALUE!</v>
      </c>
      <c r="BT31" s="546" t="e">
        <v>#VALUE!</v>
      </c>
      <c r="BU31" s="546" t="e">
        <v>#VALUE!</v>
      </c>
      <c r="BV31" s="546" t="e">
        <v>#VALUE!</v>
      </c>
      <c r="BW31" s="546" t="e">
        <v>#VALUE!</v>
      </c>
      <c r="BX31" s="546" t="e">
        <v>#VALUE!</v>
      </c>
      <c r="BY31" s="546" t="e">
        <v>#VALUE!</v>
      </c>
      <c r="BZ31" s="546" t="e">
        <v>#VALUE!</v>
      </c>
      <c r="CB31" s="492">
        <v>2</v>
      </c>
      <c r="CC31" s="55" t="s">
        <v>253</v>
      </c>
      <c r="CD31" s="55" t="s">
        <v>252</v>
      </c>
      <c r="CE31" s="494">
        <v>42551</v>
      </c>
    </row>
    <row r="32" spans="1:83" s="492" customFormat="1" ht="12.75">
      <c r="A32" s="493" t="s">
        <v>688</v>
      </c>
      <c r="B32" s="541" t="s">
        <v>688</v>
      </c>
      <c r="C32" s="493" t="s">
        <v>688</v>
      </c>
      <c r="D32" s="493" t="s">
        <v>688</v>
      </c>
      <c r="E32" s="540" t="s">
        <v>688</v>
      </c>
      <c r="F32" s="540" t="s">
        <v>688</v>
      </c>
      <c r="G32" s="540" t="s">
        <v>688</v>
      </c>
      <c r="H32" s="542" t="s">
        <v>688</v>
      </c>
      <c r="I32" s="542" t="s">
        <v>688</v>
      </c>
      <c r="J32" s="542" t="s">
        <v>688</v>
      </c>
      <c r="K32" s="542" t="s">
        <v>688</v>
      </c>
      <c r="L32" s="542" t="s">
        <v>688</v>
      </c>
      <c r="M32" s="542" t="s">
        <v>688</v>
      </c>
      <c r="N32" s="542" t="s">
        <v>688</v>
      </c>
      <c r="O32" s="542" t="s">
        <v>688</v>
      </c>
      <c r="P32" s="542" t="s">
        <v>688</v>
      </c>
      <c r="Q32" s="542" t="s">
        <v>688</v>
      </c>
      <c r="R32" s="542" t="s">
        <v>688</v>
      </c>
      <c r="S32" s="542" t="s">
        <v>688</v>
      </c>
      <c r="T32" s="542" t="s">
        <v>688</v>
      </c>
      <c r="U32" s="542" t="s">
        <v>688</v>
      </c>
      <c r="V32" s="542" t="s">
        <v>688</v>
      </c>
      <c r="W32" s="542" t="s">
        <v>688</v>
      </c>
      <c r="X32" s="542" t="s">
        <v>688</v>
      </c>
      <c r="Y32" s="542" t="s">
        <v>688</v>
      </c>
      <c r="Z32" s="542" t="s">
        <v>688</v>
      </c>
      <c r="AA32" s="542" t="s">
        <v>688</v>
      </c>
      <c r="AB32" s="542" t="s">
        <v>688</v>
      </c>
      <c r="AC32" s="542" t="s">
        <v>688</v>
      </c>
      <c r="AD32" s="542" t="s">
        <v>688</v>
      </c>
      <c r="AE32" s="542" t="s">
        <v>688</v>
      </c>
      <c r="AF32" s="543" t="s">
        <v>13</v>
      </c>
      <c r="AG32" s="543" t="s">
        <v>13</v>
      </c>
      <c r="AH32" s="543" t="s">
        <v>13</v>
      </c>
      <c r="AI32" s="543" t="s">
        <v>13</v>
      </c>
      <c r="AJ32" s="542" t="s">
        <v>688</v>
      </c>
      <c r="AK32" s="542" t="s">
        <v>688</v>
      </c>
      <c r="AL32" s="542" t="s">
        <v>688</v>
      </c>
      <c r="AM32" s="542" t="s">
        <v>688</v>
      </c>
      <c r="AN32" s="542" t="s">
        <v>688</v>
      </c>
      <c r="AO32" s="542" t="s">
        <v>688</v>
      </c>
      <c r="AP32" s="544" t="s">
        <v>688</v>
      </c>
      <c r="AQ32" s="545" t="s">
        <v>688</v>
      </c>
      <c r="AR32" s="545" t="s">
        <v>688</v>
      </c>
      <c r="AS32" s="545" t="s">
        <v>688</v>
      </c>
      <c r="AT32" s="543" t="s">
        <v>13</v>
      </c>
      <c r="AU32" s="542" t="s">
        <v>688</v>
      </c>
      <c r="AV32" s="542" t="s">
        <v>688</v>
      </c>
      <c r="AW32" s="542" t="s">
        <v>688</v>
      </c>
      <c r="AX32" s="542" t="s">
        <v>688</v>
      </c>
      <c r="AY32" s="542" t="s">
        <v>688</v>
      </c>
      <c r="AZ32" s="542" t="s">
        <v>688</v>
      </c>
      <c r="BA32" s="542" t="s">
        <v>688</v>
      </c>
      <c r="BB32" s="542" t="s">
        <v>688</v>
      </c>
      <c r="BC32" s="542" t="s">
        <v>688</v>
      </c>
      <c r="BD32" s="542" t="s">
        <v>688</v>
      </c>
      <c r="BE32" s="542" t="s">
        <v>4027</v>
      </c>
      <c r="BF32" s="542" t="s">
        <v>4027</v>
      </c>
      <c r="BG32" s="542" t="s">
        <v>4027</v>
      </c>
      <c r="BH32" s="492" t="s">
        <v>4027</v>
      </c>
      <c r="BI32" s="492" t="s">
        <v>4027</v>
      </c>
      <c r="BJ32" s="542" t="s">
        <v>4027</v>
      </c>
      <c r="BK32" s="492" t="s">
        <v>688</v>
      </c>
      <c r="BL32" s="492" t="e">
        <v>#VALUE!</v>
      </c>
      <c r="BM32" s="492" t="e">
        <v>#VALUE!</v>
      </c>
      <c r="BN32" s="492" t="e">
        <v>#VALUE!</v>
      </c>
      <c r="BO32" s="492" t="e">
        <v>#VALUE!</v>
      </c>
      <c r="BP32" s="492" t="e">
        <v>#VALUE!</v>
      </c>
      <c r="BQ32" s="492" t="e">
        <v>#VALUE!</v>
      </c>
      <c r="BR32" s="496" t="s">
        <v>686</v>
      </c>
      <c r="BS32" s="546" t="e">
        <v>#VALUE!</v>
      </c>
      <c r="BT32" s="546" t="e">
        <v>#VALUE!</v>
      </c>
      <c r="BU32" s="546" t="e">
        <v>#VALUE!</v>
      </c>
      <c r="BV32" s="546" t="e">
        <v>#VALUE!</v>
      </c>
      <c r="BW32" s="546" t="e">
        <v>#VALUE!</v>
      </c>
      <c r="BX32" s="546" t="e">
        <v>#VALUE!</v>
      </c>
      <c r="BY32" s="546" t="e">
        <v>#VALUE!</v>
      </c>
      <c r="BZ32" s="546" t="e">
        <v>#VALUE!</v>
      </c>
      <c r="CB32" s="492">
        <v>2</v>
      </c>
      <c r="CC32" s="55" t="s">
        <v>253</v>
      </c>
      <c r="CD32" s="55" t="s">
        <v>252</v>
      </c>
      <c r="CE32" s="494">
        <v>42551</v>
      </c>
    </row>
    <row r="33" spans="1:83" s="492" customFormat="1" ht="12.75">
      <c r="A33" s="493" t="s">
        <v>688</v>
      </c>
      <c r="B33" s="541" t="s">
        <v>688</v>
      </c>
      <c r="C33" s="493" t="s">
        <v>688</v>
      </c>
      <c r="D33" s="493" t="s">
        <v>688</v>
      </c>
      <c r="E33" s="540" t="s">
        <v>688</v>
      </c>
      <c r="F33" s="540" t="s">
        <v>688</v>
      </c>
      <c r="G33" s="540" t="s">
        <v>688</v>
      </c>
      <c r="H33" s="542" t="s">
        <v>688</v>
      </c>
      <c r="I33" s="542" t="s">
        <v>688</v>
      </c>
      <c r="J33" s="542" t="s">
        <v>688</v>
      </c>
      <c r="K33" s="542" t="s">
        <v>688</v>
      </c>
      <c r="L33" s="542" t="s">
        <v>688</v>
      </c>
      <c r="M33" s="542" t="s">
        <v>688</v>
      </c>
      <c r="N33" s="542" t="s">
        <v>688</v>
      </c>
      <c r="O33" s="542" t="s">
        <v>688</v>
      </c>
      <c r="P33" s="542" t="s">
        <v>688</v>
      </c>
      <c r="Q33" s="542" t="s">
        <v>688</v>
      </c>
      <c r="R33" s="542" t="s">
        <v>688</v>
      </c>
      <c r="S33" s="542" t="s">
        <v>688</v>
      </c>
      <c r="T33" s="542" t="s">
        <v>688</v>
      </c>
      <c r="U33" s="542" t="s">
        <v>688</v>
      </c>
      <c r="V33" s="542" t="s">
        <v>688</v>
      </c>
      <c r="W33" s="542" t="s">
        <v>688</v>
      </c>
      <c r="X33" s="542" t="s">
        <v>688</v>
      </c>
      <c r="Y33" s="542" t="s">
        <v>688</v>
      </c>
      <c r="Z33" s="542" t="s">
        <v>688</v>
      </c>
      <c r="AA33" s="542" t="s">
        <v>688</v>
      </c>
      <c r="AB33" s="542" t="s">
        <v>688</v>
      </c>
      <c r="AC33" s="542" t="s">
        <v>688</v>
      </c>
      <c r="AD33" s="542" t="s">
        <v>688</v>
      </c>
      <c r="AE33" s="542" t="s">
        <v>688</v>
      </c>
      <c r="AF33" s="543" t="s">
        <v>13</v>
      </c>
      <c r="AG33" s="543" t="s">
        <v>13</v>
      </c>
      <c r="AH33" s="543" t="s">
        <v>13</v>
      </c>
      <c r="AI33" s="543" t="s">
        <v>13</v>
      </c>
      <c r="AJ33" s="542" t="s">
        <v>688</v>
      </c>
      <c r="AK33" s="542" t="s">
        <v>688</v>
      </c>
      <c r="AL33" s="542" t="s">
        <v>688</v>
      </c>
      <c r="AM33" s="542" t="s">
        <v>688</v>
      </c>
      <c r="AN33" s="542" t="s">
        <v>688</v>
      </c>
      <c r="AO33" s="542" t="s">
        <v>688</v>
      </c>
      <c r="AP33" s="544" t="s">
        <v>688</v>
      </c>
      <c r="AQ33" s="545" t="s">
        <v>688</v>
      </c>
      <c r="AR33" s="545" t="s">
        <v>688</v>
      </c>
      <c r="AS33" s="545" t="s">
        <v>688</v>
      </c>
      <c r="AT33" s="543" t="s">
        <v>13</v>
      </c>
      <c r="AU33" s="542" t="s">
        <v>688</v>
      </c>
      <c r="AV33" s="542" t="s">
        <v>688</v>
      </c>
      <c r="AW33" s="542" t="s">
        <v>688</v>
      </c>
      <c r="AX33" s="542" t="s">
        <v>688</v>
      </c>
      <c r="AY33" s="542" t="s">
        <v>688</v>
      </c>
      <c r="AZ33" s="542" t="s">
        <v>688</v>
      </c>
      <c r="BA33" s="542" t="s">
        <v>688</v>
      </c>
      <c r="BB33" s="542" t="s">
        <v>688</v>
      </c>
      <c r="BC33" s="542" t="s">
        <v>688</v>
      </c>
      <c r="BD33" s="542" t="s">
        <v>688</v>
      </c>
      <c r="BE33" s="542" t="s">
        <v>4027</v>
      </c>
      <c r="BF33" s="542" t="s">
        <v>4027</v>
      </c>
      <c r="BG33" s="542" t="s">
        <v>4027</v>
      </c>
      <c r="BH33" s="492" t="s">
        <v>4027</v>
      </c>
      <c r="BI33" s="492" t="s">
        <v>4027</v>
      </c>
      <c r="BJ33" s="542" t="s">
        <v>4027</v>
      </c>
      <c r="BK33" s="492" t="s">
        <v>688</v>
      </c>
      <c r="BL33" s="492" t="e">
        <v>#VALUE!</v>
      </c>
      <c r="BM33" s="492" t="e">
        <v>#VALUE!</v>
      </c>
      <c r="BN33" s="492" t="e">
        <v>#VALUE!</v>
      </c>
      <c r="BO33" s="492" t="e">
        <v>#VALUE!</v>
      </c>
      <c r="BP33" s="492" t="e">
        <v>#VALUE!</v>
      </c>
      <c r="BQ33" s="492" t="e">
        <v>#VALUE!</v>
      </c>
      <c r="BR33" s="496" t="s">
        <v>686</v>
      </c>
      <c r="BS33" s="546" t="e">
        <v>#VALUE!</v>
      </c>
      <c r="BT33" s="546" t="e">
        <v>#VALUE!</v>
      </c>
      <c r="BU33" s="546" t="e">
        <v>#VALUE!</v>
      </c>
      <c r="BV33" s="546" t="e">
        <v>#VALUE!</v>
      </c>
      <c r="BW33" s="546" t="e">
        <v>#VALUE!</v>
      </c>
      <c r="BX33" s="546" t="e">
        <v>#VALUE!</v>
      </c>
      <c r="BY33" s="546" t="e">
        <v>#VALUE!</v>
      </c>
      <c r="BZ33" s="546" t="e">
        <v>#VALUE!</v>
      </c>
      <c r="CB33" s="492">
        <v>2</v>
      </c>
      <c r="CC33" s="55" t="s">
        <v>253</v>
      </c>
      <c r="CD33" s="55" t="s">
        <v>252</v>
      </c>
      <c r="CE33" s="494">
        <v>42551</v>
      </c>
    </row>
    <row r="34" spans="1:83" s="492" customFormat="1" ht="12.75">
      <c r="A34" s="493" t="s">
        <v>688</v>
      </c>
      <c r="B34" s="541" t="s">
        <v>688</v>
      </c>
      <c r="C34" s="493" t="s">
        <v>688</v>
      </c>
      <c r="D34" s="493" t="s">
        <v>688</v>
      </c>
      <c r="E34" s="540" t="s">
        <v>688</v>
      </c>
      <c r="F34" s="540" t="s">
        <v>688</v>
      </c>
      <c r="G34" s="540" t="s">
        <v>688</v>
      </c>
      <c r="H34" s="542" t="s">
        <v>688</v>
      </c>
      <c r="I34" s="542" t="s">
        <v>688</v>
      </c>
      <c r="J34" s="542" t="s">
        <v>688</v>
      </c>
      <c r="K34" s="542" t="s">
        <v>688</v>
      </c>
      <c r="L34" s="542" t="s">
        <v>688</v>
      </c>
      <c r="M34" s="542" t="s">
        <v>688</v>
      </c>
      <c r="N34" s="542" t="s">
        <v>688</v>
      </c>
      <c r="O34" s="542" t="s">
        <v>688</v>
      </c>
      <c r="P34" s="542" t="s">
        <v>688</v>
      </c>
      <c r="Q34" s="542" t="s">
        <v>688</v>
      </c>
      <c r="R34" s="542" t="s">
        <v>688</v>
      </c>
      <c r="S34" s="542" t="s">
        <v>688</v>
      </c>
      <c r="T34" s="542" t="s">
        <v>688</v>
      </c>
      <c r="U34" s="542" t="s">
        <v>688</v>
      </c>
      <c r="V34" s="542" t="s">
        <v>688</v>
      </c>
      <c r="W34" s="542" t="s">
        <v>688</v>
      </c>
      <c r="X34" s="542" t="s">
        <v>688</v>
      </c>
      <c r="Y34" s="542" t="s">
        <v>688</v>
      </c>
      <c r="Z34" s="542" t="s">
        <v>688</v>
      </c>
      <c r="AA34" s="542" t="s">
        <v>688</v>
      </c>
      <c r="AB34" s="542" t="s">
        <v>688</v>
      </c>
      <c r="AC34" s="542" t="s">
        <v>688</v>
      </c>
      <c r="AD34" s="542" t="s">
        <v>688</v>
      </c>
      <c r="AE34" s="542" t="s">
        <v>688</v>
      </c>
      <c r="AF34" s="543" t="s">
        <v>13</v>
      </c>
      <c r="AG34" s="543" t="s">
        <v>13</v>
      </c>
      <c r="AH34" s="543" t="s">
        <v>13</v>
      </c>
      <c r="AI34" s="543" t="s">
        <v>13</v>
      </c>
      <c r="AJ34" s="542" t="s">
        <v>688</v>
      </c>
      <c r="AK34" s="542" t="s">
        <v>688</v>
      </c>
      <c r="AL34" s="542" t="s">
        <v>688</v>
      </c>
      <c r="AM34" s="542" t="s">
        <v>688</v>
      </c>
      <c r="AN34" s="542" t="s">
        <v>688</v>
      </c>
      <c r="AO34" s="542" t="s">
        <v>688</v>
      </c>
      <c r="AP34" s="544" t="s">
        <v>688</v>
      </c>
      <c r="AQ34" s="545" t="s">
        <v>688</v>
      </c>
      <c r="AR34" s="545" t="s">
        <v>688</v>
      </c>
      <c r="AS34" s="545" t="s">
        <v>688</v>
      </c>
      <c r="AT34" s="543" t="s">
        <v>13</v>
      </c>
      <c r="AU34" s="542" t="s">
        <v>688</v>
      </c>
      <c r="AV34" s="542" t="s">
        <v>688</v>
      </c>
      <c r="AW34" s="542" t="s">
        <v>688</v>
      </c>
      <c r="AX34" s="542" t="s">
        <v>688</v>
      </c>
      <c r="AY34" s="542" t="s">
        <v>688</v>
      </c>
      <c r="AZ34" s="542" t="s">
        <v>688</v>
      </c>
      <c r="BA34" s="542" t="s">
        <v>688</v>
      </c>
      <c r="BB34" s="542" t="s">
        <v>688</v>
      </c>
      <c r="BC34" s="542" t="s">
        <v>688</v>
      </c>
      <c r="BD34" s="542" t="s">
        <v>688</v>
      </c>
      <c r="BE34" s="542" t="s">
        <v>4027</v>
      </c>
      <c r="BF34" s="542" t="s">
        <v>4027</v>
      </c>
      <c r="BG34" s="542" t="s">
        <v>4027</v>
      </c>
      <c r="BH34" s="492" t="s">
        <v>4027</v>
      </c>
      <c r="BI34" s="492" t="s">
        <v>4027</v>
      </c>
      <c r="BJ34" s="542" t="s">
        <v>4027</v>
      </c>
      <c r="BK34" s="492" t="s">
        <v>688</v>
      </c>
      <c r="BL34" s="492" t="e">
        <v>#VALUE!</v>
      </c>
      <c r="BM34" s="492" t="e">
        <v>#VALUE!</v>
      </c>
      <c r="BN34" s="492" t="e">
        <v>#VALUE!</v>
      </c>
      <c r="BO34" s="492" t="e">
        <v>#VALUE!</v>
      </c>
      <c r="BP34" s="492" t="e">
        <v>#VALUE!</v>
      </c>
      <c r="BQ34" s="492" t="e">
        <v>#VALUE!</v>
      </c>
      <c r="BR34" s="496" t="s">
        <v>686</v>
      </c>
      <c r="BS34" s="546" t="e">
        <v>#VALUE!</v>
      </c>
      <c r="BT34" s="546" t="e">
        <v>#VALUE!</v>
      </c>
      <c r="BU34" s="546" t="e">
        <v>#VALUE!</v>
      </c>
      <c r="BV34" s="546" t="e">
        <v>#VALUE!</v>
      </c>
      <c r="BW34" s="546" t="e">
        <v>#VALUE!</v>
      </c>
      <c r="BX34" s="546" t="e">
        <v>#VALUE!</v>
      </c>
      <c r="BY34" s="546" t="e">
        <v>#VALUE!</v>
      </c>
      <c r="BZ34" s="546" t="e">
        <v>#VALUE!</v>
      </c>
      <c r="CB34" s="492">
        <v>2</v>
      </c>
      <c r="CC34" s="55" t="s">
        <v>253</v>
      </c>
      <c r="CD34" s="55" t="s">
        <v>252</v>
      </c>
      <c r="CE34" s="494">
        <v>42551</v>
      </c>
    </row>
    <row r="35" spans="1:83" s="492" customFormat="1" ht="12.75">
      <c r="A35" s="493" t="s">
        <v>688</v>
      </c>
      <c r="B35" s="541" t="s">
        <v>688</v>
      </c>
      <c r="C35" s="493" t="s">
        <v>688</v>
      </c>
      <c r="D35" s="493" t="s">
        <v>688</v>
      </c>
      <c r="E35" s="540" t="s">
        <v>688</v>
      </c>
      <c r="F35" s="540" t="s">
        <v>688</v>
      </c>
      <c r="G35" s="540" t="s">
        <v>688</v>
      </c>
      <c r="H35" s="542" t="s">
        <v>688</v>
      </c>
      <c r="I35" s="542" t="s">
        <v>688</v>
      </c>
      <c r="J35" s="542" t="s">
        <v>688</v>
      </c>
      <c r="K35" s="542" t="s">
        <v>688</v>
      </c>
      <c r="L35" s="542" t="s">
        <v>688</v>
      </c>
      <c r="M35" s="542" t="s">
        <v>688</v>
      </c>
      <c r="N35" s="542" t="s">
        <v>688</v>
      </c>
      <c r="O35" s="542" t="s">
        <v>688</v>
      </c>
      <c r="P35" s="542" t="s">
        <v>688</v>
      </c>
      <c r="Q35" s="542" t="s">
        <v>688</v>
      </c>
      <c r="R35" s="542" t="s">
        <v>688</v>
      </c>
      <c r="S35" s="542" t="s">
        <v>688</v>
      </c>
      <c r="T35" s="542" t="s">
        <v>688</v>
      </c>
      <c r="U35" s="542" t="s">
        <v>688</v>
      </c>
      <c r="V35" s="542" t="s">
        <v>688</v>
      </c>
      <c r="W35" s="542" t="s">
        <v>688</v>
      </c>
      <c r="X35" s="542" t="s">
        <v>688</v>
      </c>
      <c r="Y35" s="542" t="s">
        <v>688</v>
      </c>
      <c r="Z35" s="542" t="s">
        <v>688</v>
      </c>
      <c r="AA35" s="542" t="s">
        <v>688</v>
      </c>
      <c r="AB35" s="542" t="s">
        <v>688</v>
      </c>
      <c r="AC35" s="542" t="s">
        <v>688</v>
      </c>
      <c r="AD35" s="542" t="s">
        <v>688</v>
      </c>
      <c r="AE35" s="542" t="s">
        <v>688</v>
      </c>
      <c r="AF35" s="543" t="s">
        <v>13</v>
      </c>
      <c r="AG35" s="543" t="s">
        <v>13</v>
      </c>
      <c r="AH35" s="543" t="s">
        <v>13</v>
      </c>
      <c r="AI35" s="543" t="s">
        <v>13</v>
      </c>
      <c r="AJ35" s="542" t="s">
        <v>688</v>
      </c>
      <c r="AK35" s="542" t="s">
        <v>688</v>
      </c>
      <c r="AL35" s="542" t="s">
        <v>688</v>
      </c>
      <c r="AM35" s="542" t="s">
        <v>688</v>
      </c>
      <c r="AN35" s="542" t="s">
        <v>688</v>
      </c>
      <c r="AO35" s="542" t="s">
        <v>688</v>
      </c>
      <c r="AP35" s="544" t="s">
        <v>688</v>
      </c>
      <c r="AQ35" s="545" t="s">
        <v>688</v>
      </c>
      <c r="AR35" s="545" t="s">
        <v>688</v>
      </c>
      <c r="AS35" s="545" t="s">
        <v>688</v>
      </c>
      <c r="AT35" s="543" t="s">
        <v>13</v>
      </c>
      <c r="AU35" s="542" t="s">
        <v>688</v>
      </c>
      <c r="AV35" s="542" t="s">
        <v>688</v>
      </c>
      <c r="AW35" s="542" t="s">
        <v>688</v>
      </c>
      <c r="AX35" s="542" t="s">
        <v>688</v>
      </c>
      <c r="AY35" s="542" t="s">
        <v>688</v>
      </c>
      <c r="AZ35" s="542" t="s">
        <v>688</v>
      </c>
      <c r="BA35" s="542" t="s">
        <v>688</v>
      </c>
      <c r="BB35" s="542" t="s">
        <v>688</v>
      </c>
      <c r="BC35" s="542" t="s">
        <v>688</v>
      </c>
      <c r="BD35" s="542" t="s">
        <v>688</v>
      </c>
      <c r="BE35" s="542" t="s">
        <v>4027</v>
      </c>
      <c r="BF35" s="542" t="s">
        <v>4027</v>
      </c>
      <c r="BG35" s="542" t="s">
        <v>4027</v>
      </c>
      <c r="BH35" s="492" t="s">
        <v>4027</v>
      </c>
      <c r="BI35" s="492" t="s">
        <v>4027</v>
      </c>
      <c r="BJ35" s="542" t="s">
        <v>4027</v>
      </c>
      <c r="BK35" s="492" t="s">
        <v>688</v>
      </c>
      <c r="BL35" s="492" t="e">
        <v>#VALUE!</v>
      </c>
      <c r="BM35" s="492" t="e">
        <v>#VALUE!</v>
      </c>
      <c r="BN35" s="492" t="e">
        <v>#VALUE!</v>
      </c>
      <c r="BO35" s="492" t="e">
        <v>#VALUE!</v>
      </c>
      <c r="BP35" s="492" t="e">
        <v>#VALUE!</v>
      </c>
      <c r="BQ35" s="492" t="e">
        <v>#VALUE!</v>
      </c>
      <c r="BR35" s="492" t="s">
        <v>686</v>
      </c>
      <c r="BS35" s="546" t="e">
        <v>#VALUE!</v>
      </c>
      <c r="BT35" s="546" t="e">
        <v>#VALUE!</v>
      </c>
      <c r="BU35" s="546" t="e">
        <v>#VALUE!</v>
      </c>
      <c r="BV35" s="546" t="e">
        <v>#VALUE!</v>
      </c>
      <c r="BW35" s="546" t="e">
        <v>#VALUE!</v>
      </c>
      <c r="BX35" s="546" t="e">
        <v>#VALUE!</v>
      </c>
      <c r="BY35" s="546" t="e">
        <v>#VALUE!</v>
      </c>
      <c r="BZ35" s="546" t="e">
        <v>#VALUE!</v>
      </c>
      <c r="CB35" s="492">
        <v>2</v>
      </c>
      <c r="CC35" s="55" t="s">
        <v>253</v>
      </c>
      <c r="CD35" s="55" t="s">
        <v>252</v>
      </c>
      <c r="CE35" s="494">
        <v>42551</v>
      </c>
    </row>
    <row r="36" spans="1:83" s="492" customFormat="1" ht="12.75">
      <c r="A36" s="493" t="s">
        <v>688</v>
      </c>
      <c r="B36" s="541" t="s">
        <v>688</v>
      </c>
      <c r="C36" s="493" t="s">
        <v>688</v>
      </c>
      <c r="D36" s="493" t="s">
        <v>688</v>
      </c>
      <c r="E36" s="540" t="s">
        <v>688</v>
      </c>
      <c r="F36" s="540" t="s">
        <v>688</v>
      </c>
      <c r="G36" s="540" t="s">
        <v>688</v>
      </c>
      <c r="H36" s="542" t="s">
        <v>688</v>
      </c>
      <c r="I36" s="542" t="s">
        <v>688</v>
      </c>
      <c r="J36" s="542" t="s">
        <v>688</v>
      </c>
      <c r="K36" s="542" t="s">
        <v>688</v>
      </c>
      <c r="L36" s="542" t="s">
        <v>688</v>
      </c>
      <c r="M36" s="542" t="s">
        <v>688</v>
      </c>
      <c r="N36" s="542" t="s">
        <v>688</v>
      </c>
      <c r="O36" s="542" t="s">
        <v>688</v>
      </c>
      <c r="P36" s="542" t="s">
        <v>688</v>
      </c>
      <c r="Q36" s="542" t="s">
        <v>688</v>
      </c>
      <c r="R36" s="542" t="s">
        <v>688</v>
      </c>
      <c r="S36" s="542" t="s">
        <v>688</v>
      </c>
      <c r="T36" s="542" t="s">
        <v>688</v>
      </c>
      <c r="U36" s="542" t="s">
        <v>688</v>
      </c>
      <c r="V36" s="542" t="s">
        <v>688</v>
      </c>
      <c r="W36" s="542" t="s">
        <v>688</v>
      </c>
      <c r="X36" s="542" t="s">
        <v>688</v>
      </c>
      <c r="Y36" s="542" t="s">
        <v>688</v>
      </c>
      <c r="Z36" s="542" t="s">
        <v>688</v>
      </c>
      <c r="AA36" s="542" t="s">
        <v>688</v>
      </c>
      <c r="AB36" s="542" t="s">
        <v>688</v>
      </c>
      <c r="AC36" s="542" t="s">
        <v>688</v>
      </c>
      <c r="AD36" s="542" t="s">
        <v>688</v>
      </c>
      <c r="AE36" s="542" t="s">
        <v>688</v>
      </c>
      <c r="AF36" s="543" t="s">
        <v>13</v>
      </c>
      <c r="AG36" s="543" t="s">
        <v>13</v>
      </c>
      <c r="AH36" s="543" t="s">
        <v>13</v>
      </c>
      <c r="AI36" s="543" t="s">
        <v>13</v>
      </c>
      <c r="AJ36" s="542" t="s">
        <v>688</v>
      </c>
      <c r="AK36" s="542" t="s">
        <v>688</v>
      </c>
      <c r="AL36" s="542" t="s">
        <v>688</v>
      </c>
      <c r="AM36" s="542" t="s">
        <v>688</v>
      </c>
      <c r="AN36" s="542" t="s">
        <v>688</v>
      </c>
      <c r="AO36" s="542" t="s">
        <v>688</v>
      </c>
      <c r="AP36" s="544" t="s">
        <v>688</v>
      </c>
      <c r="AQ36" s="545" t="s">
        <v>688</v>
      </c>
      <c r="AR36" s="545" t="s">
        <v>688</v>
      </c>
      <c r="AS36" s="545" t="s">
        <v>688</v>
      </c>
      <c r="AT36" s="543" t="s">
        <v>13</v>
      </c>
      <c r="AU36" s="542" t="s">
        <v>688</v>
      </c>
      <c r="AV36" s="542" t="s">
        <v>688</v>
      </c>
      <c r="AW36" s="542" t="s">
        <v>688</v>
      </c>
      <c r="AX36" s="542" t="s">
        <v>688</v>
      </c>
      <c r="AY36" s="542" t="s">
        <v>688</v>
      </c>
      <c r="AZ36" s="542" t="s">
        <v>688</v>
      </c>
      <c r="BA36" s="542" t="s">
        <v>688</v>
      </c>
      <c r="BB36" s="542" t="s">
        <v>688</v>
      </c>
      <c r="BC36" s="542" t="s">
        <v>688</v>
      </c>
      <c r="BD36" s="542" t="s">
        <v>688</v>
      </c>
      <c r="BE36" s="542" t="s">
        <v>4027</v>
      </c>
      <c r="BF36" s="542" t="s">
        <v>4027</v>
      </c>
      <c r="BG36" s="542" t="s">
        <v>4027</v>
      </c>
      <c r="BH36" s="492" t="s">
        <v>4027</v>
      </c>
      <c r="BI36" s="492" t="s">
        <v>4027</v>
      </c>
      <c r="BJ36" s="542" t="s">
        <v>4027</v>
      </c>
      <c r="BK36" s="492" t="s">
        <v>688</v>
      </c>
      <c r="BL36" s="492" t="e">
        <v>#VALUE!</v>
      </c>
      <c r="BM36" s="492" t="e">
        <v>#VALUE!</v>
      </c>
      <c r="BN36" s="492" t="e">
        <v>#VALUE!</v>
      </c>
      <c r="BO36" s="492" t="e">
        <v>#VALUE!</v>
      </c>
      <c r="BP36" s="492" t="e">
        <v>#VALUE!</v>
      </c>
      <c r="BQ36" s="492" t="e">
        <v>#VALUE!</v>
      </c>
      <c r="BR36" s="492" t="s">
        <v>686</v>
      </c>
      <c r="BS36" s="546" t="e">
        <v>#VALUE!</v>
      </c>
      <c r="BT36" s="546" t="e">
        <v>#VALUE!</v>
      </c>
      <c r="BU36" s="546" t="e">
        <v>#VALUE!</v>
      </c>
      <c r="BV36" s="546" t="e">
        <v>#VALUE!</v>
      </c>
      <c r="BW36" s="546" t="e">
        <v>#VALUE!</v>
      </c>
      <c r="BX36" s="546" t="e">
        <v>#VALUE!</v>
      </c>
      <c r="BY36" s="546" t="e">
        <v>#VALUE!</v>
      </c>
      <c r="BZ36" s="546" t="e">
        <v>#VALUE!</v>
      </c>
      <c r="CB36" s="492">
        <v>2</v>
      </c>
      <c r="CC36" s="55" t="s">
        <v>253</v>
      </c>
      <c r="CD36" s="55" t="s">
        <v>252</v>
      </c>
      <c r="CE36" s="494">
        <v>42551</v>
      </c>
    </row>
    <row r="37" spans="1:83" s="492" customFormat="1" ht="12.75">
      <c r="A37" s="493" t="s">
        <v>688</v>
      </c>
      <c r="B37" s="541" t="s">
        <v>688</v>
      </c>
      <c r="C37" s="493" t="s">
        <v>688</v>
      </c>
      <c r="D37" s="493" t="s">
        <v>688</v>
      </c>
      <c r="E37" s="540" t="s">
        <v>688</v>
      </c>
      <c r="F37" s="540" t="s">
        <v>688</v>
      </c>
      <c r="G37" s="540" t="s">
        <v>688</v>
      </c>
      <c r="H37" s="542" t="s">
        <v>688</v>
      </c>
      <c r="I37" s="542" t="s">
        <v>688</v>
      </c>
      <c r="J37" s="542" t="s">
        <v>688</v>
      </c>
      <c r="K37" s="542" t="s">
        <v>688</v>
      </c>
      <c r="L37" s="542" t="s">
        <v>688</v>
      </c>
      <c r="M37" s="542" t="s">
        <v>688</v>
      </c>
      <c r="N37" s="542" t="s">
        <v>688</v>
      </c>
      <c r="O37" s="542" t="s">
        <v>688</v>
      </c>
      <c r="P37" s="542" t="s">
        <v>688</v>
      </c>
      <c r="Q37" s="542" t="s">
        <v>688</v>
      </c>
      <c r="R37" s="542" t="s">
        <v>688</v>
      </c>
      <c r="S37" s="542" t="s">
        <v>688</v>
      </c>
      <c r="T37" s="542" t="s">
        <v>688</v>
      </c>
      <c r="U37" s="542" t="s">
        <v>688</v>
      </c>
      <c r="V37" s="542" t="s">
        <v>688</v>
      </c>
      <c r="W37" s="542" t="s">
        <v>688</v>
      </c>
      <c r="X37" s="542" t="s">
        <v>688</v>
      </c>
      <c r="Y37" s="542" t="s">
        <v>688</v>
      </c>
      <c r="Z37" s="542" t="s">
        <v>688</v>
      </c>
      <c r="AA37" s="542" t="s">
        <v>688</v>
      </c>
      <c r="AB37" s="542" t="s">
        <v>688</v>
      </c>
      <c r="AC37" s="542" t="s">
        <v>688</v>
      </c>
      <c r="AD37" s="542" t="s">
        <v>688</v>
      </c>
      <c r="AE37" s="542" t="s">
        <v>688</v>
      </c>
      <c r="AF37" s="543" t="s">
        <v>13</v>
      </c>
      <c r="AG37" s="543" t="s">
        <v>13</v>
      </c>
      <c r="AH37" s="543" t="s">
        <v>13</v>
      </c>
      <c r="AI37" s="543" t="s">
        <v>13</v>
      </c>
      <c r="AJ37" s="542" t="s">
        <v>688</v>
      </c>
      <c r="AK37" s="542" t="s">
        <v>688</v>
      </c>
      <c r="AL37" s="542" t="s">
        <v>688</v>
      </c>
      <c r="AM37" s="542" t="s">
        <v>688</v>
      </c>
      <c r="AN37" s="542" t="s">
        <v>688</v>
      </c>
      <c r="AO37" s="542" t="s">
        <v>688</v>
      </c>
      <c r="AP37" s="544" t="s">
        <v>688</v>
      </c>
      <c r="AQ37" s="545" t="s">
        <v>688</v>
      </c>
      <c r="AR37" s="545" t="s">
        <v>688</v>
      </c>
      <c r="AS37" s="545" t="s">
        <v>688</v>
      </c>
      <c r="AT37" s="543" t="s">
        <v>13</v>
      </c>
      <c r="AU37" s="542" t="s">
        <v>688</v>
      </c>
      <c r="AV37" s="542" t="s">
        <v>688</v>
      </c>
      <c r="AW37" s="542" t="s">
        <v>688</v>
      </c>
      <c r="AX37" s="542" t="s">
        <v>688</v>
      </c>
      <c r="AY37" s="542" t="s">
        <v>688</v>
      </c>
      <c r="AZ37" s="542" t="s">
        <v>688</v>
      </c>
      <c r="BA37" s="542" t="s">
        <v>688</v>
      </c>
      <c r="BB37" s="542" t="s">
        <v>688</v>
      </c>
      <c r="BC37" s="542" t="s">
        <v>688</v>
      </c>
      <c r="BD37" s="542" t="s">
        <v>688</v>
      </c>
      <c r="BE37" s="542" t="s">
        <v>4027</v>
      </c>
      <c r="BF37" s="542" t="s">
        <v>4027</v>
      </c>
      <c r="BG37" s="542" t="s">
        <v>4027</v>
      </c>
      <c r="BH37" s="492" t="s">
        <v>4027</v>
      </c>
      <c r="BI37" s="492" t="s">
        <v>4027</v>
      </c>
      <c r="BJ37" s="542" t="s">
        <v>4027</v>
      </c>
      <c r="BK37" s="492" t="s">
        <v>688</v>
      </c>
      <c r="BL37" s="492" t="e">
        <v>#VALUE!</v>
      </c>
      <c r="BM37" s="492" t="e">
        <v>#VALUE!</v>
      </c>
      <c r="BN37" s="492" t="e">
        <v>#VALUE!</v>
      </c>
      <c r="BO37" s="492" t="e">
        <v>#VALUE!</v>
      </c>
      <c r="BP37" s="492" t="e">
        <v>#VALUE!</v>
      </c>
      <c r="BQ37" s="492" t="e">
        <v>#VALUE!</v>
      </c>
      <c r="BR37" s="492" t="s">
        <v>686</v>
      </c>
      <c r="BS37" s="496" t="e">
        <v>#VALUE!</v>
      </c>
      <c r="BT37" s="496" t="e">
        <v>#VALUE!</v>
      </c>
      <c r="BU37" s="496" t="e">
        <v>#VALUE!</v>
      </c>
      <c r="BV37" s="496" t="e">
        <v>#VALUE!</v>
      </c>
      <c r="BW37" s="496" t="e">
        <v>#VALUE!</v>
      </c>
      <c r="BX37" s="496" t="e">
        <v>#VALUE!</v>
      </c>
      <c r="BY37" s="496" t="e">
        <v>#VALUE!</v>
      </c>
      <c r="BZ37" s="496" t="e">
        <v>#VALUE!</v>
      </c>
      <c r="CB37" s="492">
        <v>2</v>
      </c>
      <c r="CC37" s="55" t="s">
        <v>253</v>
      </c>
      <c r="CD37" s="55" t="s">
        <v>252</v>
      </c>
      <c r="CE37" s="494">
        <v>42551</v>
      </c>
    </row>
    <row r="38" spans="1:83" s="492" customFormat="1" ht="12.75">
      <c r="A38" s="493" t="s">
        <v>688</v>
      </c>
      <c r="B38" s="541" t="s">
        <v>688</v>
      </c>
      <c r="C38" s="493" t="s">
        <v>688</v>
      </c>
      <c r="D38" s="493" t="s">
        <v>688</v>
      </c>
      <c r="E38" s="540" t="s">
        <v>688</v>
      </c>
      <c r="F38" s="540" t="s">
        <v>688</v>
      </c>
      <c r="G38" s="540" t="s">
        <v>688</v>
      </c>
      <c r="H38" s="542" t="s">
        <v>688</v>
      </c>
      <c r="I38" s="542" t="s">
        <v>688</v>
      </c>
      <c r="J38" s="542" t="s">
        <v>688</v>
      </c>
      <c r="K38" s="542" t="s">
        <v>688</v>
      </c>
      <c r="L38" s="542" t="s">
        <v>688</v>
      </c>
      <c r="M38" s="542" t="s">
        <v>688</v>
      </c>
      <c r="N38" s="542" t="s">
        <v>688</v>
      </c>
      <c r="O38" s="542" t="s">
        <v>688</v>
      </c>
      <c r="P38" s="542" t="s">
        <v>688</v>
      </c>
      <c r="Q38" s="542" t="s">
        <v>688</v>
      </c>
      <c r="R38" s="542" t="s">
        <v>688</v>
      </c>
      <c r="S38" s="542" t="s">
        <v>688</v>
      </c>
      <c r="T38" s="542" t="s">
        <v>688</v>
      </c>
      <c r="U38" s="542" t="s">
        <v>688</v>
      </c>
      <c r="V38" s="542" t="s">
        <v>688</v>
      </c>
      <c r="W38" s="542" t="s">
        <v>688</v>
      </c>
      <c r="X38" s="542" t="s">
        <v>688</v>
      </c>
      <c r="Y38" s="542" t="s">
        <v>688</v>
      </c>
      <c r="Z38" s="542" t="s">
        <v>688</v>
      </c>
      <c r="AA38" s="542" t="s">
        <v>688</v>
      </c>
      <c r="AB38" s="542" t="s">
        <v>688</v>
      </c>
      <c r="AC38" s="542" t="s">
        <v>688</v>
      </c>
      <c r="AD38" s="542" t="s">
        <v>688</v>
      </c>
      <c r="AE38" s="542" t="s">
        <v>688</v>
      </c>
      <c r="AF38" s="543" t="s">
        <v>13</v>
      </c>
      <c r="AG38" s="543" t="s">
        <v>13</v>
      </c>
      <c r="AH38" s="543" t="s">
        <v>13</v>
      </c>
      <c r="AI38" s="543" t="s">
        <v>13</v>
      </c>
      <c r="AJ38" s="542" t="s">
        <v>688</v>
      </c>
      <c r="AK38" s="542" t="s">
        <v>688</v>
      </c>
      <c r="AL38" s="542" t="s">
        <v>688</v>
      </c>
      <c r="AM38" s="542" t="s">
        <v>688</v>
      </c>
      <c r="AN38" s="542" t="s">
        <v>688</v>
      </c>
      <c r="AO38" s="542" t="s">
        <v>688</v>
      </c>
      <c r="AP38" s="544" t="s">
        <v>688</v>
      </c>
      <c r="AQ38" s="545" t="s">
        <v>688</v>
      </c>
      <c r="AR38" s="545" t="s">
        <v>688</v>
      </c>
      <c r="AS38" s="545" t="s">
        <v>688</v>
      </c>
      <c r="AT38" s="543" t="s">
        <v>13</v>
      </c>
      <c r="AU38" s="542" t="s">
        <v>688</v>
      </c>
      <c r="AV38" s="542" t="s">
        <v>688</v>
      </c>
      <c r="AW38" s="542" t="s">
        <v>688</v>
      </c>
      <c r="AX38" s="542" t="s">
        <v>688</v>
      </c>
      <c r="AY38" s="542" t="s">
        <v>688</v>
      </c>
      <c r="AZ38" s="542" t="s">
        <v>688</v>
      </c>
      <c r="BA38" s="542" t="s">
        <v>688</v>
      </c>
      <c r="BB38" s="542" t="s">
        <v>688</v>
      </c>
      <c r="BC38" s="542" t="s">
        <v>688</v>
      </c>
      <c r="BD38" s="542" t="s">
        <v>688</v>
      </c>
      <c r="BE38" s="542" t="s">
        <v>4027</v>
      </c>
      <c r="BF38" s="542" t="s">
        <v>4027</v>
      </c>
      <c r="BG38" s="542" t="s">
        <v>4027</v>
      </c>
      <c r="BH38" s="492" t="s">
        <v>4027</v>
      </c>
      <c r="BI38" s="492" t="s">
        <v>4027</v>
      </c>
      <c r="BJ38" s="542" t="s">
        <v>4027</v>
      </c>
      <c r="BK38" s="492" t="s">
        <v>688</v>
      </c>
      <c r="BL38" s="492" t="e">
        <v>#VALUE!</v>
      </c>
      <c r="BM38" s="492" t="e">
        <v>#VALUE!</v>
      </c>
      <c r="BN38" s="492" t="e">
        <v>#VALUE!</v>
      </c>
      <c r="BO38" s="492" t="e">
        <v>#VALUE!</v>
      </c>
      <c r="BP38" s="492" t="e">
        <v>#VALUE!</v>
      </c>
      <c r="BQ38" s="492" t="e">
        <v>#VALUE!</v>
      </c>
      <c r="BR38" s="492" t="s">
        <v>686</v>
      </c>
      <c r="BS38" s="496" t="e">
        <v>#VALUE!</v>
      </c>
      <c r="BT38" s="496" t="e">
        <v>#VALUE!</v>
      </c>
      <c r="BU38" s="496" t="e">
        <v>#VALUE!</v>
      </c>
      <c r="BV38" s="496" t="e">
        <v>#VALUE!</v>
      </c>
      <c r="BW38" s="496" t="e">
        <v>#VALUE!</v>
      </c>
      <c r="BX38" s="496" t="e">
        <v>#VALUE!</v>
      </c>
      <c r="BY38" s="496" t="e">
        <v>#VALUE!</v>
      </c>
      <c r="BZ38" s="496" t="e">
        <v>#VALUE!</v>
      </c>
      <c r="CB38" s="492">
        <v>2</v>
      </c>
      <c r="CC38" s="55" t="s">
        <v>253</v>
      </c>
      <c r="CD38" s="55" t="s">
        <v>252</v>
      </c>
      <c r="CE38" s="494">
        <v>42551</v>
      </c>
    </row>
    <row r="39" spans="1:83" s="492" customFormat="1" ht="12.75">
      <c r="A39" s="493" t="s">
        <v>688</v>
      </c>
      <c r="B39" s="541" t="s">
        <v>688</v>
      </c>
      <c r="C39" s="493" t="s">
        <v>688</v>
      </c>
      <c r="D39" s="493" t="s">
        <v>688</v>
      </c>
      <c r="E39" s="540" t="s">
        <v>688</v>
      </c>
      <c r="F39" s="540" t="s">
        <v>688</v>
      </c>
      <c r="G39" s="540" t="s">
        <v>688</v>
      </c>
      <c r="H39" s="542" t="s">
        <v>688</v>
      </c>
      <c r="I39" s="542" t="s">
        <v>688</v>
      </c>
      <c r="J39" s="542" t="s">
        <v>688</v>
      </c>
      <c r="K39" s="542" t="s">
        <v>688</v>
      </c>
      <c r="L39" s="542" t="s">
        <v>688</v>
      </c>
      <c r="M39" s="542" t="s">
        <v>688</v>
      </c>
      <c r="N39" s="542" t="s">
        <v>688</v>
      </c>
      <c r="O39" s="542" t="s">
        <v>688</v>
      </c>
      <c r="P39" s="542" t="s">
        <v>688</v>
      </c>
      <c r="Q39" s="542" t="s">
        <v>688</v>
      </c>
      <c r="R39" s="542" t="s">
        <v>688</v>
      </c>
      <c r="S39" s="542" t="s">
        <v>688</v>
      </c>
      <c r="T39" s="542" t="s">
        <v>688</v>
      </c>
      <c r="U39" s="542" t="s">
        <v>688</v>
      </c>
      <c r="V39" s="542" t="s">
        <v>688</v>
      </c>
      <c r="W39" s="542" t="s">
        <v>688</v>
      </c>
      <c r="X39" s="542" t="s">
        <v>688</v>
      </c>
      <c r="Y39" s="542" t="s">
        <v>688</v>
      </c>
      <c r="Z39" s="542" t="s">
        <v>688</v>
      </c>
      <c r="AA39" s="542" t="s">
        <v>688</v>
      </c>
      <c r="AB39" s="542" t="s">
        <v>688</v>
      </c>
      <c r="AC39" s="542" t="s">
        <v>688</v>
      </c>
      <c r="AD39" s="542" t="s">
        <v>688</v>
      </c>
      <c r="AE39" s="542" t="s">
        <v>688</v>
      </c>
      <c r="AF39" s="543" t="s">
        <v>13</v>
      </c>
      <c r="AG39" s="543" t="s">
        <v>13</v>
      </c>
      <c r="AH39" s="543" t="s">
        <v>13</v>
      </c>
      <c r="AI39" s="543" t="s">
        <v>13</v>
      </c>
      <c r="AJ39" s="542" t="s">
        <v>688</v>
      </c>
      <c r="AK39" s="542" t="s">
        <v>688</v>
      </c>
      <c r="AL39" s="542" t="s">
        <v>688</v>
      </c>
      <c r="AM39" s="542" t="s">
        <v>688</v>
      </c>
      <c r="AN39" s="542" t="s">
        <v>688</v>
      </c>
      <c r="AO39" s="542" t="s">
        <v>688</v>
      </c>
      <c r="AP39" s="544" t="s">
        <v>688</v>
      </c>
      <c r="AQ39" s="545" t="s">
        <v>688</v>
      </c>
      <c r="AR39" s="545" t="s">
        <v>688</v>
      </c>
      <c r="AS39" s="545" t="s">
        <v>688</v>
      </c>
      <c r="AT39" s="543" t="s">
        <v>13</v>
      </c>
      <c r="AU39" s="542" t="s">
        <v>688</v>
      </c>
      <c r="AV39" s="542" t="s">
        <v>688</v>
      </c>
      <c r="AW39" s="542" t="s">
        <v>688</v>
      </c>
      <c r="AX39" s="542" t="s">
        <v>688</v>
      </c>
      <c r="AY39" s="542" t="s">
        <v>688</v>
      </c>
      <c r="AZ39" s="542" t="s">
        <v>688</v>
      </c>
      <c r="BA39" s="542" t="s">
        <v>688</v>
      </c>
      <c r="BB39" s="542" t="s">
        <v>688</v>
      </c>
      <c r="BC39" s="542" t="s">
        <v>688</v>
      </c>
      <c r="BD39" s="542" t="s">
        <v>688</v>
      </c>
      <c r="BE39" s="542" t="s">
        <v>4027</v>
      </c>
      <c r="BF39" s="542" t="s">
        <v>4027</v>
      </c>
      <c r="BG39" s="542" t="s">
        <v>4027</v>
      </c>
      <c r="BH39" s="492" t="s">
        <v>4027</v>
      </c>
      <c r="BI39" s="492" t="s">
        <v>4027</v>
      </c>
      <c r="BJ39" s="542" t="s">
        <v>4027</v>
      </c>
      <c r="BK39" s="492" t="s">
        <v>688</v>
      </c>
      <c r="BL39" s="492" t="e">
        <v>#VALUE!</v>
      </c>
      <c r="BM39" s="492" t="e">
        <v>#VALUE!</v>
      </c>
      <c r="BN39" s="492" t="e">
        <v>#VALUE!</v>
      </c>
      <c r="BO39" s="492" t="e">
        <v>#VALUE!</v>
      </c>
      <c r="BP39" s="492" t="e">
        <v>#VALUE!</v>
      </c>
      <c r="BQ39" s="492" t="e">
        <v>#VALUE!</v>
      </c>
      <c r="BR39" s="492" t="s">
        <v>686</v>
      </c>
      <c r="BS39" s="496" t="e">
        <v>#VALUE!</v>
      </c>
      <c r="BT39" s="496" t="e">
        <v>#VALUE!</v>
      </c>
      <c r="BU39" s="496" t="e">
        <v>#VALUE!</v>
      </c>
      <c r="BV39" s="496" t="e">
        <v>#VALUE!</v>
      </c>
      <c r="BW39" s="496" t="e">
        <v>#VALUE!</v>
      </c>
      <c r="BX39" s="496" t="e">
        <v>#VALUE!</v>
      </c>
      <c r="BY39" s="496" t="e">
        <v>#VALUE!</v>
      </c>
      <c r="BZ39" s="496" t="e">
        <v>#VALUE!</v>
      </c>
      <c r="CB39" s="492">
        <v>2</v>
      </c>
      <c r="CC39" s="55" t="s">
        <v>253</v>
      </c>
      <c r="CD39" s="55" t="s">
        <v>252</v>
      </c>
      <c r="CE39" s="494">
        <v>42551</v>
      </c>
    </row>
    <row r="40" spans="1:83" s="492" customFormat="1" ht="12.75">
      <c r="A40" s="493" t="s">
        <v>688</v>
      </c>
      <c r="B40" s="541" t="s">
        <v>688</v>
      </c>
      <c r="C40" s="493" t="s">
        <v>688</v>
      </c>
      <c r="D40" s="493" t="s">
        <v>688</v>
      </c>
      <c r="E40" s="540" t="s">
        <v>688</v>
      </c>
      <c r="F40" s="540" t="s">
        <v>688</v>
      </c>
      <c r="G40" s="540" t="s">
        <v>688</v>
      </c>
      <c r="H40" s="542" t="s">
        <v>688</v>
      </c>
      <c r="I40" s="542" t="s">
        <v>688</v>
      </c>
      <c r="J40" s="542" t="s">
        <v>688</v>
      </c>
      <c r="K40" s="542" t="s">
        <v>688</v>
      </c>
      <c r="L40" s="542" t="s">
        <v>688</v>
      </c>
      <c r="M40" s="542" t="s">
        <v>688</v>
      </c>
      <c r="N40" s="542" t="s">
        <v>688</v>
      </c>
      <c r="O40" s="542" t="s">
        <v>688</v>
      </c>
      <c r="P40" s="542" t="s">
        <v>688</v>
      </c>
      <c r="Q40" s="542" t="s">
        <v>688</v>
      </c>
      <c r="R40" s="542" t="s">
        <v>688</v>
      </c>
      <c r="S40" s="542" t="s">
        <v>688</v>
      </c>
      <c r="T40" s="542" t="s">
        <v>688</v>
      </c>
      <c r="U40" s="542" t="s">
        <v>688</v>
      </c>
      <c r="V40" s="542" t="s">
        <v>688</v>
      </c>
      <c r="W40" s="542" t="s">
        <v>688</v>
      </c>
      <c r="X40" s="542" t="s">
        <v>688</v>
      </c>
      <c r="Y40" s="542" t="s">
        <v>688</v>
      </c>
      <c r="Z40" s="542" t="s">
        <v>688</v>
      </c>
      <c r="AA40" s="542" t="s">
        <v>688</v>
      </c>
      <c r="AB40" s="542" t="s">
        <v>688</v>
      </c>
      <c r="AC40" s="542" t="s">
        <v>688</v>
      </c>
      <c r="AD40" s="542" t="s">
        <v>688</v>
      </c>
      <c r="AE40" s="542" t="s">
        <v>688</v>
      </c>
      <c r="AF40" s="543" t="s">
        <v>13</v>
      </c>
      <c r="AG40" s="543" t="s">
        <v>13</v>
      </c>
      <c r="AH40" s="543" t="s">
        <v>13</v>
      </c>
      <c r="AI40" s="543" t="s">
        <v>13</v>
      </c>
      <c r="AJ40" s="542" t="s">
        <v>688</v>
      </c>
      <c r="AK40" s="542" t="s">
        <v>688</v>
      </c>
      <c r="AL40" s="542" t="s">
        <v>688</v>
      </c>
      <c r="AM40" s="542" t="s">
        <v>688</v>
      </c>
      <c r="AN40" s="542" t="s">
        <v>688</v>
      </c>
      <c r="AO40" s="542" t="s">
        <v>688</v>
      </c>
      <c r="AP40" s="544" t="s">
        <v>688</v>
      </c>
      <c r="AQ40" s="545" t="s">
        <v>688</v>
      </c>
      <c r="AR40" s="545" t="s">
        <v>688</v>
      </c>
      <c r="AS40" s="545" t="s">
        <v>688</v>
      </c>
      <c r="AT40" s="543" t="s">
        <v>13</v>
      </c>
      <c r="AU40" s="542" t="s">
        <v>688</v>
      </c>
      <c r="AV40" s="542" t="s">
        <v>688</v>
      </c>
      <c r="AW40" s="542" t="s">
        <v>688</v>
      </c>
      <c r="AX40" s="542" t="s">
        <v>688</v>
      </c>
      <c r="AY40" s="542" t="s">
        <v>688</v>
      </c>
      <c r="AZ40" s="542" t="s">
        <v>688</v>
      </c>
      <c r="BA40" s="542" t="s">
        <v>688</v>
      </c>
      <c r="BB40" s="542" t="s">
        <v>688</v>
      </c>
      <c r="BC40" s="542" t="s">
        <v>688</v>
      </c>
      <c r="BD40" s="542" t="s">
        <v>688</v>
      </c>
      <c r="BE40" s="542" t="s">
        <v>4027</v>
      </c>
      <c r="BF40" s="542" t="s">
        <v>4027</v>
      </c>
      <c r="BG40" s="542" t="s">
        <v>4027</v>
      </c>
      <c r="BH40" s="492" t="s">
        <v>4027</v>
      </c>
      <c r="BI40" s="492" t="s">
        <v>4027</v>
      </c>
      <c r="BJ40" s="542" t="s">
        <v>4027</v>
      </c>
      <c r="BK40" s="492" t="s">
        <v>688</v>
      </c>
      <c r="BL40" s="492" t="e">
        <v>#VALUE!</v>
      </c>
      <c r="BM40" s="492" t="e">
        <v>#VALUE!</v>
      </c>
      <c r="BN40" s="492" t="e">
        <v>#VALUE!</v>
      </c>
      <c r="BO40" s="492" t="e">
        <v>#VALUE!</v>
      </c>
      <c r="BP40" s="492" t="e">
        <v>#VALUE!</v>
      </c>
      <c r="BQ40" s="492" t="e">
        <v>#VALUE!</v>
      </c>
      <c r="BR40" s="492" t="s">
        <v>686</v>
      </c>
      <c r="BS40" s="496" t="e">
        <v>#VALUE!</v>
      </c>
      <c r="BT40" s="496" t="e">
        <v>#VALUE!</v>
      </c>
      <c r="BU40" s="496" t="e">
        <v>#VALUE!</v>
      </c>
      <c r="BV40" s="496" t="e">
        <v>#VALUE!</v>
      </c>
      <c r="BW40" s="496" t="e">
        <v>#VALUE!</v>
      </c>
      <c r="BX40" s="496" t="e">
        <v>#VALUE!</v>
      </c>
      <c r="BY40" s="496" t="e">
        <v>#VALUE!</v>
      </c>
      <c r="BZ40" s="496" t="e">
        <v>#VALUE!</v>
      </c>
      <c r="CB40" s="492">
        <v>2</v>
      </c>
      <c r="CC40" s="55" t="s">
        <v>253</v>
      </c>
      <c r="CD40" s="55" t="s">
        <v>252</v>
      </c>
      <c r="CE40" s="494">
        <v>42551</v>
      </c>
    </row>
    <row r="41" spans="1:83" s="492" customFormat="1" ht="12.75">
      <c r="A41" s="493" t="s">
        <v>688</v>
      </c>
      <c r="B41" s="541" t="s">
        <v>688</v>
      </c>
      <c r="C41" s="493" t="s">
        <v>688</v>
      </c>
      <c r="D41" s="493" t="s">
        <v>688</v>
      </c>
      <c r="E41" s="540" t="s">
        <v>688</v>
      </c>
      <c r="F41" s="540" t="s">
        <v>688</v>
      </c>
      <c r="G41" s="540" t="s">
        <v>688</v>
      </c>
      <c r="H41" s="542" t="s">
        <v>688</v>
      </c>
      <c r="I41" s="542" t="s">
        <v>688</v>
      </c>
      <c r="J41" s="542" t="s">
        <v>688</v>
      </c>
      <c r="K41" s="542" t="s">
        <v>688</v>
      </c>
      <c r="L41" s="542" t="s">
        <v>688</v>
      </c>
      <c r="M41" s="542" t="s">
        <v>688</v>
      </c>
      <c r="N41" s="542" t="s">
        <v>688</v>
      </c>
      <c r="O41" s="542" t="s">
        <v>688</v>
      </c>
      <c r="P41" s="542" t="s">
        <v>688</v>
      </c>
      <c r="Q41" s="542" t="s">
        <v>688</v>
      </c>
      <c r="R41" s="542" t="s">
        <v>688</v>
      </c>
      <c r="S41" s="542" t="s">
        <v>688</v>
      </c>
      <c r="T41" s="542" t="s">
        <v>688</v>
      </c>
      <c r="U41" s="542" t="s">
        <v>688</v>
      </c>
      <c r="V41" s="542" t="s">
        <v>688</v>
      </c>
      <c r="W41" s="542" t="s">
        <v>688</v>
      </c>
      <c r="X41" s="542" t="s">
        <v>688</v>
      </c>
      <c r="Y41" s="542" t="s">
        <v>688</v>
      </c>
      <c r="Z41" s="542" t="s">
        <v>688</v>
      </c>
      <c r="AA41" s="542" t="s">
        <v>688</v>
      </c>
      <c r="AB41" s="542" t="s">
        <v>688</v>
      </c>
      <c r="AC41" s="542" t="s">
        <v>688</v>
      </c>
      <c r="AD41" s="542" t="s">
        <v>688</v>
      </c>
      <c r="AE41" s="542" t="s">
        <v>688</v>
      </c>
      <c r="AF41" s="543" t="s">
        <v>13</v>
      </c>
      <c r="AG41" s="543" t="s">
        <v>13</v>
      </c>
      <c r="AH41" s="543" t="s">
        <v>13</v>
      </c>
      <c r="AI41" s="543" t="s">
        <v>13</v>
      </c>
      <c r="AJ41" s="542" t="s">
        <v>688</v>
      </c>
      <c r="AK41" s="542" t="s">
        <v>688</v>
      </c>
      <c r="AL41" s="542" t="s">
        <v>688</v>
      </c>
      <c r="AM41" s="542" t="s">
        <v>688</v>
      </c>
      <c r="AN41" s="542" t="s">
        <v>688</v>
      </c>
      <c r="AO41" s="542" t="s">
        <v>688</v>
      </c>
      <c r="AP41" s="544" t="s">
        <v>688</v>
      </c>
      <c r="AQ41" s="545" t="s">
        <v>688</v>
      </c>
      <c r="AR41" s="545" t="s">
        <v>688</v>
      </c>
      <c r="AS41" s="545" t="s">
        <v>688</v>
      </c>
      <c r="AT41" s="543" t="s">
        <v>13</v>
      </c>
      <c r="AU41" s="542" t="s">
        <v>688</v>
      </c>
      <c r="AV41" s="542" t="s">
        <v>688</v>
      </c>
      <c r="AW41" s="542" t="s">
        <v>688</v>
      </c>
      <c r="AX41" s="542" t="s">
        <v>688</v>
      </c>
      <c r="AY41" s="542" t="s">
        <v>688</v>
      </c>
      <c r="AZ41" s="542" t="s">
        <v>688</v>
      </c>
      <c r="BA41" s="542" t="s">
        <v>688</v>
      </c>
      <c r="BB41" s="542" t="s">
        <v>688</v>
      </c>
      <c r="BC41" s="542" t="s">
        <v>688</v>
      </c>
      <c r="BD41" s="542" t="s">
        <v>688</v>
      </c>
      <c r="BE41" s="542" t="s">
        <v>4027</v>
      </c>
      <c r="BF41" s="542" t="s">
        <v>4027</v>
      </c>
      <c r="BG41" s="542" t="s">
        <v>4027</v>
      </c>
      <c r="BH41" s="492" t="s">
        <v>4027</v>
      </c>
      <c r="BI41" s="492" t="s">
        <v>4027</v>
      </c>
      <c r="BJ41" s="542" t="s">
        <v>4027</v>
      </c>
      <c r="BK41" s="492" t="s">
        <v>688</v>
      </c>
      <c r="BL41" s="492" t="e">
        <v>#VALUE!</v>
      </c>
      <c r="BM41" s="492" t="e">
        <v>#VALUE!</v>
      </c>
      <c r="BN41" s="492" t="e">
        <v>#VALUE!</v>
      </c>
      <c r="BO41" s="492" t="e">
        <v>#VALUE!</v>
      </c>
      <c r="BP41" s="492" t="e">
        <v>#VALUE!</v>
      </c>
      <c r="BQ41" s="492" t="e">
        <v>#VALUE!</v>
      </c>
      <c r="BR41" s="492" t="s">
        <v>686</v>
      </c>
      <c r="BS41" s="496" t="e">
        <v>#VALUE!</v>
      </c>
      <c r="BT41" s="496" t="e">
        <v>#VALUE!</v>
      </c>
      <c r="BU41" s="496" t="e">
        <v>#VALUE!</v>
      </c>
      <c r="BV41" s="496" t="e">
        <v>#VALUE!</v>
      </c>
      <c r="BW41" s="496" t="e">
        <v>#VALUE!</v>
      </c>
      <c r="BX41" s="496" t="e">
        <v>#VALUE!</v>
      </c>
      <c r="BY41" s="496" t="e">
        <v>#VALUE!</v>
      </c>
      <c r="BZ41" s="496" t="e">
        <v>#VALUE!</v>
      </c>
      <c r="CB41" s="492">
        <v>2</v>
      </c>
      <c r="CC41" s="55" t="s">
        <v>253</v>
      </c>
      <c r="CD41" s="55" t="s">
        <v>252</v>
      </c>
      <c r="CE41" s="494">
        <v>42551</v>
      </c>
    </row>
    <row r="42" spans="1:83" s="492" customFormat="1" ht="12.75">
      <c r="A42" s="493" t="s">
        <v>688</v>
      </c>
      <c r="B42" s="541" t="s">
        <v>688</v>
      </c>
      <c r="C42" s="493" t="s">
        <v>688</v>
      </c>
      <c r="D42" s="493" t="s">
        <v>688</v>
      </c>
      <c r="E42" s="540" t="s">
        <v>688</v>
      </c>
      <c r="F42" s="540" t="s">
        <v>688</v>
      </c>
      <c r="G42" s="540" t="s">
        <v>688</v>
      </c>
      <c r="H42" s="542" t="s">
        <v>688</v>
      </c>
      <c r="I42" s="542" t="s">
        <v>688</v>
      </c>
      <c r="J42" s="542" t="s">
        <v>688</v>
      </c>
      <c r="K42" s="542" t="s">
        <v>688</v>
      </c>
      <c r="L42" s="542" t="s">
        <v>688</v>
      </c>
      <c r="M42" s="542" t="s">
        <v>688</v>
      </c>
      <c r="N42" s="542" t="s">
        <v>688</v>
      </c>
      <c r="O42" s="542" t="s">
        <v>688</v>
      </c>
      <c r="P42" s="542" t="s">
        <v>688</v>
      </c>
      <c r="Q42" s="542" t="s">
        <v>688</v>
      </c>
      <c r="R42" s="542" t="s">
        <v>688</v>
      </c>
      <c r="S42" s="542" t="s">
        <v>688</v>
      </c>
      <c r="T42" s="542" t="s">
        <v>688</v>
      </c>
      <c r="U42" s="542" t="s">
        <v>688</v>
      </c>
      <c r="V42" s="542" t="s">
        <v>688</v>
      </c>
      <c r="W42" s="542" t="s">
        <v>688</v>
      </c>
      <c r="X42" s="542" t="s">
        <v>688</v>
      </c>
      <c r="Y42" s="542" t="s">
        <v>688</v>
      </c>
      <c r="Z42" s="542" t="s">
        <v>688</v>
      </c>
      <c r="AA42" s="542" t="s">
        <v>688</v>
      </c>
      <c r="AB42" s="542" t="s">
        <v>688</v>
      </c>
      <c r="AC42" s="542" t="s">
        <v>688</v>
      </c>
      <c r="AD42" s="542" t="s">
        <v>688</v>
      </c>
      <c r="AE42" s="542" t="s">
        <v>688</v>
      </c>
      <c r="AF42" s="543" t="s">
        <v>13</v>
      </c>
      <c r="AG42" s="543" t="s">
        <v>13</v>
      </c>
      <c r="AH42" s="543" t="s">
        <v>13</v>
      </c>
      <c r="AI42" s="543" t="s">
        <v>13</v>
      </c>
      <c r="AJ42" s="542" t="s">
        <v>688</v>
      </c>
      <c r="AK42" s="542" t="s">
        <v>688</v>
      </c>
      <c r="AL42" s="542" t="s">
        <v>688</v>
      </c>
      <c r="AM42" s="542" t="s">
        <v>688</v>
      </c>
      <c r="AN42" s="542" t="s">
        <v>688</v>
      </c>
      <c r="AO42" s="542" t="s">
        <v>688</v>
      </c>
      <c r="AP42" s="544" t="s">
        <v>688</v>
      </c>
      <c r="AQ42" s="545" t="s">
        <v>688</v>
      </c>
      <c r="AR42" s="545" t="s">
        <v>688</v>
      </c>
      <c r="AS42" s="545" t="s">
        <v>688</v>
      </c>
      <c r="AT42" s="543" t="s">
        <v>13</v>
      </c>
      <c r="AU42" s="542" t="s">
        <v>688</v>
      </c>
      <c r="AV42" s="542" t="s">
        <v>688</v>
      </c>
      <c r="AW42" s="542" t="s">
        <v>688</v>
      </c>
      <c r="AX42" s="542" t="s">
        <v>688</v>
      </c>
      <c r="AY42" s="542" t="s">
        <v>688</v>
      </c>
      <c r="AZ42" s="542" t="s">
        <v>688</v>
      </c>
      <c r="BA42" s="542" t="s">
        <v>688</v>
      </c>
      <c r="BB42" s="542" t="s">
        <v>688</v>
      </c>
      <c r="BC42" s="542" t="s">
        <v>688</v>
      </c>
      <c r="BD42" s="542" t="s">
        <v>688</v>
      </c>
      <c r="BE42" s="542" t="s">
        <v>4027</v>
      </c>
      <c r="BF42" s="542" t="s">
        <v>4027</v>
      </c>
      <c r="BG42" s="542" t="s">
        <v>4027</v>
      </c>
      <c r="BH42" s="492" t="s">
        <v>4027</v>
      </c>
      <c r="BI42" s="492" t="s">
        <v>4027</v>
      </c>
      <c r="BJ42" s="542" t="s">
        <v>4027</v>
      </c>
      <c r="BK42" s="492" t="s">
        <v>688</v>
      </c>
      <c r="BL42" s="492" t="e">
        <v>#VALUE!</v>
      </c>
      <c r="BM42" s="492" t="e">
        <v>#VALUE!</v>
      </c>
      <c r="BN42" s="492" t="e">
        <v>#VALUE!</v>
      </c>
      <c r="BO42" s="492" t="e">
        <v>#VALUE!</v>
      </c>
      <c r="BP42" s="492" t="e">
        <v>#VALUE!</v>
      </c>
      <c r="BQ42" s="492" t="e">
        <v>#VALUE!</v>
      </c>
      <c r="BR42" s="492" t="s">
        <v>686</v>
      </c>
      <c r="BS42" s="496" t="e">
        <v>#VALUE!</v>
      </c>
      <c r="BT42" s="496" t="e">
        <v>#VALUE!</v>
      </c>
      <c r="BU42" s="496" t="e">
        <v>#VALUE!</v>
      </c>
      <c r="BV42" s="496" t="e">
        <v>#VALUE!</v>
      </c>
      <c r="BW42" s="496" t="e">
        <v>#VALUE!</v>
      </c>
      <c r="BX42" s="496" t="e">
        <v>#VALUE!</v>
      </c>
      <c r="BY42" s="496" t="e">
        <v>#VALUE!</v>
      </c>
      <c r="BZ42" s="496" t="e">
        <v>#VALUE!</v>
      </c>
      <c r="CB42" s="492">
        <v>2</v>
      </c>
      <c r="CC42" s="55" t="s">
        <v>253</v>
      </c>
      <c r="CD42" s="55" t="s">
        <v>252</v>
      </c>
      <c r="CE42" s="494">
        <v>42551</v>
      </c>
    </row>
    <row r="43" spans="1:83">
      <c r="A43" s="539" t="s">
        <v>689</v>
      </c>
      <c r="E43" s="540"/>
      <c r="F43" s="540"/>
      <c r="G43" s="540"/>
      <c r="H43" s="542"/>
      <c r="I43" s="542"/>
      <c r="K43" s="542"/>
      <c r="M43" s="542"/>
      <c r="N43" s="542"/>
      <c r="O43" s="542"/>
      <c r="P43" s="542"/>
      <c r="Q43" s="542"/>
      <c r="R43" s="542"/>
      <c r="S43" s="542"/>
      <c r="U43" s="542"/>
      <c r="V43" s="542"/>
      <c r="W43" s="542"/>
      <c r="X43" s="542"/>
      <c r="Y43" s="542"/>
      <c r="Z43" s="542"/>
      <c r="AA43" s="542"/>
      <c r="AB43" s="542"/>
      <c r="AC43" s="542"/>
      <c r="AE43" s="542"/>
      <c r="AF43" s="543"/>
      <c r="AG43" s="543"/>
      <c r="AH43" s="543"/>
      <c r="AI43" s="543"/>
      <c r="AJ43" s="542"/>
      <c r="AK43" s="542"/>
      <c r="AL43" s="542"/>
      <c r="AM43" s="542"/>
      <c r="AN43" s="542"/>
      <c r="AO43" s="542"/>
      <c r="AP43" s="544"/>
      <c r="AQ43" s="545"/>
      <c r="AR43" s="545"/>
      <c r="AS43" s="545"/>
      <c r="AU43" s="542"/>
      <c r="AV43" s="542"/>
      <c r="AW43" s="542"/>
      <c r="AX43" s="542"/>
      <c r="AY43" s="542"/>
      <c r="AZ43" s="542"/>
      <c r="BA43" s="542"/>
      <c r="BB43" s="542"/>
      <c r="BC43" s="542"/>
      <c r="BD43" s="542"/>
      <c r="BE43" s="542"/>
      <c r="BF43" s="542"/>
      <c r="BG43" s="542"/>
      <c r="BH43" s="489"/>
      <c r="BI43" s="489"/>
      <c r="BJ43" s="542"/>
      <c r="BK43" s="489"/>
      <c r="BL43" s="489"/>
      <c r="BM43" s="489"/>
      <c r="BN43" s="489"/>
      <c r="BO43" s="489"/>
      <c r="BP43" s="489"/>
      <c r="BQ43" s="489"/>
      <c r="BR43" s="489"/>
      <c r="BS43" s="489"/>
      <c r="BT43" s="489"/>
      <c r="BU43" s="489"/>
      <c r="BV43" s="489"/>
      <c r="BW43" s="489"/>
      <c r="BX43" s="489"/>
      <c r="BY43" s="489"/>
      <c r="BZ43" s="489"/>
    </row>
    <row r="44" spans="1:83">
      <c r="A44" s="493" t="s">
        <v>688</v>
      </c>
      <c r="B44" s="541" t="s">
        <v>688</v>
      </c>
      <c r="C44" s="493" t="s">
        <v>688</v>
      </c>
      <c r="D44" s="493" t="s">
        <v>688</v>
      </c>
      <c r="E44" s="540" t="s">
        <v>688</v>
      </c>
      <c r="F44" s="540" t="s">
        <v>688</v>
      </c>
      <c r="G44" s="540" t="s">
        <v>688</v>
      </c>
      <c r="H44" s="542" t="s">
        <v>688</v>
      </c>
      <c r="I44" s="542" t="s">
        <v>688</v>
      </c>
      <c r="J44" s="540" t="s">
        <v>688</v>
      </c>
      <c r="K44" s="542" t="s">
        <v>688</v>
      </c>
      <c r="L44" s="542" t="s">
        <v>688</v>
      </c>
      <c r="M44" s="542" t="s">
        <v>688</v>
      </c>
      <c r="N44" s="542" t="s">
        <v>688</v>
      </c>
      <c r="O44" s="542" t="s">
        <v>688</v>
      </c>
      <c r="P44" s="542" t="s">
        <v>688</v>
      </c>
      <c r="Q44" s="542" t="s">
        <v>688</v>
      </c>
      <c r="R44" s="542" t="s">
        <v>688</v>
      </c>
      <c r="S44" s="542" t="s">
        <v>688</v>
      </c>
      <c r="T44" s="542" t="s">
        <v>688</v>
      </c>
      <c r="U44" s="542" t="s">
        <v>688</v>
      </c>
      <c r="V44" s="542" t="s">
        <v>688</v>
      </c>
      <c r="W44" s="542" t="s">
        <v>688</v>
      </c>
      <c r="X44" s="542" t="s">
        <v>688</v>
      </c>
      <c r="Y44" s="542" t="s">
        <v>688</v>
      </c>
      <c r="Z44" s="542" t="s">
        <v>688</v>
      </c>
      <c r="AA44" s="542" t="s">
        <v>688</v>
      </c>
      <c r="AB44" s="542" t="s">
        <v>688</v>
      </c>
      <c r="AC44" s="542" t="s">
        <v>688</v>
      </c>
      <c r="AD44" s="493" t="s">
        <v>688</v>
      </c>
      <c r="AE44" s="542" t="s">
        <v>688</v>
      </c>
      <c r="AF44" s="543" t="s">
        <v>13</v>
      </c>
      <c r="AG44" s="543" t="s">
        <v>13</v>
      </c>
      <c r="AH44" s="543" t="s">
        <v>13</v>
      </c>
      <c r="AI44" s="543" t="s">
        <v>13</v>
      </c>
      <c r="AJ44" s="542" t="s">
        <v>688</v>
      </c>
      <c r="AK44" s="542" t="s">
        <v>688</v>
      </c>
      <c r="AL44" s="542" t="s">
        <v>688</v>
      </c>
      <c r="AM44" s="542" t="s">
        <v>688</v>
      </c>
      <c r="AN44" s="542" t="s">
        <v>688</v>
      </c>
      <c r="AO44" s="542" t="s">
        <v>688</v>
      </c>
      <c r="AP44" s="544" t="s">
        <v>688</v>
      </c>
      <c r="AQ44" s="545" t="s">
        <v>688</v>
      </c>
      <c r="AR44" s="545" t="s">
        <v>688</v>
      </c>
      <c r="AS44" s="545" t="s">
        <v>688</v>
      </c>
      <c r="AT44" s="493" t="s">
        <v>13</v>
      </c>
      <c r="AU44" s="542" t="s">
        <v>688</v>
      </c>
      <c r="AV44" s="542" t="s">
        <v>688</v>
      </c>
      <c r="AW44" s="542" t="s">
        <v>688</v>
      </c>
      <c r="AX44" s="542" t="s">
        <v>688</v>
      </c>
      <c r="AY44" s="542" t="s">
        <v>688</v>
      </c>
      <c r="AZ44" s="542" t="s">
        <v>688</v>
      </c>
      <c r="BA44" s="542" t="s">
        <v>688</v>
      </c>
      <c r="BB44" s="542" t="s">
        <v>688</v>
      </c>
      <c r="BC44" s="542" t="s">
        <v>688</v>
      </c>
      <c r="BD44" s="542" t="s">
        <v>688</v>
      </c>
      <c r="BE44" s="542" t="s">
        <v>4027</v>
      </c>
      <c r="BF44" s="542" t="s">
        <v>4027</v>
      </c>
      <c r="BG44" s="542" t="s">
        <v>4027</v>
      </c>
      <c r="BH44" s="492" t="s">
        <v>4027</v>
      </c>
      <c r="BI44" s="492" t="s">
        <v>4027</v>
      </c>
      <c r="BJ44" s="542" t="s">
        <v>4027</v>
      </c>
      <c r="BK44" s="492" t="s">
        <v>688</v>
      </c>
      <c r="BL44" s="492" t="e">
        <v>#VALUE!</v>
      </c>
      <c r="BM44" s="492" t="e">
        <v>#VALUE!</v>
      </c>
      <c r="BN44" s="492" t="e">
        <v>#VALUE!</v>
      </c>
      <c r="BO44" s="492" t="e">
        <v>#VALUE!</v>
      </c>
      <c r="BP44" s="492" t="e">
        <v>#VALUE!</v>
      </c>
      <c r="BQ44" s="492" t="e">
        <v>#VALUE!</v>
      </c>
      <c r="BR44" s="492" t="s">
        <v>686</v>
      </c>
      <c r="BS44" s="496" t="e">
        <v>#VALUE!</v>
      </c>
      <c r="BT44" s="496" t="e">
        <v>#VALUE!</v>
      </c>
      <c r="BU44" s="496" t="e">
        <v>#VALUE!</v>
      </c>
      <c r="BV44" s="496" t="e">
        <v>#VALUE!</v>
      </c>
      <c r="BW44" s="496" t="e">
        <v>#VALUE!</v>
      </c>
      <c r="BX44" s="496" t="e">
        <v>#VALUE!</v>
      </c>
      <c r="BY44" s="496" t="e">
        <v>#VALUE!</v>
      </c>
      <c r="BZ44" s="496" t="e">
        <v>#VALUE!</v>
      </c>
    </row>
    <row r="45" spans="1:83">
      <c r="A45" s="493" t="s">
        <v>688</v>
      </c>
      <c r="B45" s="541" t="s">
        <v>688</v>
      </c>
      <c r="C45" s="493" t="s">
        <v>688</v>
      </c>
      <c r="D45" s="493" t="s">
        <v>688</v>
      </c>
      <c r="E45" s="540" t="s">
        <v>688</v>
      </c>
      <c r="F45" s="540" t="s">
        <v>688</v>
      </c>
      <c r="G45" s="540" t="s">
        <v>688</v>
      </c>
      <c r="H45" s="542" t="s">
        <v>688</v>
      </c>
      <c r="I45" s="542" t="s">
        <v>688</v>
      </c>
      <c r="J45" s="540" t="s">
        <v>688</v>
      </c>
      <c r="K45" s="542" t="s">
        <v>688</v>
      </c>
      <c r="L45" s="542" t="s">
        <v>688</v>
      </c>
      <c r="M45" s="542" t="s">
        <v>688</v>
      </c>
      <c r="N45" s="542" t="s">
        <v>688</v>
      </c>
      <c r="O45" s="542" t="s">
        <v>688</v>
      </c>
      <c r="P45" s="542" t="s">
        <v>688</v>
      </c>
      <c r="Q45" s="542" t="s">
        <v>688</v>
      </c>
      <c r="R45" s="542" t="s">
        <v>688</v>
      </c>
      <c r="S45" s="542" t="s">
        <v>688</v>
      </c>
      <c r="T45" s="542" t="s">
        <v>688</v>
      </c>
      <c r="U45" s="542" t="s">
        <v>688</v>
      </c>
      <c r="V45" s="542" t="s">
        <v>688</v>
      </c>
      <c r="W45" s="542" t="s">
        <v>688</v>
      </c>
      <c r="X45" s="542" t="s">
        <v>688</v>
      </c>
      <c r="Y45" s="542" t="s">
        <v>688</v>
      </c>
      <c r="Z45" s="542" t="s">
        <v>688</v>
      </c>
      <c r="AA45" s="542" t="s">
        <v>688</v>
      </c>
      <c r="AB45" s="542" t="s">
        <v>688</v>
      </c>
      <c r="AC45" s="542" t="s">
        <v>688</v>
      </c>
      <c r="AD45" s="493" t="s">
        <v>688</v>
      </c>
      <c r="AE45" s="542" t="s">
        <v>688</v>
      </c>
      <c r="AF45" s="543" t="s">
        <v>13</v>
      </c>
      <c r="AG45" s="543" t="s">
        <v>13</v>
      </c>
      <c r="AH45" s="543" t="s">
        <v>13</v>
      </c>
      <c r="AI45" s="543" t="s">
        <v>13</v>
      </c>
      <c r="AJ45" s="542" t="s">
        <v>688</v>
      </c>
      <c r="AK45" s="542" t="s">
        <v>688</v>
      </c>
      <c r="AL45" s="542" t="s">
        <v>688</v>
      </c>
      <c r="AM45" s="542" t="s">
        <v>688</v>
      </c>
      <c r="AN45" s="542" t="s">
        <v>688</v>
      </c>
      <c r="AO45" s="542" t="s">
        <v>688</v>
      </c>
      <c r="AP45" s="544" t="s">
        <v>688</v>
      </c>
      <c r="AQ45" s="545" t="s">
        <v>688</v>
      </c>
      <c r="AR45" s="545" t="s">
        <v>688</v>
      </c>
      <c r="AS45" s="545" t="s">
        <v>688</v>
      </c>
      <c r="AT45" s="493" t="s">
        <v>13</v>
      </c>
      <c r="AU45" s="542" t="s">
        <v>688</v>
      </c>
      <c r="AV45" s="542" t="s">
        <v>688</v>
      </c>
      <c r="AW45" s="542" t="s">
        <v>688</v>
      </c>
      <c r="AX45" s="542" t="s">
        <v>688</v>
      </c>
      <c r="AY45" s="542" t="s">
        <v>688</v>
      </c>
      <c r="AZ45" s="542" t="s">
        <v>688</v>
      </c>
      <c r="BA45" s="542" t="s">
        <v>688</v>
      </c>
      <c r="BB45" s="542" t="s">
        <v>688</v>
      </c>
      <c r="BC45" s="542" t="s">
        <v>688</v>
      </c>
      <c r="BD45" s="542" t="s">
        <v>688</v>
      </c>
      <c r="BE45" s="542" t="s">
        <v>4027</v>
      </c>
      <c r="BF45" s="542" t="s">
        <v>4027</v>
      </c>
      <c r="BG45" s="542" t="s">
        <v>4027</v>
      </c>
      <c r="BH45" s="492" t="s">
        <v>4027</v>
      </c>
      <c r="BI45" s="492" t="s">
        <v>4027</v>
      </c>
      <c r="BJ45" s="542" t="s">
        <v>4027</v>
      </c>
      <c r="BK45" s="492" t="s">
        <v>688</v>
      </c>
      <c r="BL45" s="492" t="e">
        <v>#VALUE!</v>
      </c>
      <c r="BM45" s="492" t="e">
        <v>#VALUE!</v>
      </c>
      <c r="BN45" s="492" t="e">
        <v>#VALUE!</v>
      </c>
      <c r="BO45" s="492" t="e">
        <v>#VALUE!</v>
      </c>
      <c r="BP45" s="492" t="e">
        <v>#VALUE!</v>
      </c>
      <c r="BQ45" s="492" t="e">
        <v>#VALUE!</v>
      </c>
      <c r="BR45" s="492" t="s">
        <v>686</v>
      </c>
      <c r="BS45" s="496" t="e">
        <v>#VALUE!</v>
      </c>
      <c r="BT45" s="496" t="e">
        <v>#VALUE!</v>
      </c>
      <c r="BU45" s="496" t="e">
        <v>#VALUE!</v>
      </c>
      <c r="BV45" s="496" t="e">
        <v>#VALUE!</v>
      </c>
      <c r="BW45" s="496" t="e">
        <v>#VALUE!</v>
      </c>
      <c r="BX45" s="496" t="e">
        <v>#VALUE!</v>
      </c>
      <c r="BY45" s="496" t="e">
        <v>#VALUE!</v>
      </c>
      <c r="BZ45" s="496" t="e">
        <v>#VALUE!</v>
      </c>
    </row>
    <row r="46" spans="1:83">
      <c r="A46" s="493" t="s">
        <v>688</v>
      </c>
      <c r="B46" s="541" t="s">
        <v>688</v>
      </c>
      <c r="C46" s="493" t="s">
        <v>688</v>
      </c>
      <c r="D46" s="493" t="s">
        <v>688</v>
      </c>
      <c r="E46" s="540" t="s">
        <v>688</v>
      </c>
      <c r="F46" s="540" t="s">
        <v>688</v>
      </c>
      <c r="G46" s="540" t="s">
        <v>688</v>
      </c>
      <c r="H46" s="542" t="s">
        <v>688</v>
      </c>
      <c r="I46" s="542" t="s">
        <v>688</v>
      </c>
      <c r="J46" s="540" t="s">
        <v>688</v>
      </c>
      <c r="K46" s="542" t="s">
        <v>688</v>
      </c>
      <c r="L46" s="542" t="s">
        <v>688</v>
      </c>
      <c r="M46" s="542" t="s">
        <v>688</v>
      </c>
      <c r="N46" s="542" t="s">
        <v>688</v>
      </c>
      <c r="O46" s="542" t="s">
        <v>688</v>
      </c>
      <c r="P46" s="542" t="s">
        <v>688</v>
      </c>
      <c r="Q46" s="542" t="s">
        <v>688</v>
      </c>
      <c r="R46" s="542" t="s">
        <v>688</v>
      </c>
      <c r="S46" s="542" t="s">
        <v>688</v>
      </c>
      <c r="T46" s="542" t="s">
        <v>688</v>
      </c>
      <c r="U46" s="542" t="s">
        <v>688</v>
      </c>
      <c r="V46" s="542" t="s">
        <v>688</v>
      </c>
      <c r="W46" s="542" t="s">
        <v>688</v>
      </c>
      <c r="X46" s="542" t="s">
        <v>688</v>
      </c>
      <c r="Y46" s="542" t="s">
        <v>688</v>
      </c>
      <c r="Z46" s="542" t="s">
        <v>688</v>
      </c>
      <c r="AA46" s="542" t="s">
        <v>688</v>
      </c>
      <c r="AB46" s="542" t="s">
        <v>688</v>
      </c>
      <c r="AC46" s="542" t="s">
        <v>688</v>
      </c>
      <c r="AD46" s="493" t="s">
        <v>688</v>
      </c>
      <c r="AE46" s="542" t="s">
        <v>688</v>
      </c>
      <c r="AF46" s="543" t="s">
        <v>13</v>
      </c>
      <c r="AG46" s="543" t="s">
        <v>13</v>
      </c>
      <c r="AH46" s="543" t="s">
        <v>13</v>
      </c>
      <c r="AI46" s="543" t="s">
        <v>13</v>
      </c>
      <c r="AJ46" s="542" t="s">
        <v>688</v>
      </c>
      <c r="AK46" s="542" t="s">
        <v>688</v>
      </c>
      <c r="AL46" s="542" t="s">
        <v>688</v>
      </c>
      <c r="AM46" s="542" t="s">
        <v>688</v>
      </c>
      <c r="AN46" s="542" t="s">
        <v>688</v>
      </c>
      <c r="AO46" s="542" t="s">
        <v>688</v>
      </c>
      <c r="AP46" s="544" t="s">
        <v>688</v>
      </c>
      <c r="AQ46" s="545" t="s">
        <v>688</v>
      </c>
      <c r="AR46" s="545" t="s">
        <v>688</v>
      </c>
      <c r="AS46" s="545" t="s">
        <v>688</v>
      </c>
      <c r="AT46" s="493" t="s">
        <v>13</v>
      </c>
      <c r="AU46" s="542" t="s">
        <v>688</v>
      </c>
      <c r="AV46" s="542" t="s">
        <v>688</v>
      </c>
      <c r="AW46" s="542" t="s">
        <v>688</v>
      </c>
      <c r="AX46" s="542" t="s">
        <v>688</v>
      </c>
      <c r="AY46" s="542" t="s">
        <v>688</v>
      </c>
      <c r="AZ46" s="542" t="s">
        <v>688</v>
      </c>
      <c r="BA46" s="542" t="s">
        <v>688</v>
      </c>
      <c r="BB46" s="542" t="s">
        <v>688</v>
      </c>
      <c r="BC46" s="542" t="s">
        <v>688</v>
      </c>
      <c r="BD46" s="542" t="s">
        <v>688</v>
      </c>
      <c r="BE46" s="542" t="s">
        <v>4027</v>
      </c>
      <c r="BF46" s="542" t="s">
        <v>4027</v>
      </c>
      <c r="BG46" s="542" t="s">
        <v>4027</v>
      </c>
      <c r="BH46" s="492" t="s">
        <v>4027</v>
      </c>
      <c r="BI46" s="492" t="s">
        <v>4027</v>
      </c>
      <c r="BJ46" s="542" t="s">
        <v>4027</v>
      </c>
      <c r="BK46" s="492" t="s">
        <v>688</v>
      </c>
      <c r="BL46" s="492" t="e">
        <v>#VALUE!</v>
      </c>
      <c r="BM46" s="492" t="e">
        <v>#VALUE!</v>
      </c>
      <c r="BN46" s="492" t="e">
        <v>#VALUE!</v>
      </c>
      <c r="BO46" s="492" t="e">
        <v>#VALUE!</v>
      </c>
      <c r="BP46" s="492" t="e">
        <v>#VALUE!</v>
      </c>
      <c r="BQ46" s="492" t="e">
        <v>#VALUE!</v>
      </c>
      <c r="BR46" s="492" t="s">
        <v>686</v>
      </c>
      <c r="BS46" s="496" t="e">
        <v>#VALUE!</v>
      </c>
      <c r="BT46" s="496" t="e">
        <v>#VALUE!</v>
      </c>
      <c r="BU46" s="496" t="e">
        <v>#VALUE!</v>
      </c>
      <c r="BV46" s="496" t="e">
        <v>#VALUE!</v>
      </c>
      <c r="BW46" s="496" t="e">
        <v>#VALUE!</v>
      </c>
      <c r="BX46" s="496" t="e">
        <v>#VALUE!</v>
      </c>
      <c r="BY46" s="496" t="e">
        <v>#VALUE!</v>
      </c>
      <c r="BZ46" s="496" t="e">
        <v>#VALUE!</v>
      </c>
    </row>
    <row r="47" spans="1:83">
      <c r="A47" s="493" t="s">
        <v>688</v>
      </c>
      <c r="B47" s="541" t="s">
        <v>688</v>
      </c>
      <c r="C47" s="493" t="s">
        <v>688</v>
      </c>
      <c r="D47" s="493" t="s">
        <v>688</v>
      </c>
      <c r="E47" s="540" t="s">
        <v>688</v>
      </c>
      <c r="F47" s="540" t="s">
        <v>688</v>
      </c>
      <c r="G47" s="540" t="s">
        <v>688</v>
      </c>
      <c r="H47" s="542" t="s">
        <v>688</v>
      </c>
      <c r="I47" s="542" t="s">
        <v>688</v>
      </c>
      <c r="J47" s="540" t="s">
        <v>688</v>
      </c>
      <c r="K47" s="542" t="s">
        <v>688</v>
      </c>
      <c r="L47" s="542" t="s">
        <v>688</v>
      </c>
      <c r="M47" s="542" t="s">
        <v>688</v>
      </c>
      <c r="N47" s="542" t="s">
        <v>688</v>
      </c>
      <c r="O47" s="542" t="s">
        <v>688</v>
      </c>
      <c r="P47" s="542" t="s">
        <v>688</v>
      </c>
      <c r="Q47" s="542" t="s">
        <v>688</v>
      </c>
      <c r="R47" s="542" t="s">
        <v>688</v>
      </c>
      <c r="S47" s="542" t="s">
        <v>688</v>
      </c>
      <c r="T47" s="542" t="s">
        <v>688</v>
      </c>
      <c r="U47" s="542" t="s">
        <v>688</v>
      </c>
      <c r="V47" s="542" t="s">
        <v>688</v>
      </c>
      <c r="W47" s="542" t="s">
        <v>688</v>
      </c>
      <c r="X47" s="542" t="s">
        <v>688</v>
      </c>
      <c r="Y47" s="542" t="s">
        <v>688</v>
      </c>
      <c r="Z47" s="542" t="s">
        <v>688</v>
      </c>
      <c r="AA47" s="542" t="s">
        <v>688</v>
      </c>
      <c r="AB47" s="542" t="s">
        <v>688</v>
      </c>
      <c r="AC47" s="542" t="s">
        <v>688</v>
      </c>
      <c r="AD47" s="493" t="s">
        <v>688</v>
      </c>
      <c r="AE47" s="542" t="s">
        <v>688</v>
      </c>
      <c r="AF47" s="543" t="s">
        <v>13</v>
      </c>
      <c r="AG47" s="543" t="s">
        <v>13</v>
      </c>
      <c r="AH47" s="543" t="s">
        <v>13</v>
      </c>
      <c r="AI47" s="543" t="s">
        <v>13</v>
      </c>
      <c r="AJ47" s="542" t="s">
        <v>688</v>
      </c>
      <c r="AK47" s="542" t="s">
        <v>688</v>
      </c>
      <c r="AL47" s="542" t="s">
        <v>688</v>
      </c>
      <c r="AM47" s="542" t="s">
        <v>688</v>
      </c>
      <c r="AN47" s="542" t="s">
        <v>688</v>
      </c>
      <c r="AO47" s="542" t="s">
        <v>688</v>
      </c>
      <c r="AP47" s="493" t="s">
        <v>688</v>
      </c>
      <c r="AQ47" s="545" t="s">
        <v>688</v>
      </c>
      <c r="AR47" s="545" t="s">
        <v>688</v>
      </c>
      <c r="AS47" s="545" t="s">
        <v>688</v>
      </c>
      <c r="AT47" s="493" t="s">
        <v>13</v>
      </c>
      <c r="AU47" s="542" t="s">
        <v>688</v>
      </c>
      <c r="AV47" s="542" t="s">
        <v>688</v>
      </c>
      <c r="AW47" s="542" t="s">
        <v>688</v>
      </c>
      <c r="AX47" s="542" t="s">
        <v>688</v>
      </c>
      <c r="AY47" s="542" t="s">
        <v>688</v>
      </c>
      <c r="AZ47" s="542" t="s">
        <v>688</v>
      </c>
      <c r="BA47" s="542" t="s">
        <v>688</v>
      </c>
      <c r="BB47" s="542" t="s">
        <v>688</v>
      </c>
      <c r="BC47" s="542" t="s">
        <v>688</v>
      </c>
      <c r="BD47" s="542" t="s">
        <v>688</v>
      </c>
      <c r="BE47" s="542" t="s">
        <v>4027</v>
      </c>
      <c r="BF47" s="542" t="s">
        <v>4027</v>
      </c>
      <c r="BG47" s="542" t="s">
        <v>4027</v>
      </c>
      <c r="BH47" s="492" t="s">
        <v>4027</v>
      </c>
      <c r="BI47" s="492" t="s">
        <v>4027</v>
      </c>
      <c r="BJ47" s="542" t="s">
        <v>4027</v>
      </c>
      <c r="BK47" s="492" t="s">
        <v>688</v>
      </c>
      <c r="BL47" s="492" t="e">
        <v>#VALUE!</v>
      </c>
      <c r="BM47" s="492" t="e">
        <v>#VALUE!</v>
      </c>
      <c r="BN47" s="492" t="e">
        <v>#VALUE!</v>
      </c>
      <c r="BO47" s="492" t="e">
        <v>#VALUE!</v>
      </c>
      <c r="BP47" s="492" t="e">
        <v>#VALUE!</v>
      </c>
      <c r="BQ47" s="492" t="e">
        <v>#VALUE!</v>
      </c>
      <c r="BR47" s="492" t="s">
        <v>686</v>
      </c>
      <c r="BS47" s="496" t="e">
        <v>#VALUE!</v>
      </c>
      <c r="BT47" s="496" t="e">
        <v>#VALUE!</v>
      </c>
      <c r="BU47" s="496" t="e">
        <v>#VALUE!</v>
      </c>
      <c r="BV47" s="496" t="e">
        <v>#VALUE!</v>
      </c>
      <c r="BW47" s="496" t="e">
        <v>#VALUE!</v>
      </c>
      <c r="BX47" s="496" t="e">
        <v>#VALUE!</v>
      </c>
      <c r="BY47" s="496" t="e">
        <v>#VALUE!</v>
      </c>
      <c r="BZ47" s="496" t="e">
        <v>#VALUE!</v>
      </c>
    </row>
    <row r="48" spans="1:83">
      <c r="A48" s="493" t="s">
        <v>688</v>
      </c>
      <c r="B48" s="541" t="s">
        <v>688</v>
      </c>
      <c r="C48" s="493" t="s">
        <v>688</v>
      </c>
      <c r="D48" s="493" t="s">
        <v>688</v>
      </c>
      <c r="E48" s="540" t="s">
        <v>688</v>
      </c>
      <c r="F48" s="540" t="s">
        <v>688</v>
      </c>
      <c r="G48" s="540" t="s">
        <v>688</v>
      </c>
      <c r="H48" s="542" t="s">
        <v>688</v>
      </c>
      <c r="I48" s="542" t="s">
        <v>688</v>
      </c>
      <c r="J48" s="540" t="s">
        <v>688</v>
      </c>
      <c r="K48" s="542" t="s">
        <v>688</v>
      </c>
      <c r="L48" s="542" t="s">
        <v>688</v>
      </c>
      <c r="M48" s="542" t="s">
        <v>688</v>
      </c>
      <c r="N48" s="542" t="s">
        <v>688</v>
      </c>
      <c r="O48" s="542" t="s">
        <v>688</v>
      </c>
      <c r="P48" s="542" t="s">
        <v>688</v>
      </c>
      <c r="Q48" s="542" t="s">
        <v>688</v>
      </c>
      <c r="R48" s="542" t="s">
        <v>688</v>
      </c>
      <c r="S48" s="542" t="s">
        <v>688</v>
      </c>
      <c r="T48" s="542" t="s">
        <v>688</v>
      </c>
      <c r="U48" s="542" t="s">
        <v>688</v>
      </c>
      <c r="V48" s="542" t="s">
        <v>688</v>
      </c>
      <c r="W48" s="542" t="s">
        <v>688</v>
      </c>
      <c r="X48" s="542" t="s">
        <v>688</v>
      </c>
      <c r="Y48" s="542" t="s">
        <v>688</v>
      </c>
      <c r="Z48" s="542" t="s">
        <v>688</v>
      </c>
      <c r="AA48" s="542" t="s">
        <v>688</v>
      </c>
      <c r="AB48" s="542" t="s">
        <v>688</v>
      </c>
      <c r="AC48" s="542" t="s">
        <v>688</v>
      </c>
      <c r="AD48" s="493" t="s">
        <v>688</v>
      </c>
      <c r="AE48" s="542" t="s">
        <v>688</v>
      </c>
      <c r="AF48" s="543" t="s">
        <v>13</v>
      </c>
      <c r="AG48" s="543" t="s">
        <v>13</v>
      </c>
      <c r="AH48" s="543" t="s">
        <v>13</v>
      </c>
      <c r="AI48" s="543" t="s">
        <v>13</v>
      </c>
      <c r="AJ48" s="542" t="s">
        <v>688</v>
      </c>
      <c r="AK48" s="542" t="s">
        <v>688</v>
      </c>
      <c r="AL48" s="542" t="s">
        <v>688</v>
      </c>
      <c r="AM48" s="542" t="s">
        <v>688</v>
      </c>
      <c r="AN48" s="542" t="s">
        <v>688</v>
      </c>
      <c r="AO48" s="542" t="s">
        <v>688</v>
      </c>
      <c r="AP48" s="493" t="s">
        <v>688</v>
      </c>
      <c r="AQ48" s="545" t="s">
        <v>688</v>
      </c>
      <c r="AR48" s="545" t="s">
        <v>688</v>
      </c>
      <c r="AS48" s="545" t="s">
        <v>688</v>
      </c>
      <c r="AT48" s="493" t="s">
        <v>13</v>
      </c>
      <c r="AU48" s="542" t="s">
        <v>688</v>
      </c>
      <c r="AV48" s="542" t="s">
        <v>688</v>
      </c>
      <c r="AW48" s="542" t="s">
        <v>688</v>
      </c>
      <c r="AX48" s="542" t="s">
        <v>688</v>
      </c>
      <c r="AY48" s="542" t="s">
        <v>688</v>
      </c>
      <c r="AZ48" s="542" t="s">
        <v>688</v>
      </c>
      <c r="BA48" s="542" t="s">
        <v>688</v>
      </c>
      <c r="BB48" s="542" t="s">
        <v>688</v>
      </c>
      <c r="BC48" s="542" t="s">
        <v>688</v>
      </c>
      <c r="BD48" s="542" t="s">
        <v>688</v>
      </c>
      <c r="BE48" s="542" t="s">
        <v>4027</v>
      </c>
      <c r="BF48" s="542" t="s">
        <v>4027</v>
      </c>
      <c r="BG48" s="542" t="s">
        <v>4027</v>
      </c>
      <c r="BH48" s="492" t="s">
        <v>4027</v>
      </c>
      <c r="BI48" s="492" t="s">
        <v>4027</v>
      </c>
      <c r="BJ48" s="542" t="s">
        <v>4027</v>
      </c>
      <c r="BK48" s="492" t="s">
        <v>688</v>
      </c>
      <c r="BL48" s="492" t="e">
        <v>#VALUE!</v>
      </c>
      <c r="BM48" s="492" t="e">
        <v>#VALUE!</v>
      </c>
      <c r="BN48" s="492" t="e">
        <v>#VALUE!</v>
      </c>
      <c r="BO48" s="492" t="e">
        <v>#VALUE!</v>
      </c>
      <c r="BP48" s="492" t="e">
        <v>#VALUE!</v>
      </c>
      <c r="BQ48" s="492" t="e">
        <v>#VALUE!</v>
      </c>
      <c r="BR48" s="492" t="s">
        <v>686</v>
      </c>
      <c r="BS48" s="496" t="e">
        <v>#VALUE!</v>
      </c>
      <c r="BT48" s="496" t="e">
        <v>#VALUE!</v>
      </c>
      <c r="BU48" s="496" t="e">
        <v>#VALUE!</v>
      </c>
      <c r="BV48" s="496" t="e">
        <v>#VALUE!</v>
      </c>
      <c r="BW48" s="496" t="e">
        <v>#VALUE!</v>
      </c>
      <c r="BX48" s="496" t="e">
        <v>#VALUE!</v>
      </c>
      <c r="BY48" s="496" t="e">
        <v>#VALUE!</v>
      </c>
      <c r="BZ48" s="496" t="e">
        <v>#VALUE!</v>
      </c>
    </row>
    <row r="49" spans="1:83">
      <c r="A49" s="493" t="s">
        <v>688</v>
      </c>
      <c r="B49" s="541" t="s">
        <v>688</v>
      </c>
      <c r="C49" s="493" t="s">
        <v>688</v>
      </c>
      <c r="D49" s="493" t="s">
        <v>688</v>
      </c>
      <c r="E49" s="540" t="s">
        <v>688</v>
      </c>
      <c r="F49" s="540" t="s">
        <v>688</v>
      </c>
      <c r="G49" s="540" t="s">
        <v>688</v>
      </c>
      <c r="H49" s="542" t="s">
        <v>688</v>
      </c>
      <c r="I49" s="542" t="s">
        <v>688</v>
      </c>
      <c r="J49" s="540" t="s">
        <v>688</v>
      </c>
      <c r="K49" s="542" t="s">
        <v>688</v>
      </c>
      <c r="L49" s="542" t="s">
        <v>688</v>
      </c>
      <c r="M49" s="542" t="s">
        <v>688</v>
      </c>
      <c r="N49" s="542" t="s">
        <v>688</v>
      </c>
      <c r="O49" s="542" t="s">
        <v>688</v>
      </c>
      <c r="P49" s="542" t="s">
        <v>688</v>
      </c>
      <c r="Q49" s="542" t="s">
        <v>688</v>
      </c>
      <c r="R49" s="542" t="s">
        <v>688</v>
      </c>
      <c r="S49" s="542" t="s">
        <v>688</v>
      </c>
      <c r="T49" s="542" t="s">
        <v>688</v>
      </c>
      <c r="U49" s="542" t="s">
        <v>688</v>
      </c>
      <c r="V49" s="542" t="s">
        <v>688</v>
      </c>
      <c r="W49" s="542" t="s">
        <v>688</v>
      </c>
      <c r="X49" s="542" t="s">
        <v>688</v>
      </c>
      <c r="Y49" s="542" t="s">
        <v>688</v>
      </c>
      <c r="Z49" s="542" t="s">
        <v>688</v>
      </c>
      <c r="AA49" s="542" t="s">
        <v>688</v>
      </c>
      <c r="AB49" s="542" t="s">
        <v>688</v>
      </c>
      <c r="AC49" s="542" t="s">
        <v>688</v>
      </c>
      <c r="AD49" s="493" t="s">
        <v>688</v>
      </c>
      <c r="AE49" s="542" t="s">
        <v>688</v>
      </c>
      <c r="AF49" s="543" t="s">
        <v>13</v>
      </c>
      <c r="AG49" s="543" t="s">
        <v>13</v>
      </c>
      <c r="AH49" s="543" t="s">
        <v>13</v>
      </c>
      <c r="AI49" s="543" t="s">
        <v>13</v>
      </c>
      <c r="AJ49" s="542" t="s">
        <v>688</v>
      </c>
      <c r="AK49" s="542" t="s">
        <v>688</v>
      </c>
      <c r="AL49" s="542" t="s">
        <v>688</v>
      </c>
      <c r="AM49" s="542" t="s">
        <v>688</v>
      </c>
      <c r="AN49" s="542" t="s">
        <v>688</v>
      </c>
      <c r="AO49" s="542" t="s">
        <v>688</v>
      </c>
      <c r="AP49" s="493" t="s">
        <v>688</v>
      </c>
      <c r="AQ49" s="545" t="s">
        <v>688</v>
      </c>
      <c r="AR49" s="545" t="s">
        <v>688</v>
      </c>
      <c r="AS49" s="545" t="s">
        <v>688</v>
      </c>
      <c r="AT49" s="493" t="s">
        <v>13</v>
      </c>
      <c r="AU49" s="542" t="s">
        <v>688</v>
      </c>
      <c r="AV49" s="542" t="s">
        <v>688</v>
      </c>
      <c r="AW49" s="542" t="s">
        <v>688</v>
      </c>
      <c r="AX49" s="542" t="s">
        <v>688</v>
      </c>
      <c r="AY49" s="542" t="s">
        <v>688</v>
      </c>
      <c r="AZ49" s="542" t="s">
        <v>688</v>
      </c>
      <c r="BA49" s="542" t="s">
        <v>688</v>
      </c>
      <c r="BB49" s="542" t="s">
        <v>688</v>
      </c>
      <c r="BC49" s="542" t="s">
        <v>688</v>
      </c>
      <c r="BD49" s="542" t="s">
        <v>688</v>
      </c>
      <c r="BE49" s="542" t="s">
        <v>4027</v>
      </c>
      <c r="BF49" s="542" t="s">
        <v>4027</v>
      </c>
      <c r="BG49" s="542" t="s">
        <v>4027</v>
      </c>
      <c r="BH49" s="492" t="s">
        <v>4027</v>
      </c>
      <c r="BI49" s="492" t="s">
        <v>4027</v>
      </c>
      <c r="BJ49" s="542" t="s">
        <v>4027</v>
      </c>
      <c r="BK49" s="492" t="s">
        <v>688</v>
      </c>
      <c r="BL49" s="492" t="e">
        <v>#VALUE!</v>
      </c>
      <c r="BM49" s="492" t="e">
        <v>#VALUE!</v>
      </c>
      <c r="BN49" s="492" t="e">
        <v>#VALUE!</v>
      </c>
      <c r="BO49" s="492" t="e">
        <v>#VALUE!</v>
      </c>
      <c r="BP49" s="492" t="e">
        <v>#VALUE!</v>
      </c>
      <c r="BQ49" s="492" t="e">
        <v>#VALUE!</v>
      </c>
      <c r="BR49" s="492" t="s">
        <v>686</v>
      </c>
      <c r="BS49" s="496" t="e">
        <v>#VALUE!</v>
      </c>
      <c r="BT49" s="496" t="e">
        <v>#VALUE!</v>
      </c>
      <c r="BU49" s="496" t="e">
        <v>#VALUE!</v>
      </c>
      <c r="BV49" s="496" t="e">
        <v>#VALUE!</v>
      </c>
      <c r="BW49" s="496" t="e">
        <v>#VALUE!</v>
      </c>
      <c r="BX49" s="496" t="e">
        <v>#VALUE!</v>
      </c>
      <c r="BY49" s="496" t="e">
        <v>#VALUE!</v>
      </c>
      <c r="BZ49" s="496" t="e">
        <v>#VALUE!</v>
      </c>
    </row>
    <row r="50" spans="1:83">
      <c r="A50" s="493" t="s">
        <v>688</v>
      </c>
      <c r="B50" s="541" t="s">
        <v>688</v>
      </c>
      <c r="C50" s="493" t="s">
        <v>688</v>
      </c>
      <c r="D50" s="493" t="s">
        <v>688</v>
      </c>
      <c r="E50" s="540" t="s">
        <v>688</v>
      </c>
      <c r="F50" s="540" t="s">
        <v>688</v>
      </c>
      <c r="G50" s="540" t="s">
        <v>688</v>
      </c>
      <c r="H50" s="542" t="s">
        <v>688</v>
      </c>
      <c r="I50" s="542" t="s">
        <v>688</v>
      </c>
      <c r="J50" s="540" t="s">
        <v>688</v>
      </c>
      <c r="K50" s="542" t="s">
        <v>688</v>
      </c>
      <c r="L50" s="542" t="s">
        <v>688</v>
      </c>
      <c r="M50" s="542" t="s">
        <v>688</v>
      </c>
      <c r="N50" s="542" t="s">
        <v>688</v>
      </c>
      <c r="O50" s="542" t="s">
        <v>688</v>
      </c>
      <c r="P50" s="542" t="s">
        <v>688</v>
      </c>
      <c r="Q50" s="542" t="s">
        <v>688</v>
      </c>
      <c r="R50" s="542" t="s">
        <v>688</v>
      </c>
      <c r="S50" s="542" t="s">
        <v>688</v>
      </c>
      <c r="T50" s="542" t="s">
        <v>688</v>
      </c>
      <c r="U50" s="542" t="s">
        <v>688</v>
      </c>
      <c r="V50" s="542" t="s">
        <v>688</v>
      </c>
      <c r="W50" s="542" t="s">
        <v>688</v>
      </c>
      <c r="X50" s="542" t="s">
        <v>688</v>
      </c>
      <c r="Y50" s="542" t="s">
        <v>688</v>
      </c>
      <c r="Z50" s="542" t="s">
        <v>688</v>
      </c>
      <c r="AA50" s="542" t="s">
        <v>688</v>
      </c>
      <c r="AB50" s="542" t="s">
        <v>688</v>
      </c>
      <c r="AC50" s="542" t="s">
        <v>688</v>
      </c>
      <c r="AD50" s="493" t="s">
        <v>688</v>
      </c>
      <c r="AE50" s="542" t="s">
        <v>688</v>
      </c>
      <c r="AF50" s="543" t="s">
        <v>13</v>
      </c>
      <c r="AG50" s="543" t="s">
        <v>13</v>
      </c>
      <c r="AH50" s="543" t="s">
        <v>13</v>
      </c>
      <c r="AI50" s="543" t="s">
        <v>13</v>
      </c>
      <c r="AJ50" s="542" t="s">
        <v>688</v>
      </c>
      <c r="AK50" s="542" t="s">
        <v>688</v>
      </c>
      <c r="AL50" s="542" t="s">
        <v>688</v>
      </c>
      <c r="AM50" s="542" t="s">
        <v>688</v>
      </c>
      <c r="AN50" s="542" t="s">
        <v>688</v>
      </c>
      <c r="AO50" s="542" t="s">
        <v>688</v>
      </c>
      <c r="AP50" s="493" t="s">
        <v>688</v>
      </c>
      <c r="AQ50" s="545" t="s">
        <v>688</v>
      </c>
      <c r="AR50" s="545" t="s">
        <v>688</v>
      </c>
      <c r="AS50" s="545" t="s">
        <v>688</v>
      </c>
      <c r="AT50" s="493" t="s">
        <v>13</v>
      </c>
      <c r="AU50" s="542" t="s">
        <v>688</v>
      </c>
      <c r="AV50" s="542" t="s">
        <v>688</v>
      </c>
      <c r="AW50" s="542" t="s">
        <v>688</v>
      </c>
      <c r="AX50" s="542" t="s">
        <v>688</v>
      </c>
      <c r="AY50" s="542" t="s">
        <v>688</v>
      </c>
      <c r="AZ50" s="542" t="s">
        <v>688</v>
      </c>
      <c r="BA50" s="542" t="s">
        <v>688</v>
      </c>
      <c r="BB50" s="542" t="s">
        <v>688</v>
      </c>
      <c r="BC50" s="542" t="s">
        <v>688</v>
      </c>
      <c r="BD50" s="542" t="s">
        <v>688</v>
      </c>
      <c r="BE50" s="542" t="s">
        <v>4027</v>
      </c>
      <c r="BF50" s="542" t="s">
        <v>4027</v>
      </c>
      <c r="BG50" s="542" t="s">
        <v>4027</v>
      </c>
      <c r="BH50" s="492" t="s">
        <v>4027</v>
      </c>
      <c r="BI50" s="492" t="s">
        <v>4027</v>
      </c>
      <c r="BJ50" s="542" t="s">
        <v>4027</v>
      </c>
      <c r="BK50" s="492" t="s">
        <v>688</v>
      </c>
      <c r="BL50" s="492" t="e">
        <v>#VALUE!</v>
      </c>
      <c r="BM50" s="492" t="e">
        <v>#VALUE!</v>
      </c>
      <c r="BN50" s="492" t="e">
        <v>#VALUE!</v>
      </c>
      <c r="BO50" s="492" t="e">
        <v>#VALUE!</v>
      </c>
      <c r="BP50" s="492" t="e">
        <v>#VALUE!</v>
      </c>
      <c r="BQ50" s="492" t="e">
        <v>#VALUE!</v>
      </c>
      <c r="BR50" s="492" t="s">
        <v>686</v>
      </c>
      <c r="BS50" s="496" t="e">
        <v>#VALUE!</v>
      </c>
      <c r="BT50" s="496" t="e">
        <v>#VALUE!</v>
      </c>
      <c r="BU50" s="496" t="e">
        <v>#VALUE!</v>
      </c>
      <c r="BV50" s="496" t="e">
        <v>#VALUE!</v>
      </c>
      <c r="BW50" s="496" t="e">
        <v>#VALUE!</v>
      </c>
      <c r="BX50" s="496" t="e">
        <v>#VALUE!</v>
      </c>
      <c r="BY50" s="496" t="e">
        <v>#VALUE!</v>
      </c>
      <c r="BZ50" s="496" t="e">
        <v>#VALUE!</v>
      </c>
    </row>
    <row r="51" spans="1:83">
      <c r="A51" s="493" t="s">
        <v>688</v>
      </c>
      <c r="B51" s="541" t="s">
        <v>688</v>
      </c>
      <c r="C51" s="493" t="s">
        <v>688</v>
      </c>
      <c r="D51" s="493" t="s">
        <v>688</v>
      </c>
      <c r="E51" s="540" t="s">
        <v>688</v>
      </c>
      <c r="F51" s="540" t="s">
        <v>688</v>
      </c>
      <c r="G51" s="540" t="s">
        <v>688</v>
      </c>
      <c r="H51" s="542" t="s">
        <v>688</v>
      </c>
      <c r="I51" s="542" t="s">
        <v>688</v>
      </c>
      <c r="J51" s="540" t="s">
        <v>688</v>
      </c>
      <c r="K51" s="542" t="s">
        <v>688</v>
      </c>
      <c r="L51" s="542" t="s">
        <v>688</v>
      </c>
      <c r="M51" s="542" t="s">
        <v>688</v>
      </c>
      <c r="N51" s="542" t="s">
        <v>688</v>
      </c>
      <c r="O51" s="542" t="s">
        <v>688</v>
      </c>
      <c r="P51" s="542" t="s">
        <v>688</v>
      </c>
      <c r="Q51" s="542" t="s">
        <v>688</v>
      </c>
      <c r="R51" s="542" t="s">
        <v>688</v>
      </c>
      <c r="S51" s="542" t="s">
        <v>688</v>
      </c>
      <c r="T51" s="542" t="s">
        <v>688</v>
      </c>
      <c r="U51" s="542" t="s">
        <v>688</v>
      </c>
      <c r="V51" s="542" t="s">
        <v>688</v>
      </c>
      <c r="W51" s="542" t="s">
        <v>688</v>
      </c>
      <c r="X51" s="542" t="s">
        <v>688</v>
      </c>
      <c r="Y51" s="542" t="s">
        <v>688</v>
      </c>
      <c r="Z51" s="542" t="s">
        <v>688</v>
      </c>
      <c r="AA51" s="542" t="s">
        <v>688</v>
      </c>
      <c r="AB51" s="542" t="s">
        <v>688</v>
      </c>
      <c r="AC51" s="542" t="s">
        <v>688</v>
      </c>
      <c r="AD51" s="493" t="s">
        <v>688</v>
      </c>
      <c r="AE51" s="542" t="s">
        <v>688</v>
      </c>
      <c r="AF51" s="543" t="s">
        <v>13</v>
      </c>
      <c r="AG51" s="543" t="s">
        <v>13</v>
      </c>
      <c r="AH51" s="543" t="s">
        <v>13</v>
      </c>
      <c r="AI51" s="543" t="s">
        <v>13</v>
      </c>
      <c r="AJ51" s="542" t="s">
        <v>688</v>
      </c>
      <c r="AK51" s="542" t="s">
        <v>688</v>
      </c>
      <c r="AL51" s="542" t="s">
        <v>688</v>
      </c>
      <c r="AM51" s="542" t="s">
        <v>688</v>
      </c>
      <c r="AN51" s="542" t="s">
        <v>688</v>
      </c>
      <c r="AO51" s="542" t="s">
        <v>688</v>
      </c>
      <c r="AP51" s="493" t="s">
        <v>688</v>
      </c>
      <c r="AQ51" s="545" t="s">
        <v>688</v>
      </c>
      <c r="AR51" s="545" t="s">
        <v>688</v>
      </c>
      <c r="AS51" s="545" t="s">
        <v>688</v>
      </c>
      <c r="AT51" s="493" t="s">
        <v>13</v>
      </c>
      <c r="AU51" s="542" t="s">
        <v>688</v>
      </c>
      <c r="AV51" s="542" t="s">
        <v>688</v>
      </c>
      <c r="AW51" s="542" t="s">
        <v>688</v>
      </c>
      <c r="AX51" s="542" t="s">
        <v>688</v>
      </c>
      <c r="AY51" s="542" t="s">
        <v>688</v>
      </c>
      <c r="AZ51" s="542" t="s">
        <v>688</v>
      </c>
      <c r="BA51" s="542" t="s">
        <v>688</v>
      </c>
      <c r="BB51" s="542" t="s">
        <v>688</v>
      </c>
      <c r="BC51" s="542" t="s">
        <v>688</v>
      </c>
      <c r="BD51" s="542" t="s">
        <v>688</v>
      </c>
      <c r="BE51" s="542" t="s">
        <v>4027</v>
      </c>
      <c r="BF51" s="542" t="s">
        <v>4027</v>
      </c>
      <c r="BG51" s="542" t="s">
        <v>4027</v>
      </c>
      <c r="BH51" s="492" t="s">
        <v>4027</v>
      </c>
      <c r="BI51" s="492" t="s">
        <v>4027</v>
      </c>
      <c r="BJ51" s="542" t="s">
        <v>4027</v>
      </c>
      <c r="BK51" s="492" t="s">
        <v>688</v>
      </c>
      <c r="BL51" s="492" t="e">
        <v>#VALUE!</v>
      </c>
      <c r="BM51" s="492" t="e">
        <v>#VALUE!</v>
      </c>
      <c r="BN51" s="492" t="e">
        <v>#VALUE!</v>
      </c>
      <c r="BO51" s="492" t="e">
        <v>#VALUE!</v>
      </c>
      <c r="BP51" s="492" t="e">
        <v>#VALUE!</v>
      </c>
      <c r="BQ51" s="492" t="e">
        <v>#VALUE!</v>
      </c>
      <c r="BR51" s="492" t="s">
        <v>686</v>
      </c>
      <c r="BS51" s="496" t="e">
        <v>#VALUE!</v>
      </c>
      <c r="BT51" s="496" t="e">
        <v>#VALUE!</v>
      </c>
      <c r="BU51" s="496" t="e">
        <v>#VALUE!</v>
      </c>
      <c r="BV51" s="496" t="e">
        <v>#VALUE!</v>
      </c>
      <c r="BW51" s="496" t="e">
        <v>#VALUE!</v>
      </c>
      <c r="BX51" s="496" t="e">
        <v>#VALUE!</v>
      </c>
      <c r="BY51" s="496" t="e">
        <v>#VALUE!</v>
      </c>
      <c r="BZ51" s="496" t="e">
        <v>#VALUE!</v>
      </c>
    </row>
    <row r="52" spans="1:83">
      <c r="A52" s="493" t="s">
        <v>688</v>
      </c>
      <c r="B52" s="541" t="s">
        <v>688</v>
      </c>
      <c r="C52" s="493" t="s">
        <v>688</v>
      </c>
      <c r="D52" s="493" t="s">
        <v>688</v>
      </c>
      <c r="E52" s="540" t="s">
        <v>688</v>
      </c>
      <c r="F52" s="540" t="s">
        <v>688</v>
      </c>
      <c r="G52" s="540" t="s">
        <v>688</v>
      </c>
      <c r="H52" s="542" t="s">
        <v>688</v>
      </c>
      <c r="I52" s="542" t="s">
        <v>688</v>
      </c>
      <c r="J52" s="540" t="s">
        <v>688</v>
      </c>
      <c r="K52" s="542" t="s">
        <v>688</v>
      </c>
      <c r="L52" s="542" t="s">
        <v>688</v>
      </c>
      <c r="M52" s="542" t="s">
        <v>688</v>
      </c>
      <c r="N52" s="542" t="s">
        <v>688</v>
      </c>
      <c r="O52" s="542" t="s">
        <v>688</v>
      </c>
      <c r="P52" s="542" t="s">
        <v>688</v>
      </c>
      <c r="Q52" s="542" t="s">
        <v>688</v>
      </c>
      <c r="R52" s="542" t="s">
        <v>688</v>
      </c>
      <c r="S52" s="542" t="s">
        <v>688</v>
      </c>
      <c r="T52" s="542" t="s">
        <v>688</v>
      </c>
      <c r="U52" s="542" t="s">
        <v>688</v>
      </c>
      <c r="V52" s="542" t="s">
        <v>688</v>
      </c>
      <c r="W52" s="542" t="s">
        <v>688</v>
      </c>
      <c r="X52" s="542" t="s">
        <v>688</v>
      </c>
      <c r="Y52" s="542" t="s">
        <v>688</v>
      </c>
      <c r="Z52" s="542" t="s">
        <v>688</v>
      </c>
      <c r="AA52" s="542" t="s">
        <v>688</v>
      </c>
      <c r="AB52" s="542" t="s">
        <v>688</v>
      </c>
      <c r="AC52" s="542" t="s">
        <v>688</v>
      </c>
      <c r="AD52" s="493" t="s">
        <v>688</v>
      </c>
      <c r="AE52" s="542" t="s">
        <v>688</v>
      </c>
      <c r="AF52" s="543" t="s">
        <v>13</v>
      </c>
      <c r="AG52" s="543" t="s">
        <v>13</v>
      </c>
      <c r="AH52" s="543" t="s">
        <v>13</v>
      </c>
      <c r="AI52" s="543" t="s">
        <v>13</v>
      </c>
      <c r="AJ52" s="542" t="s">
        <v>688</v>
      </c>
      <c r="AK52" s="542" t="s">
        <v>688</v>
      </c>
      <c r="AL52" s="542" t="s">
        <v>688</v>
      </c>
      <c r="AM52" s="542" t="s">
        <v>688</v>
      </c>
      <c r="AN52" s="542" t="s">
        <v>688</v>
      </c>
      <c r="AO52" s="542" t="s">
        <v>688</v>
      </c>
      <c r="AP52" s="493" t="s">
        <v>688</v>
      </c>
      <c r="AQ52" s="545" t="s">
        <v>688</v>
      </c>
      <c r="AR52" s="545" t="s">
        <v>688</v>
      </c>
      <c r="AS52" s="545" t="s">
        <v>688</v>
      </c>
      <c r="AT52" s="493" t="s">
        <v>13</v>
      </c>
      <c r="AU52" s="542" t="s">
        <v>688</v>
      </c>
      <c r="AV52" s="542" t="s">
        <v>688</v>
      </c>
      <c r="AW52" s="542" t="s">
        <v>688</v>
      </c>
      <c r="AX52" s="542" t="s">
        <v>688</v>
      </c>
      <c r="AY52" s="542" t="s">
        <v>688</v>
      </c>
      <c r="AZ52" s="542" t="s">
        <v>688</v>
      </c>
      <c r="BA52" s="542" t="s">
        <v>688</v>
      </c>
      <c r="BB52" s="542" t="s">
        <v>688</v>
      </c>
      <c r="BC52" s="542" t="s">
        <v>688</v>
      </c>
      <c r="BD52" s="542" t="s">
        <v>688</v>
      </c>
      <c r="BE52" s="542" t="s">
        <v>4027</v>
      </c>
      <c r="BF52" s="542" t="s">
        <v>4027</v>
      </c>
      <c r="BG52" s="542" t="s">
        <v>4027</v>
      </c>
      <c r="BH52" s="492" t="s">
        <v>4027</v>
      </c>
      <c r="BI52" s="492" t="s">
        <v>4027</v>
      </c>
      <c r="BJ52" s="542" t="s">
        <v>4027</v>
      </c>
      <c r="BK52" s="492" t="s">
        <v>688</v>
      </c>
      <c r="BL52" s="492" t="e">
        <v>#VALUE!</v>
      </c>
      <c r="BM52" s="492" t="e">
        <v>#VALUE!</v>
      </c>
      <c r="BN52" s="492" t="e">
        <v>#VALUE!</v>
      </c>
      <c r="BO52" s="492" t="e">
        <v>#VALUE!</v>
      </c>
      <c r="BP52" s="492" t="e">
        <v>#VALUE!</v>
      </c>
      <c r="BQ52" s="492" t="e">
        <v>#VALUE!</v>
      </c>
      <c r="BR52" s="492" t="s">
        <v>686</v>
      </c>
      <c r="BS52" s="496" t="e">
        <v>#VALUE!</v>
      </c>
      <c r="BT52" s="496" t="e">
        <v>#VALUE!</v>
      </c>
      <c r="BU52" s="496" t="e">
        <v>#VALUE!</v>
      </c>
      <c r="BV52" s="496" t="e">
        <v>#VALUE!</v>
      </c>
      <c r="BW52" s="496" t="e">
        <v>#VALUE!</v>
      </c>
      <c r="BX52" s="496" t="e">
        <v>#VALUE!</v>
      </c>
      <c r="BY52" s="496" t="e">
        <v>#VALUE!</v>
      </c>
      <c r="BZ52" s="496" t="e">
        <v>#VALUE!</v>
      </c>
    </row>
    <row r="53" spans="1:83">
      <c r="A53" s="493" t="s">
        <v>688</v>
      </c>
      <c r="B53" s="541" t="s">
        <v>688</v>
      </c>
      <c r="C53" s="493" t="s">
        <v>688</v>
      </c>
      <c r="D53" s="493" t="s">
        <v>688</v>
      </c>
      <c r="E53" s="540" t="s">
        <v>688</v>
      </c>
      <c r="F53" s="540" t="s">
        <v>688</v>
      </c>
      <c r="G53" s="540" t="s">
        <v>688</v>
      </c>
      <c r="H53" s="542" t="s">
        <v>688</v>
      </c>
      <c r="I53" s="542" t="s">
        <v>688</v>
      </c>
      <c r="J53" s="540" t="s">
        <v>688</v>
      </c>
      <c r="K53" s="542" t="s">
        <v>688</v>
      </c>
      <c r="L53" s="542" t="s">
        <v>688</v>
      </c>
      <c r="M53" s="542" t="s">
        <v>688</v>
      </c>
      <c r="N53" s="542" t="s">
        <v>688</v>
      </c>
      <c r="O53" s="542" t="s">
        <v>688</v>
      </c>
      <c r="P53" s="542" t="s">
        <v>688</v>
      </c>
      <c r="Q53" s="542" t="s">
        <v>688</v>
      </c>
      <c r="R53" s="542" t="s">
        <v>688</v>
      </c>
      <c r="S53" s="542" t="s">
        <v>688</v>
      </c>
      <c r="T53" s="542" t="s">
        <v>688</v>
      </c>
      <c r="U53" s="542" t="s">
        <v>688</v>
      </c>
      <c r="V53" s="542" t="s">
        <v>688</v>
      </c>
      <c r="W53" s="542" t="s">
        <v>688</v>
      </c>
      <c r="X53" s="542" t="s">
        <v>688</v>
      </c>
      <c r="Y53" s="542" t="s">
        <v>688</v>
      </c>
      <c r="Z53" s="542" t="s">
        <v>688</v>
      </c>
      <c r="AA53" s="542" t="s">
        <v>688</v>
      </c>
      <c r="AB53" s="542" t="s">
        <v>688</v>
      </c>
      <c r="AC53" s="542" t="s">
        <v>688</v>
      </c>
      <c r="AD53" s="493" t="s">
        <v>688</v>
      </c>
      <c r="AE53" s="542" t="s">
        <v>688</v>
      </c>
      <c r="AF53" s="543" t="s">
        <v>13</v>
      </c>
      <c r="AG53" s="543" t="s">
        <v>13</v>
      </c>
      <c r="AH53" s="543" t="s">
        <v>13</v>
      </c>
      <c r="AI53" s="543" t="s">
        <v>13</v>
      </c>
      <c r="AJ53" s="542" t="s">
        <v>688</v>
      </c>
      <c r="AK53" s="542" t="s">
        <v>688</v>
      </c>
      <c r="AL53" s="542" t="s">
        <v>688</v>
      </c>
      <c r="AM53" s="542" t="s">
        <v>688</v>
      </c>
      <c r="AN53" s="542" t="s">
        <v>688</v>
      </c>
      <c r="AO53" s="542" t="s">
        <v>688</v>
      </c>
      <c r="AP53" s="493" t="s">
        <v>688</v>
      </c>
      <c r="AQ53" s="545" t="s">
        <v>688</v>
      </c>
      <c r="AR53" s="545" t="s">
        <v>688</v>
      </c>
      <c r="AS53" s="545" t="s">
        <v>688</v>
      </c>
      <c r="AT53" s="493" t="s">
        <v>13</v>
      </c>
      <c r="AU53" s="542" t="s">
        <v>688</v>
      </c>
      <c r="AV53" s="542" t="s">
        <v>688</v>
      </c>
      <c r="AW53" s="542" t="s">
        <v>688</v>
      </c>
      <c r="AX53" s="542" t="s">
        <v>688</v>
      </c>
      <c r="AY53" s="542" t="s">
        <v>688</v>
      </c>
      <c r="AZ53" s="542" t="s">
        <v>688</v>
      </c>
      <c r="BA53" s="542" t="s">
        <v>688</v>
      </c>
      <c r="BB53" s="542" t="s">
        <v>688</v>
      </c>
      <c r="BC53" s="542" t="s">
        <v>688</v>
      </c>
      <c r="BD53" s="542" t="s">
        <v>688</v>
      </c>
      <c r="BE53" s="542" t="s">
        <v>4027</v>
      </c>
      <c r="BF53" s="542" t="s">
        <v>4027</v>
      </c>
      <c r="BG53" s="542" t="s">
        <v>4027</v>
      </c>
      <c r="BH53" s="492" t="s">
        <v>4027</v>
      </c>
      <c r="BI53" s="492" t="s">
        <v>4027</v>
      </c>
      <c r="BJ53" s="542" t="s">
        <v>4027</v>
      </c>
      <c r="BK53" s="492" t="s">
        <v>688</v>
      </c>
      <c r="BL53" s="492" t="e">
        <v>#VALUE!</v>
      </c>
      <c r="BM53" s="492" t="e">
        <v>#VALUE!</v>
      </c>
      <c r="BN53" s="492" t="e">
        <v>#VALUE!</v>
      </c>
      <c r="BO53" s="492" t="e">
        <v>#VALUE!</v>
      </c>
      <c r="BP53" s="492" t="e">
        <v>#VALUE!</v>
      </c>
      <c r="BQ53" s="492" t="e">
        <v>#VALUE!</v>
      </c>
      <c r="BR53" s="492" t="s">
        <v>686</v>
      </c>
      <c r="BS53" s="496" t="e">
        <v>#VALUE!</v>
      </c>
      <c r="BT53" s="496" t="e">
        <v>#VALUE!</v>
      </c>
      <c r="BU53" s="496" t="e">
        <v>#VALUE!</v>
      </c>
      <c r="BV53" s="496" t="e">
        <v>#VALUE!</v>
      </c>
      <c r="BW53" s="496" t="e">
        <v>#VALUE!</v>
      </c>
      <c r="BX53" s="496" t="e">
        <v>#VALUE!</v>
      </c>
      <c r="BY53" s="496" t="e">
        <v>#VALUE!</v>
      </c>
      <c r="BZ53" s="496" t="e">
        <v>#VALUE!</v>
      </c>
    </row>
    <row r="54" spans="1:83">
      <c r="A54" s="491"/>
      <c r="J54" s="540"/>
      <c r="M54" s="495"/>
      <c r="N54" s="495"/>
      <c r="O54" s="495"/>
      <c r="P54" s="495"/>
      <c r="Q54" s="495"/>
      <c r="R54" s="495"/>
      <c r="S54" s="495"/>
      <c r="T54" s="495"/>
      <c r="U54" s="495"/>
      <c r="V54" s="495"/>
      <c r="W54" s="495"/>
      <c r="X54" s="495"/>
      <c r="Y54" s="495"/>
      <c r="Z54" s="495"/>
      <c r="AA54" s="495"/>
      <c r="AB54" s="495"/>
      <c r="AC54" s="495"/>
      <c r="AD54" s="495"/>
      <c r="AE54" s="495"/>
      <c r="AF54" s="495"/>
      <c r="AG54" s="495"/>
      <c r="AH54" s="495"/>
      <c r="AI54" s="495"/>
      <c r="AJ54" s="495"/>
      <c r="AK54" s="495"/>
      <c r="AL54" s="495"/>
      <c r="AM54" s="495"/>
      <c r="AN54" s="495"/>
      <c r="AO54" s="495"/>
      <c r="AP54" s="495"/>
      <c r="AQ54" s="491"/>
      <c r="AR54" s="495"/>
      <c r="AS54" s="491"/>
      <c r="AT54" s="495"/>
      <c r="AU54" s="491"/>
      <c r="AV54" s="491"/>
      <c r="AW54" s="491"/>
      <c r="AX54" s="491"/>
      <c r="AY54" s="491"/>
      <c r="AZ54" s="491"/>
      <c r="BA54" s="491"/>
      <c r="BB54" s="491"/>
      <c r="BC54" s="495"/>
      <c r="BD54" s="491"/>
      <c r="BE54" s="491"/>
      <c r="BF54" s="491"/>
      <c r="BG54" s="491"/>
      <c r="BH54" s="491"/>
      <c r="BI54" s="491"/>
      <c r="BJ54" s="491"/>
      <c r="BK54" s="491"/>
      <c r="BL54" s="491"/>
      <c r="BM54" s="491"/>
      <c r="BN54" s="491"/>
      <c r="BO54" s="491"/>
      <c r="BP54" s="491"/>
      <c r="BQ54" s="491"/>
      <c r="BR54" s="491"/>
      <c r="BS54" s="491"/>
      <c r="BT54" s="491"/>
      <c r="BU54" s="491"/>
      <c r="BV54" s="491"/>
      <c r="BW54" s="491"/>
      <c r="BX54" s="491"/>
      <c r="BY54" s="491"/>
      <c r="BZ54" s="491"/>
      <c r="CE54" s="491"/>
    </row>
    <row r="55" spans="1:83">
      <c r="A55" s="491"/>
      <c r="J55" s="540"/>
      <c r="L55" s="537"/>
      <c r="M55" s="495"/>
      <c r="N55" s="495"/>
      <c r="O55" s="495"/>
      <c r="P55" s="495"/>
      <c r="Q55" s="495"/>
      <c r="R55" s="495"/>
      <c r="S55" s="495"/>
      <c r="T55" s="495"/>
      <c r="U55" s="495"/>
      <c r="V55" s="495"/>
      <c r="W55" s="495"/>
      <c r="X55" s="495"/>
      <c r="Y55" s="495"/>
      <c r="Z55" s="495"/>
      <c r="AA55" s="495"/>
      <c r="AB55" s="495"/>
      <c r="AC55" s="495"/>
      <c r="AD55" s="495"/>
      <c r="AE55" s="495"/>
      <c r="AF55" s="495"/>
      <c r="AG55" s="495"/>
      <c r="AH55" s="495"/>
      <c r="AI55" s="495"/>
      <c r="AJ55" s="495"/>
      <c r="AK55" s="495"/>
      <c r="AL55" s="495"/>
      <c r="AM55" s="495"/>
      <c r="AN55" s="495"/>
      <c r="AO55" s="495"/>
      <c r="AP55" s="495"/>
      <c r="AQ55" s="491"/>
      <c r="AR55" s="495"/>
      <c r="AS55" s="491"/>
      <c r="AT55" s="495"/>
      <c r="AU55" s="491"/>
      <c r="AV55" s="491"/>
      <c r="AW55" s="491"/>
      <c r="AX55" s="491"/>
      <c r="AY55" s="491"/>
      <c r="AZ55" s="491"/>
      <c r="BA55" s="491"/>
      <c r="BB55" s="491"/>
      <c r="BC55" s="495"/>
      <c r="BD55" s="491"/>
      <c r="BE55" s="491"/>
      <c r="BF55" s="491"/>
      <c r="BG55" s="491"/>
      <c r="BH55" s="491"/>
      <c r="BI55" s="491"/>
      <c r="BJ55" s="491"/>
      <c r="BK55" s="491"/>
      <c r="BL55" s="491"/>
      <c r="BM55" s="491"/>
      <c r="BN55" s="491"/>
      <c r="BO55" s="491"/>
      <c r="BP55" s="491"/>
      <c r="BQ55" s="491"/>
      <c r="BR55" s="491"/>
      <c r="BS55" s="491"/>
      <c r="BT55" s="491"/>
      <c r="BU55" s="491"/>
      <c r="BV55" s="491"/>
      <c r="BW55" s="491"/>
      <c r="BX55" s="491"/>
      <c r="BY55" s="491"/>
      <c r="BZ55" s="491"/>
      <c r="CE55" s="491"/>
    </row>
    <row r="56" spans="1:83" ht="12.75">
      <c r="A56" s="491"/>
      <c r="B56" s="548" t="s">
        <v>127</v>
      </c>
      <c r="C56" s="549" t="s">
        <v>670</v>
      </c>
      <c r="D56" s="550" t="s">
        <v>671</v>
      </c>
      <c r="E56" s="551" t="s">
        <v>126</v>
      </c>
      <c r="F56" s="552"/>
      <c r="G56" s="552"/>
      <c r="H56" s="552"/>
      <c r="I56" s="552"/>
      <c r="J56" s="553"/>
      <c r="K56" s="554"/>
      <c r="L56" s="537"/>
      <c r="M56" s="495"/>
      <c r="N56" s="495"/>
      <c r="O56" s="495"/>
      <c r="P56" s="495"/>
      <c r="Q56" s="495"/>
      <c r="R56" s="495"/>
      <c r="S56" s="495"/>
      <c r="T56" s="495"/>
      <c r="U56" s="495"/>
      <c r="V56" s="495"/>
      <c r="W56" s="495"/>
      <c r="X56" s="495"/>
      <c r="Y56" s="495"/>
      <c r="Z56" s="495"/>
      <c r="AA56" s="495"/>
      <c r="AB56" s="495"/>
      <c r="AC56" s="495"/>
      <c r="AD56" s="495"/>
      <c r="AE56" s="495"/>
      <c r="AF56" s="495"/>
      <c r="AG56" s="495"/>
      <c r="AH56" s="495"/>
      <c r="AI56" s="495"/>
      <c r="AJ56" s="495"/>
      <c r="AK56" s="495"/>
      <c r="AL56" s="495"/>
      <c r="AM56" s="495"/>
      <c r="AN56" s="495"/>
      <c r="AO56" s="495"/>
      <c r="AP56" s="495"/>
      <c r="AQ56" s="491"/>
      <c r="AR56" s="495"/>
      <c r="AS56" s="491"/>
      <c r="AT56" s="495"/>
      <c r="AU56" s="491"/>
      <c r="AV56" s="491"/>
      <c r="AW56" s="491"/>
      <c r="AX56" s="491"/>
      <c r="AY56" s="491"/>
      <c r="AZ56" s="491"/>
      <c r="BA56" s="491"/>
      <c r="BB56" s="491"/>
      <c r="BC56" s="495"/>
      <c r="BD56" s="491"/>
      <c r="BE56" s="491"/>
      <c r="BF56" s="491"/>
      <c r="BG56" s="491"/>
      <c r="BH56" s="491"/>
      <c r="BI56" s="491"/>
      <c r="BJ56" s="491"/>
      <c r="BK56" s="491"/>
      <c r="BL56" s="491"/>
      <c r="BM56" s="491"/>
      <c r="BN56" s="491"/>
      <c r="BO56" s="491"/>
      <c r="BP56" s="491"/>
      <c r="BQ56" s="491"/>
      <c r="BR56" s="491"/>
      <c r="BS56" s="491"/>
      <c r="BT56" s="491"/>
      <c r="BU56" s="491"/>
      <c r="BV56" s="491"/>
      <c r="BW56" s="491"/>
      <c r="BX56" s="491"/>
      <c r="BY56" s="491"/>
      <c r="BZ56" s="491"/>
      <c r="CE56" s="491"/>
    </row>
    <row r="57" spans="1:83" ht="12.75">
      <c r="A57" s="491"/>
      <c r="B57" s="555" t="s">
        <v>130</v>
      </c>
      <c r="C57" s="556">
        <v>8.3333333333333329E-2</v>
      </c>
      <c r="D57" s="557">
        <v>1.77E-2</v>
      </c>
      <c r="E57" s="558" t="s">
        <v>691</v>
      </c>
      <c r="F57" s="559"/>
      <c r="G57" s="559"/>
      <c r="H57" s="559"/>
      <c r="I57" s="559"/>
      <c r="J57" s="560"/>
      <c r="K57" s="561"/>
      <c r="M57" s="495"/>
      <c r="N57" s="495"/>
      <c r="O57" s="495"/>
      <c r="P57" s="495"/>
      <c r="Q57" s="495"/>
      <c r="R57" s="495"/>
      <c r="S57" s="495"/>
      <c r="T57" s="495"/>
      <c r="U57" s="495"/>
      <c r="V57" s="495"/>
      <c r="W57" s="495"/>
      <c r="X57" s="495"/>
      <c r="Y57" s="495"/>
      <c r="Z57" s="495"/>
      <c r="AA57" s="495"/>
      <c r="AB57" s="495"/>
      <c r="AC57" s="495"/>
      <c r="AD57" s="495"/>
      <c r="AE57" s="495"/>
      <c r="AF57" s="495"/>
      <c r="AG57" s="495"/>
      <c r="AH57" s="495"/>
      <c r="AI57" s="495"/>
      <c r="AJ57" s="495"/>
      <c r="AK57" s="495"/>
      <c r="AL57" s="495"/>
      <c r="AM57" s="495"/>
      <c r="AN57" s="495"/>
      <c r="AO57" s="495"/>
      <c r="AP57" s="495"/>
      <c r="AQ57" s="491"/>
      <c r="AR57" s="495"/>
      <c r="AS57" s="491"/>
      <c r="AT57" s="495"/>
      <c r="AU57" s="491"/>
      <c r="AV57" s="491"/>
      <c r="AW57" s="491"/>
      <c r="AX57" s="491"/>
      <c r="AY57" s="491"/>
      <c r="AZ57" s="491"/>
      <c r="BA57" s="491"/>
      <c r="BB57" s="491"/>
      <c r="BC57" s="495"/>
      <c r="BD57" s="491"/>
      <c r="BE57" s="491"/>
      <c r="BF57" s="491"/>
      <c r="BG57" s="491"/>
      <c r="BH57" s="491"/>
      <c r="BI57" s="491"/>
      <c r="BJ57" s="491"/>
      <c r="BK57" s="491"/>
      <c r="BL57" s="491"/>
      <c r="BM57" s="491"/>
      <c r="BN57" s="491"/>
      <c r="BO57" s="491"/>
      <c r="BP57" s="491"/>
      <c r="BQ57" s="491"/>
      <c r="BR57" s="491"/>
      <c r="BS57" s="491"/>
      <c r="BT57" s="491"/>
      <c r="BU57" s="491"/>
      <c r="BV57" s="491"/>
      <c r="BW57" s="491"/>
      <c r="BX57" s="491"/>
      <c r="BY57" s="491"/>
      <c r="BZ57" s="491"/>
      <c r="CE57" s="491"/>
    </row>
    <row r="58" spans="1:83" ht="12.75">
      <c r="A58" s="491"/>
      <c r="B58" s="562" t="s">
        <v>131</v>
      </c>
      <c r="C58" s="563">
        <v>0.25</v>
      </c>
      <c r="D58" s="521">
        <v>1.9299999999999998E-2</v>
      </c>
      <c r="E58" s="558" t="s">
        <v>692</v>
      </c>
      <c r="F58" s="559"/>
      <c r="G58" s="559"/>
      <c r="H58" s="559"/>
      <c r="I58" s="559"/>
      <c r="J58" s="560"/>
      <c r="K58" s="561"/>
      <c r="M58" s="495"/>
      <c r="N58" s="495"/>
      <c r="O58" s="495"/>
      <c r="P58" s="495"/>
      <c r="Q58" s="495"/>
      <c r="R58" s="495"/>
      <c r="S58" s="495"/>
      <c r="T58" s="495"/>
      <c r="U58" s="495"/>
      <c r="V58" s="495"/>
      <c r="W58" s="495"/>
      <c r="X58" s="495"/>
      <c r="Y58" s="495"/>
      <c r="Z58" s="495"/>
      <c r="AA58" s="495"/>
      <c r="AB58" s="495"/>
      <c r="AC58" s="495"/>
      <c r="AD58" s="495"/>
      <c r="AE58" s="495"/>
      <c r="AF58" s="495"/>
      <c r="AG58" s="495"/>
      <c r="AH58" s="495"/>
      <c r="AI58" s="495"/>
      <c r="AJ58" s="495"/>
      <c r="AK58" s="495"/>
      <c r="AL58" s="495"/>
      <c r="AM58" s="495"/>
      <c r="AN58" s="495"/>
      <c r="AO58" s="495"/>
      <c r="AP58" s="495"/>
      <c r="AQ58" s="491"/>
      <c r="AR58" s="495"/>
      <c r="AS58" s="491"/>
      <c r="AT58" s="495"/>
      <c r="AU58" s="491"/>
      <c r="AV58" s="491"/>
      <c r="AW58" s="491"/>
      <c r="AX58" s="491"/>
      <c r="AY58" s="491"/>
      <c r="AZ58" s="491"/>
      <c r="BA58" s="491"/>
      <c r="BB58" s="491"/>
      <c r="BC58" s="495"/>
      <c r="BD58" s="491"/>
      <c r="BE58" s="491"/>
      <c r="BF58" s="491"/>
      <c r="BG58" s="491"/>
      <c r="BH58" s="491"/>
      <c r="BI58" s="491"/>
      <c r="BJ58" s="491"/>
      <c r="BK58" s="491"/>
      <c r="BL58" s="491"/>
      <c r="BM58" s="491"/>
      <c r="BN58" s="491"/>
      <c r="BO58" s="491"/>
      <c r="BP58" s="491"/>
      <c r="BQ58" s="491"/>
      <c r="BR58" s="491"/>
      <c r="BS58" s="491"/>
      <c r="BT58" s="491"/>
      <c r="BU58" s="491"/>
      <c r="BV58" s="491"/>
      <c r="BW58" s="491"/>
      <c r="BX58" s="491"/>
      <c r="BY58" s="491"/>
      <c r="BZ58" s="491"/>
      <c r="CE58" s="491"/>
    </row>
    <row r="59" spans="1:83" ht="12.75">
      <c r="A59" s="491"/>
      <c r="B59" s="562" t="s">
        <v>132</v>
      </c>
      <c r="C59" s="563">
        <v>0.5</v>
      </c>
      <c r="D59" s="521">
        <v>2.1099999999999997E-2</v>
      </c>
      <c r="E59" s="558" t="s">
        <v>693</v>
      </c>
      <c r="F59" s="559"/>
      <c r="G59" s="559"/>
      <c r="H59" s="559"/>
      <c r="I59" s="559"/>
      <c r="J59" s="560"/>
      <c r="K59" s="561"/>
      <c r="M59" s="495"/>
      <c r="N59" s="495"/>
      <c r="O59" s="495"/>
      <c r="P59" s="495"/>
      <c r="Q59" s="495"/>
      <c r="R59" s="495"/>
      <c r="S59" s="495"/>
      <c r="T59" s="495"/>
      <c r="U59" s="495"/>
      <c r="V59" s="495"/>
      <c r="W59" s="495"/>
      <c r="X59" s="495"/>
      <c r="Y59" s="495"/>
      <c r="Z59" s="495"/>
      <c r="AA59" s="495"/>
      <c r="AB59" s="495"/>
      <c r="AC59" s="495"/>
      <c r="AD59" s="495"/>
      <c r="AE59" s="495"/>
      <c r="AF59" s="495"/>
      <c r="AG59" s="495"/>
      <c r="AH59" s="495"/>
      <c r="AI59" s="495"/>
      <c r="AJ59" s="495"/>
      <c r="AK59" s="495"/>
      <c r="AL59" s="495"/>
      <c r="AM59" s="495"/>
      <c r="AN59" s="495"/>
      <c r="AO59" s="495"/>
      <c r="AP59" s="495"/>
      <c r="AQ59" s="491"/>
      <c r="AR59" s="495"/>
      <c r="AS59" s="491"/>
      <c r="AT59" s="495"/>
      <c r="AU59" s="491"/>
      <c r="AV59" s="491"/>
      <c r="AW59" s="491"/>
      <c r="AX59" s="491"/>
      <c r="AY59" s="491"/>
      <c r="AZ59" s="491"/>
      <c r="BA59" s="491"/>
      <c r="BB59" s="491"/>
      <c r="BC59" s="495"/>
      <c r="BD59" s="491"/>
      <c r="BE59" s="491"/>
      <c r="BF59" s="491"/>
      <c r="BG59" s="491"/>
      <c r="BH59" s="491"/>
      <c r="BI59" s="491"/>
      <c r="BJ59" s="491"/>
      <c r="BK59" s="491"/>
      <c r="BL59" s="491"/>
      <c r="BM59" s="491"/>
      <c r="BN59" s="491"/>
      <c r="BO59" s="491"/>
      <c r="BP59" s="491"/>
      <c r="BQ59" s="491"/>
      <c r="BR59" s="491"/>
      <c r="BS59" s="491"/>
      <c r="BT59" s="491"/>
      <c r="BU59" s="491"/>
      <c r="BV59" s="491"/>
      <c r="BW59" s="491"/>
      <c r="BX59" s="491"/>
      <c r="BY59" s="491"/>
      <c r="BZ59" s="491"/>
      <c r="CE59" s="491"/>
    </row>
    <row r="60" spans="1:83" ht="12.75">
      <c r="A60" s="491"/>
      <c r="B60" s="562" t="s">
        <v>133</v>
      </c>
      <c r="C60" s="563">
        <v>1</v>
      </c>
      <c r="D60" s="521">
        <v>2.3300000000000001E-2</v>
      </c>
      <c r="E60" s="558" t="s">
        <v>694</v>
      </c>
      <c r="F60" s="559"/>
      <c r="G60" s="559"/>
      <c r="H60" s="559"/>
      <c r="I60" s="559"/>
      <c r="J60" s="560"/>
      <c r="K60" s="561"/>
      <c r="M60" s="495"/>
      <c r="N60" s="495"/>
      <c r="O60" s="495"/>
      <c r="P60" s="495"/>
      <c r="Q60" s="495"/>
      <c r="R60" s="495"/>
      <c r="S60" s="495"/>
      <c r="T60" s="495"/>
      <c r="U60" s="495"/>
      <c r="V60" s="495"/>
      <c r="W60" s="495"/>
      <c r="X60" s="495"/>
      <c r="Y60" s="495"/>
      <c r="Z60" s="495"/>
      <c r="AA60" s="495"/>
      <c r="AB60" s="495"/>
      <c r="AC60" s="495"/>
      <c r="AD60" s="495"/>
      <c r="AE60" s="495"/>
      <c r="AF60" s="495"/>
      <c r="AG60" s="495"/>
      <c r="AH60" s="495"/>
      <c r="AI60" s="495"/>
      <c r="AJ60" s="495"/>
      <c r="AK60" s="495"/>
      <c r="AL60" s="495"/>
      <c r="AM60" s="495"/>
      <c r="AN60" s="495"/>
      <c r="AO60" s="495"/>
      <c r="AP60" s="495"/>
      <c r="AQ60" s="491"/>
      <c r="AR60" s="495"/>
      <c r="AS60" s="491"/>
      <c r="AT60" s="495"/>
      <c r="AU60" s="491"/>
      <c r="AV60" s="491"/>
      <c r="AW60" s="491"/>
      <c r="AX60" s="491"/>
      <c r="AY60" s="491"/>
      <c r="AZ60" s="491"/>
      <c r="BA60" s="491"/>
      <c r="BB60" s="491"/>
      <c r="BC60" s="495"/>
      <c r="BD60" s="491"/>
      <c r="BE60" s="491"/>
      <c r="BF60" s="491"/>
      <c r="BG60" s="491"/>
      <c r="BH60" s="491"/>
      <c r="BI60" s="491"/>
      <c r="BJ60" s="491"/>
      <c r="BK60" s="491"/>
      <c r="BL60" s="491"/>
      <c r="BM60" s="491"/>
      <c r="BN60" s="491"/>
      <c r="BO60" s="491"/>
      <c r="BP60" s="491"/>
      <c r="BQ60" s="491"/>
      <c r="BR60" s="491"/>
      <c r="BS60" s="491"/>
      <c r="BT60" s="491"/>
      <c r="BU60" s="491"/>
      <c r="BV60" s="491"/>
      <c r="BW60" s="491"/>
      <c r="BX60" s="491"/>
      <c r="BY60" s="491"/>
      <c r="BZ60" s="491"/>
      <c r="CE60" s="491"/>
    </row>
    <row r="61" spans="1:83" ht="12.75">
      <c r="A61" s="491"/>
      <c r="B61" s="562" t="s">
        <v>134</v>
      </c>
      <c r="C61" s="563">
        <v>2</v>
      </c>
      <c r="D61" s="521">
        <v>2.52E-2</v>
      </c>
      <c r="E61" s="558" t="s">
        <v>695</v>
      </c>
      <c r="F61" s="559"/>
      <c r="G61" s="559"/>
      <c r="H61" s="559"/>
      <c r="I61" s="559"/>
      <c r="J61" s="560"/>
      <c r="K61" s="561"/>
      <c r="M61" s="495"/>
      <c r="N61" s="495"/>
      <c r="O61" s="495"/>
      <c r="P61" s="495"/>
      <c r="Q61" s="495"/>
      <c r="R61" s="495"/>
      <c r="S61" s="495"/>
      <c r="T61" s="495"/>
      <c r="U61" s="495"/>
      <c r="V61" s="495"/>
      <c r="W61" s="495"/>
      <c r="X61" s="495"/>
      <c r="Y61" s="495"/>
      <c r="Z61" s="495"/>
      <c r="AA61" s="495"/>
      <c r="AB61" s="495"/>
      <c r="AC61" s="495"/>
      <c r="AD61" s="495"/>
      <c r="AE61" s="495"/>
      <c r="AF61" s="495"/>
      <c r="AG61" s="495"/>
      <c r="AH61" s="495"/>
      <c r="AI61" s="495"/>
      <c r="AJ61" s="495"/>
      <c r="AK61" s="495"/>
      <c r="AL61" s="495"/>
      <c r="AM61" s="495"/>
      <c r="AN61" s="495"/>
      <c r="AO61" s="495"/>
      <c r="AP61" s="495"/>
      <c r="AQ61" s="491"/>
      <c r="AR61" s="495"/>
      <c r="AS61" s="491"/>
      <c r="AT61" s="495"/>
      <c r="AU61" s="491"/>
      <c r="AV61" s="491"/>
      <c r="AW61" s="491"/>
      <c r="AX61" s="491"/>
      <c r="AY61" s="491"/>
      <c r="AZ61" s="491"/>
      <c r="BA61" s="491"/>
      <c r="BB61" s="491"/>
      <c r="BC61" s="495"/>
      <c r="BD61" s="491"/>
      <c r="BE61" s="491"/>
      <c r="BF61" s="491"/>
      <c r="BG61" s="491"/>
      <c r="BH61" s="491"/>
      <c r="BI61" s="491"/>
      <c r="BJ61" s="491"/>
      <c r="BK61" s="491"/>
      <c r="BL61" s="491"/>
      <c r="BM61" s="491"/>
      <c r="BN61" s="491"/>
      <c r="BO61" s="491"/>
      <c r="BP61" s="491"/>
      <c r="BQ61" s="491"/>
      <c r="BR61" s="491"/>
      <c r="BS61" s="491"/>
      <c r="BT61" s="491"/>
      <c r="BU61" s="491"/>
      <c r="BV61" s="491"/>
      <c r="BW61" s="491"/>
      <c r="BX61" s="491"/>
      <c r="BY61" s="491"/>
      <c r="BZ61" s="491"/>
      <c r="CE61" s="491"/>
    </row>
    <row r="62" spans="1:83" ht="12.75">
      <c r="A62" s="491"/>
      <c r="B62" s="562" t="s">
        <v>135</v>
      </c>
      <c r="C62" s="563">
        <v>3</v>
      </c>
      <c r="D62" s="521">
        <v>2.63E-2</v>
      </c>
      <c r="E62" s="558" t="s">
        <v>696</v>
      </c>
      <c r="F62" s="559"/>
      <c r="G62" s="559"/>
      <c r="H62" s="559"/>
      <c r="I62" s="559"/>
      <c r="J62" s="560"/>
      <c r="K62" s="561"/>
      <c r="M62" s="495"/>
      <c r="N62" s="495"/>
      <c r="O62" s="495"/>
      <c r="P62" s="495"/>
      <c r="Q62" s="495"/>
      <c r="R62" s="495"/>
      <c r="S62" s="495"/>
      <c r="T62" s="495"/>
      <c r="U62" s="495"/>
      <c r="V62" s="495"/>
      <c r="W62" s="495"/>
      <c r="X62" s="495"/>
      <c r="Y62" s="495"/>
      <c r="Z62" s="495"/>
      <c r="AA62" s="495"/>
      <c r="AB62" s="495"/>
      <c r="AC62" s="495"/>
      <c r="AD62" s="495"/>
      <c r="AE62" s="495"/>
      <c r="AF62" s="495"/>
      <c r="AG62" s="495"/>
      <c r="AH62" s="495"/>
      <c r="AI62" s="495"/>
      <c r="AJ62" s="495"/>
      <c r="AK62" s="495"/>
      <c r="AL62" s="495"/>
      <c r="AM62" s="495"/>
      <c r="AN62" s="495"/>
      <c r="AO62" s="495"/>
      <c r="AP62" s="495"/>
      <c r="AQ62" s="491"/>
      <c r="AR62" s="495"/>
      <c r="AS62" s="491"/>
      <c r="AT62" s="495"/>
      <c r="AU62" s="491"/>
      <c r="AV62" s="491"/>
      <c r="AW62" s="491"/>
      <c r="AX62" s="491"/>
      <c r="AY62" s="491"/>
      <c r="AZ62" s="491"/>
      <c r="BA62" s="491"/>
      <c r="BB62" s="491"/>
      <c r="BC62" s="495"/>
      <c r="BD62" s="491"/>
      <c r="BE62" s="491"/>
      <c r="BF62" s="491"/>
      <c r="BG62" s="491"/>
      <c r="BH62" s="491"/>
      <c r="BI62" s="491"/>
      <c r="BJ62" s="491"/>
      <c r="BK62" s="491"/>
      <c r="BL62" s="491"/>
      <c r="BM62" s="491"/>
      <c r="BN62" s="491"/>
      <c r="BO62" s="491"/>
      <c r="BP62" s="491"/>
      <c r="BQ62" s="491"/>
      <c r="BR62" s="491"/>
      <c r="BS62" s="491"/>
      <c r="BT62" s="491"/>
      <c r="BU62" s="491"/>
      <c r="BV62" s="491"/>
      <c r="BW62" s="491"/>
      <c r="BX62" s="491"/>
      <c r="BY62" s="491"/>
      <c r="BZ62" s="491"/>
      <c r="CE62" s="491"/>
    </row>
    <row r="63" spans="1:83" ht="12.75">
      <c r="A63" s="491"/>
      <c r="B63" s="562" t="s">
        <v>136</v>
      </c>
      <c r="C63" s="563">
        <v>5</v>
      </c>
      <c r="D63" s="521">
        <v>2.7300000000000001E-2</v>
      </c>
      <c r="E63" s="558" t="s">
        <v>697</v>
      </c>
      <c r="F63" s="559"/>
      <c r="G63" s="559"/>
      <c r="H63" s="559"/>
      <c r="I63" s="559"/>
      <c r="J63" s="560"/>
      <c r="K63" s="561"/>
      <c r="M63" s="495"/>
      <c r="N63" s="495"/>
      <c r="O63" s="495"/>
      <c r="P63" s="495"/>
      <c r="Q63" s="495"/>
      <c r="R63" s="495"/>
      <c r="S63" s="495"/>
      <c r="T63" s="495"/>
      <c r="U63" s="495"/>
      <c r="V63" s="495"/>
      <c r="W63" s="495"/>
      <c r="X63" s="495"/>
      <c r="Y63" s="495"/>
      <c r="Z63" s="495"/>
      <c r="AA63" s="495"/>
      <c r="AB63" s="495"/>
      <c r="AC63" s="495"/>
      <c r="AD63" s="495"/>
      <c r="AE63" s="495"/>
      <c r="AF63" s="495"/>
      <c r="AG63" s="495"/>
      <c r="AH63" s="495"/>
      <c r="AI63" s="495"/>
      <c r="AJ63" s="495"/>
      <c r="AK63" s="495"/>
      <c r="AL63" s="495"/>
      <c r="AM63" s="495"/>
      <c r="AN63" s="495"/>
      <c r="AO63" s="495"/>
      <c r="AP63" s="495"/>
      <c r="AQ63" s="491"/>
      <c r="AR63" s="495"/>
      <c r="AS63" s="491"/>
      <c r="AT63" s="495"/>
      <c r="AU63" s="491"/>
      <c r="AV63" s="491"/>
      <c r="AW63" s="491"/>
      <c r="AX63" s="491"/>
      <c r="AY63" s="491"/>
      <c r="AZ63" s="491"/>
      <c r="BA63" s="491"/>
      <c r="BB63" s="491"/>
      <c r="BC63" s="495"/>
      <c r="BD63" s="491"/>
      <c r="BE63" s="491"/>
      <c r="BF63" s="491"/>
      <c r="BG63" s="491"/>
      <c r="BH63" s="491"/>
      <c r="BI63" s="491"/>
      <c r="BJ63" s="491"/>
      <c r="BK63" s="491"/>
      <c r="BL63" s="491"/>
      <c r="BM63" s="491"/>
      <c r="BN63" s="491"/>
      <c r="BO63" s="491"/>
      <c r="BP63" s="491"/>
      <c r="BQ63" s="491"/>
      <c r="BR63" s="491"/>
      <c r="BS63" s="491"/>
      <c r="BT63" s="491"/>
      <c r="BU63" s="491"/>
      <c r="BV63" s="491"/>
      <c r="BW63" s="491"/>
      <c r="BX63" s="491"/>
      <c r="BY63" s="491"/>
      <c r="BZ63" s="491"/>
      <c r="CE63" s="491"/>
    </row>
    <row r="64" spans="1:83" ht="12.75">
      <c r="A64" s="491"/>
      <c r="B64" s="562" t="s">
        <v>137</v>
      </c>
      <c r="C64" s="563">
        <v>7</v>
      </c>
      <c r="D64" s="521">
        <v>2.81E-2</v>
      </c>
      <c r="E64" s="558" t="s">
        <v>698</v>
      </c>
      <c r="F64" s="559"/>
      <c r="G64" s="559"/>
      <c r="H64" s="559"/>
      <c r="I64" s="559"/>
      <c r="J64" s="560"/>
      <c r="K64" s="561"/>
      <c r="M64" s="495"/>
      <c r="N64" s="495"/>
      <c r="O64" s="495"/>
      <c r="P64" s="495"/>
      <c r="Q64" s="495"/>
      <c r="R64" s="495"/>
      <c r="S64" s="495"/>
      <c r="T64" s="495"/>
      <c r="U64" s="495"/>
      <c r="V64" s="495"/>
      <c r="W64" s="495"/>
      <c r="X64" s="495"/>
      <c r="Y64" s="495"/>
      <c r="Z64" s="495"/>
      <c r="AA64" s="495"/>
      <c r="AB64" s="495"/>
      <c r="AC64" s="495"/>
      <c r="AD64" s="495"/>
      <c r="AE64" s="495"/>
      <c r="AF64" s="495"/>
      <c r="AG64" s="495"/>
      <c r="AH64" s="495"/>
      <c r="AI64" s="495"/>
      <c r="AJ64" s="495"/>
      <c r="AK64" s="495"/>
      <c r="AL64" s="495"/>
      <c r="AM64" s="495"/>
      <c r="AN64" s="495"/>
      <c r="AO64" s="495"/>
      <c r="AP64" s="495"/>
      <c r="AQ64" s="491"/>
      <c r="AR64" s="495"/>
      <c r="AS64" s="491"/>
      <c r="AT64" s="495"/>
      <c r="AU64" s="491"/>
      <c r="AV64" s="491"/>
      <c r="AW64" s="491"/>
      <c r="AX64" s="491"/>
      <c r="AY64" s="491"/>
      <c r="AZ64" s="491"/>
      <c r="BA64" s="491"/>
      <c r="BB64" s="491"/>
      <c r="BC64" s="495"/>
      <c r="BD64" s="491"/>
      <c r="BE64" s="491"/>
      <c r="BF64" s="491"/>
      <c r="BG64" s="491"/>
      <c r="BH64" s="491"/>
      <c r="BI64" s="491"/>
      <c r="BJ64" s="491"/>
      <c r="BK64" s="491"/>
      <c r="BL64" s="491"/>
      <c r="BM64" s="491"/>
      <c r="BN64" s="491"/>
      <c r="BO64" s="491"/>
      <c r="BP64" s="491"/>
      <c r="BQ64" s="491"/>
      <c r="BR64" s="491"/>
      <c r="BS64" s="491"/>
      <c r="BT64" s="491"/>
      <c r="BU64" s="491"/>
      <c r="BV64" s="491"/>
      <c r="BW64" s="491"/>
      <c r="BX64" s="491"/>
      <c r="BY64" s="491"/>
      <c r="BZ64" s="491"/>
      <c r="CE64" s="491"/>
    </row>
    <row r="65" spans="1:83" ht="12.75">
      <c r="A65" s="491"/>
      <c r="B65" s="562" t="s">
        <v>138</v>
      </c>
      <c r="C65" s="563">
        <v>10</v>
      </c>
      <c r="D65" s="521">
        <v>2.8500000000000001E-2</v>
      </c>
      <c r="E65" s="558" t="s">
        <v>699</v>
      </c>
      <c r="F65" s="559"/>
      <c r="G65" s="559"/>
      <c r="H65" s="559"/>
      <c r="I65" s="559"/>
      <c r="J65" s="560"/>
      <c r="K65" s="561"/>
      <c r="M65" s="495"/>
      <c r="N65" s="495"/>
      <c r="O65" s="495"/>
      <c r="P65" s="495"/>
      <c r="Q65" s="495"/>
      <c r="R65" s="495"/>
      <c r="S65" s="495"/>
      <c r="T65" s="495"/>
      <c r="U65" s="495"/>
      <c r="V65" s="495"/>
      <c r="W65" s="495"/>
      <c r="X65" s="495"/>
      <c r="Y65" s="495"/>
      <c r="Z65" s="495"/>
      <c r="AA65" s="495"/>
      <c r="AB65" s="495"/>
      <c r="AC65" s="495"/>
      <c r="AD65" s="495"/>
      <c r="AE65" s="495"/>
      <c r="AF65" s="495"/>
      <c r="AG65" s="495"/>
      <c r="AH65" s="495"/>
      <c r="AI65" s="495"/>
      <c r="AJ65" s="495"/>
      <c r="AK65" s="495"/>
      <c r="AL65" s="495"/>
      <c r="AM65" s="495"/>
      <c r="AN65" s="495"/>
      <c r="AO65" s="495"/>
      <c r="AP65" s="495"/>
      <c r="AQ65" s="491"/>
      <c r="AR65" s="495"/>
      <c r="AS65" s="491"/>
      <c r="AT65" s="495"/>
      <c r="AU65" s="491"/>
      <c r="AV65" s="491"/>
      <c r="AW65" s="491"/>
      <c r="AX65" s="491"/>
      <c r="AY65" s="491"/>
      <c r="AZ65" s="491"/>
      <c r="BA65" s="491"/>
      <c r="BB65" s="491"/>
      <c r="BC65" s="495"/>
      <c r="BD65" s="491"/>
      <c r="BE65" s="491"/>
      <c r="BF65" s="491"/>
      <c r="BG65" s="491"/>
      <c r="BH65" s="491"/>
      <c r="BI65" s="491"/>
      <c r="BJ65" s="491"/>
      <c r="BK65" s="491"/>
      <c r="BL65" s="491"/>
      <c r="BM65" s="491"/>
      <c r="BN65" s="491"/>
      <c r="BO65" s="491"/>
      <c r="BP65" s="491"/>
      <c r="BQ65" s="491"/>
      <c r="BR65" s="491"/>
      <c r="BS65" s="491"/>
      <c r="BT65" s="491"/>
      <c r="BU65" s="491"/>
      <c r="BV65" s="491"/>
      <c r="BW65" s="491"/>
      <c r="BX65" s="491"/>
      <c r="BY65" s="491"/>
      <c r="BZ65" s="491"/>
      <c r="CE65" s="491"/>
    </row>
    <row r="66" spans="1:83" ht="12.75">
      <c r="A66" s="491"/>
      <c r="B66" s="562" t="s">
        <v>139</v>
      </c>
      <c r="C66" s="563">
        <v>20</v>
      </c>
      <c r="D66" s="521">
        <v>2.9100000000000001E-2</v>
      </c>
      <c r="E66" s="558" t="s">
        <v>700</v>
      </c>
      <c r="F66" s="559"/>
      <c r="G66" s="559"/>
      <c r="H66" s="559"/>
      <c r="I66" s="559"/>
      <c r="J66" s="560"/>
      <c r="K66" s="561"/>
      <c r="M66" s="495"/>
      <c r="N66" s="495"/>
      <c r="O66" s="495"/>
      <c r="P66" s="495"/>
      <c r="Q66" s="495"/>
      <c r="R66" s="495"/>
      <c r="S66" s="495"/>
      <c r="T66" s="495"/>
      <c r="U66" s="495"/>
      <c r="V66" s="495"/>
      <c r="W66" s="495"/>
      <c r="X66" s="495"/>
      <c r="Y66" s="495"/>
      <c r="Z66" s="495"/>
      <c r="AA66" s="495"/>
      <c r="AB66" s="495"/>
      <c r="AC66" s="495"/>
      <c r="AD66" s="495"/>
      <c r="AE66" s="495"/>
      <c r="AF66" s="495"/>
      <c r="AG66" s="495"/>
      <c r="AH66" s="495"/>
      <c r="AI66" s="495"/>
      <c r="AJ66" s="495"/>
      <c r="AK66" s="495"/>
      <c r="AL66" s="495"/>
      <c r="AM66" s="495"/>
      <c r="AN66" s="495"/>
      <c r="AO66" s="495"/>
      <c r="AP66" s="495"/>
      <c r="AQ66" s="491"/>
      <c r="AR66" s="495"/>
      <c r="AS66" s="491"/>
      <c r="AT66" s="495"/>
      <c r="AU66" s="491"/>
      <c r="AV66" s="491"/>
      <c r="AW66" s="491"/>
      <c r="AX66" s="491"/>
      <c r="AY66" s="491"/>
      <c r="AZ66" s="491"/>
      <c r="BA66" s="491"/>
      <c r="BB66" s="491"/>
      <c r="BC66" s="495"/>
      <c r="BD66" s="491"/>
      <c r="BE66" s="491"/>
      <c r="BF66" s="491"/>
      <c r="BG66" s="491"/>
      <c r="BH66" s="491"/>
      <c r="BI66" s="491"/>
      <c r="BJ66" s="491"/>
      <c r="BK66" s="491"/>
      <c r="BL66" s="491"/>
      <c r="BM66" s="491"/>
      <c r="BN66" s="491"/>
      <c r="BO66" s="491"/>
      <c r="BP66" s="491"/>
      <c r="BQ66" s="491"/>
      <c r="BR66" s="491"/>
      <c r="BS66" s="491"/>
      <c r="BT66" s="491"/>
      <c r="BU66" s="491"/>
      <c r="BV66" s="491"/>
      <c r="BW66" s="491"/>
      <c r="BX66" s="491"/>
      <c r="BY66" s="491"/>
      <c r="BZ66" s="491"/>
      <c r="CE66" s="491"/>
    </row>
    <row r="67" spans="1:83" ht="12.75">
      <c r="A67" s="491"/>
      <c r="B67" s="564" t="s">
        <v>140</v>
      </c>
      <c r="C67" s="565">
        <v>30</v>
      </c>
      <c r="D67" s="498">
        <v>2.98E-2</v>
      </c>
      <c r="E67" s="566" t="s">
        <v>701</v>
      </c>
      <c r="F67" s="567"/>
      <c r="G67" s="567"/>
      <c r="H67" s="567"/>
      <c r="I67" s="567"/>
      <c r="J67" s="568"/>
      <c r="K67" s="569"/>
      <c r="M67" s="495"/>
      <c r="N67" s="495"/>
      <c r="O67" s="495"/>
      <c r="P67" s="495"/>
      <c r="Q67" s="495"/>
      <c r="R67" s="495"/>
      <c r="S67" s="495"/>
      <c r="T67" s="495"/>
      <c r="U67" s="495"/>
      <c r="V67" s="495"/>
      <c r="W67" s="495"/>
      <c r="X67" s="495"/>
      <c r="Y67" s="495"/>
      <c r="Z67" s="495"/>
      <c r="AA67" s="495"/>
      <c r="AB67" s="495"/>
      <c r="AC67" s="495"/>
      <c r="AD67" s="495"/>
      <c r="AE67" s="495"/>
      <c r="AF67" s="495"/>
      <c r="AG67" s="495"/>
      <c r="AH67" s="495"/>
      <c r="AI67" s="495"/>
      <c r="AJ67" s="495"/>
      <c r="AK67" s="495"/>
      <c r="AL67" s="495"/>
      <c r="AM67" s="495"/>
      <c r="AN67" s="495"/>
      <c r="AO67" s="495"/>
      <c r="AP67" s="495"/>
      <c r="AQ67" s="491"/>
      <c r="AR67" s="495"/>
      <c r="AS67" s="491"/>
      <c r="AT67" s="495"/>
      <c r="AU67" s="491"/>
      <c r="AV67" s="491"/>
      <c r="AW67" s="491"/>
      <c r="AX67" s="491"/>
      <c r="AY67" s="491"/>
      <c r="AZ67" s="491"/>
      <c r="BA67" s="491"/>
      <c r="BB67" s="491"/>
      <c r="BC67" s="495"/>
      <c r="BD67" s="491"/>
      <c r="BE67" s="491"/>
      <c r="BF67" s="491"/>
      <c r="BG67" s="491"/>
      <c r="BH67" s="491"/>
      <c r="BI67" s="491"/>
      <c r="BJ67" s="491"/>
      <c r="BK67" s="491"/>
      <c r="BL67" s="491"/>
      <c r="BM67" s="491"/>
      <c r="BN67" s="491"/>
      <c r="BO67" s="491"/>
      <c r="BP67" s="491"/>
      <c r="BQ67" s="491"/>
      <c r="BR67" s="491"/>
      <c r="BS67" s="491"/>
      <c r="BT67" s="491"/>
      <c r="BU67" s="491"/>
      <c r="BV67" s="491"/>
      <c r="BW67" s="491"/>
      <c r="BX67" s="491"/>
      <c r="BY67" s="491"/>
      <c r="BZ67" s="491"/>
      <c r="CE67" s="491"/>
    </row>
    <row r="70" spans="1:83">
      <c r="A70" s="491"/>
      <c r="B70" s="570" t="s">
        <v>672</v>
      </c>
      <c r="K70" s="495"/>
      <c r="L70" s="495"/>
      <c r="M70" s="495"/>
      <c r="N70" s="495"/>
      <c r="O70" s="495"/>
      <c r="P70" s="495"/>
      <c r="Q70" s="495"/>
      <c r="R70" s="495"/>
      <c r="S70" s="495"/>
      <c r="T70" s="495"/>
      <c r="U70" s="495"/>
      <c r="V70" s="495"/>
      <c r="W70" s="495"/>
      <c r="X70" s="495"/>
      <c r="Y70" s="495"/>
      <c r="Z70" s="495"/>
      <c r="AA70" s="495"/>
      <c r="AB70" s="495"/>
      <c r="AC70" s="495"/>
      <c r="AD70" s="495"/>
      <c r="AE70" s="495"/>
      <c r="AF70" s="495"/>
      <c r="AG70" s="495"/>
      <c r="AH70" s="495"/>
      <c r="AI70" s="495"/>
      <c r="AJ70" s="495"/>
      <c r="AK70" s="495"/>
      <c r="AL70" s="495"/>
      <c r="AM70" s="495"/>
      <c r="AN70" s="495"/>
      <c r="AO70" s="495"/>
      <c r="AP70" s="495"/>
      <c r="AQ70" s="491"/>
      <c r="AR70" s="495"/>
      <c r="AS70" s="491"/>
      <c r="AT70" s="495"/>
      <c r="AU70" s="491"/>
      <c r="AV70" s="491"/>
      <c r="AW70" s="491"/>
      <c r="AX70" s="491"/>
      <c r="AY70" s="491"/>
      <c r="AZ70" s="491"/>
      <c r="BA70" s="491"/>
      <c r="BB70" s="491"/>
      <c r="BC70" s="495"/>
      <c r="BD70" s="491"/>
      <c r="BE70" s="491"/>
      <c r="BF70" s="491"/>
      <c r="BG70" s="491"/>
      <c r="BH70" s="491"/>
      <c r="BI70" s="491"/>
      <c r="BJ70" s="491"/>
      <c r="BK70" s="491"/>
      <c r="BL70" s="491"/>
      <c r="BM70" s="491"/>
      <c r="BN70" s="491"/>
      <c r="BO70" s="491"/>
      <c r="BP70" s="491"/>
      <c r="BQ70" s="491"/>
      <c r="BR70" s="491"/>
      <c r="BS70" s="491"/>
      <c r="BT70" s="491"/>
      <c r="BU70" s="491"/>
      <c r="BV70" s="491"/>
      <c r="BW70" s="491"/>
      <c r="BX70" s="491"/>
      <c r="BY70" s="491"/>
      <c r="BZ70" s="491"/>
      <c r="CE70" s="491"/>
    </row>
    <row r="71" spans="1:83" ht="12.75">
      <c r="A71" s="491"/>
      <c r="B71" s="571" t="s">
        <v>673</v>
      </c>
      <c r="C71" s="572">
        <v>4.8399999999999999E-2</v>
      </c>
      <c r="D71" s="573" t="s">
        <v>764</v>
      </c>
      <c r="E71" s="574"/>
      <c r="F71" s="574"/>
      <c r="G71" s="574"/>
      <c r="H71" s="574"/>
      <c r="I71" s="574"/>
      <c r="J71" s="575"/>
      <c r="K71" s="495"/>
      <c r="L71" s="495"/>
      <c r="M71" s="495"/>
      <c r="N71" s="495"/>
      <c r="O71" s="495"/>
      <c r="P71" s="495"/>
      <c r="Q71" s="495"/>
      <c r="R71" s="495"/>
      <c r="S71" s="495"/>
      <c r="T71" s="495"/>
      <c r="U71" s="495"/>
      <c r="V71" s="495"/>
      <c r="W71" s="495"/>
      <c r="X71" s="495"/>
      <c r="Y71" s="495"/>
      <c r="Z71" s="495"/>
      <c r="AA71" s="495"/>
      <c r="AB71" s="495"/>
      <c r="AC71" s="495"/>
      <c r="AD71" s="495"/>
      <c r="AE71" s="495"/>
      <c r="AF71" s="495"/>
      <c r="AG71" s="495"/>
      <c r="AH71" s="495"/>
      <c r="AI71" s="495"/>
      <c r="AJ71" s="495"/>
      <c r="AK71" s="495"/>
      <c r="AL71" s="495"/>
      <c r="AM71" s="495"/>
      <c r="AN71" s="495"/>
      <c r="AO71" s="495"/>
      <c r="AP71" s="495"/>
      <c r="AQ71" s="491"/>
      <c r="AR71" s="495"/>
      <c r="AS71" s="491"/>
      <c r="AT71" s="495"/>
      <c r="AU71" s="491"/>
      <c r="AV71" s="491"/>
      <c r="AW71" s="491"/>
      <c r="AX71" s="491"/>
      <c r="AY71" s="491"/>
      <c r="AZ71" s="491"/>
      <c r="BA71" s="491"/>
      <c r="BB71" s="491"/>
      <c r="BC71" s="495"/>
      <c r="BD71" s="491"/>
      <c r="BE71" s="491"/>
      <c r="BF71" s="491"/>
      <c r="BG71" s="491"/>
      <c r="BH71" s="491"/>
      <c r="BI71" s="491"/>
      <c r="BJ71" s="491"/>
      <c r="BK71" s="491"/>
      <c r="BL71" s="491"/>
      <c r="BM71" s="491"/>
      <c r="BN71" s="491"/>
      <c r="BO71" s="491"/>
      <c r="BP71" s="491"/>
      <c r="BQ71" s="491"/>
      <c r="BR71" s="491"/>
      <c r="BS71" s="491"/>
      <c r="BT71" s="491"/>
      <c r="BU71" s="491"/>
      <c r="BV71" s="491"/>
      <c r="BW71" s="491"/>
      <c r="BX71" s="491"/>
      <c r="BY71" s="491"/>
      <c r="BZ71" s="491"/>
      <c r="CE71" s="491"/>
    </row>
    <row r="73" spans="1:83">
      <c r="A73" s="491"/>
      <c r="B73" s="570" t="s">
        <v>674</v>
      </c>
      <c r="K73" s="495"/>
      <c r="L73" s="495"/>
      <c r="M73" s="495"/>
      <c r="N73" s="495"/>
      <c r="O73" s="495"/>
      <c r="P73" s="495"/>
      <c r="Q73" s="495"/>
      <c r="R73" s="495"/>
      <c r="S73" s="495"/>
      <c r="T73" s="495"/>
      <c r="U73" s="495"/>
      <c r="V73" s="495"/>
      <c r="W73" s="495"/>
      <c r="X73" s="495"/>
      <c r="Y73" s="495"/>
      <c r="Z73" s="495"/>
      <c r="AA73" s="495"/>
      <c r="AB73" s="495"/>
      <c r="AC73" s="495"/>
      <c r="AD73" s="495"/>
      <c r="AE73" s="495"/>
      <c r="AF73" s="495"/>
      <c r="AG73" s="495"/>
      <c r="AH73" s="495"/>
      <c r="AI73" s="495"/>
      <c r="AJ73" s="495"/>
      <c r="AK73" s="495"/>
      <c r="AL73" s="495"/>
      <c r="AM73" s="495"/>
      <c r="AN73" s="495"/>
      <c r="AO73" s="495"/>
      <c r="AP73" s="495"/>
      <c r="AQ73" s="491"/>
      <c r="AR73" s="495"/>
      <c r="AS73" s="491"/>
      <c r="AT73" s="495"/>
      <c r="AU73" s="491"/>
      <c r="AV73" s="491"/>
      <c r="AW73" s="491"/>
      <c r="AX73" s="491"/>
      <c r="AY73" s="491"/>
      <c r="AZ73" s="491"/>
      <c r="BA73" s="491"/>
      <c r="BB73" s="491"/>
      <c r="BC73" s="495"/>
      <c r="BD73" s="491"/>
      <c r="BE73" s="491"/>
      <c r="BF73" s="491"/>
      <c r="BG73" s="491"/>
      <c r="BH73" s="491"/>
      <c r="BI73" s="491"/>
      <c r="BJ73" s="491"/>
      <c r="BK73" s="491"/>
      <c r="BL73" s="491"/>
      <c r="BM73" s="491"/>
      <c r="BN73" s="491"/>
      <c r="BO73" s="491"/>
      <c r="BP73" s="491"/>
      <c r="BQ73" s="491"/>
      <c r="BR73" s="491"/>
      <c r="BS73" s="491"/>
      <c r="BT73" s="491"/>
      <c r="BU73" s="491"/>
      <c r="BV73" s="491"/>
      <c r="BW73" s="491"/>
      <c r="BX73" s="491"/>
      <c r="BY73" s="491"/>
      <c r="BZ73" s="491"/>
      <c r="CE73" s="491"/>
    </row>
    <row r="74" spans="1:83" ht="12.75">
      <c r="A74" s="491"/>
      <c r="B74" s="571" t="s">
        <v>675</v>
      </c>
      <c r="C74" s="572">
        <v>0.05</v>
      </c>
      <c r="D74" s="573"/>
      <c r="E74" s="574"/>
      <c r="F74" s="574"/>
      <c r="G74" s="574"/>
      <c r="H74" s="574"/>
      <c r="I74" s="574"/>
      <c r="J74" s="575"/>
      <c r="K74" s="495"/>
      <c r="L74" s="495"/>
      <c r="M74" s="495"/>
      <c r="N74" s="495"/>
      <c r="O74" s="495"/>
      <c r="P74" s="495"/>
      <c r="Q74" s="495"/>
      <c r="R74" s="495"/>
      <c r="S74" s="495"/>
      <c r="T74" s="495"/>
      <c r="U74" s="495"/>
      <c r="V74" s="495"/>
      <c r="W74" s="495"/>
      <c r="X74" s="495"/>
      <c r="Y74" s="495"/>
      <c r="Z74" s="495"/>
      <c r="AA74" s="495"/>
      <c r="AB74" s="495"/>
      <c r="AC74" s="495"/>
      <c r="AD74" s="495"/>
      <c r="AE74" s="495"/>
      <c r="AF74" s="495"/>
      <c r="AG74" s="495"/>
      <c r="AH74" s="495"/>
      <c r="AI74" s="495"/>
      <c r="AJ74" s="495"/>
      <c r="AK74" s="495"/>
      <c r="AL74" s="495"/>
      <c r="AM74" s="495"/>
      <c r="AN74" s="495"/>
      <c r="AO74" s="495"/>
      <c r="AP74" s="495"/>
      <c r="AQ74" s="491"/>
      <c r="AR74" s="495"/>
      <c r="AS74" s="491"/>
      <c r="AT74" s="495"/>
      <c r="AU74" s="491"/>
      <c r="AV74" s="491"/>
      <c r="AW74" s="491"/>
      <c r="AX74" s="491"/>
      <c r="AY74" s="491"/>
      <c r="AZ74" s="491"/>
      <c r="BA74" s="491"/>
      <c r="BB74" s="491"/>
      <c r="BC74" s="495"/>
      <c r="BD74" s="491"/>
      <c r="BE74" s="491"/>
      <c r="BF74" s="491"/>
      <c r="BG74" s="491"/>
      <c r="BH74" s="491"/>
      <c r="BI74" s="491"/>
      <c r="BJ74" s="491"/>
      <c r="BK74" s="491"/>
      <c r="BL74" s="491"/>
      <c r="BM74" s="491"/>
      <c r="BN74" s="491"/>
      <c r="BO74" s="491"/>
      <c r="BP74" s="491"/>
      <c r="BQ74" s="491"/>
      <c r="BR74" s="491"/>
      <c r="BS74" s="491"/>
      <c r="BT74" s="491"/>
      <c r="BU74" s="491"/>
      <c r="BV74" s="491"/>
      <c r="BW74" s="491"/>
      <c r="BX74" s="491"/>
      <c r="BY74" s="491"/>
      <c r="BZ74" s="491"/>
      <c r="CE74" s="491"/>
    </row>
  </sheetData>
  <pageMargins left="0.7" right="0.7" top="0.75" bottom="0.75" header="0.3" footer="0.3"/>
  <pageSetup paperSize="9" orientation="portrait" horizontalDpi="90" verticalDpi="90" r:id="rId1"/>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0000"/>
  </sheetPr>
  <dimension ref="B1:AM71"/>
  <sheetViews>
    <sheetView showGridLines="0" view="pageBreakPreview" topLeftCell="C1" zoomScale="60" zoomScaleNormal="100" workbookViewId="0">
      <selection activeCell="C10" sqref="C10"/>
    </sheetView>
  </sheetViews>
  <sheetFormatPr defaultRowHeight="12.75" outlineLevelCol="1"/>
  <cols>
    <col min="1" max="1" width="2.83203125" style="405" customWidth="1"/>
    <col min="2" max="2" width="11.83203125" style="405" customWidth="1"/>
    <col min="3" max="4" width="26.33203125" style="405" customWidth="1"/>
    <col min="5" max="5" width="26.33203125" style="405" customWidth="1" outlineLevel="1"/>
    <col min="6" max="6" width="13.83203125" style="405" bestFit="1" customWidth="1"/>
    <col min="7" max="7" width="10" style="405" customWidth="1" outlineLevel="1"/>
    <col min="8" max="8" width="2.83203125" style="405" customWidth="1"/>
    <col min="9" max="11" width="16.33203125" style="405" customWidth="1"/>
    <col min="12" max="12" width="15.6640625" style="405" customWidth="1"/>
    <col min="13" max="13" width="2.83203125" style="405" customWidth="1"/>
    <col min="14" max="16" width="19.1640625" style="405" customWidth="1"/>
    <col min="17" max="17" width="2.83203125" style="405" customWidth="1"/>
    <col min="18" max="20" width="11.33203125" style="405" customWidth="1"/>
    <col min="21" max="22" width="11.33203125" style="405" customWidth="1" outlineLevel="1"/>
    <col min="23" max="23" width="2.83203125" style="405" customWidth="1"/>
    <col min="24" max="26" width="11.33203125" style="405" customWidth="1" outlineLevel="1"/>
    <col min="27" max="27" width="2.83203125" style="405" customWidth="1" outlineLevel="1"/>
    <col min="28" max="30" width="11.33203125" style="405" customWidth="1" outlineLevel="1"/>
    <col min="31" max="31" width="2.83203125" style="405" customWidth="1" outlineLevel="1"/>
    <col min="32" max="32" width="11.33203125" customWidth="1"/>
    <col min="33" max="33" width="2.83203125" customWidth="1"/>
    <col min="34" max="34" width="12.1640625" style="405" customWidth="1"/>
    <col min="35" max="35" width="11.6640625" style="405" customWidth="1"/>
    <col min="36" max="36" width="2.83203125" style="405" customWidth="1"/>
    <col min="37" max="37" width="24.6640625" style="405" customWidth="1"/>
    <col min="38" max="38" width="10.33203125" style="405" customWidth="1"/>
    <col min="39" max="16384" width="9.33203125" style="405"/>
  </cols>
  <sheetData>
    <row r="1" spans="2:39" ht="10.7" customHeight="1" thickBot="1">
      <c r="AF1" s="405"/>
      <c r="AG1" s="405"/>
    </row>
    <row r="2" spans="2:39" ht="16.5" customHeight="1" thickTop="1">
      <c r="B2" s="10" t="s">
        <v>577</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K2" s="303" t="s">
        <v>87</v>
      </c>
      <c r="AL2" s="304">
        <v>43281</v>
      </c>
    </row>
    <row r="3" spans="2:39" ht="15.75" customHeight="1">
      <c r="B3" s="11" t="s">
        <v>712</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K3" s="201" t="s">
        <v>398</v>
      </c>
      <c r="AL3" s="308" t="s">
        <v>400</v>
      </c>
    </row>
    <row r="4" spans="2:39" ht="16.5" customHeight="1" thickBot="1">
      <c r="B4" s="12" t="s">
        <v>641</v>
      </c>
      <c r="C4" s="12"/>
      <c r="D4" s="12"/>
      <c r="E4" s="12"/>
      <c r="F4" s="12"/>
      <c r="G4" s="12"/>
      <c r="H4" s="12"/>
      <c r="I4" s="12"/>
      <c r="J4" s="12"/>
      <c r="K4" s="12"/>
      <c r="L4" s="12"/>
      <c r="M4" s="12"/>
      <c r="N4" s="13"/>
      <c r="O4" s="13"/>
      <c r="P4" s="13"/>
      <c r="Q4" s="13" t="s">
        <v>88</v>
      </c>
      <c r="R4" s="13"/>
      <c r="S4" s="13"/>
      <c r="T4" s="13"/>
      <c r="U4" s="13"/>
      <c r="V4" s="13"/>
      <c r="W4" s="13"/>
      <c r="X4" s="13"/>
      <c r="Y4" s="13"/>
      <c r="Z4" s="13"/>
      <c r="AA4" s="13"/>
      <c r="AB4" s="13"/>
      <c r="AC4" s="13"/>
      <c r="AD4" s="13"/>
      <c r="AE4" s="13"/>
      <c r="AF4" s="13"/>
      <c r="AG4" s="13"/>
      <c r="AH4" s="13"/>
      <c r="AI4" s="13"/>
      <c r="AK4" s="201" t="s">
        <v>399</v>
      </c>
      <c r="AL4" s="308" t="s">
        <v>401</v>
      </c>
    </row>
    <row r="5" spans="2:39" s="16" customFormat="1" ht="12.75" customHeight="1" thickTop="1">
      <c r="B5" s="405"/>
      <c r="C5" s="405"/>
      <c r="D5" s="405"/>
      <c r="E5" s="405"/>
      <c r="F5" s="405"/>
      <c r="G5" s="405"/>
      <c r="H5" s="405"/>
      <c r="I5" s="405"/>
      <c r="J5" s="405"/>
      <c r="K5" s="405"/>
      <c r="L5" s="405"/>
      <c r="M5" s="405"/>
      <c r="N5" s="405"/>
      <c r="O5" s="405"/>
      <c r="P5" s="405"/>
      <c r="Q5" s="405"/>
      <c r="R5" s="405"/>
      <c r="S5" s="405"/>
      <c r="T5" s="405"/>
      <c r="U5" s="405"/>
      <c r="V5" s="405"/>
      <c r="W5" s="405"/>
      <c r="X5" s="405"/>
      <c r="Y5" s="405"/>
      <c r="Z5" s="405"/>
      <c r="AA5" s="405"/>
      <c r="AB5" s="405"/>
      <c r="AC5" s="405"/>
      <c r="AD5" s="405"/>
      <c r="AE5" s="405"/>
      <c r="AF5" s="405"/>
      <c r="AG5" s="405"/>
      <c r="AH5" s="405"/>
      <c r="AI5" s="405"/>
      <c r="AJ5" s="405"/>
      <c r="AK5" s="82" t="s">
        <v>89</v>
      </c>
      <c r="AL5" s="307" t="s">
        <v>90</v>
      </c>
    </row>
    <row r="6" spans="2:39" ht="12.75" customHeight="1">
      <c r="AF6" s="405"/>
      <c r="AG6" s="405"/>
    </row>
    <row r="7" spans="2:39" ht="12.75" customHeight="1">
      <c r="I7" s="35" t="s">
        <v>413</v>
      </c>
      <c r="J7" s="930"/>
      <c r="K7" s="930"/>
      <c r="L7" s="37"/>
      <c r="N7" s="35" t="s">
        <v>298</v>
      </c>
      <c r="O7" s="36"/>
      <c r="P7" s="37"/>
      <c r="R7" s="357" t="s">
        <v>297</v>
      </c>
      <c r="S7" s="364"/>
      <c r="T7" s="415"/>
      <c r="U7" s="364"/>
      <c r="V7" s="365"/>
      <c r="X7" s="35" t="s">
        <v>299</v>
      </c>
      <c r="Y7" s="36"/>
      <c r="Z7" s="37"/>
      <c r="AB7" s="35" t="s">
        <v>300</v>
      </c>
      <c r="AC7" s="36"/>
      <c r="AD7" s="37"/>
      <c r="AF7" s="3289" t="s">
        <v>514</v>
      </c>
      <c r="AG7" s="405"/>
      <c r="AH7" s="35" t="s">
        <v>303</v>
      </c>
      <c r="AI7" s="408"/>
    </row>
    <row r="8" spans="2:39" s="6" customFormat="1" ht="30.75" customHeight="1">
      <c r="B8" s="128" t="s">
        <v>292</v>
      </c>
      <c r="C8" s="126" t="s">
        <v>757</v>
      </c>
      <c r="D8" s="126" t="s">
        <v>293</v>
      </c>
      <c r="E8" s="126" t="s">
        <v>417</v>
      </c>
      <c r="F8" s="416" t="s">
        <v>294</v>
      </c>
      <c r="G8" s="127" t="s">
        <v>296</v>
      </c>
      <c r="I8" s="128" t="s">
        <v>145</v>
      </c>
      <c r="J8" s="978" t="s">
        <v>1397</v>
      </c>
      <c r="K8" s="978" t="s">
        <v>1398</v>
      </c>
      <c r="L8" s="127" t="s">
        <v>414</v>
      </c>
      <c r="M8" s="119"/>
      <c r="N8" s="128" t="s">
        <v>159</v>
      </c>
      <c r="O8" s="126" t="s">
        <v>165</v>
      </c>
      <c r="P8" s="127" t="s">
        <v>166</v>
      </c>
      <c r="R8" s="128" t="s">
        <v>159</v>
      </c>
      <c r="S8" s="126" t="s">
        <v>165</v>
      </c>
      <c r="T8" s="416" t="s">
        <v>166</v>
      </c>
      <c r="U8" s="126" t="s">
        <v>415</v>
      </c>
      <c r="V8" s="127" t="s">
        <v>416</v>
      </c>
      <c r="X8" s="128" t="s">
        <v>159</v>
      </c>
      <c r="Y8" s="126" t="s">
        <v>165</v>
      </c>
      <c r="Z8" s="127" t="s">
        <v>166</v>
      </c>
      <c r="AB8" s="128" t="s">
        <v>159</v>
      </c>
      <c r="AC8" s="126" t="s">
        <v>165</v>
      </c>
      <c r="AD8" s="127" t="s">
        <v>166</v>
      </c>
      <c r="AF8" s="3290"/>
      <c r="AH8" s="108" t="s">
        <v>301</v>
      </c>
      <c r="AI8" s="114" t="s">
        <v>302</v>
      </c>
      <c r="AK8" s="528" t="s">
        <v>295</v>
      </c>
    </row>
    <row r="9" spans="2:39" ht="12.75" customHeight="1">
      <c r="AF9" s="405"/>
      <c r="AG9" s="405"/>
    </row>
    <row r="10" spans="2:39" s="506" customFormat="1" ht="12.75" customHeight="1">
      <c r="B10" s="508">
        <v>43308</v>
      </c>
      <c r="C10" s="506" t="s">
        <v>4028</v>
      </c>
      <c r="D10" s="506" t="s">
        <v>4029</v>
      </c>
      <c r="E10" s="506" t="s">
        <v>2171</v>
      </c>
      <c r="F10" s="514">
        <v>1</v>
      </c>
      <c r="G10" s="1738" t="s">
        <v>713</v>
      </c>
      <c r="I10" s="1739">
        <v>73.5</v>
      </c>
      <c r="J10" s="1739">
        <v>73.5</v>
      </c>
      <c r="K10" s="1739" t="s">
        <v>13</v>
      </c>
      <c r="L10" s="1739">
        <v>73.5</v>
      </c>
      <c r="M10" s="509"/>
      <c r="N10" s="1739" t="s">
        <v>13</v>
      </c>
      <c r="O10" s="1739" t="s">
        <v>13</v>
      </c>
      <c r="P10" s="1739" t="s">
        <v>13</v>
      </c>
      <c r="Q10" s="509"/>
      <c r="R10" s="510" t="s">
        <v>13</v>
      </c>
      <c r="S10" s="510" t="s">
        <v>13</v>
      </c>
      <c r="T10" s="510" t="s">
        <v>13</v>
      </c>
      <c r="U10" s="510" t="s">
        <v>13</v>
      </c>
      <c r="V10" s="510" t="s">
        <v>13</v>
      </c>
      <c r="W10" s="509"/>
      <c r="X10" s="1739" t="s">
        <v>13</v>
      </c>
      <c r="Y10" s="1739" t="s">
        <v>13</v>
      </c>
      <c r="Z10" s="1739" t="s">
        <v>13</v>
      </c>
      <c r="AA10" s="509"/>
      <c r="AB10" s="510" t="s">
        <v>13</v>
      </c>
      <c r="AC10" s="510" t="s">
        <v>13</v>
      </c>
      <c r="AD10" s="510" t="s">
        <v>13</v>
      </c>
      <c r="AF10" s="510"/>
      <c r="AG10" s="509"/>
      <c r="AH10" s="1740" t="s">
        <v>686</v>
      </c>
      <c r="AI10" s="1740" t="s">
        <v>686</v>
      </c>
      <c r="AK10" s="511" t="s">
        <v>4030</v>
      </c>
      <c r="AL10" s="506" t="s">
        <v>4031</v>
      </c>
      <c r="AM10" s="506" t="s">
        <v>4032</v>
      </c>
    </row>
    <row r="11" spans="2:39" s="149" customFormat="1" ht="12.75" customHeight="1">
      <c r="B11" s="148">
        <v>43088</v>
      </c>
      <c r="C11" s="149" t="s">
        <v>2167</v>
      </c>
      <c r="D11" s="149" t="s">
        <v>2168</v>
      </c>
      <c r="E11" s="149" t="s">
        <v>718</v>
      </c>
      <c r="F11" s="150">
        <v>1</v>
      </c>
      <c r="G11" s="151" t="s">
        <v>713</v>
      </c>
      <c r="I11" s="152" t="s">
        <v>13</v>
      </c>
      <c r="J11" s="152">
        <v>0</v>
      </c>
      <c r="K11" s="152" t="s">
        <v>13</v>
      </c>
      <c r="L11" s="152" t="s">
        <v>13</v>
      </c>
      <c r="M11" s="153"/>
      <c r="N11" s="152" t="s">
        <v>13</v>
      </c>
      <c r="O11" s="152" t="s">
        <v>13</v>
      </c>
      <c r="P11" s="152" t="s">
        <v>13</v>
      </c>
      <c r="Q11" s="153"/>
      <c r="R11" s="154" t="s">
        <v>13</v>
      </c>
      <c r="S11" s="154" t="s">
        <v>13</v>
      </c>
      <c r="T11" s="154" t="s">
        <v>13</v>
      </c>
      <c r="U11" s="154" t="s">
        <v>13</v>
      </c>
      <c r="V11" s="154" t="s">
        <v>13</v>
      </c>
      <c r="W11" s="153"/>
      <c r="X11" s="152" t="s">
        <v>13</v>
      </c>
      <c r="Y11" s="152" t="s">
        <v>13</v>
      </c>
      <c r="Z11" s="152" t="s">
        <v>13</v>
      </c>
      <c r="AA11" s="153"/>
      <c r="AB11" s="154" t="s">
        <v>13</v>
      </c>
      <c r="AC11" s="154" t="s">
        <v>13</v>
      </c>
      <c r="AD11" s="154" t="s">
        <v>13</v>
      </c>
      <c r="AF11" s="154"/>
      <c r="AG11" s="153"/>
      <c r="AH11" s="155" t="s">
        <v>686</v>
      </c>
      <c r="AI11" s="155" t="s">
        <v>686</v>
      </c>
      <c r="AK11" s="325" t="s">
        <v>2199</v>
      </c>
      <c r="AL11" s="149" t="s">
        <v>2200</v>
      </c>
      <c r="AM11" s="149" t="s">
        <v>2201</v>
      </c>
    </row>
    <row r="12" spans="2:39" s="149" customFormat="1" ht="12.75" customHeight="1">
      <c r="B12" s="148">
        <v>43031</v>
      </c>
      <c r="C12" s="149" t="s">
        <v>2169</v>
      </c>
      <c r="D12" s="149" t="s">
        <v>2170</v>
      </c>
      <c r="E12" s="149" t="s">
        <v>2171</v>
      </c>
      <c r="F12" s="150">
        <v>1</v>
      </c>
      <c r="G12" s="151" t="s">
        <v>713</v>
      </c>
      <c r="I12" s="152" t="s">
        <v>13</v>
      </c>
      <c r="J12" s="152">
        <v>0</v>
      </c>
      <c r="K12" s="152" t="s">
        <v>13</v>
      </c>
      <c r="L12" s="152" t="s">
        <v>13</v>
      </c>
      <c r="M12" s="153"/>
      <c r="N12" s="152" t="s">
        <v>13</v>
      </c>
      <c r="O12" s="152" t="s">
        <v>13</v>
      </c>
      <c r="P12" s="152" t="s">
        <v>13</v>
      </c>
      <c r="Q12" s="153"/>
      <c r="R12" s="154" t="s">
        <v>13</v>
      </c>
      <c r="S12" s="154" t="s">
        <v>13</v>
      </c>
      <c r="T12" s="154" t="s">
        <v>13</v>
      </c>
      <c r="U12" s="154" t="s">
        <v>13</v>
      </c>
      <c r="V12" s="154" t="s">
        <v>13</v>
      </c>
      <c r="W12" s="153"/>
      <c r="X12" s="152" t="s">
        <v>13</v>
      </c>
      <c r="Y12" s="152" t="s">
        <v>13</v>
      </c>
      <c r="Z12" s="152" t="s">
        <v>13</v>
      </c>
      <c r="AA12" s="153"/>
      <c r="AB12" s="154" t="s">
        <v>13</v>
      </c>
      <c r="AC12" s="154" t="s">
        <v>13</v>
      </c>
      <c r="AD12" s="154" t="s">
        <v>13</v>
      </c>
      <c r="AF12" s="154"/>
      <c r="AG12" s="153"/>
      <c r="AH12" s="155" t="s">
        <v>686</v>
      </c>
      <c r="AI12" s="155" t="s">
        <v>686</v>
      </c>
      <c r="AK12" s="325" t="s">
        <v>2202</v>
      </c>
      <c r="AL12" s="149" t="s">
        <v>2203</v>
      </c>
      <c r="AM12" s="149" t="s">
        <v>2204</v>
      </c>
    </row>
    <row r="13" spans="2:39" s="149" customFormat="1" ht="12.75" customHeight="1">
      <c r="B13" s="148">
        <v>42748</v>
      </c>
      <c r="C13" s="149" t="s">
        <v>2172</v>
      </c>
      <c r="D13" s="149" t="s">
        <v>2173</v>
      </c>
      <c r="E13" s="149" t="s">
        <v>718</v>
      </c>
      <c r="F13" s="150">
        <v>1</v>
      </c>
      <c r="G13" s="151" t="s">
        <v>713</v>
      </c>
      <c r="I13" s="152">
        <v>38.678359999999998</v>
      </c>
      <c r="J13" s="152">
        <v>56.641860000000001</v>
      </c>
      <c r="K13" s="152" t="s">
        <v>13</v>
      </c>
      <c r="L13" s="152">
        <v>56.641860000000001</v>
      </c>
      <c r="M13" s="153"/>
      <c r="N13" s="152">
        <v>1.12608</v>
      </c>
      <c r="O13" s="152" t="s">
        <v>13</v>
      </c>
      <c r="P13" s="152" t="s">
        <v>13</v>
      </c>
      <c r="Q13" s="153"/>
      <c r="R13" s="154">
        <v>34.347790565501562</v>
      </c>
      <c r="S13" s="154" t="s">
        <v>13</v>
      </c>
      <c r="T13" s="154" t="s">
        <v>13</v>
      </c>
      <c r="U13" s="154" t="s">
        <v>13</v>
      </c>
      <c r="V13" s="154" t="s">
        <v>686</v>
      </c>
      <c r="W13" s="153"/>
      <c r="X13" s="152" t="s">
        <v>13</v>
      </c>
      <c r="Y13" s="152" t="s">
        <v>13</v>
      </c>
      <c r="Z13" s="152" t="s">
        <v>13</v>
      </c>
      <c r="AA13" s="153"/>
      <c r="AB13" s="154" t="s">
        <v>13</v>
      </c>
      <c r="AC13" s="154" t="s">
        <v>13</v>
      </c>
      <c r="AD13" s="154" t="s">
        <v>13</v>
      </c>
      <c r="AF13" s="154"/>
      <c r="AG13" s="153"/>
      <c r="AH13" s="155" t="s">
        <v>686</v>
      </c>
      <c r="AI13" s="155" t="s">
        <v>686</v>
      </c>
      <c r="AK13" s="478" t="s">
        <v>2205</v>
      </c>
      <c r="AL13" s="149" t="s">
        <v>2206</v>
      </c>
      <c r="AM13" s="149" t="s">
        <v>2207</v>
      </c>
    </row>
    <row r="14" spans="2:39" s="149" customFormat="1" ht="12.75" customHeight="1">
      <c r="B14" s="148">
        <v>42667</v>
      </c>
      <c r="C14" s="149" t="s">
        <v>2174</v>
      </c>
      <c r="D14" s="149" t="s">
        <v>2175</v>
      </c>
      <c r="E14" s="149" t="s">
        <v>718</v>
      </c>
      <c r="F14" s="150">
        <v>0.90961969999999992</v>
      </c>
      <c r="G14" s="151" t="s">
        <v>713</v>
      </c>
      <c r="I14" s="152">
        <v>528.23937000000001</v>
      </c>
      <c r="J14" s="152">
        <v>550.93940999999995</v>
      </c>
      <c r="K14" s="152" t="s">
        <v>13</v>
      </c>
      <c r="L14" s="152">
        <v>550.93940999999995</v>
      </c>
      <c r="M14" s="153"/>
      <c r="N14" s="152">
        <v>0.32246999999999998</v>
      </c>
      <c r="O14" s="152">
        <v>-45.344230000000003</v>
      </c>
      <c r="P14" s="152">
        <v>-45.57047</v>
      </c>
      <c r="Q14" s="153"/>
      <c r="R14" s="154">
        <v>1638.1039166434089</v>
      </c>
      <c r="S14" s="154">
        <v>-11.649538871869694</v>
      </c>
      <c r="T14" s="154">
        <v>-11.591703355264933</v>
      </c>
      <c r="U14" s="154">
        <v>8.2933599999999998</v>
      </c>
      <c r="V14" s="154" t="s">
        <v>686</v>
      </c>
      <c r="W14" s="153"/>
      <c r="X14" s="152">
        <v>0.13450000000000001</v>
      </c>
      <c r="Y14" s="152" t="s">
        <v>13</v>
      </c>
      <c r="Z14" s="152" t="s">
        <v>686</v>
      </c>
      <c r="AA14" s="153"/>
      <c r="AB14" s="154">
        <v>3927.4302602230482</v>
      </c>
      <c r="AC14" s="154" t="s">
        <v>13</v>
      </c>
      <c r="AD14" s="154" t="s">
        <v>13</v>
      </c>
      <c r="AF14" s="154"/>
      <c r="AG14" s="153"/>
      <c r="AH14" s="155">
        <v>1.634881</v>
      </c>
      <c r="AI14" s="155">
        <v>1.3918000000000001</v>
      </c>
      <c r="AK14" s="478" t="s">
        <v>2208</v>
      </c>
      <c r="AL14" s="149" t="s">
        <v>2209</v>
      </c>
      <c r="AM14" s="149" t="s">
        <v>2210</v>
      </c>
    </row>
    <row r="15" spans="2:39" s="149" customFormat="1" ht="12.75" customHeight="1">
      <c r="B15" s="148">
        <v>42613</v>
      </c>
      <c r="C15" s="149" t="s">
        <v>2176</v>
      </c>
      <c r="D15" s="149" t="s">
        <v>2177</v>
      </c>
      <c r="E15" s="149" t="s">
        <v>2171</v>
      </c>
      <c r="F15" s="150">
        <v>1</v>
      </c>
      <c r="G15" s="151" t="s">
        <v>713</v>
      </c>
      <c r="I15" s="152">
        <v>1432.2870800000001</v>
      </c>
      <c r="J15" s="152">
        <v>1468.1658600000001</v>
      </c>
      <c r="K15" s="152" t="s">
        <v>13</v>
      </c>
      <c r="L15" s="152">
        <v>1690.0130799999999</v>
      </c>
      <c r="M15" s="153"/>
      <c r="N15" s="152">
        <v>36.152999999999999</v>
      </c>
      <c r="O15" s="152">
        <v>-228.55799999999999</v>
      </c>
      <c r="P15" s="152">
        <v>-230.08199999999999</v>
      </c>
      <c r="Q15" s="153"/>
      <c r="R15" s="154">
        <v>39.617378364174485</v>
      </c>
      <c r="S15" s="154">
        <v>-6.2666241391681767</v>
      </c>
      <c r="T15" s="154">
        <v>-6.2251157413443909</v>
      </c>
      <c r="U15" s="154">
        <v>13.23626</v>
      </c>
      <c r="V15" s="154" t="s">
        <v>686</v>
      </c>
      <c r="W15" s="153"/>
      <c r="X15" s="152">
        <v>32.769599999999997</v>
      </c>
      <c r="Y15" s="152">
        <v>-245.57089999999999</v>
      </c>
      <c r="Z15" s="152" t="s">
        <v>686</v>
      </c>
      <c r="AA15" s="153"/>
      <c r="AB15" s="154">
        <v>43.707798691470146</v>
      </c>
      <c r="AC15" s="154">
        <v>-5.8324788482674457</v>
      </c>
      <c r="AD15" s="154" t="s">
        <v>13</v>
      </c>
      <c r="AF15" s="154"/>
      <c r="AG15" s="153"/>
      <c r="AH15" s="155">
        <v>0.60561999999999994</v>
      </c>
      <c r="AI15" s="155">
        <v>0.88235299999999994</v>
      </c>
      <c r="AK15" s="478" t="s">
        <v>2211</v>
      </c>
      <c r="AL15" s="149" t="s">
        <v>2212</v>
      </c>
      <c r="AM15" s="149" t="s">
        <v>2213</v>
      </c>
    </row>
    <row r="16" spans="2:39" s="149" customFormat="1" ht="12.75" customHeight="1">
      <c r="B16" s="148">
        <v>42613</v>
      </c>
      <c r="C16" s="149" t="s">
        <v>2178</v>
      </c>
      <c r="D16" s="149" t="s">
        <v>2179</v>
      </c>
      <c r="E16" s="149" t="s">
        <v>718</v>
      </c>
      <c r="F16" s="150">
        <v>1</v>
      </c>
      <c r="G16" s="151" t="s">
        <v>713</v>
      </c>
      <c r="I16" s="152">
        <v>41.130989999999997</v>
      </c>
      <c r="J16" s="152">
        <v>59.806919999999998</v>
      </c>
      <c r="K16" s="152" t="s">
        <v>13</v>
      </c>
      <c r="L16" s="152">
        <v>59.806919999999998</v>
      </c>
      <c r="M16" s="153"/>
      <c r="N16" s="152" t="s">
        <v>13</v>
      </c>
      <c r="O16" s="152">
        <v>-19.4024</v>
      </c>
      <c r="P16" s="152">
        <v>-19.957249999999998</v>
      </c>
      <c r="Q16" s="153"/>
      <c r="R16" s="154" t="s">
        <v>13</v>
      </c>
      <c r="S16" s="154">
        <v>-2.119891869047128</v>
      </c>
      <c r="T16" s="154">
        <v>-2.0609547908654751</v>
      </c>
      <c r="U16" s="154">
        <v>2.87737</v>
      </c>
      <c r="V16" s="154" t="s">
        <v>686</v>
      </c>
      <c r="W16" s="153"/>
      <c r="X16" s="152" t="s">
        <v>13</v>
      </c>
      <c r="Y16" s="152">
        <v>-11.43661</v>
      </c>
      <c r="Z16" s="152" t="s">
        <v>686</v>
      </c>
      <c r="AA16" s="153"/>
      <c r="AB16" s="154" t="s">
        <v>13</v>
      </c>
      <c r="AC16" s="154">
        <v>-3.5964319846527948</v>
      </c>
      <c r="AD16" s="154" t="s">
        <v>13</v>
      </c>
      <c r="AF16" s="154"/>
      <c r="AG16" s="153"/>
      <c r="AH16" s="155">
        <v>1.041612</v>
      </c>
      <c r="AI16" s="155">
        <v>0.92382599999999993</v>
      </c>
      <c r="AK16" s="478" t="s">
        <v>2214</v>
      </c>
      <c r="AL16" s="149" t="s">
        <v>2215</v>
      </c>
      <c r="AM16" s="149" t="s">
        <v>2216</v>
      </c>
    </row>
    <row r="17" spans="2:39" s="149" customFormat="1" ht="12.75" customHeight="1">
      <c r="B17" s="148">
        <v>42583</v>
      </c>
      <c r="C17" s="149" t="s">
        <v>851</v>
      </c>
      <c r="D17" s="149" t="s">
        <v>2180</v>
      </c>
      <c r="E17" s="149" t="s">
        <v>2171</v>
      </c>
      <c r="F17" s="150">
        <v>0.78</v>
      </c>
      <c r="G17" s="151" t="s">
        <v>713</v>
      </c>
      <c r="I17" s="152">
        <v>687.30768999999998</v>
      </c>
      <c r="J17" s="152">
        <v>150</v>
      </c>
      <c r="K17" s="152">
        <v>495</v>
      </c>
      <c r="L17" s="152">
        <v>645</v>
      </c>
      <c r="M17" s="153"/>
      <c r="N17" s="152" t="s">
        <v>13</v>
      </c>
      <c r="O17" s="152" t="s">
        <v>13</v>
      </c>
      <c r="P17" s="152" t="s">
        <v>13</v>
      </c>
      <c r="Q17" s="153"/>
      <c r="R17" s="154" t="s">
        <v>13</v>
      </c>
      <c r="S17" s="154" t="s">
        <v>13</v>
      </c>
      <c r="T17" s="154" t="s">
        <v>13</v>
      </c>
      <c r="U17" s="154" t="s">
        <v>13</v>
      </c>
      <c r="V17" s="154" t="s">
        <v>13</v>
      </c>
      <c r="W17" s="153"/>
      <c r="X17" s="152" t="s">
        <v>13</v>
      </c>
      <c r="Y17" s="152" t="s">
        <v>13</v>
      </c>
      <c r="Z17" s="152" t="s">
        <v>13</v>
      </c>
      <c r="AA17" s="153"/>
      <c r="AB17" s="154" t="s">
        <v>13</v>
      </c>
      <c r="AC17" s="154" t="s">
        <v>13</v>
      </c>
      <c r="AD17" s="154" t="s">
        <v>13</v>
      </c>
      <c r="AF17" s="154"/>
      <c r="AG17" s="153"/>
      <c r="AH17" s="155" t="s">
        <v>686</v>
      </c>
      <c r="AI17" s="155" t="s">
        <v>686</v>
      </c>
      <c r="AK17" s="478" t="s">
        <v>2217</v>
      </c>
      <c r="AL17" s="149" t="s">
        <v>2218</v>
      </c>
      <c r="AM17" s="149" t="s">
        <v>2219</v>
      </c>
    </row>
    <row r="18" spans="2:39" s="149" customFormat="1" ht="12.75" customHeight="1">
      <c r="B18" s="148">
        <v>42563</v>
      </c>
      <c r="C18" s="149" t="s">
        <v>2181</v>
      </c>
      <c r="D18" s="149" t="s">
        <v>2182</v>
      </c>
      <c r="E18" s="149" t="s">
        <v>718</v>
      </c>
      <c r="F18" s="150">
        <v>1</v>
      </c>
      <c r="G18" s="151" t="s">
        <v>713</v>
      </c>
      <c r="I18" s="152" t="s">
        <v>13</v>
      </c>
      <c r="J18" s="152">
        <v>0</v>
      </c>
      <c r="K18" s="152" t="s">
        <v>13</v>
      </c>
      <c r="L18" s="152" t="s">
        <v>13</v>
      </c>
      <c r="M18" s="153"/>
      <c r="N18" s="152" t="s">
        <v>13</v>
      </c>
      <c r="O18" s="152" t="s">
        <v>13</v>
      </c>
      <c r="P18" s="152" t="s">
        <v>13</v>
      </c>
      <c r="Q18" s="153"/>
      <c r="R18" s="154" t="s">
        <v>13</v>
      </c>
      <c r="S18" s="154" t="s">
        <v>13</v>
      </c>
      <c r="T18" s="154" t="s">
        <v>13</v>
      </c>
      <c r="U18" s="154" t="s">
        <v>13</v>
      </c>
      <c r="V18" s="154" t="s">
        <v>13</v>
      </c>
      <c r="W18" s="153"/>
      <c r="X18" s="152" t="s">
        <v>13</v>
      </c>
      <c r="Y18" s="152" t="s">
        <v>13</v>
      </c>
      <c r="Z18" s="152" t="s">
        <v>13</v>
      </c>
      <c r="AA18" s="153"/>
      <c r="AB18" s="154" t="s">
        <v>13</v>
      </c>
      <c r="AC18" s="154" t="s">
        <v>13</v>
      </c>
      <c r="AD18" s="154" t="s">
        <v>13</v>
      </c>
      <c r="AF18" s="154"/>
      <c r="AG18" s="153"/>
      <c r="AH18" s="155" t="s">
        <v>686</v>
      </c>
      <c r="AI18" s="155" t="s">
        <v>686</v>
      </c>
      <c r="AK18" s="478" t="s">
        <v>2220</v>
      </c>
      <c r="AL18" s="149" t="s">
        <v>2221</v>
      </c>
      <c r="AM18" s="149" t="s">
        <v>4033</v>
      </c>
    </row>
    <row r="19" spans="2:39" s="149" customFormat="1" ht="12.75" customHeight="1">
      <c r="B19" s="148">
        <v>42530</v>
      </c>
      <c r="C19" s="149" t="s">
        <v>2183</v>
      </c>
      <c r="D19" s="149" t="s">
        <v>2184</v>
      </c>
      <c r="E19" s="149" t="s">
        <v>2171</v>
      </c>
      <c r="F19" s="150">
        <v>1</v>
      </c>
      <c r="G19" s="151" t="s">
        <v>713</v>
      </c>
      <c r="I19" s="152" t="s">
        <v>13</v>
      </c>
      <c r="J19" s="152">
        <v>0</v>
      </c>
      <c r="K19" s="152" t="s">
        <v>13</v>
      </c>
      <c r="L19" s="152" t="s">
        <v>13</v>
      </c>
      <c r="M19" s="153"/>
      <c r="N19" s="152" t="s">
        <v>13</v>
      </c>
      <c r="O19" s="152" t="s">
        <v>13</v>
      </c>
      <c r="P19" s="152">
        <v>-2.8979999999999999E-2</v>
      </c>
      <c r="Q19" s="153"/>
      <c r="R19" s="154" t="s">
        <v>13</v>
      </c>
      <c r="S19" s="154" t="s">
        <v>13</v>
      </c>
      <c r="T19" s="154" t="s">
        <v>13</v>
      </c>
      <c r="U19" s="154" t="s">
        <v>13</v>
      </c>
      <c r="V19" s="154" t="s">
        <v>13</v>
      </c>
      <c r="W19" s="153"/>
      <c r="X19" s="152" t="s">
        <v>13</v>
      </c>
      <c r="Y19" s="152" t="s">
        <v>13</v>
      </c>
      <c r="Z19" s="152" t="s">
        <v>13</v>
      </c>
      <c r="AA19" s="153"/>
      <c r="AB19" s="154" t="s">
        <v>13</v>
      </c>
      <c r="AC19" s="154" t="s">
        <v>13</v>
      </c>
      <c r="AD19" s="154" t="s">
        <v>13</v>
      </c>
      <c r="AF19" s="154"/>
      <c r="AG19" s="153"/>
      <c r="AH19" s="155" t="s">
        <v>686</v>
      </c>
      <c r="AI19" s="155" t="s">
        <v>686</v>
      </c>
      <c r="AK19" s="478" t="s">
        <v>2222</v>
      </c>
      <c r="AL19" s="149" t="s">
        <v>2223</v>
      </c>
      <c r="AM19" s="149" t="s">
        <v>4034</v>
      </c>
    </row>
    <row r="20" spans="2:39" s="149" customFormat="1" ht="12.75" customHeight="1">
      <c r="B20" s="148">
        <v>42478</v>
      </c>
      <c r="C20" s="149" t="s">
        <v>2185</v>
      </c>
      <c r="D20" s="149" t="s">
        <v>2186</v>
      </c>
      <c r="E20" s="149" t="s">
        <v>718</v>
      </c>
      <c r="F20" s="150">
        <v>1</v>
      </c>
      <c r="G20" s="151" t="s">
        <v>713</v>
      </c>
      <c r="I20" s="152">
        <v>277.68808999999999</v>
      </c>
      <c r="J20" s="152">
        <v>315.01560000000001</v>
      </c>
      <c r="K20" s="152" t="s">
        <v>13</v>
      </c>
      <c r="L20" s="152">
        <v>341.63574</v>
      </c>
      <c r="M20" s="153"/>
      <c r="N20" s="152">
        <v>4.0726000000000004</v>
      </c>
      <c r="O20" s="152">
        <v>-31.66621</v>
      </c>
      <c r="P20" s="152">
        <v>-31.935469999999999</v>
      </c>
      <c r="Q20" s="153"/>
      <c r="R20" s="154">
        <v>68.184474291607316</v>
      </c>
      <c r="S20" s="154">
        <v>-8.7692240403887922</v>
      </c>
      <c r="T20" s="154">
        <v>-8.6952874030036202</v>
      </c>
      <c r="U20" s="154">
        <v>2.7334399999999999</v>
      </c>
      <c r="V20" s="154" t="s">
        <v>686</v>
      </c>
      <c r="W20" s="153"/>
      <c r="X20" s="152">
        <v>8.5010100000000008</v>
      </c>
      <c r="Y20" s="152">
        <v>-32.854849999999999</v>
      </c>
      <c r="Z20" s="152" t="s">
        <v>686</v>
      </c>
      <c r="AA20" s="153"/>
      <c r="AB20" s="154">
        <v>32.665305651916647</v>
      </c>
      <c r="AC20" s="154">
        <v>-8.4519664524415727</v>
      </c>
      <c r="AD20" s="154" t="s">
        <v>13</v>
      </c>
      <c r="AF20" s="154"/>
      <c r="AG20" s="153"/>
      <c r="AH20" s="155">
        <v>1.9670570000000001</v>
      </c>
      <c r="AI20" s="155">
        <v>1.9121109999999999</v>
      </c>
      <c r="AK20" s="478" t="s">
        <v>2224</v>
      </c>
      <c r="AL20" s="149" t="s">
        <v>2225</v>
      </c>
      <c r="AM20" s="149" t="s">
        <v>4035</v>
      </c>
    </row>
    <row r="21" spans="2:39" s="149" customFormat="1" ht="12.75" customHeight="1">
      <c r="B21" s="148">
        <v>42410</v>
      </c>
      <c r="C21" s="149" t="s">
        <v>2187</v>
      </c>
      <c r="D21" s="149" t="s">
        <v>2188</v>
      </c>
      <c r="E21" s="149" t="s">
        <v>718</v>
      </c>
      <c r="F21" s="150">
        <v>1</v>
      </c>
      <c r="G21" s="151" t="s">
        <v>713</v>
      </c>
      <c r="I21" s="152">
        <v>15.418100000000001</v>
      </c>
      <c r="J21" s="152">
        <v>4.4879499999999997</v>
      </c>
      <c r="K21" s="152">
        <v>10.930149999999999</v>
      </c>
      <c r="L21" s="152">
        <v>15.418100000000001</v>
      </c>
      <c r="M21" s="153"/>
      <c r="N21" s="152" t="s">
        <v>13</v>
      </c>
      <c r="O21" s="152" t="s">
        <v>13</v>
      </c>
      <c r="P21" s="152" t="s">
        <v>13</v>
      </c>
      <c r="Q21" s="153"/>
      <c r="R21" s="154" t="s">
        <v>13</v>
      </c>
      <c r="S21" s="154" t="s">
        <v>13</v>
      </c>
      <c r="T21" s="154" t="s">
        <v>13</v>
      </c>
      <c r="U21" s="154" t="s">
        <v>13</v>
      </c>
      <c r="V21" s="154" t="s">
        <v>13</v>
      </c>
      <c r="W21" s="153"/>
      <c r="X21" s="152" t="s">
        <v>13</v>
      </c>
      <c r="Y21" s="152" t="s">
        <v>13</v>
      </c>
      <c r="Z21" s="152" t="s">
        <v>13</v>
      </c>
      <c r="AA21" s="153"/>
      <c r="AB21" s="154" t="s">
        <v>13</v>
      </c>
      <c r="AC21" s="154" t="s">
        <v>13</v>
      </c>
      <c r="AD21" s="154" t="s">
        <v>13</v>
      </c>
      <c r="AF21" s="154"/>
      <c r="AG21" s="153"/>
      <c r="AH21" s="155" t="s">
        <v>686</v>
      </c>
      <c r="AI21" s="155" t="s">
        <v>686</v>
      </c>
      <c r="AK21" s="478" t="s">
        <v>2226</v>
      </c>
      <c r="AL21" s="149" t="s">
        <v>2227</v>
      </c>
      <c r="AM21" s="149" t="s">
        <v>4036</v>
      </c>
    </row>
    <row r="22" spans="2:39" s="149" customFormat="1" ht="12.75" customHeight="1">
      <c r="B22" s="148">
        <v>42404</v>
      </c>
      <c r="C22" s="149" t="s">
        <v>2189</v>
      </c>
      <c r="D22" s="149" t="s">
        <v>2190</v>
      </c>
      <c r="E22" s="149" t="s">
        <v>2171</v>
      </c>
      <c r="F22" s="150">
        <v>1</v>
      </c>
      <c r="G22" s="151" t="s">
        <v>713</v>
      </c>
      <c r="I22" s="152" t="s">
        <v>13</v>
      </c>
      <c r="J22" s="152">
        <v>0</v>
      </c>
      <c r="K22" s="152" t="s">
        <v>13</v>
      </c>
      <c r="L22" s="152" t="s">
        <v>13</v>
      </c>
      <c r="M22" s="153"/>
      <c r="N22" s="152" t="s">
        <v>13</v>
      </c>
      <c r="O22" s="152" t="s">
        <v>13</v>
      </c>
      <c r="P22" s="152" t="s">
        <v>13</v>
      </c>
      <c r="Q22" s="153"/>
      <c r="R22" s="154" t="s">
        <v>13</v>
      </c>
      <c r="S22" s="154" t="s">
        <v>13</v>
      </c>
      <c r="T22" s="154" t="s">
        <v>13</v>
      </c>
      <c r="U22" s="154" t="s">
        <v>13</v>
      </c>
      <c r="V22" s="154" t="s">
        <v>13</v>
      </c>
      <c r="W22" s="153"/>
      <c r="X22" s="152" t="s">
        <v>13</v>
      </c>
      <c r="Y22" s="152" t="s">
        <v>13</v>
      </c>
      <c r="Z22" s="152" t="s">
        <v>13</v>
      </c>
      <c r="AA22" s="153"/>
      <c r="AB22" s="154" t="s">
        <v>13</v>
      </c>
      <c r="AC22" s="154" t="s">
        <v>13</v>
      </c>
      <c r="AD22" s="154" t="s">
        <v>13</v>
      </c>
      <c r="AF22" s="154"/>
      <c r="AG22" s="153"/>
      <c r="AH22" s="155" t="s">
        <v>686</v>
      </c>
      <c r="AI22" s="155" t="s">
        <v>686</v>
      </c>
      <c r="AK22" s="478" t="s">
        <v>2228</v>
      </c>
      <c r="AL22" s="149" t="s">
        <v>2229</v>
      </c>
      <c r="AM22" s="149" t="s">
        <v>4037</v>
      </c>
    </row>
    <row r="23" spans="2:39" s="149" customFormat="1" ht="12.75" customHeight="1">
      <c r="B23" s="148">
        <v>42307</v>
      </c>
      <c r="C23" s="149" t="s">
        <v>857</v>
      </c>
      <c r="D23" s="149" t="s">
        <v>2191</v>
      </c>
      <c r="E23" s="149" t="s">
        <v>718</v>
      </c>
      <c r="F23" s="150">
        <v>1</v>
      </c>
      <c r="G23" s="151" t="s">
        <v>713</v>
      </c>
      <c r="I23" s="152" t="s">
        <v>13</v>
      </c>
      <c r="J23" s="152">
        <v>0</v>
      </c>
      <c r="K23" s="152" t="s">
        <v>13</v>
      </c>
      <c r="L23" s="152" t="s">
        <v>13</v>
      </c>
      <c r="M23" s="153"/>
      <c r="N23" s="152" t="s">
        <v>13</v>
      </c>
      <c r="O23" s="152" t="s">
        <v>13</v>
      </c>
      <c r="P23" s="152" t="s">
        <v>13</v>
      </c>
      <c r="Q23" s="153"/>
      <c r="R23" s="154" t="s">
        <v>13</v>
      </c>
      <c r="S23" s="154" t="s">
        <v>13</v>
      </c>
      <c r="T23" s="154" t="s">
        <v>13</v>
      </c>
      <c r="U23" s="154" t="s">
        <v>13</v>
      </c>
      <c r="V23" s="154" t="s">
        <v>13</v>
      </c>
      <c r="W23" s="153"/>
      <c r="X23" s="152" t="s">
        <v>13</v>
      </c>
      <c r="Y23" s="152" t="s">
        <v>13</v>
      </c>
      <c r="Z23" s="152" t="s">
        <v>13</v>
      </c>
      <c r="AA23" s="153"/>
      <c r="AB23" s="154" t="s">
        <v>13</v>
      </c>
      <c r="AC23" s="154" t="s">
        <v>13</v>
      </c>
      <c r="AD23" s="154" t="s">
        <v>13</v>
      </c>
      <c r="AF23" s="154"/>
      <c r="AG23" s="153"/>
      <c r="AH23" s="155" t="s">
        <v>686</v>
      </c>
      <c r="AI23" s="155" t="s">
        <v>686</v>
      </c>
      <c r="AK23" s="478" t="s">
        <v>2230</v>
      </c>
      <c r="AL23" s="149" t="s">
        <v>2231</v>
      </c>
      <c r="AM23" s="149" t="s">
        <v>4038</v>
      </c>
    </row>
    <row r="24" spans="2:39" s="149" customFormat="1" ht="12.75" customHeight="1">
      <c r="B24" s="148">
        <v>42016</v>
      </c>
      <c r="C24" s="149" t="s">
        <v>2192</v>
      </c>
      <c r="D24" s="149" t="s">
        <v>2193</v>
      </c>
      <c r="E24" s="149" t="s">
        <v>2171</v>
      </c>
      <c r="F24" s="150">
        <v>1</v>
      </c>
      <c r="G24" s="151" t="s">
        <v>713</v>
      </c>
      <c r="I24" s="152">
        <v>3192.10014</v>
      </c>
      <c r="J24" s="152">
        <v>3331.3006700000001</v>
      </c>
      <c r="K24" s="152" t="s">
        <v>13</v>
      </c>
      <c r="L24" s="152">
        <v>3463.9701399999999</v>
      </c>
      <c r="M24" s="153"/>
      <c r="N24" s="152">
        <v>115.029</v>
      </c>
      <c r="O24" s="152">
        <v>-44.942</v>
      </c>
      <c r="P24" s="152">
        <v>-46.344000000000001</v>
      </c>
      <c r="Q24" s="153"/>
      <c r="R24" s="154">
        <v>27.75039459614532</v>
      </c>
      <c r="S24" s="154">
        <v>-71.027104712740865</v>
      </c>
      <c r="T24" s="154">
        <v>-68.878390730191612</v>
      </c>
      <c r="U24" s="154">
        <v>12.1852</v>
      </c>
      <c r="V24" s="154" t="s">
        <v>686</v>
      </c>
      <c r="W24" s="153"/>
      <c r="X24" s="152">
        <v>154.15889999999999</v>
      </c>
      <c r="Y24" s="152">
        <v>-38.380200000000002</v>
      </c>
      <c r="Z24" s="152" t="s">
        <v>686</v>
      </c>
      <c r="AA24" s="153"/>
      <c r="AB24" s="154">
        <v>20.706557584414526</v>
      </c>
      <c r="AC24" s="154">
        <v>-83.170492597745707</v>
      </c>
      <c r="AD24" s="154" t="s">
        <v>13</v>
      </c>
      <c r="AF24" s="154"/>
      <c r="AG24" s="153"/>
      <c r="AH24" s="155">
        <v>0.17565700000000001</v>
      </c>
      <c r="AI24" s="155">
        <v>0.31375599999999998</v>
      </c>
      <c r="AK24" s="478" t="s">
        <v>2232</v>
      </c>
      <c r="AL24" s="149" t="s">
        <v>2233</v>
      </c>
      <c r="AM24" s="149" t="s">
        <v>4039</v>
      </c>
    </row>
    <row r="25" spans="2:39" s="149" customFormat="1" ht="12.75" customHeight="1">
      <c r="B25" s="148">
        <v>41934</v>
      </c>
      <c r="C25" s="149" t="s">
        <v>2185</v>
      </c>
      <c r="D25" s="149" t="s">
        <v>2194</v>
      </c>
      <c r="E25" s="149" t="s">
        <v>718</v>
      </c>
      <c r="F25" s="150">
        <v>1</v>
      </c>
      <c r="G25" s="151" t="s">
        <v>713</v>
      </c>
      <c r="I25" s="152">
        <v>528.22601999999995</v>
      </c>
      <c r="J25" s="152">
        <v>11.51554</v>
      </c>
      <c r="K25" s="152" t="s">
        <v>13</v>
      </c>
      <c r="L25" s="152">
        <v>530.01102000000003</v>
      </c>
      <c r="M25" s="153"/>
      <c r="N25" s="152">
        <v>0</v>
      </c>
      <c r="O25" s="152">
        <v>-25.343</v>
      </c>
      <c r="P25" s="152">
        <v>-25.855</v>
      </c>
      <c r="Q25" s="153"/>
      <c r="R25" s="154" t="s">
        <v>13</v>
      </c>
      <c r="S25" s="154">
        <v>-20.84307382709229</v>
      </c>
      <c r="T25" s="154">
        <v>-20.430323728485785</v>
      </c>
      <c r="U25" s="154" t="s">
        <v>686</v>
      </c>
      <c r="V25" s="154" t="s">
        <v>686</v>
      </c>
      <c r="W25" s="153"/>
      <c r="X25" s="152" t="s">
        <v>13</v>
      </c>
      <c r="Y25" s="152" t="s">
        <v>13</v>
      </c>
      <c r="Z25" s="152" t="s">
        <v>13</v>
      </c>
      <c r="AA25" s="153"/>
      <c r="AB25" s="154" t="s">
        <v>13</v>
      </c>
      <c r="AC25" s="154" t="s">
        <v>13</v>
      </c>
      <c r="AD25" s="154" t="s">
        <v>13</v>
      </c>
      <c r="AF25" s="154"/>
      <c r="AG25" s="153"/>
      <c r="AH25" s="155" t="s">
        <v>686</v>
      </c>
      <c r="AI25" s="155" t="s">
        <v>686</v>
      </c>
      <c r="AK25" s="478" t="s">
        <v>2234</v>
      </c>
      <c r="AL25" s="149" t="s">
        <v>2235</v>
      </c>
      <c r="AM25" s="149" t="s">
        <v>4040</v>
      </c>
    </row>
    <row r="26" spans="2:39" s="149" customFormat="1" ht="12.75" customHeight="1">
      <c r="B26" s="148">
        <v>41626</v>
      </c>
      <c r="C26" s="149" t="s">
        <v>2195</v>
      </c>
      <c r="D26" s="149" t="s">
        <v>2196</v>
      </c>
      <c r="E26" s="149" t="s">
        <v>718</v>
      </c>
      <c r="F26" s="150">
        <v>1</v>
      </c>
      <c r="G26" s="151" t="s">
        <v>713</v>
      </c>
      <c r="I26" s="152">
        <v>7248.5594799999999</v>
      </c>
      <c r="J26" s="152">
        <v>8444.0834400000003</v>
      </c>
      <c r="K26" s="152" t="s">
        <v>13</v>
      </c>
      <c r="L26" s="152">
        <v>8444.0834400000003</v>
      </c>
      <c r="M26" s="153"/>
      <c r="N26" s="152">
        <v>56.7</v>
      </c>
      <c r="O26" s="152">
        <v>-406.5</v>
      </c>
      <c r="P26" s="152">
        <v>-427</v>
      </c>
      <c r="Q26" s="153"/>
      <c r="R26" s="154">
        <v>127.84055520282186</v>
      </c>
      <c r="S26" s="154">
        <v>-17.831634637146372</v>
      </c>
      <c r="T26" s="154">
        <v>-16.975549133489462</v>
      </c>
      <c r="U26" s="154">
        <v>4.1188599999999997</v>
      </c>
      <c r="V26" s="154" t="s">
        <v>686</v>
      </c>
      <c r="W26" s="153"/>
      <c r="X26" s="152">
        <v>255.3947</v>
      </c>
      <c r="Y26" s="152">
        <v>84.952200000000005</v>
      </c>
      <c r="Z26" s="152">
        <v>118.99929</v>
      </c>
      <c r="AA26" s="153"/>
      <c r="AB26" s="154">
        <v>28.381792887636273</v>
      </c>
      <c r="AC26" s="154">
        <v>85.325153203801662</v>
      </c>
      <c r="AD26" s="154">
        <v>60.912627966099627</v>
      </c>
      <c r="AF26" s="154"/>
      <c r="AG26" s="153"/>
      <c r="AH26" s="155">
        <v>0.15950799999999998</v>
      </c>
      <c r="AI26" s="155">
        <v>0.16688800000000001</v>
      </c>
      <c r="AK26" s="478" t="s">
        <v>2236</v>
      </c>
      <c r="AL26" s="149" t="s">
        <v>2237</v>
      </c>
      <c r="AM26" s="149" t="s">
        <v>4041</v>
      </c>
    </row>
    <row r="27" spans="2:39" s="149" customFormat="1" ht="12.75" customHeight="1">
      <c r="B27" s="148">
        <v>41135</v>
      </c>
      <c r="C27" s="149" t="s">
        <v>2197</v>
      </c>
      <c r="D27" s="149" t="s">
        <v>2198</v>
      </c>
      <c r="E27" s="149" t="s">
        <v>718</v>
      </c>
      <c r="F27" s="150">
        <v>0.84129999999999994</v>
      </c>
      <c r="G27" s="151" t="s">
        <v>713</v>
      </c>
      <c r="I27" s="152">
        <v>401.32884000000001</v>
      </c>
      <c r="J27" s="152">
        <v>264.67173000000003</v>
      </c>
      <c r="K27" s="152">
        <v>158.80304000000001</v>
      </c>
      <c r="L27" s="152">
        <v>423.47476999999998</v>
      </c>
      <c r="M27" s="153"/>
      <c r="N27" s="152">
        <v>0.2601</v>
      </c>
      <c r="O27" s="152">
        <v>-13.39148</v>
      </c>
      <c r="P27" s="152">
        <v>-13.53633</v>
      </c>
      <c r="Q27" s="153"/>
      <c r="R27" s="154">
        <v>1542.9790080738178</v>
      </c>
      <c r="S27" s="154">
        <v>-29.968968329116723</v>
      </c>
      <c r="T27" s="154">
        <v>-29.648275418817363</v>
      </c>
      <c r="U27" s="154">
        <v>4.1382500000000002</v>
      </c>
      <c r="V27" s="154" t="s">
        <v>686</v>
      </c>
      <c r="W27" s="153"/>
      <c r="X27" s="152">
        <v>0.57108999999999999</v>
      </c>
      <c r="Y27" s="152">
        <v>-14.913169999999999</v>
      </c>
      <c r="Z27" s="152" t="s">
        <v>686</v>
      </c>
      <c r="AA27" s="153"/>
      <c r="AB27" s="154">
        <v>702.74184454289173</v>
      </c>
      <c r="AC27" s="154">
        <v>-26.91103501133562</v>
      </c>
      <c r="AD27" s="154" t="s">
        <v>13</v>
      </c>
      <c r="AF27" s="154"/>
      <c r="AG27" s="153"/>
      <c r="AH27" s="155">
        <v>0.20078199999999999</v>
      </c>
      <c r="AI27" s="155">
        <v>0.14904200000000001</v>
      </c>
      <c r="AK27" s="478" t="s">
        <v>2238</v>
      </c>
      <c r="AL27" s="149" t="s">
        <v>2239</v>
      </c>
      <c r="AM27" s="149" t="s">
        <v>4042</v>
      </c>
    </row>
    <row r="28" spans="2:39" s="149" customFormat="1" ht="12.75" customHeight="1">
      <c r="B28" s="148" t="s">
        <v>690</v>
      </c>
      <c r="C28" s="149" t="s">
        <v>690</v>
      </c>
      <c r="D28" s="149" t="s">
        <v>690</v>
      </c>
      <c r="E28" s="149" t="s">
        <v>13</v>
      </c>
      <c r="F28" s="150" t="e">
        <v>#VALUE!</v>
      </c>
      <c r="G28" s="151" t="s">
        <v>690</v>
      </c>
      <c r="I28" s="152" t="s">
        <v>690</v>
      </c>
      <c r="J28" s="152" t="e">
        <v>#VALUE!</v>
      </c>
      <c r="K28" s="152" t="s">
        <v>690</v>
      </c>
      <c r="L28" s="152" t="s">
        <v>690</v>
      </c>
      <c r="M28" s="153"/>
      <c r="N28" s="152" t="s">
        <v>690</v>
      </c>
      <c r="O28" s="152" t="s">
        <v>690</v>
      </c>
      <c r="P28" s="152" t="s">
        <v>690</v>
      </c>
      <c r="Q28" s="153"/>
      <c r="R28" s="154" t="s">
        <v>13</v>
      </c>
      <c r="S28" s="154" t="s">
        <v>13</v>
      </c>
      <c r="T28" s="154" t="s">
        <v>13</v>
      </c>
      <c r="U28" s="154" t="s">
        <v>690</v>
      </c>
      <c r="V28" s="154" t="s">
        <v>690</v>
      </c>
      <c r="W28" s="153"/>
      <c r="X28" s="152" t="s">
        <v>690</v>
      </c>
      <c r="Y28" s="152" t="s">
        <v>690</v>
      </c>
      <c r="Z28" s="152" t="s">
        <v>690</v>
      </c>
      <c r="AA28" s="153"/>
      <c r="AB28" s="154" t="s">
        <v>13</v>
      </c>
      <c r="AC28" s="154" t="s">
        <v>13</v>
      </c>
      <c r="AD28" s="154" t="s">
        <v>13</v>
      </c>
      <c r="AF28" s="154"/>
      <c r="AG28" s="153"/>
      <c r="AH28" s="155" t="e">
        <v>#VALUE!</v>
      </c>
      <c r="AI28" s="155" t="e">
        <v>#VALUE!</v>
      </c>
      <c r="AK28" s="478">
        <v>0</v>
      </c>
      <c r="AL28" s="149" t="s">
        <v>13</v>
      </c>
      <c r="AM28" s="149" t="s">
        <v>690</v>
      </c>
    </row>
    <row r="29" spans="2:39" s="149" customFormat="1" ht="12.75" customHeight="1">
      <c r="B29" s="148" t="s">
        <v>690</v>
      </c>
      <c r="C29" s="149" t="s">
        <v>690</v>
      </c>
      <c r="D29" s="149" t="s">
        <v>690</v>
      </c>
      <c r="E29" s="149" t="s">
        <v>13</v>
      </c>
      <c r="F29" s="150" t="e">
        <v>#VALUE!</v>
      </c>
      <c r="G29" s="151" t="s">
        <v>690</v>
      </c>
      <c r="I29" s="152" t="s">
        <v>690</v>
      </c>
      <c r="J29" s="152" t="e">
        <v>#VALUE!</v>
      </c>
      <c r="K29" s="152" t="s">
        <v>690</v>
      </c>
      <c r="L29" s="152" t="s">
        <v>690</v>
      </c>
      <c r="M29" s="153"/>
      <c r="N29" s="152" t="s">
        <v>690</v>
      </c>
      <c r="O29" s="152" t="s">
        <v>690</v>
      </c>
      <c r="P29" s="152" t="s">
        <v>690</v>
      </c>
      <c r="Q29" s="153"/>
      <c r="R29" s="154" t="s">
        <v>13</v>
      </c>
      <c r="S29" s="154" t="s">
        <v>13</v>
      </c>
      <c r="T29" s="154" t="s">
        <v>13</v>
      </c>
      <c r="U29" s="154" t="s">
        <v>690</v>
      </c>
      <c r="V29" s="154" t="s">
        <v>690</v>
      </c>
      <c r="W29" s="153"/>
      <c r="X29" s="152" t="s">
        <v>690</v>
      </c>
      <c r="Y29" s="152" t="s">
        <v>690</v>
      </c>
      <c r="Z29" s="152" t="s">
        <v>690</v>
      </c>
      <c r="AA29" s="153"/>
      <c r="AB29" s="154" t="s">
        <v>13</v>
      </c>
      <c r="AC29" s="154" t="s">
        <v>13</v>
      </c>
      <c r="AD29" s="154" t="s">
        <v>13</v>
      </c>
      <c r="AF29" s="154"/>
      <c r="AG29" s="153"/>
      <c r="AH29" s="155" t="e">
        <v>#VALUE!</v>
      </c>
      <c r="AI29" s="155" t="e">
        <v>#VALUE!</v>
      </c>
      <c r="AK29" s="478">
        <v>0</v>
      </c>
      <c r="AL29" s="149" t="s">
        <v>13</v>
      </c>
    </row>
    <row r="30" spans="2:39" s="149" customFormat="1" ht="12.75" customHeight="1">
      <c r="B30" s="148" t="s">
        <v>690</v>
      </c>
      <c r="C30" s="149" t="s">
        <v>690</v>
      </c>
      <c r="D30" s="149" t="s">
        <v>690</v>
      </c>
      <c r="E30" s="149" t="s">
        <v>13</v>
      </c>
      <c r="F30" s="150" t="e">
        <v>#VALUE!</v>
      </c>
      <c r="G30" s="151" t="s">
        <v>690</v>
      </c>
      <c r="I30" s="152" t="s">
        <v>690</v>
      </c>
      <c r="J30" s="152" t="e">
        <v>#VALUE!</v>
      </c>
      <c r="K30" s="152" t="s">
        <v>690</v>
      </c>
      <c r="L30" s="152" t="s">
        <v>690</v>
      </c>
      <c r="M30" s="153"/>
      <c r="N30" s="152" t="s">
        <v>690</v>
      </c>
      <c r="O30" s="152" t="s">
        <v>690</v>
      </c>
      <c r="P30" s="152" t="s">
        <v>690</v>
      </c>
      <c r="Q30" s="153"/>
      <c r="R30" s="154" t="s">
        <v>13</v>
      </c>
      <c r="S30" s="154" t="s">
        <v>13</v>
      </c>
      <c r="T30" s="154" t="s">
        <v>13</v>
      </c>
      <c r="U30" s="154" t="s">
        <v>690</v>
      </c>
      <c r="V30" s="154" t="s">
        <v>690</v>
      </c>
      <c r="W30" s="153"/>
      <c r="X30" s="152" t="s">
        <v>690</v>
      </c>
      <c r="Y30" s="152" t="s">
        <v>690</v>
      </c>
      <c r="Z30" s="152" t="s">
        <v>690</v>
      </c>
      <c r="AA30" s="153"/>
      <c r="AB30" s="154" t="s">
        <v>13</v>
      </c>
      <c r="AC30" s="154" t="s">
        <v>13</v>
      </c>
      <c r="AD30" s="154" t="s">
        <v>13</v>
      </c>
      <c r="AF30" s="154"/>
      <c r="AG30" s="153"/>
      <c r="AH30" s="155" t="e">
        <v>#VALUE!</v>
      </c>
      <c r="AI30" s="155" t="e">
        <v>#VALUE!</v>
      </c>
      <c r="AK30" s="478">
        <v>0</v>
      </c>
      <c r="AL30" s="149" t="s">
        <v>13</v>
      </c>
    </row>
    <row r="31" spans="2:39" s="149" customFormat="1" ht="12.75" customHeight="1">
      <c r="B31" s="148" t="s">
        <v>690</v>
      </c>
      <c r="C31" s="149" t="s">
        <v>690</v>
      </c>
      <c r="D31" s="149" t="s">
        <v>690</v>
      </c>
      <c r="E31" s="149" t="s">
        <v>13</v>
      </c>
      <c r="F31" s="150" t="e">
        <v>#VALUE!</v>
      </c>
      <c r="G31" s="151" t="s">
        <v>690</v>
      </c>
      <c r="I31" s="152" t="s">
        <v>690</v>
      </c>
      <c r="J31" s="152" t="e">
        <v>#VALUE!</v>
      </c>
      <c r="K31" s="152" t="s">
        <v>690</v>
      </c>
      <c r="L31" s="152" t="s">
        <v>690</v>
      </c>
      <c r="M31" s="153"/>
      <c r="N31" s="152" t="s">
        <v>690</v>
      </c>
      <c r="O31" s="152" t="s">
        <v>690</v>
      </c>
      <c r="P31" s="152" t="s">
        <v>690</v>
      </c>
      <c r="Q31" s="153"/>
      <c r="R31" s="154" t="s">
        <v>13</v>
      </c>
      <c r="S31" s="154" t="s">
        <v>13</v>
      </c>
      <c r="T31" s="154" t="s">
        <v>13</v>
      </c>
      <c r="U31" s="154" t="s">
        <v>690</v>
      </c>
      <c r="V31" s="154" t="s">
        <v>690</v>
      </c>
      <c r="W31" s="153"/>
      <c r="X31" s="152" t="s">
        <v>690</v>
      </c>
      <c r="Y31" s="152" t="s">
        <v>690</v>
      </c>
      <c r="Z31" s="152" t="s">
        <v>690</v>
      </c>
      <c r="AA31" s="153"/>
      <c r="AB31" s="154" t="s">
        <v>13</v>
      </c>
      <c r="AC31" s="154" t="s">
        <v>13</v>
      </c>
      <c r="AD31" s="154" t="s">
        <v>13</v>
      </c>
      <c r="AF31" s="154"/>
      <c r="AG31" s="153"/>
      <c r="AH31" s="155" t="e">
        <v>#VALUE!</v>
      </c>
      <c r="AI31" s="155" t="e">
        <v>#VALUE!</v>
      </c>
      <c r="AK31" s="478">
        <v>0</v>
      </c>
      <c r="AL31" s="149" t="s">
        <v>13</v>
      </c>
    </row>
    <row r="32" spans="2:39" s="149" customFormat="1" ht="12.75" customHeight="1">
      <c r="B32" s="148" t="s">
        <v>690</v>
      </c>
      <c r="C32" s="149" t="s">
        <v>690</v>
      </c>
      <c r="D32" s="149" t="s">
        <v>690</v>
      </c>
      <c r="E32" s="149" t="s">
        <v>13</v>
      </c>
      <c r="F32" s="150" t="e">
        <v>#VALUE!</v>
      </c>
      <c r="G32" s="151" t="s">
        <v>690</v>
      </c>
      <c r="I32" s="152" t="s">
        <v>690</v>
      </c>
      <c r="J32" s="152" t="e">
        <v>#VALUE!</v>
      </c>
      <c r="K32" s="152" t="s">
        <v>690</v>
      </c>
      <c r="L32" s="152" t="s">
        <v>690</v>
      </c>
      <c r="M32" s="153"/>
      <c r="N32" s="152" t="s">
        <v>690</v>
      </c>
      <c r="O32" s="152" t="s">
        <v>690</v>
      </c>
      <c r="P32" s="152" t="s">
        <v>690</v>
      </c>
      <c r="Q32" s="153"/>
      <c r="R32" s="154" t="s">
        <v>13</v>
      </c>
      <c r="S32" s="154" t="s">
        <v>13</v>
      </c>
      <c r="T32" s="154" t="s">
        <v>13</v>
      </c>
      <c r="U32" s="154" t="s">
        <v>690</v>
      </c>
      <c r="V32" s="154" t="s">
        <v>690</v>
      </c>
      <c r="W32" s="153"/>
      <c r="X32" s="152" t="s">
        <v>690</v>
      </c>
      <c r="Y32" s="152" t="s">
        <v>690</v>
      </c>
      <c r="Z32" s="152" t="s">
        <v>690</v>
      </c>
      <c r="AA32" s="153"/>
      <c r="AB32" s="154" t="s">
        <v>13</v>
      </c>
      <c r="AC32" s="154" t="s">
        <v>13</v>
      </c>
      <c r="AD32" s="154" t="s">
        <v>13</v>
      </c>
      <c r="AF32" s="154"/>
      <c r="AG32" s="153"/>
      <c r="AH32" s="155" t="e">
        <v>#VALUE!</v>
      </c>
      <c r="AI32" s="155" t="e">
        <v>#VALUE!</v>
      </c>
      <c r="AK32" s="478">
        <v>0</v>
      </c>
      <c r="AL32" s="149" t="s">
        <v>13</v>
      </c>
    </row>
    <row r="33" spans="2:38" s="149" customFormat="1" ht="12.75" customHeight="1">
      <c r="B33" s="148" t="s">
        <v>690</v>
      </c>
      <c r="C33" s="149" t="s">
        <v>690</v>
      </c>
      <c r="D33" s="149" t="s">
        <v>690</v>
      </c>
      <c r="E33" s="149" t="s">
        <v>13</v>
      </c>
      <c r="F33" s="150" t="e">
        <v>#VALUE!</v>
      </c>
      <c r="G33" s="151" t="s">
        <v>690</v>
      </c>
      <c r="I33" s="152" t="s">
        <v>690</v>
      </c>
      <c r="J33" s="152" t="e">
        <v>#VALUE!</v>
      </c>
      <c r="K33" s="152" t="s">
        <v>690</v>
      </c>
      <c r="L33" s="152" t="s">
        <v>690</v>
      </c>
      <c r="M33" s="153"/>
      <c r="N33" s="152" t="s">
        <v>690</v>
      </c>
      <c r="O33" s="152" t="s">
        <v>690</v>
      </c>
      <c r="P33" s="152" t="s">
        <v>690</v>
      </c>
      <c r="Q33" s="153"/>
      <c r="R33" s="154" t="s">
        <v>13</v>
      </c>
      <c r="S33" s="154" t="s">
        <v>13</v>
      </c>
      <c r="T33" s="154" t="s">
        <v>13</v>
      </c>
      <c r="U33" s="154" t="s">
        <v>690</v>
      </c>
      <c r="V33" s="154" t="s">
        <v>690</v>
      </c>
      <c r="W33" s="153"/>
      <c r="X33" s="152" t="s">
        <v>690</v>
      </c>
      <c r="Y33" s="152" t="s">
        <v>690</v>
      </c>
      <c r="Z33" s="152" t="s">
        <v>690</v>
      </c>
      <c r="AA33" s="153"/>
      <c r="AB33" s="154" t="s">
        <v>13</v>
      </c>
      <c r="AC33" s="154" t="s">
        <v>13</v>
      </c>
      <c r="AD33" s="154" t="s">
        <v>13</v>
      </c>
      <c r="AF33" s="154"/>
      <c r="AG33" s="153"/>
      <c r="AH33" s="155" t="e">
        <v>#VALUE!</v>
      </c>
      <c r="AI33" s="155" t="e">
        <v>#VALUE!</v>
      </c>
      <c r="AK33" s="478">
        <v>0</v>
      </c>
      <c r="AL33" s="149" t="s">
        <v>13</v>
      </c>
    </row>
    <row r="34" spans="2:38" s="149" customFormat="1" ht="12.75" customHeight="1">
      <c r="B34" s="148" t="s">
        <v>690</v>
      </c>
      <c r="C34" s="149" t="s">
        <v>690</v>
      </c>
      <c r="D34" s="149" t="s">
        <v>690</v>
      </c>
      <c r="E34" s="149" t="s">
        <v>13</v>
      </c>
      <c r="F34" s="150" t="e">
        <v>#VALUE!</v>
      </c>
      <c r="G34" s="151" t="s">
        <v>690</v>
      </c>
      <c r="I34" s="152" t="s">
        <v>690</v>
      </c>
      <c r="J34" s="152" t="e">
        <v>#VALUE!</v>
      </c>
      <c r="K34" s="152" t="s">
        <v>690</v>
      </c>
      <c r="L34" s="152" t="s">
        <v>690</v>
      </c>
      <c r="M34" s="153"/>
      <c r="N34" s="152" t="s">
        <v>690</v>
      </c>
      <c r="O34" s="152" t="s">
        <v>690</v>
      </c>
      <c r="P34" s="152" t="s">
        <v>690</v>
      </c>
      <c r="Q34" s="153"/>
      <c r="R34" s="154" t="s">
        <v>13</v>
      </c>
      <c r="S34" s="154" t="s">
        <v>13</v>
      </c>
      <c r="T34" s="154" t="s">
        <v>13</v>
      </c>
      <c r="U34" s="154" t="s">
        <v>690</v>
      </c>
      <c r="V34" s="154" t="s">
        <v>690</v>
      </c>
      <c r="W34" s="153"/>
      <c r="X34" s="152" t="s">
        <v>690</v>
      </c>
      <c r="Y34" s="152" t="s">
        <v>690</v>
      </c>
      <c r="Z34" s="152" t="s">
        <v>690</v>
      </c>
      <c r="AA34" s="153"/>
      <c r="AB34" s="154" t="s">
        <v>13</v>
      </c>
      <c r="AC34" s="154" t="s">
        <v>13</v>
      </c>
      <c r="AD34" s="154" t="s">
        <v>13</v>
      </c>
      <c r="AF34" s="154"/>
      <c r="AG34" s="153"/>
      <c r="AH34" s="155" t="e">
        <v>#VALUE!</v>
      </c>
      <c r="AI34" s="155" t="e">
        <v>#VALUE!</v>
      </c>
      <c r="AK34" s="478">
        <v>0</v>
      </c>
      <c r="AL34" s="149" t="s">
        <v>13</v>
      </c>
    </row>
    <row r="35" spans="2:38" s="149" customFormat="1" ht="12.75" customHeight="1">
      <c r="B35" s="148" t="s">
        <v>690</v>
      </c>
      <c r="C35" s="149" t="s">
        <v>690</v>
      </c>
      <c r="D35" s="149" t="s">
        <v>690</v>
      </c>
      <c r="E35" s="149" t="s">
        <v>13</v>
      </c>
      <c r="F35" s="150" t="e">
        <v>#VALUE!</v>
      </c>
      <c r="G35" s="151" t="s">
        <v>690</v>
      </c>
      <c r="I35" s="152" t="s">
        <v>690</v>
      </c>
      <c r="J35" s="152" t="e">
        <v>#VALUE!</v>
      </c>
      <c r="K35" s="152" t="s">
        <v>690</v>
      </c>
      <c r="L35" s="152" t="s">
        <v>690</v>
      </c>
      <c r="M35" s="153"/>
      <c r="N35" s="152" t="s">
        <v>690</v>
      </c>
      <c r="O35" s="152" t="s">
        <v>690</v>
      </c>
      <c r="P35" s="152" t="s">
        <v>690</v>
      </c>
      <c r="Q35" s="153"/>
      <c r="R35" s="154" t="s">
        <v>13</v>
      </c>
      <c r="S35" s="154" t="s">
        <v>13</v>
      </c>
      <c r="T35" s="154" t="s">
        <v>13</v>
      </c>
      <c r="U35" s="154" t="s">
        <v>690</v>
      </c>
      <c r="V35" s="154" t="s">
        <v>690</v>
      </c>
      <c r="W35" s="153"/>
      <c r="X35" s="152" t="s">
        <v>690</v>
      </c>
      <c r="Y35" s="152" t="s">
        <v>690</v>
      </c>
      <c r="Z35" s="152" t="s">
        <v>690</v>
      </c>
      <c r="AA35" s="153"/>
      <c r="AB35" s="154" t="s">
        <v>13</v>
      </c>
      <c r="AC35" s="154" t="s">
        <v>13</v>
      </c>
      <c r="AD35" s="154" t="s">
        <v>13</v>
      </c>
      <c r="AF35" s="154"/>
      <c r="AG35" s="153"/>
      <c r="AH35" s="155" t="e">
        <v>#VALUE!</v>
      </c>
      <c r="AI35" s="155" t="e">
        <v>#VALUE!</v>
      </c>
      <c r="AK35" s="478">
        <v>0</v>
      </c>
      <c r="AL35" s="149" t="s">
        <v>13</v>
      </c>
    </row>
    <row r="36" spans="2:38" s="149" customFormat="1" ht="12.75" customHeight="1">
      <c r="B36" s="148" t="s">
        <v>690</v>
      </c>
      <c r="C36" s="149" t="s">
        <v>690</v>
      </c>
      <c r="D36" s="149" t="s">
        <v>690</v>
      </c>
      <c r="E36" s="149" t="s">
        <v>13</v>
      </c>
      <c r="F36" s="150" t="e">
        <v>#VALUE!</v>
      </c>
      <c r="G36" s="151" t="s">
        <v>690</v>
      </c>
      <c r="I36" s="152" t="s">
        <v>690</v>
      </c>
      <c r="J36" s="152" t="e">
        <v>#VALUE!</v>
      </c>
      <c r="K36" s="152" t="s">
        <v>690</v>
      </c>
      <c r="L36" s="152" t="s">
        <v>690</v>
      </c>
      <c r="M36" s="153"/>
      <c r="N36" s="152" t="s">
        <v>690</v>
      </c>
      <c r="O36" s="152" t="s">
        <v>690</v>
      </c>
      <c r="P36" s="152" t="s">
        <v>690</v>
      </c>
      <c r="Q36" s="153"/>
      <c r="R36" s="154" t="s">
        <v>13</v>
      </c>
      <c r="S36" s="154" t="s">
        <v>13</v>
      </c>
      <c r="T36" s="154" t="s">
        <v>13</v>
      </c>
      <c r="U36" s="154" t="s">
        <v>690</v>
      </c>
      <c r="V36" s="154" t="s">
        <v>690</v>
      </c>
      <c r="W36" s="153"/>
      <c r="X36" s="152" t="s">
        <v>690</v>
      </c>
      <c r="Y36" s="152" t="s">
        <v>690</v>
      </c>
      <c r="Z36" s="152" t="s">
        <v>690</v>
      </c>
      <c r="AA36" s="153"/>
      <c r="AB36" s="154" t="s">
        <v>13</v>
      </c>
      <c r="AC36" s="154" t="s">
        <v>13</v>
      </c>
      <c r="AD36" s="154" t="s">
        <v>13</v>
      </c>
      <c r="AF36" s="154"/>
      <c r="AG36" s="153"/>
      <c r="AH36" s="155" t="e">
        <v>#VALUE!</v>
      </c>
      <c r="AI36" s="155" t="e">
        <v>#VALUE!</v>
      </c>
      <c r="AK36" s="478">
        <v>0</v>
      </c>
      <c r="AL36" s="149" t="s">
        <v>13</v>
      </c>
    </row>
    <row r="37" spans="2:38" s="149" customFormat="1" ht="12.75" customHeight="1">
      <c r="B37" s="148" t="s">
        <v>690</v>
      </c>
      <c r="C37" s="149" t="s">
        <v>690</v>
      </c>
      <c r="D37" s="149" t="s">
        <v>690</v>
      </c>
      <c r="E37" s="149" t="s">
        <v>13</v>
      </c>
      <c r="F37" s="150" t="e">
        <v>#VALUE!</v>
      </c>
      <c r="G37" s="151" t="s">
        <v>690</v>
      </c>
      <c r="I37" s="152" t="s">
        <v>690</v>
      </c>
      <c r="J37" s="152" t="e">
        <v>#VALUE!</v>
      </c>
      <c r="K37" s="152" t="s">
        <v>690</v>
      </c>
      <c r="L37" s="152" t="s">
        <v>690</v>
      </c>
      <c r="M37" s="153"/>
      <c r="N37" s="152" t="s">
        <v>690</v>
      </c>
      <c r="O37" s="152" t="s">
        <v>690</v>
      </c>
      <c r="P37" s="152" t="s">
        <v>690</v>
      </c>
      <c r="Q37" s="153"/>
      <c r="R37" s="154" t="s">
        <v>13</v>
      </c>
      <c r="S37" s="154" t="s">
        <v>13</v>
      </c>
      <c r="T37" s="154" t="s">
        <v>13</v>
      </c>
      <c r="U37" s="154" t="s">
        <v>690</v>
      </c>
      <c r="V37" s="154" t="s">
        <v>690</v>
      </c>
      <c r="W37" s="153"/>
      <c r="X37" s="152" t="s">
        <v>690</v>
      </c>
      <c r="Y37" s="152" t="s">
        <v>690</v>
      </c>
      <c r="Z37" s="152" t="s">
        <v>690</v>
      </c>
      <c r="AA37" s="153"/>
      <c r="AB37" s="154" t="s">
        <v>13</v>
      </c>
      <c r="AC37" s="154" t="s">
        <v>13</v>
      </c>
      <c r="AD37" s="154" t="s">
        <v>13</v>
      </c>
      <c r="AF37" s="154"/>
      <c r="AG37" s="153"/>
      <c r="AH37" s="155" t="e">
        <v>#VALUE!</v>
      </c>
      <c r="AI37" s="155" t="e">
        <v>#VALUE!</v>
      </c>
      <c r="AK37" s="478">
        <v>0</v>
      </c>
      <c r="AL37" s="149" t="s">
        <v>13</v>
      </c>
    </row>
    <row r="38" spans="2:38" s="149" customFormat="1" ht="12.75" customHeight="1">
      <c r="B38" s="148" t="s">
        <v>690</v>
      </c>
      <c r="C38" s="149" t="s">
        <v>690</v>
      </c>
      <c r="D38" s="149" t="s">
        <v>690</v>
      </c>
      <c r="E38" s="149" t="s">
        <v>13</v>
      </c>
      <c r="F38" s="150" t="e">
        <v>#VALUE!</v>
      </c>
      <c r="G38" s="151" t="s">
        <v>690</v>
      </c>
      <c r="I38" s="152" t="s">
        <v>690</v>
      </c>
      <c r="J38" s="152" t="e">
        <v>#VALUE!</v>
      </c>
      <c r="K38" s="152" t="s">
        <v>690</v>
      </c>
      <c r="L38" s="152" t="s">
        <v>690</v>
      </c>
      <c r="M38" s="153"/>
      <c r="N38" s="152" t="s">
        <v>690</v>
      </c>
      <c r="O38" s="152" t="s">
        <v>690</v>
      </c>
      <c r="P38" s="152" t="s">
        <v>690</v>
      </c>
      <c r="Q38" s="153"/>
      <c r="R38" s="154" t="s">
        <v>13</v>
      </c>
      <c r="S38" s="154" t="s">
        <v>13</v>
      </c>
      <c r="T38" s="154" t="s">
        <v>13</v>
      </c>
      <c r="U38" s="154" t="s">
        <v>690</v>
      </c>
      <c r="V38" s="154" t="s">
        <v>690</v>
      </c>
      <c r="W38" s="153"/>
      <c r="X38" s="152" t="s">
        <v>690</v>
      </c>
      <c r="Y38" s="152" t="s">
        <v>690</v>
      </c>
      <c r="Z38" s="152" t="s">
        <v>690</v>
      </c>
      <c r="AA38" s="153"/>
      <c r="AB38" s="154" t="s">
        <v>13</v>
      </c>
      <c r="AC38" s="154" t="s">
        <v>13</v>
      </c>
      <c r="AD38" s="154" t="s">
        <v>13</v>
      </c>
      <c r="AF38" s="154"/>
      <c r="AG38" s="153"/>
      <c r="AH38" s="155" t="e">
        <v>#VALUE!</v>
      </c>
      <c r="AI38" s="155" t="e">
        <v>#VALUE!</v>
      </c>
      <c r="AK38" s="478">
        <v>0</v>
      </c>
      <c r="AL38" s="149" t="s">
        <v>13</v>
      </c>
    </row>
    <row r="39" spans="2:38" s="149" customFormat="1" ht="12.75" customHeight="1">
      <c r="B39" s="148" t="s">
        <v>690</v>
      </c>
      <c r="C39" s="149" t="s">
        <v>690</v>
      </c>
      <c r="D39" s="149" t="s">
        <v>690</v>
      </c>
      <c r="E39" s="149" t="s">
        <v>13</v>
      </c>
      <c r="F39" s="150" t="e">
        <v>#VALUE!</v>
      </c>
      <c r="G39" s="151" t="s">
        <v>690</v>
      </c>
      <c r="I39" s="152" t="s">
        <v>690</v>
      </c>
      <c r="J39" s="152" t="e">
        <v>#VALUE!</v>
      </c>
      <c r="K39" s="152" t="s">
        <v>690</v>
      </c>
      <c r="L39" s="152" t="s">
        <v>690</v>
      </c>
      <c r="M39" s="153"/>
      <c r="N39" s="152" t="s">
        <v>690</v>
      </c>
      <c r="O39" s="152" t="s">
        <v>690</v>
      </c>
      <c r="P39" s="152" t="s">
        <v>690</v>
      </c>
      <c r="Q39" s="153"/>
      <c r="R39" s="154" t="s">
        <v>13</v>
      </c>
      <c r="S39" s="154" t="s">
        <v>13</v>
      </c>
      <c r="T39" s="154" t="s">
        <v>13</v>
      </c>
      <c r="U39" s="154" t="s">
        <v>690</v>
      </c>
      <c r="V39" s="154" t="s">
        <v>690</v>
      </c>
      <c r="W39" s="153"/>
      <c r="X39" s="152" t="s">
        <v>690</v>
      </c>
      <c r="Y39" s="152" t="s">
        <v>690</v>
      </c>
      <c r="Z39" s="152" t="s">
        <v>690</v>
      </c>
      <c r="AA39" s="153"/>
      <c r="AB39" s="154" t="s">
        <v>13</v>
      </c>
      <c r="AC39" s="154" t="s">
        <v>13</v>
      </c>
      <c r="AD39" s="154" t="s">
        <v>13</v>
      </c>
      <c r="AF39" s="154"/>
      <c r="AG39" s="153"/>
      <c r="AH39" s="155" t="e">
        <v>#VALUE!</v>
      </c>
      <c r="AI39" s="155" t="e">
        <v>#VALUE!</v>
      </c>
      <c r="AK39" s="478">
        <v>0</v>
      </c>
      <c r="AL39" s="149" t="s">
        <v>13</v>
      </c>
    </row>
    <row r="40" spans="2:38" s="149" customFormat="1" ht="12.75" customHeight="1">
      <c r="B40" s="148"/>
      <c r="F40" s="150"/>
      <c r="G40" s="151"/>
      <c r="I40" s="152"/>
      <c r="J40" s="152"/>
      <c r="K40" s="152"/>
      <c r="L40" s="152"/>
      <c r="M40" s="153"/>
      <c r="N40" s="152"/>
      <c r="O40" s="152"/>
      <c r="P40" s="152"/>
      <c r="Q40" s="153"/>
      <c r="R40" s="154"/>
      <c r="S40" s="154"/>
      <c r="T40" s="154"/>
      <c r="U40" s="154"/>
      <c r="V40" s="154"/>
      <c r="W40" s="153"/>
      <c r="X40" s="152"/>
      <c r="Y40" s="152"/>
      <c r="Z40" s="152"/>
      <c r="AA40" s="153"/>
      <c r="AB40" s="154"/>
      <c r="AC40" s="154"/>
      <c r="AD40" s="154"/>
      <c r="AF40" s="154"/>
      <c r="AG40" s="153"/>
      <c r="AH40" s="155"/>
      <c r="AI40" s="155"/>
      <c r="AK40" s="478"/>
    </row>
    <row r="41" spans="2:38" s="149" customFormat="1" ht="12.75" customHeight="1">
      <c r="B41" s="148"/>
      <c r="F41" s="150"/>
      <c r="G41" s="151"/>
      <c r="I41" s="152"/>
      <c r="J41" s="152"/>
      <c r="K41" s="152"/>
      <c r="L41" s="152"/>
      <c r="M41" s="153"/>
      <c r="N41" s="152"/>
      <c r="O41" s="152"/>
      <c r="P41" s="152"/>
      <c r="Q41" s="153"/>
      <c r="R41" s="154"/>
      <c r="S41" s="154"/>
      <c r="T41" s="154"/>
      <c r="U41" s="154"/>
      <c r="V41" s="154"/>
      <c r="W41" s="153"/>
      <c r="X41" s="152"/>
      <c r="Y41" s="152"/>
      <c r="Z41" s="152"/>
      <c r="AA41" s="153"/>
      <c r="AB41" s="154"/>
      <c r="AC41" s="154"/>
      <c r="AD41" s="154"/>
      <c r="AF41" s="154"/>
      <c r="AG41" s="153"/>
      <c r="AH41" s="155"/>
      <c r="AI41" s="155"/>
      <c r="AK41" s="478"/>
    </row>
    <row r="42" spans="2:38" s="149" customFormat="1" ht="12.75" customHeight="1">
      <c r="B42" s="148"/>
      <c r="F42" s="150"/>
      <c r="G42" s="151"/>
      <c r="I42" s="152"/>
      <c r="J42" s="152"/>
      <c r="K42" s="152"/>
      <c r="L42" s="152"/>
      <c r="M42" s="153"/>
      <c r="N42" s="152"/>
      <c r="O42" s="152"/>
      <c r="P42" s="152"/>
      <c r="Q42" s="153"/>
      <c r="R42" s="154"/>
      <c r="S42" s="154"/>
      <c r="T42" s="154"/>
      <c r="U42" s="154"/>
      <c r="V42" s="154"/>
      <c r="W42" s="153"/>
      <c r="X42" s="152"/>
      <c r="Y42" s="152"/>
      <c r="Z42" s="152"/>
      <c r="AA42" s="153"/>
      <c r="AB42" s="154"/>
      <c r="AC42" s="154"/>
      <c r="AD42" s="154"/>
      <c r="AF42" s="154"/>
      <c r="AG42" s="153"/>
      <c r="AH42" s="155"/>
      <c r="AI42" s="155"/>
      <c r="AK42" s="478"/>
    </row>
    <row r="43" spans="2:38" s="149" customFormat="1" ht="12.75" customHeight="1">
      <c r="B43" s="148"/>
      <c r="F43" s="150"/>
      <c r="G43" s="151"/>
      <c r="I43" s="152"/>
      <c r="J43" s="152"/>
      <c r="K43" s="152"/>
      <c r="L43" s="152"/>
      <c r="M43" s="153"/>
      <c r="N43" s="152"/>
      <c r="O43" s="152"/>
      <c r="P43" s="152"/>
      <c r="Q43" s="153"/>
      <c r="R43" s="154"/>
      <c r="S43" s="154"/>
      <c r="T43" s="154"/>
      <c r="U43" s="154"/>
      <c r="V43" s="154"/>
      <c r="W43" s="153"/>
      <c r="X43" s="152"/>
      <c r="Y43" s="152"/>
      <c r="Z43" s="152"/>
      <c r="AA43" s="153"/>
      <c r="AB43" s="154"/>
      <c r="AC43" s="154"/>
      <c r="AD43" s="154"/>
      <c r="AF43" s="154"/>
      <c r="AG43" s="153"/>
      <c r="AH43" s="155"/>
      <c r="AI43" s="155"/>
      <c r="AK43" s="478"/>
    </row>
    <row r="44" spans="2:38" s="149" customFormat="1" ht="12.75" customHeight="1">
      <c r="B44" s="148"/>
      <c r="F44" s="150"/>
      <c r="G44" s="151"/>
      <c r="I44" s="152"/>
      <c r="J44" s="152"/>
      <c r="K44" s="152"/>
      <c r="L44" s="152"/>
      <c r="M44" s="153"/>
      <c r="N44" s="152"/>
      <c r="O44" s="152"/>
      <c r="P44" s="152"/>
      <c r="Q44" s="153"/>
      <c r="R44" s="154"/>
      <c r="S44" s="154"/>
      <c r="T44" s="154"/>
      <c r="U44" s="154"/>
      <c r="V44" s="154"/>
      <c r="W44" s="153"/>
      <c r="X44" s="152"/>
      <c r="Y44" s="152"/>
      <c r="Z44" s="152"/>
      <c r="AA44" s="153"/>
      <c r="AB44" s="154"/>
      <c r="AC44" s="154"/>
      <c r="AD44" s="154"/>
      <c r="AF44" s="154"/>
      <c r="AG44" s="153"/>
      <c r="AH44" s="155"/>
      <c r="AI44" s="155"/>
      <c r="AK44" s="478"/>
    </row>
    <row r="45" spans="2:38" s="149" customFormat="1" ht="12.75" customHeight="1">
      <c r="B45" s="148"/>
      <c r="F45" s="150"/>
      <c r="G45" s="151"/>
      <c r="I45" s="152"/>
      <c r="J45" s="152"/>
      <c r="K45" s="152"/>
      <c r="L45" s="152"/>
      <c r="M45" s="153"/>
      <c r="N45" s="152"/>
      <c r="O45" s="152"/>
      <c r="P45" s="152"/>
      <c r="Q45" s="153"/>
      <c r="R45" s="154"/>
      <c r="S45" s="154"/>
      <c r="T45" s="154"/>
      <c r="U45" s="154"/>
      <c r="V45" s="154"/>
      <c r="W45" s="153"/>
      <c r="X45" s="152"/>
      <c r="Y45" s="152"/>
      <c r="Z45" s="152"/>
      <c r="AA45" s="153"/>
      <c r="AB45" s="154"/>
      <c r="AC45" s="154"/>
      <c r="AD45" s="154"/>
      <c r="AF45" s="405"/>
      <c r="AG45" s="405"/>
      <c r="AH45" s="155"/>
      <c r="AI45" s="155"/>
      <c r="AK45" s="478"/>
    </row>
    <row r="46" spans="2:38" s="149" customFormat="1" ht="12.75" customHeight="1">
      <c r="B46" s="148"/>
      <c r="F46" s="150"/>
      <c r="G46" s="151"/>
      <c r="I46" s="152"/>
      <c r="J46" s="152"/>
      <c r="K46" s="152"/>
      <c r="L46" s="152"/>
      <c r="M46" s="153"/>
      <c r="N46" s="152"/>
      <c r="O46" s="152"/>
      <c r="P46" s="152"/>
      <c r="Q46" s="153"/>
      <c r="R46" s="154"/>
      <c r="S46" s="154"/>
      <c r="T46" s="154"/>
      <c r="U46" s="154"/>
      <c r="V46" s="154"/>
      <c r="W46" s="153"/>
      <c r="X46" s="152"/>
      <c r="Y46" s="152"/>
      <c r="Z46" s="152"/>
      <c r="AA46" s="153"/>
      <c r="AB46" s="154"/>
      <c r="AC46" s="154"/>
      <c r="AD46" s="154"/>
      <c r="AF46" s="405"/>
      <c r="AG46" s="405"/>
      <c r="AH46" s="155"/>
      <c r="AI46" s="155"/>
      <c r="AK46" s="478"/>
    </row>
    <row r="47" spans="2:38" s="149" customFormat="1" ht="12.75" customHeight="1">
      <c r="B47" s="148" t="s">
        <v>111</v>
      </c>
      <c r="F47" s="150"/>
      <c r="G47" s="151"/>
      <c r="I47" s="152">
        <v>7248.5594799999999</v>
      </c>
      <c r="J47" s="152"/>
      <c r="K47" s="152"/>
      <c r="L47" s="152"/>
      <c r="M47" s="153"/>
      <c r="N47" s="152">
        <v>115.029</v>
      </c>
      <c r="O47" s="152">
        <v>-13.39148</v>
      </c>
      <c r="P47" s="152">
        <v>-2.8979999999999999E-2</v>
      </c>
      <c r="Q47" s="153"/>
      <c r="R47" s="154">
        <v>1638.1039166434089</v>
      </c>
      <c r="S47" s="154">
        <v>-2.119891869047128</v>
      </c>
      <c r="T47" s="154">
        <v>-2.0609547908654751</v>
      </c>
      <c r="U47" s="154">
        <v>13.23626</v>
      </c>
      <c r="V47" s="154">
        <v>0</v>
      </c>
      <c r="W47" s="153"/>
      <c r="X47" s="152">
        <v>255.3947</v>
      </c>
      <c r="Y47" s="152">
        <v>84.952200000000005</v>
      </c>
      <c r="Z47" s="152">
        <v>118.99929</v>
      </c>
      <c r="AA47" s="153"/>
      <c r="AB47" s="154">
        <v>3927.4302602230482</v>
      </c>
      <c r="AC47" s="154">
        <v>85.325153203801662</v>
      </c>
      <c r="AD47" s="154">
        <v>60.912627966099627</v>
      </c>
      <c r="AF47" s="981"/>
      <c r="AG47" s="980"/>
      <c r="AH47" s="155" t="e">
        <v>#VALUE!</v>
      </c>
      <c r="AI47" s="155" t="e">
        <v>#VALUE!</v>
      </c>
      <c r="AK47" s="478"/>
    </row>
    <row r="48" spans="2:38" s="149" customFormat="1" ht="12.75" customHeight="1">
      <c r="B48" s="148" t="s">
        <v>115</v>
      </c>
      <c r="F48" s="150"/>
      <c r="G48" s="151"/>
      <c r="I48" s="152">
        <v>873.55253749999997</v>
      </c>
      <c r="J48" s="152"/>
      <c r="K48" s="152"/>
      <c r="L48" s="152"/>
      <c r="M48" s="153"/>
      <c r="N48" s="152">
        <v>41.289749999999998</v>
      </c>
      <c r="O48" s="152">
        <v>-23.857849999999999</v>
      </c>
      <c r="P48" s="152">
        <v>-19.957249999999998</v>
      </c>
      <c r="Q48" s="153"/>
      <c r="R48" s="154">
        <v>835.40978163831983</v>
      </c>
      <c r="S48" s="154">
        <v>-8.143574065083639</v>
      </c>
      <c r="T48" s="154">
        <v>-8.0777444875888129</v>
      </c>
      <c r="U48" s="154">
        <v>10.239280000000001</v>
      </c>
      <c r="V48" s="154" t="e">
        <v>#NUM!</v>
      </c>
      <c r="W48" s="153"/>
      <c r="X48" s="152">
        <v>123.81157499999999</v>
      </c>
      <c r="Y48" s="152">
        <v>-12.30575</v>
      </c>
      <c r="Z48" s="152">
        <v>118.99929</v>
      </c>
      <c r="AA48" s="153"/>
      <c r="AB48" s="154">
        <v>537.98333308003635</v>
      </c>
      <c r="AC48" s="154">
        <v>-4.1554437005564573</v>
      </c>
      <c r="AD48" s="154">
        <v>60.912627966099627</v>
      </c>
      <c r="AF48" s="100"/>
      <c r="AG48" s="66"/>
      <c r="AH48" s="155" t="e">
        <v>#VALUE!</v>
      </c>
      <c r="AI48" s="155" t="e">
        <v>#VALUE!</v>
      </c>
      <c r="AK48" s="478"/>
    </row>
    <row r="49" spans="2:37" s="149" customFormat="1" ht="12.75" customHeight="1">
      <c r="B49" s="148" t="s">
        <v>113</v>
      </c>
      <c r="F49" s="150"/>
      <c r="G49" s="151"/>
      <c r="I49" s="152">
        <v>1205.3720133333334</v>
      </c>
      <c r="J49" s="152"/>
      <c r="K49" s="152"/>
      <c r="L49" s="152"/>
      <c r="M49" s="153"/>
      <c r="N49" s="152">
        <v>26.707906249999997</v>
      </c>
      <c r="O49" s="152">
        <v>-101.893415</v>
      </c>
      <c r="P49" s="152">
        <v>-93.367722222222213</v>
      </c>
      <c r="Q49" s="153"/>
      <c r="R49" s="154">
        <v>496.97478824821104</v>
      </c>
      <c r="S49" s="154">
        <v>-21.059507553321257</v>
      </c>
      <c r="T49" s="154">
        <v>-20.563200037682826</v>
      </c>
      <c r="U49" s="154">
        <v>6.7975342857142858</v>
      </c>
      <c r="V49" s="154" t="e">
        <v>#DIV/0!</v>
      </c>
      <c r="W49" s="153"/>
      <c r="X49" s="152">
        <v>75.254966666666675</v>
      </c>
      <c r="Y49" s="152">
        <v>-43.033921666666657</v>
      </c>
      <c r="Z49" s="152">
        <v>118.99929</v>
      </c>
      <c r="AA49" s="153"/>
      <c r="AB49" s="154">
        <v>792.60559326356304</v>
      </c>
      <c r="AC49" s="154">
        <v>-7.1062086151069144</v>
      </c>
      <c r="AD49" s="154">
        <v>60.912627966099627</v>
      </c>
      <c r="AF49" s="100"/>
      <c r="AG49" s="66"/>
      <c r="AH49" s="155" t="e">
        <v>#VALUE!</v>
      </c>
      <c r="AI49" s="155" t="e">
        <v>#VALUE!</v>
      </c>
      <c r="AK49" s="478"/>
    </row>
    <row r="50" spans="2:37" s="149" customFormat="1" ht="12.75" customHeight="1">
      <c r="B50" s="148" t="s">
        <v>44</v>
      </c>
      <c r="F50" s="150"/>
      <c r="G50" s="151"/>
      <c r="I50" s="152">
        <v>464.77742999999998</v>
      </c>
      <c r="J50" s="152"/>
      <c r="K50" s="152"/>
      <c r="L50" s="152"/>
      <c r="M50" s="153"/>
      <c r="N50" s="152">
        <v>2.5993400000000002</v>
      </c>
      <c r="O50" s="152">
        <v>-38.304105</v>
      </c>
      <c r="P50" s="152">
        <v>-31.935469999999999</v>
      </c>
      <c r="Q50" s="153"/>
      <c r="R50" s="154">
        <v>68.184474291607316</v>
      </c>
      <c r="S50" s="154">
        <v>-14.740586754508033</v>
      </c>
      <c r="T50" s="154">
        <v>-14.283626244377198</v>
      </c>
      <c r="U50" s="154">
        <v>4.1382500000000002</v>
      </c>
      <c r="V50" s="154" t="e">
        <v>#NUM!</v>
      </c>
      <c r="W50" s="153"/>
      <c r="X50" s="152">
        <v>20.635304999999999</v>
      </c>
      <c r="Y50" s="152">
        <v>-23.88401</v>
      </c>
      <c r="Z50" s="152">
        <v>118.99929</v>
      </c>
      <c r="AA50" s="153"/>
      <c r="AB50" s="154">
        <v>38.186552171693393</v>
      </c>
      <c r="AC50" s="154">
        <v>-7.1422226503545092</v>
      </c>
      <c r="AD50" s="154">
        <v>60.912627966099627</v>
      </c>
      <c r="AF50" s="100"/>
      <c r="AG50" s="66"/>
      <c r="AH50" s="155" t="e">
        <v>#VALUE!</v>
      </c>
      <c r="AI50" s="155" t="e">
        <v>#VALUE!</v>
      </c>
      <c r="AK50" s="478"/>
    </row>
    <row r="51" spans="2:37" s="149" customFormat="1" ht="12.75" customHeight="1">
      <c r="B51" s="148" t="s">
        <v>114</v>
      </c>
      <c r="F51" s="150"/>
      <c r="G51" s="151"/>
      <c r="I51" s="152">
        <v>65.407747499999999</v>
      </c>
      <c r="J51" s="152"/>
      <c r="K51" s="152"/>
      <c r="L51" s="152"/>
      <c r="M51" s="153"/>
      <c r="N51" s="152">
        <v>0.30687749999999997</v>
      </c>
      <c r="O51" s="152">
        <v>-91.147672499999999</v>
      </c>
      <c r="P51" s="152">
        <v>-46.344000000000001</v>
      </c>
      <c r="Q51" s="153"/>
      <c r="R51" s="154">
        <v>36.982584464838027</v>
      </c>
      <c r="S51" s="154">
        <v>-23.124547452598399</v>
      </c>
      <c r="T51" s="154">
        <v>-22.734811651068679</v>
      </c>
      <c r="U51" s="154">
        <v>3.4981149999999999</v>
      </c>
      <c r="V51" s="154" t="e">
        <v>#NUM!</v>
      </c>
      <c r="W51" s="153"/>
      <c r="X51" s="152">
        <v>2.5535700000000001</v>
      </c>
      <c r="Y51" s="152">
        <v>-36.998862500000001</v>
      </c>
      <c r="Z51" s="152">
        <v>118.99929</v>
      </c>
      <c r="AA51" s="153"/>
      <c r="AB51" s="154">
        <v>29.452671078706366</v>
      </c>
      <c r="AC51" s="154">
        <v>-22.296267871612109</v>
      </c>
      <c r="AD51" s="154">
        <v>60.912627966099627</v>
      </c>
      <c r="AF51" s="100"/>
      <c r="AG51" s="66"/>
      <c r="AH51" s="155" t="e">
        <v>#VALUE!</v>
      </c>
      <c r="AI51" s="155" t="e">
        <v>#VALUE!</v>
      </c>
      <c r="AK51" s="478"/>
    </row>
    <row r="52" spans="2:37" s="149" customFormat="1" ht="12.75" customHeight="1">
      <c r="B52" s="148" t="s">
        <v>112</v>
      </c>
      <c r="F52" s="150"/>
      <c r="G52" s="151"/>
      <c r="I52" s="152">
        <v>15.418100000000001</v>
      </c>
      <c r="J52" s="152"/>
      <c r="K52" s="152"/>
      <c r="L52" s="152"/>
      <c r="M52" s="153"/>
      <c r="N52" s="152">
        <v>0</v>
      </c>
      <c r="O52" s="152">
        <v>-406.5</v>
      </c>
      <c r="P52" s="152">
        <v>-427</v>
      </c>
      <c r="Q52" s="153"/>
      <c r="R52" s="154">
        <v>27.75039459614532</v>
      </c>
      <c r="S52" s="154">
        <v>-71.027104712740865</v>
      </c>
      <c r="T52" s="154">
        <v>-68.878390730191612</v>
      </c>
      <c r="U52" s="154">
        <v>2.7334399999999999</v>
      </c>
      <c r="V52" s="154">
        <v>0</v>
      </c>
      <c r="W52" s="153"/>
      <c r="X52" s="152">
        <v>0.13450000000000001</v>
      </c>
      <c r="Y52" s="152">
        <v>-245.57089999999999</v>
      </c>
      <c r="Z52" s="152">
        <v>118.99929</v>
      </c>
      <c r="AA52" s="153"/>
      <c r="AB52" s="154">
        <v>20.706557584414526</v>
      </c>
      <c r="AC52" s="154">
        <v>-83.170492597745707</v>
      </c>
      <c r="AD52" s="154">
        <v>60.912627966099627</v>
      </c>
      <c r="AF52" s="105"/>
      <c r="AG52" s="157"/>
      <c r="AH52" s="155" t="e">
        <v>#VALUE!</v>
      </c>
      <c r="AI52" s="155" t="e">
        <v>#VALUE!</v>
      </c>
      <c r="AK52" s="478"/>
    </row>
    <row r="53" spans="2:37" s="149" customFormat="1" ht="12.75" customHeight="1">
      <c r="B53" s="148"/>
      <c r="F53" s="150"/>
      <c r="G53" s="151"/>
      <c r="I53" s="152"/>
      <c r="J53" s="152"/>
      <c r="K53" s="152"/>
      <c r="L53" s="152"/>
      <c r="M53" s="153"/>
      <c r="N53" s="152"/>
      <c r="O53" s="152"/>
      <c r="P53" s="152"/>
      <c r="Q53" s="153"/>
      <c r="R53" s="154"/>
      <c r="S53" s="154"/>
      <c r="T53" s="154"/>
      <c r="U53" s="154"/>
      <c r="V53" s="154"/>
      <c r="W53" s="153"/>
      <c r="X53" s="152"/>
      <c r="Y53" s="152"/>
      <c r="Z53" s="152"/>
      <c r="AA53" s="153"/>
      <c r="AB53" s="154"/>
      <c r="AC53" s="154"/>
      <c r="AD53" s="154"/>
      <c r="AF53" s="405"/>
      <c r="AG53" s="405"/>
      <c r="AH53" s="155"/>
      <c r="AI53" s="155"/>
      <c r="AK53" s="478"/>
    </row>
    <row r="54" spans="2:37" s="149" customFormat="1" ht="12.75" customHeight="1">
      <c r="B54" s="148"/>
      <c r="F54" s="150"/>
      <c r="G54" s="151"/>
      <c r="I54" s="152"/>
      <c r="J54" s="152"/>
      <c r="K54" s="152"/>
      <c r="L54" s="152"/>
      <c r="M54" s="153"/>
      <c r="N54" s="152"/>
      <c r="O54" s="152"/>
      <c r="P54" s="152"/>
      <c r="Q54" s="153"/>
      <c r="R54" s="154"/>
      <c r="S54" s="154"/>
      <c r="T54" s="154"/>
      <c r="U54" s="154"/>
      <c r="V54" s="154"/>
      <c r="W54" s="153"/>
      <c r="X54" s="152"/>
      <c r="Y54" s="152"/>
      <c r="Z54" s="152"/>
      <c r="AA54" s="153"/>
      <c r="AB54" s="154"/>
      <c r="AC54" s="154"/>
      <c r="AD54" s="154"/>
      <c r="AF54" s="405"/>
      <c r="AG54" s="405"/>
      <c r="AH54" s="155"/>
      <c r="AI54" s="155"/>
      <c r="AK54" s="478"/>
    </row>
    <row r="55" spans="2:37" s="149" customFormat="1" ht="12.75" customHeight="1">
      <c r="B55" s="148" t="s">
        <v>116</v>
      </c>
      <c r="F55" s="150"/>
      <c r="G55" s="151"/>
      <c r="I55" s="152"/>
      <c r="J55" s="152"/>
      <c r="K55" s="152"/>
      <c r="L55" s="152"/>
      <c r="M55" s="153"/>
      <c r="N55" s="152"/>
      <c r="O55" s="152"/>
      <c r="P55" s="152"/>
      <c r="Q55" s="153"/>
      <c r="R55" s="154"/>
      <c r="S55" s="154"/>
      <c r="T55" s="154"/>
      <c r="U55" s="154"/>
      <c r="V55" s="154"/>
      <c r="W55" s="153"/>
      <c r="X55" s="152"/>
      <c r="Y55" s="152"/>
      <c r="Z55" s="152"/>
      <c r="AA55" s="153"/>
      <c r="AB55" s="154"/>
      <c r="AC55" s="154"/>
      <c r="AD55" s="154"/>
      <c r="AF55" s="405"/>
      <c r="AG55" s="405"/>
      <c r="AH55" s="155"/>
      <c r="AI55" s="155"/>
      <c r="AK55" s="478"/>
    </row>
    <row r="56" spans="2:37" s="149" customFormat="1" ht="12.75" customHeight="1">
      <c r="B56" s="148"/>
      <c r="F56" s="150"/>
      <c r="G56" s="151"/>
      <c r="I56" s="152"/>
      <c r="J56" s="152"/>
      <c r="K56" s="152"/>
      <c r="L56" s="152"/>
      <c r="M56" s="153"/>
      <c r="N56" s="152"/>
      <c r="O56" s="152"/>
      <c r="P56" s="152"/>
      <c r="Q56" s="153"/>
      <c r="R56" s="154"/>
      <c r="S56" s="154"/>
      <c r="T56" s="154"/>
      <c r="U56" s="154"/>
      <c r="V56" s="154"/>
      <c r="W56" s="153"/>
      <c r="X56" s="152"/>
      <c r="Y56" s="152"/>
      <c r="Z56" s="152"/>
      <c r="AA56" s="153"/>
      <c r="AB56" s="154"/>
      <c r="AC56" s="154"/>
      <c r="AD56" s="154"/>
      <c r="AF56" s="405"/>
      <c r="AG56" s="405"/>
      <c r="AH56" s="155"/>
      <c r="AI56" s="155"/>
      <c r="AK56" s="478"/>
    </row>
    <row r="57" spans="2:37" s="149" customFormat="1" ht="12.75" customHeight="1">
      <c r="B57" s="148"/>
      <c r="F57" s="150"/>
      <c r="G57" s="151"/>
      <c r="I57" s="152"/>
      <c r="J57" s="152"/>
      <c r="K57" s="152"/>
      <c r="L57" s="152"/>
      <c r="M57" s="153"/>
      <c r="N57" s="152"/>
      <c r="O57" s="152"/>
      <c r="P57" s="152"/>
      <c r="Q57" s="153"/>
      <c r="R57" s="154"/>
      <c r="S57" s="154"/>
      <c r="T57" s="154"/>
      <c r="U57" s="154"/>
      <c r="V57" s="154"/>
      <c r="W57" s="153"/>
      <c r="X57" s="152"/>
      <c r="Y57" s="152"/>
      <c r="Z57" s="152"/>
      <c r="AA57" s="153"/>
      <c r="AB57" s="154"/>
      <c r="AC57" s="154"/>
      <c r="AD57" s="154"/>
      <c r="AF57" s="405"/>
      <c r="AG57" s="405"/>
      <c r="AH57" s="155"/>
      <c r="AI57" s="155"/>
      <c r="AK57" s="478"/>
    </row>
    <row r="58" spans="2:37" s="149" customFormat="1" ht="12.75" customHeight="1">
      <c r="B58" s="148"/>
      <c r="F58" s="150"/>
      <c r="G58" s="151"/>
      <c r="I58" s="152"/>
      <c r="J58" s="152"/>
      <c r="K58" s="152"/>
      <c r="L58" s="152"/>
      <c r="M58" s="153"/>
      <c r="N58" s="152"/>
      <c r="O58" s="152"/>
      <c r="P58" s="152"/>
      <c r="Q58" s="153"/>
      <c r="R58" s="154"/>
      <c r="S58" s="154"/>
      <c r="T58" s="154"/>
      <c r="U58" s="154"/>
      <c r="V58" s="154"/>
      <c r="W58" s="153"/>
      <c r="X58" s="152"/>
      <c r="Y58" s="152"/>
      <c r="Z58" s="152"/>
      <c r="AA58" s="153"/>
      <c r="AB58" s="154"/>
      <c r="AC58" s="154"/>
      <c r="AD58" s="154"/>
      <c r="AF58"/>
      <c r="AG58"/>
      <c r="AH58" s="155"/>
      <c r="AI58" s="155"/>
      <c r="AK58" s="478"/>
    </row>
    <row r="59" spans="2:37" ht="12.75" customHeight="1"/>
    <row r="60" spans="2:37" ht="12.75" customHeight="1"/>
    <row r="61" spans="2:37" ht="12.75" customHeight="1">
      <c r="B61" s="73"/>
      <c r="C61" s="156"/>
      <c r="D61" s="156"/>
      <c r="E61" s="68"/>
      <c r="F61" s="156"/>
      <c r="G61" s="156"/>
      <c r="H61" s="156"/>
      <c r="I61" s="129"/>
      <c r="J61" s="979"/>
      <c r="K61" s="979"/>
      <c r="L61" s="313"/>
      <c r="M61" s="156"/>
      <c r="N61" s="129"/>
      <c r="O61" s="129"/>
      <c r="P61" s="129"/>
      <c r="Q61" s="419"/>
      <c r="R61" s="98"/>
      <c r="S61" s="98"/>
      <c r="T61" s="98"/>
      <c r="U61" s="98"/>
      <c r="V61" s="98"/>
      <c r="W61" s="156"/>
      <c r="X61" s="129"/>
      <c r="Y61" s="129"/>
      <c r="Z61" s="129"/>
      <c r="AA61" s="156"/>
      <c r="AB61" s="98"/>
      <c r="AC61" s="98"/>
      <c r="AD61" s="98"/>
      <c r="AE61" s="156"/>
      <c r="AH61" s="141"/>
      <c r="AI61" s="142"/>
    </row>
    <row r="62" spans="2:37" ht="12.75" customHeight="1">
      <c r="B62" s="99"/>
      <c r="C62" s="66"/>
      <c r="D62" s="66"/>
      <c r="E62" s="66"/>
      <c r="F62" s="66"/>
      <c r="G62" s="66"/>
      <c r="H62" s="66"/>
      <c r="I62" s="101"/>
      <c r="J62" s="101"/>
      <c r="K62" s="101"/>
      <c r="L62" s="101"/>
      <c r="M62" s="66"/>
      <c r="N62" s="101"/>
      <c r="O62" s="101"/>
      <c r="P62" s="101"/>
      <c r="Q62" s="71"/>
      <c r="R62" s="100"/>
      <c r="S62" s="100"/>
      <c r="T62" s="100"/>
      <c r="U62" s="100"/>
      <c r="V62" s="100"/>
      <c r="W62" s="66"/>
      <c r="X62" s="101"/>
      <c r="Y62" s="101"/>
      <c r="Z62" s="101"/>
      <c r="AA62" s="66"/>
      <c r="AB62" s="100"/>
      <c r="AC62" s="100"/>
      <c r="AD62" s="100"/>
      <c r="AE62" s="66"/>
      <c r="AH62" s="143"/>
      <c r="AI62" s="144"/>
    </row>
    <row r="63" spans="2:37" ht="12.75" customHeight="1">
      <c r="B63" s="99"/>
      <c r="C63" s="66"/>
      <c r="D63" s="66"/>
      <c r="E63" s="66"/>
      <c r="F63" s="66"/>
      <c r="G63" s="66"/>
      <c r="H63" s="66"/>
      <c r="I63" s="101"/>
      <c r="J63" s="101"/>
      <c r="K63" s="101"/>
      <c r="L63" s="101"/>
      <c r="M63" s="66"/>
      <c r="N63" s="101"/>
      <c r="O63" s="101"/>
      <c r="P63" s="101"/>
      <c r="Q63" s="71"/>
      <c r="R63" s="100"/>
      <c r="S63" s="100"/>
      <c r="T63" s="100"/>
      <c r="U63" s="100"/>
      <c r="V63" s="100"/>
      <c r="W63" s="66"/>
      <c r="X63" s="101"/>
      <c r="Y63" s="101"/>
      <c r="Z63" s="101"/>
      <c r="AA63" s="66"/>
      <c r="AB63" s="100"/>
      <c r="AC63" s="100"/>
      <c r="AD63" s="100"/>
      <c r="AE63" s="66"/>
      <c r="AH63" s="143"/>
      <c r="AI63" s="144"/>
    </row>
    <row r="64" spans="2:37" ht="12.75" customHeight="1">
      <c r="B64" s="99"/>
      <c r="C64" s="66"/>
      <c r="D64" s="66"/>
      <c r="E64" s="66"/>
      <c r="F64" s="66"/>
      <c r="G64" s="66"/>
      <c r="H64" s="66"/>
      <c r="I64" s="101"/>
      <c r="J64" s="101"/>
      <c r="K64" s="101"/>
      <c r="L64" s="101"/>
      <c r="M64" s="66"/>
      <c r="N64" s="101"/>
      <c r="O64" s="101"/>
      <c r="P64" s="101"/>
      <c r="Q64" s="71"/>
      <c r="R64" s="100"/>
      <c r="S64" s="100"/>
      <c r="T64" s="100"/>
      <c r="U64" s="100"/>
      <c r="V64" s="100"/>
      <c r="W64" s="66"/>
      <c r="X64" s="101"/>
      <c r="Y64" s="101"/>
      <c r="Z64" s="101"/>
      <c r="AA64" s="66"/>
      <c r="AB64" s="100"/>
      <c r="AC64" s="100"/>
      <c r="AD64" s="100"/>
      <c r="AE64" s="66"/>
      <c r="AH64" s="143"/>
      <c r="AI64" s="144"/>
    </row>
    <row r="65" spans="2:35" ht="12.75" customHeight="1">
      <c r="B65" s="99"/>
      <c r="C65" s="66"/>
      <c r="D65" s="66"/>
      <c r="E65" s="66"/>
      <c r="F65" s="66"/>
      <c r="G65" s="66"/>
      <c r="H65" s="66"/>
      <c r="I65" s="101"/>
      <c r="J65" s="101"/>
      <c r="K65" s="101"/>
      <c r="L65" s="101"/>
      <c r="M65" s="66"/>
      <c r="N65" s="101"/>
      <c r="O65" s="101"/>
      <c r="P65" s="101"/>
      <c r="Q65" s="71"/>
      <c r="R65" s="100"/>
      <c r="S65" s="100"/>
      <c r="T65" s="100"/>
      <c r="U65" s="100"/>
      <c r="V65" s="100"/>
      <c r="W65" s="66"/>
      <c r="X65" s="101"/>
      <c r="Y65" s="101"/>
      <c r="Z65" s="101"/>
      <c r="AA65" s="66"/>
      <c r="AB65" s="100"/>
      <c r="AC65" s="100"/>
      <c r="AD65" s="100"/>
      <c r="AE65" s="66"/>
      <c r="AH65" s="143"/>
      <c r="AI65" s="144"/>
    </row>
    <row r="66" spans="2:35" ht="12.75" customHeight="1">
      <c r="B66" s="103"/>
      <c r="C66" s="157"/>
      <c r="D66" s="157"/>
      <c r="E66" s="157"/>
      <c r="F66" s="157"/>
      <c r="G66" s="157"/>
      <c r="H66" s="157"/>
      <c r="I66" s="75"/>
      <c r="J66" s="75"/>
      <c r="K66" s="75"/>
      <c r="L66" s="75"/>
      <c r="M66" s="157"/>
      <c r="N66" s="75"/>
      <c r="O66" s="75"/>
      <c r="P66" s="75"/>
      <c r="Q66" s="420"/>
      <c r="R66" s="105"/>
      <c r="S66" s="105"/>
      <c r="T66" s="105"/>
      <c r="U66" s="105"/>
      <c r="V66" s="105"/>
      <c r="W66" s="157"/>
      <c r="X66" s="75"/>
      <c r="Y66" s="75"/>
      <c r="Z66" s="75"/>
      <c r="AA66" s="157"/>
      <c r="AB66" s="105"/>
      <c r="AC66" s="105"/>
      <c r="AD66" s="105"/>
      <c r="AE66" s="157"/>
      <c r="AH66" s="145"/>
      <c r="AI66" s="146"/>
    </row>
    <row r="67" spans="2:35" ht="12.75" customHeight="1"/>
    <row r="68" spans="2:35" ht="12.75" customHeight="1"/>
    <row r="69" spans="2:35" ht="12.75" customHeight="1">
      <c r="B69" s="8"/>
    </row>
    <row r="70" spans="2:35" ht="12.75" customHeight="1"/>
    <row r="71" spans="2:35" ht="12.75" customHeight="1"/>
  </sheetData>
  <mergeCells count="1">
    <mergeCell ref="AF7:AF8"/>
  </mergeCells>
  <conditionalFormatting sqref="AI4">
    <cfRule type="cellIs" dxfId="184" priority="3" stopIfTrue="1" operator="equal">
      <formula>"input"</formula>
    </cfRule>
  </conditionalFormatting>
  <conditionalFormatting sqref="R4">
    <cfRule type="cellIs" dxfId="183" priority="7" stopIfTrue="1" operator="equal">
      <formula>"input"</formula>
    </cfRule>
  </conditionalFormatting>
  <conditionalFormatting sqref="B4:M4">
    <cfRule type="cellIs" dxfId="182" priority="13" stopIfTrue="1" operator="equal">
      <formula>"input"</formula>
    </cfRule>
  </conditionalFormatting>
  <conditionalFormatting sqref="N4">
    <cfRule type="cellIs" dxfId="181" priority="11" stopIfTrue="1" operator="equal">
      <formula>"input"</formula>
    </cfRule>
  </conditionalFormatting>
  <conditionalFormatting sqref="N4">
    <cfRule type="cellIs" dxfId="180" priority="12" stopIfTrue="1" operator="equal">
      <formula>"input"</formula>
    </cfRule>
  </conditionalFormatting>
  <conditionalFormatting sqref="O4:Q4">
    <cfRule type="cellIs" dxfId="179" priority="9" stopIfTrue="1" operator="equal">
      <formula>"input"</formula>
    </cfRule>
  </conditionalFormatting>
  <conditionalFormatting sqref="O4:Q4">
    <cfRule type="cellIs" dxfId="178" priority="10" stopIfTrue="1" operator="equal">
      <formula>"input"</formula>
    </cfRule>
  </conditionalFormatting>
  <conditionalFormatting sqref="R4">
    <cfRule type="cellIs" dxfId="177" priority="8" stopIfTrue="1" operator="equal">
      <formula>"input"</formula>
    </cfRule>
  </conditionalFormatting>
  <conditionalFormatting sqref="S4:AE4 AH4">
    <cfRule type="cellIs" dxfId="176" priority="5" stopIfTrue="1" operator="equal">
      <formula>"input"</formula>
    </cfRule>
  </conditionalFormatting>
  <conditionalFormatting sqref="S4:AE4 AH4">
    <cfRule type="cellIs" dxfId="175" priority="6" stopIfTrue="1" operator="equal">
      <formula>"input"</formula>
    </cfRule>
  </conditionalFormatting>
  <conditionalFormatting sqref="AI4">
    <cfRule type="cellIs" dxfId="174" priority="4" stopIfTrue="1" operator="equal">
      <formula>"input"</formula>
    </cfRule>
  </conditionalFormatting>
  <conditionalFormatting sqref="AF4:AG4">
    <cfRule type="cellIs" dxfId="173" priority="1" stopIfTrue="1" operator="equal">
      <formula>"input"</formula>
    </cfRule>
  </conditionalFormatting>
  <conditionalFormatting sqref="AF4:AG4">
    <cfRule type="cellIs" dxfId="172" priority="2" stopIfTrue="1" operator="equal">
      <formula>"input"</formula>
    </cfRule>
  </conditionalFormatting>
  <pageMargins left="0.7" right="0.7" top="0.75" bottom="0.75" header="0.3" footer="0.3"/>
  <pageSetup scale="68" orientation="portrait" r:id="rId1"/>
  <colBreaks count="1" manualBreakCount="1">
    <brk id="17" max="39" man="1"/>
  </colBreaks>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H74"/>
  <sheetViews>
    <sheetView showGridLines="0" view="pageBreakPreview" zoomScaleNormal="100" zoomScaleSheetLayoutView="100" workbookViewId="0">
      <selection activeCell="A32" sqref="A32"/>
    </sheetView>
  </sheetViews>
  <sheetFormatPr defaultRowHeight="11.25" outlineLevelCol="1"/>
  <cols>
    <col min="1" max="1" width="40.1640625" style="495" bestFit="1" customWidth="1"/>
    <col min="2" max="2" width="14.83203125" style="495" bestFit="1" customWidth="1"/>
    <col min="3" max="3" width="25.1640625" style="493" bestFit="1" customWidth="1"/>
    <col min="4" max="4" width="19" style="493" bestFit="1" customWidth="1"/>
    <col min="5" max="9" width="17.83203125" style="493" customWidth="1"/>
    <col min="10" max="10" width="15.33203125" style="493" customWidth="1"/>
    <col min="11" max="11" width="14" style="493" customWidth="1"/>
    <col min="12" max="12" width="15.6640625" style="493" bestFit="1" customWidth="1"/>
    <col min="13" max="13" width="16.1640625" style="493" customWidth="1"/>
    <col min="14" max="16" width="14.83203125" style="493" bestFit="1" customWidth="1"/>
    <col min="17" max="18" width="14.83203125" style="493" customWidth="1"/>
    <col min="19" max="23" width="14.83203125" style="493" bestFit="1" customWidth="1"/>
    <col min="24" max="24" width="14.83203125" style="493" customWidth="1"/>
    <col min="25" max="29" width="14.83203125" style="493" bestFit="1" customWidth="1"/>
    <col min="30" max="30" width="17" style="493" bestFit="1" customWidth="1"/>
    <col min="31" max="31" width="14.83203125" style="493" bestFit="1" customWidth="1"/>
    <col min="32" max="32" width="19.1640625" style="493" customWidth="1"/>
    <col min="33" max="33" width="19.5" style="493" customWidth="1"/>
    <col min="34" max="34" width="21.1640625" style="493" customWidth="1"/>
    <col min="35" max="35" width="19" style="493" bestFit="1" customWidth="1"/>
    <col min="36" max="36" width="12.83203125" style="493" customWidth="1"/>
    <col min="37" max="37" width="15.33203125" style="493" customWidth="1"/>
    <col min="38" max="38" width="13.1640625" style="493" customWidth="1"/>
    <col min="39" max="39" width="18.5" style="493" bestFit="1" customWidth="1"/>
    <col min="40" max="40" width="14.83203125" style="493" bestFit="1" customWidth="1"/>
    <col min="41" max="42" width="14.83203125" style="493" customWidth="1"/>
    <col min="43" max="43" width="14.83203125" style="492" customWidth="1"/>
    <col min="44" max="44" width="14.83203125" style="493" customWidth="1"/>
    <col min="45" max="45" width="11.1640625" style="492" customWidth="1"/>
    <col min="46" max="46" width="14.83203125" style="493" bestFit="1" customWidth="1"/>
    <col min="47" max="50" width="14.83203125" style="492" customWidth="1"/>
    <col min="51" max="51" width="16" style="492" customWidth="1"/>
    <col min="52" max="54" width="14.83203125" style="492" customWidth="1"/>
    <col min="55" max="55" width="14.83203125" style="493" customWidth="1"/>
    <col min="56" max="69" width="14.83203125" style="492" customWidth="1"/>
    <col min="70" max="70" width="17" style="492" customWidth="1" outlineLevel="1"/>
    <col min="71" max="78" width="9.33203125" style="492"/>
    <col min="79" max="82" width="9.33203125" style="491"/>
    <col min="83" max="83" width="9.33203125" style="547"/>
    <col min="84" max="16384" width="9.33203125" style="491"/>
  </cols>
  <sheetData>
    <row r="1" spans="1:86" s="488" customFormat="1">
      <c r="A1" s="495" t="s">
        <v>646</v>
      </c>
      <c r="B1" s="529">
        <f>'MASTER PubCo Inputs'!C6</f>
        <v>43281</v>
      </c>
      <c r="C1" s="493"/>
      <c r="D1" s="493"/>
      <c r="E1" s="493"/>
      <c r="F1" s="493"/>
      <c r="G1" s="493"/>
      <c r="H1" s="493"/>
      <c r="I1" s="493"/>
      <c r="J1" s="493"/>
      <c r="K1" s="493"/>
      <c r="L1" s="493"/>
      <c r="M1" s="493"/>
      <c r="N1" s="493"/>
      <c r="O1" s="493"/>
      <c r="P1" s="493"/>
      <c r="Q1" s="493"/>
      <c r="R1" s="493"/>
      <c r="S1" s="493"/>
      <c r="T1" s="493"/>
      <c r="U1" s="493"/>
      <c r="V1" s="493"/>
      <c r="W1" s="493"/>
      <c r="X1" s="493"/>
      <c r="Y1" s="493"/>
      <c r="Z1" s="493"/>
      <c r="AA1" s="493"/>
      <c r="AB1" s="493"/>
      <c r="AC1" s="493"/>
      <c r="AD1" s="493"/>
      <c r="AE1" s="493"/>
      <c r="AF1" s="493"/>
      <c r="AG1" s="493"/>
      <c r="AH1" s="493"/>
      <c r="AI1" s="493"/>
      <c r="AJ1" s="493"/>
      <c r="AK1" s="493"/>
      <c r="AL1" s="493"/>
      <c r="AM1" s="493"/>
      <c r="AN1" s="493"/>
      <c r="AO1" s="493"/>
      <c r="AP1" s="493"/>
      <c r="AQ1" s="489"/>
      <c r="AR1" s="493"/>
      <c r="AS1" s="490"/>
      <c r="AT1" s="493"/>
      <c r="AU1" s="489"/>
      <c r="AV1" s="489"/>
      <c r="AW1" s="489"/>
      <c r="AX1" s="489"/>
      <c r="AY1" s="489"/>
      <c r="AZ1" s="489"/>
      <c r="BA1" s="489"/>
      <c r="BB1" s="489"/>
      <c r="BC1" s="489"/>
      <c r="BD1" s="489"/>
      <c r="BE1" s="489"/>
      <c r="BF1" s="489"/>
      <c r="BG1" s="489"/>
      <c r="BH1" s="489"/>
      <c r="BI1" s="489"/>
      <c r="BJ1" s="489"/>
      <c r="BK1" s="489"/>
      <c r="BL1" s="489"/>
      <c r="BM1" s="489"/>
      <c r="BN1" s="489"/>
      <c r="BO1" s="489"/>
      <c r="BP1" s="489"/>
      <c r="BQ1" s="489"/>
      <c r="BR1" s="489"/>
      <c r="BS1" s="489"/>
      <c r="BT1" s="489"/>
      <c r="BU1" s="489"/>
      <c r="BV1" s="489"/>
      <c r="BW1" s="489"/>
      <c r="BX1" s="489"/>
      <c r="BY1" s="489"/>
      <c r="BZ1" s="489"/>
    </row>
    <row r="2" spans="1:86" s="488" customFormat="1">
      <c r="A2" s="495" t="s">
        <v>647</v>
      </c>
      <c r="B2" s="529" t="str">
        <f>'Capital IQ Sheet-GPC'!B2</f>
        <v>CY2016</v>
      </c>
      <c r="C2" s="493"/>
      <c r="D2" s="493"/>
      <c r="E2" s="493"/>
      <c r="F2" s="493"/>
      <c r="G2" s="493"/>
      <c r="H2" s="493"/>
      <c r="I2" s="493"/>
      <c r="J2" s="493"/>
      <c r="K2" s="623" t="s">
        <v>87</v>
      </c>
      <c r="L2" s="624">
        <f>B1</f>
        <v>43281</v>
      </c>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89"/>
      <c r="AR2" s="493"/>
      <c r="AS2" s="490"/>
      <c r="AT2" s="493"/>
      <c r="AU2" s="489"/>
      <c r="AV2" s="489"/>
      <c r="AW2" s="489"/>
      <c r="AX2" s="489"/>
      <c r="AY2" s="489"/>
      <c r="AZ2" s="489"/>
      <c r="BA2" s="489"/>
      <c r="BB2" s="489"/>
      <c r="BC2" s="489"/>
      <c r="BD2" s="489"/>
      <c r="BE2" s="489"/>
      <c r="BF2" s="489"/>
      <c r="BG2" s="489"/>
      <c r="BH2" s="489"/>
      <c r="BI2" s="489"/>
      <c r="BJ2" s="489"/>
      <c r="BK2" s="489"/>
      <c r="BL2" s="489"/>
      <c r="BM2" s="489"/>
      <c r="BN2" s="489"/>
      <c r="BO2" s="489"/>
      <c r="BP2" s="489"/>
      <c r="BQ2" s="489"/>
      <c r="BR2" s="489"/>
      <c r="BS2" s="489"/>
      <c r="BT2" s="489"/>
      <c r="BU2" s="489"/>
      <c r="BV2" s="489"/>
      <c r="BW2" s="489"/>
      <c r="BX2" s="489"/>
      <c r="BY2" s="489"/>
      <c r="BZ2" s="489"/>
    </row>
    <row r="3" spans="1:86" s="488" customFormat="1">
      <c r="A3" s="495" t="s">
        <v>648</v>
      </c>
      <c r="B3" s="529" t="str">
        <f>'Capital IQ Sheet-GPC'!B3</f>
        <v>CY2017</v>
      </c>
      <c r="C3" s="493"/>
      <c r="D3" s="493"/>
      <c r="E3" s="493"/>
      <c r="F3" s="493"/>
      <c r="G3" s="493"/>
      <c r="H3" s="493"/>
      <c r="I3" s="493"/>
      <c r="J3" s="493"/>
      <c r="K3" s="533" t="s">
        <v>398</v>
      </c>
      <c r="L3" s="534" t="str">
        <f>'Capital IQ Sheet-GPC'!L3</f>
        <v>F</v>
      </c>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493"/>
      <c r="AN3" s="493"/>
      <c r="AO3" s="493"/>
      <c r="AP3" s="493"/>
      <c r="AQ3" s="489"/>
      <c r="AR3" s="493"/>
      <c r="AS3" s="490"/>
      <c r="AT3" s="493"/>
      <c r="AU3" s="489"/>
      <c r="AV3" s="489"/>
      <c r="AW3" s="489"/>
      <c r="AX3" s="489"/>
      <c r="AY3" s="489"/>
      <c r="AZ3" s="489"/>
      <c r="BA3" s="489"/>
      <c r="BB3" s="489"/>
      <c r="BC3" s="489"/>
      <c r="BD3" s="489"/>
      <c r="BE3" s="489"/>
      <c r="BF3" s="489"/>
      <c r="BG3" s="489"/>
      <c r="BH3" s="489"/>
      <c r="BI3" s="489"/>
      <c r="BJ3" s="489"/>
      <c r="BK3" s="489"/>
      <c r="BL3" s="489"/>
      <c r="BM3" s="489"/>
      <c r="BN3" s="489"/>
      <c r="BO3" s="489"/>
      <c r="BP3" s="489"/>
      <c r="BQ3" s="489"/>
      <c r="BR3" s="489"/>
      <c r="BS3" s="489"/>
      <c r="BT3" s="489"/>
      <c r="BU3" s="489"/>
      <c r="BV3" s="489"/>
      <c r="BW3" s="489"/>
      <c r="BX3" s="489"/>
      <c r="BY3" s="489"/>
      <c r="BZ3" s="489"/>
    </row>
    <row r="4" spans="1:86" s="488" customFormat="1">
      <c r="A4" s="495" t="s">
        <v>649</v>
      </c>
      <c r="B4" s="529" t="str">
        <f>'Capital IQ Sheet-GPC'!B4</f>
        <v>CY2018</v>
      </c>
      <c r="C4" s="493"/>
      <c r="D4" s="493"/>
      <c r="E4" s="493"/>
      <c r="F4" s="493"/>
      <c r="G4" s="493"/>
      <c r="H4" s="493"/>
      <c r="I4" s="493"/>
      <c r="J4" s="493"/>
      <c r="K4" s="533" t="s">
        <v>739</v>
      </c>
      <c r="L4" s="534" t="str">
        <f>'Capital IQ Sheet-GPC'!L4</f>
        <v>LFR</v>
      </c>
      <c r="M4" s="493"/>
      <c r="N4" s="493"/>
      <c r="O4" s="493"/>
      <c r="P4" s="493"/>
      <c r="Q4" s="493"/>
      <c r="R4" s="493"/>
      <c r="S4" s="493"/>
      <c r="T4" s="493"/>
      <c r="U4" s="493"/>
      <c r="V4" s="493"/>
      <c r="W4" s="493"/>
      <c r="X4" s="493"/>
      <c r="Y4" s="493"/>
      <c r="Z4" s="493"/>
      <c r="AA4" s="493"/>
      <c r="AB4" s="493"/>
      <c r="AC4" s="493"/>
      <c r="AD4" s="493"/>
      <c r="AE4" s="493"/>
      <c r="AF4" s="493"/>
      <c r="AG4" s="493"/>
      <c r="AH4" s="493"/>
      <c r="AI4" s="493"/>
      <c r="AJ4" s="493"/>
      <c r="AK4" s="493"/>
      <c r="AL4" s="493"/>
      <c r="AM4" s="493"/>
      <c r="AN4" s="493"/>
      <c r="AO4" s="493"/>
      <c r="AP4" s="493"/>
      <c r="AQ4" s="489"/>
      <c r="AR4" s="493"/>
      <c r="AS4" s="489"/>
      <c r="AT4" s="493"/>
      <c r="AU4" s="489"/>
      <c r="AV4" s="489"/>
      <c r="AW4" s="489"/>
      <c r="AX4" s="489"/>
      <c r="AY4" s="489"/>
      <c r="AZ4" s="489"/>
      <c r="BA4" s="489"/>
      <c r="BB4" s="489"/>
      <c r="BC4" s="489"/>
      <c r="BD4" s="489"/>
      <c r="BE4" s="489"/>
      <c r="BF4" s="489"/>
      <c r="BG4" s="489"/>
      <c r="BH4" s="489"/>
      <c r="BI4" s="489"/>
      <c r="BJ4" s="489"/>
      <c r="BK4" s="489"/>
      <c r="BL4" s="489"/>
      <c r="BM4" s="489"/>
      <c r="BN4" s="489"/>
      <c r="BO4" s="489"/>
      <c r="BP4" s="489"/>
      <c r="BQ4" s="489"/>
      <c r="BR4" s="489"/>
      <c r="BS4" s="489"/>
      <c r="BT4" s="489"/>
      <c r="BU4" s="489"/>
      <c r="BV4" s="489"/>
      <c r="BW4" s="489"/>
      <c r="BX4" s="489"/>
      <c r="BY4" s="489"/>
      <c r="BZ4" s="489"/>
    </row>
    <row r="5" spans="1:86" s="488" customFormat="1">
      <c r="A5" s="495" t="s">
        <v>650</v>
      </c>
      <c r="B5" s="529" t="str">
        <f>'Capital IQ Sheet-GPC'!B5</f>
        <v>CY2019</v>
      </c>
      <c r="C5" s="493"/>
      <c r="D5" s="493"/>
      <c r="E5" s="493"/>
      <c r="F5" s="493"/>
      <c r="G5" s="493"/>
      <c r="H5" s="493"/>
      <c r="I5" s="493"/>
      <c r="J5" s="493"/>
      <c r="K5" s="533" t="s">
        <v>399</v>
      </c>
      <c r="L5" s="534" t="str">
        <f>'Capital IQ Sheet-GPC'!L5</f>
        <v>USD</v>
      </c>
      <c r="M5" s="493"/>
      <c r="N5" s="493"/>
      <c r="O5" s="493"/>
      <c r="P5" s="493"/>
      <c r="Q5" s="493"/>
      <c r="R5" s="493"/>
      <c r="S5" s="493"/>
      <c r="T5" s="493"/>
      <c r="U5" s="493"/>
      <c r="V5" s="493"/>
      <c r="W5" s="493"/>
      <c r="X5" s="493"/>
      <c r="Y5" s="493"/>
      <c r="Z5" s="493"/>
      <c r="AA5" s="493"/>
      <c r="AB5" s="493"/>
      <c r="AC5" s="493"/>
      <c r="AD5" s="493"/>
      <c r="AE5" s="493"/>
      <c r="AF5" s="493"/>
      <c r="AG5" s="493"/>
      <c r="AH5" s="493"/>
      <c r="AI5" s="493"/>
      <c r="AJ5" s="493"/>
      <c r="AK5" s="493"/>
      <c r="AL5" s="493"/>
      <c r="AM5" s="493"/>
      <c r="AN5" s="493"/>
      <c r="AO5" s="493"/>
      <c r="AP5" s="493"/>
      <c r="AQ5" s="489"/>
      <c r="AR5" s="493"/>
      <c r="AS5" s="489"/>
      <c r="AT5" s="493"/>
      <c r="AU5" s="489"/>
      <c r="AV5" s="489"/>
      <c r="AW5" s="489"/>
      <c r="AX5" s="489"/>
      <c r="AY5" s="489"/>
      <c r="AZ5" s="489"/>
      <c r="BA5" s="489"/>
      <c r="BB5" s="489"/>
      <c r="BC5" s="489"/>
      <c r="BD5" s="489"/>
      <c r="BE5" s="489"/>
      <c r="BF5" s="489"/>
      <c r="BG5" s="489"/>
      <c r="BH5" s="489"/>
      <c r="BI5" s="489"/>
      <c r="BJ5" s="489"/>
      <c r="BK5" s="489"/>
      <c r="BL5" s="489"/>
      <c r="BM5" s="489"/>
      <c r="BN5" s="489"/>
      <c r="BO5" s="489"/>
      <c r="BP5" s="489"/>
      <c r="BQ5" s="489"/>
      <c r="BR5" s="489"/>
      <c r="BS5" s="489"/>
      <c r="BT5" s="489"/>
      <c r="BU5" s="489"/>
      <c r="BV5" s="489"/>
      <c r="BW5" s="489"/>
      <c r="BX5" s="489"/>
      <c r="BY5" s="489"/>
      <c r="BZ5" s="489"/>
    </row>
    <row r="6" spans="1:86" s="488" customFormat="1">
      <c r="A6" s="495" t="s">
        <v>651</v>
      </c>
      <c r="B6" s="529" t="str">
        <f>'Capital IQ Sheet-GPC'!B6</f>
        <v>CY2020</v>
      </c>
      <c r="C6" s="493"/>
      <c r="D6" s="493"/>
      <c r="E6" s="493"/>
      <c r="F6" s="493"/>
      <c r="G6" s="493"/>
      <c r="H6" s="493"/>
      <c r="I6" s="493"/>
      <c r="J6" s="493"/>
      <c r="K6" s="535" t="s">
        <v>89</v>
      </c>
      <c r="L6" s="536" t="str">
        <f>'Capital IQ Sheet-GPC'!L6</f>
        <v>H</v>
      </c>
      <c r="M6" s="493"/>
      <c r="N6" s="493"/>
      <c r="O6" s="493"/>
      <c r="P6" s="493"/>
      <c r="Q6" s="493"/>
      <c r="R6" s="493"/>
      <c r="S6" s="493"/>
      <c r="T6" s="493"/>
      <c r="U6" s="493"/>
      <c r="V6" s="493"/>
      <c r="W6" s="493"/>
      <c r="X6" s="493"/>
      <c r="Y6" s="493"/>
      <c r="Z6" s="493"/>
      <c r="AA6" s="493"/>
      <c r="AB6" s="493"/>
      <c r="AC6" s="493"/>
      <c r="AD6" s="493"/>
      <c r="AE6" s="537"/>
      <c r="AF6" s="493"/>
      <c r="AG6" s="493"/>
      <c r="AH6" s="493"/>
      <c r="AI6" s="493"/>
      <c r="AJ6" s="493"/>
      <c r="AK6" s="493"/>
      <c r="AL6" s="493"/>
      <c r="AM6" s="493"/>
      <c r="AN6" s="493"/>
      <c r="AO6" s="493"/>
      <c r="AP6" s="493"/>
      <c r="AQ6" s="489"/>
      <c r="AR6" s="493"/>
      <c r="AS6" s="489"/>
      <c r="AT6" s="493"/>
      <c r="AU6" s="489"/>
      <c r="AV6" s="489"/>
      <c r="AW6" s="489"/>
      <c r="AX6" s="489"/>
      <c r="AY6" s="489"/>
      <c r="AZ6" s="489"/>
      <c r="BA6" s="489"/>
      <c r="BB6" s="489"/>
      <c r="BC6" s="489"/>
      <c r="BD6" s="489"/>
      <c r="BE6" s="489"/>
      <c r="BF6" s="489"/>
      <c r="BG6" s="489"/>
      <c r="BH6" s="489"/>
      <c r="BI6" s="489"/>
      <c r="BJ6" s="489"/>
      <c r="BK6" s="489"/>
      <c r="BL6" s="489"/>
      <c r="BM6" s="489"/>
      <c r="BN6" s="489"/>
      <c r="BO6" s="489"/>
      <c r="BP6" s="489"/>
      <c r="BQ6" s="489"/>
      <c r="BR6" s="489"/>
      <c r="BS6" s="489"/>
      <c r="BT6" s="489"/>
      <c r="BU6" s="489"/>
      <c r="BV6" s="489"/>
      <c r="BW6" s="489"/>
      <c r="BX6" s="489"/>
      <c r="BY6" s="489"/>
      <c r="BZ6" s="489"/>
    </row>
    <row r="7" spans="1:86" s="488" customFormat="1">
      <c r="A7" s="495" t="s">
        <v>741</v>
      </c>
      <c r="B7" s="529" t="str">
        <f>'Capital IQ Sheet-GPC'!B7</f>
        <v>CY2021</v>
      </c>
      <c r="C7" s="493"/>
      <c r="D7" s="493"/>
      <c r="E7" s="493"/>
      <c r="F7" s="493"/>
      <c r="G7" s="493"/>
      <c r="H7" s="493"/>
      <c r="I7" s="493"/>
      <c r="J7" s="493"/>
      <c r="K7" s="537"/>
      <c r="L7" s="537"/>
      <c r="M7" s="493"/>
      <c r="N7" s="493"/>
      <c r="O7" s="493"/>
      <c r="P7" s="493"/>
      <c r="Q7" s="493"/>
      <c r="R7" s="493"/>
      <c r="S7" s="493"/>
      <c r="T7" s="493"/>
      <c r="U7" s="493"/>
      <c r="V7" s="493"/>
      <c r="W7" s="493"/>
      <c r="X7" s="493"/>
      <c r="Y7" s="493"/>
      <c r="Z7" s="493"/>
      <c r="AA7" s="493"/>
      <c r="AB7" s="493"/>
      <c r="AC7" s="493"/>
      <c r="AD7" s="493"/>
      <c r="AE7" s="537"/>
      <c r="AF7" s="538"/>
      <c r="AG7" s="538"/>
      <c r="AH7" s="493"/>
      <c r="AI7" s="493"/>
      <c r="AJ7" s="493"/>
      <c r="AK7" s="493"/>
      <c r="AL7" s="493"/>
      <c r="AM7" s="493"/>
      <c r="AN7" s="493"/>
      <c r="AO7" s="493"/>
      <c r="AP7" s="493"/>
      <c r="AQ7" s="489"/>
      <c r="AR7" s="493"/>
      <c r="AS7" s="489"/>
      <c r="AT7" s="493"/>
      <c r="AU7" s="489"/>
      <c r="AV7" s="489"/>
      <c r="AW7" s="489"/>
      <c r="AX7" s="489"/>
      <c r="AY7" s="489"/>
      <c r="AZ7" s="489"/>
      <c r="BA7" s="489"/>
      <c r="BB7" s="489"/>
      <c r="BC7" s="489"/>
      <c r="BD7" s="489"/>
      <c r="BE7" s="489"/>
      <c r="BF7" s="489"/>
      <c r="BG7" s="489"/>
      <c r="BH7" s="489"/>
      <c r="BI7" s="489"/>
      <c r="BJ7" s="489"/>
      <c r="BK7" s="489"/>
      <c r="BL7" s="489"/>
      <c r="BM7" s="489"/>
      <c r="BN7" s="489"/>
      <c r="BO7" s="489"/>
      <c r="BP7" s="489"/>
      <c r="BQ7" s="489"/>
      <c r="BR7" s="489"/>
      <c r="BS7" s="489"/>
      <c r="BT7" s="489"/>
      <c r="BU7" s="489"/>
      <c r="BV7" s="489"/>
      <c r="BW7" s="489"/>
      <c r="BX7" s="489"/>
      <c r="BY7" s="489"/>
      <c r="BZ7" s="489"/>
    </row>
    <row r="8" spans="1:86" s="488" customFormat="1">
      <c r="A8" s="495" t="s">
        <v>652</v>
      </c>
      <c r="B8" s="529">
        <f>'Capital IQ Sheet-GPC'!B8</f>
        <v>43105</v>
      </c>
      <c r="C8" s="493"/>
      <c r="D8" s="493"/>
      <c r="E8" s="493"/>
      <c r="F8" s="493"/>
      <c r="G8" s="493"/>
      <c r="H8" s="493"/>
      <c r="I8" s="493"/>
      <c r="J8" s="493"/>
      <c r="K8" s="493"/>
      <c r="L8" s="493"/>
      <c r="M8" s="493"/>
      <c r="N8" s="493"/>
      <c r="O8" s="493"/>
      <c r="P8" s="493"/>
      <c r="Q8" s="493"/>
      <c r="R8" s="493"/>
      <c r="S8" s="493"/>
      <c r="T8" s="493"/>
      <c r="U8" s="493"/>
      <c r="V8" s="493"/>
      <c r="W8" s="493"/>
      <c r="X8" s="493"/>
      <c r="Y8" s="493"/>
      <c r="Z8" s="493"/>
      <c r="AA8" s="493"/>
      <c r="AB8" s="493"/>
      <c r="AC8" s="493"/>
      <c r="AD8" s="493"/>
      <c r="AE8" s="493"/>
      <c r="AF8" s="493"/>
      <c r="AG8" s="493"/>
      <c r="AH8" s="493"/>
      <c r="AI8" s="493"/>
      <c r="AJ8" s="493"/>
      <c r="AK8" s="493"/>
      <c r="AL8" s="493"/>
      <c r="AM8" s="493"/>
      <c r="AN8" s="493"/>
      <c r="AO8" s="493"/>
      <c r="AP8" s="493"/>
      <c r="AQ8" s="489"/>
      <c r="AR8" s="493"/>
      <c r="AS8" s="489"/>
      <c r="AT8" s="493"/>
      <c r="AU8" s="489"/>
      <c r="AV8" s="489"/>
      <c r="AW8" s="489"/>
      <c r="AX8" s="489"/>
      <c r="AY8" s="489"/>
      <c r="AZ8" s="489"/>
      <c r="BA8" s="489"/>
      <c r="BB8" s="489"/>
      <c r="BC8" s="489"/>
      <c r="BD8" s="489"/>
      <c r="BE8" s="489"/>
      <c r="BF8" s="489"/>
      <c r="BG8" s="489"/>
      <c r="BH8" s="489"/>
      <c r="BI8" s="489"/>
      <c r="BJ8" s="489"/>
      <c r="BK8" s="489"/>
      <c r="BL8" s="489"/>
      <c r="BM8" s="489"/>
      <c r="BN8" s="489"/>
      <c r="BO8" s="489"/>
      <c r="BP8" s="489"/>
      <c r="BQ8" s="489"/>
      <c r="BR8" s="489"/>
      <c r="BS8" s="489"/>
      <c r="BT8" s="489"/>
      <c r="BU8" s="489"/>
      <c r="BV8" s="489"/>
      <c r="BW8" s="489"/>
      <c r="BX8" s="489"/>
      <c r="BY8" s="489"/>
      <c r="BZ8" s="489"/>
    </row>
    <row r="9" spans="1:86" s="628" customFormat="1" ht="12.75">
      <c r="A9" s="625"/>
      <c r="B9" s="625"/>
      <c r="C9" s="626"/>
      <c r="D9" s="626"/>
      <c r="E9" s="626"/>
      <c r="F9" s="626"/>
      <c r="G9" s="626"/>
      <c r="H9" s="626"/>
      <c r="I9" s="626"/>
      <c r="J9" s="626"/>
      <c r="K9" s="626"/>
      <c r="L9" s="626"/>
      <c r="M9" s="626"/>
      <c r="N9" s="626"/>
      <c r="O9" s="626"/>
      <c r="P9" s="626"/>
      <c r="Q9" s="626"/>
      <c r="R9" s="626"/>
      <c r="S9" s="626"/>
      <c r="T9" s="626"/>
      <c r="U9" s="626"/>
      <c r="V9" s="626"/>
      <c r="W9" s="626"/>
      <c r="X9" s="626"/>
      <c r="Y9" s="626"/>
      <c r="Z9" s="626"/>
      <c r="AA9" s="626"/>
      <c r="AB9" s="626"/>
      <c r="AC9" s="626"/>
      <c r="AD9" s="626"/>
      <c r="AE9" s="626"/>
      <c r="AF9" s="626"/>
      <c r="AG9" s="626"/>
      <c r="AH9" s="626"/>
      <c r="AI9" s="626"/>
      <c r="AJ9" s="626"/>
      <c r="AK9" s="626"/>
      <c r="AL9" s="626"/>
      <c r="AM9" s="626"/>
      <c r="AN9" s="626"/>
      <c r="AO9" s="626"/>
      <c r="AP9" s="626"/>
      <c r="AQ9" s="627"/>
      <c r="AR9" s="626"/>
      <c r="AS9" s="627"/>
      <c r="AT9" s="626"/>
      <c r="AU9" s="627"/>
      <c r="AV9" s="627"/>
      <c r="AW9" s="627"/>
      <c r="AX9" s="627"/>
      <c r="AY9" s="627"/>
      <c r="AZ9" s="627"/>
      <c r="BA9" s="627"/>
      <c r="BB9" s="627"/>
      <c r="BC9" s="626"/>
      <c r="BD9" s="627"/>
      <c r="BE9" s="627"/>
      <c r="BF9" s="627"/>
      <c r="BG9" s="627"/>
      <c r="BH9" s="627"/>
      <c r="BI9" s="627"/>
      <c r="BJ9" s="627"/>
      <c r="BK9" s="627"/>
      <c r="BL9" s="627"/>
      <c r="BM9" s="627"/>
      <c r="BN9" s="627"/>
      <c r="BO9" s="627"/>
      <c r="BP9" s="627"/>
      <c r="BQ9" s="627"/>
      <c r="BR9" s="627"/>
      <c r="BS9" s="627"/>
      <c r="BT9" s="627"/>
      <c r="BU9" s="627"/>
      <c r="BV9" s="627"/>
      <c r="BW9" s="627"/>
      <c r="BX9" s="627"/>
      <c r="BY9" s="627"/>
      <c r="BZ9" s="627"/>
    </row>
    <row r="10" spans="1:86">
      <c r="A10" s="539" t="str">
        <f>'Capital IQ Sheet-GPC'!A10</f>
        <v>Comparable Public Companies (Primary)</v>
      </c>
      <c r="W10" s="540"/>
      <c r="AF10" s="629" t="s">
        <v>277</v>
      </c>
      <c r="AG10" s="630"/>
      <c r="AH10" s="630"/>
      <c r="AI10" s="631"/>
      <c r="AJ10" s="493" t="s">
        <v>290</v>
      </c>
      <c r="AK10" s="493" t="s">
        <v>276</v>
      </c>
      <c r="AL10" s="493" t="s">
        <v>277</v>
      </c>
      <c r="AM10" s="493" t="s">
        <v>290</v>
      </c>
      <c r="AN10" s="493" t="s">
        <v>276</v>
      </c>
      <c r="AO10" s="493" t="s">
        <v>277</v>
      </c>
      <c r="AQ10" s="489">
        <v>1</v>
      </c>
      <c r="AR10" s="493">
        <v>2</v>
      </c>
      <c r="AS10" s="489">
        <v>5</v>
      </c>
      <c r="AU10" s="493" t="s">
        <v>290</v>
      </c>
      <c r="AV10" s="493" t="s">
        <v>276</v>
      </c>
      <c r="AW10" s="493" t="s">
        <v>277</v>
      </c>
      <c r="AX10" s="540" t="str">
        <f>B2</f>
        <v>CY2016</v>
      </c>
      <c r="AY10" s="540" t="str">
        <f>B3</f>
        <v>CY2017</v>
      </c>
      <c r="AZ10" s="493" t="s">
        <v>290</v>
      </c>
      <c r="BA10" s="493" t="s">
        <v>276</v>
      </c>
      <c r="BB10" s="493" t="s">
        <v>277</v>
      </c>
      <c r="BC10" s="493" t="str">
        <f>AX10</f>
        <v>CY2016</v>
      </c>
      <c r="BD10" s="493" t="str">
        <f>AY10</f>
        <v>CY2017</v>
      </c>
      <c r="BE10" s="493"/>
      <c r="BF10" s="493"/>
      <c r="BG10" s="493"/>
      <c r="BH10" s="489"/>
      <c r="BI10" s="489"/>
      <c r="BJ10" s="489"/>
      <c r="BK10" s="489"/>
      <c r="BL10" s="489"/>
      <c r="BM10" s="489"/>
      <c r="BN10" s="489"/>
      <c r="BO10" s="489"/>
      <c r="BP10" s="489"/>
      <c r="BQ10" s="489"/>
      <c r="BR10" s="489"/>
      <c r="BS10" s="489" t="s">
        <v>117</v>
      </c>
      <c r="BT10" s="489"/>
      <c r="BU10" s="489"/>
      <c r="BV10" s="489"/>
      <c r="BW10" s="489"/>
      <c r="BX10" s="489"/>
      <c r="BY10" s="489"/>
      <c r="BZ10" s="489"/>
      <c r="CA10" s="488"/>
      <c r="CB10" s="488"/>
      <c r="CC10" s="488"/>
      <c r="CD10" s="488"/>
      <c r="CE10" s="488"/>
      <c r="CF10" s="488"/>
      <c r="CG10" s="488"/>
      <c r="CH10" s="488"/>
    </row>
    <row r="11" spans="1:86" ht="12.75">
      <c r="A11" s="495" t="s">
        <v>108</v>
      </c>
      <c r="B11" s="495" t="s">
        <v>653</v>
      </c>
      <c r="C11" s="493" t="s">
        <v>654</v>
      </c>
      <c r="D11" s="493" t="s">
        <v>655</v>
      </c>
      <c r="E11" s="493" t="s">
        <v>656</v>
      </c>
      <c r="F11" s="493" t="s">
        <v>743</v>
      </c>
      <c r="G11" s="492" t="s">
        <v>657</v>
      </c>
      <c r="H11" s="492" t="s">
        <v>145</v>
      </c>
      <c r="I11" s="492" t="s">
        <v>615</v>
      </c>
      <c r="J11" s="493" t="s">
        <v>94</v>
      </c>
      <c r="K11" s="493" t="s">
        <v>95</v>
      </c>
      <c r="L11" s="493" t="s">
        <v>96</v>
      </c>
      <c r="M11" s="493" t="s">
        <v>97</v>
      </c>
      <c r="N11" s="493" t="s">
        <v>100</v>
      </c>
      <c r="O11" s="626" t="s">
        <v>702</v>
      </c>
      <c r="P11" s="493" t="s">
        <v>703</v>
      </c>
      <c r="Q11" s="493" t="s">
        <v>704</v>
      </c>
      <c r="R11" s="493" t="str">
        <f>"REV_"&amp;$B$2</f>
        <v>REV_CY2016</v>
      </c>
      <c r="S11" s="493" t="str">
        <f>"REV_"&amp;$B$3</f>
        <v>REV_CY2017</v>
      </c>
      <c r="T11" s="493" t="str">
        <f>"REV_"&amp;$B$4</f>
        <v>REV_CY2018</v>
      </c>
      <c r="U11" s="493" t="str">
        <f>"REV_"&amp;$B$5</f>
        <v>REV_CY2019</v>
      </c>
      <c r="V11" s="493" t="str">
        <f>"REV_"&amp;$B$6</f>
        <v>REV_CY2020</v>
      </c>
      <c r="W11" s="493" t="str">
        <f>"REV_"&amp;$B$7</f>
        <v>REV_CY2021</v>
      </c>
      <c r="X11" s="626" t="s">
        <v>705</v>
      </c>
      <c r="Y11" s="493" t="s">
        <v>706</v>
      </c>
      <c r="Z11" s="493" t="s">
        <v>658</v>
      </c>
      <c r="AA11" s="493" t="s">
        <v>707</v>
      </c>
      <c r="AB11" s="493" t="s">
        <v>708</v>
      </c>
      <c r="AC11" s="493" t="s">
        <v>709</v>
      </c>
      <c r="AD11" s="493" t="s">
        <v>710</v>
      </c>
      <c r="AE11" s="493" t="s">
        <v>711</v>
      </c>
      <c r="AF11" s="493" t="s">
        <v>714</v>
      </c>
      <c r="AG11" s="493" t="s">
        <v>759</v>
      </c>
      <c r="AH11" s="493" t="s">
        <v>760</v>
      </c>
      <c r="AI11" s="493" t="s">
        <v>761</v>
      </c>
      <c r="AJ11" s="493" t="s">
        <v>715</v>
      </c>
      <c r="AK11" s="493" t="s">
        <v>715</v>
      </c>
      <c r="AL11" s="493" t="s">
        <v>715</v>
      </c>
      <c r="AM11" s="493" t="s">
        <v>611</v>
      </c>
      <c r="AN11" s="493" t="s">
        <v>611</v>
      </c>
      <c r="AO11" s="493" t="s">
        <v>611</v>
      </c>
      <c r="AP11" s="493" t="s">
        <v>762</v>
      </c>
      <c r="AQ11" s="493" t="s">
        <v>661</v>
      </c>
      <c r="AR11" s="493" t="s">
        <v>660</v>
      </c>
      <c r="AS11" s="493" t="s">
        <v>659</v>
      </c>
      <c r="AT11" s="493" t="s">
        <v>73</v>
      </c>
      <c r="AU11" s="492" t="s">
        <v>528</v>
      </c>
      <c r="AV11" s="492" t="s">
        <v>528</v>
      </c>
      <c r="AW11" s="492" t="s">
        <v>528</v>
      </c>
      <c r="AX11" s="492" t="s">
        <v>528</v>
      </c>
      <c r="AY11" s="493" t="s">
        <v>528</v>
      </c>
      <c r="AZ11" s="492" t="s">
        <v>529</v>
      </c>
      <c r="BA11" s="492" t="s">
        <v>529</v>
      </c>
      <c r="BB11" s="492" t="s">
        <v>529</v>
      </c>
      <c r="BC11" s="493" t="s">
        <v>529</v>
      </c>
      <c r="BD11" s="492" t="s">
        <v>529</v>
      </c>
      <c r="BE11" s="492" t="s">
        <v>749</v>
      </c>
      <c r="BF11" s="492" t="s">
        <v>750</v>
      </c>
      <c r="BG11" s="492" t="s">
        <v>751</v>
      </c>
      <c r="BH11" s="492" t="s">
        <v>752</v>
      </c>
      <c r="BI11" s="492" t="s">
        <v>753</v>
      </c>
      <c r="BJ11" s="492" t="s">
        <v>754</v>
      </c>
      <c r="BK11" s="492" t="s">
        <v>662</v>
      </c>
      <c r="BL11" s="492" t="s">
        <v>663</v>
      </c>
      <c r="BM11" s="492" t="s">
        <v>664</v>
      </c>
      <c r="BN11" s="492" t="s">
        <v>665</v>
      </c>
      <c r="BO11" s="492" t="s">
        <v>666</v>
      </c>
      <c r="BP11" s="492" t="s">
        <v>667</v>
      </c>
      <c r="BQ11" s="492" t="s">
        <v>668</v>
      </c>
      <c r="BR11" s="492" t="s">
        <v>669</v>
      </c>
      <c r="BS11" s="494" t="str">
        <f>'Capital IQ Sheet-GPC'!BS11</f>
        <v>Year 1</v>
      </c>
      <c r="BT11" s="494" t="str">
        <f>'Capital IQ Sheet-GPC'!BT11</f>
        <v>Year 2</v>
      </c>
      <c r="BU11" s="494" t="str">
        <f>'Capital IQ Sheet-GPC'!BU11</f>
        <v>Year 3</v>
      </c>
      <c r="BV11" s="494" t="str">
        <f>'Capital IQ Sheet-GPC'!BV11</f>
        <v>Year 4</v>
      </c>
      <c r="BW11" s="494" t="str">
        <f>'Capital IQ Sheet-GPC'!BW11</f>
        <v>Year 5</v>
      </c>
      <c r="BX11" s="494" t="str">
        <f>'Capital IQ Sheet-GPC'!BX11</f>
        <v>Year 6</v>
      </c>
      <c r="BY11" s="494" t="str">
        <f>'Capital IQ Sheet-GPC'!BY11</f>
        <v>Year 7</v>
      </c>
      <c r="BZ11" s="494" t="str">
        <f>'Capital IQ Sheet-GPC'!BZ11</f>
        <v>Year 8</v>
      </c>
      <c r="CB11" s="491" t="s">
        <v>763</v>
      </c>
      <c r="CC11" s="491" t="s">
        <v>249</v>
      </c>
      <c r="CD11" s="491" t="s">
        <v>250</v>
      </c>
      <c r="CE11" s="492" t="s">
        <v>719</v>
      </c>
    </row>
    <row r="12" spans="1:86">
      <c r="CE12" s="491"/>
    </row>
    <row r="13" spans="1:86" s="492" customFormat="1" ht="12.75">
      <c r="A13" s="493" t="str">
        <f>_xll.ciqfunctions.udf.CIQ($B13,"IQ_COMPANY_TICKER")</f>
        <v>NasdaqGS:ACAD</v>
      </c>
      <c r="B13" s="541" t="str">
        <f>'Capital IQ Sheet-GPC'!B13</f>
        <v>IQ683713</v>
      </c>
      <c r="C13" s="493" t="str">
        <f>_xll.ciqfunctions.udf.CIQ($A13,"IQ_COMPANY_NAME")</f>
        <v>ACADIA Pharmaceuticals Inc.</v>
      </c>
      <c r="D13" s="493" t="str">
        <f>_xll.ciqfunctions.udf.CIQ($A13, "IQ_EXCHANGE")</f>
        <v>NasdaqGS</v>
      </c>
      <c r="E13" s="540">
        <f>_xll.ciqfunctions.udf.CIQ($A13, "IQ_PERIODDATE_IS", IQ_FY)</f>
        <v>43100</v>
      </c>
      <c r="F13" s="540">
        <f>_xll.ciqfunctions.udf.CIQ(A13, "IQ_PERIODDATE_IS", IQ_LTM, $B$1,$L$4,$L$3)</f>
        <v>43190</v>
      </c>
      <c r="G13" s="540">
        <f>_xll.ciqfunctions.udf.CIQ($A13, "IQ_FIRSTPRICINGDATE")</f>
        <v>38134</v>
      </c>
      <c r="H13" s="542">
        <f>_xll.ciqfunctions.udf.CIQ($A13, "IQ_TEV", $L$2, $L$5, $L$6)</f>
        <v>1608.02955</v>
      </c>
      <c r="I13" s="542">
        <f>_xll.ciqfunctions.udf.CIQ(A13, "IQ_LASTSALEPRICE", $B$1,$L$5)</f>
        <v>15.27</v>
      </c>
      <c r="J13" s="542">
        <f>_xll.ciqfunctions.udf.CIQ($A13, "IQ_MARKETCAP", $L$2, $L$5, $L$6)</f>
        <v>1906.0925500000001</v>
      </c>
      <c r="K13" s="542">
        <f>_xll.ciqfunctions.udf.CIQ($A13, "IQ_TOTAL_DEBT", IQ_LTM, $L$2,$L$4, $L$3, $L$5, $L$6)</f>
        <v>0</v>
      </c>
      <c r="L13" s="542" t="str">
        <f>_xll.ciqfunctions.udf.CIQ($A13, "IQ_PREF_EQUITY", IQ_LTM, $L$2, $L$4, $L$3, $L$5, $L$6)</f>
        <v>n/a</v>
      </c>
      <c r="M13" s="542" t="str">
        <f>_xll.ciqfunctions.udf.CIQ($A13, "IQ_MINORITY_INTEREST_TOTAL", IQ_LTM, $L$2, $L$4, $L$3, $L$5, $L$6)</f>
        <v>n/a</v>
      </c>
      <c r="N13" s="542">
        <f>_xll.ciqfunctions.udf.CIQ($A13, "IQ_CASH_ST_INVEST", IQ_LTM, $L$2, $L$4, $L$3, $L$5, $L$6)</f>
        <v>298.06299999999999</v>
      </c>
      <c r="O13" s="542">
        <f>_xll.ciqfunctions.udf.CIQ($A13, "IQ_TOTAL_REV", IQ_LTM-8, $L$2, $L$4, $L$3, $L$5, $L$6)</f>
        <v>6.0999999999999999E-2</v>
      </c>
      <c r="P13" s="542">
        <f>_xll.ciqfunctions.udf.CIQ($A13, "IQ_TOTAL_REV", IQ_LTM - 4, $L$2, $L$4, $L$3, $L$5,$L$6)</f>
        <v>32.613</v>
      </c>
      <c r="Q13" s="542">
        <f>_xll.ciqfunctions.udf.CIQ($A13, "IQ_TOTAL_REV", IQ_LTM, $L$2, $L$4, $L$3, $L$5, $L$6)</f>
        <v>158.483</v>
      </c>
      <c r="R13" s="542">
        <f>_xll.ciqfunctions.udf.CIQ($A13, "IQ_TOTAL_REV", $B$2, $L$2, $L$4, $L$3, $L$5, $L$6)</f>
        <v>17.331</v>
      </c>
      <c r="S13" s="542">
        <f>IF(_xll.ciqfunctions.udf.CIQ($A13, "IQ_TOTAL_REV", $B$3, $L$2,$L$4, $L$3, $L$5, $L$6)=0,Q13,_xll.ciqfunctions.udf.CIQ($A13, "IQ_TOTAL_REV", $B$3, $L$2,$L$4, $L$3, $L$5, $L$6))</f>
        <v>124.901</v>
      </c>
      <c r="T13" s="542">
        <f>IF(_xll.ciqfunctions.udf.CIQ($A13, "IQ_REVENUE_EST",$B$4, $L$2, "CON", $L$3, $L$5, $L$6)=0,"n/a",_xll.ciqfunctions.udf.CIQ($A13, "IQ_REVENUE_EST",$B$4, $L$2, "CON", $L$3, $L$5, $L$6))</f>
        <v>261.38290999999998</v>
      </c>
      <c r="U13" s="542">
        <f>IF(_xll.ciqfunctions.udf.CIQ($A13, "IQ_REVENUE_EST",$B$5, $L$2, "CON", $L$3, $L$5, $L$6)=0,"n/a",_xll.ciqfunctions.udf.CIQ($A13, "IQ_REVENUE_EST",$B$5, $L$2, "CON", $L$3, $L$5, $L$6))</f>
        <v>415.07722999999999</v>
      </c>
      <c r="V13" s="542">
        <f>IF(_xll.ciqfunctions.udf.CIQ($A13, "IQ_REVENUE_EST",$B$6, $L$2, "CON", $L$3, $L$5, $L$6)=0,"n/a",_xll.ciqfunctions.udf.CIQ($A13, "IQ_REVENUE_EST",$B$6, $L$2, "CON", $L$3, $L$5, $L$6))</f>
        <v>788.02</v>
      </c>
      <c r="W13" s="542">
        <f>IF(_xll.ciqfunctions.udf.CIQ($A13, "IQ_REVENUE_EST", $B$7, $L$2, "CON", $L$3, $L$5, $L$6)=0,"n/a",_xll.ciqfunctions.udf.CIQ($A13, "IQ_REVENUE_EST",$B$7, $L$2, "CON", $L$3, $L$5, $L$6))</f>
        <v>1425.6933300000001</v>
      </c>
      <c r="X13" s="542">
        <f>_xll.ciqfunctions.udf.CIQ($A13, "IQ_EBITDA", IQ_LTM-8, $L$2, $L$4, $L$3, $L$5, $L$6)</f>
        <v>-173.65899999999999</v>
      </c>
      <c r="Y13" s="542">
        <f>_xll.ciqfunctions.udf.CIQ($A13, "IQ_EBITDA", IQ_LTM-4, $L$2,$L$4, $L$3, $L$5, $L$6)</f>
        <v>-308.94499999999999</v>
      </c>
      <c r="Z13" s="542">
        <f>_xll.ciqfunctions.udf.CIQ($A13, "IQ_EBITDA", IQ_LTM, $L$2, $L$4, $L$3, $L$5, $L$6)</f>
        <v>-255.673</v>
      </c>
      <c r="AA13" s="542">
        <f>_xll.ciqfunctions.udf.CIQ($A13, "IQ_EBITDA", $B$2, $L$2, $L$4, $L$3, $L$5, $L$6)</f>
        <v>-270.98700000000002</v>
      </c>
      <c r="AB13" s="542">
        <f>IF(_xll.ciqfunctions.udf.CIQ($A13, "IQ_EBITDA", $B$3, $L$2,$L$4, $L$3, $L$5, $L$6)=0,Z13,_xll.ciqfunctions.udf.CIQ($A13, "IQ_EBITDA", $B$3, $L$2,$L$4, $L$3, $L$5, $L$6))</f>
        <v>-289.697</v>
      </c>
      <c r="AC13" s="542">
        <f>IF(_xll.ciqfunctions.udf.CIQ($A13, "IQ_EBITDA_EST",$B$4, $L$2, "CON", $L$3, $L$5, $L$6)=0,"n/a",_xll.ciqfunctions.udf.CIQ($A13, "IQ_EBITDA_EST",$B$4, $L$2, "CON", $L$3, $L$5, $L$6))</f>
        <v>-217.79479000000001</v>
      </c>
      <c r="AD13" s="542">
        <f>IF(_xll.ciqfunctions.udf.CIQ($A13, "IQ_EBITDA_EST",$B$5, $L$2, "CON", $L$3, $L$5, $L$6)=0,"n/a",_xll.ciqfunctions.udf.CIQ($A13, "IQ_EBITDA_EST",$B$5, $L$2, "CON", $L$3, $L$5, $L$6))</f>
        <v>-132.79400000000001</v>
      </c>
      <c r="AE13" s="542">
        <f>IF(_xll.ciqfunctions.udf.CIQ($A13, "IQ_EBITDA_EST",$B$6, $L$2, "CON", $L$3, $L$5, $L$6)=0,"n/a",_xll.ciqfunctions.udf.CIQ($A13, "IQ_EBITDA_EST",$B$6, $L$2, "CON", $L$3, $L$5, $L$6))</f>
        <v>159.08000000000001</v>
      </c>
      <c r="AF13" s="543">
        <f>IF(ISERROR(_xll.ciqfunctions.udf.CIQ($A13, "IQ_GROSS_MARGIN", IQ_LTM, $L$2,$L$4, $L$3, $L$5, $L$6)/100), "n/a", _xll.ciqfunctions.udf.CIQ($A13,  "IQ_GROSS_MARGIN", IQ_LTM, $L$2, $L$4, $L$3, $L$5, $L$6)/100)</f>
        <v>-5.1614000000000007E-2</v>
      </c>
      <c r="AG13" s="543">
        <f>IF(ISERROR(_xll.ciqfunctions.udf.CIQ($A13,"IQ_EBITDA_MARGIN", IQ_LTM, $L$2, $L$4, $L$3, $L$5, $L$6)/100), "n/a", _xll.ciqfunctions.udf.CIQ($A13, "IQ_EBITDA_MARGIN", IQ_LTM, $L$2, $L$4, $L$3, $L$5, $L$6)/100)</f>
        <v>-1.613251</v>
      </c>
      <c r="AH13" s="543">
        <f>IF(ISERROR(_xll.ciqfunctions.udf.CIQ($A13,"IQ_EBIT_MARGIN", IQ_LTM, $L$2, $L$4, $L$3, $L$5, $L$6)/100), "n/a", _xll.ciqfunctions.udf.CIQ($A13, "IQ_EBIT_MARGIN", IQ_LTM, $L$2, $L$4, $L$3, $L$5, $L$6)/100)</f>
        <v>-1.63114</v>
      </c>
      <c r="AI13" s="543">
        <f>IF(ISERROR(_xll.ciqfunctions.udf.CIQ($A13,"IQ_NI_MARGIN", IQ_LTM, $L$2, $L$4, $L$3, $L$5, $L$6)/100), "n/a", _xll.ciqfunctions.udf.CIQ($A13, "IQ_NI_MARGIN", IQ_LTM, $L$2, $L$4, $L$3, $L$5, $L$6)/100)</f>
        <v>-1.6144059999999998</v>
      </c>
      <c r="AJ13" s="542">
        <f>IF(ISERROR(_xll.ciqfunctions.udf.CIQ($A13, "IQ_NET_WORKING_CAP", IQ_LTM-8, $L$2, $L$4, $L$3, $L$5, $L$6)), "n/a", _xll.ciqfunctions.udf.CIQ($A13, "IQ_NET_WORKING_CAP", IQ_LTM-8, $L$2, $L$4, $L$3, $L$5, $L$6))</f>
        <v>-16.013000000000002</v>
      </c>
      <c r="AK13" s="542">
        <f>IF(ISERROR(_xll.ciqfunctions.udf.CIQ($A13, "IQ_NET_WORKING_CAP", IQ_LTM-4, $L$2, $L$4, $L$3, $L$5, $L$6)), "n/a", _xll.ciqfunctions.udf.CIQ($A13, "IQ_NET_WORKING_CAP", IQ_LTM-4, $L$2, $L$4, $L$3, $L$5, $L$6))</f>
        <v>-24.992999999999999</v>
      </c>
      <c r="AL13" s="542">
        <f>IF(ISERROR(_xll.ciqfunctions.udf.CIQ($A13, "IQ_NET_WORKING_CAP", IQ_LTM, $L$2,$L$4, $L$3, $L$5, $L$6)), "n/a", _xll.ciqfunctions.udf.CIQ($A13, "IQ_NET_WORKING_CAP", IQ_LTM, $L$2, $L$4, $L$3, $L$5, $L$6))</f>
        <v>-4.1379999999999999</v>
      </c>
      <c r="AM13" s="542">
        <f>IF(ISERROR(_xll.ciqfunctions.udf.CIQ($A13, "IQ_Capex", IQ_LTM-8, $L$2,$L$4, $L$3, $L$5, $L$6)), "n/a", _xll.ciqfunctions.udf.CIQ($A13, "IQ_Capex", IQ_LTM-8, $L$2, $L$4, $L$3, $L$5, $L$6))</f>
        <v>-1.36</v>
      </c>
      <c r="AN13" s="542">
        <f>IF(ISERROR(_xll.ciqfunctions.udf.CIQ($A13, "IQ_Capex", IQ_LTM-4, $L$2,$L$4, $L$3, $L$5, $L$6)), "n/a", _xll.ciqfunctions.udf.CIQ($A13, "IQ_Capex", IQ_LTM-4, $L$2,$L$4, $L$3, $L$5, $L$6))</f>
        <v>-1.784</v>
      </c>
      <c r="AO13" s="542">
        <f>IF(ISERROR(_xll.ciqfunctions.udf.CIQ($A13, "IQ_Capex", IQ_LTM, $L$2, $L$4, $L$3, $L$5, $L$6)), "n/a", _xll.ciqfunctions.udf.CIQ($A13, "IQ_Capex", IQ_LTM, $L$2, $L$4, $L$3, $L$5, $L$6))</f>
        <v>-0.77500000000000002</v>
      </c>
      <c r="AP13" s="544" t="str">
        <f>_xll.ciqfunctions.udf.CIQ(A13, "IQ_BUSINESS_DESCRIPTION")</f>
        <v>ACADIA Pharmaceuticals Inc., a biopharmaceutical company, focuses on the development and commercialization of small molecule drugs that address unmet medical needs in central nervous system disorders. The company offers NUPLAZID (pimavanserin) for the treatment of hallucinations and delusions associated with Parkinson’s disease psychosis. It is also developing pimavanserin as a treatment for dementia-related psychosis and as an adjunctive treatment for schizophrenia that are in phase III clinical trials; and pimavanserin as an adjunctive treatment for major depressive disorder. ACADIA Pharmaceuticals Inc. was founded in 1993 and is headquartered in San Diego, California.</v>
      </c>
      <c r="AQ13" s="545">
        <f>_xll.ciqfunctions.udf.CIQ($A13, "IQ_BETA_1YR", $B$1)</f>
        <v>1.8105100000000001</v>
      </c>
      <c r="AR13" s="545">
        <f>_xll.ciqfunctions.udf.CIQ($A13, "IQ_BETA_2YR", $B$1)</f>
        <v>2.3029099999999998</v>
      </c>
      <c r="AS13" s="545">
        <f>_xll.ciqfunctions.udf.CIQ($A13, "IQ_BETA_5YR", $B$1)</f>
        <v>3.6416200000000001</v>
      </c>
      <c r="AT13" s="543" t="e">
        <f>_xll.ciqfunctions.udf.CIQ($A13, "IQ_DIVIDEND_YIELD", $B$1)/100</f>
        <v>#VALUE!</v>
      </c>
      <c r="AU13" s="542">
        <f>_xll.ciqfunctions.udf.CIQ($A13, "IQ_EARNING_CO", IQ_LTM-8, $L$2, $L$4, $L$3, $L$5, $L$6)</f>
        <v>-173.83</v>
      </c>
      <c r="AV13" s="542">
        <f>_xll.ciqfunctions.udf.CIQ($A13, "IQ_EARNING_CO", IQ_LTM-4, $L$2, $L$4, $L$3, $L$5, $L$6)</f>
        <v>-309.47399999999999</v>
      </c>
      <c r="AW13" s="542">
        <f>_xll.ciqfunctions.udf.CIQ($A13, "IQ_EARNING_CO", IQ_LTM, $L$2, $L$4, $L$3, $L$5, $L$6)</f>
        <v>-255.85599999999999</v>
      </c>
      <c r="AX13" s="542">
        <f>_xll.ciqfunctions.udf.CIQ($A13, "IQ_EARNING_CO", $B$2, $L$2, $L$4, $L$3, $L$5, $L$6)</f>
        <v>-271.39299999999997</v>
      </c>
      <c r="AY13" s="542">
        <f>IF(_xll.ciqfunctions.udf.CIQ($A13, "IQ_EARNING_CO", $B$3, $L$2,$L$4, $L$3, $L$5, $L$6)=0,AW13,_xll.ciqfunctions.udf.CIQ($A13, "IQ_EARNING_CO", $B$3, $L$2,$L$4, $L$3, $L$5, $L$6))</f>
        <v>-289.40300000000002</v>
      </c>
      <c r="AZ13" s="542">
        <f>_xll.ciqfunctions.udf.CIQ($A13, "IQ_TOTAL_EQUITY", IQ_LTM-8, $L$2, $L$4, $L$3, $L$5, $L$6)</f>
        <v>445.25099999999998</v>
      </c>
      <c r="BA13" s="542">
        <f>_xll.ciqfunctions.udf.CIQ($A13, "IQ_TOTAL_EQUITY", IQ_LTM-4, $L$2, $L$4, $L$3, $L$5, $L$6)</f>
        <v>457.524</v>
      </c>
      <c r="BB13" s="542">
        <f>_xll.ciqfunctions.udf.CIQ($A13, "IQ_TOTAL_EQUITY", IQ_LTM, $L$2, $L$4, $L$3, $L$5, $L$6)</f>
        <v>304.16899999999998</v>
      </c>
      <c r="BC13" s="542">
        <f>_xll.ciqfunctions.udf.CIQ($A13, "IQ_TOTAL_EQUITY", $B$2, $L$2, $L$4, $L$3, $L$5, $L$6)</f>
        <v>518.41099999999994</v>
      </c>
      <c r="BD13" s="542">
        <f>IF(_xll.ciqfunctions.udf.CIQ($A13, "IQ_TOTAL_EQUITY", $B$3, $L$2,$L$4, $L$3, $L$5, $L$6)=0,BB13,_xll.ciqfunctions.udf.CIQ($A13, "IQ_TOTAL_EQUITY", $B$3, $L$2,$L$4, $L$3, $L$5, $L$6))</f>
        <v>335.28500000000003</v>
      </c>
      <c r="BE13" s="542">
        <f>_xll.ciqfunctions.udf.CIQ(A13, "IQ_LASTSALEPRICE", $B$8)</f>
        <v>28.9</v>
      </c>
      <c r="BF13" s="542">
        <f>_xll.ciqfunctions.udf.CIQ($A13, "IQ_MARKETCAP", $B$8, $L$5, $L$6)</f>
        <v>3589.5429100000001</v>
      </c>
      <c r="BG13" s="542">
        <f>_xll.ciqfunctions.udf.CIQ($A13, "IQ_TOTAL_DEBT", IQ_LTM, $B$8,$L$4, $L$3, $L$5, $L$6)</f>
        <v>0</v>
      </c>
      <c r="BH13" s="492" t="str">
        <f>_xll.ciqfunctions.udf.CIQ($A13,"IQ_PREF_EQUITY",IQ_LTM,$B$8,$L$4,$L$3,$L$5,$L$6)</f>
        <v>n/a</v>
      </c>
      <c r="BI13" s="492" t="str">
        <f>_xll.ciqfunctions.udf.CIQ($A13, "IQ_MINORITY_INTEREST_TOTAL", IQ_LTM,$B$8,$L$4,$L$3,$L$5,$L$6)</f>
        <v>n/a</v>
      </c>
      <c r="BJ13" s="542">
        <f>_xll.ciqfunctions.udf.CIQ($A13, "IQ_CASH_ST_INVEST", IQ_LTM, $B$8, $L$4, $L$3, $L$5, $L$6)</f>
        <v>366.625</v>
      </c>
      <c r="BK13" s="492" t="str">
        <f>_xll.ciqfunctions.udf.CIQ($A13, "IQ_EFFECT_TAX_RATE")</f>
        <v>NM</v>
      </c>
      <c r="BL13" s="492">
        <f>IF(_xll.ciqfunctions.udf.CIQ($A13, "IQ_TOTAL_REV_2YR_ANN_CAGR", IQ_LTM, $B$1,$L$4, $L$3, $L$5, $L$6)="NM","n/a",(_xll.ciqfunctions.udf.CIQ($A13, "IQ_TOTAL_REV_2YR_ANN_CAGR", IQ_LTM, $B$1,$L$4, $L$3, $L$5, $L$6)/100))</f>
        <v>49.971384</v>
      </c>
      <c r="BM13" s="492">
        <f>IF(_xll.ciqfunctions.udf.CIQ($A13, "IQ_TOTAL_REV_3YR_ANN_CAGR", IQ_LTM, $B$1,$L$4, $L$3, $L$5, $L$6)="NM","n/a",(_xll.ciqfunctions.udf.CIQ($A13, "IQ_TOTAL_REV_3YR_ANN_CAGR", IQ_LTM, $B$1,$L$4, $L$3, $L$5, $L$6)/100))</f>
        <v>10.901954</v>
      </c>
      <c r="BN13" s="492">
        <f>IF(_xll.ciqfunctions.udf.CIQ($A13, "IQ_TOTAL_REV_5YR_ANN_CAGR", IQ_LTM, $B$1,$L$4, $L$3, $L$5, $L$6)="NM","n/a",(_xll.ciqfunctions.udf.CIQ($A13, "IQ_TOTAL_REV_5YR_ANN_CAGR", IQ_LTM, $B$1,$L$4, $L$3, $L$5, $L$6)/100))</f>
        <v>1.0064090000000001</v>
      </c>
      <c r="BO13" s="492" t="str">
        <f>IF(_xll.ciqfunctions.udf.CIQ($A13,"IQ_EBITDA_2YR_ANN_CAGR", IQ_LTM,$B$1,$L$4, $L$3, $L$5, $L$6)="NM","n/a",(_xll.ciqfunctions.udf.CIQ($A13,"IQ_EBITDA_2YR_ANN_CAGR", IQ_LTM,$B$1,$L$4, $L$3, $L$5, $L$6)/100))</f>
        <v>n/a</v>
      </c>
      <c r="BP13" s="492" t="str">
        <f>IF(_xll.ciqfunctions.udf.CIQ($A13,"IQ_EBITDA_3YR_ANN_CAGR", IQ_LTM,$B$1,$L$4, $L$3, $L$5, $L$6)="NM","n/a",(_xll.ciqfunctions.udf.CIQ($A13,"IQ_EBITDA_3YR_ANN_CAGR", IQ_LTM,$B$1,$L$4, $L$3, $L$5, $L$6)/100))</f>
        <v>n/a</v>
      </c>
      <c r="BQ13" s="492" t="str">
        <f>IF(_xll.ciqfunctions.udf.CIQ($A13,"IQ_EBITDA_5YR_ANN_CAGR", IQ_LTM,$B$1,$L$4, $L$3, $L$5, $L$6)="NM","n/a",(_xll.ciqfunctions.udf.CIQ($A13,"IQ_EBITDA_5YR_ANN_CAGR", IQ_LTM,$B$1,$L$4, $L$3, $L$5, $L$6)/100))</f>
        <v>n/a</v>
      </c>
      <c r="BR13" s="496">
        <f>IFERROR((_xll.ciqfunctions.udf.CIQ($A13, "IQ_DA_CF", IQ_LTM, $B$1, $L$4, $L$3, $L$5, $L$6)/Q13),"NM")</f>
        <v>1.7888353955944802E-2</v>
      </c>
      <c r="BS13" s="546">
        <f>'Capital IQ Sheet-GPC'!BS13</f>
        <v>0.64880599142897266</v>
      </c>
      <c r="BT13" s="546">
        <f>'Capital IQ Sheet-GPC'!BT13</f>
        <v>0.58252533739595691</v>
      </c>
      <c r="BU13" s="546">
        <f>'Capital IQ Sheet-GPC'!BU13</f>
        <v>0.62802538852908885</v>
      </c>
      <c r="BV13" s="546">
        <f>'Capital IQ Sheet-GPC'!BV13</f>
        <v>0.60104330440966869</v>
      </c>
      <c r="BW13" s="546">
        <f>'Capital IQ Sheet-GPC'!BW13</f>
        <v>0.60253741475360179</v>
      </c>
      <c r="BX13" s="546">
        <f>'Capital IQ Sheet-GPC'!BX13</f>
        <v>0.73682913406937545</v>
      </c>
      <c r="BY13" s="546">
        <f>'Capital IQ Sheet-GPC'!BY13</f>
        <v>0.73182300193684113</v>
      </c>
      <c r="BZ13" s="546">
        <f>'Capital IQ Sheet-GPC'!BZ13</f>
        <v>0.74384858559525979</v>
      </c>
      <c r="CB13" s="492">
        <v>2</v>
      </c>
      <c r="CC13" s="632" t="s">
        <v>253</v>
      </c>
      <c r="CD13" s="632" t="s">
        <v>252</v>
      </c>
      <c r="CE13" s="494">
        <f>$B$1-365*CB13</f>
        <v>42551</v>
      </c>
    </row>
    <row r="14" spans="1:86" s="492" customFormat="1" ht="12.75">
      <c r="A14" s="493" t="str">
        <f>_xll.ciqfunctions.udf.CIQ($B14,"IQ_COMPANY_TICKER")</f>
        <v>NasdaqGM:RYTM</v>
      </c>
      <c r="B14" s="541" t="str">
        <f>'Capital IQ Sheet-GPC'!B14</f>
        <v>IQ309184792</v>
      </c>
      <c r="C14" s="493" t="str">
        <f>_xll.ciqfunctions.udf.CIQ($A14,"IQ_COMPANY_NAME")</f>
        <v>Rhythm Pharmaceuticals, Inc.</v>
      </c>
      <c r="D14" s="493" t="str">
        <f>_xll.ciqfunctions.udf.CIQ($A14, "IQ_EXCHANGE")</f>
        <v>NasdaqGM</v>
      </c>
      <c r="E14" s="540">
        <f>_xll.ciqfunctions.udf.CIQ($A14, "IQ_PERIODDATE_IS", IQ_FY)</f>
        <v>43100</v>
      </c>
      <c r="F14" s="540">
        <f>_xll.ciqfunctions.udf.CIQ(A14, "IQ_PERIODDATE_IS", IQ_LTM, $B$1,$L$4,$L$3)</f>
        <v>43190</v>
      </c>
      <c r="G14" s="540">
        <f>_xll.ciqfunctions.udf.CIQ($A14, "IQ_FIRSTPRICINGDATE")</f>
        <v>43013</v>
      </c>
      <c r="H14" s="542">
        <f>_xll.ciqfunctions.udf.CIQ($A14, "IQ_TEV", $L$2, $L$5, $L$6)</f>
        <v>930.20021999999994</v>
      </c>
      <c r="I14" s="542">
        <f>_xll.ciqfunctions.udf.CIQ(A14, "IQ_LASTSALEPRICE", $B$1,$L$5)</f>
        <v>31.26</v>
      </c>
      <c r="J14" s="542">
        <f>_xll.ciqfunctions.udf.CIQ($A14, "IQ_MARKETCAP", $L$2, $L$5, $L$6)</f>
        <v>1066.6532199999999</v>
      </c>
      <c r="K14" s="542">
        <f>_xll.ciqfunctions.udf.CIQ($A14, "IQ_TOTAL_DEBT", IQ_LTM, $L$2,$L$4, $L$3, $L$5, $L$6)</f>
        <v>0</v>
      </c>
      <c r="L14" s="542" t="str">
        <f>_xll.ciqfunctions.udf.CIQ($A14, "IQ_PREF_EQUITY", IQ_LTM, $L$2, $L$4, $L$3, $L$5, $L$6)</f>
        <v>n/a</v>
      </c>
      <c r="M14" s="542" t="str">
        <f>_xll.ciqfunctions.udf.CIQ($A14, "IQ_MINORITY_INTEREST_TOTAL", IQ_LTM, $L$2, $L$4, $L$3, $L$5, $L$6)</f>
        <v>n/a</v>
      </c>
      <c r="N14" s="542">
        <f>_xll.ciqfunctions.udf.CIQ($A14, "IQ_CASH_ST_INVEST", IQ_LTM, $L$2, $L$4, $L$3, $L$5, $L$6)</f>
        <v>136.453</v>
      </c>
      <c r="O14" s="542" t="str">
        <f>_xll.ciqfunctions.udf.CIQ($A14, "IQ_TOTAL_REV", IQ_LTM-8, $L$2, $L$4, $L$3, $L$5, $L$6)</f>
        <v>n/a</v>
      </c>
      <c r="P14" s="542" t="str">
        <f>_xll.ciqfunctions.udf.CIQ($A14, "IQ_TOTAL_REV", IQ_LTM - 4, $L$2, $L$4, $L$3, $L$5,$L$6)</f>
        <v>n/a</v>
      </c>
      <c r="Q14" s="542" t="str">
        <f>_xll.ciqfunctions.udf.CIQ($A14, "IQ_TOTAL_REV", IQ_LTM, $L$2, $L$4, $L$3, $L$5, $L$6)</f>
        <v>n/a</v>
      </c>
      <c r="R14" s="542" t="str">
        <f>_xll.ciqfunctions.udf.CIQ($A14, "IQ_TOTAL_REV", $B$2, $L$2, $L$4, $L$3, $L$5, $L$6)</f>
        <v>n/a</v>
      </c>
      <c r="S14" s="542" t="str">
        <f>IF(_xll.ciqfunctions.udf.CIQ($A14, "IQ_TOTAL_REV", $B$3, $L$2,$L$4, $L$3, $L$5, $L$6)=0,Q14,_xll.ciqfunctions.udf.CIQ($A14, "IQ_TOTAL_REV", $B$3, $L$2,$L$4, $L$3, $L$5, $L$6))</f>
        <v>n/a</v>
      </c>
      <c r="T14" s="542" t="str">
        <f>IF(_xll.ciqfunctions.udf.CIQ($A14, "IQ_REVENUE_EST",$B$4, $L$2, "CON", $L$3, $L$5, $L$6)=0,"n/a",_xll.ciqfunctions.udf.CIQ($A14, "IQ_REVENUE_EST",$B$4, $L$2, "CON", $L$3, $L$5, $L$6))</f>
        <v>n/a</v>
      </c>
      <c r="U14" s="542">
        <f>IF(_xll.ciqfunctions.udf.CIQ($A14, "IQ_REVENUE_EST",$B$5, $L$2, "CON", $L$3, $L$5, $L$6)=0,"n/a",_xll.ciqfunctions.udf.CIQ($A14, "IQ_REVENUE_EST",$B$5, $L$2, "CON", $L$3, $L$5, $L$6))</f>
        <v>0.67901999999999996</v>
      </c>
      <c r="V14" s="542">
        <f>IF(_xll.ciqfunctions.udf.CIQ($A14, "IQ_REVENUE_EST",$B$6, $L$2, "CON", $L$3, $L$5, $L$6)=0,"n/a",_xll.ciqfunctions.udf.CIQ($A14, "IQ_REVENUE_EST",$B$6, $L$2, "CON", $L$3, $L$5, $L$6))</f>
        <v>44</v>
      </c>
      <c r="W14" s="542">
        <f>IF(_xll.ciqfunctions.udf.CIQ($A14, "IQ_REVENUE_EST", $B$7, $L$2, "CON", $L$3, $L$5, $L$6)=0,"n/a",_xll.ciqfunctions.udf.CIQ($A14, "IQ_REVENUE_EST",$B$7, $L$2, "CON", $L$3, $L$5, $L$6))</f>
        <v>142.5</v>
      </c>
      <c r="X14" s="542" t="str">
        <f>_xll.ciqfunctions.udf.CIQ($A14, "IQ_EBITDA", IQ_LTM-8, $L$2, $L$4, $L$3, $L$5, $L$6)</f>
        <v>n/a</v>
      </c>
      <c r="Y14" s="542" t="str">
        <f>_xll.ciqfunctions.udf.CIQ($A14, "IQ_EBITDA", IQ_LTM-4, $L$2,$L$4, $L$3, $L$5, $L$6)</f>
        <v>n/a</v>
      </c>
      <c r="Z14" s="542">
        <f>_xll.ciqfunctions.udf.CIQ($A14, "IQ_EBITDA", IQ_LTM, $L$2, $L$4, $L$3, $L$5, $L$6)</f>
        <v>-42.793999999999997</v>
      </c>
      <c r="AA14" s="542">
        <f>_xll.ciqfunctions.udf.CIQ($A14, "IQ_EBITDA", $B$2, $L$2, $L$4, $L$3, $L$5, $L$6)</f>
        <v>-25.760999999999999</v>
      </c>
      <c r="AB14" s="542">
        <f>IF(_xll.ciqfunctions.udf.CIQ($A14, "IQ_EBITDA", $B$3, $L$2,$L$4, $L$3, $L$5, $L$6)=0,Z14,_xll.ciqfunctions.udf.CIQ($A14, "IQ_EBITDA", $B$3, $L$2,$L$4, $L$3, $L$5, $L$6))</f>
        <v>-32.189</v>
      </c>
      <c r="AC14" s="542">
        <f>IF(_xll.ciqfunctions.udf.CIQ($A14, "IQ_EBITDA_EST",$B$4, $L$2, "CON", $L$3, $L$5, $L$6)=0,"n/a",_xll.ciqfunctions.udf.CIQ($A14, "IQ_EBITDA_EST",$B$4, $L$2, "CON", $L$3, $L$5, $L$6))</f>
        <v>-51.885309999999997</v>
      </c>
      <c r="AD14" s="542">
        <f>IF(_xll.ciqfunctions.udf.CIQ($A14, "IQ_EBITDA_EST",$B$5, $L$2, "CON", $L$3, $L$5, $L$6)=0,"n/a",_xll.ciqfunctions.udf.CIQ($A14, "IQ_EBITDA_EST",$B$5, $L$2, "CON", $L$3, $L$5, $L$6))</f>
        <v>-63.808480000000003</v>
      </c>
      <c r="AE14" s="542" t="str">
        <f>IF(_xll.ciqfunctions.udf.CIQ($A14, "IQ_EBITDA_EST",$B$6, $L$2, "CON", $L$3, $L$5, $L$6)=0,"n/a",_xll.ciqfunctions.udf.CIQ($A14, "IQ_EBITDA_EST",$B$6, $L$2, "CON", $L$3, $L$5, $L$6))</f>
        <v>n/a</v>
      </c>
      <c r="AF14" s="543" t="str">
        <f>IF(ISERROR(_xll.ciqfunctions.udf.CIQ($A14, "IQ_GROSS_MARGIN", IQ_LTM, $L$2,$L$4, $L$3, $L$5, $L$6)/100), "n/a", _xll.ciqfunctions.udf.CIQ($A14,  "IQ_GROSS_MARGIN", IQ_LTM, $L$2, $L$4, $L$3, $L$5, $L$6)/100)</f>
        <v>n/a</v>
      </c>
      <c r="AG14" s="543" t="str">
        <f>IF(ISERROR(_xll.ciqfunctions.udf.CIQ($A14,"IQ_EBITDA_MARGIN", IQ_LTM, $L$2, $L$4, $L$3, $L$5, $L$6)/100), "n/a", _xll.ciqfunctions.udf.CIQ($A14, "IQ_EBITDA_MARGIN", IQ_LTM, $L$2, $L$4, $L$3, $L$5, $L$6)/100)</f>
        <v>n/a</v>
      </c>
      <c r="AH14" s="543" t="str">
        <f>IF(ISERROR(_xll.ciqfunctions.udf.CIQ($A14,"IQ_EBIT_MARGIN", IQ_LTM, $L$2, $L$4, $L$3, $L$5, $L$6)/100), "n/a", _xll.ciqfunctions.udf.CIQ($A14, "IQ_EBIT_MARGIN", IQ_LTM, $L$2, $L$4, $L$3, $L$5, $L$6)/100)</f>
        <v>n/a</v>
      </c>
      <c r="AI14" s="543" t="str">
        <f>IF(ISERROR(_xll.ciqfunctions.udf.CIQ($A14,"IQ_NI_MARGIN", IQ_LTM, $L$2, $L$4, $L$3, $L$5, $L$6)/100), "n/a", _xll.ciqfunctions.udf.CIQ($A14, "IQ_NI_MARGIN", IQ_LTM, $L$2, $L$4, $L$3, $L$5, $L$6)/100)</f>
        <v>n/a</v>
      </c>
      <c r="AJ14" s="542" t="str">
        <f>IF(ISERROR(_xll.ciqfunctions.udf.CIQ($A14, "IQ_NET_WORKING_CAP", IQ_LTM-8, $L$2, $L$4, $L$3, $L$5, $L$6)), "n/a", _xll.ciqfunctions.udf.CIQ($A14, "IQ_NET_WORKING_CAP", IQ_LTM-8, $L$2, $L$4, $L$3, $L$5, $L$6))</f>
        <v>n/a</v>
      </c>
      <c r="AK14" s="542">
        <f>IF(ISERROR(_xll.ciqfunctions.udf.CIQ($A14, "IQ_NET_WORKING_CAP", IQ_LTM-4, $L$2, $L$4, $L$3, $L$5, $L$6)), "n/a", _xll.ciqfunctions.udf.CIQ($A14, "IQ_NET_WORKING_CAP", IQ_LTM-4, $L$2, $L$4, $L$3, $L$5, $L$6))</f>
        <v>-3.21</v>
      </c>
      <c r="AL14" s="542">
        <f>IF(ISERROR(_xll.ciqfunctions.udf.CIQ($A14, "IQ_NET_WORKING_CAP", IQ_LTM, $L$2,$L$4, $L$3, $L$5, $L$6)), "n/a", _xll.ciqfunctions.udf.CIQ($A14, "IQ_NET_WORKING_CAP", IQ_LTM, $L$2, $L$4, $L$3, $L$5, $L$6))</f>
        <v>-3.6179999999999999</v>
      </c>
      <c r="AM14" s="542">
        <f>IF(ISERROR(_xll.ciqfunctions.udf.CIQ($A14, "IQ_Capex", IQ_LTM-8, $L$2,$L$4, $L$3, $L$5, $L$6)), "n/a", _xll.ciqfunctions.udf.CIQ($A14, "IQ_Capex", IQ_LTM-8, $L$2, $L$4, $L$3, $L$5, $L$6))</f>
        <v>-0.57799999999999996</v>
      </c>
      <c r="AN14" s="542">
        <f>IF(ISERROR(_xll.ciqfunctions.udf.CIQ($A14, "IQ_Capex", IQ_LTM-4, $L$2,$L$4, $L$3, $L$5, $L$6)), "n/a", _xll.ciqfunctions.udf.CIQ($A14, "IQ_Capex", IQ_LTM-4, $L$2,$L$4, $L$3, $L$5, $L$6))</f>
        <v>-0.496</v>
      </c>
      <c r="AO14" s="542">
        <f>IF(ISERROR(_xll.ciqfunctions.udf.CIQ($A14, "IQ_Capex", IQ_LTM, $L$2, $L$4, $L$3, $L$5, $L$6)), "n/a", _xll.ciqfunctions.udf.CIQ($A14, "IQ_Capex", IQ_LTM, $L$2, $L$4, $L$3, $L$5, $L$6))</f>
        <v>-0.13300000000000001</v>
      </c>
      <c r="AP14" s="544" t="str">
        <f>_xll.ciqfunctions.udf.CIQ(A14, "IQ_BUSINESS_DESCRIPTION")</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c r="AQ14" s="545">
        <f>_xll.ciqfunctions.udf.CIQ($A14, "IQ_BETA_1YR", $B$1)</f>
        <v>1.56447</v>
      </c>
      <c r="AR14" s="545" t="str">
        <f>_xll.ciqfunctions.udf.CIQ($A14, "IQ_BETA_2YR", $B$1)</f>
        <v>n/a</v>
      </c>
      <c r="AS14" s="545" t="str">
        <f>_xll.ciqfunctions.udf.CIQ($A14, "IQ_BETA_5YR", $B$1)</f>
        <v>n/a</v>
      </c>
      <c r="AT14" s="543" t="e">
        <f>_xll.ciqfunctions.udf.CIQ($A14, "IQ_DIVIDEND_YIELD", $B$1)/100</f>
        <v>#VALUE!</v>
      </c>
      <c r="AU14" s="542">
        <f>_xll.ciqfunctions.udf.CIQ($A14, "IQ_EARNING_CO", IQ_LTM-8, $L$2, $L$4, $L$3, $L$5, $L$6)</f>
        <v>-15.553000000000001</v>
      </c>
      <c r="AV14" s="542">
        <f>_xll.ciqfunctions.udf.CIQ($A14, "IQ_EARNING_CO", IQ_LTM-4, $L$2, $L$4, $L$3, $L$5, $L$6)</f>
        <v>-26.847000000000001</v>
      </c>
      <c r="AW14" s="542">
        <f>_xll.ciqfunctions.udf.CIQ($A14, "IQ_EARNING_CO", IQ_LTM, $L$2, $L$4, $L$3, $L$5, $L$6)</f>
        <v>-43.808</v>
      </c>
      <c r="AX14" s="542">
        <f>_xll.ciqfunctions.udf.CIQ($A14, "IQ_EARNING_CO", $B$2, $L$2, $L$4, $L$3, $L$5, $L$6)</f>
        <v>-25.872</v>
      </c>
      <c r="AY14" s="542">
        <f>IF(_xll.ciqfunctions.udf.CIQ($A14, "IQ_EARNING_CO", $B$3, $L$2,$L$4, $L$3, $L$5, $L$6)=0,AW14,_xll.ciqfunctions.udf.CIQ($A14, "IQ_EARNING_CO", $B$3, $L$2,$L$4, $L$3, $L$5, $L$6))</f>
        <v>-33.709000000000003</v>
      </c>
      <c r="AZ14" s="542">
        <f>_xll.ciqfunctions.udf.CIQ($A14, "IQ_TOTAL_EQUITY", IQ_LTM-8, $L$2, $L$4, $L$3, $L$5, $L$6)</f>
        <v>32.000999999999998</v>
      </c>
      <c r="BA14" s="542">
        <f>_xll.ciqfunctions.udf.CIQ($A14, "IQ_TOTAL_EQUITY", IQ_LTM-4, $L$2, $L$4, $L$3, $L$5, $L$6)</f>
        <v>21.574999999999999</v>
      </c>
      <c r="BB14" s="542">
        <f>_xll.ciqfunctions.udf.CIQ($A14, "IQ_TOTAL_EQUITY", IQ_LTM, $L$2, $L$4, $L$3, $L$5, $L$6)</f>
        <v>133.65799999999999</v>
      </c>
      <c r="BC14" s="542">
        <f>_xll.ciqfunctions.udf.CIQ($A14, "IQ_TOTAL_EQUITY", $B$2, $L$2, $L$4, $L$3, $L$5, $L$6)</f>
        <v>7.2969999999999997</v>
      </c>
      <c r="BD14" s="542">
        <f>IF(_xll.ciqfunctions.udf.CIQ($A14, "IQ_TOTAL_EQUITY", $B$3, $L$2,$L$4, $L$3, $L$5, $L$6)=0,BB14,_xll.ciqfunctions.udf.CIQ($A14, "IQ_TOTAL_EQUITY", $B$3, $L$2,$L$4, $L$3, $L$5, $L$6))</f>
        <v>144.78800000000001</v>
      </c>
      <c r="BE14" s="542">
        <f>_xll.ciqfunctions.udf.CIQ(A14, "IQ_LASTSALEPRICE", $B$8)</f>
        <v>27.94</v>
      </c>
      <c r="BF14" s="542">
        <f>_xll.ciqfunctions.udf.CIQ($A14, "IQ_MARKETCAP", $B$8, $L$5, $L$6)</f>
        <v>762.31886999999995</v>
      </c>
      <c r="BG14" s="542">
        <f>_xll.ciqfunctions.udf.CIQ($A14, "IQ_TOTAL_DEBT", IQ_LTM, $B$8,$L$4, $L$3, $L$5, $L$6)</f>
        <v>0</v>
      </c>
      <c r="BH14" s="492">
        <f>_xll.ciqfunctions.udf.CIQ($A14,"IQ_PREF_EQUITY",IQ_LTM,$B$8,$L$4,$L$3,$L$5,$L$6)</f>
        <v>81.028999999999996</v>
      </c>
      <c r="BI14" s="492" t="str">
        <f>_xll.ciqfunctions.udf.CIQ($A14, "IQ_MINORITY_INTEREST_TOTAL", IQ_LTM,$B$8,$L$4,$L$3,$L$5,$L$6)</f>
        <v>n/a</v>
      </c>
      <c r="BJ14" s="542">
        <f>_xll.ciqfunctions.udf.CIQ($A14, "IQ_CASH_ST_INVEST", IQ_LTM, $B$8, $L$4, $L$3, $L$5, $L$6)</f>
        <v>30.414999999999999</v>
      </c>
      <c r="BK14" s="492" t="str">
        <f>_xll.ciqfunctions.udf.CIQ($A14, "IQ_EFFECT_TAX_RATE")</f>
        <v>n/a</v>
      </c>
      <c r="BL14" s="492" t="e">
        <f>IF(_xll.ciqfunctions.udf.CIQ($A14, "IQ_TOTAL_REV_2YR_ANN_CAGR", IQ_LTM, $B$1,$L$4, $L$3, $L$5, $L$6)="NM","n/a",(_xll.ciqfunctions.udf.CIQ($A14, "IQ_TOTAL_REV_2YR_ANN_CAGR", IQ_LTM, $B$1,$L$4, $L$3, $L$5, $L$6)/100))</f>
        <v>#VALUE!</v>
      </c>
      <c r="BM14" s="492" t="e">
        <f>IF(_xll.ciqfunctions.udf.CIQ($A14, "IQ_TOTAL_REV_3YR_ANN_CAGR", IQ_LTM, $B$1,$L$4, $L$3, $L$5, $L$6)="NM","n/a",(_xll.ciqfunctions.udf.CIQ($A14, "IQ_TOTAL_REV_3YR_ANN_CAGR", IQ_LTM, $B$1,$L$4, $L$3, $L$5, $L$6)/100))</f>
        <v>#VALUE!</v>
      </c>
      <c r="BN14" s="492" t="e">
        <f>IF(_xll.ciqfunctions.udf.CIQ($A14, "IQ_TOTAL_REV_5YR_ANN_CAGR", IQ_LTM, $B$1,$L$4, $L$3, $L$5, $L$6)="NM","n/a",(_xll.ciqfunctions.udf.CIQ($A14, "IQ_TOTAL_REV_5YR_ANN_CAGR", IQ_LTM, $B$1,$L$4, $L$3, $L$5, $L$6)/100))</f>
        <v>#VALUE!</v>
      </c>
      <c r="BO14" s="492" t="e">
        <f>IF(_xll.ciqfunctions.udf.CIQ($A14,"IQ_EBITDA_2YR_ANN_CAGR", IQ_LTM,$B$1,$L$4, $L$3, $L$5, $L$6)="NM","n/a",(_xll.ciqfunctions.udf.CIQ($A14,"IQ_EBITDA_2YR_ANN_CAGR", IQ_LTM,$B$1,$L$4, $L$3, $L$5, $L$6)/100))</f>
        <v>#VALUE!</v>
      </c>
      <c r="BP14" s="492" t="e">
        <f>IF(_xll.ciqfunctions.udf.CIQ($A14,"IQ_EBITDA_3YR_ANN_CAGR", IQ_LTM,$B$1,$L$4, $L$3, $L$5, $L$6)="NM","n/a",(_xll.ciqfunctions.udf.CIQ($A14,"IQ_EBITDA_3YR_ANN_CAGR", IQ_LTM,$B$1,$L$4, $L$3, $L$5, $L$6)/100))</f>
        <v>#VALUE!</v>
      </c>
      <c r="BQ14" s="492" t="e">
        <f>IF(_xll.ciqfunctions.udf.CIQ($A14,"IQ_EBITDA_5YR_ANN_CAGR", IQ_LTM,$B$1,$L$4, $L$3, $L$5, $L$6)="NM","n/a",(_xll.ciqfunctions.udf.CIQ($A14,"IQ_EBITDA_5YR_ANN_CAGR", IQ_LTM,$B$1,$L$4, $L$3, $L$5, $L$6)/100))</f>
        <v>#VALUE!</v>
      </c>
      <c r="BR14" s="496" t="str">
        <f>IFERROR((_xll.ciqfunctions.udf.CIQ($A14, "IQ_DA_CF", IQ_LTM, $B$1, $L$4, $L$3, $L$5, $L$6)/Q14),"NM")</f>
        <v>NM</v>
      </c>
      <c r="BS14" s="546">
        <f>'Capital IQ Sheet-GPC'!BS14</f>
        <v>0.75506822835532827</v>
      </c>
      <c r="BT14" s="546" t="str">
        <f>'Capital IQ Sheet-GPC'!BT14</f>
        <v>n/a</v>
      </c>
      <c r="BU14" s="546" t="str">
        <f>'Capital IQ Sheet-GPC'!BU14</f>
        <v>n/a</v>
      </c>
      <c r="BV14" s="546" t="str">
        <f>'Capital IQ Sheet-GPC'!BV14</f>
        <v>n/a</v>
      </c>
      <c r="BW14" s="546" t="str">
        <f>'Capital IQ Sheet-GPC'!BW14</f>
        <v>n/a</v>
      </c>
      <c r="BX14" s="546" t="str">
        <f>'Capital IQ Sheet-GPC'!BX14</f>
        <v>n/a</v>
      </c>
      <c r="BY14" s="546" t="str">
        <f>'Capital IQ Sheet-GPC'!BY14</f>
        <v>n/a</v>
      </c>
      <c r="BZ14" s="546" t="str">
        <f>'Capital IQ Sheet-GPC'!BZ14</f>
        <v>n/a</v>
      </c>
      <c r="CB14" s="492">
        <v>2</v>
      </c>
      <c r="CC14" s="632" t="s">
        <v>253</v>
      </c>
      <c r="CD14" s="632" t="s">
        <v>252</v>
      </c>
      <c r="CE14" s="494">
        <f t="shared" ref="CE14:CE42" si="0">$B$1-365*CB14</f>
        <v>42551</v>
      </c>
    </row>
    <row r="15" spans="1:86" s="492" customFormat="1" ht="12.75">
      <c r="A15" s="493" t="str">
        <f>_xll.ciqfunctions.udf.CIQ($B15,"IQ_COMPANY_TICKER")</f>
        <v>NasdaqCM:ASMB</v>
      </c>
      <c r="B15" s="541" t="str">
        <f>'Capital IQ Sheet-GPC'!B15</f>
        <v>IQ99715344</v>
      </c>
      <c r="C15" s="493" t="str">
        <f>_xll.ciqfunctions.udf.CIQ($A15,"IQ_COMPANY_NAME")</f>
        <v>Assembly Biosciences, Inc.</v>
      </c>
      <c r="D15" s="493" t="str">
        <f>_xll.ciqfunctions.udf.CIQ($A15, "IQ_EXCHANGE")</f>
        <v>NasdaqCM</v>
      </c>
      <c r="E15" s="540">
        <f>_xll.ciqfunctions.udf.CIQ($A15, "IQ_PERIODDATE_IS", IQ_FY)</f>
        <v>43100</v>
      </c>
      <c r="F15" s="540">
        <f>_xll.ciqfunctions.udf.CIQ(A15, "IQ_PERIODDATE_IS", IQ_LTM, $B$1,$L$4,$L$3)</f>
        <v>43190</v>
      </c>
      <c r="G15" s="540">
        <f>_xll.ciqfunctions.udf.CIQ($A15, "IQ_FIRSTPRICINGDATE")</f>
        <v>40529</v>
      </c>
      <c r="H15" s="542">
        <f>_xll.ciqfunctions.udf.CIQ($A15, "IQ_TEV", $L$2, $L$5, $L$6)</f>
        <v>696.63467000000003</v>
      </c>
      <c r="I15" s="542">
        <f>_xll.ciqfunctions.udf.CIQ(A15, "IQ_LASTSALEPRICE", $B$1,$L$5)</f>
        <v>39.21</v>
      </c>
      <c r="J15" s="542">
        <f>_xll.ciqfunctions.udf.CIQ($A15, "IQ_MARKETCAP", $L$2, $L$5, $L$6)</f>
        <v>805.79364999999996</v>
      </c>
      <c r="K15" s="542">
        <f>_xll.ciqfunctions.udf.CIQ($A15, "IQ_TOTAL_DEBT", IQ_LTM, $L$2,$L$4, $L$3, $L$5, $L$6)</f>
        <v>0</v>
      </c>
      <c r="L15" s="542" t="str">
        <f>_xll.ciqfunctions.udf.CIQ($A15, "IQ_PREF_EQUITY", IQ_LTM, $L$2, $L$4, $L$3, $L$5, $L$6)</f>
        <v>n/a</v>
      </c>
      <c r="M15" s="542" t="str">
        <f>_xll.ciqfunctions.udf.CIQ($A15, "IQ_MINORITY_INTEREST_TOTAL", IQ_LTM, $L$2, $L$4, $L$3, $L$5, $L$6)</f>
        <v>n/a</v>
      </c>
      <c r="N15" s="542">
        <f>_xll.ciqfunctions.udf.CIQ($A15, "IQ_CASH_ST_INVEST", IQ_LTM, $L$2, $L$4, $L$3, $L$5, $L$6)</f>
        <v>109.15898</v>
      </c>
      <c r="O15" s="542" t="str">
        <f>_xll.ciqfunctions.udf.CIQ($A15, "IQ_TOTAL_REV", IQ_LTM-8, $L$2, $L$4, $L$3, $L$5, $L$6)</f>
        <v>n/a</v>
      </c>
      <c r="P15" s="542">
        <f>_xll.ciqfunctions.udf.CIQ($A15, "IQ_TOTAL_REV", IQ_LTM - 4, $L$2, $L$4, $L$3, $L$5,$L$6)</f>
        <v>0.68437000000000003</v>
      </c>
      <c r="Q15" s="542">
        <f>_xll.ciqfunctions.udf.CIQ($A15, "IQ_TOTAL_REV", IQ_LTM, $L$2, $L$4, $L$3, $L$5, $L$6)</f>
        <v>11.89944</v>
      </c>
      <c r="R15" s="542" t="str">
        <f>_xll.ciqfunctions.udf.CIQ($A15, "IQ_TOTAL_REV", $B$2, $L$2, $L$4, $L$3, $L$5, $L$6)</f>
        <v>n/a</v>
      </c>
      <c r="S15" s="542">
        <f>IF(_xll.ciqfunctions.udf.CIQ($A15, "IQ_TOTAL_REV", $B$3, $L$2,$L$4, $L$3, $L$5, $L$6)=0,Q15,_xll.ciqfunctions.udf.CIQ($A15, "IQ_TOTAL_REV", $B$3, $L$2,$L$4, $L$3, $L$5, $L$6))</f>
        <v>9.0187500000000007</v>
      </c>
      <c r="T15" s="542">
        <f>IF(_xll.ciqfunctions.udf.CIQ($A15, "IQ_REVENUE_EST",$B$4, $L$2, "CON", $L$3, $L$5, $L$6)=0,"n/a",_xll.ciqfunctions.udf.CIQ($A15, "IQ_REVENUE_EST",$B$4, $L$2, "CON", $L$3, $L$5, $L$6))</f>
        <v>10.15503</v>
      </c>
      <c r="U15" s="542">
        <f>IF(_xll.ciqfunctions.udf.CIQ($A15, "IQ_REVENUE_EST",$B$5, $L$2, "CON", $L$3, $L$5, $L$6)=0,"n/a",_xll.ciqfunctions.udf.CIQ($A15, "IQ_REVENUE_EST",$B$5, $L$2, "CON", $L$3, $L$5, $L$6))</f>
        <v>11.85</v>
      </c>
      <c r="V15" s="542">
        <f>IF(_xll.ciqfunctions.udf.CIQ($A15, "IQ_REVENUE_EST",$B$6, $L$2, "CON", $L$3, $L$5, $L$6)=0,"n/a",_xll.ciqfunctions.udf.CIQ($A15, "IQ_REVENUE_EST",$B$6, $L$2, "CON", $L$3, $L$5, $L$6))</f>
        <v>17.3</v>
      </c>
      <c r="W15" s="542">
        <f>IF(_xll.ciqfunctions.udf.CIQ($A15, "IQ_REVENUE_EST", $B$7, $L$2, "CON", $L$3, $L$5, $L$6)=0,"n/a",_xll.ciqfunctions.udf.CIQ($A15, "IQ_REVENUE_EST",$B$7, $L$2, "CON", $L$3, $L$5, $L$6))</f>
        <v>47.3</v>
      </c>
      <c r="X15" s="542">
        <f>_xll.ciqfunctions.udf.CIQ($A15, "IQ_EBITDA", IQ_LTM-8, $L$2, $L$4, $L$3, $L$5, $L$6)</f>
        <v>-33.65992</v>
      </c>
      <c r="Y15" s="542">
        <f>_xll.ciqfunctions.udf.CIQ($A15, "IQ_EBITDA", IQ_LTM-4, $L$2,$L$4, $L$3, $L$5, $L$6)</f>
        <v>-47.837530000000001</v>
      </c>
      <c r="Z15" s="542">
        <f>_xll.ciqfunctions.udf.CIQ($A15, "IQ_EBITDA", IQ_LTM, $L$2, $L$4, $L$3, $L$5, $L$6)</f>
        <v>-54.613799999999998</v>
      </c>
      <c r="AA15" s="542">
        <f>_xll.ciqfunctions.udf.CIQ($A15, "IQ_EBITDA", $B$2, $L$2, $L$4, $L$3, $L$5, $L$6)</f>
        <v>-45.198210000000003</v>
      </c>
      <c r="AB15" s="542">
        <f>IF(_xll.ciqfunctions.udf.CIQ($A15, "IQ_EBITDA", $B$3, $L$2,$L$4, $L$3, $L$5, $L$6)=0,Z15,_xll.ciqfunctions.udf.CIQ($A15, "IQ_EBITDA", $B$3, $L$2,$L$4, $L$3, $L$5, $L$6))</f>
        <v>-52.007649999999998</v>
      </c>
      <c r="AC15" s="542" t="str">
        <f>IF(_xll.ciqfunctions.udf.CIQ($A15, "IQ_EBITDA_EST",$B$4, $L$2, "CON", $L$3, $L$5, $L$6)=0,"n/a",_xll.ciqfunctions.udf.CIQ($A15, "IQ_EBITDA_EST",$B$4, $L$2, "CON", $L$3, $L$5, $L$6))</f>
        <v>n/a</v>
      </c>
      <c r="AD15" s="542" t="str">
        <f>IF(_xll.ciqfunctions.udf.CIQ($A15, "IQ_EBITDA_EST",$B$5, $L$2, "CON", $L$3, $L$5, $L$6)=0,"n/a",_xll.ciqfunctions.udf.CIQ($A15, "IQ_EBITDA_EST",$B$5, $L$2, "CON", $L$3, $L$5, $L$6))</f>
        <v>n/a</v>
      </c>
      <c r="AE15" s="542" t="str">
        <f>IF(_xll.ciqfunctions.udf.CIQ($A15, "IQ_EBITDA_EST",$B$6, $L$2, "CON", $L$3, $L$5, $L$6)=0,"n/a",_xll.ciqfunctions.udf.CIQ($A15, "IQ_EBITDA_EST",$B$6, $L$2, "CON", $L$3, $L$5, $L$6))</f>
        <v>n/a</v>
      </c>
      <c r="AF15" s="543" t="str">
        <f>IF(ISERROR(_xll.ciqfunctions.udf.CIQ($A15, "IQ_GROSS_MARGIN", IQ_LTM, $L$2,$L$4, $L$3, $L$5, $L$6)/100), "n/a", _xll.ciqfunctions.udf.CIQ($A15,  "IQ_GROSS_MARGIN", IQ_LTM, $L$2, $L$4, $L$3, $L$5, $L$6)/100)</f>
        <v>n/a</v>
      </c>
      <c r="AG15" s="543" t="str">
        <f>IF(ISERROR(_xll.ciqfunctions.udf.CIQ($A15,"IQ_EBITDA_MARGIN", IQ_LTM, $L$2, $L$4, $L$3, $L$5, $L$6)/100), "n/a", _xll.ciqfunctions.udf.CIQ($A15, "IQ_EBITDA_MARGIN", IQ_LTM, $L$2, $L$4, $L$3, $L$5, $L$6)/100)</f>
        <v>n/a</v>
      </c>
      <c r="AH15" s="543" t="str">
        <f>IF(ISERROR(_xll.ciqfunctions.udf.CIQ($A15,"IQ_EBIT_MARGIN", IQ_LTM, $L$2, $L$4, $L$3, $L$5, $L$6)/100), "n/a", _xll.ciqfunctions.udf.CIQ($A15, "IQ_EBIT_MARGIN", IQ_LTM, $L$2, $L$4, $L$3, $L$5, $L$6)/100)</f>
        <v>n/a</v>
      </c>
      <c r="AI15" s="543" t="str">
        <f>IF(ISERROR(_xll.ciqfunctions.udf.CIQ($A15,"IQ_NI_MARGIN", IQ_LTM, $L$2, $L$4, $L$3, $L$5, $L$6)/100), "n/a", _xll.ciqfunctions.udf.CIQ($A15, "IQ_NI_MARGIN", IQ_LTM, $L$2, $L$4, $L$3, $L$5, $L$6)/100)</f>
        <v>n/a</v>
      </c>
      <c r="AJ15" s="542">
        <f>IF(ISERROR(_xll.ciqfunctions.udf.CIQ($A15, "IQ_NET_WORKING_CAP", IQ_LTM-8, $L$2, $L$4, $L$3, $L$5, $L$6)), "n/a", _xll.ciqfunctions.udf.CIQ($A15, "IQ_NET_WORKING_CAP", IQ_LTM-8, $L$2, $L$4, $L$3, $L$5, $L$6))</f>
        <v>-2.8036599999999998</v>
      </c>
      <c r="AK15" s="542">
        <f>IF(ISERROR(_xll.ciqfunctions.udf.CIQ($A15, "IQ_NET_WORKING_CAP", IQ_LTM-4, $L$2, $L$4, $L$3, $L$5, $L$6)), "n/a", _xll.ciqfunctions.udf.CIQ($A15, "IQ_NET_WORKING_CAP", IQ_LTM-4, $L$2, $L$4, $L$3, $L$5, $L$6))</f>
        <v>-9.6579700000000006</v>
      </c>
      <c r="AL15" s="542">
        <f>IF(ISERROR(_xll.ciqfunctions.udf.CIQ($A15, "IQ_NET_WORKING_CAP", IQ_LTM, $L$2,$L$4, $L$3, $L$5, $L$6)), "n/a", _xll.ciqfunctions.udf.CIQ($A15, "IQ_NET_WORKING_CAP", IQ_LTM, $L$2, $L$4, $L$3, $L$5, $L$6))</f>
        <v>-8.1133100000000002</v>
      </c>
      <c r="AM15" s="542">
        <f>IF(ISERROR(_xll.ciqfunctions.udf.CIQ($A15, "IQ_Capex", IQ_LTM-8, $L$2,$L$4, $L$3, $L$5, $L$6)), "n/a", _xll.ciqfunctions.udf.CIQ($A15, "IQ_Capex", IQ_LTM-8, $L$2, $L$4, $L$3, $L$5, $L$6))</f>
        <v>-2.971E-2</v>
      </c>
      <c r="AN15" s="542">
        <f>IF(ISERROR(_xll.ciqfunctions.udf.CIQ($A15, "IQ_Capex", IQ_LTM-4, $L$2,$L$4, $L$3, $L$5, $L$6)), "n/a", _xll.ciqfunctions.udf.CIQ($A15, "IQ_Capex", IQ_LTM-4, $L$2,$L$4, $L$3, $L$5, $L$6))</f>
        <v>-0.14416999999999999</v>
      </c>
      <c r="AO15" s="542">
        <f>IF(ISERROR(_xll.ciqfunctions.udf.CIQ($A15, "IQ_Capex", IQ_LTM, $L$2, $L$4, $L$3, $L$5, $L$6)), "n/a", _xll.ciqfunctions.udf.CIQ($A15, "IQ_Capex", IQ_LTM, $L$2, $L$4, $L$3, $L$5, $L$6))</f>
        <v>-0.90412000000000003</v>
      </c>
      <c r="AP15" s="544" t="str">
        <f>_xll.ciqfunctions.udf.CIQ(A15, "IQ_BUSINESS_DESCRIPTION")</f>
        <v>Assembly Biosciences, Inc. operates as a clinical stage biotechnology company. It develops oral therapeutic candidates for the treatment of hepatitis B virus (HBV) infection and novel class of oral synthetic live biotherapeutic candidates to treat disorders associated with the microbiome in the United States. It is involved in the development of core protein allosteric modulators that modulate the HBV core protein at various points in the viral lifecycle. The company also develops microbiome program, a platform that includes the identification and selection process to strain isolation and growth under current good manufacturing practice conditions; and a patent pending delivery system, GEMICEL, which allows for targeted oral delivery of live biologic and conventional therapies to the lower gastrointestinal tract. In addition, it engages in the development of product candidates for various disease indications, such as ulcerative colitis, Crohn’s disease, irritable bowel syndrome, non-alcoholic steatohepatitis, immuno-oncology, and clostridium difficile infections by using its microbiome platform. It has a collaboration agreement with Allergan Pharmaceuticals International Limited for the development and commercialization of selected microbiome gastrointestinal programs. The company was formerly known as Ventrus Biosciences, Inc. and changed its name to Assembly Biosciences, Inc. in June 2014. Assembly Biosciences, Inc. was founded in 2005 and is headquartered in Carmel, Indiana.</v>
      </c>
      <c r="AQ15" s="545">
        <f>_xll.ciqfunctions.udf.CIQ($A15, "IQ_BETA_1YR", $B$1)</f>
        <v>1.7247699999999999</v>
      </c>
      <c r="AR15" s="545">
        <f>_xll.ciqfunctions.udf.CIQ($A15, "IQ_BETA_2YR", $B$1)</f>
        <v>0.77400999999999998</v>
      </c>
      <c r="AS15" s="545">
        <f>_xll.ciqfunctions.udf.CIQ($A15, "IQ_BETA_5YR", $B$1)</f>
        <v>0.82081000000000004</v>
      </c>
      <c r="AT15" s="543" t="e">
        <f>_xll.ciqfunctions.udf.CIQ($A15, "IQ_DIVIDEND_YIELD", $B$1)/100</f>
        <v>#VALUE!</v>
      </c>
      <c r="AU15" s="542">
        <f>_xll.ciqfunctions.udf.CIQ($A15, "IQ_EARNING_CO", IQ_LTM-8, $L$2, $L$4, $L$3, $L$5, $L$6)</f>
        <v>-32.297440000000002</v>
      </c>
      <c r="AV15" s="542">
        <f>_xll.ciqfunctions.udf.CIQ($A15, "IQ_EARNING_CO", IQ_LTM-4, $L$2, $L$4, $L$3, $L$5, $L$6)</f>
        <v>-47.203600000000002</v>
      </c>
      <c r="AW15" s="542">
        <f>_xll.ciqfunctions.udf.CIQ($A15, "IQ_EARNING_CO", IQ_LTM, $L$2, $L$4, $L$3, $L$5, $L$6)</f>
        <v>-45.126710000000003</v>
      </c>
      <c r="AX15" s="542">
        <f>_xll.ciqfunctions.udf.CIQ($A15, "IQ_EARNING_CO", $B$2, $L$2, $L$4, $L$3, $L$5, $L$6)</f>
        <v>-44.261560000000003</v>
      </c>
      <c r="AY15" s="542">
        <f>IF(_xll.ciqfunctions.udf.CIQ($A15, "IQ_EARNING_CO", $B$3, $L$2,$L$4, $L$3, $L$5, $L$6)=0,AW15,_xll.ciqfunctions.udf.CIQ($A15, "IQ_EARNING_CO", $B$3, $L$2,$L$4, $L$3, $L$5, $L$6))</f>
        <v>-42.808549999999997</v>
      </c>
      <c r="AZ15" s="542">
        <f>_xll.ciqfunctions.udf.CIQ($A15, "IQ_TOTAL_EQUITY", IQ_LTM-8, $L$2, $L$4, $L$3, $L$5, $L$6)</f>
        <v>109.28498</v>
      </c>
      <c r="BA15" s="542">
        <f>_xll.ciqfunctions.udf.CIQ($A15, "IQ_TOTAL_EQUITY", IQ_LTM-4, $L$2, $L$4, $L$3, $L$5, $L$6)</f>
        <v>67.888159999999999</v>
      </c>
      <c r="BB15" s="542">
        <f>_xll.ciqfunctions.udf.CIQ($A15, "IQ_TOTAL_EQUITY", IQ_LTM, $L$2, $L$4, $L$3, $L$5, $L$6)</f>
        <v>102.38124999999999</v>
      </c>
      <c r="BC15" s="542">
        <f>_xll.ciqfunctions.udf.CIQ($A15, "IQ_TOTAL_EQUITY", $B$2, $L$2, $L$4, $L$3, $L$5, $L$6)</f>
        <v>79.878</v>
      </c>
      <c r="BD15" s="542">
        <f>IF(_xll.ciqfunctions.udf.CIQ($A15, "IQ_TOTAL_EQUITY", $B$3, $L$2,$L$4, $L$3, $L$5, $L$6)=0,BB15,_xll.ciqfunctions.udf.CIQ($A15, "IQ_TOTAL_EQUITY", $B$3, $L$2,$L$4, $L$3, $L$5, $L$6))</f>
        <v>113.11977</v>
      </c>
      <c r="BE15" s="542">
        <f>_xll.ciqfunctions.udf.CIQ(A15, "IQ_LASTSALEPRICE", $B$8)</f>
        <v>43.12</v>
      </c>
      <c r="BF15" s="542">
        <f>_xll.ciqfunctions.udf.CIQ($A15, "IQ_MARKETCAP", $B$8, $L$5, $L$6)</f>
        <v>868.03682000000003</v>
      </c>
      <c r="BG15" s="542">
        <f>_xll.ciqfunctions.udf.CIQ($A15, "IQ_TOTAL_DEBT", IQ_LTM, $B$8,$L$4, $L$3, $L$5, $L$6)</f>
        <v>0</v>
      </c>
      <c r="BH15" s="492" t="str">
        <f>_xll.ciqfunctions.udf.CIQ($A15,"IQ_PREF_EQUITY",IQ_LTM,$B$8,$L$4,$L$3,$L$5,$L$6)</f>
        <v>n/a</v>
      </c>
      <c r="BI15" s="492" t="str">
        <f>_xll.ciqfunctions.udf.CIQ($A15, "IQ_MINORITY_INTEREST_TOTAL", IQ_LTM,$B$8,$L$4,$L$3,$L$5,$L$6)</f>
        <v>n/a</v>
      </c>
      <c r="BJ15" s="542">
        <f>_xll.ciqfunctions.udf.CIQ($A15, "IQ_CASH_ST_INVEST", IQ_LTM, $B$8, $L$4, $L$3, $L$5, $L$6)</f>
        <v>66.300049999999999</v>
      </c>
      <c r="BK15" s="492" t="str">
        <f>_xll.ciqfunctions.udf.CIQ($A15, "IQ_EFFECT_TAX_RATE")</f>
        <v>NM</v>
      </c>
      <c r="BL15" s="492" t="e">
        <f>IF(_xll.ciqfunctions.udf.CIQ($A15, "IQ_TOTAL_REV_2YR_ANN_CAGR", IQ_LTM, $B$1,$L$4, $L$3, $L$5, $L$6)="NM","n/a",(_xll.ciqfunctions.udf.CIQ($A15, "IQ_TOTAL_REV_2YR_ANN_CAGR", IQ_LTM, $B$1,$L$4, $L$3, $L$5, $L$6)/100))</f>
        <v>#VALUE!</v>
      </c>
      <c r="BM15" s="492" t="e">
        <f>IF(_xll.ciqfunctions.udf.CIQ($A15, "IQ_TOTAL_REV_3YR_ANN_CAGR", IQ_LTM, $B$1,$L$4, $L$3, $L$5, $L$6)="NM","n/a",(_xll.ciqfunctions.udf.CIQ($A15, "IQ_TOTAL_REV_3YR_ANN_CAGR", IQ_LTM, $B$1,$L$4, $L$3, $L$5, $L$6)/100))</f>
        <v>#VALUE!</v>
      </c>
      <c r="BN15" s="492" t="e">
        <f>IF(_xll.ciqfunctions.udf.CIQ($A15, "IQ_TOTAL_REV_5YR_ANN_CAGR", IQ_LTM, $B$1,$L$4, $L$3, $L$5, $L$6)="NM","n/a",(_xll.ciqfunctions.udf.CIQ($A15, "IQ_TOTAL_REV_5YR_ANN_CAGR", IQ_LTM, $B$1,$L$4, $L$3, $L$5, $L$6)/100))</f>
        <v>#VALUE!</v>
      </c>
      <c r="BO15" s="492" t="str">
        <f>IF(_xll.ciqfunctions.udf.CIQ($A15,"IQ_EBITDA_2YR_ANN_CAGR", IQ_LTM,$B$1,$L$4, $L$3, $L$5, $L$6)="NM","n/a",(_xll.ciqfunctions.udf.CIQ($A15,"IQ_EBITDA_2YR_ANN_CAGR", IQ_LTM,$B$1,$L$4, $L$3, $L$5, $L$6)/100))</f>
        <v>n/a</v>
      </c>
      <c r="BP15" s="492" t="str">
        <f>IF(_xll.ciqfunctions.udf.CIQ($A15,"IQ_EBITDA_3YR_ANN_CAGR", IQ_LTM,$B$1,$L$4, $L$3, $L$5, $L$6)="NM","n/a",(_xll.ciqfunctions.udf.CIQ($A15,"IQ_EBITDA_3YR_ANN_CAGR", IQ_LTM,$B$1,$L$4, $L$3, $L$5, $L$6)/100))</f>
        <v>n/a</v>
      </c>
      <c r="BQ15" s="492" t="str">
        <f>IF(_xll.ciqfunctions.udf.CIQ($A15,"IQ_EBITDA_5YR_ANN_CAGR", IQ_LTM,$B$1,$L$4, $L$3, $L$5, $L$6)="NM","n/a",(_xll.ciqfunctions.udf.CIQ($A15,"IQ_EBITDA_5YR_ANN_CAGR", IQ_LTM,$B$1,$L$4, $L$3, $L$5, $L$6)/100))</f>
        <v>n/a</v>
      </c>
      <c r="BR15" s="496">
        <f>IFERROR((_xll.ciqfunctions.udf.CIQ($A15, "IQ_DA_CF", IQ_LTM, $B$1, $L$4, $L$3, $L$5, $L$6)/Q15),"NM")</f>
        <v>2.9866951722097846E-2</v>
      </c>
      <c r="BS15" s="546">
        <f>'Capital IQ Sheet-GPC'!BS15</f>
        <v>0.51581867616959842</v>
      </c>
      <c r="BT15" s="546">
        <f>'Capital IQ Sheet-GPC'!BT15</f>
        <v>0.53098119755231199</v>
      </c>
      <c r="BU15" s="546">
        <f>'Capital IQ Sheet-GPC'!BU15</f>
        <v>0.61179906568161346</v>
      </c>
      <c r="BV15" s="546">
        <f>'Capital IQ Sheet-GPC'!BV15</f>
        <v>0.65170735229916987</v>
      </c>
      <c r="BW15" s="546">
        <f>'Capital IQ Sheet-GPC'!BW15</f>
        <v>0.78950004378678795</v>
      </c>
      <c r="BX15" s="546">
        <f>'Capital IQ Sheet-GPC'!BX15</f>
        <v>0.76516734376148998</v>
      </c>
      <c r="BY15" s="546">
        <f>'Capital IQ Sheet-GPC'!BY15</f>
        <v>0.81212954472395738</v>
      </c>
      <c r="BZ15" s="546">
        <f>'Capital IQ Sheet-GPC'!BZ15</f>
        <v>0.80538454694258466</v>
      </c>
      <c r="CB15" s="492">
        <v>2</v>
      </c>
      <c r="CC15" s="632" t="s">
        <v>253</v>
      </c>
      <c r="CD15" s="632" t="s">
        <v>252</v>
      </c>
      <c r="CE15" s="494">
        <f t="shared" si="0"/>
        <v>42551</v>
      </c>
    </row>
    <row r="16" spans="1:86" s="492" customFormat="1" ht="12.75">
      <c r="A16" s="493" t="str">
        <f>_xll.ciqfunctions.udf.CIQ($B16,"IQ_COMPANY_TICKER")</f>
        <v>NasdaqGS:VYGR</v>
      </c>
      <c r="B16" s="541" t="str">
        <f>'Capital IQ Sheet-GPC'!B16</f>
        <v>IQ256887902</v>
      </c>
      <c r="C16" s="493" t="str">
        <f>_xll.ciqfunctions.udf.CIQ($A16,"IQ_COMPANY_NAME")</f>
        <v>Voyager Therapeutics, Inc.</v>
      </c>
      <c r="D16" s="493" t="str">
        <f>_xll.ciqfunctions.udf.CIQ($A16, "IQ_EXCHANGE")</f>
        <v>NasdaqGS</v>
      </c>
      <c r="E16" s="540">
        <f>_xll.ciqfunctions.udf.CIQ($A16, "IQ_PERIODDATE_IS", IQ_FY)</f>
        <v>43100</v>
      </c>
      <c r="F16" s="540">
        <f>_xll.ciqfunctions.udf.CIQ(A16, "IQ_PERIODDATE_IS", IQ_LTM, $B$1,$L$4,$L$3)</f>
        <v>43190</v>
      </c>
      <c r="G16" s="540">
        <f>_xll.ciqfunctions.udf.CIQ($A16, "IQ_FIRSTPRICINGDATE")</f>
        <v>42319</v>
      </c>
      <c r="H16" s="542">
        <f>_xll.ciqfunctions.udf.CIQ($A16, "IQ_TEV", $L$2, $L$5, $L$6)</f>
        <v>413.35426000000001</v>
      </c>
      <c r="I16" s="542">
        <f>_xll.ciqfunctions.udf.CIQ(A16, "IQ_LASTSALEPRICE", $B$1,$L$5)</f>
        <v>19.54</v>
      </c>
      <c r="J16" s="542">
        <f>_xll.ciqfunctions.udf.CIQ($A16, "IQ_MARKETCAP", $L$2, $L$5, $L$6)</f>
        <v>631.55226000000005</v>
      </c>
      <c r="K16" s="542">
        <f>_xll.ciqfunctions.udf.CIQ($A16, "IQ_TOTAL_DEBT", IQ_LTM, $L$2,$L$4, $L$3, $L$5, $L$6)</f>
        <v>0</v>
      </c>
      <c r="L16" s="542" t="str">
        <f>_xll.ciqfunctions.udf.CIQ($A16, "IQ_PREF_EQUITY", IQ_LTM, $L$2, $L$4, $L$3, $L$5, $L$6)</f>
        <v>n/a</v>
      </c>
      <c r="M16" s="542" t="str">
        <f>_xll.ciqfunctions.udf.CIQ($A16, "IQ_MINORITY_INTEREST_TOTAL", IQ_LTM, $L$2, $L$4, $L$3, $L$5, $L$6)</f>
        <v>n/a</v>
      </c>
      <c r="N16" s="542">
        <f>_xll.ciqfunctions.udf.CIQ($A16, "IQ_CASH_ST_INVEST", IQ_LTM, $L$2, $L$4, $L$3, $L$5, $L$6)</f>
        <v>218.19800000000001</v>
      </c>
      <c r="O16" s="542">
        <f>_xll.ciqfunctions.udf.CIQ($A16, "IQ_TOTAL_REV", IQ_LTM-8, $L$2, $L$4, $L$3, $L$5, $L$6)</f>
        <v>19.588000000000001</v>
      </c>
      <c r="P16" s="542">
        <f>_xll.ciqfunctions.udf.CIQ($A16, "IQ_TOTAL_REV", IQ_LTM - 4, $L$2, $L$4, $L$3, $L$5,$L$6)</f>
        <v>10.853999999999999</v>
      </c>
      <c r="Q16" s="542">
        <f>_xll.ciqfunctions.udf.CIQ($A16, "IQ_TOTAL_REV", IQ_LTM, $L$2, $L$4, $L$3, $L$5, $L$6)</f>
        <v>9.6129999999999995</v>
      </c>
      <c r="R16" s="542">
        <f>_xll.ciqfunctions.udf.CIQ($A16, "IQ_TOTAL_REV", $B$2, $L$2, $L$4, $L$3, $L$5, $L$6)</f>
        <v>14.22</v>
      </c>
      <c r="S16" s="542">
        <f>IF(_xll.ciqfunctions.udf.CIQ($A16, "IQ_TOTAL_REV", $B$3, $L$2,$L$4, $L$3, $L$5, $L$6)=0,Q16,_xll.ciqfunctions.udf.CIQ($A16, "IQ_TOTAL_REV", $B$3, $L$2,$L$4, $L$3, $L$5, $L$6))</f>
        <v>10.135</v>
      </c>
      <c r="T16" s="542">
        <f>IF(_xll.ciqfunctions.udf.CIQ($A16, "IQ_REVENUE_EST",$B$4, $L$2, "CON", $L$3, $L$5, $L$6)=0,"n/a",_xll.ciqfunctions.udf.CIQ($A16, "IQ_REVENUE_EST",$B$4, $L$2, "CON", $L$3, $L$5, $L$6))</f>
        <v>9.1322500000000009</v>
      </c>
      <c r="U16" s="542">
        <f>IF(_xll.ciqfunctions.udf.CIQ($A16, "IQ_REVENUE_EST",$B$5, $L$2, "CON", $L$3, $L$5, $L$6)=0,"n/a",_xll.ciqfunctions.udf.CIQ($A16, "IQ_REVENUE_EST",$B$5, $L$2, "CON", $L$3, $L$5, $L$6))</f>
        <v>19.754439999999999</v>
      </c>
      <c r="V16" s="542">
        <f>IF(_xll.ciqfunctions.udf.CIQ($A16, "IQ_REVENUE_EST",$B$6, $L$2, "CON", $L$3, $L$5, $L$6)=0,"n/a",_xll.ciqfunctions.udf.CIQ($A16, "IQ_REVENUE_EST",$B$6, $L$2, "CON", $L$3, $L$5, $L$6))</f>
        <v>11.54833</v>
      </c>
      <c r="W16" s="542">
        <f>IF(_xll.ciqfunctions.udf.CIQ($A16, "IQ_REVENUE_EST", $B$7, $L$2, "CON", $L$3, $L$5, $L$6)=0,"n/a",_xll.ciqfunctions.udf.CIQ($A16, "IQ_REVENUE_EST",$B$7, $L$2, "CON", $L$3, $L$5, $L$6))</f>
        <v>15.6775</v>
      </c>
      <c r="X16" s="542">
        <f>_xll.ciqfunctions.udf.CIQ($A16, "IQ_EBITDA", IQ_LTM-8, $L$2, $L$4, $L$3, $L$5, $L$6)</f>
        <v>-22.288</v>
      </c>
      <c r="Y16" s="542">
        <f>_xll.ciqfunctions.udf.CIQ($A16, "IQ_EBITDA", IQ_LTM-4, $L$2,$L$4, $L$3, $L$5, $L$6)</f>
        <v>-50.561</v>
      </c>
      <c r="Z16" s="542">
        <f>_xll.ciqfunctions.udf.CIQ($A16, "IQ_EBITDA", IQ_LTM, $L$2, $L$4, $L$3, $L$5, $L$6)</f>
        <v>-73.7</v>
      </c>
      <c r="AA16" s="542">
        <f>_xll.ciqfunctions.udf.CIQ($A16, "IQ_EBITDA", $B$2, $L$2, $L$4, $L$3, $L$5, $L$6)</f>
        <v>-40.686999999999998</v>
      </c>
      <c r="AB16" s="542">
        <f>IF(_xll.ciqfunctions.udf.CIQ($A16, "IQ_EBITDA", $B$3, $L$2,$L$4, $L$3, $L$5, $L$6)=0,Z16,_xll.ciqfunctions.udf.CIQ($A16, "IQ_EBITDA", $B$3, $L$2,$L$4, $L$3, $L$5, $L$6))</f>
        <v>-70.268000000000001</v>
      </c>
      <c r="AC16" s="542">
        <f>IF(_xll.ciqfunctions.udf.CIQ($A16, "IQ_EBITDA_EST",$B$4, $L$2, "CON", $L$3, $L$5, $L$6)=0,"n/a",_xll.ciqfunctions.udf.CIQ($A16, "IQ_EBITDA_EST",$B$4, $L$2, "CON", $L$3, $L$5, $L$6))</f>
        <v>-91.902000000000001</v>
      </c>
      <c r="AD16" s="542">
        <f>IF(_xll.ciqfunctions.udf.CIQ($A16, "IQ_EBITDA_EST",$B$5, $L$2, "CON", $L$3, $L$5, $L$6)=0,"n/a",_xll.ciqfunctions.udf.CIQ($A16, "IQ_EBITDA_EST",$B$5, $L$2, "CON", $L$3, $L$5, $L$6))</f>
        <v>-110.76867</v>
      </c>
      <c r="AE16" s="542">
        <f>IF(_xll.ciqfunctions.udf.CIQ($A16, "IQ_EBITDA_EST",$B$6, $L$2, "CON", $L$3, $L$5, $L$6)=0,"n/a",_xll.ciqfunctions.udf.CIQ($A16, "IQ_EBITDA_EST",$B$6, $L$2, "CON", $L$3, $L$5, $L$6))</f>
        <v>-94.6</v>
      </c>
      <c r="AF16" s="543" t="str">
        <f>IF(ISERROR(_xll.ciqfunctions.udf.CIQ($A16, "IQ_GROSS_MARGIN", IQ_LTM, $L$2,$L$4, $L$3, $L$5, $L$6)/100), "n/a", _xll.ciqfunctions.udf.CIQ($A16,  "IQ_GROSS_MARGIN", IQ_LTM, $L$2, $L$4, $L$3, $L$5, $L$6)/100)</f>
        <v>n/a</v>
      </c>
      <c r="AG16" s="543" t="str">
        <f>IF(ISERROR(_xll.ciqfunctions.udf.CIQ($A16,"IQ_EBITDA_MARGIN", IQ_LTM, $L$2, $L$4, $L$3, $L$5, $L$6)/100), "n/a", _xll.ciqfunctions.udf.CIQ($A16, "IQ_EBITDA_MARGIN", IQ_LTM, $L$2, $L$4, $L$3, $L$5, $L$6)/100)</f>
        <v>n/a</v>
      </c>
      <c r="AH16" s="543" t="str">
        <f>IF(ISERROR(_xll.ciqfunctions.udf.CIQ($A16,"IQ_EBIT_MARGIN", IQ_LTM, $L$2, $L$4, $L$3, $L$5, $L$6)/100), "n/a", _xll.ciqfunctions.udf.CIQ($A16, "IQ_EBIT_MARGIN", IQ_LTM, $L$2, $L$4, $L$3, $L$5, $L$6)/100)</f>
        <v>n/a</v>
      </c>
      <c r="AI16" s="543" t="str">
        <f>IF(ISERROR(_xll.ciqfunctions.udf.CIQ($A16,"IQ_NI_MARGIN", IQ_LTM, $L$2, $L$4, $L$3, $L$5, $L$6)/100), "n/a", _xll.ciqfunctions.udf.CIQ($A16, "IQ_NI_MARGIN", IQ_LTM, $L$2, $L$4, $L$3, $L$5, $L$6)/100)</f>
        <v>n/a</v>
      </c>
      <c r="AJ16" s="542">
        <f>IF(ISERROR(_xll.ciqfunctions.udf.CIQ($A16, "IQ_NET_WORKING_CAP", IQ_LTM-8, $L$2, $L$4, $L$3, $L$5, $L$6)), "n/a", _xll.ciqfunctions.udf.CIQ($A16, "IQ_NET_WORKING_CAP", IQ_LTM-8, $L$2, $L$4, $L$3, $L$5, $L$6))</f>
        <v>-21.370999999999999</v>
      </c>
      <c r="AK16" s="542">
        <f>IF(ISERROR(_xll.ciqfunctions.udf.CIQ($A16, "IQ_NET_WORKING_CAP", IQ_LTM-4, $L$2, $L$4, $L$3, $L$5, $L$6)), "n/a", _xll.ciqfunctions.udf.CIQ($A16, "IQ_NET_WORKING_CAP", IQ_LTM-4, $L$2, $L$4, $L$3, $L$5, $L$6))</f>
        <v>-7.6539999999999999</v>
      </c>
      <c r="AL16" s="542">
        <f>IF(ISERROR(_xll.ciqfunctions.udf.CIQ($A16, "IQ_NET_WORKING_CAP", IQ_LTM, $L$2,$L$4, $L$3, $L$5, $L$6)), "n/a", _xll.ciqfunctions.udf.CIQ($A16, "IQ_NET_WORKING_CAP", IQ_LTM, $L$2, $L$4, $L$3, $L$5, $L$6))</f>
        <v>-28.507000000000001</v>
      </c>
      <c r="AM16" s="542">
        <f>IF(ISERROR(_xll.ciqfunctions.udf.CIQ($A16, "IQ_Capex", IQ_LTM-8, $L$2,$L$4, $L$3, $L$5, $L$6)), "n/a", _xll.ciqfunctions.udf.CIQ($A16, "IQ_Capex", IQ_LTM-8, $L$2, $L$4, $L$3, $L$5, $L$6))</f>
        <v>-1.34</v>
      </c>
      <c r="AN16" s="542">
        <f>IF(ISERROR(_xll.ciqfunctions.udf.CIQ($A16, "IQ_Capex", IQ_LTM-4, $L$2,$L$4, $L$3, $L$5, $L$6)), "n/a", _xll.ciqfunctions.udf.CIQ($A16, "IQ_Capex", IQ_LTM-4, $L$2,$L$4, $L$3, $L$5, $L$6))</f>
        <v>-7.5140000000000002</v>
      </c>
      <c r="AO16" s="542">
        <f>IF(ISERROR(_xll.ciqfunctions.udf.CIQ($A16, "IQ_Capex", IQ_LTM, $L$2, $L$4, $L$3, $L$5, $L$6)), "n/a", _xll.ciqfunctions.udf.CIQ($A16, "IQ_Capex", IQ_LTM, $L$2, $L$4, $L$3, $L$5, $L$6))</f>
        <v>-2.6469999999999998</v>
      </c>
      <c r="AP16" s="544" t="str">
        <f>_xll.ciqfunctions.udf.CIQ(A16, "IQ_BUSINESS_DESCRIPTION")</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Voyager Therapeutics, Inc. was founded in 2013 and is headquartered in Cambridge, Massachusetts.</v>
      </c>
      <c r="AQ16" s="545">
        <f>_xll.ciqfunctions.udf.CIQ($A16, "IQ_BETA_1YR", $B$1)</f>
        <v>1.7963</v>
      </c>
      <c r="AR16" s="545">
        <f>_xll.ciqfunctions.udf.CIQ($A16, "IQ_BETA_2YR", $B$1)</f>
        <v>1.89943</v>
      </c>
      <c r="AS16" s="545">
        <f>_xll.ciqfunctions.udf.CIQ($A16, "IQ_BETA_5YR", $B$1)</f>
        <v>3.0486499999999999</v>
      </c>
      <c r="AT16" s="543" t="e">
        <f>_xll.ciqfunctions.udf.CIQ($A16, "IQ_DIVIDEND_YIELD", $B$1)/100</f>
        <v>#VALUE!</v>
      </c>
      <c r="AU16" s="542">
        <f>_xll.ciqfunctions.udf.CIQ($A16, "IQ_EARNING_CO", IQ_LTM-8, $L$2, $L$4, $L$3, $L$5, $L$6)</f>
        <v>-22.283000000000001</v>
      </c>
      <c r="AV16" s="542">
        <f>_xll.ciqfunctions.udf.CIQ($A16, "IQ_EARNING_CO", IQ_LTM-4, $L$2, $L$4, $L$3, $L$5, $L$6)</f>
        <v>-49.652999999999999</v>
      </c>
      <c r="AW16" s="542">
        <f>_xll.ciqfunctions.udf.CIQ($A16, "IQ_EARNING_CO", IQ_LTM, $L$2, $L$4, $L$3, $L$5, $L$6)</f>
        <v>-73.975999999999999</v>
      </c>
      <c r="AX16" s="542">
        <f>_xll.ciqfunctions.udf.CIQ($A16, "IQ_EARNING_CO", $B$2, $L$2, $L$4, $L$3, $L$5, $L$6)</f>
        <v>-40.192999999999998</v>
      </c>
      <c r="AY16" s="542">
        <f>IF(_xll.ciqfunctions.udf.CIQ($A16, "IQ_EARNING_CO", $B$3, $L$2,$L$4, $L$3, $L$5, $L$6)=0,AW16,_xll.ciqfunctions.udf.CIQ($A16, "IQ_EARNING_CO", $B$3, $L$2,$L$4, $L$3, $L$5, $L$6))</f>
        <v>-70.697999999999993</v>
      </c>
      <c r="AZ16" s="542">
        <f>_xll.ciqfunctions.udf.CIQ($A16, "IQ_TOTAL_EQUITY", IQ_LTM-8, $L$2, $L$4, $L$3, $L$5, $L$6)</f>
        <v>163.59700000000001</v>
      </c>
      <c r="BA16" s="542">
        <f>_xll.ciqfunctions.udf.CIQ($A16, "IQ_TOTAL_EQUITY", IQ_LTM-4, $L$2, $L$4, $L$3, $L$5, $L$6)</f>
        <v>122.697</v>
      </c>
      <c r="BB16" s="542">
        <f>_xll.ciqfunctions.udf.CIQ($A16, "IQ_TOTAL_EQUITY", IQ_LTM, $L$2, $L$4, $L$3, $L$5, $L$6)</f>
        <v>98.293000000000006</v>
      </c>
      <c r="BC16" s="542">
        <f>_xll.ciqfunctions.udf.CIQ($A16, "IQ_TOTAL_EQUITY", $B$2, $L$2, $L$4, $L$3, $L$5, $L$6)</f>
        <v>135.922</v>
      </c>
      <c r="BD16" s="542">
        <f>IF(_xll.ciqfunctions.udf.CIQ($A16, "IQ_TOTAL_EQUITY", $B$3, $L$2,$L$4, $L$3, $L$5, $L$6)=0,BB16,_xll.ciqfunctions.udf.CIQ($A16, "IQ_TOTAL_EQUITY", $B$3, $L$2,$L$4, $L$3, $L$5, $L$6))</f>
        <v>134.05099999999999</v>
      </c>
      <c r="BE16" s="542">
        <f>_xll.ciqfunctions.udf.CIQ(A16, "IQ_LASTSALEPRICE", $B$8)</f>
        <v>17.86</v>
      </c>
      <c r="BF16" s="542">
        <f>_xll.ciqfunctions.udf.CIQ($A16, "IQ_MARKETCAP", $B$8, $L$5, $L$6)</f>
        <v>561.68848000000003</v>
      </c>
      <c r="BG16" s="542">
        <f>_xll.ciqfunctions.udf.CIQ($A16, "IQ_TOTAL_DEBT", IQ_LTM, $B$8,$L$4, $L$3, $L$5, $L$6)</f>
        <v>0</v>
      </c>
      <c r="BH16" s="492" t="str">
        <f>_xll.ciqfunctions.udf.CIQ($A16,"IQ_PREF_EQUITY",IQ_LTM,$B$8,$L$4,$L$3,$L$5,$L$6)</f>
        <v>n/a</v>
      </c>
      <c r="BI16" s="492" t="str">
        <f>_xll.ciqfunctions.udf.CIQ($A16, "IQ_MINORITY_INTEREST_TOTAL", IQ_LTM,$B$8,$L$4,$L$3,$L$5,$L$6)</f>
        <v>n/a</v>
      </c>
      <c r="BJ16" s="542">
        <f>_xll.ciqfunctions.udf.CIQ($A16, "IQ_CASH_ST_INVEST", IQ_LTM, $B$8, $L$4, $L$3, $L$5, $L$6)</f>
        <v>125.587</v>
      </c>
      <c r="BK16" s="492" t="str">
        <f>_xll.ciqfunctions.udf.CIQ($A16, "IQ_EFFECT_TAX_RATE")</f>
        <v>NM</v>
      </c>
      <c r="BL16" s="492">
        <f>IF(_xll.ciqfunctions.udf.CIQ($A16, "IQ_TOTAL_REV_2YR_ANN_CAGR", IQ_LTM, $B$1,$L$4, $L$3, $L$5, $L$6)="NM","n/a",(_xll.ciqfunctions.udf.CIQ($A16, "IQ_TOTAL_REV_2YR_ANN_CAGR", IQ_LTM, $B$1,$L$4, $L$3, $L$5, $L$6)/100))</f>
        <v>-0.299458</v>
      </c>
      <c r="BM16" s="492">
        <f>IF(_xll.ciqfunctions.udf.CIQ($A16, "IQ_TOTAL_REV_3YR_ANN_CAGR", IQ_LTM, $B$1,$L$4, $L$3, $L$5, $L$6)="NM","n/a",(_xll.ciqfunctions.udf.CIQ($A16, "IQ_TOTAL_REV_3YR_ANN_CAGR", IQ_LTM, $B$1,$L$4, $L$3, $L$5, $L$6)/100))</f>
        <v>0.55109200000000003</v>
      </c>
      <c r="BN16" s="492" t="e">
        <f>IF(_xll.ciqfunctions.udf.CIQ($A16, "IQ_TOTAL_REV_5YR_ANN_CAGR", IQ_LTM, $B$1,$L$4, $L$3, $L$5, $L$6)="NM","n/a",(_xll.ciqfunctions.udf.CIQ($A16, "IQ_TOTAL_REV_5YR_ANN_CAGR", IQ_LTM, $B$1,$L$4, $L$3, $L$5, $L$6)/100))</f>
        <v>#VALUE!</v>
      </c>
      <c r="BO16" s="492" t="str">
        <f>IF(_xll.ciqfunctions.udf.CIQ($A16,"IQ_EBITDA_2YR_ANN_CAGR", IQ_LTM,$B$1,$L$4, $L$3, $L$5, $L$6)="NM","n/a",(_xll.ciqfunctions.udf.CIQ($A16,"IQ_EBITDA_2YR_ANN_CAGR", IQ_LTM,$B$1,$L$4, $L$3, $L$5, $L$6)/100))</f>
        <v>n/a</v>
      </c>
      <c r="BP16" s="492" t="str">
        <f>IF(_xll.ciqfunctions.udf.CIQ($A16,"IQ_EBITDA_3YR_ANN_CAGR", IQ_LTM,$B$1,$L$4, $L$3, $L$5, $L$6)="NM","n/a",(_xll.ciqfunctions.udf.CIQ($A16,"IQ_EBITDA_3YR_ANN_CAGR", IQ_LTM,$B$1,$L$4, $L$3, $L$5, $L$6)/100))</f>
        <v>n/a</v>
      </c>
      <c r="BQ16" s="492" t="e">
        <f>IF(_xll.ciqfunctions.udf.CIQ($A16,"IQ_EBITDA_5YR_ANN_CAGR", IQ_LTM,$B$1,$L$4, $L$3, $L$5, $L$6)="NM","n/a",(_xll.ciqfunctions.udf.CIQ($A16,"IQ_EBITDA_5YR_ANN_CAGR", IQ_LTM,$B$1,$L$4, $L$3, $L$5, $L$6)/100))</f>
        <v>#VALUE!</v>
      </c>
      <c r="BR16" s="496">
        <f>IFERROR((_xll.ciqfunctions.udf.CIQ($A16, "IQ_DA_CF", IQ_LTM, $B$1, $L$4, $L$3, $L$5, $L$6)/Q16),"NM")</f>
        <v>0.1803807344221367</v>
      </c>
      <c r="BS16" s="546">
        <f>'Capital IQ Sheet-GPC'!BS16</f>
        <v>0.82950927699237276</v>
      </c>
      <c r="BT16" s="546">
        <f>'Capital IQ Sheet-GPC'!BT16</f>
        <v>0.69953331928686346</v>
      </c>
      <c r="BU16" s="546">
        <f>'Capital IQ Sheet-GPC'!BU16</f>
        <v>0.74099767206184253</v>
      </c>
      <c r="BV16" s="546" t="str">
        <f>'Capital IQ Sheet-GPC'!BV16</f>
        <v>n/a</v>
      </c>
      <c r="BW16" s="546" t="str">
        <f>'Capital IQ Sheet-GPC'!BW16</f>
        <v>n/a</v>
      </c>
      <c r="BX16" s="546" t="str">
        <f>'Capital IQ Sheet-GPC'!BX16</f>
        <v>n/a</v>
      </c>
      <c r="BY16" s="546" t="str">
        <f>'Capital IQ Sheet-GPC'!BY16</f>
        <v>n/a</v>
      </c>
      <c r="BZ16" s="546" t="str">
        <f>'Capital IQ Sheet-GPC'!BZ16</f>
        <v>n/a</v>
      </c>
      <c r="CB16" s="492">
        <v>2</v>
      </c>
      <c r="CC16" s="632" t="s">
        <v>253</v>
      </c>
      <c r="CD16" s="632" t="s">
        <v>252</v>
      </c>
      <c r="CE16" s="494">
        <f t="shared" si="0"/>
        <v>42551</v>
      </c>
    </row>
    <row r="17" spans="1:83" s="492" customFormat="1" ht="12.75">
      <c r="A17" s="493" t="str">
        <f>_xll.ciqfunctions.udf.CIQ($B17,"IQ_COMPANY_TICKER")</f>
        <v>NasdaqGS:ZFGN</v>
      </c>
      <c r="B17" s="541" t="str">
        <f>'Capital IQ Sheet-GPC'!B17</f>
        <v>IQ29016215</v>
      </c>
      <c r="C17" s="493" t="str">
        <f>_xll.ciqfunctions.udf.CIQ($A17,"IQ_COMPANY_NAME")</f>
        <v>Zafgen, Inc.</v>
      </c>
      <c r="D17" s="493" t="str">
        <f>_xll.ciqfunctions.udf.CIQ($A17, "IQ_EXCHANGE")</f>
        <v>NasdaqGS</v>
      </c>
      <c r="E17" s="540">
        <f>_xll.ciqfunctions.udf.CIQ($A17, "IQ_PERIODDATE_IS", IQ_FY)</f>
        <v>43100</v>
      </c>
      <c r="F17" s="540">
        <f>_xll.ciqfunctions.udf.CIQ(A17, "IQ_PERIODDATE_IS", IQ_LTM, $B$1,$L$4,$L$3)</f>
        <v>43190</v>
      </c>
      <c r="G17" s="540">
        <f>_xll.ciqfunctions.udf.CIQ($A17, "IQ_FIRSTPRICINGDATE")</f>
        <v>41810</v>
      </c>
      <c r="H17" s="542">
        <f>_xll.ciqfunctions.udf.CIQ($A17, "IQ_TEV", $L$2, $L$5, $L$6)</f>
        <v>294.85737</v>
      </c>
      <c r="I17" s="542">
        <f>_xll.ciqfunctions.udf.CIQ(A17, "IQ_LASTSALEPRICE", $B$1,$L$5)</f>
        <v>10.23</v>
      </c>
      <c r="J17" s="542">
        <f>_xll.ciqfunctions.udf.CIQ($A17, "IQ_MARKETCAP", $L$2, $L$5, $L$6)</f>
        <v>363.76737000000003</v>
      </c>
      <c r="K17" s="542">
        <f>_xll.ciqfunctions.udf.CIQ($A17, "IQ_TOTAL_DEBT", IQ_LTM, $L$2,$L$4, $L$3, $L$5, $L$6)</f>
        <v>20.16</v>
      </c>
      <c r="L17" s="542" t="str">
        <f>_xll.ciqfunctions.udf.CIQ($A17, "IQ_PREF_EQUITY", IQ_LTM, $L$2, $L$4, $L$3, $L$5, $L$6)</f>
        <v>n/a</v>
      </c>
      <c r="M17" s="542" t="str">
        <f>_xll.ciqfunctions.udf.CIQ($A17, "IQ_MINORITY_INTEREST_TOTAL", IQ_LTM, $L$2, $L$4, $L$3, $L$5, $L$6)</f>
        <v>n/a</v>
      </c>
      <c r="N17" s="542">
        <f>_xll.ciqfunctions.udf.CIQ($A17, "IQ_CASH_ST_INVEST", IQ_LTM, $L$2, $L$4, $L$3, $L$5, $L$6)</f>
        <v>89.07</v>
      </c>
      <c r="O17" s="542" t="str">
        <f>_xll.ciqfunctions.udf.CIQ($A17, "IQ_TOTAL_REV", IQ_LTM-8, $L$2, $L$4, $L$3, $L$5, $L$6)</f>
        <v>n/a</v>
      </c>
      <c r="P17" s="542" t="str">
        <f>_xll.ciqfunctions.udf.CIQ($A17, "IQ_TOTAL_REV", IQ_LTM - 4, $L$2, $L$4, $L$3, $L$5,$L$6)</f>
        <v>n/a</v>
      </c>
      <c r="Q17" s="542" t="str">
        <f>_xll.ciqfunctions.udf.CIQ($A17, "IQ_TOTAL_REV", IQ_LTM, $L$2, $L$4, $L$3, $L$5, $L$6)</f>
        <v>n/a</v>
      </c>
      <c r="R17" s="542" t="str">
        <f>_xll.ciqfunctions.udf.CIQ($A17, "IQ_TOTAL_REV", $B$2, $L$2, $L$4, $L$3, $L$5, $L$6)</f>
        <v>n/a</v>
      </c>
      <c r="S17" s="542" t="str">
        <f>IF(_xll.ciqfunctions.udf.CIQ($A17, "IQ_TOTAL_REV", $B$3, $L$2,$L$4, $L$3, $L$5, $L$6)=0,Q17,_xll.ciqfunctions.udf.CIQ($A17, "IQ_TOTAL_REV", $B$3, $L$2,$L$4, $L$3, $L$5, $L$6))</f>
        <v>n/a</v>
      </c>
      <c r="T17" s="542" t="str">
        <f>IF(_xll.ciqfunctions.udf.CIQ($A17, "IQ_REVENUE_EST",$B$4, $L$2, "CON", $L$3, $L$5, $L$6)=0,"n/a",_xll.ciqfunctions.udf.CIQ($A17, "IQ_REVENUE_EST",$B$4, $L$2, "CON", $L$3, $L$5, $L$6))</f>
        <v>n/a</v>
      </c>
      <c r="U17" s="542">
        <f>IF(_xll.ciqfunctions.udf.CIQ($A17, "IQ_REVENUE_EST",$B$5, $L$2, "CON", $L$3, $L$5, $L$6)=0,"n/a",_xll.ciqfunctions.udf.CIQ($A17, "IQ_REVENUE_EST",$B$5, $L$2, "CON", $L$3, $L$5, $L$6))</f>
        <v>3.3333300000000001</v>
      </c>
      <c r="V17" s="542" t="str">
        <f>IF(_xll.ciqfunctions.udf.CIQ($A17, "IQ_REVENUE_EST",$B$6, $L$2, "CON", $L$3, $L$5, $L$6)=0,"n/a",_xll.ciqfunctions.udf.CIQ($A17, "IQ_REVENUE_EST",$B$6, $L$2, "CON", $L$3, $L$5, $L$6))</f>
        <v>n/a</v>
      </c>
      <c r="W17" s="542" t="str">
        <f>IF(_xll.ciqfunctions.udf.CIQ($A17, "IQ_REVENUE_EST", $B$7, $L$2, "CON", $L$3, $L$5, $L$6)=0,"n/a",_xll.ciqfunctions.udf.CIQ($A17, "IQ_REVENUE_EST",$B$7, $L$2, "CON", $L$3, $L$5, $L$6))</f>
        <v>n/a</v>
      </c>
      <c r="X17" s="542">
        <f>_xll.ciqfunctions.udf.CIQ($A17, "IQ_EBITDA", IQ_LTM-8, $L$2, $L$4, $L$3, $L$5, $L$6)</f>
        <v>-78.314999999999998</v>
      </c>
      <c r="Y17" s="542">
        <f>_xll.ciqfunctions.udf.CIQ($A17, "IQ_EBITDA", IQ_LTM-4, $L$2,$L$4, $L$3, $L$5, $L$6)</f>
        <v>-52.027000000000001</v>
      </c>
      <c r="Z17" s="542">
        <f>_xll.ciqfunctions.udf.CIQ($A17, "IQ_EBITDA", IQ_LTM, $L$2, $L$4, $L$3, $L$5, $L$6)</f>
        <v>-55.238999999999997</v>
      </c>
      <c r="AA17" s="542">
        <f>_xll.ciqfunctions.udf.CIQ($A17, "IQ_EBITDA", $B$2, $L$2, $L$4, $L$3, $L$5, $L$6)</f>
        <v>-56.61</v>
      </c>
      <c r="AB17" s="542">
        <f>IF(_xll.ciqfunctions.udf.CIQ($A17, "IQ_EBITDA", $B$3, $L$2,$L$4, $L$3, $L$5, $L$6)=0,Z17,_xll.ciqfunctions.udf.CIQ($A17, "IQ_EBITDA", $B$3, $L$2,$L$4, $L$3, $L$5, $L$6))</f>
        <v>-52.811</v>
      </c>
      <c r="AC17" s="542" t="str">
        <f>IF(_xll.ciqfunctions.udf.CIQ($A17, "IQ_EBITDA_EST",$B$4, $L$2, "CON", $L$3, $L$5, $L$6)=0,"n/a",_xll.ciqfunctions.udf.CIQ($A17, "IQ_EBITDA_EST",$B$4, $L$2, "CON", $L$3, $L$5, $L$6))</f>
        <v>n/a</v>
      </c>
      <c r="AD17" s="542" t="str">
        <f>IF(_xll.ciqfunctions.udf.CIQ($A17, "IQ_EBITDA_EST",$B$5, $L$2, "CON", $L$3, $L$5, $L$6)=0,"n/a",_xll.ciqfunctions.udf.CIQ($A17, "IQ_EBITDA_EST",$B$5, $L$2, "CON", $L$3, $L$5, $L$6))</f>
        <v>n/a</v>
      </c>
      <c r="AE17" s="542" t="str">
        <f>IF(_xll.ciqfunctions.udf.CIQ($A17, "IQ_EBITDA_EST",$B$6, $L$2, "CON", $L$3, $L$5, $L$6)=0,"n/a",_xll.ciqfunctions.udf.CIQ($A17, "IQ_EBITDA_EST",$B$6, $L$2, "CON", $L$3, $L$5, $L$6))</f>
        <v>n/a</v>
      </c>
      <c r="AF17" s="543" t="str">
        <f>IF(ISERROR(_xll.ciqfunctions.udf.CIQ($A17, "IQ_GROSS_MARGIN", IQ_LTM, $L$2,$L$4, $L$3, $L$5, $L$6)/100), "n/a", _xll.ciqfunctions.udf.CIQ($A17,  "IQ_GROSS_MARGIN", IQ_LTM, $L$2, $L$4, $L$3, $L$5, $L$6)/100)</f>
        <v>n/a</v>
      </c>
      <c r="AG17" s="543" t="str">
        <f>IF(ISERROR(_xll.ciqfunctions.udf.CIQ($A17,"IQ_EBITDA_MARGIN", IQ_LTM, $L$2, $L$4, $L$3, $L$5, $L$6)/100), "n/a", _xll.ciqfunctions.udf.CIQ($A17, "IQ_EBITDA_MARGIN", IQ_LTM, $L$2, $L$4, $L$3, $L$5, $L$6)/100)</f>
        <v>n/a</v>
      </c>
      <c r="AH17" s="543" t="str">
        <f>IF(ISERROR(_xll.ciqfunctions.udf.CIQ($A17,"IQ_EBIT_MARGIN", IQ_LTM, $L$2, $L$4, $L$3, $L$5, $L$6)/100), "n/a", _xll.ciqfunctions.udf.CIQ($A17, "IQ_EBIT_MARGIN", IQ_LTM, $L$2, $L$4, $L$3, $L$5, $L$6)/100)</f>
        <v>n/a</v>
      </c>
      <c r="AI17" s="543" t="str">
        <f>IF(ISERROR(_xll.ciqfunctions.udf.CIQ($A17,"IQ_NI_MARGIN", IQ_LTM, $L$2, $L$4, $L$3, $L$5, $L$6)/100), "n/a", _xll.ciqfunctions.udf.CIQ($A17, "IQ_NI_MARGIN", IQ_LTM, $L$2, $L$4, $L$3, $L$5, $L$6)/100)</f>
        <v>n/a</v>
      </c>
      <c r="AJ17" s="542">
        <f>IF(ISERROR(_xll.ciqfunctions.udf.CIQ($A17, "IQ_NET_WORKING_CAP", IQ_LTM-8, $L$2, $L$4, $L$3, $L$5, $L$6)), "n/a", _xll.ciqfunctions.udf.CIQ($A17, "IQ_NET_WORKING_CAP", IQ_LTM-8, $L$2, $L$4, $L$3, $L$5, $L$6))</f>
        <v>-7.2249999999999996</v>
      </c>
      <c r="AK17" s="542">
        <f>IF(ISERROR(_xll.ciqfunctions.udf.CIQ($A17, "IQ_NET_WORKING_CAP", IQ_LTM-4, $L$2, $L$4, $L$3, $L$5, $L$6)), "n/a", _xll.ciqfunctions.udf.CIQ($A17, "IQ_NET_WORKING_CAP", IQ_LTM-4, $L$2, $L$4, $L$3, $L$5, $L$6))</f>
        <v>-4.0140000000000002</v>
      </c>
      <c r="AL17" s="542">
        <f>IF(ISERROR(_xll.ciqfunctions.udf.CIQ($A17, "IQ_NET_WORKING_CAP", IQ_LTM, $L$2,$L$4, $L$3, $L$5, $L$6)), "n/a", _xll.ciqfunctions.udf.CIQ($A17, "IQ_NET_WORKING_CAP", IQ_LTM, $L$2, $L$4, $L$3, $L$5, $L$6))</f>
        <v>-5.1050000000000004</v>
      </c>
      <c r="AM17" s="542">
        <f>IF(ISERROR(_xll.ciqfunctions.udf.CIQ($A17, "IQ_Capex", IQ_LTM-8, $L$2,$L$4, $L$3, $L$5, $L$6)), "n/a", _xll.ciqfunctions.udf.CIQ($A17, "IQ_Capex", IQ_LTM-8, $L$2, $L$4, $L$3, $L$5, $L$6))</f>
        <v>-0.96799999999999997</v>
      </c>
      <c r="AN17" s="542">
        <f>IF(ISERROR(_xll.ciqfunctions.udf.CIQ($A17, "IQ_Capex", IQ_LTM-4, $L$2,$L$4, $L$3, $L$5, $L$6)), "n/a", _xll.ciqfunctions.udf.CIQ($A17, "IQ_Capex", IQ_LTM-4, $L$2,$L$4, $L$3, $L$5, $L$6))</f>
        <v>-0.27</v>
      </c>
      <c r="AO17" s="542">
        <f>IF(ISERROR(_xll.ciqfunctions.udf.CIQ($A17, "IQ_Capex", IQ_LTM, $L$2, $L$4, $L$3, $L$5, $L$6)), "n/a", _xll.ciqfunctions.udf.CIQ($A17, "IQ_Capex", IQ_LTM, $L$2, $L$4, $L$3, $L$5, $L$6))</f>
        <v>-4.5999999999999999E-2</v>
      </c>
      <c r="AP17" s="544" t="str">
        <f>_xll.ciqfunctions.udf.CIQ(A17, "IQ_BUSINESS_DESCRIPTION")</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c r="AQ17" s="545">
        <f>_xll.ciqfunctions.udf.CIQ($A17, "IQ_BETA_1YR", $B$1)</f>
        <v>-1.17459</v>
      </c>
      <c r="AR17" s="545">
        <f>_xll.ciqfunctions.udf.CIQ($A17, "IQ_BETA_2YR", $B$1)</f>
        <v>-0.30192999999999998</v>
      </c>
      <c r="AS17" s="545">
        <f>_xll.ciqfunctions.udf.CIQ($A17, "IQ_BETA_5YR", $B$1)</f>
        <v>-0.58462000000000003</v>
      </c>
      <c r="AT17" s="543" t="e">
        <f>_xll.ciqfunctions.udf.CIQ($A17, "IQ_DIVIDEND_YIELD", $B$1)/100</f>
        <v>#VALUE!</v>
      </c>
      <c r="AU17" s="542">
        <f>_xll.ciqfunctions.udf.CIQ($A17, "IQ_EARNING_CO", IQ_LTM-8, $L$2, $L$4, $L$3, $L$5, $L$6)</f>
        <v>-78.55</v>
      </c>
      <c r="AV17" s="542">
        <f>_xll.ciqfunctions.udf.CIQ($A17, "IQ_EARNING_CO", IQ_LTM-4, $L$2, $L$4, $L$3, $L$5, $L$6)</f>
        <v>-53.152999999999999</v>
      </c>
      <c r="AW17" s="542">
        <f>_xll.ciqfunctions.udf.CIQ($A17, "IQ_EARNING_CO", IQ_LTM, $L$2, $L$4, $L$3, $L$5, $L$6)</f>
        <v>-54.972999999999999</v>
      </c>
      <c r="AX17" s="542">
        <f>_xll.ciqfunctions.udf.CIQ($A17, "IQ_EARNING_CO", $B$2, $L$2, $L$4, $L$3, $L$5, $L$6)</f>
        <v>-57.878</v>
      </c>
      <c r="AY17" s="542">
        <f>IF(_xll.ciqfunctions.udf.CIQ($A17, "IQ_EARNING_CO", $B$3, $L$2,$L$4, $L$3, $L$5, $L$6)=0,AW17,_xll.ciqfunctions.udf.CIQ($A17, "IQ_EARNING_CO", $B$3, $L$2,$L$4, $L$3, $L$5, $L$6))</f>
        <v>-52.027999999999999</v>
      </c>
      <c r="AZ17" s="542">
        <f>_xll.ciqfunctions.udf.CIQ($A17, "IQ_TOTAL_EQUITY", IQ_LTM-8, $L$2, $L$4, $L$3, $L$5, $L$6)</f>
        <v>154.428</v>
      </c>
      <c r="BA17" s="542">
        <f>_xll.ciqfunctions.udf.CIQ($A17, "IQ_TOTAL_EQUITY", IQ_LTM-4, $L$2, $L$4, $L$3, $L$5, $L$6)</f>
        <v>110.774</v>
      </c>
      <c r="BB17" s="542">
        <f>_xll.ciqfunctions.udf.CIQ($A17, "IQ_TOTAL_EQUITY", IQ_LTM, $L$2, $L$4, $L$3, $L$5, $L$6)</f>
        <v>64.997</v>
      </c>
      <c r="BC17" s="542">
        <f>_xll.ciqfunctions.udf.CIQ($A17, "IQ_TOTAL_EQUITY", $B$2, $L$2, $L$4, $L$3, $L$5, $L$6)</f>
        <v>121.727</v>
      </c>
      <c r="BD17" s="542">
        <f>IF(_xll.ciqfunctions.udf.CIQ($A17, "IQ_TOTAL_EQUITY", $B$3, $L$2,$L$4, $L$3, $L$5, $L$6)=0,BB17,_xll.ciqfunctions.udf.CIQ($A17, "IQ_TOTAL_EQUITY", $B$3, $L$2,$L$4, $L$3, $L$5, $L$6))</f>
        <v>78.216999999999999</v>
      </c>
      <c r="BE17" s="542">
        <f>_xll.ciqfunctions.udf.CIQ(A17, "IQ_LASTSALEPRICE", $B$8)</f>
        <v>5.55</v>
      </c>
      <c r="BF17" s="542">
        <f>_xll.ciqfunctions.udf.CIQ($A17, "IQ_MARKETCAP", $B$8, $L$5, $L$6)</f>
        <v>152.56648999999999</v>
      </c>
      <c r="BG17" s="542">
        <f>_xll.ciqfunctions.udf.CIQ($A17, "IQ_TOTAL_DEBT", IQ_LTM, $B$8,$L$4, $L$3, $L$5, $L$6)</f>
        <v>1.268</v>
      </c>
      <c r="BH17" s="492" t="str">
        <f>_xll.ciqfunctions.udf.CIQ($A17,"IQ_PREF_EQUITY",IQ_LTM,$B$8,$L$4,$L$3,$L$5,$L$6)</f>
        <v>n/a</v>
      </c>
      <c r="BI17" s="492" t="str">
        <f>_xll.ciqfunctions.udf.CIQ($A17, "IQ_MINORITY_INTEREST_TOTAL", IQ_LTM,$B$8,$L$4,$L$3,$L$5,$L$6)</f>
        <v>n/a</v>
      </c>
      <c r="BJ17" s="542">
        <f>_xll.ciqfunctions.udf.CIQ($A17, "IQ_CASH_ST_INVEST", IQ_LTM, $B$8, $L$4, $L$3, $L$5, $L$6)</f>
        <v>93.18</v>
      </c>
      <c r="BK17" s="492" t="str">
        <f>_xll.ciqfunctions.udf.CIQ($A17, "IQ_EFFECT_TAX_RATE")</f>
        <v>n/a</v>
      </c>
      <c r="BL17" s="492" t="e">
        <f>IF(_xll.ciqfunctions.udf.CIQ($A17, "IQ_TOTAL_REV_2YR_ANN_CAGR", IQ_LTM, $B$1,$L$4, $L$3, $L$5, $L$6)="NM","n/a",(_xll.ciqfunctions.udf.CIQ($A17, "IQ_TOTAL_REV_2YR_ANN_CAGR", IQ_LTM, $B$1,$L$4, $L$3, $L$5, $L$6)/100))</f>
        <v>#VALUE!</v>
      </c>
      <c r="BM17" s="492" t="e">
        <f>IF(_xll.ciqfunctions.udf.CIQ($A17, "IQ_TOTAL_REV_3YR_ANN_CAGR", IQ_LTM, $B$1,$L$4, $L$3, $L$5, $L$6)="NM","n/a",(_xll.ciqfunctions.udf.CIQ($A17, "IQ_TOTAL_REV_3YR_ANN_CAGR", IQ_LTM, $B$1,$L$4, $L$3, $L$5, $L$6)/100))</f>
        <v>#VALUE!</v>
      </c>
      <c r="BN17" s="492" t="e">
        <f>IF(_xll.ciqfunctions.udf.CIQ($A17, "IQ_TOTAL_REV_5YR_ANN_CAGR", IQ_LTM, $B$1,$L$4, $L$3, $L$5, $L$6)="NM","n/a",(_xll.ciqfunctions.udf.CIQ($A17, "IQ_TOTAL_REV_5YR_ANN_CAGR", IQ_LTM, $B$1,$L$4, $L$3, $L$5, $L$6)/100))</f>
        <v>#VALUE!</v>
      </c>
      <c r="BO17" s="492" t="str">
        <f>IF(_xll.ciqfunctions.udf.CIQ($A17,"IQ_EBITDA_2YR_ANN_CAGR", IQ_LTM,$B$1,$L$4, $L$3, $L$5, $L$6)="NM","n/a",(_xll.ciqfunctions.udf.CIQ($A17,"IQ_EBITDA_2YR_ANN_CAGR", IQ_LTM,$B$1,$L$4, $L$3, $L$5, $L$6)/100))</f>
        <v>n/a</v>
      </c>
      <c r="BP17" s="492" t="str">
        <f>IF(_xll.ciqfunctions.udf.CIQ($A17,"IQ_EBITDA_3YR_ANN_CAGR", IQ_LTM,$B$1,$L$4, $L$3, $L$5, $L$6)="NM","n/a",(_xll.ciqfunctions.udf.CIQ($A17,"IQ_EBITDA_3YR_ANN_CAGR", IQ_LTM,$B$1,$L$4, $L$3, $L$5, $L$6)/100))</f>
        <v>n/a</v>
      </c>
      <c r="BQ17" s="492" t="e">
        <f>IF(_xll.ciqfunctions.udf.CIQ($A17,"IQ_EBITDA_5YR_ANN_CAGR", IQ_LTM,$B$1,$L$4, $L$3, $L$5, $L$6)="NM","n/a",(_xll.ciqfunctions.udf.CIQ($A17,"IQ_EBITDA_5YR_ANN_CAGR", IQ_LTM,$B$1,$L$4, $L$3, $L$5, $L$6)/100))</f>
        <v>#VALUE!</v>
      </c>
      <c r="BR17" s="496" t="str">
        <f>IFERROR((_xll.ciqfunctions.udf.CIQ($A17, "IQ_DA_CF", IQ_LTM, $B$1, $L$4, $L$3, $L$5, $L$6)/Q17),"NM")</f>
        <v>NM</v>
      </c>
      <c r="BS17" s="546">
        <f>'Capital IQ Sheet-GPC'!BS17</f>
        <v>0.62800291493254212</v>
      </c>
      <c r="BT17" s="546">
        <f>'Capital IQ Sheet-GPC'!BT17</f>
        <v>0.78226227350182032</v>
      </c>
      <c r="BU17" s="546">
        <f>'Capital IQ Sheet-GPC'!BU17</f>
        <v>1.1302394832325817</v>
      </c>
      <c r="BV17" s="546">
        <f>'Capital IQ Sheet-GPC'!BV17</f>
        <v>1.020360192619892</v>
      </c>
      <c r="BW17" s="546">
        <f>'Capital IQ Sheet-GPC'!BW17</f>
        <v>1.0178372234009103</v>
      </c>
      <c r="BX17" s="546" t="str">
        <f>'Capital IQ Sheet-GPC'!BX17</f>
        <v>n/a</v>
      </c>
      <c r="BY17" s="546" t="str">
        <f>'Capital IQ Sheet-GPC'!BY17</f>
        <v>n/a</v>
      </c>
      <c r="BZ17" s="546" t="str">
        <f>'Capital IQ Sheet-GPC'!BZ17</f>
        <v>n/a</v>
      </c>
      <c r="CB17" s="492">
        <v>2</v>
      </c>
      <c r="CC17" s="632" t="s">
        <v>253</v>
      </c>
      <c r="CD17" s="632" t="s">
        <v>252</v>
      </c>
      <c r="CE17" s="494">
        <f t="shared" si="0"/>
        <v>42551</v>
      </c>
    </row>
    <row r="18" spans="1:83" s="492" customFormat="1" ht="12.75">
      <c r="A18" s="493" t="str">
        <f>_xll.ciqfunctions.udf.CIQ($B18,"IQ_COMPANY_TICKER")</f>
        <v>NasdaqGS:MCRB</v>
      </c>
      <c r="B18" s="541" t="str">
        <f>'Capital IQ Sheet-GPC'!B18</f>
        <v>IQ222388947</v>
      </c>
      <c r="C18" s="493" t="str">
        <f>_xll.ciqfunctions.udf.CIQ($A18,"IQ_COMPANY_NAME")</f>
        <v>Seres Therapeutics, Inc.</v>
      </c>
      <c r="D18" s="493" t="str">
        <f>_xll.ciqfunctions.udf.CIQ($A18, "IQ_EXCHANGE")</f>
        <v>NasdaqGS</v>
      </c>
      <c r="E18" s="540">
        <f>_xll.ciqfunctions.udf.CIQ($A18, "IQ_PERIODDATE_IS", IQ_FY)</f>
        <v>43100</v>
      </c>
      <c r="F18" s="540">
        <f>_xll.ciqfunctions.udf.CIQ(A18, "IQ_PERIODDATE_IS", IQ_LTM, $B$1,$L$4,$L$3)</f>
        <v>43190</v>
      </c>
      <c r="G18" s="540">
        <f>_xll.ciqfunctions.udf.CIQ($A18, "IQ_FIRSTPRICINGDATE")</f>
        <v>42181</v>
      </c>
      <c r="H18" s="542">
        <f>_xll.ciqfunctions.udf.CIQ($A18, "IQ_TEV", $L$2, $L$5, $L$6)</f>
        <v>227.41893999999999</v>
      </c>
      <c r="I18" s="542">
        <f>_xll.ciqfunctions.udf.CIQ(A18, "IQ_LASTSALEPRICE", $B$1,$L$5)</f>
        <v>8.6</v>
      </c>
      <c r="J18" s="542">
        <f>_xll.ciqfunctions.udf.CIQ($A18, "IQ_MARKETCAP", $L$2, $L$5, $L$6)</f>
        <v>349.61295000000001</v>
      </c>
      <c r="K18" s="542">
        <f>_xll.ciqfunctions.udf.CIQ($A18, "IQ_TOTAL_DEBT", IQ_LTM, $L$2,$L$4, $L$3, $L$5, $L$6)</f>
        <v>0</v>
      </c>
      <c r="L18" s="542" t="str">
        <f>_xll.ciqfunctions.udf.CIQ($A18, "IQ_PREF_EQUITY", IQ_LTM, $L$2, $L$4, $L$3, $L$5, $L$6)</f>
        <v>n/a</v>
      </c>
      <c r="M18" s="542" t="str">
        <f>_xll.ciqfunctions.udf.CIQ($A18, "IQ_MINORITY_INTEREST_TOTAL", IQ_LTM, $L$2, $L$4, $L$3, $L$5, $L$6)</f>
        <v>n/a</v>
      </c>
      <c r="N18" s="542">
        <f>_xll.ciqfunctions.udf.CIQ($A18, "IQ_CASH_ST_INVEST", IQ_LTM, $L$2, $L$4, $L$3, $L$5, $L$6)</f>
        <v>122.194</v>
      </c>
      <c r="O18" s="542">
        <f>_xll.ciqfunctions.udf.CIQ($A18, "IQ_TOTAL_REV", IQ_LTM-8, $L$2, $L$4, $L$3, $L$5, $L$6)</f>
        <v>2.71</v>
      </c>
      <c r="P18" s="542">
        <f>_xll.ciqfunctions.udf.CIQ($A18, "IQ_TOTAL_REV", IQ_LTM - 4, $L$2, $L$4, $L$3, $L$5,$L$6)</f>
        <v>22.071000000000002</v>
      </c>
      <c r="Q18" s="542">
        <f>_xll.ciqfunctions.udf.CIQ($A18, "IQ_TOTAL_REV", IQ_LTM, $L$2, $L$4, $L$3, $L$5, $L$6)</f>
        <v>33.055999999999997</v>
      </c>
      <c r="R18" s="542">
        <f>_xll.ciqfunctions.udf.CIQ($A18, "IQ_TOTAL_REV", $B$2, $L$2, $L$4, $L$3, $L$5, $L$6)</f>
        <v>21.765999999999998</v>
      </c>
      <c r="S18" s="542">
        <f>IF(_xll.ciqfunctions.udf.CIQ($A18, "IQ_TOTAL_REV", $B$3, $L$2,$L$4, $L$3, $L$5, $L$6)=0,Q18,_xll.ciqfunctions.udf.CIQ($A18, "IQ_TOTAL_REV", $B$3, $L$2,$L$4, $L$3, $L$5, $L$6))</f>
        <v>32.1</v>
      </c>
      <c r="T18" s="542">
        <f>IF(_xll.ciqfunctions.udf.CIQ($A18, "IQ_REVENUE_EST",$B$4, $L$2, "CON", $L$3, $L$5, $L$6)=0,"n/a",_xll.ciqfunctions.udf.CIQ($A18, "IQ_REVENUE_EST",$B$4, $L$2, "CON", $L$3, $L$5, $L$6))</f>
        <v>29.106300000000001</v>
      </c>
      <c r="U18" s="542">
        <f>IF(_xll.ciqfunctions.udf.CIQ($A18, "IQ_REVENUE_EST",$B$5, $L$2, "CON", $L$3, $L$5, $L$6)=0,"n/a",_xll.ciqfunctions.udf.CIQ($A18, "IQ_REVENUE_EST",$B$5, $L$2, "CON", $L$3, $L$5, $L$6))</f>
        <v>16.6995</v>
      </c>
      <c r="V18" s="542">
        <f>IF(_xll.ciqfunctions.udf.CIQ($A18, "IQ_REVENUE_EST",$B$6, $L$2, "CON", $L$3, $L$5, $L$6)=0,"n/a",_xll.ciqfunctions.udf.CIQ($A18, "IQ_REVENUE_EST",$B$6, $L$2, "CON", $L$3, $L$5, $L$6))</f>
        <v>101.8246</v>
      </c>
      <c r="W18" s="542">
        <f>IF(_xll.ciqfunctions.udf.CIQ($A18, "IQ_REVENUE_EST", $B$7, $L$2, "CON", $L$3, $L$5, $L$6)=0,"n/a",_xll.ciqfunctions.udf.CIQ($A18, "IQ_REVENUE_EST",$B$7, $L$2, "CON", $L$3, $L$5, $L$6))</f>
        <v>240.24074999999999</v>
      </c>
      <c r="X18" s="542">
        <f>_xll.ciqfunctions.udf.CIQ($A18, "IQ_EBITDA", IQ_LTM-8, $L$2, $L$4, $L$3, $L$5, $L$6)</f>
        <v>-65.582999999999998</v>
      </c>
      <c r="Y18" s="542">
        <f>_xll.ciqfunctions.udf.CIQ($A18, "IQ_EBITDA", IQ_LTM-4, $L$2,$L$4, $L$3, $L$5, $L$6)</f>
        <v>-93.263999999999996</v>
      </c>
      <c r="Z18" s="542">
        <f>_xll.ciqfunctions.udf.CIQ($A18, "IQ_EBITDA", IQ_LTM, $L$2, $L$4, $L$3, $L$5, $L$6)</f>
        <v>-86.301000000000002</v>
      </c>
      <c r="AA18" s="542">
        <f>_xll.ciqfunctions.udf.CIQ($A18, "IQ_EBITDA", $B$2, $L$2, $L$4, $L$3, $L$5, $L$6)</f>
        <v>-88.634</v>
      </c>
      <c r="AB18" s="542">
        <f>IF(_xll.ciqfunctions.udf.CIQ($A18, "IQ_EBITDA", $B$3, $L$2,$L$4, $L$3, $L$5, $L$6)=0,Z18,_xll.ciqfunctions.udf.CIQ($A18, "IQ_EBITDA", $B$3, $L$2,$L$4, $L$3, $L$5, $L$6))</f>
        <v>-84.135999999999996</v>
      </c>
      <c r="AC18" s="542">
        <f>IF(_xll.ciqfunctions.udf.CIQ($A18, "IQ_EBITDA_EST",$B$4, $L$2, "CON", $L$3, $L$5, $L$6)=0,"n/a",_xll.ciqfunctions.udf.CIQ($A18, "IQ_EBITDA_EST",$B$4, $L$2, "CON", $L$3, $L$5, $L$6))</f>
        <v>-96.689959999999999</v>
      </c>
      <c r="AD18" s="542">
        <f>IF(_xll.ciqfunctions.udf.CIQ($A18, "IQ_EBITDA_EST",$B$5, $L$2, "CON", $L$3, $L$5, $L$6)=0,"n/a",_xll.ciqfunctions.udf.CIQ($A18, "IQ_EBITDA_EST",$B$5, $L$2, "CON", $L$3, $L$5, $L$6))</f>
        <v>-123.65827</v>
      </c>
      <c r="AE18" s="542">
        <f>IF(_xll.ciqfunctions.udf.CIQ($A18, "IQ_EBITDA_EST",$B$6, $L$2, "CON", $L$3, $L$5, $L$6)=0,"n/a",_xll.ciqfunctions.udf.CIQ($A18, "IQ_EBITDA_EST",$B$6, $L$2, "CON", $L$3, $L$5, $L$6))</f>
        <v>-112.498</v>
      </c>
      <c r="AF18" s="543">
        <f>IF(ISERROR(_xll.ciqfunctions.udf.CIQ($A18, "IQ_GROSS_MARGIN", IQ_LTM, $L$2,$L$4, $L$3, $L$5, $L$6)/100), "n/a", _xll.ciqfunctions.udf.CIQ($A18,  "IQ_GROSS_MARGIN", IQ_LTM, $L$2, $L$4, $L$3, $L$5, $L$6)/100)</f>
        <v>-1.8065100000000001</v>
      </c>
      <c r="AG18" s="543">
        <f>IF(ISERROR(_xll.ciqfunctions.udf.CIQ($A18,"IQ_EBITDA_MARGIN", IQ_LTM, $L$2, $L$4, $L$3, $L$5, $L$6)/100), "n/a", _xll.ciqfunctions.udf.CIQ($A18, "IQ_EBITDA_MARGIN", IQ_LTM, $L$2, $L$4, $L$3, $L$5, $L$6)/100)</f>
        <v>-2.610751</v>
      </c>
      <c r="AH18" s="543">
        <f>IF(ISERROR(_xll.ciqfunctions.udf.CIQ($A18,"IQ_EBIT_MARGIN", IQ_LTM, $L$2, $L$4, $L$3, $L$5, $L$6)/100), "n/a", _xll.ciqfunctions.udf.CIQ($A18, "IQ_EBIT_MARGIN", IQ_LTM, $L$2, $L$4, $L$3, $L$5, $L$6)/100)</f>
        <v>-2.8367309999999999</v>
      </c>
      <c r="AI18" s="543">
        <f>IF(ISERROR(_xll.ciqfunctions.udf.CIQ($A18,"IQ_NI_MARGIN", IQ_LTM, $L$2, $L$4, $L$3, $L$5, $L$6)/100), "n/a", _xll.ciqfunctions.udf.CIQ($A18, "IQ_NI_MARGIN", IQ_LTM, $L$2, $L$4, $L$3, $L$5, $L$6)/100)</f>
        <v>-2.7778609999999997</v>
      </c>
      <c r="AJ18" s="542">
        <f>IF(ISERROR(_xll.ciqfunctions.udf.CIQ($A18, "IQ_NET_WORKING_CAP", IQ_LTM-8, $L$2, $L$4, $L$3, $L$5, $L$6)), "n/a", _xll.ciqfunctions.udf.CIQ($A18, "IQ_NET_WORKING_CAP", IQ_LTM-8, $L$2, $L$4, $L$3, $L$5, $L$6))</f>
        <v>-21.254000000000001</v>
      </c>
      <c r="AK18" s="542">
        <f>IF(ISERROR(_xll.ciqfunctions.udf.CIQ($A18, "IQ_NET_WORKING_CAP", IQ_LTM-4, $L$2, $L$4, $L$3, $L$5, $L$6)), "n/a", _xll.ciqfunctions.udf.CIQ($A18, "IQ_NET_WORKING_CAP", IQ_LTM-4, $L$2, $L$4, $L$3, $L$5, $L$6))</f>
        <v>-22.056000000000001</v>
      </c>
      <c r="AL18" s="542">
        <f>IF(ISERROR(_xll.ciqfunctions.udf.CIQ($A18, "IQ_NET_WORKING_CAP", IQ_LTM, $L$2,$L$4, $L$3, $L$5, $L$6)), "n/a", _xll.ciqfunctions.udf.CIQ($A18, "IQ_NET_WORKING_CAP", IQ_LTM, $L$2, $L$4, $L$3, $L$5, $L$6))</f>
        <v>-30.89</v>
      </c>
      <c r="AM18" s="542">
        <f>IF(ISERROR(_xll.ciqfunctions.udf.CIQ($A18, "IQ_Capex", IQ_LTM-8, $L$2,$L$4, $L$3, $L$5, $L$6)), "n/a", _xll.ciqfunctions.udf.CIQ($A18, "IQ_Capex", IQ_LTM-8, $L$2, $L$4, $L$3, $L$5, $L$6))</f>
        <v>-7.548</v>
      </c>
      <c r="AN18" s="542">
        <f>IF(ISERROR(_xll.ciqfunctions.udf.CIQ($A18, "IQ_Capex", IQ_LTM-4, $L$2,$L$4, $L$3, $L$5, $L$6)), "n/a", _xll.ciqfunctions.udf.CIQ($A18, "IQ_Capex", IQ_LTM-4, $L$2,$L$4, $L$3, $L$5, $L$6))</f>
        <v>-20.338999999999999</v>
      </c>
      <c r="AO18" s="542">
        <f>IF(ISERROR(_xll.ciqfunctions.udf.CIQ($A18, "IQ_Capex", IQ_LTM, $L$2, $L$4, $L$3, $L$5, $L$6)), "n/a", _xll.ciqfunctions.udf.CIQ($A18, "IQ_Capex", IQ_LTM, $L$2, $L$4, $L$3, $L$5, $L$6))</f>
        <v>-3.3820000000000001</v>
      </c>
      <c r="AP18" s="544" t="str">
        <f>_xll.ciqfunctions.udf.CIQ(A18, "IQ_BUSINESS_DESCRIPTION")</f>
        <v>Seres Therapeutics, Inc., a microbiome therapeutics platform company, engages in developing biological drugs designed to restore health by repairing the function of a dysbiotic microbiome. Its lead product candidate is SER-109, a bacterial spore ecology, which is in Phase III clinical study to treat multiply recurrent Clostridium difficile infection (CDI). The company is also developing SER-287 that is in Phase Ib clinical study in patients with mild-to-moderate ulcerative colitis; and SER-262, a multi-strain Ecobiotic microbiome therapeutic candidate, which is in Phase Ib study in patients with primary CDI. In addition, its product candidates in pre-clinical development comprise SER-301, an Ecobiotic microbiome therapeutic candidate for the treatment of inflammatory bowel disease; SER-401 for use with checkpoint inhibitors in patients with solid tumors; and SER-155, an Ecobiotic microbiome therapeutic candidate for the prevention of transplant-related mortality. Seres Therapeutics, Inc. has a strategic collaboration with Nestle Health Science and Memorial Sloan Kettering Cancer Center. The company was formerly known as Seres Health, Inc. and changed its name to Seres Therapeutics, Inc. in May 2015. Seres Therapeutics, Inc. was founded in 2010 and is headquartered in Cambridge, Massachusetts.</v>
      </c>
      <c r="AQ18" s="545">
        <f>_xll.ciqfunctions.udf.CIQ($A18, "IQ_BETA_1YR", $B$1)</f>
        <v>1.42967</v>
      </c>
      <c r="AR18" s="545">
        <f>_xll.ciqfunctions.udf.CIQ($A18, "IQ_BETA_2YR", $B$1)</f>
        <v>1.7229300000000001</v>
      </c>
      <c r="AS18" s="545">
        <f>_xll.ciqfunctions.udf.CIQ($A18, "IQ_BETA_5YR", $B$1)</f>
        <v>0.49370999999999998</v>
      </c>
      <c r="AT18" s="543" t="e">
        <f>_xll.ciqfunctions.udf.CIQ($A18, "IQ_DIVIDEND_YIELD", $B$1)/100</f>
        <v>#VALUE!</v>
      </c>
      <c r="AU18" s="542">
        <f>_xll.ciqfunctions.udf.CIQ($A18, "IQ_EARNING_CO", IQ_LTM-8, $L$2, $L$4, $L$3, $L$5, $L$6)</f>
        <v>-66.513000000000005</v>
      </c>
      <c r="AV18" s="542">
        <f>_xll.ciqfunctions.udf.CIQ($A18, "IQ_EARNING_CO", IQ_LTM-4, $L$2, $L$4, $L$3, $L$5, $L$6)</f>
        <v>-97.349000000000004</v>
      </c>
      <c r="AW18" s="542">
        <f>_xll.ciqfunctions.udf.CIQ($A18, "IQ_EARNING_CO", IQ_LTM, $L$2, $L$4, $L$3, $L$5, $L$6)</f>
        <v>-91.825000000000003</v>
      </c>
      <c r="AX18" s="542">
        <f>_xll.ciqfunctions.udf.CIQ($A18, "IQ_EARNING_CO", $B$2, $L$2, $L$4, $L$3, $L$5, $L$6)</f>
        <v>-91.578999999999994</v>
      </c>
      <c r="AY18" s="542">
        <f>IF(_xll.ciqfunctions.udf.CIQ($A18, "IQ_EARNING_CO", $B$3, $L$2,$L$4, $L$3, $L$5, $L$6)=0,AW18,_xll.ciqfunctions.udf.CIQ($A18, "IQ_EARNING_CO", $B$3, $L$2,$L$4, $L$3, $L$5, $L$6))</f>
        <v>-89.38</v>
      </c>
      <c r="AZ18" s="542">
        <f>_xll.ciqfunctions.udf.CIQ($A18, "IQ_TOTAL_EQUITY", IQ_LTM-8, $L$2, $L$4, $L$3, $L$5, $L$6)</f>
        <v>189.82900000000001</v>
      </c>
      <c r="BA18" s="542">
        <f>_xll.ciqfunctions.udf.CIQ($A18, "IQ_TOTAL_EQUITY", IQ_LTM-4, $L$2, $L$4, $L$3, $L$5, $L$6)</f>
        <v>111.453</v>
      </c>
      <c r="BB18" s="542">
        <f>_xll.ciqfunctions.udf.CIQ($A18, "IQ_TOTAL_EQUITY", IQ_LTM, $L$2, $L$4, $L$3, $L$5, $L$6)</f>
        <v>10.032999999999999</v>
      </c>
      <c r="BC18" s="542">
        <f>_xll.ciqfunctions.udf.CIQ($A18, "IQ_TOTAL_EQUITY", $B$2, $L$2, $L$4, $L$3, $L$5, $L$6)</f>
        <v>132.631</v>
      </c>
      <c r="BD18" s="542">
        <f>IF(_xll.ciqfunctions.udf.CIQ($A18, "IQ_TOTAL_EQUITY", $B$3, $L$2,$L$4, $L$3, $L$5, $L$6)=0,BB18,_xll.ciqfunctions.udf.CIQ($A18, "IQ_TOTAL_EQUITY", $B$3, $L$2,$L$4, $L$3, $L$5, $L$6))</f>
        <v>60.698999999999998</v>
      </c>
      <c r="BE18" s="542">
        <f>_xll.ciqfunctions.udf.CIQ(A18, "IQ_LASTSALEPRICE", $B$8)</f>
        <v>10.61</v>
      </c>
      <c r="BF18" s="542">
        <f>_xll.ciqfunctions.udf.CIQ($A18, "IQ_MARKETCAP", $B$8, $L$5, $L$6)</f>
        <v>430.02478000000002</v>
      </c>
      <c r="BG18" s="542">
        <f>_xll.ciqfunctions.udf.CIQ($A18, "IQ_TOTAL_DEBT", IQ_LTM, $B$8,$L$4, $L$3, $L$5, $L$6)</f>
        <v>0</v>
      </c>
      <c r="BH18" s="492" t="str">
        <f>_xll.ciqfunctions.udf.CIQ($A18,"IQ_PREF_EQUITY",IQ_LTM,$B$8,$L$4,$L$3,$L$5,$L$6)</f>
        <v>n/a</v>
      </c>
      <c r="BI18" s="492" t="str">
        <f>_xll.ciqfunctions.udf.CIQ($A18, "IQ_MINORITY_INTEREST_TOTAL", IQ_LTM,$B$8,$L$4,$L$3,$L$5,$L$6)</f>
        <v>n/a</v>
      </c>
      <c r="BJ18" s="542">
        <f>_xll.ciqfunctions.udf.CIQ($A18, "IQ_CASH_ST_INVEST", IQ_LTM, $B$8, $L$4, $L$3, $L$5, $L$6)</f>
        <v>171.29900000000001</v>
      </c>
      <c r="BK18" s="492" t="str">
        <f>_xll.ciqfunctions.udf.CIQ($A18, "IQ_EFFECT_TAX_RATE")</f>
        <v>n/a</v>
      </c>
      <c r="BL18" s="492">
        <f>IF(_xll.ciqfunctions.udf.CIQ($A18, "IQ_TOTAL_REV_2YR_ANN_CAGR", IQ_LTM, $B$1,$L$4, $L$3, $L$5, $L$6)="NM","n/a",(_xll.ciqfunctions.udf.CIQ($A18, "IQ_TOTAL_REV_2YR_ANN_CAGR", IQ_LTM, $B$1,$L$4, $L$3, $L$5, $L$6)/100))</f>
        <v>2.4925329999999999</v>
      </c>
      <c r="BM18" s="492" t="e">
        <f>IF(_xll.ciqfunctions.udf.CIQ($A18, "IQ_TOTAL_REV_3YR_ANN_CAGR", IQ_LTM, $B$1,$L$4, $L$3, $L$5, $L$6)="NM","n/a",(_xll.ciqfunctions.udf.CIQ($A18, "IQ_TOTAL_REV_3YR_ANN_CAGR", IQ_LTM, $B$1,$L$4, $L$3, $L$5, $L$6)/100))</f>
        <v>#VALUE!</v>
      </c>
      <c r="BN18" s="492" t="e">
        <f>IF(_xll.ciqfunctions.udf.CIQ($A18, "IQ_TOTAL_REV_5YR_ANN_CAGR", IQ_LTM, $B$1,$L$4, $L$3, $L$5, $L$6)="NM","n/a",(_xll.ciqfunctions.udf.CIQ($A18, "IQ_TOTAL_REV_5YR_ANN_CAGR", IQ_LTM, $B$1,$L$4, $L$3, $L$5, $L$6)/100))</f>
        <v>#VALUE!</v>
      </c>
      <c r="BO18" s="492" t="str">
        <f>IF(_xll.ciqfunctions.udf.CIQ($A18,"IQ_EBITDA_2YR_ANN_CAGR", IQ_LTM,$B$1,$L$4, $L$3, $L$5, $L$6)="NM","n/a",(_xll.ciqfunctions.udf.CIQ($A18,"IQ_EBITDA_2YR_ANN_CAGR", IQ_LTM,$B$1,$L$4, $L$3, $L$5, $L$6)/100))</f>
        <v>n/a</v>
      </c>
      <c r="BP18" s="492" t="str">
        <f>IF(_xll.ciqfunctions.udf.CIQ($A18,"IQ_EBITDA_3YR_ANN_CAGR", IQ_LTM,$B$1,$L$4, $L$3, $L$5, $L$6)="NM","n/a",(_xll.ciqfunctions.udf.CIQ($A18,"IQ_EBITDA_3YR_ANN_CAGR", IQ_LTM,$B$1,$L$4, $L$3, $L$5, $L$6)/100))</f>
        <v>n/a</v>
      </c>
      <c r="BQ18" s="492" t="e">
        <f>IF(_xll.ciqfunctions.udf.CIQ($A18,"IQ_EBITDA_5YR_ANN_CAGR", IQ_LTM,$B$1,$L$4, $L$3, $L$5, $L$6)="NM","n/a",(_xll.ciqfunctions.udf.CIQ($A18,"IQ_EBITDA_5YR_ANN_CAGR", IQ_LTM,$B$1,$L$4, $L$3, $L$5, $L$6)/100))</f>
        <v>#VALUE!</v>
      </c>
      <c r="BR18" s="496">
        <f>IFERROR((_xll.ciqfunctions.udf.CIQ($A18, "IQ_DA_CF", IQ_LTM, $B$1, $L$4, $L$3, $L$5, $L$6)/Q18),"NM")</f>
        <v>0.22598015488867379</v>
      </c>
      <c r="BS18" s="546">
        <f>'Capital IQ Sheet-GPC'!BS18</f>
        <v>0.55699337102406377</v>
      </c>
      <c r="BT18" s="546">
        <f>'Capital IQ Sheet-GPC'!BT18</f>
        <v>1.0233551347357785</v>
      </c>
      <c r="BU18" s="546">
        <f>'Capital IQ Sheet-GPC'!BU18</f>
        <v>0.9382914450442692</v>
      </c>
      <c r="BV18" s="546">
        <f>'Capital IQ Sheet-GPC'!BV18</f>
        <v>0.95360103062997992</v>
      </c>
      <c r="BW18" s="546" t="str">
        <f>'Capital IQ Sheet-GPC'!BW18</f>
        <v>n/a</v>
      </c>
      <c r="BX18" s="546" t="str">
        <f>'Capital IQ Sheet-GPC'!BX18</f>
        <v>n/a</v>
      </c>
      <c r="BY18" s="546" t="str">
        <f>'Capital IQ Sheet-GPC'!BY18</f>
        <v>n/a</v>
      </c>
      <c r="BZ18" s="546" t="str">
        <f>'Capital IQ Sheet-GPC'!BZ18</f>
        <v>n/a</v>
      </c>
      <c r="CB18" s="492">
        <v>2</v>
      </c>
      <c r="CC18" s="632" t="s">
        <v>253</v>
      </c>
      <c r="CD18" s="632" t="s">
        <v>252</v>
      </c>
      <c r="CE18" s="494">
        <f t="shared" si="0"/>
        <v>42551</v>
      </c>
    </row>
    <row r="19" spans="1:83" s="492" customFormat="1" ht="12.75">
      <c r="A19" s="493" t="str">
        <f>_xll.ciqfunctions.udf.CIQ($B19,"IQ_COMPANY_TICKER")</f>
        <v>TSXV:COB.U</v>
      </c>
      <c r="B19" s="541" t="str">
        <f>'Capital IQ Sheet-GPC'!B19</f>
        <v>IQ134282175</v>
      </c>
      <c r="C19" s="493" t="str">
        <f>_xll.ciqfunctions.udf.CIQ($A19,"IQ_COMPANY_NAME")</f>
        <v>CohBar, Inc.</v>
      </c>
      <c r="D19" s="493" t="str">
        <f>_xll.ciqfunctions.udf.CIQ($A19, "IQ_EXCHANGE")</f>
        <v>TSXV</v>
      </c>
      <c r="E19" s="540">
        <f>_xll.ciqfunctions.udf.CIQ($A19, "IQ_PERIODDATE_IS", IQ_FY)</f>
        <v>43100</v>
      </c>
      <c r="F19" s="540">
        <f>_xll.ciqfunctions.udf.CIQ(A19, "IQ_PERIODDATE_IS", IQ_LTM, $B$1,$L$4,$L$3)</f>
        <v>43190</v>
      </c>
      <c r="G19" s="540">
        <f>_xll.ciqfunctions.udf.CIQ($A19, "IQ_FIRSTPRICINGDATE")</f>
        <v>42012</v>
      </c>
      <c r="H19" s="542">
        <f>_xll.ciqfunctions.udf.CIQ($A19, "IQ_TEV", $L$2, $L$5, $L$6)</f>
        <v>204.76295999999999</v>
      </c>
      <c r="I19" s="542">
        <f>_xll.ciqfunctions.udf.CIQ(A19, "IQ_LASTSALEPRICE", $B$1,$L$5)</f>
        <v>5</v>
      </c>
      <c r="J19" s="542">
        <f>_xll.ciqfunctions.udf.CIQ($A19, "IQ_MARKETCAP", $L$2, $L$5, $L$6)</f>
        <v>211.81835000000001</v>
      </c>
      <c r="K19" s="542">
        <f>_xll.ciqfunctions.udf.CIQ($A19, "IQ_TOTAL_DEBT", IQ_LTM, $L$2,$L$4, $L$3, $L$5, $L$6)</f>
        <v>1.40126</v>
      </c>
      <c r="L19" s="542" t="str">
        <f>_xll.ciqfunctions.udf.CIQ($A19, "IQ_PREF_EQUITY", IQ_LTM, $L$2, $L$4, $L$3, $L$5, $L$6)</f>
        <v>n/a</v>
      </c>
      <c r="M19" s="542" t="str">
        <f>_xll.ciqfunctions.udf.CIQ($A19, "IQ_MINORITY_INTEREST_TOTAL", IQ_LTM, $L$2, $L$4, $L$3, $L$5, $L$6)</f>
        <v>n/a</v>
      </c>
      <c r="N19" s="542">
        <f>_xll.ciqfunctions.udf.CIQ($A19, "IQ_CASH_ST_INVEST", IQ_LTM, $L$2, $L$4, $L$3, $L$5, $L$6)</f>
        <v>8.4566599999999994</v>
      </c>
      <c r="O19" s="542" t="str">
        <f>_xll.ciqfunctions.udf.CIQ($A19, "IQ_TOTAL_REV", IQ_LTM-8, $L$2, $L$4, $L$3, $L$5, $L$6)</f>
        <v>n/a</v>
      </c>
      <c r="P19" s="542" t="str">
        <f>_xll.ciqfunctions.udf.CIQ($A19, "IQ_TOTAL_REV", IQ_LTM - 4, $L$2, $L$4, $L$3, $L$5,$L$6)</f>
        <v>n/a</v>
      </c>
      <c r="Q19" s="542" t="str">
        <f>_xll.ciqfunctions.udf.CIQ($A19, "IQ_TOTAL_REV", IQ_LTM, $L$2, $L$4, $L$3, $L$5, $L$6)</f>
        <v>n/a</v>
      </c>
      <c r="R19" s="542" t="str">
        <f>_xll.ciqfunctions.udf.CIQ($A19, "IQ_TOTAL_REV", $B$2, $L$2, $L$4, $L$3, $L$5, $L$6)</f>
        <v>n/a</v>
      </c>
      <c r="S19" s="542" t="str">
        <f>IF(_xll.ciqfunctions.udf.CIQ($A19, "IQ_TOTAL_REV", $B$3, $L$2,$L$4, $L$3, $L$5, $L$6)=0,Q19,_xll.ciqfunctions.udf.CIQ($A19, "IQ_TOTAL_REV", $B$3, $L$2,$L$4, $L$3, $L$5, $L$6))</f>
        <v>n/a</v>
      </c>
      <c r="T19" s="542" t="str">
        <f>IF(_xll.ciqfunctions.udf.CIQ($A19, "IQ_REVENUE_EST",$B$4, $L$2, "CON", $L$3, $L$5, $L$6)=0,"n/a",_xll.ciqfunctions.udf.CIQ($A19, "IQ_REVENUE_EST",$B$4, $L$2, "CON", $L$3, $L$5, $L$6))</f>
        <v>n/a</v>
      </c>
      <c r="U19" s="542" t="str">
        <f>IF(_xll.ciqfunctions.udf.CIQ($A19, "IQ_REVENUE_EST",$B$5, $L$2, "CON", $L$3, $L$5, $L$6)=0,"n/a",_xll.ciqfunctions.udf.CIQ($A19, "IQ_REVENUE_EST",$B$5, $L$2, "CON", $L$3, $L$5, $L$6))</f>
        <v>n/a</v>
      </c>
      <c r="V19" s="542" t="str">
        <f>IF(_xll.ciqfunctions.udf.CIQ($A19, "IQ_REVENUE_EST",$B$6, $L$2, "CON", $L$3, $L$5, $L$6)=0,"n/a",_xll.ciqfunctions.udf.CIQ($A19, "IQ_REVENUE_EST",$B$6, $L$2, "CON", $L$3, $L$5, $L$6))</f>
        <v>n/a</v>
      </c>
      <c r="W19" s="542" t="str">
        <f>IF(_xll.ciqfunctions.udf.CIQ($A19, "IQ_REVENUE_EST", $B$7, $L$2, "CON", $L$3, $L$5, $L$6)=0,"n/a",_xll.ciqfunctions.udf.CIQ($A19, "IQ_REVENUE_EST",$B$7, $L$2, "CON", $L$3, $L$5, $L$6))</f>
        <v>n/a</v>
      </c>
      <c r="X19" s="542">
        <f>_xll.ciqfunctions.udf.CIQ($A19, "IQ_EBITDA", IQ_LTM-8, $L$2, $L$4, $L$3, $L$5, $L$6)</f>
        <v>-4.2691400000000002</v>
      </c>
      <c r="Y19" s="542">
        <f>_xll.ciqfunctions.udf.CIQ($A19, "IQ_EBITDA", IQ_LTM-4, $L$2,$L$4, $L$3, $L$5, $L$6)</f>
        <v>-7.0307199999999996</v>
      </c>
      <c r="Z19" s="542">
        <f>_xll.ciqfunctions.udf.CIQ($A19, "IQ_EBITDA", IQ_LTM, $L$2, $L$4, $L$3, $L$5, $L$6)</f>
        <v>-11.161670000000001</v>
      </c>
      <c r="AA19" s="542">
        <f>_xll.ciqfunctions.udf.CIQ($A19, "IQ_EBITDA", $B$2, $L$2, $L$4, $L$3, $L$5, $L$6)</f>
        <v>-6.0186000000000002</v>
      </c>
      <c r="AB19" s="542">
        <f>IF(_xll.ciqfunctions.udf.CIQ($A19, "IQ_EBITDA", $B$3, $L$2,$L$4, $L$3, $L$5, $L$6)=0,Z19,_xll.ciqfunctions.udf.CIQ($A19, "IQ_EBITDA", $B$3, $L$2,$L$4, $L$3, $L$5, $L$6))</f>
        <v>-9.8017199999999995</v>
      </c>
      <c r="AC19" s="542" t="str">
        <f>IF(_xll.ciqfunctions.udf.CIQ($A19, "IQ_EBITDA_EST",$B$4, $L$2, "CON", $L$3, $L$5, $L$6)=0,"n/a",_xll.ciqfunctions.udf.CIQ($A19, "IQ_EBITDA_EST",$B$4, $L$2, "CON", $L$3, $L$5, $L$6))</f>
        <v>n/a</v>
      </c>
      <c r="AD19" s="542" t="str">
        <f>IF(_xll.ciqfunctions.udf.CIQ($A19, "IQ_EBITDA_EST",$B$5, $L$2, "CON", $L$3, $L$5, $L$6)=0,"n/a",_xll.ciqfunctions.udf.CIQ($A19, "IQ_EBITDA_EST",$B$5, $L$2, "CON", $L$3, $L$5, $L$6))</f>
        <v>n/a</v>
      </c>
      <c r="AE19" s="542" t="str">
        <f>IF(_xll.ciqfunctions.udf.CIQ($A19, "IQ_EBITDA_EST",$B$6, $L$2, "CON", $L$3, $L$5, $L$6)=0,"n/a",_xll.ciqfunctions.udf.CIQ($A19, "IQ_EBITDA_EST",$B$6, $L$2, "CON", $L$3, $L$5, $L$6))</f>
        <v>n/a</v>
      </c>
      <c r="AF19" s="543" t="str">
        <f>IF(ISERROR(_xll.ciqfunctions.udf.CIQ($A19, "IQ_GROSS_MARGIN", IQ_LTM, $L$2,$L$4, $L$3, $L$5, $L$6)/100), "n/a", _xll.ciqfunctions.udf.CIQ($A19,  "IQ_GROSS_MARGIN", IQ_LTM, $L$2, $L$4, $L$3, $L$5, $L$6)/100)</f>
        <v>n/a</v>
      </c>
      <c r="AG19" s="543" t="str">
        <f>IF(ISERROR(_xll.ciqfunctions.udf.CIQ($A19,"IQ_EBITDA_MARGIN", IQ_LTM, $L$2, $L$4, $L$3, $L$5, $L$6)/100), "n/a", _xll.ciqfunctions.udf.CIQ($A19, "IQ_EBITDA_MARGIN", IQ_LTM, $L$2, $L$4, $L$3, $L$5, $L$6)/100)</f>
        <v>n/a</v>
      </c>
      <c r="AH19" s="543" t="str">
        <f>IF(ISERROR(_xll.ciqfunctions.udf.CIQ($A19,"IQ_EBIT_MARGIN", IQ_LTM, $L$2, $L$4, $L$3, $L$5, $L$6)/100), "n/a", _xll.ciqfunctions.udf.CIQ($A19, "IQ_EBIT_MARGIN", IQ_LTM, $L$2, $L$4, $L$3, $L$5, $L$6)/100)</f>
        <v>n/a</v>
      </c>
      <c r="AI19" s="543" t="str">
        <f>IF(ISERROR(_xll.ciqfunctions.udf.CIQ($A19,"IQ_NI_MARGIN", IQ_LTM, $L$2, $L$4, $L$3, $L$5, $L$6)/100), "n/a", _xll.ciqfunctions.udf.CIQ($A19, "IQ_NI_MARGIN", IQ_LTM, $L$2, $L$4, $L$3, $L$5, $L$6)/100)</f>
        <v>n/a</v>
      </c>
      <c r="AJ19" s="542">
        <f>IF(ISERROR(_xll.ciqfunctions.udf.CIQ($A19, "IQ_NET_WORKING_CAP", IQ_LTM-8, $L$2, $L$4, $L$3, $L$5, $L$6)), "n/a", _xll.ciqfunctions.udf.CIQ($A19, "IQ_NET_WORKING_CAP", IQ_LTM-8, $L$2, $L$4, $L$3, $L$5, $L$6))</f>
        <v>-0.38286999999999999</v>
      </c>
      <c r="AK19" s="542">
        <f>IF(ISERROR(_xll.ciqfunctions.udf.CIQ($A19, "IQ_NET_WORKING_CAP", IQ_LTM-4, $L$2, $L$4, $L$3, $L$5, $L$6)), "n/a", _xll.ciqfunctions.udf.CIQ($A19, "IQ_NET_WORKING_CAP", IQ_LTM-4, $L$2, $L$4, $L$3, $L$5, $L$6))</f>
        <v>-0.55620999999999998</v>
      </c>
      <c r="AL19" s="542">
        <f>IF(ISERROR(_xll.ciqfunctions.udf.CIQ($A19, "IQ_NET_WORKING_CAP", IQ_LTM, $L$2,$L$4, $L$3, $L$5, $L$6)), "n/a", _xll.ciqfunctions.udf.CIQ($A19, "IQ_NET_WORKING_CAP", IQ_LTM, $L$2, $L$4, $L$3, $L$5, $L$6))</f>
        <v>-0.82562000000000002</v>
      </c>
      <c r="AM19" s="542">
        <f>IF(ISERROR(_xll.ciqfunctions.udf.CIQ($A19, "IQ_Capex", IQ_LTM-8, $L$2,$L$4, $L$3, $L$5, $L$6)), "n/a", _xll.ciqfunctions.udf.CIQ($A19, "IQ_Capex", IQ_LTM-8, $L$2, $L$4, $L$3, $L$5, $L$6))</f>
        <v>-0.22181999999999999</v>
      </c>
      <c r="AN19" s="542">
        <f>IF(ISERROR(_xll.ciqfunctions.udf.CIQ($A19, "IQ_Capex", IQ_LTM-4, $L$2,$L$4, $L$3, $L$5, $L$6)), "n/a", _xll.ciqfunctions.udf.CIQ($A19, "IQ_Capex", IQ_LTM-4, $L$2,$L$4, $L$3, $L$5, $L$6))</f>
        <v>-8.0490000000000006E-2</v>
      </c>
      <c r="AO19" s="542">
        <f>IF(ISERROR(_xll.ciqfunctions.udf.CIQ($A19, "IQ_Capex", IQ_LTM, $L$2, $L$4, $L$3, $L$5, $L$6)), "n/a", _xll.ciqfunctions.udf.CIQ($A19, "IQ_Capex", IQ_LTM, $L$2, $L$4, $L$3, $L$5, $L$6))</f>
        <v>-3.2499999999999999E-3</v>
      </c>
      <c r="AP19" s="544" t="str">
        <f>_xll.ciqfunctions.udf.CIQ(A19, "IQ_BUSINESS_DESCRIPTION")</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c r="AQ19" s="545">
        <f>_xll.ciqfunctions.udf.CIQ($A19, "IQ_BETA_1YR", $B$1)</f>
        <v>3.0872299999999999</v>
      </c>
      <c r="AR19" s="545">
        <f>_xll.ciqfunctions.udf.CIQ($A19, "IQ_BETA_2YR", $B$1)</f>
        <v>2.1240199999999998</v>
      </c>
      <c r="AS19" s="545">
        <f>_xll.ciqfunctions.udf.CIQ($A19, "IQ_BETA_5YR", $B$1)</f>
        <v>2.83392</v>
      </c>
      <c r="AT19" s="543" t="e">
        <f>_xll.ciqfunctions.udf.CIQ($A19, "IQ_DIVIDEND_YIELD", $B$1)/100</f>
        <v>#VALUE!</v>
      </c>
      <c r="AU19" s="542">
        <f>_xll.ciqfunctions.udf.CIQ($A19, "IQ_EARNING_CO", IQ_LTM-8, $L$2, $L$4, $L$3, $L$5, $L$6)</f>
        <v>-4.31325</v>
      </c>
      <c r="AV19" s="542">
        <f>_xll.ciqfunctions.udf.CIQ($A19, "IQ_EARNING_CO", IQ_LTM-4, $L$2, $L$4, $L$3, $L$5, $L$6)</f>
        <v>-7.0908100000000003</v>
      </c>
      <c r="AW19" s="542">
        <f>_xll.ciqfunctions.udf.CIQ($A19, "IQ_EARNING_CO", IQ_LTM, $L$2, $L$4, $L$3, $L$5, $L$6)</f>
        <v>-11.18763</v>
      </c>
      <c r="AX19" s="542">
        <f>_xll.ciqfunctions.udf.CIQ($A19, "IQ_EARNING_CO", $B$2, $L$2, $L$4, $L$3, $L$5, $L$6)</f>
        <v>-6.0750000000000002</v>
      </c>
      <c r="AY19" s="542">
        <f>IF(_xll.ciqfunctions.udf.CIQ($A19, "IQ_EARNING_CO", $B$3, $L$2,$L$4, $L$3, $L$5, $L$6)=0,AW19,_xll.ciqfunctions.udf.CIQ($A19, "IQ_EARNING_CO", $B$3, $L$2,$L$4, $L$3, $L$5, $L$6))</f>
        <v>-9.8331499999999998</v>
      </c>
      <c r="AZ19" s="542">
        <f>_xll.ciqfunctions.udf.CIQ($A19, "IQ_TOTAL_EQUITY", IQ_LTM-8, $L$2, $L$4, $L$3, $L$5, $L$6)</f>
        <v>8.7286800000000007</v>
      </c>
      <c r="BA19" s="542">
        <f>_xll.ciqfunctions.udf.CIQ($A19, "IQ_TOTAL_EQUITY", IQ_LTM-4, $L$2, $L$4, $L$3, $L$5, $L$6)</f>
        <v>8.7828700000000008</v>
      </c>
      <c r="BB19" s="542">
        <f>_xll.ciqfunctions.udf.CIQ($A19, "IQ_TOTAL_EQUITY", IQ_LTM, $L$2, $L$4, $L$3, $L$5, $L$6)</f>
        <v>6.4572799999999999</v>
      </c>
      <c r="BC19" s="542">
        <f>_xll.ciqfunctions.udf.CIQ($A19, "IQ_TOTAL_EQUITY", $B$2, $L$2, $L$4, $L$3, $L$5, $L$6)</f>
        <v>8.6979699999999998</v>
      </c>
      <c r="BD19" s="542">
        <f>IF(_xll.ciqfunctions.udf.CIQ($A19, "IQ_TOTAL_EQUITY", $B$3, $L$2,$L$4, $L$3, $L$5, $L$6)=0,BB19,_xll.ciqfunctions.udf.CIQ($A19, "IQ_TOTAL_EQUITY", $B$3, $L$2,$L$4, $L$3, $L$5, $L$6))</f>
        <v>7.6189099999999996</v>
      </c>
      <c r="BE19" s="542">
        <f>_xll.ciqfunctions.udf.CIQ(A19, "IQ_LASTSALEPRICE", $B$8)</f>
        <v>6.1</v>
      </c>
      <c r="BF19" s="542">
        <f>_xll.ciqfunctions.udf.CIQ($A19, "IQ_MARKETCAP", $B$8, $L$5, $L$6)</f>
        <v>240.47931</v>
      </c>
      <c r="BG19" s="542">
        <f>_xll.ciqfunctions.udf.CIQ($A19, "IQ_TOTAL_DEBT", IQ_LTM, $B$8,$L$4, $L$3, $L$5, $L$6)</f>
        <v>0</v>
      </c>
      <c r="BH19" s="492" t="str">
        <f>_xll.ciqfunctions.udf.CIQ($A19,"IQ_PREF_EQUITY",IQ_LTM,$B$8,$L$4,$L$3,$L$5,$L$6)</f>
        <v>n/a</v>
      </c>
      <c r="BI19" s="492" t="str">
        <f>_xll.ciqfunctions.udf.CIQ($A19, "IQ_MINORITY_INTEREST_TOTAL", IQ_LTM,$B$8,$L$4,$L$3,$L$5,$L$6)</f>
        <v>n/a</v>
      </c>
      <c r="BJ19" s="542">
        <f>_xll.ciqfunctions.udf.CIQ($A19, "IQ_CASH_ST_INVEST", IQ_LTM, $B$8, $L$4, $L$3, $L$5, $L$6)</f>
        <v>10.34224</v>
      </c>
      <c r="BK19" s="492" t="str">
        <f>_xll.ciqfunctions.udf.CIQ($A19, "IQ_EFFECT_TAX_RATE")</f>
        <v>n/a</v>
      </c>
      <c r="BL19" s="492" t="e">
        <f>IF(_xll.ciqfunctions.udf.CIQ($A19, "IQ_TOTAL_REV_2YR_ANN_CAGR", IQ_LTM, $B$1,$L$4, $L$3, $L$5, $L$6)="NM","n/a",(_xll.ciqfunctions.udf.CIQ($A19, "IQ_TOTAL_REV_2YR_ANN_CAGR", IQ_LTM, $B$1,$L$4, $L$3, $L$5, $L$6)/100))</f>
        <v>#VALUE!</v>
      </c>
      <c r="BM19" s="492" t="e">
        <f>IF(_xll.ciqfunctions.udf.CIQ($A19, "IQ_TOTAL_REV_3YR_ANN_CAGR", IQ_LTM, $B$1,$L$4, $L$3, $L$5, $L$6)="NM","n/a",(_xll.ciqfunctions.udf.CIQ($A19, "IQ_TOTAL_REV_3YR_ANN_CAGR", IQ_LTM, $B$1,$L$4, $L$3, $L$5, $L$6)/100))</f>
        <v>#VALUE!</v>
      </c>
      <c r="BN19" s="492" t="e">
        <f>IF(_xll.ciqfunctions.udf.CIQ($A19, "IQ_TOTAL_REV_5YR_ANN_CAGR", IQ_LTM, $B$1,$L$4, $L$3, $L$5, $L$6)="NM","n/a",(_xll.ciqfunctions.udf.CIQ($A19, "IQ_TOTAL_REV_5YR_ANN_CAGR", IQ_LTM, $B$1,$L$4, $L$3, $L$5, $L$6)/100))</f>
        <v>#VALUE!</v>
      </c>
      <c r="BO19" s="492" t="str">
        <f>IF(_xll.ciqfunctions.udf.CIQ($A19,"IQ_EBITDA_2YR_ANN_CAGR", IQ_LTM,$B$1,$L$4, $L$3, $L$5, $L$6)="NM","n/a",(_xll.ciqfunctions.udf.CIQ($A19,"IQ_EBITDA_2YR_ANN_CAGR", IQ_LTM,$B$1,$L$4, $L$3, $L$5, $L$6)/100))</f>
        <v>n/a</v>
      </c>
      <c r="BP19" s="492" t="str">
        <f>IF(_xll.ciqfunctions.udf.CIQ($A19,"IQ_EBITDA_3YR_ANN_CAGR", IQ_LTM,$B$1,$L$4, $L$3, $L$5, $L$6)="NM","n/a",(_xll.ciqfunctions.udf.CIQ($A19,"IQ_EBITDA_3YR_ANN_CAGR", IQ_LTM,$B$1,$L$4, $L$3, $L$5, $L$6)/100))</f>
        <v>n/a</v>
      </c>
      <c r="BQ19" s="492" t="e">
        <f>IF(_xll.ciqfunctions.udf.CIQ($A19,"IQ_EBITDA_5YR_ANN_CAGR", IQ_LTM,$B$1,$L$4, $L$3, $L$5, $L$6)="NM","n/a",(_xll.ciqfunctions.udf.CIQ($A19,"IQ_EBITDA_5YR_ANN_CAGR", IQ_LTM,$B$1,$L$4, $L$3, $L$5, $L$6)/100))</f>
        <v>#VALUE!</v>
      </c>
      <c r="BR19" s="496" t="str">
        <f>IFERROR((_xll.ciqfunctions.udf.CIQ($A19, "IQ_DA_CF", IQ_LTM, $B$1, $L$4, $L$3, $L$5, $L$6)/Q19),"NM")</f>
        <v>NM</v>
      </c>
      <c r="BS19" s="546">
        <f>'Capital IQ Sheet-GPC'!BS19</f>
        <v>1.1006050499094084</v>
      </c>
      <c r="BT19" s="546">
        <f>'Capital IQ Sheet-GPC'!BT19</f>
        <v>0.96962907722855873</v>
      </c>
      <c r="BU19" s="546">
        <f>'Capital IQ Sheet-GPC'!BU19</f>
        <v>0.92782915284976175</v>
      </c>
      <c r="BV19" s="546">
        <f>'Capital IQ Sheet-GPC'!BV19</f>
        <v>0.89467871227668438</v>
      </c>
      <c r="BW19" s="546" t="str">
        <f>'Capital IQ Sheet-GPC'!BW19</f>
        <v>n/a</v>
      </c>
      <c r="BX19" s="546" t="str">
        <f>'Capital IQ Sheet-GPC'!BX19</f>
        <v>n/a</v>
      </c>
      <c r="BY19" s="546" t="str">
        <f>'Capital IQ Sheet-GPC'!BY19</f>
        <v>n/a</v>
      </c>
      <c r="BZ19" s="546" t="str">
        <f>'Capital IQ Sheet-GPC'!BZ19</f>
        <v>n/a</v>
      </c>
      <c r="CB19" s="492">
        <v>2</v>
      </c>
      <c r="CC19" s="632" t="s">
        <v>253</v>
      </c>
      <c r="CD19" s="632" t="s">
        <v>252</v>
      </c>
      <c r="CE19" s="494">
        <f t="shared" si="0"/>
        <v>42551</v>
      </c>
    </row>
    <row r="20" spans="1:83" s="492" customFormat="1" ht="12.75">
      <c r="A20" s="493" t="str">
        <f>_xll.ciqfunctions.udf.CIQ($B20,"IQ_COMPANY_TICKER")</f>
        <v>NasdaqGS:VVUS</v>
      </c>
      <c r="B20" s="541" t="str">
        <f>'Capital IQ Sheet-GPC'!B20</f>
        <v>IQ36398</v>
      </c>
      <c r="C20" s="493" t="str">
        <f>_xll.ciqfunctions.udf.CIQ($A20,"IQ_COMPANY_NAME")</f>
        <v>VIVUS, Inc.</v>
      </c>
      <c r="D20" s="493" t="str">
        <f>_xll.ciqfunctions.udf.CIQ($A20, "IQ_EXCHANGE")</f>
        <v>NasdaqGS</v>
      </c>
      <c r="E20" s="540">
        <f>_xll.ciqfunctions.udf.CIQ($A20, "IQ_PERIODDATE_IS", IQ_FY)</f>
        <v>43100</v>
      </c>
      <c r="F20" s="540">
        <f>_xll.ciqfunctions.udf.CIQ(A20, "IQ_PERIODDATE_IS", IQ_LTM, $B$1,$L$4,$L$3)</f>
        <v>43190</v>
      </c>
      <c r="G20" s="540">
        <f>_xll.ciqfunctions.udf.CIQ($A20, "IQ_FIRSTPRICINGDATE")</f>
        <v>34431</v>
      </c>
      <c r="H20" s="542">
        <f>_xll.ciqfunctions.udf.CIQ($A20, "IQ_TEV", $L$2, $L$5, $L$6)</f>
        <v>102.15013999999999</v>
      </c>
      <c r="I20" s="542">
        <f>_xll.ciqfunctions.udf.CIQ(A20, "IQ_LASTSALEPRICE", $B$1,$L$5)</f>
        <v>0.70499999999999996</v>
      </c>
      <c r="J20" s="542">
        <f>_xll.ciqfunctions.udf.CIQ($A20, "IQ_MARKETCAP", $L$2, $L$5, $L$6)</f>
        <v>74.768140000000002</v>
      </c>
      <c r="K20" s="542">
        <f>_xll.ciqfunctions.udf.CIQ($A20, "IQ_TOTAL_DEBT", IQ_LTM, $L$2,$L$4, $L$3, $L$5, $L$6)</f>
        <v>236.50700000000001</v>
      </c>
      <c r="L20" s="542" t="str">
        <f>_xll.ciqfunctions.udf.CIQ($A20, "IQ_PREF_EQUITY", IQ_LTM, $L$2, $L$4, $L$3, $L$5, $L$6)</f>
        <v>n/a</v>
      </c>
      <c r="M20" s="542" t="str">
        <f>_xll.ciqfunctions.udf.CIQ($A20, "IQ_MINORITY_INTEREST_TOTAL", IQ_LTM, $L$2, $L$4, $L$3, $L$5, $L$6)</f>
        <v>n/a</v>
      </c>
      <c r="N20" s="542">
        <f>_xll.ciqfunctions.udf.CIQ($A20, "IQ_CASH_ST_INVEST", IQ_LTM, $L$2, $L$4, $L$3, $L$5, $L$6)</f>
        <v>209.125</v>
      </c>
      <c r="O20" s="542">
        <f>_xll.ciqfunctions.udf.CIQ($A20, "IQ_TOTAL_REV", IQ_LTM-8, $L$2, $L$4, $L$3, $L$5, $L$6)</f>
        <v>78.587999999999994</v>
      </c>
      <c r="P20" s="542">
        <f>_xll.ciqfunctions.udf.CIQ($A20, "IQ_TOTAL_REV", IQ_LTM - 4, $L$2, $L$4, $L$3, $L$5,$L$6)</f>
        <v>135.946</v>
      </c>
      <c r="Q20" s="542">
        <f>_xll.ciqfunctions.udf.CIQ($A20, "IQ_TOTAL_REV", IQ_LTM, $L$2, $L$4, $L$3, $L$5, $L$6)</f>
        <v>50.261000000000003</v>
      </c>
      <c r="R20" s="542">
        <f>_xll.ciqfunctions.udf.CIQ($A20, "IQ_TOTAL_REV", $B$2, $L$2, $L$4, $L$3, $L$5, $L$6)</f>
        <v>124.258</v>
      </c>
      <c r="S20" s="542">
        <f>IF(_xll.ciqfunctions.udf.CIQ($A20, "IQ_TOTAL_REV", $B$3, $L$2,$L$4, $L$3, $L$5, $L$6)=0,Q20,_xll.ciqfunctions.udf.CIQ($A20, "IQ_TOTAL_REV", $B$3, $L$2,$L$4, $L$3, $L$5, $L$6))</f>
        <v>65.373000000000005</v>
      </c>
      <c r="T20" s="542">
        <f>IF(_xll.ciqfunctions.udf.CIQ($A20, "IQ_REVENUE_EST",$B$4, $L$2, "CON", $L$3, $L$5, $L$6)=0,"n/a",_xll.ciqfunctions.udf.CIQ($A20, "IQ_REVENUE_EST",$B$4, $L$2, "CON", $L$3, $L$5, $L$6))</f>
        <v>59.9</v>
      </c>
      <c r="U20" s="542">
        <f>IF(_xll.ciqfunctions.udf.CIQ($A20, "IQ_REVENUE_EST",$B$5, $L$2, "CON", $L$3, $L$5, $L$6)=0,"n/a",_xll.ciqfunctions.udf.CIQ($A20, "IQ_REVENUE_EST",$B$5, $L$2, "CON", $L$3, $L$5, $L$6))</f>
        <v>60</v>
      </c>
      <c r="V20" s="542" t="str">
        <f>IF(_xll.ciqfunctions.udf.CIQ($A20, "IQ_REVENUE_EST",$B$6, $L$2, "CON", $L$3, $L$5, $L$6)=0,"n/a",_xll.ciqfunctions.udf.CIQ($A20, "IQ_REVENUE_EST",$B$6, $L$2, "CON", $L$3, $L$5, $L$6))</f>
        <v>n/a</v>
      </c>
      <c r="W20" s="542" t="str">
        <f>IF(_xll.ciqfunctions.udf.CIQ($A20, "IQ_REVENUE_EST", $B$7, $L$2, "CON", $L$3, $L$5, $L$6)=0,"n/a",_xll.ciqfunctions.udf.CIQ($A20, "IQ_REVENUE_EST",$B$7, $L$2, "CON", $L$3, $L$5, $L$6))</f>
        <v>n/a</v>
      </c>
      <c r="X20" s="542">
        <f>_xll.ciqfunctions.udf.CIQ($A20, "IQ_EBITDA", IQ_LTM-8, $L$2, $L$4, $L$3, $L$5, $L$6)</f>
        <v>-24.63</v>
      </c>
      <c r="Y20" s="542">
        <f>_xll.ciqfunctions.udf.CIQ($A20, "IQ_EBITDA", IQ_LTM-4, $L$2,$L$4, $L$3, $L$5, $L$6)</f>
        <v>68.491</v>
      </c>
      <c r="Z20" s="542">
        <f>_xll.ciqfunctions.udf.CIQ($A20, "IQ_EBITDA", IQ_LTM, $L$2, $L$4, $L$3, $L$5, $L$6)</f>
        <v>-6.0170000000000003</v>
      </c>
      <c r="AA20" s="542">
        <f>_xll.ciqfunctions.udf.CIQ($A20, "IQ_EBITDA", $B$2, $L$2, $L$4, $L$3, $L$5, $L$6)</f>
        <v>56.765000000000001</v>
      </c>
      <c r="AB20" s="542">
        <f>IF(_xll.ciqfunctions.udf.CIQ($A20, "IQ_EBITDA", $B$3, $L$2,$L$4, $L$3, $L$5, $L$6)=0,Z20,_xll.ciqfunctions.udf.CIQ($A20, "IQ_EBITDA", $B$3, $L$2,$L$4, $L$3, $L$5, $L$6))</f>
        <v>3.6040000000000001</v>
      </c>
      <c r="AC20" s="542" t="str">
        <f>IF(_xll.ciqfunctions.udf.CIQ($A20, "IQ_EBITDA_EST",$B$4, $L$2, "CON", $L$3, $L$5, $L$6)=0,"n/a",_xll.ciqfunctions.udf.CIQ($A20, "IQ_EBITDA_EST",$B$4, $L$2, "CON", $L$3, $L$5, $L$6))</f>
        <v>n/a</v>
      </c>
      <c r="AD20" s="542" t="str">
        <f>IF(_xll.ciqfunctions.udf.CIQ($A20, "IQ_EBITDA_EST",$B$5, $L$2, "CON", $L$3, $L$5, $L$6)=0,"n/a",_xll.ciqfunctions.udf.CIQ($A20, "IQ_EBITDA_EST",$B$5, $L$2, "CON", $L$3, $L$5, $L$6))</f>
        <v>n/a</v>
      </c>
      <c r="AE20" s="542" t="str">
        <f>IF(_xll.ciqfunctions.udf.CIQ($A20, "IQ_EBITDA_EST",$B$6, $L$2, "CON", $L$3, $L$5, $L$6)=0,"n/a",_xll.ciqfunctions.udf.CIQ($A20, "IQ_EBITDA_EST",$B$6, $L$2, "CON", $L$3, $L$5, $L$6))</f>
        <v>n/a</v>
      </c>
      <c r="AF20" s="543">
        <f>IF(ISERROR(_xll.ciqfunctions.udf.CIQ($A20, "IQ_GROSS_MARGIN", IQ_LTM, $L$2,$L$4, $L$3, $L$5, $L$6)/100), "n/a", _xll.ciqfunctions.udf.CIQ($A20,  "IQ_GROSS_MARGIN", IQ_LTM, $L$2, $L$4, $L$3, $L$5, $L$6)/100)</f>
        <v>0.726607</v>
      </c>
      <c r="AG20" s="543">
        <f>IF(ISERROR(_xll.ciqfunctions.udf.CIQ($A20,"IQ_EBITDA_MARGIN", IQ_LTM, $L$2, $L$4, $L$3, $L$5, $L$6)/100), "n/a", _xll.ciqfunctions.udf.CIQ($A20, "IQ_EBITDA_MARGIN", IQ_LTM, $L$2, $L$4, $L$3, $L$5, $L$6)/100)</f>
        <v>-0.119715</v>
      </c>
      <c r="AH20" s="543">
        <f>IF(ISERROR(_xll.ciqfunctions.udf.CIQ($A20,"IQ_EBIT_MARGIN", IQ_LTM, $L$2, $L$4, $L$3, $L$5, $L$6)/100), "n/a", _xll.ciqfunctions.udf.CIQ($A20, "IQ_EBIT_MARGIN", IQ_LTM, $L$2, $L$4, $L$3, $L$5, $L$6)/100)</f>
        <v>-0.13396</v>
      </c>
      <c r="AI20" s="543">
        <f>IF(ISERROR(_xll.ciqfunctions.udf.CIQ($A20,"IQ_NI_MARGIN", IQ_LTM, $L$2, $L$4, $L$3, $L$5, $L$6)/100), "n/a", _xll.ciqfunctions.udf.CIQ($A20, "IQ_NI_MARGIN", IQ_LTM, $L$2, $L$4, $L$3, $L$5, $L$6)/100)</f>
        <v>-0.79799400000000009</v>
      </c>
      <c r="AJ20" s="542">
        <f>IF(ISERROR(_xll.ciqfunctions.udf.CIQ($A20, "IQ_NET_WORKING_CAP", IQ_LTM-8, $L$2, $L$4, $L$3, $L$5, $L$6)), "n/a", _xll.ciqfunctions.udf.CIQ($A20, "IQ_NET_WORKING_CAP", IQ_LTM-8, $L$2, $L$4, $L$3, $L$5, $L$6))</f>
        <v>-7.5730000000000004</v>
      </c>
      <c r="AK20" s="542">
        <f>IF(ISERROR(_xll.ciqfunctions.udf.CIQ($A20, "IQ_NET_WORKING_CAP", IQ_LTM-4, $L$2, $L$4, $L$3, $L$5, $L$6)), "n/a", _xll.ciqfunctions.udf.CIQ($A20, "IQ_NET_WORKING_CAP", IQ_LTM-4, $L$2, $L$4, $L$3, $L$5, $L$6))</f>
        <v>6.4130000000000003</v>
      </c>
      <c r="AL20" s="542">
        <f>IF(ISERROR(_xll.ciqfunctions.udf.CIQ($A20, "IQ_NET_WORKING_CAP", IQ_LTM, $L$2,$L$4, $L$3, $L$5, $L$6)), "n/a", _xll.ciqfunctions.udf.CIQ($A20, "IQ_NET_WORKING_CAP", IQ_LTM, $L$2, $L$4, $L$3, $L$5, $L$6))</f>
        <v>10.991</v>
      </c>
      <c r="AM20" s="542">
        <f>IF(ISERROR(_xll.ciqfunctions.udf.CIQ($A20, "IQ_Capex", IQ_LTM-8, $L$2,$L$4, $L$3, $L$5, $L$6)), "n/a", _xll.ciqfunctions.udf.CIQ($A20, "IQ_Capex", IQ_LTM-8, $L$2, $L$4, $L$3, $L$5, $L$6))</f>
        <v>-0.26300000000000001</v>
      </c>
      <c r="AN20" s="542">
        <f>IF(ISERROR(_xll.ciqfunctions.udf.CIQ($A20, "IQ_Capex", IQ_LTM-4, $L$2,$L$4, $L$3, $L$5, $L$6)), "n/a", _xll.ciqfunctions.udf.CIQ($A20, "IQ_Capex", IQ_LTM-4, $L$2,$L$4, $L$3, $L$5, $L$6))</f>
        <v>-0.23200000000000001</v>
      </c>
      <c r="AO20" s="542">
        <f>IF(ISERROR(_xll.ciqfunctions.udf.CIQ($A20, "IQ_Capex", IQ_LTM, $L$2, $L$4, $L$3, $L$5, $L$6)), "n/a", _xll.ciqfunctions.udf.CIQ($A20, "IQ_Capex", IQ_LTM, $L$2, $L$4, $L$3, $L$5, $L$6))</f>
        <v>-3.4000000000000002E-2</v>
      </c>
      <c r="AP20" s="544" t="str">
        <f>_xll.ciqfunctions.udf.CIQ(A20, "IQ_BUSINESS_DESCRIPTION")</f>
        <v>VIVUS, Inc., a biopharmaceutical company, develops and commercializes novel therapeutic products to address unmet medical needs in human health in the United States and the European Union. The company offers Qsymia for the treatment of obesity as an adjunct to a reduced-calorie diet and increased physical activity for chronic weight management in adult patients with an initial body mass index of 30 or greater, or obese patients, or 27 or greater, or overweight patients in the presence of at least one weight-related comorbidity, such as hypertension, type 2 diabetes mellitus or high cholesterol; and STENDRA, an oral phosphodiesterase type 5 inhibitor for the treatment of erectile dysfunction. It is also involved in developing Qsymia, which has been completed Phase II studies for the treatment of various diseases, including obstructive sleep apnea and diabetes, nonalcoholic steatohepatitis and fatty liver disease, hyperlipidemia, and hypertension, as well as Tacrolimus that has been completed Phase IIa studies for the treatment of pulmonary arterial hypertension. The company has development, license and clinical trial, and commercial supply agreement with Mitsubishi Tanabe Pharma Corporation for the development and commercialization of avanafil, a PDE5 inhibitor compound for the oral and local treatment of male and female sexual dysfunction. It also has license and commercialization agreements with Berlin Chemie AG to commercialize and promote STENDRA. VIVUS, Inc. was founded in 1991 and is headquartered in Campbell, California.</v>
      </c>
      <c r="AQ20" s="545">
        <f>_xll.ciqfunctions.udf.CIQ($A20, "IQ_BETA_1YR", $B$1)</f>
        <v>3.7670000000000002E-2</v>
      </c>
      <c r="AR20" s="545">
        <f>_xll.ciqfunctions.udf.CIQ($A20, "IQ_BETA_2YR", $B$1)</f>
        <v>0.41127000000000002</v>
      </c>
      <c r="AS20" s="545">
        <f>_xll.ciqfunctions.udf.CIQ($A20, "IQ_BETA_5YR", $B$1)</f>
        <v>0.59199999999999997</v>
      </c>
      <c r="AT20" s="543" t="e">
        <f>_xll.ciqfunctions.udf.CIQ($A20, "IQ_DIVIDEND_YIELD", $B$1)/100</f>
        <v>#VALUE!</v>
      </c>
      <c r="AU20" s="542">
        <f>_xll.ciqfunctions.udf.CIQ($A20, "IQ_EARNING_CO", IQ_LTM-8, $L$2, $L$4, $L$3, $L$5, $L$6)</f>
        <v>-90.349000000000004</v>
      </c>
      <c r="AV20" s="542">
        <f>_xll.ciqfunctions.udf.CIQ($A20, "IQ_EARNING_CO", IQ_LTM-4, $L$2, $L$4, $L$3, $L$5, $L$6)</f>
        <v>34.954000000000001</v>
      </c>
      <c r="AW20" s="542">
        <f>_xll.ciqfunctions.udf.CIQ($A20, "IQ_EARNING_CO", IQ_LTM, $L$2, $L$4, $L$3, $L$5, $L$6)</f>
        <v>-40.107999999999997</v>
      </c>
      <c r="AX20" s="542">
        <f>_xll.ciqfunctions.udf.CIQ($A20, "IQ_EARNING_CO", $B$2, $L$2, $L$4, $L$3, $L$5, $L$6)</f>
        <v>23.302</v>
      </c>
      <c r="AY20" s="542">
        <f>IF(_xll.ciqfunctions.udf.CIQ($A20, "IQ_EARNING_CO", $B$3, $L$2,$L$4, $L$3, $L$5, $L$6)=0,AW20,_xll.ciqfunctions.udf.CIQ($A20, "IQ_EARNING_CO", $B$3, $L$2,$L$4, $L$3, $L$5, $L$6))</f>
        <v>-30.510999999999999</v>
      </c>
      <c r="AZ20" s="542">
        <f>_xll.ciqfunctions.udf.CIQ($A20, "IQ_TOTAL_EQUITY", IQ_LTM-8, $L$2, $L$4, $L$3, $L$5, $L$6)</f>
        <v>-19.103999999999999</v>
      </c>
      <c r="BA20" s="542">
        <f>_xll.ciqfunctions.udf.CIQ($A20, "IQ_TOTAL_EQUITY", IQ_LTM-4, $L$2, $L$4, $L$3, $L$5, $L$6)</f>
        <v>17.981000000000002</v>
      </c>
      <c r="BB20" s="542">
        <f>_xll.ciqfunctions.udf.CIQ($A20, "IQ_TOTAL_EQUITY", IQ_LTM, $L$2, $L$4, $L$3, $L$5, $L$6)</f>
        <v>-19.542999999999999</v>
      </c>
      <c r="BC20" s="542">
        <f>_xll.ciqfunctions.udf.CIQ($A20, "IQ_TOTAL_EQUITY", $B$2, $L$2, $L$4, $L$3, $L$5, $L$6)</f>
        <v>18.184999999999999</v>
      </c>
      <c r="BD20" s="542">
        <f>IF(_xll.ciqfunctions.udf.CIQ($A20, "IQ_TOTAL_EQUITY", $B$3, $L$2,$L$4, $L$3, $L$5, $L$6)=0,BB20,_xll.ciqfunctions.udf.CIQ($A20, "IQ_TOTAL_EQUITY", $B$3, $L$2,$L$4, $L$3, $L$5, $L$6))</f>
        <v>-9.3379999999999992</v>
      </c>
      <c r="BE20" s="542">
        <f>_xll.ciqfunctions.udf.CIQ(A20, "IQ_LASTSALEPRICE", $B$8)</f>
        <v>0.52559999999999996</v>
      </c>
      <c r="BF20" s="542">
        <f>_xll.ciqfunctions.udf.CIQ($A20, "IQ_MARKETCAP", $B$8, $L$5, $L$6)</f>
        <v>55.689129999999999</v>
      </c>
      <c r="BG20" s="542">
        <f>_xll.ciqfunctions.udf.CIQ($A20, "IQ_TOTAL_DEBT", IQ_LTM, $B$8,$L$4, $L$3, $L$5, $L$6)</f>
        <v>234.71100000000001</v>
      </c>
      <c r="BH20" s="492" t="str">
        <f>_xll.ciqfunctions.udf.CIQ($A20,"IQ_PREF_EQUITY",IQ_LTM,$B$8,$L$4,$L$3,$L$5,$L$6)</f>
        <v>n/a</v>
      </c>
      <c r="BI20" s="492" t="str">
        <f>_xll.ciqfunctions.udf.CIQ($A20, "IQ_MINORITY_INTEREST_TOTAL", IQ_LTM,$B$8,$L$4,$L$3,$L$5,$L$6)</f>
        <v>n/a</v>
      </c>
      <c r="BJ20" s="542">
        <f>_xll.ciqfunctions.udf.CIQ($A20, "IQ_CASH_ST_INVEST", IQ_LTM, $B$8, $L$4, $L$3, $L$5, $L$6)</f>
        <v>236.023</v>
      </c>
      <c r="BK20" s="492" t="str">
        <f>_xll.ciqfunctions.udf.CIQ($A20, "IQ_EFFECT_TAX_RATE")</f>
        <v>NM</v>
      </c>
      <c r="BL20" s="492">
        <f>IF(_xll.ciqfunctions.udf.CIQ($A20, "IQ_TOTAL_REV_2YR_ANN_CAGR", IQ_LTM, $B$1,$L$4, $L$3, $L$5, $L$6)="NM","n/a",(_xll.ciqfunctions.udf.CIQ($A20, "IQ_TOTAL_REV_2YR_ANN_CAGR", IQ_LTM, $B$1,$L$4, $L$3, $L$5, $L$6)/100))</f>
        <v>-0.20028099999999999</v>
      </c>
      <c r="BM20" s="492">
        <f>IF(_xll.ciqfunctions.udf.CIQ($A20, "IQ_TOTAL_REV_3YR_ANN_CAGR", IQ_LTM, $B$1,$L$4, $L$3, $L$5, $L$6)="NM","n/a",(_xll.ciqfunctions.udf.CIQ($A20, "IQ_TOTAL_REV_3YR_ANN_CAGR", IQ_LTM, $B$1,$L$4, $L$3, $L$5, $L$6)/100))</f>
        <v>-0.22897899999999999</v>
      </c>
      <c r="BN20" s="492">
        <f>IF(_xll.ciqfunctions.udf.CIQ($A20, "IQ_TOTAL_REV_5YR_ANN_CAGR", IQ_LTM, $B$1,$L$4, $L$3, $L$5, $L$6)="NM","n/a",(_xll.ciqfunctions.udf.CIQ($A20, "IQ_TOTAL_REV_5YR_ANN_CAGR", IQ_LTM, $B$1,$L$4, $L$3, $L$5, $L$6)/100))</f>
        <v>0.52348899999999998</v>
      </c>
      <c r="BO20" s="492" t="str">
        <f>IF(_xll.ciqfunctions.udf.CIQ($A20,"IQ_EBITDA_2YR_ANN_CAGR", IQ_LTM,$B$1,$L$4, $L$3, $L$5, $L$6)="NM","n/a",(_xll.ciqfunctions.udf.CIQ($A20,"IQ_EBITDA_2YR_ANN_CAGR", IQ_LTM,$B$1,$L$4, $L$3, $L$5, $L$6)/100))</f>
        <v>n/a</v>
      </c>
      <c r="BP20" s="492" t="str">
        <f>IF(_xll.ciqfunctions.udf.CIQ($A20,"IQ_EBITDA_3YR_ANN_CAGR", IQ_LTM,$B$1,$L$4, $L$3, $L$5, $L$6)="NM","n/a",(_xll.ciqfunctions.udf.CIQ($A20,"IQ_EBITDA_3YR_ANN_CAGR", IQ_LTM,$B$1,$L$4, $L$3, $L$5, $L$6)/100))</f>
        <v>n/a</v>
      </c>
      <c r="BQ20" s="492" t="str">
        <f>IF(_xll.ciqfunctions.udf.CIQ($A20,"IQ_EBITDA_5YR_ANN_CAGR", IQ_LTM,$B$1,$L$4, $L$3, $L$5, $L$6)="NM","n/a",(_xll.ciqfunctions.udf.CIQ($A20,"IQ_EBITDA_5YR_ANN_CAGR", IQ_LTM,$B$1,$L$4, $L$3, $L$5, $L$6)/100))</f>
        <v>n/a</v>
      </c>
      <c r="BR20" s="496">
        <f>IFERROR((_xll.ciqfunctions.udf.CIQ($A20, "IQ_DA_CF", IQ_LTM, $B$1, $L$4, $L$3, $L$5, $L$6)/Q20),"NM")</f>
        <v>1.4245637770836234E-2</v>
      </c>
      <c r="BS20" s="546">
        <f>'Capital IQ Sheet-GPC'!BS20</f>
        <v>0.86045485382114273</v>
      </c>
      <c r="BT20" s="546">
        <f>'Capital IQ Sheet-GPC'!BT20</f>
        <v>0.69142064470826325</v>
      </c>
      <c r="BU20" s="546">
        <f>'Capital IQ Sheet-GPC'!BU20</f>
        <v>0.69803335239953213</v>
      </c>
      <c r="BV20" s="546">
        <f>'Capital IQ Sheet-GPC'!BV20</f>
        <v>0.65477238914194269</v>
      </c>
      <c r="BW20" s="546">
        <f>'Capital IQ Sheet-GPC'!BW20</f>
        <v>0.62641061737964543</v>
      </c>
      <c r="BX20" s="546">
        <f>'Capital IQ Sheet-GPC'!BX20</f>
        <v>0.62711024603902565</v>
      </c>
      <c r="BY20" s="546">
        <f>'Capital IQ Sheet-GPC'!BY20</f>
        <v>0.62065644569477552</v>
      </c>
      <c r="BZ20" s="546">
        <f>'Capital IQ Sheet-GPC'!BZ20</f>
        <v>0.62394207178490346</v>
      </c>
      <c r="CB20" s="492">
        <v>2</v>
      </c>
      <c r="CC20" s="632" t="s">
        <v>253</v>
      </c>
      <c r="CD20" s="632" t="s">
        <v>252</v>
      </c>
      <c r="CE20" s="494">
        <f t="shared" si="0"/>
        <v>42551</v>
      </c>
    </row>
    <row r="21" spans="1:83" s="492" customFormat="1" ht="12.75">
      <c r="A21" s="493" t="str">
        <f>_xll.ciqfunctions.udf.CIQ($B21,"IQ_COMPANY_TICKER")</f>
        <v>NasdaqCM:AVXL</v>
      </c>
      <c r="B21" s="541" t="str">
        <f>'Capital IQ Sheet-GPC'!B21</f>
        <v>IQ13580387</v>
      </c>
      <c r="C21" s="493" t="str">
        <f>_xll.ciqfunctions.udf.CIQ($A21,"IQ_COMPANY_NAME")</f>
        <v>Anavex Life Sciences Corp.</v>
      </c>
      <c r="D21" s="493" t="str">
        <f>_xll.ciqfunctions.udf.CIQ($A21, "IQ_EXCHANGE")</f>
        <v>NasdaqCM</v>
      </c>
      <c r="E21" s="540">
        <f>_xll.ciqfunctions.udf.CIQ($A21, "IQ_PERIODDATE_IS", IQ_FY)</f>
        <v>43008</v>
      </c>
      <c r="F21" s="540">
        <f>_xll.ciqfunctions.udf.CIQ(A21, "IQ_PERIODDATE_IS", IQ_LTM, $B$1,$L$4,$L$3)</f>
        <v>43190</v>
      </c>
      <c r="G21" s="540">
        <f>_xll.ciqfunctions.udf.CIQ($A21, "IQ_FIRSTPRICINGDATE")</f>
        <v>38820</v>
      </c>
      <c r="H21" s="542">
        <f>_xll.ciqfunctions.udf.CIQ($A21, "IQ_TEV", $L$2, $L$5, $L$6)</f>
        <v>91.352779999999996</v>
      </c>
      <c r="I21" s="542">
        <f>_xll.ciqfunctions.udf.CIQ(A21, "IQ_LASTSALEPRICE", $B$1,$L$5)</f>
        <v>2.62</v>
      </c>
      <c r="J21" s="542">
        <f>_xll.ciqfunctions.udf.CIQ($A21, "IQ_MARKETCAP", $L$2, $L$5, $L$6)</f>
        <v>117.00936</v>
      </c>
      <c r="K21" s="542">
        <f>_xll.ciqfunctions.udf.CIQ($A21, "IQ_TOTAL_DEBT", IQ_LTM, $L$2,$L$4, $L$3, $L$5, $L$6)</f>
        <v>0</v>
      </c>
      <c r="L21" s="542" t="str">
        <f>_xll.ciqfunctions.udf.CIQ($A21, "IQ_PREF_EQUITY", IQ_LTM, $L$2, $L$4, $L$3, $L$5, $L$6)</f>
        <v>n/a</v>
      </c>
      <c r="M21" s="542" t="str">
        <f>_xll.ciqfunctions.udf.CIQ($A21, "IQ_MINORITY_INTEREST_TOTAL", IQ_LTM, $L$2, $L$4, $L$3, $L$5, $L$6)</f>
        <v>n/a</v>
      </c>
      <c r="N21" s="542">
        <f>_xll.ciqfunctions.udf.CIQ($A21, "IQ_CASH_ST_INVEST", IQ_LTM, $L$2, $L$4, $L$3, $L$5, $L$6)</f>
        <v>25.656580000000002</v>
      </c>
      <c r="O21" s="542" t="str">
        <f>_xll.ciqfunctions.udf.CIQ($A21, "IQ_TOTAL_REV", IQ_LTM-8, $L$2, $L$4, $L$3, $L$5, $L$6)</f>
        <v>n/a</v>
      </c>
      <c r="P21" s="542" t="str">
        <f>_xll.ciqfunctions.udf.CIQ($A21, "IQ_TOTAL_REV", IQ_LTM - 4, $L$2, $L$4, $L$3, $L$5,$L$6)</f>
        <v>n/a</v>
      </c>
      <c r="Q21" s="542" t="str">
        <f>_xll.ciqfunctions.udf.CIQ($A21, "IQ_TOTAL_REV", IQ_LTM, $L$2, $L$4, $L$3, $L$5, $L$6)</f>
        <v>n/a</v>
      </c>
      <c r="R21" s="542" t="str">
        <f>_xll.ciqfunctions.udf.CIQ($A21, "IQ_TOTAL_REV", $B$2, $L$2, $L$4, $L$3, $L$5, $L$6)</f>
        <v>n/a</v>
      </c>
      <c r="S21" s="542" t="str">
        <f>IF(_xll.ciqfunctions.udf.CIQ($A21, "IQ_TOTAL_REV", $B$3, $L$2,$L$4, $L$3, $L$5, $L$6)=0,Q21,_xll.ciqfunctions.udf.CIQ($A21, "IQ_TOTAL_REV", $B$3, $L$2,$L$4, $L$3, $L$5, $L$6))</f>
        <v>n/a</v>
      </c>
      <c r="T21" s="542" t="str">
        <f>IF(_xll.ciqfunctions.udf.CIQ($A21, "IQ_REVENUE_EST",$B$4, $L$2, "CON", $L$3, $L$5, $L$6)=0,"n/a",_xll.ciqfunctions.udf.CIQ($A21, "IQ_REVENUE_EST",$B$4, $L$2, "CON", $L$3, $L$5, $L$6))</f>
        <v>n/a</v>
      </c>
      <c r="U21" s="542">
        <f>IF(_xll.ciqfunctions.udf.CIQ($A21, "IQ_REVENUE_EST",$B$5, $L$2, "CON", $L$3, $L$5, $L$6)=0,"n/a",_xll.ciqfunctions.udf.CIQ($A21, "IQ_REVENUE_EST",$B$5, $L$2, "CON", $L$3, $L$5, $L$6))</f>
        <v>6.5</v>
      </c>
      <c r="V21" s="542">
        <f>IF(_xll.ciqfunctions.udf.CIQ($A21, "IQ_REVENUE_EST",$B$6, $L$2, "CON", $L$3, $L$5, $L$6)=0,"n/a",_xll.ciqfunctions.udf.CIQ($A21, "IQ_REVENUE_EST",$B$6, $L$2, "CON", $L$3, $L$5, $L$6))</f>
        <v>31.1892</v>
      </c>
      <c r="W21" s="542">
        <f>IF(_xll.ciqfunctions.udf.CIQ($A21, "IQ_REVENUE_EST", $B$7, $L$2, "CON", $L$3, $L$5, $L$6)=0,"n/a",_xll.ciqfunctions.udf.CIQ($A21, "IQ_REVENUE_EST",$B$7, $L$2, "CON", $L$3, $L$5, $L$6))</f>
        <v>59.784799999999997</v>
      </c>
      <c r="X21" s="542">
        <f>_xll.ciqfunctions.udf.CIQ($A21, "IQ_EBITDA", IQ_LTM-8, $L$2, $L$4, $L$3, $L$5, $L$6)</f>
        <v>-11.62021</v>
      </c>
      <c r="Y21" s="542">
        <f>_xll.ciqfunctions.udf.CIQ($A21, "IQ_EBITDA", IQ_LTM-4, $L$2,$L$4, $L$3, $L$5, $L$6)</f>
        <v>-13.62978</v>
      </c>
      <c r="Z21" s="542" t="str">
        <f>_xll.ciqfunctions.udf.CIQ($A21, "IQ_EBITDA", IQ_LTM, $L$2, $L$4, $L$3, $L$5, $L$6)</f>
        <v>n/a</v>
      </c>
      <c r="AA21" s="542">
        <f>_xll.ciqfunctions.udf.CIQ($A21, "IQ_EBITDA", $B$2, $L$2, $L$4, $L$3, $L$5, $L$6)</f>
        <v>-13.65287</v>
      </c>
      <c r="AB21" s="542" t="str">
        <f>IF(_xll.ciqfunctions.udf.CIQ($A21, "IQ_EBITDA", $B$3, $L$2,$L$4, $L$3, $L$5, $L$6)=0,Z21,_xll.ciqfunctions.udf.CIQ($A21, "IQ_EBITDA", $B$3, $L$2,$L$4, $L$3, $L$5, $L$6))</f>
        <v>n/a</v>
      </c>
      <c r="AC21" s="542" t="str">
        <f>IF(_xll.ciqfunctions.udf.CIQ($A21, "IQ_EBITDA_EST",$B$4, $L$2, "CON", $L$3, $L$5, $L$6)=0,"n/a",_xll.ciqfunctions.udf.CIQ($A21, "IQ_EBITDA_EST",$B$4, $L$2, "CON", $L$3, $L$5, $L$6))</f>
        <v>n/a</v>
      </c>
      <c r="AD21" s="542" t="str">
        <f>IF(_xll.ciqfunctions.udf.CIQ($A21, "IQ_EBITDA_EST",$B$5, $L$2, "CON", $L$3, $L$5, $L$6)=0,"n/a",_xll.ciqfunctions.udf.CIQ($A21, "IQ_EBITDA_EST",$B$5, $L$2, "CON", $L$3, $L$5, $L$6))</f>
        <v>n/a</v>
      </c>
      <c r="AE21" s="542" t="str">
        <f>IF(_xll.ciqfunctions.udf.CIQ($A21, "IQ_EBITDA_EST",$B$6, $L$2, "CON", $L$3, $L$5, $L$6)=0,"n/a",_xll.ciqfunctions.udf.CIQ($A21, "IQ_EBITDA_EST",$B$6, $L$2, "CON", $L$3, $L$5, $L$6))</f>
        <v>n/a</v>
      </c>
      <c r="AF21" s="543" t="str">
        <f>IF(ISERROR(_xll.ciqfunctions.udf.CIQ($A21, "IQ_GROSS_MARGIN", IQ_LTM, $L$2,$L$4, $L$3, $L$5, $L$6)/100), "n/a", _xll.ciqfunctions.udf.CIQ($A21,  "IQ_GROSS_MARGIN", IQ_LTM, $L$2, $L$4, $L$3, $L$5, $L$6)/100)</f>
        <v>n/a</v>
      </c>
      <c r="AG21" s="543" t="str">
        <f>IF(ISERROR(_xll.ciqfunctions.udf.CIQ($A21,"IQ_EBITDA_MARGIN", IQ_LTM, $L$2, $L$4, $L$3, $L$5, $L$6)/100), "n/a", _xll.ciqfunctions.udf.CIQ($A21, "IQ_EBITDA_MARGIN", IQ_LTM, $L$2, $L$4, $L$3, $L$5, $L$6)/100)</f>
        <v>n/a</v>
      </c>
      <c r="AH21" s="543" t="str">
        <f>IF(ISERROR(_xll.ciqfunctions.udf.CIQ($A21,"IQ_EBIT_MARGIN", IQ_LTM, $L$2, $L$4, $L$3, $L$5, $L$6)/100), "n/a", _xll.ciqfunctions.udf.CIQ($A21, "IQ_EBIT_MARGIN", IQ_LTM, $L$2, $L$4, $L$3, $L$5, $L$6)/100)</f>
        <v>n/a</v>
      </c>
      <c r="AI21" s="543" t="str">
        <f>IF(ISERROR(_xll.ciqfunctions.udf.CIQ($A21,"IQ_NI_MARGIN", IQ_LTM, $L$2, $L$4, $L$3, $L$5, $L$6)/100), "n/a", _xll.ciqfunctions.udf.CIQ($A21, "IQ_NI_MARGIN", IQ_LTM, $L$2, $L$4, $L$3, $L$5, $L$6)/100)</f>
        <v>n/a</v>
      </c>
      <c r="AJ21" s="542">
        <f>IF(ISERROR(_xll.ciqfunctions.udf.CIQ($A21, "IQ_NET_WORKING_CAP", IQ_LTM-8, $L$2, $L$4, $L$3, $L$5, $L$6)), "n/a", _xll.ciqfunctions.udf.CIQ($A21, "IQ_NET_WORKING_CAP", IQ_LTM-8, $L$2, $L$4, $L$3, $L$5, $L$6))</f>
        <v>-2.1799400000000002</v>
      </c>
      <c r="AK21" s="542">
        <f>IF(ISERROR(_xll.ciqfunctions.udf.CIQ($A21, "IQ_NET_WORKING_CAP", IQ_LTM-4, $L$2, $L$4, $L$3, $L$5, $L$6)), "n/a", _xll.ciqfunctions.udf.CIQ($A21, "IQ_NET_WORKING_CAP", IQ_LTM-4, $L$2, $L$4, $L$3, $L$5, $L$6))</f>
        <v>-1.91727</v>
      </c>
      <c r="AL21" s="542">
        <f>IF(ISERROR(_xll.ciqfunctions.udf.CIQ($A21, "IQ_NET_WORKING_CAP", IQ_LTM, $L$2,$L$4, $L$3, $L$5, $L$6)), "n/a", _xll.ciqfunctions.udf.CIQ($A21, "IQ_NET_WORKING_CAP", IQ_LTM, $L$2, $L$4, $L$3, $L$5, $L$6))</f>
        <v>-3.2610700000000001</v>
      </c>
      <c r="AM21" s="542" t="str">
        <f>IF(ISERROR(_xll.ciqfunctions.udf.CIQ($A21, "IQ_Capex", IQ_LTM-8, $L$2,$L$4, $L$3, $L$5, $L$6)), "n/a", _xll.ciqfunctions.udf.CIQ($A21, "IQ_Capex", IQ_LTM-8, $L$2, $L$4, $L$3, $L$5, $L$6))</f>
        <v>n/a</v>
      </c>
      <c r="AN21" s="542" t="str">
        <f>IF(ISERROR(_xll.ciqfunctions.udf.CIQ($A21, "IQ_Capex", IQ_LTM-4, $L$2,$L$4, $L$3, $L$5, $L$6)), "n/a", _xll.ciqfunctions.udf.CIQ($A21, "IQ_Capex", IQ_LTM-4, $L$2,$L$4, $L$3, $L$5, $L$6))</f>
        <v>n/a</v>
      </c>
      <c r="AO21" s="542" t="str">
        <f>IF(ISERROR(_xll.ciqfunctions.udf.CIQ($A21, "IQ_Capex", IQ_LTM, $L$2, $L$4, $L$3, $L$5, $L$6)), "n/a", _xll.ciqfunctions.udf.CIQ($A21, "IQ_Capex", IQ_LTM, $L$2, $L$4, $L$3, $L$5, $L$6))</f>
        <v>n/a</v>
      </c>
      <c r="AP21" s="544" t="str">
        <f>_xll.ciqfunctions.udf.CIQ(A21, "IQ_BUSINESS_DESCRIPTION")</f>
        <v>Anavex Life Sciences Corp., a clinical stage biopharmaceutical company, engages in the development of drug candidates for the treatment of Alzheimer’s disease, other central nervous system diseases, pain, and various cancers. The company’s lead drug candidates include ANAVEX 2-73, which has completed Phase IIa clinical trials for the treatment of Alzheimer’s disease; and in preclinical clinical trials to treat Parkinson’s disease, epilepsy, Rett syndrome, Angelman syndrome, multiple sclerosis, and Fragile X syndrome. Its preclinical drug candidates include ANAVEX 3-71 to treat Alzheimer’s disease; ANAVEX 1-41, a sigma-1 agonist; ANAVEX 1037 for the treatment of prostate cancer; and ANAVEX 1066, a mixed sigma-1/sigma-2 ligand for the treatment of neuropathic and visceral pain. The company was founded in 2006 and is based in New York, New York.</v>
      </c>
      <c r="AQ21" s="545">
        <f>_xll.ciqfunctions.udf.CIQ($A21, "IQ_BETA_1YR", $B$1)</f>
        <v>1.84724</v>
      </c>
      <c r="AR21" s="545">
        <f>_xll.ciqfunctions.udf.CIQ($A21, "IQ_BETA_2YR", $B$1)</f>
        <v>2.35649</v>
      </c>
      <c r="AS21" s="545">
        <f>_xll.ciqfunctions.udf.CIQ($A21, "IQ_BETA_5YR", $B$1)</f>
        <v>1.1634500000000001</v>
      </c>
      <c r="AT21" s="543" t="e">
        <f>_xll.ciqfunctions.udf.CIQ($A21, "IQ_DIVIDEND_YIELD", $B$1)/100</f>
        <v>#VALUE!</v>
      </c>
      <c r="AU21" s="542">
        <f>_xll.ciqfunctions.udf.CIQ($A21, "IQ_EARNING_CO", IQ_LTM-8, $L$2, $L$4, $L$3, $L$5, $L$6)</f>
        <v>-15.581860000000001</v>
      </c>
      <c r="AV21" s="542">
        <f>_xll.ciqfunctions.udf.CIQ($A21, "IQ_EARNING_CO", IQ_LTM-4, $L$2, $L$4, $L$3, $L$5, $L$6)</f>
        <v>-13.44713</v>
      </c>
      <c r="AW21" s="542">
        <f>_xll.ciqfunctions.udf.CIQ($A21, "IQ_EARNING_CO", IQ_LTM, $L$2, $L$4, $L$3, $L$5, $L$6)</f>
        <v>-17.575849999999999</v>
      </c>
      <c r="AX21" s="542">
        <f>_xll.ciqfunctions.udf.CIQ($A21, "IQ_EARNING_CO", $B$2, $L$2, $L$4, $L$3, $L$5, $L$6)</f>
        <v>-13.928850000000001</v>
      </c>
      <c r="AY21" s="542">
        <f>IF(_xll.ciqfunctions.udf.CIQ($A21, "IQ_EARNING_CO", $B$3, $L$2,$L$4, $L$3, $L$5, $L$6)=0,AW21,_xll.ciqfunctions.udf.CIQ($A21, "IQ_EARNING_CO", $B$3, $L$2,$L$4, $L$3, $L$5, $L$6))</f>
        <v>-14.372909999999999</v>
      </c>
      <c r="AZ21" s="542">
        <f>_xll.ciqfunctions.udf.CIQ($A21, "IQ_TOTAL_EQUITY", IQ_LTM-8, $L$2, $L$4, $L$3, $L$5, $L$6)</f>
        <v>9.6831899999999997</v>
      </c>
      <c r="BA21" s="542">
        <f>_xll.ciqfunctions.udf.CIQ($A21, "IQ_TOTAL_EQUITY", IQ_LTM-4, $L$2, $L$4, $L$3, $L$5, $L$6)</f>
        <v>21.486689999999999</v>
      </c>
      <c r="BB21" s="542">
        <f>_xll.ciqfunctions.udf.CIQ($A21, "IQ_TOTAL_EQUITY", IQ_LTM, $L$2, $L$4, $L$3, $L$5, $L$6)</f>
        <v>22.478860000000001</v>
      </c>
      <c r="BC21" s="542">
        <f>_xll.ciqfunctions.udf.CIQ($A21, "IQ_TOTAL_EQUITY", $B$2, $L$2, $L$4, $L$3, $L$5, $L$6)</f>
        <v>19.179040000000001</v>
      </c>
      <c r="BD21" s="542">
        <f>IF(_xll.ciqfunctions.udf.CIQ($A21, "IQ_TOTAL_EQUITY", $B$3, $L$2,$L$4, $L$3, $L$5, $L$6)=0,BB21,_xll.ciqfunctions.udf.CIQ($A21, "IQ_TOTAL_EQUITY", $B$3, $L$2,$L$4, $L$3, $L$5, $L$6))</f>
        <v>25.545339999999999</v>
      </c>
      <c r="BE21" s="542">
        <f>_xll.ciqfunctions.udf.CIQ(A21, "IQ_LASTSALEPRICE", $B$8)</f>
        <v>3.44</v>
      </c>
      <c r="BF21" s="542">
        <f>_xll.ciqfunctions.udf.CIQ($A21, "IQ_MARKETCAP", $B$8, $L$5, $L$6)</f>
        <v>152.11967000000001</v>
      </c>
      <c r="BG21" s="542">
        <f>_xll.ciqfunctions.udf.CIQ($A21, "IQ_TOTAL_DEBT", IQ_LTM, $B$8,$L$4, $L$3, $L$5, $L$6)</f>
        <v>0</v>
      </c>
      <c r="BH21" s="492" t="str">
        <f>_xll.ciqfunctions.udf.CIQ($A21,"IQ_PREF_EQUITY",IQ_LTM,$B$8,$L$4,$L$3,$L$5,$L$6)</f>
        <v>n/a</v>
      </c>
      <c r="BI21" s="492" t="str">
        <f>_xll.ciqfunctions.udf.CIQ($A21, "IQ_MINORITY_INTEREST_TOTAL", IQ_LTM,$B$8,$L$4,$L$3,$L$5,$L$6)</f>
        <v>n/a</v>
      </c>
      <c r="BJ21" s="542">
        <f>_xll.ciqfunctions.udf.CIQ($A21, "IQ_CASH_ST_INVEST", IQ_LTM, $B$8, $L$4, $L$3, $L$5, $L$6)</f>
        <v>27.440259999999999</v>
      </c>
      <c r="BK21" s="492" t="str">
        <f>_xll.ciqfunctions.udf.CIQ($A21, "IQ_EFFECT_TAX_RATE")</f>
        <v>NM</v>
      </c>
      <c r="BL21" s="492" t="e">
        <f>IF(_xll.ciqfunctions.udf.CIQ($A21, "IQ_TOTAL_REV_2YR_ANN_CAGR", IQ_LTM, $B$1,$L$4, $L$3, $L$5, $L$6)="NM","n/a",(_xll.ciqfunctions.udf.CIQ($A21, "IQ_TOTAL_REV_2YR_ANN_CAGR", IQ_LTM, $B$1,$L$4, $L$3, $L$5, $L$6)/100))</f>
        <v>#VALUE!</v>
      </c>
      <c r="BM21" s="492" t="e">
        <f>IF(_xll.ciqfunctions.udf.CIQ($A21, "IQ_TOTAL_REV_3YR_ANN_CAGR", IQ_LTM, $B$1,$L$4, $L$3, $L$5, $L$6)="NM","n/a",(_xll.ciqfunctions.udf.CIQ($A21, "IQ_TOTAL_REV_3YR_ANN_CAGR", IQ_LTM, $B$1,$L$4, $L$3, $L$5, $L$6)/100))</f>
        <v>#VALUE!</v>
      </c>
      <c r="BN21" s="492" t="e">
        <f>IF(_xll.ciqfunctions.udf.CIQ($A21, "IQ_TOTAL_REV_5YR_ANN_CAGR", IQ_LTM, $B$1,$L$4, $L$3, $L$5, $L$6)="NM","n/a",(_xll.ciqfunctions.udf.CIQ($A21, "IQ_TOTAL_REV_5YR_ANN_CAGR", IQ_LTM, $B$1,$L$4, $L$3, $L$5, $L$6)/100))</f>
        <v>#VALUE!</v>
      </c>
      <c r="BO21" s="492" t="e">
        <f>IF(_xll.ciqfunctions.udf.CIQ($A21,"IQ_EBITDA_2YR_ANN_CAGR", IQ_LTM,$B$1,$L$4, $L$3, $L$5, $L$6)="NM","n/a",(_xll.ciqfunctions.udf.CIQ($A21,"IQ_EBITDA_2YR_ANN_CAGR", IQ_LTM,$B$1,$L$4, $L$3, $L$5, $L$6)/100))</f>
        <v>#VALUE!</v>
      </c>
      <c r="BP21" s="492" t="e">
        <f>IF(_xll.ciqfunctions.udf.CIQ($A21,"IQ_EBITDA_3YR_ANN_CAGR", IQ_LTM,$B$1,$L$4, $L$3, $L$5, $L$6)="NM","n/a",(_xll.ciqfunctions.udf.CIQ($A21,"IQ_EBITDA_3YR_ANN_CAGR", IQ_LTM,$B$1,$L$4, $L$3, $L$5, $L$6)/100))</f>
        <v>#VALUE!</v>
      </c>
      <c r="BQ21" s="492" t="e">
        <f>IF(_xll.ciqfunctions.udf.CIQ($A21,"IQ_EBITDA_5YR_ANN_CAGR", IQ_LTM,$B$1,$L$4, $L$3, $L$5, $L$6)="NM","n/a",(_xll.ciqfunctions.udf.CIQ($A21,"IQ_EBITDA_5YR_ANN_CAGR", IQ_LTM,$B$1,$L$4, $L$3, $L$5, $L$6)/100))</f>
        <v>#VALUE!</v>
      </c>
      <c r="BR21" s="496" t="str">
        <f>IFERROR((_xll.ciqfunctions.udf.CIQ($A21, "IQ_DA_CF", IQ_LTM, $B$1, $L$4, $L$3, $L$5, $L$6)/Q21),"NM")</f>
        <v>NM</v>
      </c>
      <c r="BS21" s="546">
        <f>'Capital IQ Sheet-GPC'!BS21</f>
        <v>0.71511852104993068</v>
      </c>
      <c r="BT21" s="546">
        <f>'Capital IQ Sheet-GPC'!BT21</f>
        <v>0.83438376633307754</v>
      </c>
      <c r="BU21" s="546">
        <f>'Capital IQ Sheet-GPC'!BU21</f>
        <v>1.0581745625825705</v>
      </c>
      <c r="BV21" s="546">
        <f>'Capital IQ Sheet-GPC'!BV21</f>
        <v>1.026754180763048</v>
      </c>
      <c r="BW21" s="546">
        <f>'Capital IQ Sheet-GPC'!BW21</f>
        <v>1.0604665387374532</v>
      </c>
      <c r="BX21" s="546">
        <f>'Capital IQ Sheet-GPC'!BX21</f>
        <v>1.0799998283264112</v>
      </c>
      <c r="BY21" s="546">
        <f>'Capital IQ Sheet-GPC'!BY21</f>
        <v>1.100613921225378</v>
      </c>
      <c r="BZ21" s="546">
        <f>'Capital IQ Sheet-GPC'!BZ21</f>
        <v>1.0435777674526621</v>
      </c>
      <c r="CB21" s="492">
        <v>2</v>
      </c>
      <c r="CC21" s="632" t="s">
        <v>253</v>
      </c>
      <c r="CD21" s="632" t="s">
        <v>252</v>
      </c>
      <c r="CE21" s="494">
        <f t="shared" si="0"/>
        <v>42551</v>
      </c>
    </row>
    <row r="22" spans="1:83" s="492" customFormat="1" ht="12.75">
      <c r="A22" s="493" t="str">
        <f>_xll.ciqfunctions.udf.CIQ($B22,"IQ_COMPANY_TICKER")</f>
        <v>AIM:OPTI</v>
      </c>
      <c r="B22" s="541" t="str">
        <f>'Capital IQ Sheet-GPC'!B22</f>
        <v>IQ129358643</v>
      </c>
      <c r="C22" s="493" t="str">
        <f>_xll.ciqfunctions.udf.CIQ($A22,"IQ_COMPANY_NAME")</f>
        <v>OptiBiotix Health plc</v>
      </c>
      <c r="D22" s="493" t="str">
        <f>_xll.ciqfunctions.udf.CIQ($A22, "IQ_EXCHANGE")</f>
        <v>AIM</v>
      </c>
      <c r="E22" s="540">
        <f>_xll.ciqfunctions.udf.CIQ($A22, "IQ_PERIODDATE_IS", IQ_FY)</f>
        <v>43069</v>
      </c>
      <c r="F22" s="540">
        <f>_xll.ciqfunctions.udf.CIQ(A22, "IQ_PERIODDATE_IS", IQ_LTM, $B$1,$L$4,$L$3)</f>
        <v>43069</v>
      </c>
      <c r="G22" s="540">
        <f>_xll.ciqfunctions.udf.CIQ($A22, "IQ_FIRSTPRICINGDATE")</f>
        <v>41856</v>
      </c>
      <c r="H22" s="542">
        <f>_xll.ciqfunctions.udf.CIQ($A22, "IQ_TEV", $L$2, $L$5, $L$6)</f>
        <v>71.269909999999996</v>
      </c>
      <c r="I22" s="542">
        <f>_xll.ciqfunctions.udf.CIQ(A22, "IQ_LASTSALEPRICE", $B$1,$L$5)</f>
        <v>0.86428000000000005</v>
      </c>
      <c r="J22" s="542">
        <f>_xll.ciqfunctions.udf.CIQ($A22, "IQ_MARKETCAP", $L$2, $L$5, $L$6)</f>
        <v>72.915899999999993</v>
      </c>
      <c r="K22" s="542">
        <f>_xll.ciqfunctions.udf.CIQ($A22, "IQ_TOTAL_DEBT", IQ_LTM, $L$2,$L$4, $L$3, $L$5, $L$6)</f>
        <v>0</v>
      </c>
      <c r="L22" s="542" t="str">
        <f>_xll.ciqfunctions.udf.CIQ($A22, "IQ_PREF_EQUITY", IQ_LTM, $L$2, $L$4, $L$3, $L$5, $L$6)</f>
        <v>n/a</v>
      </c>
      <c r="M22" s="542" t="str">
        <f>_xll.ciqfunctions.udf.CIQ($A22, "IQ_MINORITY_INTEREST_TOTAL", IQ_LTM, $L$2, $L$4, $L$3, $L$5, $L$6)</f>
        <v>n/a</v>
      </c>
      <c r="N22" s="542">
        <f>_xll.ciqfunctions.udf.CIQ($A22, "IQ_CASH_ST_INVEST", IQ_LTM, $L$2, $L$4, $L$3, $L$5, $L$6)</f>
        <v>1.6849400000000001</v>
      </c>
      <c r="O22" s="542">
        <f>_xll.ciqfunctions.udf.CIQ($A22, "IQ_TOTAL_REV", IQ_LTM-8, $L$2, $L$4, $L$3, $L$5, $L$6)</f>
        <v>4.2450000000000002E-2</v>
      </c>
      <c r="P22" s="542">
        <f>_xll.ciqfunctions.udf.CIQ($A22, "IQ_TOTAL_REV", IQ_LTM - 4, $L$2, $L$4, $L$3, $L$5,$L$6)</f>
        <v>0.35974</v>
      </c>
      <c r="Q22" s="542">
        <f>_xll.ciqfunctions.udf.CIQ($A22, "IQ_TOTAL_REV", IQ_LTM, $L$2, $L$4, $L$3, $L$5, $L$6)</f>
        <v>0.25808999999999999</v>
      </c>
      <c r="R22" s="542">
        <f>_xll.ciqfunctions.udf.CIQ($A22, "IQ_TOTAL_REV", $B$2, $L$2, $L$4, $L$3, $L$5, $L$6)</f>
        <v>0.35974</v>
      </c>
      <c r="S22" s="542">
        <f>IF(_xll.ciqfunctions.udf.CIQ($A22, "IQ_TOTAL_REV", $B$3, $L$2,$L$4, $L$3, $L$5, $L$6)=0,Q22,_xll.ciqfunctions.udf.CIQ($A22, "IQ_TOTAL_REV", $B$3, $L$2,$L$4, $L$3, $L$5, $L$6))</f>
        <v>0.25808999999999999</v>
      </c>
      <c r="T22" s="542" t="str">
        <f>IF(_xll.ciqfunctions.udf.CIQ($A22, "IQ_REVENUE_EST",$B$4, $L$2, "CON", $L$3, $L$5, $L$6)=0,"n/a",_xll.ciqfunctions.udf.CIQ($A22, "IQ_REVENUE_EST",$B$4, $L$2, "CON", $L$3, $L$5, $L$6))</f>
        <v>n/a</v>
      </c>
      <c r="U22" s="542" t="str">
        <f>IF(_xll.ciqfunctions.udf.CIQ($A22, "IQ_REVENUE_EST",$B$5, $L$2, "CON", $L$3, $L$5, $L$6)=0,"n/a",_xll.ciqfunctions.udf.CIQ($A22, "IQ_REVENUE_EST",$B$5, $L$2, "CON", $L$3, $L$5, $L$6))</f>
        <v>n/a</v>
      </c>
      <c r="V22" s="542" t="str">
        <f>IF(_xll.ciqfunctions.udf.CIQ($A22, "IQ_REVENUE_EST",$B$6, $L$2, "CON", $L$3, $L$5, $L$6)=0,"n/a",_xll.ciqfunctions.udf.CIQ($A22, "IQ_REVENUE_EST",$B$6, $L$2, "CON", $L$3, $L$5, $L$6))</f>
        <v>n/a</v>
      </c>
      <c r="W22" s="542" t="str">
        <f>IF(_xll.ciqfunctions.udf.CIQ($A22, "IQ_REVENUE_EST", $B$7, $L$2, "CON", $L$3, $L$5, $L$6)=0,"n/a",_xll.ciqfunctions.udf.CIQ($A22, "IQ_REVENUE_EST",$B$7, $L$2, "CON", $L$3, $L$5, $L$6))</f>
        <v>n/a</v>
      </c>
      <c r="X22" s="542">
        <f>_xll.ciqfunctions.udf.CIQ($A22, "IQ_EBITDA", IQ_LTM-8, $L$2, $L$4, $L$3, $L$5, $L$6)</f>
        <v>-1.97106</v>
      </c>
      <c r="Y22" s="542">
        <f>_xll.ciqfunctions.udf.CIQ($A22, "IQ_EBITDA", IQ_LTM-4, $L$2,$L$4, $L$3, $L$5, $L$6)</f>
        <v>-1.7505999999999999</v>
      </c>
      <c r="Z22" s="542">
        <f>_xll.ciqfunctions.udf.CIQ($A22, "IQ_EBITDA", IQ_LTM, $L$2, $L$4, $L$3, $L$5, $L$6)</f>
        <v>-2.7107000000000001</v>
      </c>
      <c r="AA22" s="542">
        <f>_xll.ciqfunctions.udf.CIQ($A22, "IQ_EBITDA", $B$2, $L$2, $L$4, $L$3, $L$5, $L$6)</f>
        <v>-1.7505999999999999</v>
      </c>
      <c r="AB22" s="542">
        <f>IF(_xll.ciqfunctions.udf.CIQ($A22, "IQ_EBITDA", $B$3, $L$2,$L$4, $L$3, $L$5, $L$6)=0,Z22,_xll.ciqfunctions.udf.CIQ($A22, "IQ_EBITDA", $B$3, $L$2,$L$4, $L$3, $L$5, $L$6))</f>
        <v>-2.7107000000000001</v>
      </c>
      <c r="AC22" s="542" t="str">
        <f>IF(_xll.ciqfunctions.udf.CIQ($A22, "IQ_EBITDA_EST",$B$4, $L$2, "CON", $L$3, $L$5, $L$6)=0,"n/a",_xll.ciqfunctions.udf.CIQ($A22, "IQ_EBITDA_EST",$B$4, $L$2, "CON", $L$3, $L$5, $L$6))</f>
        <v>n/a</v>
      </c>
      <c r="AD22" s="542" t="str">
        <f>IF(_xll.ciqfunctions.udf.CIQ($A22, "IQ_EBITDA_EST",$B$5, $L$2, "CON", $L$3, $L$5, $L$6)=0,"n/a",_xll.ciqfunctions.udf.CIQ($A22, "IQ_EBITDA_EST",$B$5, $L$2, "CON", $L$3, $L$5, $L$6))</f>
        <v>n/a</v>
      </c>
      <c r="AE22" s="542" t="str">
        <f>IF(_xll.ciqfunctions.udf.CIQ($A22, "IQ_EBITDA_EST",$B$6, $L$2, "CON", $L$3, $L$5, $L$6)=0,"n/a",_xll.ciqfunctions.udf.CIQ($A22, "IQ_EBITDA_EST",$B$6, $L$2, "CON", $L$3, $L$5, $L$6))</f>
        <v>n/a</v>
      </c>
      <c r="AF22" s="543">
        <f>IF(ISERROR(_xll.ciqfunctions.udf.CIQ($A22, "IQ_GROSS_MARGIN", IQ_LTM, $L$2,$L$4, $L$3, $L$5, $L$6)/100), "n/a", _xll.ciqfunctions.udf.CIQ($A22,  "IQ_GROSS_MARGIN", IQ_LTM, $L$2, $L$4, $L$3, $L$5, $L$6)/100)</f>
        <v>-6.1106999999999995E-2</v>
      </c>
      <c r="AG22" s="543" t="str">
        <f>IF(ISERROR(_xll.ciqfunctions.udf.CIQ($A22,"IQ_EBITDA_MARGIN", IQ_LTM, $L$2, $L$4, $L$3, $L$5, $L$6)/100), "n/a", _xll.ciqfunctions.udf.CIQ($A22, "IQ_EBITDA_MARGIN", IQ_LTM, $L$2, $L$4, $L$3, $L$5, $L$6)/100)</f>
        <v>n/a</v>
      </c>
      <c r="AH22" s="543" t="str">
        <f>IF(ISERROR(_xll.ciqfunctions.udf.CIQ($A22,"IQ_EBIT_MARGIN", IQ_LTM, $L$2, $L$4, $L$3, $L$5, $L$6)/100), "n/a", _xll.ciqfunctions.udf.CIQ($A22, "IQ_EBIT_MARGIN", IQ_LTM, $L$2, $L$4, $L$3, $L$5, $L$6)/100)</f>
        <v>n/a</v>
      </c>
      <c r="AI22" s="543">
        <f>IF(ISERROR(_xll.ciqfunctions.udf.CIQ($A22,"IQ_NI_MARGIN", IQ_LTM, $L$2, $L$4, $L$3, $L$5, $L$6)/100), "n/a", _xll.ciqfunctions.udf.CIQ($A22, "IQ_NI_MARGIN", IQ_LTM, $L$2, $L$4, $L$3, $L$5, $L$6)/100)</f>
        <v>9.982785999999999</v>
      </c>
      <c r="AJ22" s="542">
        <f>IF(ISERROR(_xll.ciqfunctions.udf.CIQ($A22, "IQ_NET_WORKING_CAP", IQ_LTM-8, $L$2, $L$4, $L$3, $L$5, $L$6)), "n/a", _xll.ciqfunctions.udf.CIQ($A22, "IQ_NET_WORKING_CAP", IQ_LTM-8, $L$2, $L$4, $L$3, $L$5, $L$6))</f>
        <v>8.5459999999999994E-2</v>
      </c>
      <c r="AK22" s="542">
        <f>IF(ISERROR(_xll.ciqfunctions.udf.CIQ($A22, "IQ_NET_WORKING_CAP", IQ_LTM-4, $L$2, $L$4, $L$3, $L$5, $L$6)), "n/a", _xll.ciqfunctions.udf.CIQ($A22, "IQ_NET_WORKING_CAP", IQ_LTM-4, $L$2, $L$4, $L$3, $L$5, $L$6))</f>
        <v>0.10868999999999999</v>
      </c>
      <c r="AL22" s="542">
        <f>IF(ISERROR(_xll.ciqfunctions.udf.CIQ($A22, "IQ_NET_WORKING_CAP", IQ_LTM, $L$2,$L$4, $L$3, $L$5, $L$6)), "n/a", _xll.ciqfunctions.udf.CIQ($A22, "IQ_NET_WORKING_CAP", IQ_LTM, $L$2, $L$4, $L$3, $L$5, $L$6))</f>
        <v>8.0460000000000004E-2</v>
      </c>
      <c r="AM22" s="542">
        <f>IF(ISERROR(_xll.ciqfunctions.udf.CIQ($A22, "IQ_Capex", IQ_LTM-8, $L$2,$L$4, $L$3, $L$5, $L$6)), "n/a", _xll.ciqfunctions.udf.CIQ($A22, "IQ_Capex", IQ_LTM-8, $L$2, $L$4, $L$3, $L$5, $L$6))</f>
        <v>-2.96E-3</v>
      </c>
      <c r="AN22" s="542">
        <f>IF(ISERROR(_xll.ciqfunctions.udf.CIQ($A22, "IQ_Capex", IQ_LTM-4, $L$2,$L$4, $L$3, $L$5, $L$6)), "n/a", _xll.ciqfunctions.udf.CIQ($A22, "IQ_Capex", IQ_LTM-4, $L$2,$L$4, $L$3, $L$5, $L$6))</f>
        <v>-1.3169999999999999E-2</v>
      </c>
      <c r="AO22" s="542">
        <f>IF(ISERROR(_xll.ciqfunctions.udf.CIQ($A22, "IQ_Capex", IQ_LTM, $L$2, $L$4, $L$3, $L$5, $L$6)), "n/a", _xll.ciqfunctions.udf.CIQ($A22, "IQ_Capex", IQ_LTM, $L$2, $L$4, $L$3, $L$5, $L$6))</f>
        <v>-2.4399999999999999E-3</v>
      </c>
      <c r="AP22" s="544" t="str">
        <f>_xll.ciqfunctions.udf.CIQ(A22, "IQ_BUSINESS_DESCRIPTION")</f>
        <v>Optibiotix Health Plc, a life sciences company, engages in the research and development of microbiome modulators primarily in the United Kingdom. The company is developing microbial strains, compounds, and formulations, which modulates the human microbiome and impacts lipid and cholesterol management, energy harvest, and appetite suppression activities. Its products include Slimbiome, a natural ingredient, which supports scientifically substantiated weight loss claims; CholBiome, a food supplement that combines natural ingredients and maintains healthy cholesterol levels from within; CardioBiome, a non-pharmaceutical approach for the maintenance of cardiovascular and heart health; and Sweetbiotix, a sweet calorie free natural healthy sugar. Optibiotix Health Plc was founded in 2012 and is based in York, the United Kingdom.</v>
      </c>
      <c r="AQ22" s="545">
        <f>_xll.ciqfunctions.udf.CIQ($A22, "IQ_BETA_1YR", $B$1)</f>
        <v>1.1296900000000001</v>
      </c>
      <c r="AR22" s="545">
        <f>_xll.ciqfunctions.udf.CIQ($A22, "IQ_BETA_2YR", $B$1)</f>
        <v>0.53061000000000003</v>
      </c>
      <c r="AS22" s="545">
        <f>_xll.ciqfunctions.udf.CIQ($A22, "IQ_BETA_5YR", $B$1)</f>
        <v>1.1851</v>
      </c>
      <c r="AT22" s="543" t="e">
        <f>_xll.ciqfunctions.udf.CIQ($A22, "IQ_DIVIDEND_YIELD", $B$1)/100</f>
        <v>#VALUE!</v>
      </c>
      <c r="AU22" s="542">
        <f>_xll.ciqfunctions.udf.CIQ($A22, "IQ_EARNING_CO", IQ_LTM-8, $L$2, $L$4, $L$3, $L$5, $L$6)</f>
        <v>-1.92764</v>
      </c>
      <c r="AV22" s="542">
        <f>_xll.ciqfunctions.udf.CIQ($A22, "IQ_EARNING_CO", IQ_LTM-4, $L$2, $L$4, $L$3, $L$5, $L$6)</f>
        <v>-1.67452</v>
      </c>
      <c r="AW22" s="542">
        <f>_xll.ciqfunctions.udf.CIQ($A22, "IQ_EARNING_CO", IQ_LTM, $L$2, $L$4, $L$3, $L$5, $L$6)</f>
        <v>2.59022</v>
      </c>
      <c r="AX22" s="542">
        <f>_xll.ciqfunctions.udf.CIQ($A22, "IQ_EARNING_CO", $B$2, $L$2, $L$4, $L$3, $L$5, $L$6)</f>
        <v>-1.67452</v>
      </c>
      <c r="AY22" s="542">
        <f>IF(_xll.ciqfunctions.udf.CIQ($A22, "IQ_EARNING_CO", $B$3, $L$2,$L$4, $L$3, $L$5, $L$6)=0,AW22,_xll.ciqfunctions.udf.CIQ($A22, "IQ_EARNING_CO", $B$3, $L$2,$L$4, $L$3, $L$5, $L$6))</f>
        <v>2.59022</v>
      </c>
      <c r="AZ22" s="542">
        <f>_xll.ciqfunctions.udf.CIQ($A22, "IQ_TOTAL_EQUITY", IQ_LTM-8, $L$2, $L$4, $L$3, $L$5, $L$6)</f>
        <v>5.7451600000000003</v>
      </c>
      <c r="BA22" s="542">
        <f>_xll.ciqfunctions.udf.CIQ($A22, "IQ_TOTAL_EQUITY", IQ_LTM-4, $L$2, $L$4, $L$3, $L$5, $L$6)</f>
        <v>6.2468899999999996</v>
      </c>
      <c r="BB22" s="542">
        <f>_xll.ciqfunctions.udf.CIQ($A22, "IQ_TOTAL_EQUITY", IQ_LTM, $L$2, $L$4, $L$3, $L$5, $L$6)</f>
        <v>9.5168700000000008</v>
      </c>
      <c r="BC22" s="542">
        <f>_xll.ciqfunctions.udf.CIQ($A22, "IQ_TOTAL_EQUITY", $B$2, $L$2, $L$4, $L$3, $L$5, $L$6)</f>
        <v>6.2468899999999996</v>
      </c>
      <c r="BD22" s="542">
        <f>IF(_xll.ciqfunctions.udf.CIQ($A22, "IQ_TOTAL_EQUITY", $B$3, $L$2,$L$4, $L$3, $L$5, $L$6)=0,BB22,_xll.ciqfunctions.udf.CIQ($A22, "IQ_TOTAL_EQUITY", $B$3, $L$2,$L$4, $L$3, $L$5, $L$6))</f>
        <v>9.5168700000000008</v>
      </c>
      <c r="BE22" s="542">
        <f>_xll.ciqfunctions.udf.CIQ(A22, "IQ_LASTSALEPRICE", $B$8)</f>
        <v>0.90871000000000002</v>
      </c>
      <c r="BF22" s="542">
        <f>_xll.ciqfunctions.udf.CIQ($A22, "IQ_MARKETCAP", $B$8, $L$5, $L$6)</f>
        <v>72.089269999999999</v>
      </c>
      <c r="BG22" s="542">
        <f>_xll.ciqfunctions.udf.CIQ($A22, "IQ_TOTAL_DEBT", IQ_LTM, $B$8,$L$4, $L$3, $L$5, $L$6)</f>
        <v>0</v>
      </c>
      <c r="BH22" s="492" t="str">
        <f>_xll.ciqfunctions.udf.CIQ($A22,"IQ_PREF_EQUITY",IQ_LTM,$B$8,$L$4,$L$3,$L$5,$L$6)</f>
        <v>n/a</v>
      </c>
      <c r="BI22" s="492">
        <f>_xll.ciqfunctions.udf.CIQ($A22, "IQ_MINORITY_INTEREST_TOTAL", IQ_LTM,$B$8,$L$4,$L$3,$L$5,$L$6)</f>
        <v>-0.10929999999999999</v>
      </c>
      <c r="BJ22" s="542">
        <f>_xll.ciqfunctions.udf.CIQ($A22, "IQ_CASH_ST_INVEST", IQ_LTM, $B$8, $L$4, $L$3, $L$5, $L$6)</f>
        <v>2.4820199999999999</v>
      </c>
      <c r="BK22" s="492" t="str">
        <f>_xll.ciqfunctions.udf.CIQ($A22, "IQ_EFFECT_TAX_RATE")</f>
        <v>NM</v>
      </c>
      <c r="BL22" s="492">
        <f>IF(_xll.ciqfunctions.udf.CIQ($A22, "IQ_TOTAL_REV_2YR_ANN_CAGR", IQ_LTM, $B$1,$L$4, $L$3, $L$5, $L$6)="NM","n/a",(_xll.ciqfunctions.udf.CIQ($A22, "IQ_TOTAL_REV_2YR_ANN_CAGR", IQ_LTM, $B$1,$L$4, $L$3, $L$5, $L$6)/100))</f>
        <v>1.6030059999999999</v>
      </c>
      <c r="BM22" s="492" t="e">
        <f>IF(_xll.ciqfunctions.udf.CIQ($A22, "IQ_TOTAL_REV_3YR_ANN_CAGR", IQ_LTM, $B$1,$L$4, $L$3, $L$5, $L$6)="NM","n/a",(_xll.ciqfunctions.udf.CIQ($A22, "IQ_TOTAL_REV_3YR_ANN_CAGR", IQ_LTM, $B$1,$L$4, $L$3, $L$5, $L$6)/100))</f>
        <v>#VALUE!</v>
      </c>
      <c r="BN22" s="492" t="e">
        <f>IF(_xll.ciqfunctions.udf.CIQ($A22, "IQ_TOTAL_REV_5YR_ANN_CAGR", IQ_LTM, $B$1,$L$4, $L$3, $L$5, $L$6)="NM","n/a",(_xll.ciqfunctions.udf.CIQ($A22, "IQ_TOTAL_REV_5YR_ANN_CAGR", IQ_LTM, $B$1,$L$4, $L$3, $L$5, $L$6)/100))</f>
        <v>#VALUE!</v>
      </c>
      <c r="BO22" s="492" t="str">
        <f>IF(_xll.ciqfunctions.udf.CIQ($A22,"IQ_EBITDA_2YR_ANN_CAGR", IQ_LTM,$B$1,$L$4, $L$3, $L$5, $L$6)="NM","n/a",(_xll.ciqfunctions.udf.CIQ($A22,"IQ_EBITDA_2YR_ANN_CAGR", IQ_LTM,$B$1,$L$4, $L$3, $L$5, $L$6)/100))</f>
        <v>n/a</v>
      </c>
      <c r="BP22" s="492" t="str">
        <f>IF(_xll.ciqfunctions.udf.CIQ($A22,"IQ_EBITDA_3YR_ANN_CAGR", IQ_LTM,$B$1,$L$4, $L$3, $L$5, $L$6)="NM","n/a",(_xll.ciqfunctions.udf.CIQ($A22,"IQ_EBITDA_3YR_ANN_CAGR", IQ_LTM,$B$1,$L$4, $L$3, $L$5, $L$6)/100))</f>
        <v>n/a</v>
      </c>
      <c r="BQ22" s="492" t="e">
        <f>IF(_xll.ciqfunctions.udf.CIQ($A22,"IQ_EBITDA_5YR_ANN_CAGR", IQ_LTM,$B$1,$L$4, $L$3, $L$5, $L$6)="NM","n/a",(_xll.ciqfunctions.udf.CIQ($A22,"IQ_EBITDA_5YR_ANN_CAGR", IQ_LTM,$B$1,$L$4, $L$3, $L$5, $L$6)/100))</f>
        <v>#VALUE!</v>
      </c>
      <c r="BR22" s="496">
        <f>IFERROR((_xll.ciqfunctions.udf.CIQ($A22, "IQ_DA_CF", IQ_LTM, $B$1, $L$4, $L$3, $L$5, $L$6)/Q22),"NM")</f>
        <v>0.62784300050370023</v>
      </c>
      <c r="BS22" s="546">
        <f>'Capital IQ Sheet-GPC'!BS22</f>
        <v>0.41030129325483672</v>
      </c>
      <c r="BT22" s="546">
        <f>'Capital IQ Sheet-GPC'!BT22</f>
        <v>0.42567453868013866</v>
      </c>
      <c r="BU22" s="546">
        <f>'Capital IQ Sheet-GPC'!BU22</f>
        <v>0.52958074472522787</v>
      </c>
      <c r="BV22" s="546">
        <f>'Capital IQ Sheet-GPC'!BV22</f>
        <v>0.57731598641262194</v>
      </c>
      <c r="BW22" s="546" t="str">
        <f>'Capital IQ Sheet-GPC'!BW22</f>
        <v>n/a</v>
      </c>
      <c r="BX22" s="546" t="str">
        <f>'Capital IQ Sheet-GPC'!BX22</f>
        <v>n/a</v>
      </c>
      <c r="BY22" s="546" t="str">
        <f>'Capital IQ Sheet-GPC'!BY22</f>
        <v>n/a</v>
      </c>
      <c r="BZ22" s="546" t="str">
        <f>'Capital IQ Sheet-GPC'!BZ22</f>
        <v>n/a</v>
      </c>
      <c r="CB22" s="492">
        <v>2</v>
      </c>
      <c r="CC22" s="632" t="s">
        <v>253</v>
      </c>
      <c r="CD22" s="632" t="s">
        <v>252</v>
      </c>
      <c r="CE22" s="494">
        <f t="shared" si="0"/>
        <v>42551</v>
      </c>
    </row>
    <row r="23" spans="1:83" s="492" customFormat="1" ht="12.75">
      <c r="A23" s="493" t="str">
        <f>_xll.ciqfunctions.udf.CIQ($B23,"IQ_COMPANY_TICKER")</f>
        <v>NasdaqCM:SLNO</v>
      </c>
      <c r="B23" s="541" t="str">
        <f>'Capital IQ Sheet-GPC'!B23</f>
        <v>IQ2520553</v>
      </c>
      <c r="C23" s="493" t="str">
        <f>_xll.ciqfunctions.udf.CIQ($A23,"IQ_COMPANY_NAME")</f>
        <v>Soleno Therapeutics, Inc.</v>
      </c>
      <c r="D23" s="493" t="str">
        <f>_xll.ciqfunctions.udf.CIQ($A23, "IQ_EXCHANGE")</f>
        <v>NasdaqCM</v>
      </c>
      <c r="E23" s="540">
        <f>_xll.ciqfunctions.udf.CIQ($A23, "IQ_PERIODDATE_IS", IQ_FY)</f>
        <v>43100</v>
      </c>
      <c r="F23" s="540">
        <f>_xll.ciqfunctions.udf.CIQ(A23, "IQ_PERIODDATE_IS", IQ_LTM, $B$1,$L$4,$L$3)</f>
        <v>43190</v>
      </c>
      <c r="G23" s="540">
        <f>_xll.ciqfunctions.udf.CIQ($A23, "IQ_FIRSTPRICINGDATE")</f>
        <v>41957</v>
      </c>
      <c r="H23" s="542">
        <f>_xll.ciqfunctions.udf.CIQ($A23, "IQ_TEV", $L$2, $L$5, $L$6)</f>
        <v>31.391999999999999</v>
      </c>
      <c r="I23" s="542">
        <f>_xll.ciqfunctions.udf.CIQ(A23, "IQ_LASTSALEPRICE", $B$1,$L$5)</f>
        <v>2.34</v>
      </c>
      <c r="J23" s="542">
        <f>_xll.ciqfunctions.udf.CIQ($A23, "IQ_MARKETCAP", $L$2, $L$5, $L$6)</f>
        <v>46.258000000000003</v>
      </c>
      <c r="K23" s="542">
        <f>_xll.ciqfunctions.udf.CIQ($A23, "IQ_TOTAL_DEBT", IQ_LTM, $L$2,$L$4, $L$3, $L$5, $L$6)</f>
        <v>0</v>
      </c>
      <c r="L23" s="542" t="str">
        <f>_xll.ciqfunctions.udf.CIQ($A23, "IQ_PREF_EQUITY", IQ_LTM, $L$2, $L$4, $L$3, $L$5, $L$6)</f>
        <v>n/a</v>
      </c>
      <c r="M23" s="542" t="str">
        <f>_xll.ciqfunctions.udf.CIQ($A23, "IQ_MINORITY_INTEREST_TOTAL", IQ_LTM, $L$2, $L$4, $L$3, $L$5, $L$6)</f>
        <v>n/a</v>
      </c>
      <c r="N23" s="542">
        <f>_xll.ciqfunctions.udf.CIQ($A23, "IQ_CASH_ST_INVEST", IQ_LTM, $L$2, $L$4, $L$3, $L$5, $L$6)</f>
        <v>14.866</v>
      </c>
      <c r="O23" s="542">
        <f>_xll.ciqfunctions.udf.CIQ($A23, "IQ_TOTAL_REV", IQ_LTM-8, $L$2, $L$4, $L$3, $L$5, $L$6)</f>
        <v>1.03247</v>
      </c>
      <c r="P23" s="542">
        <f>_xll.ciqfunctions.udf.CIQ($A23, "IQ_TOTAL_REV", IQ_LTM - 4, $L$2, $L$4, $L$3, $L$5,$L$6)</f>
        <v>-0.44700000000000001</v>
      </c>
      <c r="Q23" s="542" t="str">
        <f>_xll.ciqfunctions.udf.CIQ($A23, "IQ_TOTAL_REV", IQ_LTM, $L$2, $L$4, $L$3, $L$5, $L$6)</f>
        <v>n/a</v>
      </c>
      <c r="R23" s="542" t="str">
        <f>_xll.ciqfunctions.udf.CIQ($A23, "IQ_TOTAL_REV", $B$2, $L$2, $L$4, $L$3, $L$5, $L$6)</f>
        <v>n/a</v>
      </c>
      <c r="S23" s="542" t="str">
        <f>IF(_xll.ciqfunctions.udf.CIQ($A23, "IQ_TOTAL_REV", $B$3, $L$2,$L$4, $L$3, $L$5, $L$6)=0,Q23,_xll.ciqfunctions.udf.CIQ($A23, "IQ_TOTAL_REV", $B$3, $L$2,$L$4, $L$3, $L$5, $L$6))</f>
        <v>n/a</v>
      </c>
      <c r="T23" s="542">
        <f>IF(_xll.ciqfunctions.udf.CIQ($A23, "IQ_REVENUE_EST",$B$4, $L$2, "CON", $L$3, $L$5, $L$6)=0,"n/a",_xll.ciqfunctions.udf.CIQ($A23, "IQ_REVENUE_EST",$B$4, $L$2, "CON", $L$3, $L$5, $L$6))</f>
        <v>0.2225</v>
      </c>
      <c r="U23" s="542">
        <f>IF(_xll.ciqfunctions.udf.CIQ($A23, "IQ_REVENUE_EST",$B$5, $L$2, "CON", $L$3, $L$5, $L$6)=0,"n/a",_xll.ciqfunctions.udf.CIQ($A23, "IQ_REVENUE_EST",$B$5, $L$2, "CON", $L$3, $L$5, $L$6))</f>
        <v>0.75</v>
      </c>
      <c r="V23" s="542">
        <f>IF(_xll.ciqfunctions.udf.CIQ($A23, "IQ_REVENUE_EST",$B$6, $L$2, "CON", $L$3, $L$5, $L$6)=0,"n/a",_xll.ciqfunctions.udf.CIQ($A23, "IQ_REVENUE_EST",$B$6, $L$2, "CON", $L$3, $L$5, $L$6))</f>
        <v>1.25</v>
      </c>
      <c r="W23" s="542">
        <f>IF(_xll.ciqfunctions.udf.CIQ($A23, "IQ_REVENUE_EST", $B$7, $L$2, "CON", $L$3, $L$5, $L$6)=0,"n/a",_xll.ciqfunctions.udf.CIQ($A23, "IQ_REVENUE_EST",$B$7, $L$2, "CON", $L$3, $L$5, $L$6))</f>
        <v>20.21</v>
      </c>
      <c r="X23" s="542">
        <f>_xll.ciqfunctions.udf.CIQ($A23, "IQ_EBITDA", IQ_LTM-8, $L$2, $L$4, $L$3, $L$5, $L$6)</f>
        <v>-13.883520000000001</v>
      </c>
      <c r="Y23" s="542">
        <f>_xll.ciqfunctions.udf.CIQ($A23, "IQ_EBITDA", IQ_LTM-4, $L$2,$L$4, $L$3, $L$5, $L$6)</f>
        <v>-5.1414499999999999</v>
      </c>
      <c r="Z23" s="542">
        <f>_xll.ciqfunctions.udf.CIQ($A23, "IQ_EBITDA", IQ_LTM, $L$2, $L$4, $L$3, $L$5, $L$6)</f>
        <v>-9.3688500000000001</v>
      </c>
      <c r="AA23" s="542">
        <f>_xll.ciqfunctions.udf.CIQ($A23, "IQ_EBITDA", $B$2, $L$2, $L$4, $L$3, $L$5, $L$6)</f>
        <v>-8.1304499999999997</v>
      </c>
      <c r="AB23" s="542">
        <f>IF(_xll.ciqfunctions.udf.CIQ($A23, "IQ_EBITDA", $B$3, $L$2,$L$4, $L$3, $L$5, $L$6)=0,Z23,_xll.ciqfunctions.udf.CIQ($A23, "IQ_EBITDA", $B$3, $L$2,$L$4, $L$3, $L$5, $L$6))</f>
        <v>-8.06785</v>
      </c>
      <c r="AC23" s="542" t="str">
        <f>IF(_xll.ciqfunctions.udf.CIQ($A23, "IQ_EBITDA_EST",$B$4, $L$2, "CON", $L$3, $L$5, $L$6)=0,"n/a",_xll.ciqfunctions.udf.CIQ($A23, "IQ_EBITDA_EST",$B$4, $L$2, "CON", $L$3, $L$5, $L$6))</f>
        <v>n/a</v>
      </c>
      <c r="AD23" s="542" t="str">
        <f>IF(_xll.ciqfunctions.udf.CIQ($A23, "IQ_EBITDA_EST",$B$5, $L$2, "CON", $L$3, $L$5, $L$6)=0,"n/a",_xll.ciqfunctions.udf.CIQ($A23, "IQ_EBITDA_EST",$B$5, $L$2, "CON", $L$3, $L$5, $L$6))</f>
        <v>n/a</v>
      </c>
      <c r="AE23" s="542" t="str">
        <f>IF(_xll.ciqfunctions.udf.CIQ($A23, "IQ_EBITDA_EST",$B$6, $L$2, "CON", $L$3, $L$5, $L$6)=0,"n/a",_xll.ciqfunctions.udf.CIQ($A23, "IQ_EBITDA_EST",$B$6, $L$2, "CON", $L$3, $L$5, $L$6))</f>
        <v>n/a</v>
      </c>
      <c r="AF23" s="543" t="str">
        <f>IF(ISERROR(_xll.ciqfunctions.udf.CIQ($A23, "IQ_GROSS_MARGIN", IQ_LTM, $L$2,$L$4, $L$3, $L$5, $L$6)/100), "n/a", _xll.ciqfunctions.udf.CIQ($A23,  "IQ_GROSS_MARGIN", IQ_LTM, $L$2, $L$4, $L$3, $L$5, $L$6)/100)</f>
        <v>n/a</v>
      </c>
      <c r="AG23" s="543" t="str">
        <f>IF(ISERROR(_xll.ciqfunctions.udf.CIQ($A23,"IQ_EBITDA_MARGIN", IQ_LTM, $L$2, $L$4, $L$3, $L$5, $L$6)/100), "n/a", _xll.ciqfunctions.udf.CIQ($A23, "IQ_EBITDA_MARGIN", IQ_LTM, $L$2, $L$4, $L$3, $L$5, $L$6)/100)</f>
        <v>n/a</v>
      </c>
      <c r="AH23" s="543" t="str">
        <f>IF(ISERROR(_xll.ciqfunctions.udf.CIQ($A23,"IQ_EBIT_MARGIN", IQ_LTM, $L$2, $L$4, $L$3, $L$5, $L$6)/100), "n/a", _xll.ciqfunctions.udf.CIQ($A23, "IQ_EBIT_MARGIN", IQ_LTM, $L$2, $L$4, $L$3, $L$5, $L$6)/100)</f>
        <v>n/a</v>
      </c>
      <c r="AI23" s="543" t="str">
        <f>IF(ISERROR(_xll.ciqfunctions.udf.CIQ($A23,"IQ_NI_MARGIN", IQ_LTM, $L$2, $L$4, $L$3, $L$5, $L$6)/100), "n/a", _xll.ciqfunctions.udf.CIQ($A23, "IQ_NI_MARGIN", IQ_LTM, $L$2, $L$4, $L$3, $L$5, $L$6)/100)</f>
        <v>n/a</v>
      </c>
      <c r="AJ23" s="542">
        <f>IF(ISERROR(_xll.ciqfunctions.udf.CIQ($A23, "IQ_NET_WORKING_CAP", IQ_LTM-8, $L$2, $L$4, $L$3, $L$5, $L$6)), "n/a", _xll.ciqfunctions.udf.CIQ($A23, "IQ_NET_WORKING_CAP", IQ_LTM-8, $L$2, $L$4, $L$3, $L$5, $L$6))</f>
        <v>-1.488</v>
      </c>
      <c r="AK23" s="542">
        <f>IF(ISERROR(_xll.ciqfunctions.udf.CIQ($A23, "IQ_NET_WORKING_CAP", IQ_LTM-4, $L$2, $L$4, $L$3, $L$5, $L$6)), "n/a", _xll.ciqfunctions.udf.CIQ($A23, "IQ_NET_WORKING_CAP", IQ_LTM-4, $L$2, $L$4, $L$3, $L$5, $L$6))</f>
        <v>-0.91100000000000003</v>
      </c>
      <c r="AL23" s="542">
        <f>IF(ISERROR(_xll.ciqfunctions.udf.CIQ($A23, "IQ_NET_WORKING_CAP", IQ_LTM, $L$2,$L$4, $L$3, $L$5, $L$6)), "n/a", _xll.ciqfunctions.udf.CIQ($A23, "IQ_NET_WORKING_CAP", IQ_LTM, $L$2, $L$4, $L$3, $L$5, $L$6))</f>
        <v>-1</v>
      </c>
      <c r="AM23" s="542">
        <f>IF(ISERROR(_xll.ciqfunctions.udf.CIQ($A23, "IQ_Capex", IQ_LTM-8, $L$2,$L$4, $L$3, $L$5, $L$6)), "n/a", _xll.ciqfunctions.udf.CIQ($A23, "IQ_Capex", IQ_LTM-8, $L$2, $L$4, $L$3, $L$5, $L$6))</f>
        <v>-7.3779999999999998E-2</v>
      </c>
      <c r="AN23" s="542">
        <f>IF(ISERROR(_xll.ciqfunctions.udf.CIQ($A23, "IQ_Capex", IQ_LTM-4, $L$2,$L$4, $L$3, $L$5, $L$6)), "n/a", _xll.ciqfunctions.udf.CIQ($A23, "IQ_Capex", IQ_LTM-4, $L$2,$L$4, $L$3, $L$5, $L$6))</f>
        <v>4.2100000000000002E-3</v>
      </c>
      <c r="AO23" s="542">
        <f>IF(ISERROR(_xll.ciqfunctions.udf.CIQ($A23, "IQ_Capex", IQ_LTM, $L$2, $L$4, $L$3, $L$5, $L$6)), "n/a", _xll.ciqfunctions.udf.CIQ($A23, "IQ_Capex", IQ_LTM, $L$2, $L$4, $L$3, $L$5, $L$6))</f>
        <v>-2.5699999999999998E-3</v>
      </c>
      <c r="AP23" s="544" t="str">
        <f>_xll.ciqfunctions.udf.CIQ(A23, "IQ_BUSINESS_DESCRIPTION")</f>
        <v>Soleno Therapeutics, Inc. focuses on the development and commercialization of novel therapeutics for the treatment of rare diseases. Its lead candidate, diazoxide choline controlled-release (DCCR), a tablet for the treatment of Prader-Willi Syndrome (PWS), is entering into late-stage clinical development. The company was formerly known as Capnia, Inc. and changed its name to Soleno Therapeutics, Inc. in May 2017. Soleno Therapeutics, Inc. was founded in 1999 and is based in Redwood City, California.</v>
      </c>
      <c r="AQ23" s="545">
        <f>_xll.ciqfunctions.udf.CIQ($A23, "IQ_BETA_1YR", $B$1)</f>
        <v>0.28597</v>
      </c>
      <c r="AR23" s="545">
        <f>_xll.ciqfunctions.udf.CIQ($A23, "IQ_BETA_2YR", $B$1)</f>
        <v>1.2109999999999999E-2</v>
      </c>
      <c r="AS23" s="545">
        <f>_xll.ciqfunctions.udf.CIQ($A23, "IQ_BETA_5YR", $B$1)</f>
        <v>5.0160799999999997</v>
      </c>
      <c r="AT23" s="543" t="e">
        <f>_xll.ciqfunctions.udf.CIQ($A23, "IQ_DIVIDEND_YIELD", $B$1)/100</f>
        <v>#VALUE!</v>
      </c>
      <c r="AU23" s="542">
        <f>_xll.ciqfunctions.udf.CIQ($A23, "IQ_EARNING_CO", IQ_LTM-8, $L$2, $L$4, $L$3, $L$5, $L$6)</f>
        <v>-7.4465500000000002</v>
      </c>
      <c r="AV23" s="542">
        <f>_xll.ciqfunctions.udf.CIQ($A23, "IQ_EARNING_CO", IQ_LTM-4, $L$2, $L$4, $L$3, $L$5, $L$6)</f>
        <v>-5.5936199999999996</v>
      </c>
      <c r="AW23" s="542">
        <f>_xll.ciqfunctions.udf.CIQ($A23, "IQ_EARNING_CO", IQ_LTM, $L$2, $L$4, $L$3, $L$5, $L$6)</f>
        <v>-13.26985</v>
      </c>
      <c r="AX23" s="542">
        <f>_xll.ciqfunctions.udf.CIQ($A23, "IQ_EARNING_CO", $B$2, $L$2, $L$4, $L$3, $L$5, $L$6)</f>
        <v>-6.7376199999999997</v>
      </c>
      <c r="AY23" s="542">
        <f>IF(_xll.ciqfunctions.udf.CIQ($A23, "IQ_EARNING_CO", $B$3, $L$2,$L$4, $L$3, $L$5, $L$6)=0,AW23,_xll.ciqfunctions.udf.CIQ($A23, "IQ_EARNING_CO", $B$3, $L$2,$L$4, $L$3, $L$5, $L$6))</f>
        <v>-12.07385</v>
      </c>
      <c r="AZ23" s="542">
        <f>_xll.ciqfunctions.udf.CIQ($A23, "IQ_TOTAL_EQUITY", IQ_LTM-8, $L$2, $L$4, $L$3, $L$5, $L$6)</f>
        <v>5.8339999999999996</v>
      </c>
      <c r="BA23" s="542">
        <f>_xll.ciqfunctions.udf.CIQ($A23, "IQ_TOTAL_EQUITY", IQ_LTM-4, $L$2, $L$4, $L$3, $L$5, $L$6)</f>
        <v>30.143999999999998</v>
      </c>
      <c r="BB23" s="542">
        <f>_xll.ciqfunctions.udf.CIQ($A23, "IQ_TOTAL_EQUITY", IQ_LTM, $L$2, $L$4, $L$3, $L$5, $L$6)</f>
        <v>23.018999999999998</v>
      </c>
      <c r="BC23" s="542">
        <f>_xll.ciqfunctions.udf.CIQ($A23, "IQ_TOTAL_EQUITY", $B$2, $L$2, $L$4, $L$3, $L$5, $L$6)</f>
        <v>3.4352</v>
      </c>
      <c r="BD23" s="542">
        <f>IF(_xll.ciqfunctions.udf.CIQ($A23, "IQ_TOTAL_EQUITY", $B$3, $L$2,$L$4, $L$3, $L$5, $L$6)=0,BB23,_xll.ciqfunctions.udf.CIQ($A23, "IQ_TOTAL_EQUITY", $B$3, $L$2,$L$4, $L$3, $L$5, $L$6))</f>
        <v>26.53491</v>
      </c>
      <c r="BE23" s="542">
        <f>_xll.ciqfunctions.udf.CIQ(A23, "IQ_LASTSALEPRICE", $B$8)</f>
        <v>1.87</v>
      </c>
      <c r="BF23" s="542">
        <f>_xll.ciqfunctions.udf.CIQ($A23, "IQ_MARKETCAP", $B$8, $L$5, $L$6)</f>
        <v>34.863109999999999</v>
      </c>
      <c r="BG23" s="542">
        <f>_xll.ciqfunctions.udf.CIQ($A23, "IQ_TOTAL_DEBT", IQ_LTM, $B$8,$L$4, $L$3, $L$5, $L$6)</f>
        <v>0</v>
      </c>
      <c r="BH23" s="492" t="str">
        <f>_xll.ciqfunctions.udf.CIQ($A23,"IQ_PREF_EQUITY",IQ_LTM,$B$8,$L$4,$L$3,$L$5,$L$6)</f>
        <v>n/a</v>
      </c>
      <c r="BI23" s="492" t="str">
        <f>_xll.ciqfunctions.udf.CIQ($A23, "IQ_MINORITY_INTEREST_TOTAL", IQ_LTM,$B$8,$L$4,$L$3,$L$5,$L$6)</f>
        <v>n/a</v>
      </c>
      <c r="BJ23" s="542">
        <f>_xll.ciqfunctions.udf.CIQ($A23, "IQ_CASH_ST_INVEST", IQ_LTM, $B$8, $L$4, $L$3, $L$5, $L$6)</f>
        <v>5.6470000000000002</v>
      </c>
      <c r="BK23" s="492" t="str">
        <f>_xll.ciqfunctions.udf.CIQ($A23, "IQ_EFFECT_TAX_RATE")</f>
        <v>NM</v>
      </c>
      <c r="BL23" s="492" t="e">
        <f>IF(_xll.ciqfunctions.udf.CIQ($A23, "IQ_TOTAL_REV_2YR_ANN_CAGR", IQ_LTM, $B$1,$L$4, $L$3, $L$5, $L$6)="NM","n/a",(_xll.ciqfunctions.udf.CIQ($A23, "IQ_TOTAL_REV_2YR_ANN_CAGR", IQ_LTM, $B$1,$L$4, $L$3, $L$5, $L$6)/100))</f>
        <v>#VALUE!</v>
      </c>
      <c r="BM23" s="492" t="e">
        <f>IF(_xll.ciqfunctions.udf.CIQ($A23, "IQ_TOTAL_REV_3YR_ANN_CAGR", IQ_LTM, $B$1,$L$4, $L$3, $L$5, $L$6)="NM","n/a",(_xll.ciqfunctions.udf.CIQ($A23, "IQ_TOTAL_REV_3YR_ANN_CAGR", IQ_LTM, $B$1,$L$4, $L$3, $L$5, $L$6)/100))</f>
        <v>#VALUE!</v>
      </c>
      <c r="BN23" s="492" t="e">
        <f>IF(_xll.ciqfunctions.udf.CIQ($A23, "IQ_TOTAL_REV_5YR_ANN_CAGR", IQ_LTM, $B$1,$L$4, $L$3, $L$5, $L$6)="NM","n/a",(_xll.ciqfunctions.udf.CIQ($A23, "IQ_TOTAL_REV_5YR_ANN_CAGR", IQ_LTM, $B$1,$L$4, $L$3, $L$5, $L$6)/100))</f>
        <v>#VALUE!</v>
      </c>
      <c r="BO23" s="492" t="str">
        <f>IF(_xll.ciqfunctions.udf.CIQ($A23,"IQ_EBITDA_2YR_ANN_CAGR", IQ_LTM,$B$1,$L$4, $L$3, $L$5, $L$6)="NM","n/a",(_xll.ciqfunctions.udf.CIQ($A23,"IQ_EBITDA_2YR_ANN_CAGR", IQ_LTM,$B$1,$L$4, $L$3, $L$5, $L$6)/100))</f>
        <v>n/a</v>
      </c>
      <c r="BP23" s="492" t="str">
        <f>IF(_xll.ciqfunctions.udf.CIQ($A23,"IQ_EBITDA_3YR_ANN_CAGR", IQ_LTM,$B$1,$L$4, $L$3, $L$5, $L$6)="NM","n/a",(_xll.ciqfunctions.udf.CIQ($A23,"IQ_EBITDA_3YR_ANN_CAGR", IQ_LTM,$B$1,$L$4, $L$3, $L$5, $L$6)/100))</f>
        <v>n/a</v>
      </c>
      <c r="BQ23" s="492" t="e">
        <f>IF(_xll.ciqfunctions.udf.CIQ($A23,"IQ_EBITDA_5YR_ANN_CAGR", IQ_LTM,$B$1,$L$4, $L$3, $L$5, $L$6)="NM","n/a",(_xll.ciqfunctions.udf.CIQ($A23,"IQ_EBITDA_5YR_ANN_CAGR", IQ_LTM,$B$1,$L$4, $L$3, $L$5, $L$6)/100))</f>
        <v>#VALUE!</v>
      </c>
      <c r="BR23" s="496" t="str">
        <f>IFERROR((_xll.ciqfunctions.udf.CIQ($A23, "IQ_DA_CF", IQ_LTM, $B$1, $L$4, $L$3, $L$5, $L$6)/Q23),"NM")</f>
        <v>NM</v>
      </c>
      <c r="BS23" s="546">
        <f>'Capital IQ Sheet-GPC'!BS23</f>
        <v>0.90727608700034945</v>
      </c>
      <c r="BT23" s="546">
        <f>'Capital IQ Sheet-GPC'!BT23</f>
        <v>0.77412653461001024</v>
      </c>
      <c r="BU23" s="546">
        <f>'Capital IQ Sheet-GPC'!BU23</f>
        <v>0.99646473832161442</v>
      </c>
      <c r="BV23" s="546">
        <f>'Capital IQ Sheet-GPC'!BV23</f>
        <v>1.1508768139771337</v>
      </c>
      <c r="BW23" s="546" t="str">
        <f>'Capital IQ Sheet-GPC'!BW23</f>
        <v>n/a</v>
      </c>
      <c r="BX23" s="546" t="str">
        <f>'Capital IQ Sheet-GPC'!BX23</f>
        <v>n/a</v>
      </c>
      <c r="BY23" s="546" t="str">
        <f>'Capital IQ Sheet-GPC'!BY23</f>
        <v>n/a</v>
      </c>
      <c r="BZ23" s="546" t="str">
        <f>'Capital IQ Sheet-GPC'!BZ23</f>
        <v>n/a</v>
      </c>
      <c r="CB23" s="492">
        <v>2</v>
      </c>
      <c r="CC23" s="632" t="s">
        <v>253</v>
      </c>
      <c r="CD23" s="632" t="s">
        <v>252</v>
      </c>
      <c r="CE23" s="494">
        <f t="shared" si="0"/>
        <v>42551</v>
      </c>
    </row>
    <row r="24" spans="1:83" s="492" customFormat="1" ht="12.75">
      <c r="A24" s="493" t="str">
        <f>_xll.ciqfunctions.udf.CIQ($B24,"IQ_COMPANY_TICKER")</f>
        <v>AMEX:SYN</v>
      </c>
      <c r="B24" s="541" t="str">
        <f>'Capital IQ Sheet-GPC'!B24</f>
        <v>IQ24424557</v>
      </c>
      <c r="C24" s="493" t="str">
        <f>_xll.ciqfunctions.udf.CIQ($A24,"IQ_COMPANY_NAME")</f>
        <v>Synthetic Biologics, Inc.</v>
      </c>
      <c r="D24" s="493" t="str">
        <f>_xll.ciqfunctions.udf.CIQ($A24, "IQ_EXCHANGE")</f>
        <v>AMEX</v>
      </c>
      <c r="E24" s="540">
        <f>_xll.ciqfunctions.udf.CIQ($A24, "IQ_PERIODDATE_IS", IQ_FY)</f>
        <v>43100</v>
      </c>
      <c r="F24" s="540">
        <f>_xll.ciqfunctions.udf.CIQ(A24, "IQ_PERIODDATE_IS", IQ_LTM, $B$1,$L$4,$L$3)</f>
        <v>43190</v>
      </c>
      <c r="G24" s="540">
        <f>_xll.ciqfunctions.udf.CIQ($A24, "IQ_FIRSTPRICINGDATE")</f>
        <v>39022</v>
      </c>
      <c r="H24" s="542">
        <f>_xll.ciqfunctions.udf.CIQ($A24, "IQ_TEV", $L$2, $L$5, $L$6)</f>
        <v>29.879480000000001</v>
      </c>
      <c r="I24" s="542">
        <f>_xll.ciqfunctions.udf.CIQ(A24, "IQ_LASTSALEPRICE", $B$1,$L$5)</f>
        <v>8.3650000000000002</v>
      </c>
      <c r="J24" s="542">
        <f>_xll.ciqfunctions.udf.CIQ($A24, "IQ_MARKETCAP", $L$2, $L$5, $L$6)</f>
        <v>30.72748</v>
      </c>
      <c r="K24" s="542">
        <f>_xll.ciqfunctions.udf.CIQ($A24, "IQ_TOTAL_DEBT", IQ_LTM, $L$2,$L$4, $L$3, $L$5, $L$6)</f>
        <v>0</v>
      </c>
      <c r="L24" s="542">
        <f>_xll.ciqfunctions.udf.CIQ($A24, "IQ_PREF_EQUITY", IQ_LTM, $L$2, $L$4, $L$3, $L$5, $L$6)</f>
        <v>12.112</v>
      </c>
      <c r="M24" s="542">
        <f>_xll.ciqfunctions.udf.CIQ($A24, "IQ_MINORITY_INTEREST_TOTAL", IQ_LTM, $L$2, $L$4, $L$3, $L$5, $L$6)</f>
        <v>-1.923</v>
      </c>
      <c r="N24" s="542">
        <f>_xll.ciqfunctions.udf.CIQ($A24, "IQ_CASH_ST_INVEST", IQ_LTM, $L$2, $L$4, $L$3, $L$5, $L$6)</f>
        <v>11.037000000000001</v>
      </c>
      <c r="O24" s="542" t="str">
        <f>_xll.ciqfunctions.udf.CIQ($A24, "IQ_TOTAL_REV", IQ_LTM-8, $L$2, $L$4, $L$3, $L$5, $L$6)</f>
        <v>n/a</v>
      </c>
      <c r="P24" s="542" t="str">
        <f>_xll.ciqfunctions.udf.CIQ($A24, "IQ_TOTAL_REV", IQ_LTM - 4, $L$2, $L$4, $L$3, $L$5,$L$6)</f>
        <v>n/a</v>
      </c>
      <c r="Q24" s="542" t="str">
        <f>_xll.ciqfunctions.udf.CIQ($A24, "IQ_TOTAL_REV", IQ_LTM, $L$2, $L$4, $L$3, $L$5, $L$6)</f>
        <v>n/a</v>
      </c>
      <c r="R24" s="542" t="str">
        <f>_xll.ciqfunctions.udf.CIQ($A24, "IQ_TOTAL_REV", $B$2, $L$2, $L$4, $L$3, $L$5, $L$6)</f>
        <v>n/a</v>
      </c>
      <c r="S24" s="542" t="str">
        <f>IF(_xll.ciqfunctions.udf.CIQ($A24, "IQ_TOTAL_REV", $B$3, $L$2,$L$4, $L$3, $L$5, $L$6)=0,Q24,_xll.ciqfunctions.udf.CIQ($A24, "IQ_TOTAL_REV", $B$3, $L$2,$L$4, $L$3, $L$5, $L$6))</f>
        <v>n/a</v>
      </c>
      <c r="T24" s="542" t="str">
        <f>IF(_xll.ciqfunctions.udf.CIQ($A24, "IQ_REVENUE_EST",$B$4, $L$2, "CON", $L$3, $L$5, $L$6)=0,"n/a",_xll.ciqfunctions.udf.CIQ($A24, "IQ_REVENUE_EST",$B$4, $L$2, "CON", $L$3, $L$5, $L$6))</f>
        <v>n/a</v>
      </c>
      <c r="U24" s="542">
        <f>IF(_xll.ciqfunctions.udf.CIQ($A24, "IQ_REVENUE_EST",$B$5, $L$2, "CON", $L$3, $L$5, $L$6)=0,"n/a",_xll.ciqfunctions.udf.CIQ($A24, "IQ_REVENUE_EST",$B$5, $L$2, "CON", $L$3, $L$5, $L$6))</f>
        <v>40</v>
      </c>
      <c r="V24" s="542" t="str">
        <f>IF(_xll.ciqfunctions.udf.CIQ($A24, "IQ_REVENUE_EST",$B$6, $L$2, "CON", $L$3, $L$5, $L$6)=0,"n/a",_xll.ciqfunctions.udf.CIQ($A24, "IQ_REVENUE_EST",$B$6, $L$2, "CON", $L$3, $L$5, $L$6))</f>
        <v>n/a</v>
      </c>
      <c r="W24" s="542" t="str">
        <f>IF(_xll.ciqfunctions.udf.CIQ($A24, "IQ_REVENUE_EST", $B$7, $L$2, "CON", $L$3, $L$5, $L$6)=0,"n/a",_xll.ciqfunctions.udf.CIQ($A24, "IQ_REVENUE_EST",$B$7, $L$2, "CON", $L$3, $L$5, $L$6))</f>
        <v>n/a</v>
      </c>
      <c r="X24" s="542">
        <f>_xll.ciqfunctions.udf.CIQ($A24, "IQ_EBITDA", IQ_LTM-8, $L$2, $L$4, $L$3, $L$5, $L$6)</f>
        <v>-43.253</v>
      </c>
      <c r="Y24" s="542">
        <f>_xll.ciqfunctions.udf.CIQ($A24, "IQ_EBITDA", IQ_LTM-4, $L$2,$L$4, $L$3, $L$5, $L$6)</f>
        <v>-36.643000000000001</v>
      </c>
      <c r="Z24" s="542">
        <f>_xll.ciqfunctions.udf.CIQ($A24, "IQ_EBITDA", IQ_LTM, $L$2, $L$4, $L$3, $L$5, $L$6)</f>
        <v>-22.832999999999998</v>
      </c>
      <c r="AA24" s="542">
        <f>_xll.ciqfunctions.udf.CIQ($A24, "IQ_EBITDA", $B$2, $L$2, $L$4, $L$3, $L$5, $L$6)</f>
        <v>-39.094999999999999</v>
      </c>
      <c r="AB24" s="542">
        <f>IF(_xll.ciqfunctions.udf.CIQ($A24, "IQ_EBITDA", $B$3, $L$2,$L$4, $L$3, $L$5, $L$6)=0,Z24,_xll.ciqfunctions.udf.CIQ($A24, "IQ_EBITDA", $B$3, $L$2,$L$4, $L$3, $L$5, $L$6))</f>
        <v>-26.006</v>
      </c>
      <c r="AC24" s="542" t="str">
        <f>IF(_xll.ciqfunctions.udf.CIQ($A24, "IQ_EBITDA_EST",$B$4, $L$2, "CON", $L$3, $L$5, $L$6)=0,"n/a",_xll.ciqfunctions.udf.CIQ($A24, "IQ_EBITDA_EST",$B$4, $L$2, "CON", $L$3, $L$5, $L$6))</f>
        <v>n/a</v>
      </c>
      <c r="AD24" s="542" t="str">
        <f>IF(_xll.ciqfunctions.udf.CIQ($A24, "IQ_EBITDA_EST",$B$5, $L$2, "CON", $L$3, $L$5, $L$6)=0,"n/a",_xll.ciqfunctions.udf.CIQ($A24, "IQ_EBITDA_EST",$B$5, $L$2, "CON", $L$3, $L$5, $L$6))</f>
        <v>n/a</v>
      </c>
      <c r="AE24" s="542" t="str">
        <f>IF(_xll.ciqfunctions.udf.CIQ($A24, "IQ_EBITDA_EST",$B$6, $L$2, "CON", $L$3, $L$5, $L$6)=0,"n/a",_xll.ciqfunctions.udf.CIQ($A24, "IQ_EBITDA_EST",$B$6, $L$2, "CON", $L$3, $L$5, $L$6))</f>
        <v>n/a</v>
      </c>
      <c r="AF24" s="543" t="str">
        <f>IF(ISERROR(_xll.ciqfunctions.udf.CIQ($A24, "IQ_GROSS_MARGIN", IQ_LTM, $L$2,$L$4, $L$3, $L$5, $L$6)/100), "n/a", _xll.ciqfunctions.udf.CIQ($A24,  "IQ_GROSS_MARGIN", IQ_LTM, $L$2, $L$4, $L$3, $L$5, $L$6)/100)</f>
        <v>n/a</v>
      </c>
      <c r="AG24" s="543" t="str">
        <f>IF(ISERROR(_xll.ciqfunctions.udf.CIQ($A24,"IQ_EBITDA_MARGIN", IQ_LTM, $L$2, $L$4, $L$3, $L$5, $L$6)/100), "n/a", _xll.ciqfunctions.udf.CIQ($A24, "IQ_EBITDA_MARGIN", IQ_LTM, $L$2, $L$4, $L$3, $L$5, $L$6)/100)</f>
        <v>n/a</v>
      </c>
      <c r="AH24" s="543" t="str">
        <f>IF(ISERROR(_xll.ciqfunctions.udf.CIQ($A24,"IQ_EBIT_MARGIN", IQ_LTM, $L$2, $L$4, $L$3, $L$5, $L$6)/100), "n/a", _xll.ciqfunctions.udf.CIQ($A24, "IQ_EBIT_MARGIN", IQ_LTM, $L$2, $L$4, $L$3, $L$5, $L$6)/100)</f>
        <v>n/a</v>
      </c>
      <c r="AI24" s="543" t="str">
        <f>IF(ISERROR(_xll.ciqfunctions.udf.CIQ($A24,"IQ_NI_MARGIN", IQ_LTM, $L$2, $L$4, $L$3, $L$5, $L$6)/100), "n/a", _xll.ciqfunctions.udf.CIQ($A24, "IQ_NI_MARGIN", IQ_LTM, $L$2, $L$4, $L$3, $L$5, $L$6)/100)</f>
        <v>n/a</v>
      </c>
      <c r="AJ24" s="542">
        <f>IF(ISERROR(_xll.ciqfunctions.udf.CIQ($A24, "IQ_NET_WORKING_CAP", IQ_LTM-8, $L$2, $L$4, $L$3, $L$5, $L$6)), "n/a", _xll.ciqfunctions.udf.CIQ($A24, "IQ_NET_WORKING_CAP", IQ_LTM-8, $L$2, $L$4, $L$3, $L$5, $L$6))</f>
        <v>-10.41</v>
      </c>
      <c r="AK24" s="542">
        <f>IF(ISERROR(_xll.ciqfunctions.udf.CIQ($A24, "IQ_NET_WORKING_CAP", IQ_LTM-4, $L$2, $L$4, $L$3, $L$5, $L$6)), "n/a", _xll.ciqfunctions.udf.CIQ($A24, "IQ_NET_WORKING_CAP", IQ_LTM-4, $L$2, $L$4, $L$3, $L$5, $L$6))</f>
        <v>-13.122</v>
      </c>
      <c r="AL24" s="542">
        <f>IF(ISERROR(_xll.ciqfunctions.udf.CIQ($A24, "IQ_NET_WORKING_CAP", IQ_LTM, $L$2,$L$4, $L$3, $L$5, $L$6)), "n/a", _xll.ciqfunctions.udf.CIQ($A24, "IQ_NET_WORKING_CAP", IQ_LTM, $L$2, $L$4, $L$3, $L$5, $L$6))</f>
        <v>-4.4809999999999999</v>
      </c>
      <c r="AM24" s="542">
        <f>IF(ISERROR(_xll.ciqfunctions.udf.CIQ($A24, "IQ_Capex", IQ_LTM-8, $L$2,$L$4, $L$3, $L$5, $L$6)), "n/a", _xll.ciqfunctions.udf.CIQ($A24, "IQ_Capex", IQ_LTM-8, $L$2, $L$4, $L$3, $L$5, $L$6))</f>
        <v>-0.52700000000000002</v>
      </c>
      <c r="AN24" s="542">
        <f>IF(ISERROR(_xll.ciqfunctions.udf.CIQ($A24, "IQ_Capex", IQ_LTM-4, $L$2,$L$4, $L$3, $L$5, $L$6)), "n/a", _xll.ciqfunctions.udf.CIQ($A24, "IQ_Capex", IQ_LTM-4, $L$2,$L$4, $L$3, $L$5, $L$6))</f>
        <v>-0.53600000000000003</v>
      </c>
      <c r="AO24" s="542">
        <f>IF(ISERROR(_xll.ciqfunctions.udf.CIQ($A24, "IQ_Capex", IQ_LTM, $L$2, $L$4, $L$3, $L$5, $L$6)), "n/a", _xll.ciqfunctions.udf.CIQ($A24, "IQ_Capex", IQ_LTM, $L$2, $L$4, $L$3, $L$5, $L$6))</f>
        <v>-0.20100000000000001</v>
      </c>
      <c r="AP24" s="544" t="str">
        <f>_xll.ciqfunctions.udf.CIQ(A24, "IQ_BUSINESS_DESCRIPTION")</f>
        <v>Synthetic Biologics, Inc., a late-stage clinical company, develops therapeutics designed to preserve the microbiome to protect and restore the health of patients. Its lead product candidates are in Phase III development, such as SYN-004 that is designed to protect the gut microbiome from the effects of commonly used intravenous (IV) beta-lactam antibiotics for the prevention of C. difficile infection, overgrowth of pathogenic organisms, and the emergence of antimicrobial resistance; and SYN-010 which is intended to reduce the impact of methane-producing organisms in the gut microbiome to treat an underlying cause of irritable bowel syndrome with constipation. The company’s preclinical products include an oral formulation of the enzyme intestinal alkaline phosphatase to treat local GI disorders and systemic diseases; monoclonal antibody therapies for the prevention and treatment of pertussis; and novel discovery stage biotherapeutics for the treatment of phenylketonuria. Synthetic Biologics, Inc. has collaborations with Intrexon Corporation, The University of Texas at Austin, and Cedars-Sinai Medical Center. The company was formerly known as Adeona Pharmaceuticals, Inc. and changed its name to Synthetic Biologics, Inc. in February 2012. Synthetic Biologics, Inc. was founded in 2001 and is headquartered in Rockville, Maryland.</v>
      </c>
      <c r="AQ24" s="545">
        <f>_xll.ciqfunctions.udf.CIQ($A24, "IQ_BETA_1YR", $B$1)</f>
        <v>1.80226</v>
      </c>
      <c r="AR24" s="545">
        <f>_xll.ciqfunctions.udf.CIQ($A24, "IQ_BETA_2YR", $B$1)</f>
        <v>2.5698699999999999</v>
      </c>
      <c r="AS24" s="545">
        <f>_xll.ciqfunctions.udf.CIQ($A24, "IQ_BETA_5YR", $B$1)</f>
        <v>1.7118500000000001</v>
      </c>
      <c r="AT24" s="543" t="e">
        <f>_xll.ciqfunctions.udf.CIQ($A24, "IQ_DIVIDEND_YIELD", $B$1)/100</f>
        <v>#VALUE!</v>
      </c>
      <c r="AU24" s="542">
        <f>_xll.ciqfunctions.udf.CIQ($A24, "IQ_EARNING_CO", IQ_LTM-8, $L$2, $L$4, $L$3, $L$5, $L$6)</f>
        <v>-43.505000000000003</v>
      </c>
      <c r="AV24" s="542">
        <f>_xll.ciqfunctions.udf.CIQ($A24, "IQ_EARNING_CO", IQ_LTM-4, $L$2, $L$4, $L$3, $L$5, $L$6)</f>
        <v>-19.783000000000001</v>
      </c>
      <c r="AW24" s="542">
        <f>_xll.ciqfunctions.udf.CIQ($A24, "IQ_EARNING_CO", IQ_LTM, $L$2, $L$4, $L$3, $L$5, $L$6)</f>
        <v>-14.76</v>
      </c>
      <c r="AX24" s="542">
        <f>_xll.ciqfunctions.udf.CIQ($A24, "IQ_EARNING_CO", $B$2, $L$2, $L$4, $L$3, $L$5, $L$6)</f>
        <v>-27.803000000000001</v>
      </c>
      <c r="AY24" s="542">
        <f>IF(_xll.ciqfunctions.udf.CIQ($A24, "IQ_EARNING_CO", $B$3, $L$2,$L$4, $L$3, $L$5, $L$6)=0,AW24,_xll.ciqfunctions.udf.CIQ($A24, "IQ_EARNING_CO", $B$3, $L$2,$L$4, $L$3, $L$5, $L$6))</f>
        <v>-15.492000000000001</v>
      </c>
      <c r="AZ24" s="542">
        <f>_xll.ciqfunctions.udf.CIQ($A24, "IQ_TOTAL_EQUITY", IQ_LTM-8, $L$2, $L$4, $L$3, $L$5, $L$6)</f>
        <v>4.9770000000000003</v>
      </c>
      <c r="BA24" s="542">
        <f>_xll.ciqfunctions.udf.CIQ($A24, "IQ_TOTAL_EQUITY", IQ_LTM-4, $L$2, $L$4, $L$3, $L$5, $L$6)</f>
        <v>0.76100000000000001</v>
      </c>
      <c r="BB24" s="542">
        <f>_xll.ciqfunctions.udf.CIQ($A24, "IQ_TOTAL_EQUITY", IQ_LTM, $L$2, $L$4, $L$3, $L$5, $L$6)</f>
        <v>7.0030000000000001</v>
      </c>
      <c r="BC24" s="542">
        <f>_xll.ciqfunctions.udf.CIQ($A24, "IQ_TOTAL_EQUITY", $B$2, $L$2, $L$4, $L$3, $L$5, $L$6)</f>
        <v>2.2490000000000001</v>
      </c>
      <c r="BD24" s="542">
        <f>IF(_xll.ciqfunctions.udf.CIQ($A24, "IQ_TOTAL_EQUITY", $B$3, $L$2,$L$4, $L$3, $L$5, $L$6)=0,BB24,_xll.ciqfunctions.udf.CIQ($A24, "IQ_TOTAL_EQUITY", $B$3, $L$2,$L$4, $L$3, $L$5, $L$6))</f>
        <v>8.6430000000000007</v>
      </c>
      <c r="BE24" s="542">
        <f>_xll.ciqfunctions.udf.CIQ(A24, "IQ_LASTSALEPRICE", $B$8)</f>
        <v>18.5395</v>
      </c>
      <c r="BF24" s="542">
        <f>_xll.ciqfunctions.udf.CIQ($A24, "IQ_MARKETCAP", $B$8, $L$5, $L$6)</f>
        <v>68.101870000000005</v>
      </c>
      <c r="BG24" s="542">
        <f>_xll.ciqfunctions.udf.CIQ($A24, "IQ_TOTAL_DEBT", IQ_LTM, $B$8,$L$4, $L$3, $L$5, $L$6)</f>
        <v>0</v>
      </c>
      <c r="BH24" s="492">
        <f>_xll.ciqfunctions.udf.CIQ($A24,"IQ_PREF_EQUITY",IQ_LTM,$B$8,$L$4,$L$3,$L$5,$L$6)</f>
        <v>11.992000000000001</v>
      </c>
      <c r="BI24" s="492">
        <f>_xll.ciqfunctions.udf.CIQ($A24, "IQ_MINORITY_INTEREST_TOTAL", IQ_LTM,$B$8,$L$4,$L$3,$L$5,$L$6)</f>
        <v>-1.8759999999999999</v>
      </c>
      <c r="BJ24" s="542">
        <f>_xll.ciqfunctions.udf.CIQ($A24, "IQ_CASH_ST_INVEST", IQ_LTM, $B$8, $L$4, $L$3, $L$5, $L$6)</f>
        <v>21.05</v>
      </c>
      <c r="BK24" s="492" t="str">
        <f>_xll.ciqfunctions.udf.CIQ($A24, "IQ_EFFECT_TAX_RATE")</f>
        <v>n/a</v>
      </c>
      <c r="BL24" s="492" t="e">
        <f>IF(_xll.ciqfunctions.udf.CIQ($A24, "IQ_TOTAL_REV_2YR_ANN_CAGR", IQ_LTM, $B$1,$L$4, $L$3, $L$5, $L$6)="NM","n/a",(_xll.ciqfunctions.udf.CIQ($A24, "IQ_TOTAL_REV_2YR_ANN_CAGR", IQ_LTM, $B$1,$L$4, $L$3, $L$5, $L$6)/100))</f>
        <v>#VALUE!</v>
      </c>
      <c r="BM24" s="492" t="e">
        <f>IF(_xll.ciqfunctions.udf.CIQ($A24, "IQ_TOTAL_REV_3YR_ANN_CAGR", IQ_LTM, $B$1,$L$4, $L$3, $L$5, $L$6)="NM","n/a",(_xll.ciqfunctions.udf.CIQ($A24, "IQ_TOTAL_REV_3YR_ANN_CAGR", IQ_LTM, $B$1,$L$4, $L$3, $L$5, $L$6)/100))</f>
        <v>#VALUE!</v>
      </c>
      <c r="BN24" s="492" t="e">
        <f>IF(_xll.ciqfunctions.udf.CIQ($A24, "IQ_TOTAL_REV_5YR_ANN_CAGR", IQ_LTM, $B$1,$L$4, $L$3, $L$5, $L$6)="NM","n/a",(_xll.ciqfunctions.udf.CIQ($A24, "IQ_TOTAL_REV_5YR_ANN_CAGR", IQ_LTM, $B$1,$L$4, $L$3, $L$5, $L$6)/100))</f>
        <v>#VALUE!</v>
      </c>
      <c r="BO24" s="492" t="str">
        <f>IF(_xll.ciqfunctions.udf.CIQ($A24,"IQ_EBITDA_2YR_ANN_CAGR", IQ_LTM,$B$1,$L$4, $L$3, $L$5, $L$6)="NM","n/a",(_xll.ciqfunctions.udf.CIQ($A24,"IQ_EBITDA_2YR_ANN_CAGR", IQ_LTM,$B$1,$L$4, $L$3, $L$5, $L$6)/100))</f>
        <v>n/a</v>
      </c>
      <c r="BP24" s="492" t="str">
        <f>IF(_xll.ciqfunctions.udf.CIQ($A24,"IQ_EBITDA_3YR_ANN_CAGR", IQ_LTM,$B$1,$L$4, $L$3, $L$5, $L$6)="NM","n/a",(_xll.ciqfunctions.udf.CIQ($A24,"IQ_EBITDA_3YR_ANN_CAGR", IQ_LTM,$B$1,$L$4, $L$3, $L$5, $L$6)/100))</f>
        <v>n/a</v>
      </c>
      <c r="BQ24" s="492" t="str">
        <f>IF(_xll.ciqfunctions.udf.CIQ($A24,"IQ_EBITDA_5YR_ANN_CAGR", IQ_LTM,$B$1,$L$4, $L$3, $L$5, $L$6)="NM","n/a",(_xll.ciqfunctions.udf.CIQ($A24,"IQ_EBITDA_5YR_ANN_CAGR", IQ_LTM,$B$1,$L$4, $L$3, $L$5, $L$6)/100))</f>
        <v>n/a</v>
      </c>
      <c r="BR24" s="496" t="str">
        <f>IFERROR((_xll.ciqfunctions.udf.CIQ($A24, "IQ_DA_CF", IQ_LTM, $B$1, $L$4, $L$3, $L$5, $L$6)/Q24),"NM")</f>
        <v>NM</v>
      </c>
      <c r="BS24" s="546">
        <f>'Capital IQ Sheet-GPC'!BS24</f>
        <v>0.80405994497907174</v>
      </c>
      <c r="BT24" s="546">
        <f>'Capital IQ Sheet-GPC'!BT24</f>
        <v>0.80665365567653446</v>
      </c>
      <c r="BU24" s="546">
        <f>'Capital IQ Sheet-GPC'!BU24</f>
        <v>0.86084148620167278</v>
      </c>
      <c r="BV24" s="546">
        <f>'Capital IQ Sheet-GPC'!BV24</f>
        <v>0.84691152261417069</v>
      </c>
      <c r="BW24" s="546">
        <f>'Capital IQ Sheet-GPC'!BW24</f>
        <v>0.86189374799365637</v>
      </c>
      <c r="BX24" s="546">
        <f>'Capital IQ Sheet-GPC'!BX24</f>
        <v>0.8230785321875862</v>
      </c>
      <c r="BY24" s="546">
        <f>'Capital IQ Sheet-GPC'!BY24</f>
        <v>0.84335757355803964</v>
      </c>
      <c r="BZ24" s="546">
        <f>'Capital IQ Sheet-GPC'!BZ24</f>
        <v>0.86784046422784034</v>
      </c>
      <c r="CB24" s="492">
        <v>2</v>
      </c>
      <c r="CC24" s="632" t="s">
        <v>253</v>
      </c>
      <c r="CD24" s="632" t="s">
        <v>252</v>
      </c>
      <c r="CE24" s="494">
        <f t="shared" ref="CE24:CE34" si="1">$B$1-365*CB24</f>
        <v>42551</v>
      </c>
    </row>
    <row r="25" spans="1:83" s="492" customFormat="1" ht="12.75">
      <c r="A25" s="493" t="str">
        <f>_xll.ciqfunctions.udf.CIQ($B25,"IQ_COMPANY_TICKER")</f>
        <v>OTCPK:NEXS</v>
      </c>
      <c r="B25" s="541" t="str">
        <f>'Capital IQ Sheet-GPC'!B25</f>
        <v>IQ340704541</v>
      </c>
      <c r="C25" s="493" t="str">
        <f>_xll.ciqfunctions.udf.CIQ($A25,"IQ_COMPANY_NAME")</f>
        <v>Nexus BioPharma, Inc.</v>
      </c>
      <c r="D25" s="493" t="str">
        <f>_xll.ciqfunctions.udf.CIQ($A25, "IQ_EXCHANGE")</f>
        <v>OTCPK</v>
      </c>
      <c r="E25" s="540">
        <f>_xll.ciqfunctions.udf.CIQ($A25, "IQ_PERIODDATE_IS", IQ_FY)</f>
        <v>42794</v>
      </c>
      <c r="F25" s="540">
        <f>_xll.ciqfunctions.udf.CIQ(A25, "IQ_PERIODDATE_IS", IQ_LTM, $B$1,$L$4,$L$3)</f>
        <v>42886</v>
      </c>
      <c r="G25" s="540">
        <f>_xll.ciqfunctions.udf.CIQ($A25, "IQ_FIRSTPRICINGDATE")</f>
        <v>42531</v>
      </c>
      <c r="H25" s="542">
        <f>_xll.ciqfunctions.udf.CIQ($A25, "IQ_TEV", $L$2, $L$5, $L$6)</f>
        <v>4.2106599999999998</v>
      </c>
      <c r="I25" s="542">
        <f>_xll.ciqfunctions.udf.CIQ(A25, "IQ_LASTSALEPRICE", $B$1,$L$5)</f>
        <v>5.9900000000000002E-2</v>
      </c>
      <c r="J25" s="542">
        <f>_xll.ciqfunctions.udf.CIQ($A25, "IQ_MARKETCAP", $L$2, $L$5, $L$6)</f>
        <v>3.8515700000000002</v>
      </c>
      <c r="K25" s="542">
        <f>_xll.ciqfunctions.udf.CIQ($A25, "IQ_TOTAL_DEBT", IQ_LTM, $L$2,$L$4, $L$3, $L$5, $L$6)</f>
        <v>0.36752000000000001</v>
      </c>
      <c r="L25" s="542" t="str">
        <f>_xll.ciqfunctions.udf.CIQ($A25, "IQ_PREF_EQUITY", IQ_LTM, $L$2, $L$4, $L$3, $L$5, $L$6)</f>
        <v>n/a</v>
      </c>
      <c r="M25" s="542" t="str">
        <f>_xll.ciqfunctions.udf.CIQ($A25, "IQ_MINORITY_INTEREST_TOTAL", IQ_LTM, $L$2, $L$4, $L$3, $L$5, $L$6)</f>
        <v>n/a</v>
      </c>
      <c r="N25" s="542">
        <f>_xll.ciqfunctions.udf.CIQ($A25, "IQ_CASH_ST_INVEST", IQ_LTM, $L$2, $L$4, $L$3, $L$5, $L$6)</f>
        <v>8.43E-3</v>
      </c>
      <c r="O25" s="542" t="str">
        <f>_xll.ciqfunctions.udf.CIQ($A25, "IQ_TOTAL_REV", IQ_LTM-8, $L$2, $L$4, $L$3, $L$5, $L$6)</f>
        <v>n/a</v>
      </c>
      <c r="P25" s="542" t="str">
        <f>_xll.ciqfunctions.udf.CIQ($A25, "IQ_TOTAL_REV", IQ_LTM - 4, $L$2, $L$4, $L$3, $L$5,$L$6)</f>
        <v>n/a</v>
      </c>
      <c r="Q25" s="542" t="str">
        <f>_xll.ciqfunctions.udf.CIQ($A25, "IQ_TOTAL_REV", IQ_LTM, $L$2, $L$4, $L$3, $L$5, $L$6)</f>
        <v>n/a</v>
      </c>
      <c r="R25" s="542" t="str">
        <f>_xll.ciqfunctions.udf.CIQ($A25, "IQ_TOTAL_REV", $B$2, $L$2, $L$4, $L$3, $L$5, $L$6)</f>
        <v>n/a</v>
      </c>
      <c r="S25" s="542" t="str">
        <f>IF(_xll.ciqfunctions.udf.CIQ($A25, "IQ_TOTAL_REV", $B$3, $L$2,$L$4, $L$3, $L$5, $L$6)=0,Q25,_xll.ciqfunctions.udf.CIQ($A25, "IQ_TOTAL_REV", $B$3, $L$2,$L$4, $L$3, $L$5, $L$6))</f>
        <v>n/a</v>
      </c>
      <c r="T25" s="542" t="str">
        <f>IF(_xll.ciqfunctions.udf.CIQ($A25, "IQ_REVENUE_EST",$B$4, $L$2, "CON", $L$3, $L$5, $L$6)=0,"n/a",_xll.ciqfunctions.udf.CIQ($A25, "IQ_REVENUE_EST",$B$4, $L$2, "CON", $L$3, $L$5, $L$6))</f>
        <v>n/a</v>
      </c>
      <c r="U25" s="542" t="str">
        <f>IF(_xll.ciqfunctions.udf.CIQ($A25, "IQ_REVENUE_EST",$B$5, $L$2, "CON", $L$3, $L$5, $L$6)=0,"n/a",_xll.ciqfunctions.udf.CIQ($A25, "IQ_REVENUE_EST",$B$5, $L$2, "CON", $L$3, $L$5, $L$6))</f>
        <v>n/a</v>
      </c>
      <c r="V25" s="542" t="str">
        <f>IF(_xll.ciqfunctions.udf.CIQ($A25, "IQ_REVENUE_EST",$B$6, $L$2, "CON", $L$3, $L$5, $L$6)=0,"n/a",_xll.ciqfunctions.udf.CIQ($A25, "IQ_REVENUE_EST",$B$6, $L$2, "CON", $L$3, $L$5, $L$6))</f>
        <v>n/a</v>
      </c>
      <c r="W25" s="542" t="str">
        <f>IF(_xll.ciqfunctions.udf.CIQ($A25, "IQ_REVENUE_EST", $B$7, $L$2, "CON", $L$3, $L$5, $L$6)=0,"n/a",_xll.ciqfunctions.udf.CIQ($A25, "IQ_REVENUE_EST",$B$7, $L$2, "CON", $L$3, $L$5, $L$6))</f>
        <v>n/a</v>
      </c>
      <c r="X25" s="542" t="str">
        <f>_xll.ciqfunctions.udf.CIQ($A25, "IQ_EBITDA", IQ_LTM-8, $L$2, $L$4, $L$3, $L$5, $L$6)</f>
        <v>n/a</v>
      </c>
      <c r="Y25" s="542" t="str">
        <f>_xll.ciqfunctions.udf.CIQ($A25, "IQ_EBITDA", IQ_LTM-4, $L$2,$L$4, $L$3, $L$5, $L$6)</f>
        <v>n/a</v>
      </c>
      <c r="Z25" s="542">
        <f>_xll.ciqfunctions.udf.CIQ($A25, "IQ_EBITDA", IQ_LTM, $L$2, $L$4, $L$3, $L$5, $L$6)</f>
        <v>-0.56271000000000004</v>
      </c>
      <c r="AA25" s="542" t="str">
        <f>_xll.ciqfunctions.udf.CIQ($A25, "IQ_EBITDA", $B$2, $L$2, $L$4, $L$3, $L$5, $L$6)</f>
        <v>n/a</v>
      </c>
      <c r="AB25" s="542" t="str">
        <f>IF(_xll.ciqfunctions.udf.CIQ($A25, "IQ_EBITDA", $B$3, $L$2,$L$4, $L$3, $L$5, $L$6)=0,Z25,_xll.ciqfunctions.udf.CIQ($A25, "IQ_EBITDA", $B$3, $L$2,$L$4, $L$3, $L$5, $L$6))</f>
        <v>n/a</v>
      </c>
      <c r="AC25" s="542" t="str">
        <f>IF(_xll.ciqfunctions.udf.CIQ($A25, "IQ_EBITDA_EST",$B$4, $L$2, "CON", $L$3, $L$5, $L$6)=0,"n/a",_xll.ciqfunctions.udf.CIQ($A25, "IQ_EBITDA_EST",$B$4, $L$2, "CON", $L$3, $L$5, $L$6))</f>
        <v>n/a</v>
      </c>
      <c r="AD25" s="542" t="str">
        <f>IF(_xll.ciqfunctions.udf.CIQ($A25, "IQ_EBITDA_EST",$B$5, $L$2, "CON", $L$3, $L$5, $L$6)=0,"n/a",_xll.ciqfunctions.udf.CIQ($A25, "IQ_EBITDA_EST",$B$5, $L$2, "CON", $L$3, $L$5, $L$6))</f>
        <v>n/a</v>
      </c>
      <c r="AE25" s="542" t="str">
        <f>IF(_xll.ciqfunctions.udf.CIQ($A25, "IQ_EBITDA_EST",$B$6, $L$2, "CON", $L$3, $L$5, $L$6)=0,"n/a",_xll.ciqfunctions.udf.CIQ($A25, "IQ_EBITDA_EST",$B$6, $L$2, "CON", $L$3, $L$5, $L$6))</f>
        <v>n/a</v>
      </c>
      <c r="AF25" s="543" t="str">
        <f>IF(ISERROR(_xll.ciqfunctions.udf.CIQ($A25, "IQ_GROSS_MARGIN", IQ_LTM, $L$2,$L$4, $L$3, $L$5, $L$6)/100), "n/a", _xll.ciqfunctions.udf.CIQ($A25,  "IQ_GROSS_MARGIN", IQ_LTM, $L$2, $L$4, $L$3, $L$5, $L$6)/100)</f>
        <v>n/a</v>
      </c>
      <c r="AG25" s="543" t="str">
        <f>IF(ISERROR(_xll.ciqfunctions.udf.CIQ($A25,"IQ_EBITDA_MARGIN", IQ_LTM, $L$2, $L$4, $L$3, $L$5, $L$6)/100), "n/a", _xll.ciqfunctions.udf.CIQ($A25, "IQ_EBITDA_MARGIN", IQ_LTM, $L$2, $L$4, $L$3, $L$5, $L$6)/100)</f>
        <v>n/a</v>
      </c>
      <c r="AH25" s="543" t="str">
        <f>IF(ISERROR(_xll.ciqfunctions.udf.CIQ($A25,"IQ_EBIT_MARGIN", IQ_LTM, $L$2, $L$4, $L$3, $L$5, $L$6)/100), "n/a", _xll.ciqfunctions.udf.CIQ($A25, "IQ_EBIT_MARGIN", IQ_LTM, $L$2, $L$4, $L$3, $L$5, $L$6)/100)</f>
        <v>n/a</v>
      </c>
      <c r="AI25" s="543" t="str">
        <f>IF(ISERROR(_xll.ciqfunctions.udf.CIQ($A25,"IQ_NI_MARGIN", IQ_LTM, $L$2, $L$4, $L$3, $L$5, $L$6)/100), "n/a", _xll.ciqfunctions.udf.CIQ($A25, "IQ_NI_MARGIN", IQ_LTM, $L$2, $L$4, $L$3, $L$5, $L$6)/100)</f>
        <v>n/a</v>
      </c>
      <c r="AJ25" s="542" t="str">
        <f>IF(ISERROR(_xll.ciqfunctions.udf.CIQ($A25, "IQ_NET_WORKING_CAP", IQ_LTM-8, $L$2, $L$4, $L$3, $L$5, $L$6)), "n/a", _xll.ciqfunctions.udf.CIQ($A25, "IQ_NET_WORKING_CAP", IQ_LTM-8, $L$2, $L$4, $L$3, $L$5, $L$6))</f>
        <v>n/a</v>
      </c>
      <c r="AK25" s="542">
        <f>IF(ISERROR(_xll.ciqfunctions.udf.CIQ($A25, "IQ_NET_WORKING_CAP", IQ_LTM-4, $L$2, $L$4, $L$3, $L$5, $L$6)), "n/a", _xll.ciqfunctions.udf.CIQ($A25, "IQ_NET_WORKING_CAP", IQ_LTM-4, $L$2, $L$4, $L$3, $L$5, $L$6))</f>
        <v>-0.73329</v>
      </c>
      <c r="AL25" s="542">
        <f>IF(ISERROR(_xll.ciqfunctions.udf.CIQ($A25, "IQ_NET_WORKING_CAP", IQ_LTM, $L$2,$L$4, $L$3, $L$5, $L$6)), "n/a", _xll.ciqfunctions.udf.CIQ($A25, "IQ_NET_WORKING_CAP", IQ_LTM, $L$2, $L$4, $L$3, $L$5, $L$6))</f>
        <v>-1.4980800000000001</v>
      </c>
      <c r="AM25" s="542" t="str">
        <f>IF(ISERROR(_xll.ciqfunctions.udf.CIQ($A25, "IQ_Capex", IQ_LTM-8, $L$2,$L$4, $L$3, $L$5, $L$6)), "n/a", _xll.ciqfunctions.udf.CIQ($A25, "IQ_Capex", IQ_LTM-8, $L$2, $L$4, $L$3, $L$5, $L$6))</f>
        <v>n/a</v>
      </c>
      <c r="AN25" s="542" t="str">
        <f>IF(ISERROR(_xll.ciqfunctions.udf.CIQ($A25, "IQ_Capex", IQ_LTM-4, $L$2,$L$4, $L$3, $L$5, $L$6)), "n/a", _xll.ciqfunctions.udf.CIQ($A25, "IQ_Capex", IQ_LTM-4, $L$2,$L$4, $L$3, $L$5, $L$6))</f>
        <v>n/a</v>
      </c>
      <c r="AO25" s="542">
        <f>IF(ISERROR(_xll.ciqfunctions.udf.CIQ($A25, "IQ_Capex", IQ_LTM, $L$2, $L$4, $L$3, $L$5, $L$6)), "n/a", _xll.ciqfunctions.udf.CIQ($A25, "IQ_Capex", IQ_LTM, $L$2, $L$4, $L$3, $L$5, $L$6))</f>
        <v>-1.6900000000000001E-3</v>
      </c>
      <c r="AP25" s="544" t="str">
        <f>_xll.ciqfunctions.udf.CIQ(A25, "IQ_BUSINESS_DESCRIPTION")</f>
        <v>Nexus BioPharma, Inc., a life science company, focuses on the development and commercialization of a pharmaceutical preparation to treat obesity and the symptoms of type 2 diabetes. The company is headquartered in Houston, Texas.</v>
      </c>
      <c r="AQ25" s="545">
        <f>_xll.ciqfunctions.udf.CIQ($A25, "IQ_BETA_1YR", $B$1)</f>
        <v>3.8710399999999998</v>
      </c>
      <c r="AR25" s="545">
        <f>_xll.ciqfunctions.udf.CIQ($A25, "IQ_BETA_2YR", $B$1)</f>
        <v>3.7693300000000001</v>
      </c>
      <c r="AS25" s="545">
        <f>_xll.ciqfunctions.udf.CIQ($A25, "IQ_BETA_5YR", $B$1)</f>
        <v>4.5839299999999996</v>
      </c>
      <c r="AT25" s="543" t="e">
        <f>_xll.ciqfunctions.udf.CIQ($A25, "IQ_DIVIDEND_YIELD", $B$1)/100</f>
        <v>#VALUE!</v>
      </c>
      <c r="AU25" s="542" t="str">
        <f>_xll.ciqfunctions.udf.CIQ($A25, "IQ_EARNING_CO", IQ_LTM-8, $L$2, $L$4, $L$3, $L$5, $L$6)</f>
        <v>n/a</v>
      </c>
      <c r="AV25" s="542">
        <f>_xll.ciqfunctions.udf.CIQ($A25, "IQ_EARNING_CO", IQ_LTM-4, $L$2, $L$4, $L$3, $L$5, $L$6)</f>
        <v>-1.26711</v>
      </c>
      <c r="AW25" s="542">
        <f>_xll.ciqfunctions.udf.CIQ($A25, "IQ_EARNING_CO", IQ_LTM, $L$2, $L$4, $L$3, $L$5, $L$6)</f>
        <v>-0.81664000000000003</v>
      </c>
      <c r="AX25" s="542">
        <f>_xll.ciqfunctions.udf.CIQ($A25, "IQ_EARNING_CO", $B$2, $L$2, $L$4, $L$3, $L$5, $L$6)</f>
        <v>-0.65646000000000004</v>
      </c>
      <c r="AY25" s="542" t="str">
        <f>IF(_xll.ciqfunctions.udf.CIQ($A25, "IQ_EARNING_CO", $B$3, $L$2,$L$4, $L$3, $L$5, $L$6)=0,AW25,_xll.ciqfunctions.udf.CIQ($A25, "IQ_EARNING_CO", $B$3, $L$2,$L$4, $L$3, $L$5, $L$6))</f>
        <v>n/a</v>
      </c>
      <c r="AZ25" s="542" t="str">
        <f>_xll.ciqfunctions.udf.CIQ($A25, "IQ_TOTAL_EQUITY", IQ_LTM-8, $L$2, $L$4, $L$3, $L$5, $L$6)</f>
        <v>n/a</v>
      </c>
      <c r="BA25" s="542">
        <f>_xll.ciqfunctions.udf.CIQ($A25, "IQ_TOTAL_EQUITY", IQ_LTM-4, $L$2, $L$4, $L$3, $L$5, $L$6)</f>
        <v>-0.93464999999999998</v>
      </c>
      <c r="BB25" s="542">
        <f>_xll.ciqfunctions.udf.CIQ($A25, "IQ_TOTAL_EQUITY", IQ_LTM, $L$2, $L$4, $L$3, $L$5, $L$6)</f>
        <v>-1.8492</v>
      </c>
      <c r="BC25" s="542">
        <f>_xll.ciqfunctions.udf.CIQ($A25, "IQ_TOTAL_EQUITY", $B$2, $L$2, $L$4, $L$3, $L$5, $L$6)</f>
        <v>-1.34463</v>
      </c>
      <c r="BD25" s="542" t="str">
        <f>IF(_xll.ciqfunctions.udf.CIQ($A25, "IQ_TOTAL_EQUITY", $B$3, $L$2,$L$4, $L$3, $L$5, $L$6)=0,BB25,_xll.ciqfunctions.udf.CIQ($A25, "IQ_TOTAL_EQUITY", $B$3, $L$2,$L$4, $L$3, $L$5, $L$6))</f>
        <v>n/a</v>
      </c>
      <c r="BE25" s="542">
        <f>_xll.ciqfunctions.udf.CIQ(A25, "IQ_LASTSALEPRICE", $B$8)</f>
        <v>0.08</v>
      </c>
      <c r="BF25" s="542">
        <f>_xll.ciqfunctions.udf.CIQ($A25, "IQ_MARKETCAP", $B$8, $L$5, $L$6)</f>
        <v>5.1440000000000001</v>
      </c>
      <c r="BG25" s="542">
        <f>_xll.ciqfunctions.udf.CIQ($A25, "IQ_TOTAL_DEBT", IQ_LTM, $B$8,$L$4, $L$3, $L$5, $L$6)</f>
        <v>0.36752000000000001</v>
      </c>
      <c r="BH25" s="492" t="str">
        <f>_xll.ciqfunctions.udf.CIQ($A25,"IQ_PREF_EQUITY",IQ_LTM,$B$8,$L$4,$L$3,$L$5,$L$6)</f>
        <v>n/a</v>
      </c>
      <c r="BI25" s="492" t="str">
        <f>_xll.ciqfunctions.udf.CIQ($A25, "IQ_MINORITY_INTEREST_TOTAL", IQ_LTM,$B$8,$L$4,$L$3,$L$5,$L$6)</f>
        <v>n/a</v>
      </c>
      <c r="BJ25" s="542">
        <f>_xll.ciqfunctions.udf.CIQ($A25, "IQ_CASH_ST_INVEST", IQ_LTM, $B$8, $L$4, $L$3, $L$5, $L$6)</f>
        <v>8.43E-3</v>
      </c>
      <c r="BK25" s="492" t="str">
        <f>_xll.ciqfunctions.udf.CIQ($A25, "IQ_EFFECT_TAX_RATE")</f>
        <v>n/a</v>
      </c>
      <c r="BL25" s="492" t="e">
        <f>IF(_xll.ciqfunctions.udf.CIQ($A25, "IQ_TOTAL_REV_2YR_ANN_CAGR", IQ_LTM, $B$1,$L$4, $L$3, $L$5, $L$6)="NM","n/a",(_xll.ciqfunctions.udf.CIQ($A25, "IQ_TOTAL_REV_2YR_ANN_CAGR", IQ_LTM, $B$1,$L$4, $L$3, $L$5, $L$6)/100))</f>
        <v>#VALUE!</v>
      </c>
      <c r="BM25" s="492" t="e">
        <f>IF(_xll.ciqfunctions.udf.CIQ($A25, "IQ_TOTAL_REV_3YR_ANN_CAGR", IQ_LTM, $B$1,$L$4, $L$3, $L$5, $L$6)="NM","n/a",(_xll.ciqfunctions.udf.CIQ($A25, "IQ_TOTAL_REV_3YR_ANN_CAGR", IQ_LTM, $B$1,$L$4, $L$3, $L$5, $L$6)/100))</f>
        <v>#VALUE!</v>
      </c>
      <c r="BN25" s="492" t="e">
        <f>IF(_xll.ciqfunctions.udf.CIQ($A25, "IQ_TOTAL_REV_5YR_ANN_CAGR", IQ_LTM, $B$1,$L$4, $L$3, $L$5, $L$6)="NM","n/a",(_xll.ciqfunctions.udf.CIQ($A25, "IQ_TOTAL_REV_5YR_ANN_CAGR", IQ_LTM, $B$1,$L$4, $L$3, $L$5, $L$6)/100))</f>
        <v>#VALUE!</v>
      </c>
      <c r="BO25" s="492" t="e">
        <f>IF(_xll.ciqfunctions.udf.CIQ($A25,"IQ_EBITDA_2YR_ANN_CAGR", IQ_LTM,$B$1,$L$4, $L$3, $L$5, $L$6)="NM","n/a",(_xll.ciqfunctions.udf.CIQ($A25,"IQ_EBITDA_2YR_ANN_CAGR", IQ_LTM,$B$1,$L$4, $L$3, $L$5, $L$6)/100))</f>
        <v>#VALUE!</v>
      </c>
      <c r="BP25" s="492" t="e">
        <f>IF(_xll.ciqfunctions.udf.CIQ($A25,"IQ_EBITDA_3YR_ANN_CAGR", IQ_LTM,$B$1,$L$4, $L$3, $L$5, $L$6)="NM","n/a",(_xll.ciqfunctions.udf.CIQ($A25,"IQ_EBITDA_3YR_ANN_CAGR", IQ_LTM,$B$1,$L$4, $L$3, $L$5, $L$6)/100))</f>
        <v>#VALUE!</v>
      </c>
      <c r="BQ25" s="492" t="e">
        <f>IF(_xll.ciqfunctions.udf.CIQ($A25,"IQ_EBITDA_5YR_ANN_CAGR", IQ_LTM,$B$1,$L$4, $L$3, $L$5, $L$6)="NM","n/a",(_xll.ciqfunctions.udf.CIQ($A25,"IQ_EBITDA_5YR_ANN_CAGR", IQ_LTM,$B$1,$L$4, $L$3, $L$5, $L$6)/100))</f>
        <v>#VALUE!</v>
      </c>
      <c r="BR25" s="496" t="str">
        <f>IFERROR((_xll.ciqfunctions.udf.CIQ($A25, "IQ_DA_CF", IQ_LTM, $B$1, $L$4, $L$3, $L$5, $L$6)/Q25),"NM")</f>
        <v>NM</v>
      </c>
      <c r="BS25" s="546">
        <f>'Capital IQ Sheet-GPC'!BS25</f>
        <v>2.7642539241187154</v>
      </c>
      <c r="BT25" s="546">
        <f>'Capital IQ Sheet-GPC'!BT25</f>
        <v>2.3602791126601241</v>
      </c>
      <c r="BU25" s="546">
        <f>'Capital IQ Sheet-GPC'!BU25</f>
        <v>2.3373167702285089</v>
      </c>
      <c r="BV25" s="546" t="str">
        <f>'Capital IQ Sheet-GPC'!BV25</f>
        <v>n/a</v>
      </c>
      <c r="BW25" s="546" t="str">
        <f>'Capital IQ Sheet-GPC'!BW25</f>
        <v>n/a</v>
      </c>
      <c r="BX25" s="546" t="str">
        <f>'Capital IQ Sheet-GPC'!BX25</f>
        <v>n/a</v>
      </c>
      <c r="BY25" s="546" t="str">
        <f>'Capital IQ Sheet-GPC'!BY25</f>
        <v>n/a</v>
      </c>
      <c r="BZ25" s="546" t="str">
        <f>'Capital IQ Sheet-GPC'!BZ25</f>
        <v>n/a</v>
      </c>
      <c r="CB25" s="492">
        <v>2</v>
      </c>
      <c r="CC25" s="632" t="s">
        <v>253</v>
      </c>
      <c r="CD25" s="632" t="s">
        <v>252</v>
      </c>
      <c r="CE25" s="494">
        <f t="shared" si="1"/>
        <v>42551</v>
      </c>
    </row>
    <row r="26" spans="1:83" s="492" customFormat="1" ht="12.75">
      <c r="A26" s="493" t="str">
        <f>_xll.ciqfunctions.udf.CIQ($B26,"IQ_COMPANY_TICKER")</f>
        <v>NasdaqCM:RTTR</v>
      </c>
      <c r="B26" s="541" t="str">
        <f>'Capital IQ Sheet-GPC'!B26</f>
        <v>IQ62102047</v>
      </c>
      <c r="C26" s="493" t="str">
        <f>_xll.ciqfunctions.udf.CIQ($A26,"IQ_COMPANY_NAME")</f>
        <v>Ritter Pharmaceuticals, Inc.</v>
      </c>
      <c r="D26" s="493" t="str">
        <f>_xll.ciqfunctions.udf.CIQ($A26, "IQ_EXCHANGE")</f>
        <v>NasdaqCM</v>
      </c>
      <c r="E26" s="540">
        <f>_xll.ciqfunctions.udf.CIQ($A26, "IQ_PERIODDATE_IS", IQ_FY)</f>
        <v>43100</v>
      </c>
      <c r="F26" s="540">
        <f>_xll.ciqfunctions.udf.CIQ(A26, "IQ_PERIODDATE_IS", IQ_LTM, $B$1,$L$4,$L$3)</f>
        <v>43190</v>
      </c>
      <c r="G26" s="540">
        <f>_xll.ciqfunctions.udf.CIQ($A26, "IQ_FIRSTPRICINGDATE")</f>
        <v>42179</v>
      </c>
      <c r="H26" s="542">
        <f>_xll.ciqfunctions.udf.CIQ($A26, "IQ_TEV", $L$2, $L$5, $L$6)</f>
        <v>-1.06759</v>
      </c>
      <c r="I26" s="542">
        <f>_xll.ciqfunctions.udf.CIQ(A26, "IQ_LASTSALEPRICE", $B$1,$L$5)</f>
        <v>2.57</v>
      </c>
      <c r="J26" s="542">
        <f>_xll.ciqfunctions.udf.CIQ($A26, "IQ_MARKETCAP", $L$2, $L$5, $L$6)</f>
        <v>12.90047</v>
      </c>
      <c r="K26" s="542">
        <f>_xll.ciqfunctions.udf.CIQ($A26, "IQ_TOTAL_DEBT", IQ_LTM, $L$2,$L$4, $L$3, $L$5, $L$6)</f>
        <v>0</v>
      </c>
      <c r="L26" s="542">
        <f>_xll.ciqfunctions.udf.CIQ($A26, "IQ_PREF_EQUITY", IQ_LTM, $L$2, $L$4, $L$3, $L$5, $L$6)</f>
        <v>4.9489799999999997</v>
      </c>
      <c r="M26" s="542" t="str">
        <f>_xll.ciqfunctions.udf.CIQ($A26, "IQ_MINORITY_INTEREST_TOTAL", IQ_LTM, $L$2, $L$4, $L$3, $L$5, $L$6)</f>
        <v>n/a</v>
      </c>
      <c r="N26" s="542">
        <f>_xll.ciqfunctions.udf.CIQ($A26, "IQ_CASH_ST_INVEST", IQ_LTM, $L$2, $L$4, $L$3, $L$5, $L$6)</f>
        <v>18.91704</v>
      </c>
      <c r="O26" s="542" t="str">
        <f>_xll.ciqfunctions.udf.CIQ($A26, "IQ_TOTAL_REV", IQ_LTM-8, $L$2, $L$4, $L$3, $L$5, $L$6)</f>
        <v>n/a</v>
      </c>
      <c r="P26" s="542" t="str">
        <f>_xll.ciqfunctions.udf.CIQ($A26, "IQ_TOTAL_REV", IQ_LTM - 4, $L$2, $L$4, $L$3, $L$5,$L$6)</f>
        <v>n/a</v>
      </c>
      <c r="Q26" s="542" t="str">
        <f>_xll.ciqfunctions.udf.CIQ($A26, "IQ_TOTAL_REV", IQ_LTM, $L$2, $L$4, $L$3, $L$5, $L$6)</f>
        <v>n/a</v>
      </c>
      <c r="R26" s="542" t="str">
        <f>_xll.ciqfunctions.udf.CIQ($A26, "IQ_TOTAL_REV", $B$2, $L$2, $L$4, $L$3, $L$5, $L$6)</f>
        <v>n/a</v>
      </c>
      <c r="S26" s="542" t="str">
        <f>IF(_xll.ciqfunctions.udf.CIQ($A26, "IQ_TOTAL_REV", $B$3, $L$2,$L$4, $L$3, $L$5, $L$6)=0,Q26,_xll.ciqfunctions.udf.CIQ($A26, "IQ_TOTAL_REV", $B$3, $L$2,$L$4, $L$3, $L$5, $L$6))</f>
        <v>n/a</v>
      </c>
      <c r="T26" s="542" t="str">
        <f>IF(_xll.ciqfunctions.udf.CIQ($A26, "IQ_REVENUE_EST",$B$4, $L$2, "CON", $L$3, $L$5, $L$6)=0,"n/a",_xll.ciqfunctions.udf.CIQ($A26, "IQ_REVENUE_EST",$B$4, $L$2, "CON", $L$3, $L$5, $L$6))</f>
        <v>n/a</v>
      </c>
      <c r="U26" s="542" t="str">
        <f>IF(_xll.ciqfunctions.udf.CIQ($A26, "IQ_REVENUE_EST",$B$5, $L$2, "CON", $L$3, $L$5, $L$6)=0,"n/a",_xll.ciqfunctions.udf.CIQ($A26, "IQ_REVENUE_EST",$B$5, $L$2, "CON", $L$3, $L$5, $L$6))</f>
        <v>n/a</v>
      </c>
      <c r="V26" s="542">
        <f>IF(_xll.ciqfunctions.udf.CIQ($A26, "IQ_REVENUE_EST",$B$6, $L$2, "CON", $L$3, $L$5, $L$6)=0,"n/a",_xll.ciqfunctions.udf.CIQ($A26, "IQ_REVENUE_EST",$B$6, $L$2, "CON", $L$3, $L$5, $L$6))</f>
        <v>1</v>
      </c>
      <c r="W26" s="542" t="str">
        <f>IF(_xll.ciqfunctions.udf.CIQ($A26, "IQ_REVENUE_EST", $B$7, $L$2, "CON", $L$3, $L$5, $L$6)=0,"n/a",_xll.ciqfunctions.udf.CIQ($A26, "IQ_REVENUE_EST",$B$7, $L$2, "CON", $L$3, $L$5, $L$6))</f>
        <v>n/a</v>
      </c>
      <c r="X26" s="542">
        <f>_xll.ciqfunctions.udf.CIQ($A26, "IQ_EBITDA", IQ_LTM-8, $L$2, $L$4, $L$3, $L$5, $L$6)</f>
        <v>-10.65944</v>
      </c>
      <c r="Y26" s="542">
        <f>_xll.ciqfunctions.udf.CIQ($A26, "IQ_EBITDA", IQ_LTM-4, $L$2,$L$4, $L$3, $L$5, $L$6)</f>
        <v>-16.97242</v>
      </c>
      <c r="Z26" s="542">
        <f>_xll.ciqfunctions.udf.CIQ($A26, "IQ_EBITDA", IQ_LTM, $L$2, $L$4, $L$3, $L$5, $L$6)</f>
        <v>-8.2541600000000006</v>
      </c>
      <c r="AA26" s="542">
        <f>_xll.ciqfunctions.udf.CIQ($A26, "IQ_EBITDA", $B$2, $L$2, $L$4, $L$3, $L$5, $L$6)</f>
        <v>-18.441520000000001</v>
      </c>
      <c r="AB26" s="542">
        <f>IF(_xll.ciqfunctions.udf.CIQ($A26, "IQ_EBITDA", $B$3, $L$2,$L$4, $L$3, $L$5, $L$6)=0,Z26,_xll.ciqfunctions.udf.CIQ($A26, "IQ_EBITDA", $B$3, $L$2,$L$4, $L$3, $L$5, $L$6))</f>
        <v>-7.8967400000000003</v>
      </c>
      <c r="AC26" s="542" t="str">
        <f>IF(_xll.ciqfunctions.udf.CIQ($A26, "IQ_EBITDA_EST",$B$4, $L$2, "CON", $L$3, $L$5, $L$6)=0,"n/a",_xll.ciqfunctions.udf.CIQ($A26, "IQ_EBITDA_EST",$B$4, $L$2, "CON", $L$3, $L$5, $L$6))</f>
        <v>n/a</v>
      </c>
      <c r="AD26" s="542" t="str">
        <f>IF(_xll.ciqfunctions.udf.CIQ($A26, "IQ_EBITDA_EST",$B$5, $L$2, "CON", $L$3, $L$5, $L$6)=0,"n/a",_xll.ciqfunctions.udf.CIQ($A26, "IQ_EBITDA_EST",$B$5, $L$2, "CON", $L$3, $L$5, $L$6))</f>
        <v>n/a</v>
      </c>
      <c r="AE26" s="542" t="str">
        <f>IF(_xll.ciqfunctions.udf.CIQ($A26, "IQ_EBITDA_EST",$B$6, $L$2, "CON", $L$3, $L$5, $L$6)=0,"n/a",_xll.ciqfunctions.udf.CIQ($A26, "IQ_EBITDA_EST",$B$6, $L$2, "CON", $L$3, $L$5, $L$6))</f>
        <v>n/a</v>
      </c>
      <c r="AF26" s="543" t="str">
        <f>IF(ISERROR(_xll.ciqfunctions.udf.CIQ($A26, "IQ_GROSS_MARGIN", IQ_LTM, $L$2,$L$4, $L$3, $L$5, $L$6)/100), "n/a", _xll.ciqfunctions.udf.CIQ($A26,  "IQ_GROSS_MARGIN", IQ_LTM, $L$2, $L$4, $L$3, $L$5, $L$6)/100)</f>
        <v>n/a</v>
      </c>
      <c r="AG26" s="543" t="str">
        <f>IF(ISERROR(_xll.ciqfunctions.udf.CIQ($A26,"IQ_EBITDA_MARGIN", IQ_LTM, $L$2, $L$4, $L$3, $L$5, $L$6)/100), "n/a", _xll.ciqfunctions.udf.CIQ($A26, "IQ_EBITDA_MARGIN", IQ_LTM, $L$2, $L$4, $L$3, $L$5, $L$6)/100)</f>
        <v>n/a</v>
      </c>
      <c r="AH26" s="543" t="str">
        <f>IF(ISERROR(_xll.ciqfunctions.udf.CIQ($A26,"IQ_EBIT_MARGIN", IQ_LTM, $L$2, $L$4, $L$3, $L$5, $L$6)/100), "n/a", _xll.ciqfunctions.udf.CIQ($A26, "IQ_EBIT_MARGIN", IQ_LTM, $L$2, $L$4, $L$3, $L$5, $L$6)/100)</f>
        <v>n/a</v>
      </c>
      <c r="AI26" s="543" t="str">
        <f>IF(ISERROR(_xll.ciqfunctions.udf.CIQ($A26,"IQ_NI_MARGIN", IQ_LTM, $L$2, $L$4, $L$3, $L$5, $L$6)/100), "n/a", _xll.ciqfunctions.udf.CIQ($A26, "IQ_NI_MARGIN", IQ_LTM, $L$2, $L$4, $L$3, $L$5, $L$6)/100)</f>
        <v>n/a</v>
      </c>
      <c r="AJ26" s="542">
        <f>IF(ISERROR(_xll.ciqfunctions.udf.CIQ($A26, "IQ_NET_WORKING_CAP", IQ_LTM-8, $L$2, $L$4, $L$3, $L$5, $L$6)), "n/a", _xll.ciqfunctions.udf.CIQ($A26, "IQ_NET_WORKING_CAP", IQ_LTM-8, $L$2, $L$4, $L$3, $L$5, $L$6))</f>
        <v>-2.18946</v>
      </c>
      <c r="AK26" s="542">
        <f>IF(ISERROR(_xll.ciqfunctions.udf.CIQ($A26, "IQ_NET_WORKING_CAP", IQ_LTM-4, $L$2, $L$4, $L$3, $L$5, $L$6)), "n/a", _xll.ciqfunctions.udf.CIQ($A26, "IQ_NET_WORKING_CAP", IQ_LTM-4, $L$2, $L$4, $L$3, $L$5, $L$6))</f>
        <v>-2.4008699999999998</v>
      </c>
      <c r="AL26" s="542">
        <f>IF(ISERROR(_xll.ciqfunctions.udf.CIQ($A26, "IQ_NET_WORKING_CAP", IQ_LTM, $L$2,$L$4, $L$3, $L$5, $L$6)), "n/a", _xll.ciqfunctions.udf.CIQ($A26, "IQ_NET_WORKING_CAP", IQ_LTM, $L$2, $L$4, $L$3, $L$5, $L$6))</f>
        <v>-0.62397999999999998</v>
      </c>
      <c r="AM26" s="542">
        <f>IF(ISERROR(_xll.ciqfunctions.udf.CIQ($A26, "IQ_Capex", IQ_LTM-8, $L$2,$L$4, $L$3, $L$5, $L$6)), "n/a", _xll.ciqfunctions.udf.CIQ($A26, "IQ_Capex", IQ_LTM-8, $L$2, $L$4, $L$3, $L$5, $L$6))</f>
        <v>-2.443E-2</v>
      </c>
      <c r="AN26" s="542">
        <f>IF(ISERROR(_xll.ciqfunctions.udf.CIQ($A26, "IQ_Capex", IQ_LTM-4, $L$2,$L$4, $L$3, $L$5, $L$6)), "n/a", _xll.ciqfunctions.udf.CIQ($A26, "IQ_Capex", IQ_LTM-4, $L$2,$L$4, $L$3, $L$5, $L$6))</f>
        <v>-6.3000000000000003E-4</v>
      </c>
      <c r="AO26" s="542">
        <f>IF(ISERROR(_xll.ciqfunctions.udf.CIQ($A26, "IQ_Capex", IQ_LTM, $L$2, $L$4, $L$3, $L$5, $L$6)), "n/a", _xll.ciqfunctions.udf.CIQ($A26, "IQ_Capex", IQ_LTM, $L$2, $L$4, $L$3, $L$5, $L$6))</f>
        <v>-7.6800000000000002E-3</v>
      </c>
      <c r="AP26" s="544" t="str">
        <f>_xll.ciqfunctions.udf.CIQ(A26, "IQ_BUSINESS_DESCRIPTION")</f>
        <v>Ritter Pharmaceuticals, Inc. develops and sells novel therapeutic products that modulate the human gut microbiome to treat gastrointestinal diseases. Its lead product candidate is RP-G28, a novel microbiome modulator, which has completed Phase 2b clinical trial for the reduction of symptoms associated with lactose intolerance. The company’s product, RP-G28 is designed to stimulate the growth of lactose-metabolizing bacteria in the colon, thereby adapting the gut microbiome to assist in digesting the lactose that reaches the large intestine. The company was formerly known as Ritter Natural Sciences, LLC and changed its name to Ritter Pharmaceuticals, Inc. in September 2008. Ritter Pharmaceuticals, Inc. was founded in 2004 and is headquartered in Los Angeles, California.</v>
      </c>
      <c r="AQ26" s="545">
        <f>_xll.ciqfunctions.udf.CIQ($A26, "IQ_BETA_1YR", $B$1)</f>
        <v>1.80436</v>
      </c>
      <c r="AR26" s="545">
        <f>_xll.ciqfunctions.udf.CIQ($A26, "IQ_BETA_2YR", $B$1)</f>
        <v>2.1932900000000002</v>
      </c>
      <c r="AS26" s="545">
        <f>_xll.ciqfunctions.udf.CIQ($A26, "IQ_BETA_5YR", $B$1)</f>
        <v>0.78029000000000004</v>
      </c>
      <c r="AT26" s="543" t="e">
        <f>_xll.ciqfunctions.udf.CIQ($A26, "IQ_DIVIDEND_YIELD", $B$1)/100</f>
        <v>#VALUE!</v>
      </c>
      <c r="AU26" s="542">
        <f>_xll.ciqfunctions.udf.CIQ($A26, "IQ_EARNING_CO", IQ_LTM-8, $L$2, $L$4, $L$3, $L$5, $L$6)</f>
        <v>-10.52922</v>
      </c>
      <c r="AV26" s="542">
        <f>_xll.ciqfunctions.udf.CIQ($A26, "IQ_EARNING_CO", IQ_LTM-4, $L$2, $L$4, $L$3, $L$5, $L$6)</f>
        <v>-16.92942</v>
      </c>
      <c r="AW26" s="542">
        <f>_xll.ciqfunctions.udf.CIQ($A26, "IQ_EARNING_CO", IQ_LTM, $L$2, $L$4, $L$3, $L$5, $L$6)</f>
        <v>-8.2033100000000001</v>
      </c>
      <c r="AX26" s="542">
        <f>_xll.ciqfunctions.udf.CIQ($A26, "IQ_EARNING_CO", $B$2, $L$2, $L$4, $L$3, $L$5, $L$6)</f>
        <v>-18.384630000000001</v>
      </c>
      <c r="AY26" s="542">
        <f>IF(_xll.ciqfunctions.udf.CIQ($A26, "IQ_EARNING_CO", $B$3, $L$2,$L$4, $L$3, $L$5, $L$6)=0,AW26,_xll.ciqfunctions.udf.CIQ($A26, "IQ_EARNING_CO", $B$3, $L$2,$L$4, $L$3, $L$5, $L$6))</f>
        <v>-7.8638599999999999</v>
      </c>
      <c r="AZ26" s="542">
        <f>_xll.ciqfunctions.udf.CIQ($A26, "IQ_TOTAL_EQUITY", IQ_LTM-8, $L$2, $L$4, $L$3, $L$5, $L$6)</f>
        <v>11.93627</v>
      </c>
      <c r="BA26" s="542">
        <f>_xll.ciqfunctions.udf.CIQ($A26, "IQ_TOTAL_EQUITY", IQ_LTM-4, $L$2, $L$4, $L$3, $L$5, $L$6)</f>
        <v>2.7240000000000002</v>
      </c>
      <c r="BB26" s="542">
        <f>_xll.ciqfunctions.udf.CIQ($A26, "IQ_TOTAL_EQUITY", IQ_LTM, $L$2, $L$4, $L$3, $L$5, $L$6)</f>
        <v>18.325900000000001</v>
      </c>
      <c r="BC26" s="542">
        <f>_xll.ciqfunctions.udf.CIQ($A26, "IQ_TOTAL_EQUITY", $B$2, $L$2, $L$4, $L$3, $L$5, $L$6)</f>
        <v>4.1030600000000002</v>
      </c>
      <c r="BD26" s="542">
        <f>IF(_xll.ciqfunctions.udf.CIQ($A26, "IQ_TOTAL_EQUITY", $B$3, $L$2,$L$4, $L$3, $L$5, $L$6)=0,BB26,_xll.ciqfunctions.udf.CIQ($A26, "IQ_TOTAL_EQUITY", $B$3, $L$2,$L$4, $L$3, $L$5, $L$6))</f>
        <v>20.125979999999998</v>
      </c>
      <c r="BE26" s="542">
        <f>_xll.ciqfunctions.udf.CIQ(A26, "IQ_LASTSALEPRICE", $B$8)</f>
        <v>3.2</v>
      </c>
      <c r="BF26" s="542">
        <f>_xll.ciqfunctions.udf.CIQ($A26, "IQ_MARKETCAP", $B$8, $L$5, $L$6)</f>
        <v>15.842090000000001</v>
      </c>
      <c r="BG26" s="542">
        <f>_xll.ciqfunctions.udf.CIQ($A26, "IQ_TOTAL_DEBT", IQ_LTM, $B$8,$L$4, $L$3, $L$5, $L$6)</f>
        <v>0</v>
      </c>
      <c r="BH26" s="492" t="str">
        <f>_xll.ciqfunctions.udf.CIQ($A26,"IQ_PREF_EQUITY",IQ_LTM,$B$8,$L$4,$L$3,$L$5,$L$6)</f>
        <v>n/a</v>
      </c>
      <c r="BI26" s="492" t="str">
        <f>_xll.ciqfunctions.udf.CIQ($A26, "IQ_MINORITY_INTEREST_TOTAL", IQ_LTM,$B$8,$L$4,$L$3,$L$5,$L$6)</f>
        <v>n/a</v>
      </c>
      <c r="BJ26" s="542">
        <f>_xll.ciqfunctions.udf.CIQ($A26, "IQ_CASH_ST_INVEST", IQ_LTM, $B$8, $L$4, $L$3, $L$5, $L$6)</f>
        <v>3.5588700000000002</v>
      </c>
      <c r="BK26" s="492" t="str">
        <f>_xll.ciqfunctions.udf.CIQ($A26, "IQ_EFFECT_TAX_RATE")</f>
        <v>n/a</v>
      </c>
      <c r="BL26" s="492" t="e">
        <f>IF(_xll.ciqfunctions.udf.CIQ($A26, "IQ_TOTAL_REV_2YR_ANN_CAGR", IQ_LTM, $B$1,$L$4, $L$3, $L$5, $L$6)="NM","n/a",(_xll.ciqfunctions.udf.CIQ($A26, "IQ_TOTAL_REV_2YR_ANN_CAGR", IQ_LTM, $B$1,$L$4, $L$3, $L$5, $L$6)/100))</f>
        <v>#VALUE!</v>
      </c>
      <c r="BM26" s="492" t="e">
        <f>IF(_xll.ciqfunctions.udf.CIQ($A26, "IQ_TOTAL_REV_3YR_ANN_CAGR", IQ_LTM, $B$1,$L$4, $L$3, $L$5, $L$6)="NM","n/a",(_xll.ciqfunctions.udf.CIQ($A26, "IQ_TOTAL_REV_3YR_ANN_CAGR", IQ_LTM, $B$1,$L$4, $L$3, $L$5, $L$6)/100))</f>
        <v>#VALUE!</v>
      </c>
      <c r="BN26" s="492" t="e">
        <f>IF(_xll.ciqfunctions.udf.CIQ($A26, "IQ_TOTAL_REV_5YR_ANN_CAGR", IQ_LTM, $B$1,$L$4, $L$3, $L$5, $L$6)="NM","n/a",(_xll.ciqfunctions.udf.CIQ($A26, "IQ_TOTAL_REV_5YR_ANN_CAGR", IQ_LTM, $B$1,$L$4, $L$3, $L$5, $L$6)/100))</f>
        <v>#VALUE!</v>
      </c>
      <c r="BO26" s="492" t="str">
        <f>IF(_xll.ciqfunctions.udf.CIQ($A26,"IQ_EBITDA_2YR_ANN_CAGR", IQ_LTM,$B$1,$L$4, $L$3, $L$5, $L$6)="NM","n/a",(_xll.ciqfunctions.udf.CIQ($A26,"IQ_EBITDA_2YR_ANN_CAGR", IQ_LTM,$B$1,$L$4, $L$3, $L$5, $L$6)/100))</f>
        <v>n/a</v>
      </c>
      <c r="BP26" s="492" t="str">
        <f>IF(_xll.ciqfunctions.udf.CIQ($A26,"IQ_EBITDA_3YR_ANN_CAGR", IQ_LTM,$B$1,$L$4, $L$3, $L$5, $L$6)="NM","n/a",(_xll.ciqfunctions.udf.CIQ($A26,"IQ_EBITDA_3YR_ANN_CAGR", IQ_LTM,$B$1,$L$4, $L$3, $L$5, $L$6)/100))</f>
        <v>n/a</v>
      </c>
      <c r="BQ26" s="492" t="e">
        <f>IF(_xll.ciqfunctions.udf.CIQ($A26,"IQ_EBITDA_5YR_ANN_CAGR", IQ_LTM,$B$1,$L$4, $L$3, $L$5, $L$6)="NM","n/a",(_xll.ciqfunctions.udf.CIQ($A26,"IQ_EBITDA_5YR_ANN_CAGR", IQ_LTM,$B$1,$L$4, $L$3, $L$5, $L$6)/100))</f>
        <v>#VALUE!</v>
      </c>
      <c r="BR26" s="496" t="str">
        <f>IFERROR((_xll.ciqfunctions.udf.CIQ($A26, "IQ_DA_CF", IQ_LTM, $B$1, $L$4, $L$3, $L$5, $L$6)/Q26),"NM")</f>
        <v>NM</v>
      </c>
      <c r="BS26" s="546">
        <f>'Capital IQ Sheet-GPC'!BS26</f>
        <v>0.78024392754863803</v>
      </c>
      <c r="BT26" s="546">
        <f>'Capital IQ Sheet-GPC'!BT26</f>
        <v>0.85279968408266305</v>
      </c>
      <c r="BU26" s="546">
        <f>'Capital IQ Sheet-GPC'!BU26</f>
        <v>0.88676691262394824</v>
      </c>
      <c r="BV26" s="546">
        <f>'Capital IQ Sheet-GPC'!BV26</f>
        <v>0.88587043357810058</v>
      </c>
      <c r="BW26" s="546" t="str">
        <f>'Capital IQ Sheet-GPC'!BW26</f>
        <v>n/a</v>
      </c>
      <c r="BX26" s="546" t="str">
        <f>'Capital IQ Sheet-GPC'!BX26</f>
        <v>n/a</v>
      </c>
      <c r="BY26" s="546" t="str">
        <f>'Capital IQ Sheet-GPC'!BY26</f>
        <v>n/a</v>
      </c>
      <c r="BZ26" s="546" t="str">
        <f>'Capital IQ Sheet-GPC'!BZ26</f>
        <v>n/a</v>
      </c>
      <c r="CB26" s="492">
        <v>2</v>
      </c>
      <c r="CC26" s="632" t="s">
        <v>253</v>
      </c>
      <c r="CD26" s="632" t="s">
        <v>252</v>
      </c>
      <c r="CE26" s="494">
        <f t="shared" si="1"/>
        <v>42551</v>
      </c>
    </row>
    <row r="27" spans="1:83" s="492" customFormat="1" ht="12.75">
      <c r="A27" s="493" t="str">
        <f>_xll.ciqfunctions.udf.CIQ($B27,"IQ_COMPANY_TICKER")</f>
        <v>(Invalid Identifier)</v>
      </c>
      <c r="B27" s="541" t="str">
        <f>'Capital IQ Sheet-GPC'!B27</f>
        <v>(Invalid Identifier)</v>
      </c>
      <c r="C27" s="493" t="str">
        <f>_xll.ciqfunctions.udf.CIQ($A27,"IQ_COMPANY_NAME")</f>
        <v>(Invalid Identifier)</v>
      </c>
      <c r="D27" s="493" t="str">
        <f>_xll.ciqfunctions.udf.CIQ($A27, "IQ_EXCHANGE")</f>
        <v>(Invalid Identifier)</v>
      </c>
      <c r="E27" s="540" t="str">
        <f>_xll.ciqfunctions.udf.CIQ($A27, "IQ_PERIODDATE_IS", IQ_FY)</f>
        <v>(Invalid Identifier)</v>
      </c>
      <c r="F27" s="540" t="str">
        <f>_xll.ciqfunctions.udf.CIQ(A27, "IQ_PERIODDATE_IS", IQ_LTM, $B$1,$L$4,$L$3)</f>
        <v>(Invalid Identifier)</v>
      </c>
      <c r="G27" s="540" t="str">
        <f>_xll.ciqfunctions.udf.CIQ($A27, "IQ_FIRSTPRICINGDATE")</f>
        <v>(Invalid Identifier)</v>
      </c>
      <c r="H27" s="542" t="str">
        <f>_xll.ciqfunctions.udf.CIQ($A27, "IQ_TEV", $L$2, $L$5, $L$6)</f>
        <v>(Invalid Identifier)</v>
      </c>
      <c r="I27" s="542" t="str">
        <f>_xll.ciqfunctions.udf.CIQ(A27, "IQ_LASTSALEPRICE", $B$1,$L$5)</f>
        <v>(Invalid Identifier)</v>
      </c>
      <c r="J27" s="542" t="str">
        <f>_xll.ciqfunctions.udf.CIQ($A27, "IQ_MARKETCAP", $L$2, $L$5, $L$6)</f>
        <v>(Invalid Identifier)</v>
      </c>
      <c r="K27" s="542" t="str">
        <f>_xll.ciqfunctions.udf.CIQ($A27, "IQ_TOTAL_DEBT", IQ_LTM, $L$2,$L$4, $L$3, $L$5, $L$6)</f>
        <v>(Invalid Identifier)</v>
      </c>
      <c r="L27" s="542" t="str">
        <f>_xll.ciqfunctions.udf.CIQ($A27, "IQ_PREF_EQUITY", IQ_LTM, $L$2, $L$4, $L$3, $L$5, $L$6)</f>
        <v>(Invalid Identifier)</v>
      </c>
      <c r="M27" s="542" t="str">
        <f>_xll.ciqfunctions.udf.CIQ($A27, "IQ_MINORITY_INTEREST_TOTAL", IQ_LTM, $L$2, $L$4, $L$3, $L$5, $L$6)</f>
        <v>(Invalid Identifier)</v>
      </c>
      <c r="N27" s="542" t="str">
        <f>_xll.ciqfunctions.udf.CIQ($A27, "IQ_CASH_ST_INVEST", IQ_LTM, $L$2, $L$4, $L$3, $L$5, $L$6)</f>
        <v>(Invalid Identifier)</v>
      </c>
      <c r="O27" s="542" t="str">
        <f>_xll.ciqfunctions.udf.CIQ($A27, "IQ_TOTAL_REV", IQ_LTM-8, $L$2, $L$4, $L$3, $L$5, $L$6)</f>
        <v>(Invalid Identifier)</v>
      </c>
      <c r="P27" s="542" t="str">
        <f>_xll.ciqfunctions.udf.CIQ($A27, "IQ_TOTAL_REV", IQ_LTM - 4, $L$2, $L$4, $L$3, $L$5,$L$6)</f>
        <v>(Invalid Identifier)</v>
      </c>
      <c r="Q27" s="542" t="str">
        <f>_xll.ciqfunctions.udf.CIQ($A27, "IQ_TOTAL_REV", IQ_LTM, $L$2, $L$4, $L$3, $L$5, $L$6)</f>
        <v>(Invalid Identifier)</v>
      </c>
      <c r="R27" s="542" t="str">
        <f>_xll.ciqfunctions.udf.CIQ($A27, "IQ_TOTAL_REV", $B$2, $L$2, $L$4, $L$3, $L$5, $L$6)</f>
        <v>(Invalid Identifier)</v>
      </c>
      <c r="S27" s="542" t="str">
        <f>IF(_xll.ciqfunctions.udf.CIQ($A27, "IQ_TOTAL_REV", $B$3, $L$2,$L$4, $L$3, $L$5, $L$6)=0,Q27,_xll.ciqfunctions.udf.CIQ($A27, "IQ_TOTAL_REV", $B$3, $L$2,$L$4, $L$3, $L$5, $L$6))</f>
        <v>(Invalid Identifier)</v>
      </c>
      <c r="T27" s="542" t="str">
        <f>IF(_xll.ciqfunctions.udf.CIQ($A27, "IQ_REVENUE_EST",$B$4, $L$2, "CON", $L$3, $L$5, $L$6)=0,"n/a",_xll.ciqfunctions.udf.CIQ($A27, "IQ_REVENUE_EST",$B$4, $L$2, "CON", $L$3, $L$5, $L$6))</f>
        <v>(Invalid Identifier)</v>
      </c>
      <c r="U27" s="542" t="str">
        <f>IF(_xll.ciqfunctions.udf.CIQ($A27, "IQ_REVENUE_EST",$B$5, $L$2, "CON", $L$3, $L$5, $L$6)=0,"n/a",_xll.ciqfunctions.udf.CIQ($A27, "IQ_REVENUE_EST",$B$5, $L$2, "CON", $L$3, $L$5, $L$6))</f>
        <v>(Invalid Identifier)</v>
      </c>
      <c r="V27" s="542" t="str">
        <f>IF(_xll.ciqfunctions.udf.CIQ($A27, "IQ_REVENUE_EST",$B$6, $L$2, "CON", $L$3, $L$5, $L$6)=0,"n/a",_xll.ciqfunctions.udf.CIQ($A27, "IQ_REVENUE_EST",$B$6, $L$2, "CON", $L$3, $L$5, $L$6))</f>
        <v>(Invalid Identifier)</v>
      </c>
      <c r="W27" s="542" t="str">
        <f>IF(_xll.ciqfunctions.udf.CIQ($A27, "IQ_REVENUE_EST", $B$7, $L$2, "CON", $L$3, $L$5, $L$6)=0,"n/a",_xll.ciqfunctions.udf.CIQ($A27, "IQ_REVENUE_EST",$B$7, $L$2, "CON", $L$3, $L$5, $L$6))</f>
        <v>(Invalid Identifier)</v>
      </c>
      <c r="X27" s="542" t="str">
        <f>_xll.ciqfunctions.udf.CIQ($A27, "IQ_EBITDA", IQ_LTM-8, $L$2, $L$4, $L$3, $L$5, $L$6)</f>
        <v>(Invalid Identifier)</v>
      </c>
      <c r="Y27" s="542" t="str">
        <f>_xll.ciqfunctions.udf.CIQ($A27, "IQ_EBITDA", IQ_LTM-4, $L$2,$L$4, $L$3, $L$5, $L$6)</f>
        <v>(Invalid Identifier)</v>
      </c>
      <c r="Z27" s="542" t="str">
        <f>_xll.ciqfunctions.udf.CIQ($A27, "IQ_EBITDA", IQ_LTM, $L$2, $L$4, $L$3, $L$5, $L$6)</f>
        <v>(Invalid Identifier)</v>
      </c>
      <c r="AA27" s="542" t="str">
        <f>_xll.ciqfunctions.udf.CIQ($A27, "IQ_EBITDA", $B$2, $L$2, $L$4, $L$3, $L$5, $L$6)</f>
        <v>(Invalid Identifier)</v>
      </c>
      <c r="AB27" s="542" t="str">
        <f>IF(_xll.ciqfunctions.udf.CIQ($A27, "IQ_EBITDA", $B$3, $L$2,$L$4, $L$3, $L$5, $L$6)=0,Z27,_xll.ciqfunctions.udf.CIQ($A27, "IQ_EBITDA", $B$3, $L$2,$L$4, $L$3, $L$5, $L$6))</f>
        <v>(Invalid Identifier)</v>
      </c>
      <c r="AC27" s="542" t="str">
        <f>IF(_xll.ciqfunctions.udf.CIQ($A27, "IQ_EBITDA_EST",$B$4, $L$2, "CON", $L$3, $L$5, $L$6)=0,"n/a",_xll.ciqfunctions.udf.CIQ($A27, "IQ_EBITDA_EST",$B$4, $L$2, "CON", $L$3, $L$5, $L$6))</f>
        <v>(Invalid Identifier)</v>
      </c>
      <c r="AD27" s="542" t="str">
        <f>IF(_xll.ciqfunctions.udf.CIQ($A27, "IQ_EBITDA_EST",$B$5, $L$2, "CON", $L$3, $L$5, $L$6)=0,"n/a",_xll.ciqfunctions.udf.CIQ($A27, "IQ_EBITDA_EST",$B$5, $L$2, "CON", $L$3, $L$5, $L$6))</f>
        <v>(Invalid Identifier)</v>
      </c>
      <c r="AE27" s="542" t="str">
        <f>IF(_xll.ciqfunctions.udf.CIQ($A27, "IQ_EBITDA_EST",$B$6, $L$2, "CON", $L$3, $L$5, $L$6)=0,"n/a",_xll.ciqfunctions.udf.CIQ($A27, "IQ_EBITDA_EST",$B$6, $L$2, "CON", $L$3, $L$5, $L$6))</f>
        <v>(Invalid Identifier)</v>
      </c>
      <c r="AF27" s="543" t="str">
        <f>IF(ISERROR(_xll.ciqfunctions.udf.CIQ($A27, "IQ_GROSS_MARGIN", IQ_LTM, $L$2,$L$4, $L$3, $L$5, $L$6)/100), "n/a", _xll.ciqfunctions.udf.CIQ($A27,  "IQ_GROSS_MARGIN", IQ_LTM, $L$2, $L$4, $L$3, $L$5, $L$6)/100)</f>
        <v>n/a</v>
      </c>
      <c r="AG27" s="543" t="str">
        <f>IF(ISERROR(_xll.ciqfunctions.udf.CIQ($A27,"IQ_EBITDA_MARGIN", IQ_LTM, $L$2, $L$4, $L$3, $L$5, $L$6)/100), "n/a", _xll.ciqfunctions.udf.CIQ($A27, "IQ_EBITDA_MARGIN", IQ_LTM, $L$2, $L$4, $L$3, $L$5, $L$6)/100)</f>
        <v>n/a</v>
      </c>
      <c r="AH27" s="543" t="str">
        <f>IF(ISERROR(_xll.ciqfunctions.udf.CIQ($A27,"IQ_EBIT_MARGIN", IQ_LTM, $L$2, $L$4, $L$3, $L$5, $L$6)/100), "n/a", _xll.ciqfunctions.udf.CIQ($A27, "IQ_EBIT_MARGIN", IQ_LTM, $L$2, $L$4, $L$3, $L$5, $L$6)/100)</f>
        <v>n/a</v>
      </c>
      <c r="AI27" s="543" t="str">
        <f>IF(ISERROR(_xll.ciqfunctions.udf.CIQ($A27,"IQ_NI_MARGIN", IQ_LTM, $L$2, $L$4, $L$3, $L$5, $L$6)/100), "n/a", _xll.ciqfunctions.udf.CIQ($A27, "IQ_NI_MARGIN", IQ_LTM, $L$2, $L$4, $L$3, $L$5, $L$6)/100)</f>
        <v>n/a</v>
      </c>
      <c r="AJ27" s="542" t="str">
        <f>IF(ISERROR(_xll.ciqfunctions.udf.CIQ($A27, "IQ_NET_WORKING_CAP", IQ_LTM-8, $L$2, $L$4, $L$3, $L$5, $L$6)), "n/a", _xll.ciqfunctions.udf.CIQ($A27, "IQ_NET_WORKING_CAP", IQ_LTM-8, $L$2, $L$4, $L$3, $L$5, $L$6))</f>
        <v>(Invalid Identifier)</v>
      </c>
      <c r="AK27" s="542" t="str">
        <f>IF(ISERROR(_xll.ciqfunctions.udf.CIQ($A27, "IQ_NET_WORKING_CAP", IQ_LTM-4, $L$2, $L$4, $L$3, $L$5, $L$6)), "n/a", _xll.ciqfunctions.udf.CIQ($A27, "IQ_NET_WORKING_CAP", IQ_LTM-4, $L$2, $L$4, $L$3, $L$5, $L$6))</f>
        <v>(Invalid Identifier)</v>
      </c>
      <c r="AL27" s="542" t="str">
        <f>IF(ISERROR(_xll.ciqfunctions.udf.CIQ($A27, "IQ_NET_WORKING_CAP", IQ_LTM, $L$2,$L$4, $L$3, $L$5, $L$6)), "n/a", _xll.ciqfunctions.udf.CIQ($A27, "IQ_NET_WORKING_CAP", IQ_LTM, $L$2, $L$4, $L$3, $L$5, $L$6))</f>
        <v>(Invalid Identifier)</v>
      </c>
      <c r="AM27" s="542" t="str">
        <f>IF(ISERROR(_xll.ciqfunctions.udf.CIQ($A27, "IQ_Capex", IQ_LTM-8, $L$2,$L$4, $L$3, $L$5, $L$6)), "n/a", _xll.ciqfunctions.udf.CIQ($A27, "IQ_Capex", IQ_LTM-8, $L$2, $L$4, $L$3, $L$5, $L$6))</f>
        <v>(Invalid Identifier)</v>
      </c>
      <c r="AN27" s="542" t="str">
        <f>IF(ISERROR(_xll.ciqfunctions.udf.CIQ($A27, "IQ_Capex", IQ_LTM-4, $L$2,$L$4, $L$3, $L$5, $L$6)), "n/a", _xll.ciqfunctions.udf.CIQ($A27, "IQ_Capex", IQ_LTM-4, $L$2,$L$4, $L$3, $L$5, $L$6))</f>
        <v>(Invalid Identifier)</v>
      </c>
      <c r="AO27" s="542" t="str">
        <f>IF(ISERROR(_xll.ciqfunctions.udf.CIQ($A27, "IQ_Capex", IQ_LTM, $L$2, $L$4, $L$3, $L$5, $L$6)), "n/a", _xll.ciqfunctions.udf.CIQ($A27, "IQ_Capex", IQ_LTM, $L$2, $L$4, $L$3, $L$5, $L$6))</f>
        <v>(Invalid Identifier)</v>
      </c>
      <c r="AP27" s="544" t="str">
        <f>_xll.ciqfunctions.udf.CIQ(A27, "IQ_BUSINESS_DESCRIPTION")</f>
        <v>(Invalid Identifier)</v>
      </c>
      <c r="AQ27" s="545" t="str">
        <f>_xll.ciqfunctions.udf.CIQ($A27, "IQ_BETA_1YR", $B$1)</f>
        <v>(Invalid Identifier)</v>
      </c>
      <c r="AR27" s="545" t="str">
        <f>_xll.ciqfunctions.udf.CIQ($A27, "IQ_BETA_2YR", $B$1)</f>
        <v>(Invalid Identifier)</v>
      </c>
      <c r="AS27" s="545" t="str">
        <f>_xll.ciqfunctions.udf.CIQ($A27, "IQ_BETA_5YR", $B$1)</f>
        <v>(Invalid Identifier)</v>
      </c>
      <c r="AT27" s="543" t="e">
        <f>_xll.ciqfunctions.udf.CIQ($A27, "IQ_DIVIDEND_YIELD", $B$1)/100</f>
        <v>#VALUE!</v>
      </c>
      <c r="AU27" s="542" t="str">
        <f>_xll.ciqfunctions.udf.CIQ($A27, "IQ_EARNING_CO", IQ_LTM-8, $L$2, $L$4, $L$3, $L$5, $L$6)</f>
        <v>(Invalid Identifier)</v>
      </c>
      <c r="AV27" s="542" t="str">
        <f>_xll.ciqfunctions.udf.CIQ($A27, "IQ_EARNING_CO", IQ_LTM-4, $L$2, $L$4, $L$3, $L$5, $L$6)</f>
        <v>(Invalid Identifier)</v>
      </c>
      <c r="AW27" s="542" t="str">
        <f>_xll.ciqfunctions.udf.CIQ($A27, "IQ_EARNING_CO", IQ_LTM, $L$2, $L$4, $L$3, $L$5, $L$6)</f>
        <v>(Invalid Identifier)</v>
      </c>
      <c r="AX27" s="542" t="str">
        <f>_xll.ciqfunctions.udf.CIQ($A27, "IQ_EARNING_CO", $B$2, $L$2, $L$4, $L$3, $L$5, $L$6)</f>
        <v>(Invalid Identifier)</v>
      </c>
      <c r="AY27" s="542" t="str">
        <f>IF(_xll.ciqfunctions.udf.CIQ($A27, "IQ_EARNING_CO", $B$3, $L$2,$L$4, $L$3, $L$5, $L$6)=0,AW27,_xll.ciqfunctions.udf.CIQ($A27, "IQ_EARNING_CO", $B$3, $L$2,$L$4, $L$3, $L$5, $L$6))</f>
        <v>(Invalid Identifier)</v>
      </c>
      <c r="AZ27" s="542" t="str">
        <f>_xll.ciqfunctions.udf.CIQ($A27, "IQ_TOTAL_EQUITY", IQ_LTM-8, $L$2, $L$4, $L$3, $L$5, $L$6)</f>
        <v>(Invalid Identifier)</v>
      </c>
      <c r="BA27" s="542" t="str">
        <f>_xll.ciqfunctions.udf.CIQ($A27, "IQ_TOTAL_EQUITY", IQ_LTM-4, $L$2, $L$4, $L$3, $L$5, $L$6)</f>
        <v>(Invalid Identifier)</v>
      </c>
      <c r="BB27" s="542" t="str">
        <f>_xll.ciqfunctions.udf.CIQ($A27, "IQ_TOTAL_EQUITY", IQ_LTM, $L$2, $L$4, $L$3, $L$5, $L$6)</f>
        <v>(Invalid Identifier)</v>
      </c>
      <c r="BC27" s="542" t="str">
        <f>_xll.ciqfunctions.udf.CIQ($A27, "IQ_TOTAL_EQUITY", $B$2, $L$2, $L$4, $L$3, $L$5, $L$6)</f>
        <v>(Invalid Identifier)</v>
      </c>
      <c r="BD27" s="542" t="str">
        <f>IF(_xll.ciqfunctions.udf.CIQ($A27, "IQ_TOTAL_EQUITY", $B$3, $L$2,$L$4, $L$3, $L$5, $L$6)=0,BB27,_xll.ciqfunctions.udf.CIQ($A27, "IQ_TOTAL_EQUITY", $B$3, $L$2,$L$4, $L$3, $L$5, $L$6))</f>
        <v>(Invalid Identifier)</v>
      </c>
      <c r="BE27" s="542" t="str">
        <f>_xll.ciqfunctions.udf.CIQ(A27, "IQ_LASTSALEPRICE", $B$8)</f>
        <v>(Invalid Identifier)</v>
      </c>
      <c r="BF27" s="542" t="str">
        <f>_xll.ciqfunctions.udf.CIQ($A27, "IQ_MARKETCAP", $B$8, $L$5, $L$6)</f>
        <v>(Invalid Identifier)</v>
      </c>
      <c r="BG27" s="542" t="str">
        <f>_xll.ciqfunctions.udf.CIQ($A27, "IQ_TOTAL_DEBT", IQ_LTM, $B$8,$L$4, $L$3, $L$5, $L$6)</f>
        <v>(Invalid Identifier)</v>
      </c>
      <c r="BH27" s="492" t="str">
        <f>_xll.ciqfunctions.udf.CIQ($A27,"IQ_PREF_EQUITY",IQ_LTM,$B$8,$L$4,$L$3,$L$5,$L$6)</f>
        <v>(Invalid Identifier)</v>
      </c>
      <c r="BI27" s="492" t="str">
        <f>_xll.ciqfunctions.udf.CIQ($A27, "IQ_MINORITY_INTEREST_TOTAL", IQ_LTM,$B$8,$L$4,$L$3,$L$5,$L$6)</f>
        <v>(Invalid Identifier)</v>
      </c>
      <c r="BJ27" s="542" t="str">
        <f>_xll.ciqfunctions.udf.CIQ($A27, "IQ_CASH_ST_INVEST", IQ_LTM, $B$8, $L$4, $L$3, $L$5, $L$6)</f>
        <v>(Invalid Identifier)</v>
      </c>
      <c r="BK27" s="492" t="str">
        <f>_xll.ciqfunctions.udf.CIQ($A27, "IQ_EFFECT_TAX_RATE")</f>
        <v>(Invalid Identifier)</v>
      </c>
      <c r="BL27" s="492" t="e">
        <f>IF(_xll.ciqfunctions.udf.CIQ($A27, "IQ_TOTAL_REV_2YR_ANN_CAGR", IQ_LTM, $B$1,$L$4, $L$3, $L$5, $L$6)="NM","n/a",(_xll.ciqfunctions.udf.CIQ($A27, "IQ_TOTAL_REV_2YR_ANN_CAGR", IQ_LTM, $B$1,$L$4, $L$3, $L$5, $L$6)/100))</f>
        <v>#VALUE!</v>
      </c>
      <c r="BM27" s="492" t="e">
        <f>IF(_xll.ciqfunctions.udf.CIQ($A27, "IQ_TOTAL_REV_3YR_ANN_CAGR", IQ_LTM, $B$1,$L$4, $L$3, $L$5, $L$6)="NM","n/a",(_xll.ciqfunctions.udf.CIQ($A27, "IQ_TOTAL_REV_3YR_ANN_CAGR", IQ_LTM, $B$1,$L$4, $L$3, $L$5, $L$6)/100))</f>
        <v>#VALUE!</v>
      </c>
      <c r="BN27" s="492" t="e">
        <f>IF(_xll.ciqfunctions.udf.CIQ($A27, "IQ_TOTAL_REV_5YR_ANN_CAGR", IQ_LTM, $B$1,$L$4, $L$3, $L$5, $L$6)="NM","n/a",(_xll.ciqfunctions.udf.CIQ($A27, "IQ_TOTAL_REV_5YR_ANN_CAGR", IQ_LTM, $B$1,$L$4, $L$3, $L$5, $L$6)/100))</f>
        <v>#VALUE!</v>
      </c>
      <c r="BO27" s="492" t="e">
        <f>IF(_xll.ciqfunctions.udf.CIQ($A27,"IQ_EBITDA_2YR_ANN_CAGR", IQ_LTM,$B$1,$L$4, $L$3, $L$5, $L$6)="NM","n/a",(_xll.ciqfunctions.udf.CIQ($A27,"IQ_EBITDA_2YR_ANN_CAGR", IQ_LTM,$B$1,$L$4, $L$3, $L$5, $L$6)/100))</f>
        <v>#VALUE!</v>
      </c>
      <c r="BP27" s="492" t="e">
        <f>IF(_xll.ciqfunctions.udf.CIQ($A27,"IQ_EBITDA_3YR_ANN_CAGR", IQ_LTM,$B$1,$L$4, $L$3, $L$5, $L$6)="NM","n/a",(_xll.ciqfunctions.udf.CIQ($A27,"IQ_EBITDA_3YR_ANN_CAGR", IQ_LTM,$B$1,$L$4, $L$3, $L$5, $L$6)/100))</f>
        <v>#VALUE!</v>
      </c>
      <c r="BQ27" s="492" t="e">
        <f>IF(_xll.ciqfunctions.udf.CIQ($A27,"IQ_EBITDA_5YR_ANN_CAGR", IQ_LTM,$B$1,$L$4, $L$3, $L$5, $L$6)="NM","n/a",(_xll.ciqfunctions.udf.CIQ($A27,"IQ_EBITDA_5YR_ANN_CAGR", IQ_LTM,$B$1,$L$4, $L$3, $L$5, $L$6)/100))</f>
        <v>#VALUE!</v>
      </c>
      <c r="BR27" s="496" t="str">
        <f>IFERROR((_xll.ciqfunctions.udf.CIQ($A27, "IQ_DA_CF", IQ_LTM, $B$1, $L$4, $L$3, $L$5, $L$6)/Q27),"NM")</f>
        <v>NM</v>
      </c>
      <c r="BS27" s="546" t="e">
        <f>'Capital IQ Sheet-GPC'!BS27</f>
        <v>#VALUE!</v>
      </c>
      <c r="BT27" s="546" t="e">
        <f>'Capital IQ Sheet-GPC'!BT27</f>
        <v>#VALUE!</v>
      </c>
      <c r="BU27" s="546" t="e">
        <f>'Capital IQ Sheet-GPC'!BU27</f>
        <v>#VALUE!</v>
      </c>
      <c r="BV27" s="546" t="e">
        <f>'Capital IQ Sheet-GPC'!BV27</f>
        <v>#VALUE!</v>
      </c>
      <c r="BW27" s="546" t="e">
        <f>'Capital IQ Sheet-GPC'!BW27</f>
        <v>#VALUE!</v>
      </c>
      <c r="BX27" s="546" t="e">
        <f>'Capital IQ Sheet-GPC'!BX27</f>
        <v>#VALUE!</v>
      </c>
      <c r="BY27" s="546" t="e">
        <f>'Capital IQ Sheet-GPC'!BY27</f>
        <v>#VALUE!</v>
      </c>
      <c r="BZ27" s="546" t="e">
        <f>'Capital IQ Sheet-GPC'!BZ27</f>
        <v>#VALUE!</v>
      </c>
      <c r="CB27" s="492">
        <v>2</v>
      </c>
      <c r="CC27" s="632" t="s">
        <v>253</v>
      </c>
      <c r="CD27" s="632" t="s">
        <v>252</v>
      </c>
      <c r="CE27" s="494">
        <f t="shared" si="1"/>
        <v>42551</v>
      </c>
    </row>
    <row r="28" spans="1:83" s="492" customFormat="1" ht="12.75">
      <c r="A28" s="493" t="str">
        <f>_xll.ciqfunctions.udf.CIQ($B28,"IQ_COMPANY_TICKER")</f>
        <v>(Invalid Identifier)</v>
      </c>
      <c r="B28" s="541" t="str">
        <f>'Capital IQ Sheet-GPC'!B28</f>
        <v>(Invalid Identifier)</v>
      </c>
      <c r="C28" s="493" t="str">
        <f>_xll.ciqfunctions.udf.CIQ($A28,"IQ_COMPANY_NAME")</f>
        <v>(Invalid Identifier)</v>
      </c>
      <c r="D28" s="493" t="str">
        <f>_xll.ciqfunctions.udf.CIQ($A28, "IQ_EXCHANGE")</f>
        <v>(Invalid Identifier)</v>
      </c>
      <c r="E28" s="540" t="str">
        <f>_xll.ciqfunctions.udf.CIQ($A28, "IQ_PERIODDATE_IS", IQ_FY)</f>
        <v>(Invalid Identifier)</v>
      </c>
      <c r="F28" s="540" t="str">
        <f>_xll.ciqfunctions.udf.CIQ(A28, "IQ_PERIODDATE_IS", IQ_LTM, $B$1,$L$4,$L$3)</f>
        <v>(Invalid Identifier)</v>
      </c>
      <c r="G28" s="540" t="str">
        <f>_xll.ciqfunctions.udf.CIQ($A28, "IQ_FIRSTPRICINGDATE")</f>
        <v>(Invalid Identifier)</v>
      </c>
      <c r="H28" s="542" t="str">
        <f>_xll.ciqfunctions.udf.CIQ($A28, "IQ_TEV", $L$2, $L$5, $L$6)</f>
        <v>(Invalid Identifier)</v>
      </c>
      <c r="I28" s="542" t="str">
        <f>_xll.ciqfunctions.udf.CIQ(A28, "IQ_LASTSALEPRICE", $B$1,$L$5)</f>
        <v>(Invalid Identifier)</v>
      </c>
      <c r="J28" s="542" t="str">
        <f>_xll.ciqfunctions.udf.CIQ($A28, "IQ_MARKETCAP", $L$2, $L$5, $L$6)</f>
        <v>(Invalid Identifier)</v>
      </c>
      <c r="K28" s="542" t="str">
        <f>_xll.ciqfunctions.udf.CIQ($A28, "IQ_TOTAL_DEBT", IQ_LTM, $L$2,$L$4, $L$3, $L$5, $L$6)</f>
        <v>(Invalid Identifier)</v>
      </c>
      <c r="L28" s="542" t="str">
        <f>_xll.ciqfunctions.udf.CIQ($A28, "IQ_PREF_EQUITY", IQ_LTM, $L$2, $L$4, $L$3, $L$5, $L$6)</f>
        <v>(Invalid Identifier)</v>
      </c>
      <c r="M28" s="542" t="str">
        <f>_xll.ciqfunctions.udf.CIQ($A28, "IQ_MINORITY_INTEREST_TOTAL", IQ_LTM, $L$2, $L$4, $L$3, $L$5, $L$6)</f>
        <v>(Invalid Identifier)</v>
      </c>
      <c r="N28" s="542" t="str">
        <f>_xll.ciqfunctions.udf.CIQ($A28, "IQ_CASH_ST_INVEST", IQ_LTM, $L$2, $L$4, $L$3, $L$5, $L$6)</f>
        <v>(Invalid Identifier)</v>
      </c>
      <c r="O28" s="542" t="str">
        <f>_xll.ciqfunctions.udf.CIQ($A28, "IQ_TOTAL_REV", IQ_LTM-8, $L$2, $L$4, $L$3, $L$5, $L$6)</f>
        <v>(Invalid Identifier)</v>
      </c>
      <c r="P28" s="542" t="str">
        <f>_xll.ciqfunctions.udf.CIQ($A28, "IQ_TOTAL_REV", IQ_LTM - 4, $L$2, $L$4, $L$3, $L$5,$L$6)</f>
        <v>(Invalid Identifier)</v>
      </c>
      <c r="Q28" s="542" t="str">
        <f>_xll.ciqfunctions.udf.CIQ($A28, "IQ_TOTAL_REV", IQ_LTM, $L$2, $L$4, $L$3, $L$5, $L$6)</f>
        <v>(Invalid Identifier)</v>
      </c>
      <c r="R28" s="542" t="str">
        <f>_xll.ciqfunctions.udf.CIQ($A28, "IQ_TOTAL_REV", $B$2, $L$2, $L$4, $L$3, $L$5, $L$6)</f>
        <v>(Invalid Identifier)</v>
      </c>
      <c r="S28" s="542" t="str">
        <f>IF(_xll.ciqfunctions.udf.CIQ($A28, "IQ_TOTAL_REV", $B$3, $L$2,$L$4, $L$3, $L$5, $L$6)=0,Q28,_xll.ciqfunctions.udf.CIQ($A28, "IQ_TOTAL_REV", $B$3, $L$2,$L$4, $L$3, $L$5, $L$6))</f>
        <v>(Invalid Identifier)</v>
      </c>
      <c r="T28" s="542" t="str">
        <f>IF(_xll.ciqfunctions.udf.CIQ($A28, "IQ_REVENUE_EST",$B$4, $L$2, "CON", $L$3, $L$5, $L$6)=0,"n/a",_xll.ciqfunctions.udf.CIQ($A28, "IQ_REVENUE_EST",$B$4, $L$2, "CON", $L$3, $L$5, $L$6))</f>
        <v>(Invalid Identifier)</v>
      </c>
      <c r="U28" s="542" t="str">
        <f>IF(_xll.ciqfunctions.udf.CIQ($A28, "IQ_REVENUE_EST",$B$5, $L$2, "CON", $L$3, $L$5, $L$6)=0,"n/a",_xll.ciqfunctions.udf.CIQ($A28, "IQ_REVENUE_EST",$B$5, $L$2, "CON", $L$3, $L$5, $L$6))</f>
        <v>(Invalid Identifier)</v>
      </c>
      <c r="V28" s="542" t="str">
        <f>IF(_xll.ciqfunctions.udf.CIQ($A28, "IQ_REVENUE_EST",$B$6, $L$2, "CON", $L$3, $L$5, $L$6)=0,"n/a",_xll.ciqfunctions.udf.CIQ($A28, "IQ_REVENUE_EST",$B$6, $L$2, "CON", $L$3, $L$5, $L$6))</f>
        <v>(Invalid Identifier)</v>
      </c>
      <c r="W28" s="542" t="str">
        <f>IF(_xll.ciqfunctions.udf.CIQ($A28, "IQ_REVENUE_EST", $B$7, $L$2, "CON", $L$3, $L$5, $L$6)=0,"n/a",_xll.ciqfunctions.udf.CIQ($A28, "IQ_REVENUE_EST",$B$7, $L$2, "CON", $L$3, $L$5, $L$6))</f>
        <v>(Invalid Identifier)</v>
      </c>
      <c r="X28" s="542" t="str">
        <f>_xll.ciqfunctions.udf.CIQ($A28, "IQ_EBITDA", IQ_LTM-8, $L$2, $L$4, $L$3, $L$5, $L$6)</f>
        <v>(Invalid Identifier)</v>
      </c>
      <c r="Y28" s="542" t="str">
        <f>_xll.ciqfunctions.udf.CIQ($A28, "IQ_EBITDA", IQ_LTM-4, $L$2,$L$4, $L$3, $L$5, $L$6)</f>
        <v>(Invalid Identifier)</v>
      </c>
      <c r="Z28" s="542" t="str">
        <f>_xll.ciqfunctions.udf.CIQ($A28, "IQ_EBITDA", IQ_LTM, $L$2, $L$4, $L$3, $L$5, $L$6)</f>
        <v>(Invalid Identifier)</v>
      </c>
      <c r="AA28" s="542" t="str">
        <f>_xll.ciqfunctions.udf.CIQ($A28, "IQ_EBITDA", $B$2, $L$2, $L$4, $L$3, $L$5, $L$6)</f>
        <v>(Invalid Identifier)</v>
      </c>
      <c r="AB28" s="542" t="str">
        <f>IF(_xll.ciqfunctions.udf.CIQ($A28, "IQ_EBITDA", $B$3, $L$2,$L$4, $L$3, $L$5, $L$6)=0,Z28,_xll.ciqfunctions.udf.CIQ($A28, "IQ_EBITDA", $B$3, $L$2,$L$4, $L$3, $L$5, $L$6))</f>
        <v>(Invalid Identifier)</v>
      </c>
      <c r="AC28" s="542" t="str">
        <f>IF(_xll.ciqfunctions.udf.CIQ($A28, "IQ_EBITDA_EST",$B$4, $L$2, "CON", $L$3, $L$5, $L$6)=0,"n/a",_xll.ciqfunctions.udf.CIQ($A28, "IQ_EBITDA_EST",$B$4, $L$2, "CON", $L$3, $L$5, $L$6))</f>
        <v>(Invalid Identifier)</v>
      </c>
      <c r="AD28" s="542" t="str">
        <f>IF(_xll.ciqfunctions.udf.CIQ($A28, "IQ_EBITDA_EST",$B$5, $L$2, "CON", $L$3, $L$5, $L$6)=0,"n/a",_xll.ciqfunctions.udf.CIQ($A28, "IQ_EBITDA_EST",$B$5, $L$2, "CON", $L$3, $L$5, $L$6))</f>
        <v>(Invalid Identifier)</v>
      </c>
      <c r="AE28" s="542" t="str">
        <f>IF(_xll.ciqfunctions.udf.CIQ($A28, "IQ_EBITDA_EST",$B$6, $L$2, "CON", $L$3, $L$5, $L$6)=0,"n/a",_xll.ciqfunctions.udf.CIQ($A28, "IQ_EBITDA_EST",$B$6, $L$2, "CON", $L$3, $L$5, $L$6))</f>
        <v>(Invalid Identifier)</v>
      </c>
      <c r="AF28" s="543" t="str">
        <f>IF(ISERROR(_xll.ciqfunctions.udf.CIQ($A28, "IQ_GROSS_MARGIN", IQ_LTM, $L$2,$L$4, $L$3, $L$5, $L$6)/100), "n/a", _xll.ciqfunctions.udf.CIQ($A28,  "IQ_GROSS_MARGIN", IQ_LTM, $L$2, $L$4, $L$3, $L$5, $L$6)/100)</f>
        <v>n/a</v>
      </c>
      <c r="AG28" s="543" t="str">
        <f>IF(ISERROR(_xll.ciqfunctions.udf.CIQ($A28,"IQ_EBITDA_MARGIN", IQ_LTM, $L$2, $L$4, $L$3, $L$5, $L$6)/100), "n/a", _xll.ciqfunctions.udf.CIQ($A28, "IQ_EBITDA_MARGIN", IQ_LTM, $L$2, $L$4, $L$3, $L$5, $L$6)/100)</f>
        <v>n/a</v>
      </c>
      <c r="AH28" s="543" t="str">
        <f>IF(ISERROR(_xll.ciqfunctions.udf.CIQ($A28,"IQ_EBIT_MARGIN", IQ_LTM, $L$2, $L$4, $L$3, $L$5, $L$6)/100), "n/a", _xll.ciqfunctions.udf.CIQ($A28, "IQ_EBIT_MARGIN", IQ_LTM, $L$2, $L$4, $L$3, $L$5, $L$6)/100)</f>
        <v>n/a</v>
      </c>
      <c r="AI28" s="543" t="str">
        <f>IF(ISERROR(_xll.ciqfunctions.udf.CIQ($A28,"IQ_NI_MARGIN", IQ_LTM, $L$2, $L$4, $L$3, $L$5, $L$6)/100), "n/a", _xll.ciqfunctions.udf.CIQ($A28, "IQ_NI_MARGIN", IQ_LTM, $L$2, $L$4, $L$3, $L$5, $L$6)/100)</f>
        <v>n/a</v>
      </c>
      <c r="AJ28" s="542" t="str">
        <f>IF(ISERROR(_xll.ciqfunctions.udf.CIQ($A28, "IQ_NET_WORKING_CAP", IQ_LTM-8, $L$2, $L$4, $L$3, $L$5, $L$6)), "n/a", _xll.ciqfunctions.udf.CIQ($A28, "IQ_NET_WORKING_CAP", IQ_LTM-8, $L$2, $L$4, $L$3, $L$5, $L$6))</f>
        <v>(Invalid Identifier)</v>
      </c>
      <c r="AK28" s="542" t="str">
        <f>IF(ISERROR(_xll.ciqfunctions.udf.CIQ($A28, "IQ_NET_WORKING_CAP", IQ_LTM-4, $L$2, $L$4, $L$3, $L$5, $L$6)), "n/a", _xll.ciqfunctions.udf.CIQ($A28, "IQ_NET_WORKING_CAP", IQ_LTM-4, $L$2, $L$4, $L$3, $L$5, $L$6))</f>
        <v>(Invalid Identifier)</v>
      </c>
      <c r="AL28" s="542" t="str">
        <f>IF(ISERROR(_xll.ciqfunctions.udf.CIQ($A28, "IQ_NET_WORKING_CAP", IQ_LTM, $L$2,$L$4, $L$3, $L$5, $L$6)), "n/a", _xll.ciqfunctions.udf.CIQ($A28, "IQ_NET_WORKING_CAP", IQ_LTM, $L$2, $L$4, $L$3, $L$5, $L$6))</f>
        <v>(Invalid Identifier)</v>
      </c>
      <c r="AM28" s="542" t="str">
        <f>IF(ISERROR(_xll.ciqfunctions.udf.CIQ($A28, "IQ_Capex", IQ_LTM-8, $L$2,$L$4, $L$3, $L$5, $L$6)), "n/a", _xll.ciqfunctions.udf.CIQ($A28, "IQ_Capex", IQ_LTM-8, $L$2, $L$4, $L$3, $L$5, $L$6))</f>
        <v>(Invalid Identifier)</v>
      </c>
      <c r="AN28" s="542" t="str">
        <f>IF(ISERROR(_xll.ciqfunctions.udf.CIQ($A28, "IQ_Capex", IQ_LTM-4, $L$2,$L$4, $L$3, $L$5, $L$6)), "n/a", _xll.ciqfunctions.udf.CIQ($A28, "IQ_Capex", IQ_LTM-4, $L$2,$L$4, $L$3, $L$5, $L$6))</f>
        <v>(Invalid Identifier)</v>
      </c>
      <c r="AO28" s="542" t="str">
        <f>IF(ISERROR(_xll.ciqfunctions.udf.CIQ($A28, "IQ_Capex", IQ_LTM, $L$2, $L$4, $L$3, $L$5, $L$6)), "n/a", _xll.ciqfunctions.udf.CIQ($A28, "IQ_Capex", IQ_LTM, $L$2, $L$4, $L$3, $L$5, $L$6))</f>
        <v>(Invalid Identifier)</v>
      </c>
      <c r="AP28" s="544" t="str">
        <f>_xll.ciqfunctions.udf.CIQ(A28, "IQ_BUSINESS_DESCRIPTION")</f>
        <v>(Invalid Identifier)</v>
      </c>
      <c r="AQ28" s="545" t="str">
        <f>_xll.ciqfunctions.udf.CIQ($A28, "IQ_BETA_1YR", $B$1)</f>
        <v>(Invalid Identifier)</v>
      </c>
      <c r="AR28" s="545" t="str">
        <f>_xll.ciqfunctions.udf.CIQ($A28, "IQ_BETA_2YR", $B$1)</f>
        <v>(Invalid Identifier)</v>
      </c>
      <c r="AS28" s="545" t="str">
        <f>_xll.ciqfunctions.udf.CIQ($A28, "IQ_BETA_5YR", $B$1)</f>
        <v>(Invalid Identifier)</v>
      </c>
      <c r="AT28" s="543" t="e">
        <f>_xll.ciqfunctions.udf.CIQ($A28, "IQ_DIVIDEND_YIELD", $B$1)/100</f>
        <v>#VALUE!</v>
      </c>
      <c r="AU28" s="542" t="str">
        <f>_xll.ciqfunctions.udf.CIQ($A28, "IQ_EARNING_CO", IQ_LTM-8, $L$2, $L$4, $L$3, $L$5, $L$6)</f>
        <v>(Invalid Identifier)</v>
      </c>
      <c r="AV28" s="542" t="str">
        <f>_xll.ciqfunctions.udf.CIQ($A28, "IQ_EARNING_CO", IQ_LTM-4, $L$2, $L$4, $L$3, $L$5, $L$6)</f>
        <v>(Invalid Identifier)</v>
      </c>
      <c r="AW28" s="542" t="str">
        <f>_xll.ciqfunctions.udf.CIQ($A28, "IQ_EARNING_CO", IQ_LTM, $L$2, $L$4, $L$3, $L$5, $L$6)</f>
        <v>(Invalid Identifier)</v>
      </c>
      <c r="AX28" s="542" t="str">
        <f>_xll.ciqfunctions.udf.CIQ($A28, "IQ_EARNING_CO", $B$2, $L$2, $L$4, $L$3, $L$5, $L$6)</f>
        <v>(Invalid Identifier)</v>
      </c>
      <c r="AY28" s="542" t="str">
        <f>IF(_xll.ciqfunctions.udf.CIQ($A28, "IQ_EARNING_CO", $B$3, $L$2,$L$4, $L$3, $L$5, $L$6)=0,AW28,_xll.ciqfunctions.udf.CIQ($A28, "IQ_EARNING_CO", $B$3, $L$2,$L$4, $L$3, $L$5, $L$6))</f>
        <v>(Invalid Identifier)</v>
      </c>
      <c r="AZ28" s="542" t="str">
        <f>_xll.ciqfunctions.udf.CIQ($A28, "IQ_TOTAL_EQUITY", IQ_LTM-8, $L$2, $L$4, $L$3, $L$5, $L$6)</f>
        <v>(Invalid Identifier)</v>
      </c>
      <c r="BA28" s="542" t="str">
        <f>_xll.ciqfunctions.udf.CIQ($A28, "IQ_TOTAL_EQUITY", IQ_LTM-4, $L$2, $L$4, $L$3, $L$5, $L$6)</f>
        <v>(Invalid Identifier)</v>
      </c>
      <c r="BB28" s="542" t="str">
        <f>_xll.ciqfunctions.udf.CIQ($A28, "IQ_TOTAL_EQUITY", IQ_LTM, $L$2, $L$4, $L$3, $L$5, $L$6)</f>
        <v>(Invalid Identifier)</v>
      </c>
      <c r="BC28" s="542" t="str">
        <f>_xll.ciqfunctions.udf.CIQ($A28, "IQ_TOTAL_EQUITY", $B$2, $L$2, $L$4, $L$3, $L$5, $L$6)</f>
        <v>(Invalid Identifier)</v>
      </c>
      <c r="BD28" s="542" t="str">
        <f>IF(_xll.ciqfunctions.udf.CIQ($A28, "IQ_TOTAL_EQUITY", $B$3, $L$2,$L$4, $L$3, $L$5, $L$6)=0,BB28,_xll.ciqfunctions.udf.CIQ($A28, "IQ_TOTAL_EQUITY", $B$3, $L$2,$L$4, $L$3, $L$5, $L$6))</f>
        <v>(Invalid Identifier)</v>
      </c>
      <c r="BE28" s="542" t="str">
        <f>_xll.ciqfunctions.udf.CIQ(A28, "IQ_LASTSALEPRICE", $B$8)</f>
        <v>(Invalid Identifier)</v>
      </c>
      <c r="BF28" s="542" t="str">
        <f>_xll.ciqfunctions.udf.CIQ($A28, "IQ_MARKETCAP", $B$8, $L$5, $L$6)</f>
        <v>(Invalid Identifier)</v>
      </c>
      <c r="BG28" s="542" t="str">
        <f>_xll.ciqfunctions.udf.CIQ($A28, "IQ_TOTAL_DEBT", IQ_LTM, $B$8,$L$4, $L$3, $L$5, $L$6)</f>
        <v>(Invalid Identifier)</v>
      </c>
      <c r="BH28" s="492" t="str">
        <f>_xll.ciqfunctions.udf.CIQ($A28,"IQ_PREF_EQUITY",IQ_LTM,$B$8,$L$4,$L$3,$L$5,$L$6)</f>
        <v>(Invalid Identifier)</v>
      </c>
      <c r="BI28" s="492" t="str">
        <f>_xll.ciqfunctions.udf.CIQ($A28, "IQ_MINORITY_INTEREST_TOTAL", IQ_LTM,$B$8,$L$4,$L$3,$L$5,$L$6)</f>
        <v>(Invalid Identifier)</v>
      </c>
      <c r="BJ28" s="542" t="str">
        <f>_xll.ciqfunctions.udf.CIQ($A28, "IQ_CASH_ST_INVEST", IQ_LTM, $B$8, $L$4, $L$3, $L$5, $L$6)</f>
        <v>(Invalid Identifier)</v>
      </c>
      <c r="BK28" s="492" t="str">
        <f>_xll.ciqfunctions.udf.CIQ($A28, "IQ_EFFECT_TAX_RATE")</f>
        <v>(Invalid Identifier)</v>
      </c>
      <c r="BL28" s="492" t="e">
        <f>IF(_xll.ciqfunctions.udf.CIQ($A28, "IQ_TOTAL_REV_2YR_ANN_CAGR", IQ_LTM, $B$1,$L$4, $L$3, $L$5, $L$6)="NM","n/a",(_xll.ciqfunctions.udf.CIQ($A28, "IQ_TOTAL_REV_2YR_ANN_CAGR", IQ_LTM, $B$1,$L$4, $L$3, $L$5, $L$6)/100))</f>
        <v>#VALUE!</v>
      </c>
      <c r="BM28" s="492" t="e">
        <f>IF(_xll.ciqfunctions.udf.CIQ($A28, "IQ_TOTAL_REV_3YR_ANN_CAGR", IQ_LTM, $B$1,$L$4, $L$3, $L$5, $L$6)="NM","n/a",(_xll.ciqfunctions.udf.CIQ($A28, "IQ_TOTAL_REV_3YR_ANN_CAGR", IQ_LTM, $B$1,$L$4, $L$3, $L$5, $L$6)/100))</f>
        <v>#VALUE!</v>
      </c>
      <c r="BN28" s="492" t="e">
        <f>IF(_xll.ciqfunctions.udf.CIQ($A28, "IQ_TOTAL_REV_5YR_ANN_CAGR", IQ_LTM, $B$1,$L$4, $L$3, $L$5, $L$6)="NM","n/a",(_xll.ciqfunctions.udf.CIQ($A28, "IQ_TOTAL_REV_5YR_ANN_CAGR", IQ_LTM, $B$1,$L$4, $L$3, $L$5, $L$6)/100))</f>
        <v>#VALUE!</v>
      </c>
      <c r="BO28" s="492" t="e">
        <f>IF(_xll.ciqfunctions.udf.CIQ($A28,"IQ_EBITDA_2YR_ANN_CAGR", IQ_LTM,$B$1,$L$4, $L$3, $L$5, $L$6)="NM","n/a",(_xll.ciqfunctions.udf.CIQ($A28,"IQ_EBITDA_2YR_ANN_CAGR", IQ_LTM,$B$1,$L$4, $L$3, $L$5, $L$6)/100))</f>
        <v>#VALUE!</v>
      </c>
      <c r="BP28" s="492" t="e">
        <f>IF(_xll.ciqfunctions.udf.CIQ($A28,"IQ_EBITDA_3YR_ANN_CAGR", IQ_LTM,$B$1,$L$4, $L$3, $L$5, $L$6)="NM","n/a",(_xll.ciqfunctions.udf.CIQ($A28,"IQ_EBITDA_3YR_ANN_CAGR", IQ_LTM,$B$1,$L$4, $L$3, $L$5, $L$6)/100))</f>
        <v>#VALUE!</v>
      </c>
      <c r="BQ28" s="492" t="e">
        <f>IF(_xll.ciqfunctions.udf.CIQ($A28,"IQ_EBITDA_5YR_ANN_CAGR", IQ_LTM,$B$1,$L$4, $L$3, $L$5, $L$6)="NM","n/a",(_xll.ciqfunctions.udf.CIQ($A28,"IQ_EBITDA_5YR_ANN_CAGR", IQ_LTM,$B$1,$L$4, $L$3, $L$5, $L$6)/100))</f>
        <v>#VALUE!</v>
      </c>
      <c r="BR28" s="496" t="str">
        <f>IFERROR((_xll.ciqfunctions.udf.CIQ($A28, "IQ_DA_CF", IQ_LTM, $B$1, $L$4, $L$3, $L$5, $L$6)/Q28),"NM")</f>
        <v>NM</v>
      </c>
      <c r="BS28" s="546" t="e">
        <f>'Capital IQ Sheet-GPC'!BS28</f>
        <v>#VALUE!</v>
      </c>
      <c r="BT28" s="546" t="e">
        <f>'Capital IQ Sheet-GPC'!BT28</f>
        <v>#VALUE!</v>
      </c>
      <c r="BU28" s="546" t="e">
        <f>'Capital IQ Sheet-GPC'!BU28</f>
        <v>#VALUE!</v>
      </c>
      <c r="BV28" s="546" t="e">
        <f>'Capital IQ Sheet-GPC'!BV28</f>
        <v>#VALUE!</v>
      </c>
      <c r="BW28" s="546" t="e">
        <f>'Capital IQ Sheet-GPC'!BW28</f>
        <v>#VALUE!</v>
      </c>
      <c r="BX28" s="546" t="e">
        <f>'Capital IQ Sheet-GPC'!BX28</f>
        <v>#VALUE!</v>
      </c>
      <c r="BY28" s="546" t="e">
        <f>'Capital IQ Sheet-GPC'!BY28</f>
        <v>#VALUE!</v>
      </c>
      <c r="BZ28" s="546" t="e">
        <f>'Capital IQ Sheet-GPC'!BZ28</f>
        <v>#VALUE!</v>
      </c>
      <c r="CB28" s="492">
        <v>2</v>
      </c>
      <c r="CC28" s="632" t="s">
        <v>253</v>
      </c>
      <c r="CD28" s="632" t="s">
        <v>252</v>
      </c>
      <c r="CE28" s="494">
        <f t="shared" si="1"/>
        <v>42551</v>
      </c>
    </row>
    <row r="29" spans="1:83" s="492" customFormat="1" ht="12.75">
      <c r="A29" s="493" t="str">
        <f>_xll.ciqfunctions.udf.CIQ($B29,"IQ_COMPANY_TICKER")</f>
        <v>(Invalid Identifier)</v>
      </c>
      <c r="B29" s="541" t="str">
        <f>'Capital IQ Sheet-GPC'!B29</f>
        <v>(Invalid Identifier)</v>
      </c>
      <c r="C29" s="493" t="str">
        <f>_xll.ciqfunctions.udf.CIQ($A29,"IQ_COMPANY_NAME")</f>
        <v>(Invalid Identifier)</v>
      </c>
      <c r="D29" s="493" t="str">
        <f>_xll.ciqfunctions.udf.CIQ($A29, "IQ_EXCHANGE")</f>
        <v>(Invalid Identifier)</v>
      </c>
      <c r="E29" s="540" t="str">
        <f>_xll.ciqfunctions.udf.CIQ($A29, "IQ_PERIODDATE_IS", IQ_FY)</f>
        <v>(Invalid Identifier)</v>
      </c>
      <c r="F29" s="540" t="str">
        <f>_xll.ciqfunctions.udf.CIQ(A29, "IQ_PERIODDATE_IS", IQ_LTM, $B$1,$L$4,$L$3)</f>
        <v>(Invalid Identifier)</v>
      </c>
      <c r="G29" s="540" t="str">
        <f>_xll.ciqfunctions.udf.CIQ($A29, "IQ_FIRSTPRICINGDATE")</f>
        <v>(Invalid Identifier)</v>
      </c>
      <c r="H29" s="542" t="str">
        <f>_xll.ciqfunctions.udf.CIQ($A29, "IQ_TEV", $L$2, $L$5, $L$6)</f>
        <v>(Invalid Identifier)</v>
      </c>
      <c r="I29" s="542" t="str">
        <f>_xll.ciqfunctions.udf.CIQ(A29, "IQ_LASTSALEPRICE", $B$1,$L$5)</f>
        <v>(Invalid Identifier)</v>
      </c>
      <c r="J29" s="542" t="str">
        <f>_xll.ciqfunctions.udf.CIQ($A29, "IQ_MARKETCAP", $L$2, $L$5, $L$6)</f>
        <v>(Invalid Identifier)</v>
      </c>
      <c r="K29" s="542" t="str">
        <f>_xll.ciqfunctions.udf.CIQ($A29, "IQ_TOTAL_DEBT", IQ_LTM, $L$2,$L$4, $L$3, $L$5, $L$6)</f>
        <v>(Invalid Identifier)</v>
      </c>
      <c r="L29" s="542" t="str">
        <f>_xll.ciqfunctions.udf.CIQ($A29, "IQ_PREF_EQUITY", IQ_LTM, $L$2, $L$4, $L$3, $L$5, $L$6)</f>
        <v>(Invalid Identifier)</v>
      </c>
      <c r="M29" s="542" t="str">
        <f>_xll.ciqfunctions.udf.CIQ($A29, "IQ_MINORITY_INTEREST_TOTAL", IQ_LTM, $L$2, $L$4, $L$3, $L$5, $L$6)</f>
        <v>(Invalid Identifier)</v>
      </c>
      <c r="N29" s="542" t="str">
        <f>_xll.ciqfunctions.udf.CIQ($A29, "IQ_CASH_ST_INVEST", IQ_LTM, $L$2, $L$4, $L$3, $L$5, $L$6)</f>
        <v>(Invalid Identifier)</v>
      </c>
      <c r="O29" s="542" t="str">
        <f>_xll.ciqfunctions.udf.CIQ($A29, "IQ_TOTAL_REV", IQ_LTM-8, $L$2, $L$4, $L$3, $L$5, $L$6)</f>
        <v>(Invalid Identifier)</v>
      </c>
      <c r="P29" s="542" t="str">
        <f>_xll.ciqfunctions.udf.CIQ($A29, "IQ_TOTAL_REV", IQ_LTM - 4, $L$2, $L$4, $L$3, $L$5,$L$6)</f>
        <v>(Invalid Identifier)</v>
      </c>
      <c r="Q29" s="542" t="str">
        <f>_xll.ciqfunctions.udf.CIQ($A29, "IQ_TOTAL_REV", IQ_LTM, $L$2, $L$4, $L$3, $L$5, $L$6)</f>
        <v>(Invalid Identifier)</v>
      </c>
      <c r="R29" s="542" t="str">
        <f>_xll.ciqfunctions.udf.CIQ($A29, "IQ_TOTAL_REV", $B$2, $L$2, $L$4, $L$3, $L$5, $L$6)</f>
        <v>(Invalid Identifier)</v>
      </c>
      <c r="S29" s="542" t="str">
        <f>IF(_xll.ciqfunctions.udf.CIQ($A29, "IQ_TOTAL_REV", $B$3, $L$2,$L$4, $L$3, $L$5, $L$6)=0,Q29,_xll.ciqfunctions.udf.CIQ($A29, "IQ_TOTAL_REV", $B$3, $L$2,$L$4, $L$3, $L$5, $L$6))</f>
        <v>(Invalid Identifier)</v>
      </c>
      <c r="T29" s="542" t="str">
        <f>IF(_xll.ciqfunctions.udf.CIQ($A29, "IQ_REVENUE_EST",$B$4, $L$2, "CON", $L$3, $L$5, $L$6)=0,"n/a",_xll.ciqfunctions.udf.CIQ($A29, "IQ_REVENUE_EST",$B$4, $L$2, "CON", $L$3, $L$5, $L$6))</f>
        <v>(Invalid Identifier)</v>
      </c>
      <c r="U29" s="542" t="str">
        <f>IF(_xll.ciqfunctions.udf.CIQ($A29, "IQ_REVENUE_EST",$B$5, $L$2, "CON", $L$3, $L$5, $L$6)=0,"n/a",_xll.ciqfunctions.udf.CIQ($A29, "IQ_REVENUE_EST",$B$5, $L$2, "CON", $L$3, $L$5, $L$6))</f>
        <v>(Invalid Identifier)</v>
      </c>
      <c r="V29" s="542" t="str">
        <f>IF(_xll.ciqfunctions.udf.CIQ($A29, "IQ_REVENUE_EST",$B$6, $L$2, "CON", $L$3, $L$5, $L$6)=0,"n/a",_xll.ciqfunctions.udf.CIQ($A29, "IQ_REVENUE_EST",$B$6, $L$2, "CON", $L$3, $L$5, $L$6))</f>
        <v>(Invalid Identifier)</v>
      </c>
      <c r="W29" s="542" t="str">
        <f>IF(_xll.ciqfunctions.udf.CIQ($A29, "IQ_REVENUE_EST", $B$7, $L$2, "CON", $L$3, $L$5, $L$6)=0,"n/a",_xll.ciqfunctions.udf.CIQ($A29, "IQ_REVENUE_EST",$B$7, $L$2, "CON", $L$3, $L$5, $L$6))</f>
        <v>(Invalid Identifier)</v>
      </c>
      <c r="X29" s="542" t="str">
        <f>_xll.ciqfunctions.udf.CIQ($A29, "IQ_EBITDA", IQ_LTM-8, $L$2, $L$4, $L$3, $L$5, $L$6)</f>
        <v>(Invalid Identifier)</v>
      </c>
      <c r="Y29" s="542" t="str">
        <f>_xll.ciqfunctions.udf.CIQ($A29, "IQ_EBITDA", IQ_LTM-4, $L$2,$L$4, $L$3, $L$5, $L$6)</f>
        <v>(Invalid Identifier)</v>
      </c>
      <c r="Z29" s="542" t="str">
        <f>_xll.ciqfunctions.udf.CIQ($A29, "IQ_EBITDA", IQ_LTM, $L$2, $L$4, $L$3, $L$5, $L$6)</f>
        <v>(Invalid Identifier)</v>
      </c>
      <c r="AA29" s="542" t="str">
        <f>_xll.ciqfunctions.udf.CIQ($A29, "IQ_EBITDA", $B$2, $L$2, $L$4, $L$3, $L$5, $L$6)</f>
        <v>(Invalid Identifier)</v>
      </c>
      <c r="AB29" s="542" t="str">
        <f>IF(_xll.ciqfunctions.udf.CIQ($A29, "IQ_EBITDA", $B$3, $L$2,$L$4, $L$3, $L$5, $L$6)=0,Z29,_xll.ciqfunctions.udf.CIQ($A29, "IQ_EBITDA", $B$3, $L$2,$L$4, $L$3, $L$5, $L$6))</f>
        <v>(Invalid Identifier)</v>
      </c>
      <c r="AC29" s="542" t="str">
        <f>IF(_xll.ciqfunctions.udf.CIQ($A29, "IQ_EBITDA_EST",$B$4, $L$2, "CON", $L$3, $L$5, $L$6)=0,"n/a",_xll.ciqfunctions.udf.CIQ($A29, "IQ_EBITDA_EST",$B$4, $L$2, "CON", $L$3, $L$5, $L$6))</f>
        <v>(Invalid Identifier)</v>
      </c>
      <c r="AD29" s="542" t="str">
        <f>IF(_xll.ciqfunctions.udf.CIQ($A29, "IQ_EBITDA_EST",$B$5, $L$2, "CON", $L$3, $L$5, $L$6)=0,"n/a",_xll.ciqfunctions.udf.CIQ($A29, "IQ_EBITDA_EST",$B$5, $L$2, "CON", $L$3, $L$5, $L$6))</f>
        <v>(Invalid Identifier)</v>
      </c>
      <c r="AE29" s="542" t="str">
        <f>IF(_xll.ciqfunctions.udf.CIQ($A29, "IQ_EBITDA_EST",$B$6, $L$2, "CON", $L$3, $L$5, $L$6)=0,"n/a",_xll.ciqfunctions.udf.CIQ($A29, "IQ_EBITDA_EST",$B$6, $L$2, "CON", $L$3, $L$5, $L$6))</f>
        <v>(Invalid Identifier)</v>
      </c>
      <c r="AF29" s="543" t="str">
        <f>IF(ISERROR(_xll.ciqfunctions.udf.CIQ($A29, "IQ_GROSS_MARGIN", IQ_LTM, $L$2,$L$4, $L$3, $L$5, $L$6)/100), "n/a", _xll.ciqfunctions.udf.CIQ($A29,  "IQ_GROSS_MARGIN", IQ_LTM, $L$2, $L$4, $L$3, $L$5, $L$6)/100)</f>
        <v>n/a</v>
      </c>
      <c r="AG29" s="543" t="str">
        <f>IF(ISERROR(_xll.ciqfunctions.udf.CIQ($A29,"IQ_EBITDA_MARGIN", IQ_LTM, $L$2, $L$4, $L$3, $L$5, $L$6)/100), "n/a", _xll.ciqfunctions.udf.CIQ($A29, "IQ_EBITDA_MARGIN", IQ_LTM, $L$2, $L$4, $L$3, $L$5, $L$6)/100)</f>
        <v>n/a</v>
      </c>
      <c r="AH29" s="543" t="str">
        <f>IF(ISERROR(_xll.ciqfunctions.udf.CIQ($A29,"IQ_EBIT_MARGIN", IQ_LTM, $L$2, $L$4, $L$3, $L$5, $L$6)/100), "n/a", _xll.ciqfunctions.udf.CIQ($A29, "IQ_EBIT_MARGIN", IQ_LTM, $L$2, $L$4, $L$3, $L$5, $L$6)/100)</f>
        <v>n/a</v>
      </c>
      <c r="AI29" s="543" t="str">
        <f>IF(ISERROR(_xll.ciqfunctions.udf.CIQ($A29,"IQ_NI_MARGIN", IQ_LTM, $L$2, $L$4, $L$3, $L$5, $L$6)/100), "n/a", _xll.ciqfunctions.udf.CIQ($A29, "IQ_NI_MARGIN", IQ_LTM, $L$2, $L$4, $L$3, $L$5, $L$6)/100)</f>
        <v>n/a</v>
      </c>
      <c r="AJ29" s="542" t="str">
        <f>IF(ISERROR(_xll.ciqfunctions.udf.CIQ($A29, "IQ_NET_WORKING_CAP", IQ_LTM-8, $L$2, $L$4, $L$3, $L$5, $L$6)), "n/a", _xll.ciqfunctions.udf.CIQ($A29, "IQ_NET_WORKING_CAP", IQ_LTM-8, $L$2, $L$4, $L$3, $L$5, $L$6))</f>
        <v>(Invalid Identifier)</v>
      </c>
      <c r="AK29" s="542" t="str">
        <f>IF(ISERROR(_xll.ciqfunctions.udf.CIQ($A29, "IQ_NET_WORKING_CAP", IQ_LTM-4, $L$2, $L$4, $L$3, $L$5, $L$6)), "n/a", _xll.ciqfunctions.udf.CIQ($A29, "IQ_NET_WORKING_CAP", IQ_LTM-4, $L$2, $L$4, $L$3, $L$5, $L$6))</f>
        <v>(Invalid Identifier)</v>
      </c>
      <c r="AL29" s="542" t="str">
        <f>IF(ISERROR(_xll.ciqfunctions.udf.CIQ($A29, "IQ_NET_WORKING_CAP", IQ_LTM, $L$2,$L$4, $L$3, $L$5, $L$6)), "n/a", _xll.ciqfunctions.udf.CIQ($A29, "IQ_NET_WORKING_CAP", IQ_LTM, $L$2, $L$4, $L$3, $L$5, $L$6))</f>
        <v>(Invalid Identifier)</v>
      </c>
      <c r="AM29" s="542" t="str">
        <f>IF(ISERROR(_xll.ciqfunctions.udf.CIQ($A29, "IQ_Capex", IQ_LTM-8, $L$2,$L$4, $L$3, $L$5, $L$6)), "n/a", _xll.ciqfunctions.udf.CIQ($A29, "IQ_Capex", IQ_LTM-8, $L$2, $L$4, $L$3, $L$5, $L$6))</f>
        <v>(Invalid Identifier)</v>
      </c>
      <c r="AN29" s="542" t="str">
        <f>IF(ISERROR(_xll.ciqfunctions.udf.CIQ($A29, "IQ_Capex", IQ_LTM-4, $L$2,$L$4, $L$3, $L$5, $L$6)), "n/a", _xll.ciqfunctions.udf.CIQ($A29, "IQ_Capex", IQ_LTM-4, $L$2,$L$4, $L$3, $L$5, $L$6))</f>
        <v>(Invalid Identifier)</v>
      </c>
      <c r="AO29" s="542" t="str">
        <f>IF(ISERROR(_xll.ciqfunctions.udf.CIQ($A29, "IQ_Capex", IQ_LTM, $L$2, $L$4, $L$3, $L$5, $L$6)), "n/a", _xll.ciqfunctions.udf.CIQ($A29, "IQ_Capex", IQ_LTM, $L$2, $L$4, $L$3, $L$5, $L$6))</f>
        <v>(Invalid Identifier)</v>
      </c>
      <c r="AP29" s="544" t="str">
        <f>_xll.ciqfunctions.udf.CIQ(A29, "IQ_BUSINESS_DESCRIPTION")</f>
        <v>(Invalid Identifier)</v>
      </c>
      <c r="AQ29" s="545" t="str">
        <f>_xll.ciqfunctions.udf.CIQ($A29, "IQ_BETA_1YR", $B$1)</f>
        <v>(Invalid Identifier)</v>
      </c>
      <c r="AR29" s="545" t="str">
        <f>_xll.ciqfunctions.udf.CIQ($A29, "IQ_BETA_2YR", $B$1)</f>
        <v>(Invalid Identifier)</v>
      </c>
      <c r="AS29" s="545" t="str">
        <f>_xll.ciqfunctions.udf.CIQ($A29, "IQ_BETA_5YR", $B$1)</f>
        <v>(Invalid Identifier)</v>
      </c>
      <c r="AT29" s="543" t="e">
        <f>_xll.ciqfunctions.udf.CIQ($A29, "IQ_DIVIDEND_YIELD", $B$1)/100</f>
        <v>#VALUE!</v>
      </c>
      <c r="AU29" s="542" t="str">
        <f>_xll.ciqfunctions.udf.CIQ($A29, "IQ_EARNING_CO", IQ_LTM-8, $L$2, $L$4, $L$3, $L$5, $L$6)</f>
        <v>(Invalid Identifier)</v>
      </c>
      <c r="AV29" s="542" t="str">
        <f>_xll.ciqfunctions.udf.CIQ($A29, "IQ_EARNING_CO", IQ_LTM-4, $L$2, $L$4, $L$3, $L$5, $L$6)</f>
        <v>(Invalid Identifier)</v>
      </c>
      <c r="AW29" s="542" t="str">
        <f>_xll.ciqfunctions.udf.CIQ($A29, "IQ_EARNING_CO", IQ_LTM, $L$2, $L$4, $L$3, $L$5, $L$6)</f>
        <v>(Invalid Identifier)</v>
      </c>
      <c r="AX29" s="542" t="str">
        <f>_xll.ciqfunctions.udf.CIQ($A29, "IQ_EARNING_CO", $B$2, $L$2, $L$4, $L$3, $L$5, $L$6)</f>
        <v>(Invalid Identifier)</v>
      </c>
      <c r="AY29" s="542" t="str">
        <f>IF(_xll.ciqfunctions.udf.CIQ($A29, "IQ_EARNING_CO", $B$3, $L$2,$L$4, $L$3, $L$5, $L$6)=0,AW29,_xll.ciqfunctions.udf.CIQ($A29, "IQ_EARNING_CO", $B$3, $L$2,$L$4, $L$3, $L$5, $L$6))</f>
        <v>(Invalid Identifier)</v>
      </c>
      <c r="AZ29" s="542" t="str">
        <f>_xll.ciqfunctions.udf.CIQ($A29, "IQ_TOTAL_EQUITY", IQ_LTM-8, $L$2, $L$4, $L$3, $L$5, $L$6)</f>
        <v>(Invalid Identifier)</v>
      </c>
      <c r="BA29" s="542" t="str">
        <f>_xll.ciqfunctions.udf.CIQ($A29, "IQ_TOTAL_EQUITY", IQ_LTM-4, $L$2, $L$4, $L$3, $L$5, $L$6)</f>
        <v>(Invalid Identifier)</v>
      </c>
      <c r="BB29" s="542" t="str">
        <f>_xll.ciqfunctions.udf.CIQ($A29, "IQ_TOTAL_EQUITY", IQ_LTM, $L$2, $L$4, $L$3, $L$5, $L$6)</f>
        <v>(Invalid Identifier)</v>
      </c>
      <c r="BC29" s="542" t="str">
        <f>_xll.ciqfunctions.udf.CIQ($A29, "IQ_TOTAL_EQUITY", $B$2, $L$2, $L$4, $L$3, $L$5, $L$6)</f>
        <v>(Invalid Identifier)</v>
      </c>
      <c r="BD29" s="542" t="str">
        <f>IF(_xll.ciqfunctions.udf.CIQ($A29, "IQ_TOTAL_EQUITY", $B$3, $L$2,$L$4, $L$3, $L$5, $L$6)=0,BB29,_xll.ciqfunctions.udf.CIQ($A29, "IQ_TOTAL_EQUITY", $B$3, $L$2,$L$4, $L$3, $L$5, $L$6))</f>
        <v>(Invalid Identifier)</v>
      </c>
      <c r="BE29" s="542" t="str">
        <f>_xll.ciqfunctions.udf.CIQ(A29, "IQ_LASTSALEPRICE", $B$8)</f>
        <v>(Invalid Identifier)</v>
      </c>
      <c r="BF29" s="542" t="str">
        <f>_xll.ciqfunctions.udf.CIQ($A29, "IQ_MARKETCAP", $B$8, $L$5, $L$6)</f>
        <v>(Invalid Identifier)</v>
      </c>
      <c r="BG29" s="542" t="str">
        <f>_xll.ciqfunctions.udf.CIQ($A29, "IQ_TOTAL_DEBT", IQ_LTM, $B$8,$L$4, $L$3, $L$5, $L$6)</f>
        <v>(Invalid Identifier)</v>
      </c>
      <c r="BH29" s="492" t="str">
        <f>_xll.ciqfunctions.udf.CIQ($A29,"IQ_PREF_EQUITY",IQ_LTM,$B$8,$L$4,$L$3,$L$5,$L$6)</f>
        <v>(Invalid Identifier)</v>
      </c>
      <c r="BI29" s="492" t="str">
        <f>_xll.ciqfunctions.udf.CIQ($A29, "IQ_MINORITY_INTEREST_TOTAL", IQ_LTM,$B$8,$L$4,$L$3,$L$5,$L$6)</f>
        <v>(Invalid Identifier)</v>
      </c>
      <c r="BJ29" s="542" t="str">
        <f>_xll.ciqfunctions.udf.CIQ($A29, "IQ_CASH_ST_INVEST", IQ_LTM, $B$8, $L$4, $L$3, $L$5, $L$6)</f>
        <v>(Invalid Identifier)</v>
      </c>
      <c r="BK29" s="492" t="str">
        <f>_xll.ciqfunctions.udf.CIQ($A29, "IQ_EFFECT_TAX_RATE")</f>
        <v>(Invalid Identifier)</v>
      </c>
      <c r="BL29" s="492" t="e">
        <f>IF(_xll.ciqfunctions.udf.CIQ($A29, "IQ_TOTAL_REV_2YR_ANN_CAGR", IQ_LTM, $B$1,$L$4, $L$3, $L$5, $L$6)="NM","n/a",(_xll.ciqfunctions.udf.CIQ($A29, "IQ_TOTAL_REV_2YR_ANN_CAGR", IQ_LTM, $B$1,$L$4, $L$3, $L$5, $L$6)/100))</f>
        <v>#VALUE!</v>
      </c>
      <c r="BM29" s="492" t="e">
        <f>IF(_xll.ciqfunctions.udf.CIQ($A29, "IQ_TOTAL_REV_3YR_ANN_CAGR", IQ_LTM, $B$1,$L$4, $L$3, $L$5, $L$6)="NM","n/a",(_xll.ciqfunctions.udf.CIQ($A29, "IQ_TOTAL_REV_3YR_ANN_CAGR", IQ_LTM, $B$1,$L$4, $L$3, $L$5, $L$6)/100))</f>
        <v>#VALUE!</v>
      </c>
      <c r="BN29" s="492" t="e">
        <f>IF(_xll.ciqfunctions.udf.CIQ($A29, "IQ_TOTAL_REV_5YR_ANN_CAGR", IQ_LTM, $B$1,$L$4, $L$3, $L$5, $L$6)="NM","n/a",(_xll.ciqfunctions.udf.CIQ($A29, "IQ_TOTAL_REV_5YR_ANN_CAGR", IQ_LTM, $B$1,$L$4, $L$3, $L$5, $L$6)/100))</f>
        <v>#VALUE!</v>
      </c>
      <c r="BO29" s="492" t="e">
        <f>IF(_xll.ciqfunctions.udf.CIQ($A29,"IQ_EBITDA_2YR_ANN_CAGR", IQ_LTM,$B$1,$L$4, $L$3, $L$5, $L$6)="NM","n/a",(_xll.ciqfunctions.udf.CIQ($A29,"IQ_EBITDA_2YR_ANN_CAGR", IQ_LTM,$B$1,$L$4, $L$3, $L$5, $L$6)/100))</f>
        <v>#VALUE!</v>
      </c>
      <c r="BP29" s="492" t="e">
        <f>IF(_xll.ciqfunctions.udf.CIQ($A29,"IQ_EBITDA_3YR_ANN_CAGR", IQ_LTM,$B$1,$L$4, $L$3, $L$5, $L$6)="NM","n/a",(_xll.ciqfunctions.udf.CIQ($A29,"IQ_EBITDA_3YR_ANN_CAGR", IQ_LTM,$B$1,$L$4, $L$3, $L$5, $L$6)/100))</f>
        <v>#VALUE!</v>
      </c>
      <c r="BQ29" s="492" t="e">
        <f>IF(_xll.ciqfunctions.udf.CIQ($A29,"IQ_EBITDA_5YR_ANN_CAGR", IQ_LTM,$B$1,$L$4, $L$3, $L$5, $L$6)="NM","n/a",(_xll.ciqfunctions.udf.CIQ($A29,"IQ_EBITDA_5YR_ANN_CAGR", IQ_LTM,$B$1,$L$4, $L$3, $L$5, $L$6)/100))</f>
        <v>#VALUE!</v>
      </c>
      <c r="BR29" s="496" t="str">
        <f>IFERROR((_xll.ciqfunctions.udf.CIQ($A29, "IQ_DA_CF", IQ_LTM, $B$1, $L$4, $L$3, $L$5, $L$6)/Q29),"NM")</f>
        <v>NM</v>
      </c>
      <c r="BS29" s="546" t="e">
        <f>'Capital IQ Sheet-GPC'!BS29</f>
        <v>#VALUE!</v>
      </c>
      <c r="BT29" s="546" t="e">
        <f>'Capital IQ Sheet-GPC'!BT29</f>
        <v>#VALUE!</v>
      </c>
      <c r="BU29" s="546" t="e">
        <f>'Capital IQ Sheet-GPC'!BU29</f>
        <v>#VALUE!</v>
      </c>
      <c r="BV29" s="546" t="e">
        <f>'Capital IQ Sheet-GPC'!BV29</f>
        <v>#VALUE!</v>
      </c>
      <c r="BW29" s="546" t="e">
        <f>'Capital IQ Sheet-GPC'!BW29</f>
        <v>#VALUE!</v>
      </c>
      <c r="BX29" s="546" t="e">
        <f>'Capital IQ Sheet-GPC'!BX29</f>
        <v>#VALUE!</v>
      </c>
      <c r="BY29" s="546" t="e">
        <f>'Capital IQ Sheet-GPC'!BY29</f>
        <v>#VALUE!</v>
      </c>
      <c r="BZ29" s="546" t="e">
        <f>'Capital IQ Sheet-GPC'!BZ29</f>
        <v>#VALUE!</v>
      </c>
      <c r="CB29" s="492">
        <v>2</v>
      </c>
      <c r="CC29" s="632" t="s">
        <v>253</v>
      </c>
      <c r="CD29" s="632" t="s">
        <v>252</v>
      </c>
      <c r="CE29" s="494">
        <f t="shared" si="1"/>
        <v>42551</v>
      </c>
    </row>
    <row r="30" spans="1:83" s="492" customFormat="1" ht="12.75">
      <c r="A30" s="493" t="str">
        <f>_xll.ciqfunctions.udf.CIQ($B30,"IQ_COMPANY_TICKER")</f>
        <v>(Invalid Identifier)</v>
      </c>
      <c r="B30" s="541" t="str">
        <f>'Capital IQ Sheet-GPC'!B30</f>
        <v>(Invalid Identifier)</v>
      </c>
      <c r="C30" s="493" t="str">
        <f>_xll.ciqfunctions.udf.CIQ($A30,"IQ_COMPANY_NAME")</f>
        <v>(Invalid Identifier)</v>
      </c>
      <c r="D30" s="493" t="str">
        <f>_xll.ciqfunctions.udf.CIQ($A30, "IQ_EXCHANGE")</f>
        <v>(Invalid Identifier)</v>
      </c>
      <c r="E30" s="540" t="str">
        <f>_xll.ciqfunctions.udf.CIQ($A30, "IQ_PERIODDATE_IS", IQ_FY)</f>
        <v>(Invalid Identifier)</v>
      </c>
      <c r="F30" s="540" t="str">
        <f>_xll.ciqfunctions.udf.CIQ(A30, "IQ_PERIODDATE_IS", IQ_LTM, $B$1,$L$4,$L$3)</f>
        <v>(Invalid Identifier)</v>
      </c>
      <c r="G30" s="540" t="str">
        <f>_xll.ciqfunctions.udf.CIQ($A30, "IQ_FIRSTPRICINGDATE")</f>
        <v>(Invalid Identifier)</v>
      </c>
      <c r="H30" s="542" t="str">
        <f>_xll.ciqfunctions.udf.CIQ($A30, "IQ_TEV", $L$2, $L$5, $L$6)</f>
        <v>(Invalid Identifier)</v>
      </c>
      <c r="I30" s="542" t="str">
        <f>_xll.ciqfunctions.udf.CIQ(A30, "IQ_LASTSALEPRICE", $B$1,$L$5)</f>
        <v>(Invalid Identifier)</v>
      </c>
      <c r="J30" s="542" t="str">
        <f>_xll.ciqfunctions.udf.CIQ($A30, "IQ_MARKETCAP", $L$2, $L$5, $L$6)</f>
        <v>(Invalid Identifier)</v>
      </c>
      <c r="K30" s="542" t="str">
        <f>_xll.ciqfunctions.udf.CIQ($A30, "IQ_TOTAL_DEBT", IQ_LTM, $L$2,$L$4, $L$3, $L$5, $L$6)</f>
        <v>(Invalid Identifier)</v>
      </c>
      <c r="L30" s="542" t="str">
        <f>_xll.ciqfunctions.udf.CIQ($A30, "IQ_PREF_EQUITY", IQ_LTM, $L$2, $L$4, $L$3, $L$5, $L$6)</f>
        <v>(Invalid Identifier)</v>
      </c>
      <c r="M30" s="542" t="str">
        <f>_xll.ciqfunctions.udf.CIQ($A30, "IQ_MINORITY_INTEREST_TOTAL", IQ_LTM, $L$2, $L$4, $L$3, $L$5, $L$6)</f>
        <v>(Invalid Identifier)</v>
      </c>
      <c r="N30" s="542" t="str">
        <f>_xll.ciqfunctions.udf.CIQ($A30, "IQ_CASH_ST_INVEST", IQ_LTM, $L$2, $L$4, $L$3, $L$5, $L$6)</f>
        <v>(Invalid Identifier)</v>
      </c>
      <c r="O30" s="542" t="str">
        <f>_xll.ciqfunctions.udf.CIQ($A30, "IQ_TOTAL_REV", IQ_LTM-8, $L$2, $L$4, $L$3, $L$5, $L$6)</f>
        <v>(Invalid Identifier)</v>
      </c>
      <c r="P30" s="542" t="str">
        <f>_xll.ciqfunctions.udf.CIQ($A30, "IQ_TOTAL_REV", IQ_LTM - 4, $L$2, $L$4, $L$3, $L$5,$L$6)</f>
        <v>(Invalid Identifier)</v>
      </c>
      <c r="Q30" s="542" t="str">
        <f>_xll.ciqfunctions.udf.CIQ($A30, "IQ_TOTAL_REV", IQ_LTM, $L$2, $L$4, $L$3, $L$5, $L$6)</f>
        <v>(Invalid Identifier)</v>
      </c>
      <c r="R30" s="542" t="str">
        <f>_xll.ciqfunctions.udf.CIQ($A30, "IQ_TOTAL_REV", $B$2, $L$2, $L$4, $L$3, $L$5, $L$6)</f>
        <v>(Invalid Identifier)</v>
      </c>
      <c r="S30" s="542" t="str">
        <f>IF(_xll.ciqfunctions.udf.CIQ($A30, "IQ_TOTAL_REV", $B$3, $L$2,$L$4, $L$3, $L$5, $L$6)=0,Q30,_xll.ciqfunctions.udf.CIQ($A30, "IQ_TOTAL_REV", $B$3, $L$2,$L$4, $L$3, $L$5, $L$6))</f>
        <v>(Invalid Identifier)</v>
      </c>
      <c r="T30" s="542" t="str">
        <f>IF(_xll.ciqfunctions.udf.CIQ($A30, "IQ_REVENUE_EST",$B$4, $L$2, "CON", $L$3, $L$5, $L$6)=0,"n/a",_xll.ciqfunctions.udf.CIQ($A30, "IQ_REVENUE_EST",$B$4, $L$2, "CON", $L$3, $L$5, $L$6))</f>
        <v>(Invalid Identifier)</v>
      </c>
      <c r="U30" s="542" t="str">
        <f>IF(_xll.ciqfunctions.udf.CIQ($A30, "IQ_REVENUE_EST",$B$5, $L$2, "CON", $L$3, $L$5, $L$6)=0,"n/a",_xll.ciqfunctions.udf.CIQ($A30, "IQ_REVENUE_EST",$B$5, $L$2, "CON", $L$3, $L$5, $L$6))</f>
        <v>(Invalid Identifier)</v>
      </c>
      <c r="V30" s="542" t="str">
        <f>IF(_xll.ciqfunctions.udf.CIQ($A30, "IQ_REVENUE_EST",$B$6, $L$2, "CON", $L$3, $L$5, $L$6)=0,"n/a",_xll.ciqfunctions.udf.CIQ($A30, "IQ_REVENUE_EST",$B$6, $L$2, "CON", $L$3, $L$5, $L$6))</f>
        <v>(Invalid Identifier)</v>
      </c>
      <c r="W30" s="542" t="str">
        <f>IF(_xll.ciqfunctions.udf.CIQ($A30, "IQ_REVENUE_EST", $B$7, $L$2, "CON", $L$3, $L$5, $L$6)=0,"n/a",_xll.ciqfunctions.udf.CIQ($A30, "IQ_REVENUE_EST",$B$7, $L$2, "CON", $L$3, $L$5, $L$6))</f>
        <v>(Invalid Identifier)</v>
      </c>
      <c r="X30" s="542" t="str">
        <f>_xll.ciqfunctions.udf.CIQ($A30, "IQ_EBITDA", IQ_LTM-8, $L$2, $L$4, $L$3, $L$5, $L$6)</f>
        <v>(Invalid Identifier)</v>
      </c>
      <c r="Y30" s="542" t="str">
        <f>_xll.ciqfunctions.udf.CIQ($A30, "IQ_EBITDA", IQ_LTM-4, $L$2,$L$4, $L$3, $L$5, $L$6)</f>
        <v>(Invalid Identifier)</v>
      </c>
      <c r="Z30" s="542" t="str">
        <f>_xll.ciqfunctions.udf.CIQ($A30, "IQ_EBITDA", IQ_LTM, $L$2, $L$4, $L$3, $L$5, $L$6)</f>
        <v>(Invalid Identifier)</v>
      </c>
      <c r="AA30" s="542" t="str">
        <f>_xll.ciqfunctions.udf.CIQ($A30, "IQ_EBITDA", $B$2, $L$2, $L$4, $L$3, $L$5, $L$6)</f>
        <v>(Invalid Identifier)</v>
      </c>
      <c r="AB30" s="542" t="str">
        <f>IF(_xll.ciqfunctions.udf.CIQ($A30, "IQ_EBITDA", $B$3, $L$2,$L$4, $L$3, $L$5, $L$6)=0,Z30,_xll.ciqfunctions.udf.CIQ($A30, "IQ_EBITDA", $B$3, $L$2,$L$4, $L$3, $L$5, $L$6))</f>
        <v>(Invalid Identifier)</v>
      </c>
      <c r="AC30" s="542" t="str">
        <f>IF(_xll.ciqfunctions.udf.CIQ($A30, "IQ_EBITDA_EST",$B$4, $L$2, "CON", $L$3, $L$5, $L$6)=0,"n/a",_xll.ciqfunctions.udf.CIQ($A30, "IQ_EBITDA_EST",$B$4, $L$2, "CON", $L$3, $L$5, $L$6))</f>
        <v>(Invalid Identifier)</v>
      </c>
      <c r="AD30" s="542" t="str">
        <f>IF(_xll.ciqfunctions.udf.CIQ($A30, "IQ_EBITDA_EST",$B$5, $L$2, "CON", $L$3, $L$5, $L$6)=0,"n/a",_xll.ciqfunctions.udf.CIQ($A30, "IQ_EBITDA_EST",$B$5, $L$2, "CON", $L$3, $L$5, $L$6))</f>
        <v>(Invalid Identifier)</v>
      </c>
      <c r="AE30" s="542" t="str">
        <f>IF(_xll.ciqfunctions.udf.CIQ($A30, "IQ_EBITDA_EST",$B$6, $L$2, "CON", $L$3, $L$5, $L$6)=0,"n/a",_xll.ciqfunctions.udf.CIQ($A30, "IQ_EBITDA_EST",$B$6, $L$2, "CON", $L$3, $L$5, $L$6))</f>
        <v>(Invalid Identifier)</v>
      </c>
      <c r="AF30" s="543" t="str">
        <f>IF(ISERROR(_xll.ciqfunctions.udf.CIQ($A30, "IQ_GROSS_MARGIN", IQ_LTM, $L$2,$L$4, $L$3, $L$5, $L$6)/100), "n/a", _xll.ciqfunctions.udf.CIQ($A30,  "IQ_GROSS_MARGIN", IQ_LTM, $L$2, $L$4, $L$3, $L$5, $L$6)/100)</f>
        <v>n/a</v>
      </c>
      <c r="AG30" s="543" t="str">
        <f>IF(ISERROR(_xll.ciqfunctions.udf.CIQ($A30,"IQ_EBITDA_MARGIN", IQ_LTM, $L$2, $L$4, $L$3, $L$5, $L$6)/100), "n/a", _xll.ciqfunctions.udf.CIQ($A30, "IQ_EBITDA_MARGIN", IQ_LTM, $L$2, $L$4, $L$3, $L$5, $L$6)/100)</f>
        <v>n/a</v>
      </c>
      <c r="AH30" s="543" t="str">
        <f>IF(ISERROR(_xll.ciqfunctions.udf.CIQ($A30,"IQ_EBIT_MARGIN", IQ_LTM, $L$2, $L$4, $L$3, $L$5, $L$6)/100), "n/a", _xll.ciqfunctions.udf.CIQ($A30, "IQ_EBIT_MARGIN", IQ_LTM, $L$2, $L$4, $L$3, $L$5, $L$6)/100)</f>
        <v>n/a</v>
      </c>
      <c r="AI30" s="543" t="str">
        <f>IF(ISERROR(_xll.ciqfunctions.udf.CIQ($A30,"IQ_NI_MARGIN", IQ_LTM, $L$2, $L$4, $L$3, $L$5, $L$6)/100), "n/a", _xll.ciqfunctions.udf.CIQ($A30, "IQ_NI_MARGIN", IQ_LTM, $L$2, $L$4, $L$3, $L$5, $L$6)/100)</f>
        <v>n/a</v>
      </c>
      <c r="AJ30" s="542" t="str">
        <f>IF(ISERROR(_xll.ciqfunctions.udf.CIQ($A30, "IQ_NET_WORKING_CAP", IQ_LTM-8, $L$2, $L$4, $L$3, $L$5, $L$6)), "n/a", _xll.ciqfunctions.udf.CIQ($A30, "IQ_NET_WORKING_CAP", IQ_LTM-8, $L$2, $L$4, $L$3, $L$5, $L$6))</f>
        <v>(Invalid Identifier)</v>
      </c>
      <c r="AK30" s="542" t="str">
        <f>IF(ISERROR(_xll.ciqfunctions.udf.CIQ($A30, "IQ_NET_WORKING_CAP", IQ_LTM-4, $L$2, $L$4, $L$3, $L$5, $L$6)), "n/a", _xll.ciqfunctions.udf.CIQ($A30, "IQ_NET_WORKING_CAP", IQ_LTM-4, $L$2, $L$4, $L$3, $L$5, $L$6))</f>
        <v>(Invalid Identifier)</v>
      </c>
      <c r="AL30" s="542" t="str">
        <f>IF(ISERROR(_xll.ciqfunctions.udf.CIQ($A30, "IQ_NET_WORKING_CAP", IQ_LTM, $L$2,$L$4, $L$3, $L$5, $L$6)), "n/a", _xll.ciqfunctions.udf.CIQ($A30, "IQ_NET_WORKING_CAP", IQ_LTM, $L$2, $L$4, $L$3, $L$5, $L$6))</f>
        <v>(Invalid Identifier)</v>
      </c>
      <c r="AM30" s="542" t="str">
        <f>IF(ISERROR(_xll.ciqfunctions.udf.CIQ($A30, "IQ_Capex", IQ_LTM-8, $L$2,$L$4, $L$3, $L$5, $L$6)), "n/a", _xll.ciqfunctions.udf.CIQ($A30, "IQ_Capex", IQ_LTM-8, $L$2, $L$4, $L$3, $L$5, $L$6))</f>
        <v>(Invalid Identifier)</v>
      </c>
      <c r="AN30" s="542" t="str">
        <f>IF(ISERROR(_xll.ciqfunctions.udf.CIQ($A30, "IQ_Capex", IQ_LTM-4, $L$2,$L$4, $L$3, $L$5, $L$6)), "n/a", _xll.ciqfunctions.udf.CIQ($A30, "IQ_Capex", IQ_LTM-4, $L$2,$L$4, $L$3, $L$5, $L$6))</f>
        <v>(Invalid Identifier)</v>
      </c>
      <c r="AO30" s="542" t="str">
        <f>IF(ISERROR(_xll.ciqfunctions.udf.CIQ($A30, "IQ_Capex", IQ_LTM, $L$2, $L$4, $L$3, $L$5, $L$6)), "n/a", _xll.ciqfunctions.udf.CIQ($A30, "IQ_Capex", IQ_LTM, $L$2, $L$4, $L$3, $L$5, $L$6))</f>
        <v>(Invalid Identifier)</v>
      </c>
      <c r="AP30" s="544" t="str">
        <f>_xll.ciqfunctions.udf.CIQ(A30, "IQ_BUSINESS_DESCRIPTION")</f>
        <v>(Invalid Identifier)</v>
      </c>
      <c r="AQ30" s="545" t="str">
        <f>_xll.ciqfunctions.udf.CIQ($A30, "IQ_BETA_1YR", $B$1)</f>
        <v>(Invalid Identifier)</v>
      </c>
      <c r="AR30" s="545" t="str">
        <f>_xll.ciqfunctions.udf.CIQ($A30, "IQ_BETA_2YR", $B$1)</f>
        <v>(Invalid Identifier)</v>
      </c>
      <c r="AS30" s="545" t="str">
        <f>_xll.ciqfunctions.udf.CIQ($A30, "IQ_BETA_5YR", $B$1)</f>
        <v>(Invalid Identifier)</v>
      </c>
      <c r="AT30" s="543" t="e">
        <f>_xll.ciqfunctions.udf.CIQ($A30, "IQ_DIVIDEND_YIELD", $B$1)/100</f>
        <v>#VALUE!</v>
      </c>
      <c r="AU30" s="542" t="str">
        <f>_xll.ciqfunctions.udf.CIQ($A30, "IQ_EARNING_CO", IQ_LTM-8, $L$2, $L$4, $L$3, $L$5, $L$6)</f>
        <v>(Invalid Identifier)</v>
      </c>
      <c r="AV30" s="542" t="str">
        <f>_xll.ciqfunctions.udf.CIQ($A30, "IQ_EARNING_CO", IQ_LTM-4, $L$2, $L$4, $L$3, $L$5, $L$6)</f>
        <v>(Invalid Identifier)</v>
      </c>
      <c r="AW30" s="542" t="str">
        <f>_xll.ciqfunctions.udf.CIQ($A30, "IQ_EARNING_CO", IQ_LTM, $L$2, $L$4, $L$3, $L$5, $L$6)</f>
        <v>(Invalid Identifier)</v>
      </c>
      <c r="AX30" s="542" t="str">
        <f>_xll.ciqfunctions.udf.CIQ($A30, "IQ_EARNING_CO", $B$2, $L$2, $L$4, $L$3, $L$5, $L$6)</f>
        <v>(Invalid Identifier)</v>
      </c>
      <c r="AY30" s="542" t="str">
        <f>IF(_xll.ciqfunctions.udf.CIQ($A30, "IQ_EARNING_CO", $B$3, $L$2,$L$4, $L$3, $L$5, $L$6)=0,AW30,_xll.ciqfunctions.udf.CIQ($A30, "IQ_EARNING_CO", $B$3, $L$2,$L$4, $L$3, $L$5, $L$6))</f>
        <v>(Invalid Identifier)</v>
      </c>
      <c r="AZ30" s="542" t="str">
        <f>_xll.ciqfunctions.udf.CIQ($A30, "IQ_TOTAL_EQUITY", IQ_LTM-8, $L$2, $L$4, $L$3, $L$5, $L$6)</f>
        <v>(Invalid Identifier)</v>
      </c>
      <c r="BA30" s="542" t="str">
        <f>_xll.ciqfunctions.udf.CIQ($A30, "IQ_TOTAL_EQUITY", IQ_LTM-4, $L$2, $L$4, $L$3, $L$5, $L$6)</f>
        <v>(Invalid Identifier)</v>
      </c>
      <c r="BB30" s="542" t="str">
        <f>_xll.ciqfunctions.udf.CIQ($A30, "IQ_TOTAL_EQUITY", IQ_LTM, $L$2, $L$4, $L$3, $L$5, $L$6)</f>
        <v>(Invalid Identifier)</v>
      </c>
      <c r="BC30" s="542" t="str">
        <f>_xll.ciqfunctions.udf.CIQ($A30, "IQ_TOTAL_EQUITY", $B$2, $L$2, $L$4, $L$3, $L$5, $L$6)</f>
        <v>(Invalid Identifier)</v>
      </c>
      <c r="BD30" s="542" t="str">
        <f>IF(_xll.ciqfunctions.udf.CIQ($A30, "IQ_TOTAL_EQUITY", $B$3, $L$2,$L$4, $L$3, $L$5, $L$6)=0,BB30,_xll.ciqfunctions.udf.CIQ($A30, "IQ_TOTAL_EQUITY", $B$3, $L$2,$L$4, $L$3, $L$5, $L$6))</f>
        <v>(Invalid Identifier)</v>
      </c>
      <c r="BE30" s="542" t="str">
        <f>_xll.ciqfunctions.udf.CIQ(A30, "IQ_LASTSALEPRICE", $B$8)</f>
        <v>(Invalid Identifier)</v>
      </c>
      <c r="BF30" s="542" t="str">
        <f>_xll.ciqfunctions.udf.CIQ($A30, "IQ_MARKETCAP", $B$8, $L$5, $L$6)</f>
        <v>(Invalid Identifier)</v>
      </c>
      <c r="BG30" s="542" t="str">
        <f>_xll.ciqfunctions.udf.CIQ($A30, "IQ_TOTAL_DEBT", IQ_LTM, $B$8,$L$4, $L$3, $L$5, $L$6)</f>
        <v>(Invalid Identifier)</v>
      </c>
      <c r="BH30" s="492" t="str">
        <f>_xll.ciqfunctions.udf.CIQ($A30,"IQ_PREF_EQUITY",IQ_LTM,$B$8,$L$4,$L$3,$L$5,$L$6)</f>
        <v>(Invalid Identifier)</v>
      </c>
      <c r="BI30" s="492" t="str">
        <f>_xll.ciqfunctions.udf.CIQ($A30, "IQ_MINORITY_INTEREST_TOTAL", IQ_LTM,$B$8,$L$4,$L$3,$L$5,$L$6)</f>
        <v>(Invalid Identifier)</v>
      </c>
      <c r="BJ30" s="542" t="str">
        <f>_xll.ciqfunctions.udf.CIQ($A30, "IQ_CASH_ST_INVEST", IQ_LTM, $B$8, $L$4, $L$3, $L$5, $L$6)</f>
        <v>(Invalid Identifier)</v>
      </c>
      <c r="BK30" s="492" t="str">
        <f>_xll.ciqfunctions.udf.CIQ($A30, "IQ_EFFECT_TAX_RATE")</f>
        <v>(Invalid Identifier)</v>
      </c>
      <c r="BL30" s="492" t="e">
        <f>IF(_xll.ciqfunctions.udf.CIQ($A30, "IQ_TOTAL_REV_2YR_ANN_CAGR", IQ_LTM, $B$1,$L$4, $L$3, $L$5, $L$6)="NM","n/a",(_xll.ciqfunctions.udf.CIQ($A30, "IQ_TOTAL_REV_2YR_ANN_CAGR", IQ_LTM, $B$1,$L$4, $L$3, $L$5, $L$6)/100))</f>
        <v>#VALUE!</v>
      </c>
      <c r="BM30" s="492" t="e">
        <f>IF(_xll.ciqfunctions.udf.CIQ($A30, "IQ_TOTAL_REV_3YR_ANN_CAGR", IQ_LTM, $B$1,$L$4, $L$3, $L$5, $L$6)="NM","n/a",(_xll.ciqfunctions.udf.CIQ($A30, "IQ_TOTAL_REV_3YR_ANN_CAGR", IQ_LTM, $B$1,$L$4, $L$3, $L$5, $L$6)/100))</f>
        <v>#VALUE!</v>
      </c>
      <c r="BN30" s="492" t="e">
        <f>IF(_xll.ciqfunctions.udf.CIQ($A30, "IQ_TOTAL_REV_5YR_ANN_CAGR", IQ_LTM, $B$1,$L$4, $L$3, $L$5, $L$6)="NM","n/a",(_xll.ciqfunctions.udf.CIQ($A30, "IQ_TOTAL_REV_5YR_ANN_CAGR", IQ_LTM, $B$1,$L$4, $L$3, $L$5, $L$6)/100))</f>
        <v>#VALUE!</v>
      </c>
      <c r="BO30" s="492" t="e">
        <f>IF(_xll.ciqfunctions.udf.CIQ($A30,"IQ_EBITDA_2YR_ANN_CAGR", IQ_LTM,$B$1,$L$4, $L$3, $L$5, $L$6)="NM","n/a",(_xll.ciqfunctions.udf.CIQ($A30,"IQ_EBITDA_2YR_ANN_CAGR", IQ_LTM,$B$1,$L$4, $L$3, $L$5, $L$6)/100))</f>
        <v>#VALUE!</v>
      </c>
      <c r="BP30" s="492" t="e">
        <f>IF(_xll.ciqfunctions.udf.CIQ($A30,"IQ_EBITDA_3YR_ANN_CAGR", IQ_LTM,$B$1,$L$4, $L$3, $L$5, $L$6)="NM","n/a",(_xll.ciqfunctions.udf.CIQ($A30,"IQ_EBITDA_3YR_ANN_CAGR", IQ_LTM,$B$1,$L$4, $L$3, $L$5, $L$6)/100))</f>
        <v>#VALUE!</v>
      </c>
      <c r="BQ30" s="492" t="e">
        <f>IF(_xll.ciqfunctions.udf.CIQ($A30,"IQ_EBITDA_5YR_ANN_CAGR", IQ_LTM,$B$1,$L$4, $L$3, $L$5, $L$6)="NM","n/a",(_xll.ciqfunctions.udf.CIQ($A30,"IQ_EBITDA_5YR_ANN_CAGR", IQ_LTM,$B$1,$L$4, $L$3, $L$5, $L$6)/100))</f>
        <v>#VALUE!</v>
      </c>
      <c r="BR30" s="496" t="str">
        <f>IFERROR((_xll.ciqfunctions.udf.CIQ($A30, "IQ_DA_CF", IQ_LTM, $B$1, $L$4, $L$3, $L$5, $L$6)/Q30),"NM")</f>
        <v>NM</v>
      </c>
      <c r="BS30" s="546" t="e">
        <f>'Capital IQ Sheet-GPC'!BS30</f>
        <v>#VALUE!</v>
      </c>
      <c r="BT30" s="546" t="e">
        <f>'Capital IQ Sheet-GPC'!BT30</f>
        <v>#VALUE!</v>
      </c>
      <c r="BU30" s="546" t="e">
        <f>'Capital IQ Sheet-GPC'!BU30</f>
        <v>#VALUE!</v>
      </c>
      <c r="BV30" s="546" t="e">
        <f>'Capital IQ Sheet-GPC'!BV30</f>
        <v>#VALUE!</v>
      </c>
      <c r="BW30" s="546" t="e">
        <f>'Capital IQ Sheet-GPC'!BW30</f>
        <v>#VALUE!</v>
      </c>
      <c r="BX30" s="546" t="e">
        <f>'Capital IQ Sheet-GPC'!BX30</f>
        <v>#VALUE!</v>
      </c>
      <c r="BY30" s="546" t="e">
        <f>'Capital IQ Sheet-GPC'!BY30</f>
        <v>#VALUE!</v>
      </c>
      <c r="BZ30" s="546" t="e">
        <f>'Capital IQ Sheet-GPC'!BZ30</f>
        <v>#VALUE!</v>
      </c>
      <c r="CB30" s="492">
        <v>2</v>
      </c>
      <c r="CC30" s="632" t="s">
        <v>253</v>
      </c>
      <c r="CD30" s="632" t="s">
        <v>252</v>
      </c>
      <c r="CE30" s="494">
        <f t="shared" si="1"/>
        <v>42551</v>
      </c>
    </row>
    <row r="31" spans="1:83" s="492" customFormat="1" ht="12.75">
      <c r="A31" s="493" t="str">
        <f>_xll.ciqfunctions.udf.CIQ($B31,"IQ_COMPANY_TICKER")</f>
        <v>(Invalid Identifier)</v>
      </c>
      <c r="B31" s="541" t="str">
        <f>'Capital IQ Sheet-GPC'!B31</f>
        <v>(Invalid Identifier)</v>
      </c>
      <c r="C31" s="493" t="str">
        <f>_xll.ciqfunctions.udf.CIQ($A31,"IQ_COMPANY_NAME")</f>
        <v>(Invalid Identifier)</v>
      </c>
      <c r="D31" s="493" t="str">
        <f>_xll.ciqfunctions.udf.CIQ($A31, "IQ_EXCHANGE")</f>
        <v>(Invalid Identifier)</v>
      </c>
      <c r="E31" s="540" t="str">
        <f>_xll.ciqfunctions.udf.CIQ($A31, "IQ_PERIODDATE_IS", IQ_FY)</f>
        <v>(Invalid Identifier)</v>
      </c>
      <c r="F31" s="540" t="str">
        <f>_xll.ciqfunctions.udf.CIQ(A31, "IQ_PERIODDATE_IS", IQ_LTM, $B$1,$L$4,$L$3)</f>
        <v>(Invalid Identifier)</v>
      </c>
      <c r="G31" s="540" t="str">
        <f>_xll.ciqfunctions.udf.CIQ($A31, "IQ_FIRSTPRICINGDATE")</f>
        <v>(Invalid Identifier)</v>
      </c>
      <c r="H31" s="542" t="str">
        <f>_xll.ciqfunctions.udf.CIQ($A31, "IQ_TEV", $L$2, $L$5, $L$6)</f>
        <v>(Invalid Identifier)</v>
      </c>
      <c r="I31" s="542" t="str">
        <f>_xll.ciqfunctions.udf.CIQ(A31, "IQ_LASTSALEPRICE", $B$1,$L$5)</f>
        <v>(Invalid Identifier)</v>
      </c>
      <c r="J31" s="542" t="str">
        <f>_xll.ciqfunctions.udf.CIQ($A31, "IQ_MARKETCAP", $L$2, $L$5, $L$6)</f>
        <v>(Invalid Identifier)</v>
      </c>
      <c r="K31" s="542" t="str">
        <f>_xll.ciqfunctions.udf.CIQ($A31, "IQ_TOTAL_DEBT", IQ_LTM, $L$2,$L$4, $L$3, $L$5, $L$6)</f>
        <v>(Invalid Identifier)</v>
      </c>
      <c r="L31" s="542" t="str">
        <f>_xll.ciqfunctions.udf.CIQ($A31, "IQ_PREF_EQUITY", IQ_LTM, $L$2, $L$4, $L$3, $L$5, $L$6)</f>
        <v>(Invalid Identifier)</v>
      </c>
      <c r="M31" s="542" t="str">
        <f>_xll.ciqfunctions.udf.CIQ($A31, "IQ_MINORITY_INTEREST_TOTAL", IQ_LTM, $L$2, $L$4, $L$3, $L$5, $L$6)</f>
        <v>(Invalid Identifier)</v>
      </c>
      <c r="N31" s="542" t="str">
        <f>_xll.ciqfunctions.udf.CIQ($A31, "IQ_CASH_ST_INVEST", IQ_LTM, $L$2, $L$4, $L$3, $L$5, $L$6)</f>
        <v>(Invalid Identifier)</v>
      </c>
      <c r="O31" s="542" t="str">
        <f>_xll.ciqfunctions.udf.CIQ($A31, "IQ_TOTAL_REV", IQ_LTM-8, $L$2, $L$4, $L$3, $L$5, $L$6)</f>
        <v>(Invalid Identifier)</v>
      </c>
      <c r="P31" s="542" t="str">
        <f>_xll.ciqfunctions.udf.CIQ($A31, "IQ_TOTAL_REV", IQ_LTM - 4, $L$2, $L$4, $L$3, $L$5,$L$6)</f>
        <v>(Invalid Identifier)</v>
      </c>
      <c r="Q31" s="542" t="str">
        <f>_xll.ciqfunctions.udf.CIQ($A31, "IQ_TOTAL_REV", IQ_LTM, $L$2, $L$4, $L$3, $L$5, $L$6)</f>
        <v>(Invalid Identifier)</v>
      </c>
      <c r="R31" s="542" t="str">
        <f>_xll.ciqfunctions.udf.CIQ($A31, "IQ_TOTAL_REV", $B$2, $L$2, $L$4, $L$3, $L$5, $L$6)</f>
        <v>(Invalid Identifier)</v>
      </c>
      <c r="S31" s="542" t="str">
        <f>IF(_xll.ciqfunctions.udf.CIQ($A31, "IQ_TOTAL_REV", $B$3, $L$2,$L$4, $L$3, $L$5, $L$6)=0,Q31,_xll.ciqfunctions.udf.CIQ($A31, "IQ_TOTAL_REV", $B$3, $L$2,$L$4, $L$3, $L$5, $L$6))</f>
        <v>(Invalid Identifier)</v>
      </c>
      <c r="T31" s="542" t="str">
        <f>IF(_xll.ciqfunctions.udf.CIQ($A31, "IQ_REVENUE_EST",$B$4, $L$2, "CON", $L$3, $L$5, $L$6)=0,"n/a",_xll.ciqfunctions.udf.CIQ($A31, "IQ_REVENUE_EST",$B$4, $L$2, "CON", $L$3, $L$5, $L$6))</f>
        <v>(Invalid Identifier)</v>
      </c>
      <c r="U31" s="542" t="str">
        <f>IF(_xll.ciqfunctions.udf.CIQ($A31, "IQ_REVENUE_EST",$B$5, $L$2, "CON", $L$3, $L$5, $L$6)=0,"n/a",_xll.ciqfunctions.udf.CIQ($A31, "IQ_REVENUE_EST",$B$5, $L$2, "CON", $L$3, $L$5, $L$6))</f>
        <v>(Invalid Identifier)</v>
      </c>
      <c r="V31" s="542" t="str">
        <f>IF(_xll.ciqfunctions.udf.CIQ($A31, "IQ_REVENUE_EST",$B$6, $L$2, "CON", $L$3, $L$5, $L$6)=0,"n/a",_xll.ciqfunctions.udf.CIQ($A31, "IQ_REVENUE_EST",$B$6, $L$2, "CON", $L$3, $L$5, $L$6))</f>
        <v>(Invalid Identifier)</v>
      </c>
      <c r="W31" s="542" t="str">
        <f>IF(_xll.ciqfunctions.udf.CIQ($A31, "IQ_REVENUE_EST", $B$7, $L$2, "CON", $L$3, $L$5, $L$6)=0,"n/a",_xll.ciqfunctions.udf.CIQ($A31, "IQ_REVENUE_EST",$B$7, $L$2, "CON", $L$3, $L$5, $L$6))</f>
        <v>(Invalid Identifier)</v>
      </c>
      <c r="X31" s="542" t="str">
        <f>_xll.ciqfunctions.udf.CIQ($A31, "IQ_EBITDA", IQ_LTM-8, $L$2, $L$4, $L$3, $L$5, $L$6)</f>
        <v>(Invalid Identifier)</v>
      </c>
      <c r="Y31" s="542" t="str">
        <f>_xll.ciqfunctions.udf.CIQ($A31, "IQ_EBITDA", IQ_LTM-4, $L$2,$L$4, $L$3, $L$5, $L$6)</f>
        <v>(Invalid Identifier)</v>
      </c>
      <c r="Z31" s="542" t="str">
        <f>_xll.ciqfunctions.udf.CIQ($A31, "IQ_EBITDA", IQ_LTM, $L$2, $L$4, $L$3, $L$5, $L$6)</f>
        <v>(Invalid Identifier)</v>
      </c>
      <c r="AA31" s="542" t="str">
        <f>_xll.ciqfunctions.udf.CIQ($A31, "IQ_EBITDA", $B$2, $L$2, $L$4, $L$3, $L$5, $L$6)</f>
        <v>(Invalid Identifier)</v>
      </c>
      <c r="AB31" s="542" t="str">
        <f>IF(_xll.ciqfunctions.udf.CIQ($A31, "IQ_EBITDA", $B$3, $L$2,$L$4, $L$3, $L$5, $L$6)=0,Z31,_xll.ciqfunctions.udf.CIQ($A31, "IQ_EBITDA", $B$3, $L$2,$L$4, $L$3, $L$5, $L$6))</f>
        <v>(Invalid Identifier)</v>
      </c>
      <c r="AC31" s="542" t="str">
        <f>IF(_xll.ciqfunctions.udf.CIQ($A31, "IQ_EBITDA_EST",$B$4, $L$2, "CON", $L$3, $L$5, $L$6)=0,"n/a",_xll.ciqfunctions.udf.CIQ($A31, "IQ_EBITDA_EST",$B$4, $L$2, "CON", $L$3, $L$5, $L$6))</f>
        <v>(Invalid Identifier)</v>
      </c>
      <c r="AD31" s="542" t="str">
        <f>IF(_xll.ciqfunctions.udf.CIQ($A31, "IQ_EBITDA_EST",$B$5, $L$2, "CON", $L$3, $L$5, $L$6)=0,"n/a",_xll.ciqfunctions.udf.CIQ($A31, "IQ_EBITDA_EST",$B$5, $L$2, "CON", $L$3, $L$5, $L$6))</f>
        <v>(Invalid Identifier)</v>
      </c>
      <c r="AE31" s="542" t="str">
        <f>IF(_xll.ciqfunctions.udf.CIQ($A31, "IQ_EBITDA_EST",$B$6, $L$2, "CON", $L$3, $L$5, $L$6)=0,"n/a",_xll.ciqfunctions.udf.CIQ($A31, "IQ_EBITDA_EST",$B$6, $L$2, "CON", $L$3, $L$5, $L$6))</f>
        <v>(Invalid Identifier)</v>
      </c>
      <c r="AF31" s="543" t="str">
        <f>IF(ISERROR(_xll.ciqfunctions.udf.CIQ($A31, "IQ_GROSS_MARGIN", IQ_LTM, $L$2,$L$4, $L$3, $L$5, $L$6)/100), "n/a", _xll.ciqfunctions.udf.CIQ($A31,  "IQ_GROSS_MARGIN", IQ_LTM, $L$2, $L$4, $L$3, $L$5, $L$6)/100)</f>
        <v>n/a</v>
      </c>
      <c r="AG31" s="543" t="str">
        <f>IF(ISERROR(_xll.ciqfunctions.udf.CIQ($A31,"IQ_EBITDA_MARGIN", IQ_LTM, $L$2, $L$4, $L$3, $L$5, $L$6)/100), "n/a", _xll.ciqfunctions.udf.CIQ($A31, "IQ_EBITDA_MARGIN", IQ_LTM, $L$2, $L$4, $L$3, $L$5, $L$6)/100)</f>
        <v>n/a</v>
      </c>
      <c r="AH31" s="543" t="str">
        <f>IF(ISERROR(_xll.ciqfunctions.udf.CIQ($A31,"IQ_EBIT_MARGIN", IQ_LTM, $L$2, $L$4, $L$3, $L$5, $L$6)/100), "n/a", _xll.ciqfunctions.udf.CIQ($A31, "IQ_EBIT_MARGIN", IQ_LTM, $L$2, $L$4, $L$3, $L$5, $L$6)/100)</f>
        <v>n/a</v>
      </c>
      <c r="AI31" s="543" t="str">
        <f>IF(ISERROR(_xll.ciqfunctions.udf.CIQ($A31,"IQ_NI_MARGIN", IQ_LTM, $L$2, $L$4, $L$3, $L$5, $L$6)/100), "n/a", _xll.ciqfunctions.udf.CIQ($A31, "IQ_NI_MARGIN", IQ_LTM, $L$2, $L$4, $L$3, $L$5, $L$6)/100)</f>
        <v>n/a</v>
      </c>
      <c r="AJ31" s="542" t="str">
        <f>IF(ISERROR(_xll.ciqfunctions.udf.CIQ($A31, "IQ_NET_WORKING_CAP", IQ_LTM-8, $L$2, $L$4, $L$3, $L$5, $L$6)), "n/a", _xll.ciqfunctions.udf.CIQ($A31, "IQ_NET_WORKING_CAP", IQ_LTM-8, $L$2, $L$4, $L$3, $L$5, $L$6))</f>
        <v>(Invalid Identifier)</v>
      </c>
      <c r="AK31" s="542" t="str">
        <f>IF(ISERROR(_xll.ciqfunctions.udf.CIQ($A31, "IQ_NET_WORKING_CAP", IQ_LTM-4, $L$2, $L$4, $L$3, $L$5, $L$6)), "n/a", _xll.ciqfunctions.udf.CIQ($A31, "IQ_NET_WORKING_CAP", IQ_LTM-4, $L$2, $L$4, $L$3, $L$5, $L$6))</f>
        <v>(Invalid Identifier)</v>
      </c>
      <c r="AL31" s="542" t="str">
        <f>IF(ISERROR(_xll.ciqfunctions.udf.CIQ($A31, "IQ_NET_WORKING_CAP", IQ_LTM, $L$2,$L$4, $L$3, $L$5, $L$6)), "n/a", _xll.ciqfunctions.udf.CIQ($A31, "IQ_NET_WORKING_CAP", IQ_LTM, $L$2, $L$4, $L$3, $L$5, $L$6))</f>
        <v>(Invalid Identifier)</v>
      </c>
      <c r="AM31" s="542" t="str">
        <f>IF(ISERROR(_xll.ciqfunctions.udf.CIQ($A31, "IQ_Capex", IQ_LTM-8, $L$2,$L$4, $L$3, $L$5, $L$6)), "n/a", _xll.ciqfunctions.udf.CIQ($A31, "IQ_Capex", IQ_LTM-8, $L$2, $L$4, $L$3, $L$5, $L$6))</f>
        <v>(Invalid Identifier)</v>
      </c>
      <c r="AN31" s="542" t="str">
        <f>IF(ISERROR(_xll.ciqfunctions.udf.CIQ($A31, "IQ_Capex", IQ_LTM-4, $L$2,$L$4, $L$3, $L$5, $L$6)), "n/a", _xll.ciqfunctions.udf.CIQ($A31, "IQ_Capex", IQ_LTM-4, $L$2,$L$4, $L$3, $L$5, $L$6))</f>
        <v>(Invalid Identifier)</v>
      </c>
      <c r="AO31" s="542" t="str">
        <f>IF(ISERROR(_xll.ciqfunctions.udf.CIQ($A31, "IQ_Capex", IQ_LTM, $L$2, $L$4, $L$3, $L$5, $L$6)), "n/a", _xll.ciqfunctions.udf.CIQ($A31, "IQ_Capex", IQ_LTM, $L$2, $L$4, $L$3, $L$5, $L$6))</f>
        <v>(Invalid Identifier)</v>
      </c>
      <c r="AP31" s="544" t="str">
        <f>_xll.ciqfunctions.udf.CIQ(A31, "IQ_BUSINESS_DESCRIPTION")</f>
        <v>(Invalid Identifier)</v>
      </c>
      <c r="AQ31" s="545" t="str">
        <f>_xll.ciqfunctions.udf.CIQ($A31, "IQ_BETA_1YR", $B$1)</f>
        <v>(Invalid Identifier)</v>
      </c>
      <c r="AR31" s="545" t="str">
        <f>_xll.ciqfunctions.udf.CIQ($A31, "IQ_BETA_2YR", $B$1)</f>
        <v>(Invalid Identifier)</v>
      </c>
      <c r="AS31" s="545" t="str">
        <f>_xll.ciqfunctions.udf.CIQ($A31, "IQ_BETA_5YR", $B$1)</f>
        <v>(Invalid Identifier)</v>
      </c>
      <c r="AT31" s="543" t="e">
        <f>_xll.ciqfunctions.udf.CIQ($A31, "IQ_DIVIDEND_YIELD", $B$1)/100</f>
        <v>#VALUE!</v>
      </c>
      <c r="AU31" s="542" t="str">
        <f>_xll.ciqfunctions.udf.CIQ($A31, "IQ_EARNING_CO", IQ_LTM-8, $L$2, $L$4, $L$3, $L$5, $L$6)</f>
        <v>(Invalid Identifier)</v>
      </c>
      <c r="AV31" s="542" t="str">
        <f>_xll.ciqfunctions.udf.CIQ($A31, "IQ_EARNING_CO", IQ_LTM-4, $L$2, $L$4, $L$3, $L$5, $L$6)</f>
        <v>(Invalid Identifier)</v>
      </c>
      <c r="AW31" s="542" t="str">
        <f>_xll.ciqfunctions.udf.CIQ($A31, "IQ_EARNING_CO", IQ_LTM, $L$2, $L$4, $L$3, $L$5, $L$6)</f>
        <v>(Invalid Identifier)</v>
      </c>
      <c r="AX31" s="542" t="str">
        <f>_xll.ciqfunctions.udf.CIQ($A31, "IQ_EARNING_CO", $B$2, $L$2, $L$4, $L$3, $L$5, $L$6)</f>
        <v>(Invalid Identifier)</v>
      </c>
      <c r="AY31" s="542" t="str">
        <f>IF(_xll.ciqfunctions.udf.CIQ($A31, "IQ_EARNING_CO", $B$3, $L$2,$L$4, $L$3, $L$5, $L$6)=0,AW31,_xll.ciqfunctions.udf.CIQ($A31, "IQ_EARNING_CO", $B$3, $L$2,$L$4, $L$3, $L$5, $L$6))</f>
        <v>(Invalid Identifier)</v>
      </c>
      <c r="AZ31" s="542" t="str">
        <f>_xll.ciqfunctions.udf.CIQ($A31, "IQ_TOTAL_EQUITY", IQ_LTM-8, $L$2, $L$4, $L$3, $L$5, $L$6)</f>
        <v>(Invalid Identifier)</v>
      </c>
      <c r="BA31" s="542" t="str">
        <f>_xll.ciqfunctions.udf.CIQ($A31, "IQ_TOTAL_EQUITY", IQ_LTM-4, $L$2, $L$4, $L$3, $L$5, $L$6)</f>
        <v>(Invalid Identifier)</v>
      </c>
      <c r="BB31" s="542" t="str">
        <f>_xll.ciqfunctions.udf.CIQ($A31, "IQ_TOTAL_EQUITY", IQ_LTM, $L$2, $L$4, $L$3, $L$5, $L$6)</f>
        <v>(Invalid Identifier)</v>
      </c>
      <c r="BC31" s="542" t="str">
        <f>_xll.ciqfunctions.udf.CIQ($A31, "IQ_TOTAL_EQUITY", $B$2, $L$2, $L$4, $L$3, $L$5, $L$6)</f>
        <v>(Invalid Identifier)</v>
      </c>
      <c r="BD31" s="542" t="str">
        <f>IF(_xll.ciqfunctions.udf.CIQ($A31, "IQ_TOTAL_EQUITY", $B$3, $L$2,$L$4, $L$3, $L$5, $L$6)=0,BB31,_xll.ciqfunctions.udf.CIQ($A31, "IQ_TOTAL_EQUITY", $B$3, $L$2,$L$4, $L$3, $L$5, $L$6))</f>
        <v>(Invalid Identifier)</v>
      </c>
      <c r="BE31" s="542" t="str">
        <f>_xll.ciqfunctions.udf.CIQ(A31, "IQ_LASTSALEPRICE", $B$8)</f>
        <v>(Invalid Identifier)</v>
      </c>
      <c r="BF31" s="542" t="str">
        <f>_xll.ciqfunctions.udf.CIQ($A31, "IQ_MARKETCAP", $B$8, $L$5, $L$6)</f>
        <v>(Invalid Identifier)</v>
      </c>
      <c r="BG31" s="542" t="str">
        <f>_xll.ciqfunctions.udf.CIQ($A31, "IQ_TOTAL_DEBT", IQ_LTM, $B$8,$L$4, $L$3, $L$5, $L$6)</f>
        <v>(Invalid Identifier)</v>
      </c>
      <c r="BH31" s="492" t="str">
        <f>_xll.ciqfunctions.udf.CIQ($A31,"IQ_PREF_EQUITY",IQ_LTM,$B$8,$L$4,$L$3,$L$5,$L$6)</f>
        <v>(Invalid Identifier)</v>
      </c>
      <c r="BI31" s="492" t="str">
        <f>_xll.ciqfunctions.udf.CIQ($A31, "IQ_MINORITY_INTEREST_TOTAL", IQ_LTM,$B$8,$L$4,$L$3,$L$5,$L$6)</f>
        <v>(Invalid Identifier)</v>
      </c>
      <c r="BJ31" s="542" t="str">
        <f>_xll.ciqfunctions.udf.CIQ($A31, "IQ_CASH_ST_INVEST", IQ_LTM, $B$8, $L$4, $L$3, $L$5, $L$6)</f>
        <v>(Invalid Identifier)</v>
      </c>
      <c r="BK31" s="492" t="str">
        <f>_xll.ciqfunctions.udf.CIQ($A31, "IQ_EFFECT_TAX_RATE")</f>
        <v>(Invalid Identifier)</v>
      </c>
      <c r="BL31" s="492" t="e">
        <f>IF(_xll.ciqfunctions.udf.CIQ($A31, "IQ_TOTAL_REV_2YR_ANN_CAGR", IQ_LTM, $B$1,$L$4, $L$3, $L$5, $L$6)="NM","n/a",(_xll.ciqfunctions.udf.CIQ($A31, "IQ_TOTAL_REV_2YR_ANN_CAGR", IQ_LTM, $B$1,$L$4, $L$3, $L$5, $L$6)/100))</f>
        <v>#VALUE!</v>
      </c>
      <c r="BM31" s="492" t="e">
        <f>IF(_xll.ciqfunctions.udf.CIQ($A31, "IQ_TOTAL_REV_3YR_ANN_CAGR", IQ_LTM, $B$1,$L$4, $L$3, $L$5, $L$6)="NM","n/a",(_xll.ciqfunctions.udf.CIQ($A31, "IQ_TOTAL_REV_3YR_ANN_CAGR", IQ_LTM, $B$1,$L$4, $L$3, $L$5, $L$6)/100))</f>
        <v>#VALUE!</v>
      </c>
      <c r="BN31" s="492" t="e">
        <f>IF(_xll.ciqfunctions.udf.CIQ($A31, "IQ_TOTAL_REV_5YR_ANN_CAGR", IQ_LTM, $B$1,$L$4, $L$3, $L$5, $L$6)="NM","n/a",(_xll.ciqfunctions.udf.CIQ($A31, "IQ_TOTAL_REV_5YR_ANN_CAGR", IQ_LTM, $B$1,$L$4, $L$3, $L$5, $L$6)/100))</f>
        <v>#VALUE!</v>
      </c>
      <c r="BO31" s="492" t="e">
        <f>IF(_xll.ciqfunctions.udf.CIQ($A31,"IQ_EBITDA_2YR_ANN_CAGR", IQ_LTM,$B$1,$L$4, $L$3, $L$5, $L$6)="NM","n/a",(_xll.ciqfunctions.udf.CIQ($A31,"IQ_EBITDA_2YR_ANN_CAGR", IQ_LTM,$B$1,$L$4, $L$3, $L$5, $L$6)/100))</f>
        <v>#VALUE!</v>
      </c>
      <c r="BP31" s="492" t="e">
        <f>IF(_xll.ciqfunctions.udf.CIQ($A31,"IQ_EBITDA_3YR_ANN_CAGR", IQ_LTM,$B$1,$L$4, $L$3, $L$5, $L$6)="NM","n/a",(_xll.ciqfunctions.udf.CIQ($A31,"IQ_EBITDA_3YR_ANN_CAGR", IQ_LTM,$B$1,$L$4, $L$3, $L$5, $L$6)/100))</f>
        <v>#VALUE!</v>
      </c>
      <c r="BQ31" s="492" t="e">
        <f>IF(_xll.ciqfunctions.udf.CIQ($A31,"IQ_EBITDA_5YR_ANN_CAGR", IQ_LTM,$B$1,$L$4, $L$3, $L$5, $L$6)="NM","n/a",(_xll.ciqfunctions.udf.CIQ($A31,"IQ_EBITDA_5YR_ANN_CAGR", IQ_LTM,$B$1,$L$4, $L$3, $L$5, $L$6)/100))</f>
        <v>#VALUE!</v>
      </c>
      <c r="BR31" s="496" t="str">
        <f>IFERROR((_xll.ciqfunctions.udf.CIQ($A31, "IQ_DA_CF", IQ_LTM, $B$1, $L$4, $L$3, $L$5, $L$6)/Q31),"NM")</f>
        <v>NM</v>
      </c>
      <c r="BS31" s="546" t="e">
        <f>'Capital IQ Sheet-GPC'!BS31</f>
        <v>#VALUE!</v>
      </c>
      <c r="BT31" s="546" t="e">
        <f>'Capital IQ Sheet-GPC'!BT31</f>
        <v>#VALUE!</v>
      </c>
      <c r="BU31" s="546" t="e">
        <f>'Capital IQ Sheet-GPC'!BU31</f>
        <v>#VALUE!</v>
      </c>
      <c r="BV31" s="546" t="e">
        <f>'Capital IQ Sheet-GPC'!BV31</f>
        <v>#VALUE!</v>
      </c>
      <c r="BW31" s="546" t="e">
        <f>'Capital IQ Sheet-GPC'!BW31</f>
        <v>#VALUE!</v>
      </c>
      <c r="BX31" s="546" t="e">
        <f>'Capital IQ Sheet-GPC'!BX31</f>
        <v>#VALUE!</v>
      </c>
      <c r="BY31" s="546" t="e">
        <f>'Capital IQ Sheet-GPC'!BY31</f>
        <v>#VALUE!</v>
      </c>
      <c r="BZ31" s="546" t="e">
        <f>'Capital IQ Sheet-GPC'!BZ31</f>
        <v>#VALUE!</v>
      </c>
      <c r="CB31" s="492">
        <v>2</v>
      </c>
      <c r="CC31" s="632" t="s">
        <v>253</v>
      </c>
      <c r="CD31" s="632" t="s">
        <v>252</v>
      </c>
      <c r="CE31" s="494">
        <f t="shared" si="1"/>
        <v>42551</v>
      </c>
    </row>
    <row r="32" spans="1:83" s="492" customFormat="1" ht="12.75">
      <c r="A32" s="493" t="str">
        <f>_xll.ciqfunctions.udf.CIQ($B32,"IQ_COMPANY_TICKER")</f>
        <v>(Invalid Identifier)</v>
      </c>
      <c r="B32" s="541" t="str">
        <f>'Capital IQ Sheet-GPC'!B32</f>
        <v>(Invalid Identifier)</v>
      </c>
      <c r="C32" s="493" t="str">
        <f>_xll.ciqfunctions.udf.CIQ($A32,"IQ_COMPANY_NAME")</f>
        <v>(Invalid Identifier)</v>
      </c>
      <c r="D32" s="493" t="str">
        <f>_xll.ciqfunctions.udf.CIQ($A32, "IQ_EXCHANGE")</f>
        <v>(Invalid Identifier)</v>
      </c>
      <c r="E32" s="540" t="str">
        <f>_xll.ciqfunctions.udf.CIQ($A32, "IQ_PERIODDATE_IS", IQ_FY)</f>
        <v>(Invalid Identifier)</v>
      </c>
      <c r="F32" s="540" t="str">
        <f>_xll.ciqfunctions.udf.CIQ(A32, "IQ_PERIODDATE_IS", IQ_LTM, $B$1,$L$4,$L$3)</f>
        <v>(Invalid Identifier)</v>
      </c>
      <c r="G32" s="540" t="str">
        <f>_xll.ciqfunctions.udf.CIQ($A32, "IQ_FIRSTPRICINGDATE")</f>
        <v>(Invalid Identifier)</v>
      </c>
      <c r="H32" s="542" t="str">
        <f>_xll.ciqfunctions.udf.CIQ($A32, "IQ_TEV", $L$2, $L$5, $L$6)</f>
        <v>(Invalid Identifier)</v>
      </c>
      <c r="I32" s="542" t="str">
        <f>_xll.ciqfunctions.udf.CIQ(A32, "IQ_LASTSALEPRICE", $B$1,$L$5)</f>
        <v>(Invalid Identifier)</v>
      </c>
      <c r="J32" s="542" t="str">
        <f>_xll.ciqfunctions.udf.CIQ($A32, "IQ_MARKETCAP", $L$2, $L$5, $L$6)</f>
        <v>(Invalid Identifier)</v>
      </c>
      <c r="K32" s="542" t="str">
        <f>_xll.ciqfunctions.udf.CIQ($A32, "IQ_TOTAL_DEBT", IQ_LTM, $L$2,$L$4, $L$3, $L$5, $L$6)</f>
        <v>(Invalid Identifier)</v>
      </c>
      <c r="L32" s="542" t="str">
        <f>_xll.ciqfunctions.udf.CIQ($A32, "IQ_PREF_EQUITY", IQ_LTM, $L$2, $L$4, $L$3, $L$5, $L$6)</f>
        <v>(Invalid Identifier)</v>
      </c>
      <c r="M32" s="542" t="str">
        <f>_xll.ciqfunctions.udf.CIQ($A32, "IQ_MINORITY_INTEREST_TOTAL", IQ_LTM, $L$2, $L$4, $L$3, $L$5, $L$6)</f>
        <v>(Invalid Identifier)</v>
      </c>
      <c r="N32" s="542" t="str">
        <f>_xll.ciqfunctions.udf.CIQ($A32, "IQ_CASH_ST_INVEST", IQ_LTM, $L$2, $L$4, $L$3, $L$5, $L$6)</f>
        <v>(Invalid Identifier)</v>
      </c>
      <c r="O32" s="542" t="str">
        <f>_xll.ciqfunctions.udf.CIQ($A32, "IQ_TOTAL_REV", IQ_LTM-8, $L$2, $L$4, $L$3, $L$5, $L$6)</f>
        <v>(Invalid Identifier)</v>
      </c>
      <c r="P32" s="542" t="str">
        <f>_xll.ciqfunctions.udf.CIQ($A32, "IQ_TOTAL_REV", IQ_LTM - 4, $L$2, $L$4, $L$3, $L$5,$L$6)</f>
        <v>(Invalid Identifier)</v>
      </c>
      <c r="Q32" s="542" t="str">
        <f>_xll.ciqfunctions.udf.CIQ($A32, "IQ_TOTAL_REV", IQ_LTM, $L$2, $L$4, $L$3, $L$5, $L$6)</f>
        <v>(Invalid Identifier)</v>
      </c>
      <c r="R32" s="542" t="str">
        <f>_xll.ciqfunctions.udf.CIQ($A32, "IQ_TOTAL_REV", $B$2, $L$2, $L$4, $L$3, $L$5, $L$6)</f>
        <v>(Invalid Identifier)</v>
      </c>
      <c r="S32" s="542" t="str">
        <f>IF(_xll.ciqfunctions.udf.CIQ($A32, "IQ_TOTAL_REV", $B$3, $L$2,$L$4, $L$3, $L$5, $L$6)=0,Q32,_xll.ciqfunctions.udf.CIQ($A32, "IQ_TOTAL_REV", $B$3, $L$2,$L$4, $L$3, $L$5, $L$6))</f>
        <v>(Invalid Identifier)</v>
      </c>
      <c r="T32" s="542" t="str">
        <f>IF(_xll.ciqfunctions.udf.CIQ($A32, "IQ_REVENUE_EST",$B$4, $L$2, "CON", $L$3, $L$5, $L$6)=0,"n/a",_xll.ciqfunctions.udf.CIQ($A32, "IQ_REVENUE_EST",$B$4, $L$2, "CON", $L$3, $L$5, $L$6))</f>
        <v>(Invalid Identifier)</v>
      </c>
      <c r="U32" s="542" t="str">
        <f>IF(_xll.ciqfunctions.udf.CIQ($A32, "IQ_REVENUE_EST",$B$5, $L$2, "CON", $L$3, $L$5, $L$6)=0,"n/a",_xll.ciqfunctions.udf.CIQ($A32, "IQ_REVENUE_EST",$B$5, $L$2, "CON", $L$3, $L$5, $L$6))</f>
        <v>(Invalid Identifier)</v>
      </c>
      <c r="V32" s="542" t="str">
        <f>IF(_xll.ciqfunctions.udf.CIQ($A32, "IQ_REVENUE_EST",$B$6, $L$2, "CON", $L$3, $L$5, $L$6)=0,"n/a",_xll.ciqfunctions.udf.CIQ($A32, "IQ_REVENUE_EST",$B$6, $L$2, "CON", $L$3, $L$5, $L$6))</f>
        <v>(Invalid Identifier)</v>
      </c>
      <c r="W32" s="542" t="str">
        <f>IF(_xll.ciqfunctions.udf.CIQ($A32, "IQ_REVENUE_EST", $B$7, $L$2, "CON", $L$3, $L$5, $L$6)=0,"n/a",_xll.ciqfunctions.udf.CIQ($A32, "IQ_REVENUE_EST",$B$7, $L$2, "CON", $L$3, $L$5, $L$6))</f>
        <v>(Invalid Identifier)</v>
      </c>
      <c r="X32" s="542" t="str">
        <f>_xll.ciqfunctions.udf.CIQ($A32, "IQ_EBITDA", IQ_LTM-8, $L$2, $L$4, $L$3, $L$5, $L$6)</f>
        <v>(Invalid Identifier)</v>
      </c>
      <c r="Y32" s="542" t="str">
        <f>_xll.ciqfunctions.udf.CIQ($A32, "IQ_EBITDA", IQ_LTM-4, $L$2,$L$4, $L$3, $L$5, $L$6)</f>
        <v>(Invalid Identifier)</v>
      </c>
      <c r="Z32" s="542" t="str">
        <f>_xll.ciqfunctions.udf.CIQ($A32, "IQ_EBITDA", IQ_LTM, $L$2, $L$4, $L$3, $L$5, $L$6)</f>
        <v>(Invalid Identifier)</v>
      </c>
      <c r="AA32" s="542" t="str">
        <f>_xll.ciqfunctions.udf.CIQ($A32, "IQ_EBITDA", $B$2, $L$2, $L$4, $L$3, $L$5, $L$6)</f>
        <v>(Invalid Identifier)</v>
      </c>
      <c r="AB32" s="542" t="str">
        <f>IF(_xll.ciqfunctions.udf.CIQ($A32, "IQ_EBITDA", $B$3, $L$2,$L$4, $L$3, $L$5, $L$6)=0,Z32,_xll.ciqfunctions.udf.CIQ($A32, "IQ_EBITDA", $B$3, $L$2,$L$4, $L$3, $L$5, $L$6))</f>
        <v>(Invalid Identifier)</v>
      </c>
      <c r="AC32" s="542" t="str">
        <f>IF(_xll.ciqfunctions.udf.CIQ($A32, "IQ_EBITDA_EST",$B$4, $L$2, "CON", $L$3, $L$5, $L$6)=0,"n/a",_xll.ciqfunctions.udf.CIQ($A32, "IQ_EBITDA_EST",$B$4, $L$2, "CON", $L$3, $L$5, $L$6))</f>
        <v>(Invalid Identifier)</v>
      </c>
      <c r="AD32" s="542" t="str">
        <f>IF(_xll.ciqfunctions.udf.CIQ($A32, "IQ_EBITDA_EST",$B$5, $L$2, "CON", $L$3, $L$5, $L$6)=0,"n/a",_xll.ciqfunctions.udf.CIQ($A32, "IQ_EBITDA_EST",$B$5, $L$2, "CON", $L$3, $L$5, $L$6))</f>
        <v>(Invalid Identifier)</v>
      </c>
      <c r="AE32" s="542" t="str">
        <f>IF(_xll.ciqfunctions.udf.CIQ($A32, "IQ_EBITDA_EST",$B$6, $L$2, "CON", $L$3, $L$5, $L$6)=0,"n/a",_xll.ciqfunctions.udf.CIQ($A32, "IQ_EBITDA_EST",$B$6, $L$2, "CON", $L$3, $L$5, $L$6))</f>
        <v>(Invalid Identifier)</v>
      </c>
      <c r="AF32" s="543" t="str">
        <f>IF(ISERROR(_xll.ciqfunctions.udf.CIQ($A32, "IQ_GROSS_MARGIN", IQ_LTM, $L$2,$L$4, $L$3, $L$5, $L$6)/100), "n/a", _xll.ciqfunctions.udf.CIQ($A32,  "IQ_GROSS_MARGIN", IQ_LTM, $L$2, $L$4, $L$3, $L$5, $L$6)/100)</f>
        <v>n/a</v>
      </c>
      <c r="AG32" s="543" t="str">
        <f>IF(ISERROR(_xll.ciqfunctions.udf.CIQ($A32,"IQ_EBITDA_MARGIN", IQ_LTM, $L$2, $L$4, $L$3, $L$5, $L$6)/100), "n/a", _xll.ciqfunctions.udf.CIQ($A32, "IQ_EBITDA_MARGIN", IQ_LTM, $L$2, $L$4, $L$3, $L$5, $L$6)/100)</f>
        <v>n/a</v>
      </c>
      <c r="AH32" s="543" t="str">
        <f>IF(ISERROR(_xll.ciqfunctions.udf.CIQ($A32,"IQ_EBIT_MARGIN", IQ_LTM, $L$2, $L$4, $L$3, $L$5, $L$6)/100), "n/a", _xll.ciqfunctions.udf.CIQ($A32, "IQ_EBIT_MARGIN", IQ_LTM, $L$2, $L$4, $L$3, $L$5, $L$6)/100)</f>
        <v>n/a</v>
      </c>
      <c r="AI32" s="543" t="str">
        <f>IF(ISERROR(_xll.ciqfunctions.udf.CIQ($A32,"IQ_NI_MARGIN", IQ_LTM, $L$2, $L$4, $L$3, $L$5, $L$6)/100), "n/a", _xll.ciqfunctions.udf.CIQ($A32, "IQ_NI_MARGIN", IQ_LTM, $L$2, $L$4, $L$3, $L$5, $L$6)/100)</f>
        <v>n/a</v>
      </c>
      <c r="AJ32" s="542" t="str">
        <f>IF(ISERROR(_xll.ciqfunctions.udf.CIQ($A32, "IQ_NET_WORKING_CAP", IQ_LTM-8, $L$2, $L$4, $L$3, $L$5, $L$6)), "n/a", _xll.ciqfunctions.udf.CIQ($A32, "IQ_NET_WORKING_CAP", IQ_LTM-8, $L$2, $L$4, $L$3, $L$5, $L$6))</f>
        <v>(Invalid Identifier)</v>
      </c>
      <c r="AK32" s="542" t="str">
        <f>IF(ISERROR(_xll.ciqfunctions.udf.CIQ($A32, "IQ_NET_WORKING_CAP", IQ_LTM-4, $L$2, $L$4, $L$3, $L$5, $L$6)), "n/a", _xll.ciqfunctions.udf.CIQ($A32, "IQ_NET_WORKING_CAP", IQ_LTM-4, $L$2, $L$4, $L$3, $L$5, $L$6))</f>
        <v>(Invalid Identifier)</v>
      </c>
      <c r="AL32" s="542" t="str">
        <f>IF(ISERROR(_xll.ciqfunctions.udf.CIQ($A32, "IQ_NET_WORKING_CAP", IQ_LTM, $L$2,$L$4, $L$3, $L$5, $L$6)), "n/a", _xll.ciqfunctions.udf.CIQ($A32, "IQ_NET_WORKING_CAP", IQ_LTM, $L$2, $L$4, $L$3, $L$5, $L$6))</f>
        <v>(Invalid Identifier)</v>
      </c>
      <c r="AM32" s="542" t="str">
        <f>IF(ISERROR(_xll.ciqfunctions.udf.CIQ($A32, "IQ_Capex", IQ_LTM-8, $L$2,$L$4, $L$3, $L$5, $L$6)), "n/a", _xll.ciqfunctions.udf.CIQ($A32, "IQ_Capex", IQ_LTM-8, $L$2, $L$4, $L$3, $L$5, $L$6))</f>
        <v>(Invalid Identifier)</v>
      </c>
      <c r="AN32" s="542" t="str">
        <f>IF(ISERROR(_xll.ciqfunctions.udf.CIQ($A32, "IQ_Capex", IQ_LTM-4, $L$2,$L$4, $L$3, $L$5, $L$6)), "n/a", _xll.ciqfunctions.udf.CIQ($A32, "IQ_Capex", IQ_LTM-4, $L$2,$L$4, $L$3, $L$5, $L$6))</f>
        <v>(Invalid Identifier)</v>
      </c>
      <c r="AO32" s="542" t="str">
        <f>IF(ISERROR(_xll.ciqfunctions.udf.CIQ($A32, "IQ_Capex", IQ_LTM, $L$2, $L$4, $L$3, $L$5, $L$6)), "n/a", _xll.ciqfunctions.udf.CIQ($A32, "IQ_Capex", IQ_LTM, $L$2, $L$4, $L$3, $L$5, $L$6))</f>
        <v>(Invalid Identifier)</v>
      </c>
      <c r="AP32" s="544" t="str">
        <f>_xll.ciqfunctions.udf.CIQ(A32, "IQ_BUSINESS_DESCRIPTION")</f>
        <v>(Invalid Identifier)</v>
      </c>
      <c r="AQ32" s="545" t="str">
        <f>_xll.ciqfunctions.udf.CIQ($A32, "IQ_BETA_1YR", $B$1)</f>
        <v>(Invalid Identifier)</v>
      </c>
      <c r="AR32" s="545" t="str">
        <f>_xll.ciqfunctions.udf.CIQ($A32, "IQ_BETA_2YR", $B$1)</f>
        <v>(Invalid Identifier)</v>
      </c>
      <c r="AS32" s="545" t="str">
        <f>_xll.ciqfunctions.udf.CIQ($A32, "IQ_BETA_5YR", $B$1)</f>
        <v>(Invalid Identifier)</v>
      </c>
      <c r="AT32" s="543" t="e">
        <f>_xll.ciqfunctions.udf.CIQ($A32, "IQ_DIVIDEND_YIELD", $B$1)/100</f>
        <v>#VALUE!</v>
      </c>
      <c r="AU32" s="542" t="str">
        <f>_xll.ciqfunctions.udf.CIQ($A32, "IQ_EARNING_CO", IQ_LTM-8, $L$2, $L$4, $L$3, $L$5, $L$6)</f>
        <v>(Invalid Identifier)</v>
      </c>
      <c r="AV32" s="542" t="str">
        <f>_xll.ciqfunctions.udf.CIQ($A32, "IQ_EARNING_CO", IQ_LTM-4, $L$2, $L$4, $L$3, $L$5, $L$6)</f>
        <v>(Invalid Identifier)</v>
      </c>
      <c r="AW32" s="542" t="str">
        <f>_xll.ciqfunctions.udf.CIQ($A32, "IQ_EARNING_CO", IQ_LTM, $L$2, $L$4, $L$3, $L$5, $L$6)</f>
        <v>(Invalid Identifier)</v>
      </c>
      <c r="AX32" s="542" t="str">
        <f>_xll.ciqfunctions.udf.CIQ($A32, "IQ_EARNING_CO", $B$2, $L$2, $L$4, $L$3, $L$5, $L$6)</f>
        <v>(Invalid Identifier)</v>
      </c>
      <c r="AY32" s="542" t="str">
        <f>IF(_xll.ciqfunctions.udf.CIQ($A32, "IQ_EARNING_CO", $B$3, $L$2,$L$4, $L$3, $L$5, $L$6)=0,AW32,_xll.ciqfunctions.udf.CIQ($A32, "IQ_EARNING_CO", $B$3, $L$2,$L$4, $L$3, $L$5, $L$6))</f>
        <v>(Invalid Identifier)</v>
      </c>
      <c r="AZ32" s="542" t="str">
        <f>_xll.ciqfunctions.udf.CIQ($A32, "IQ_TOTAL_EQUITY", IQ_LTM-8, $L$2, $L$4, $L$3, $L$5, $L$6)</f>
        <v>(Invalid Identifier)</v>
      </c>
      <c r="BA32" s="542" t="str">
        <f>_xll.ciqfunctions.udf.CIQ($A32, "IQ_TOTAL_EQUITY", IQ_LTM-4, $L$2, $L$4, $L$3, $L$5, $L$6)</f>
        <v>(Invalid Identifier)</v>
      </c>
      <c r="BB32" s="542" t="str">
        <f>_xll.ciqfunctions.udf.CIQ($A32, "IQ_TOTAL_EQUITY", IQ_LTM, $L$2, $L$4, $L$3, $L$5, $L$6)</f>
        <v>(Invalid Identifier)</v>
      </c>
      <c r="BC32" s="542" t="str">
        <f>_xll.ciqfunctions.udf.CIQ($A32, "IQ_TOTAL_EQUITY", $B$2, $L$2, $L$4, $L$3, $L$5, $L$6)</f>
        <v>(Invalid Identifier)</v>
      </c>
      <c r="BD32" s="542" t="str">
        <f>IF(_xll.ciqfunctions.udf.CIQ($A32, "IQ_TOTAL_EQUITY", $B$3, $L$2,$L$4, $L$3, $L$5, $L$6)=0,BB32,_xll.ciqfunctions.udf.CIQ($A32, "IQ_TOTAL_EQUITY", $B$3, $L$2,$L$4, $L$3, $L$5, $L$6))</f>
        <v>(Invalid Identifier)</v>
      </c>
      <c r="BE32" s="542" t="str">
        <f>_xll.ciqfunctions.udf.CIQ(A32, "IQ_LASTSALEPRICE", $B$8)</f>
        <v>(Invalid Identifier)</v>
      </c>
      <c r="BF32" s="542" t="str">
        <f>_xll.ciqfunctions.udf.CIQ($A32, "IQ_MARKETCAP", $B$8, $L$5, $L$6)</f>
        <v>(Invalid Identifier)</v>
      </c>
      <c r="BG32" s="542" t="str">
        <f>_xll.ciqfunctions.udf.CIQ($A32, "IQ_TOTAL_DEBT", IQ_LTM, $B$8,$L$4, $L$3, $L$5, $L$6)</f>
        <v>(Invalid Identifier)</v>
      </c>
      <c r="BH32" s="492" t="str">
        <f>_xll.ciqfunctions.udf.CIQ($A32,"IQ_PREF_EQUITY",IQ_LTM,$B$8,$L$4,$L$3,$L$5,$L$6)</f>
        <v>(Invalid Identifier)</v>
      </c>
      <c r="BI32" s="492" t="str">
        <f>_xll.ciqfunctions.udf.CIQ($A32, "IQ_MINORITY_INTEREST_TOTAL", IQ_LTM,$B$8,$L$4,$L$3,$L$5,$L$6)</f>
        <v>(Invalid Identifier)</v>
      </c>
      <c r="BJ32" s="542" t="str">
        <f>_xll.ciqfunctions.udf.CIQ($A32, "IQ_CASH_ST_INVEST", IQ_LTM, $B$8, $L$4, $L$3, $L$5, $L$6)</f>
        <v>(Invalid Identifier)</v>
      </c>
      <c r="BK32" s="492" t="str">
        <f>_xll.ciqfunctions.udf.CIQ($A32, "IQ_EFFECT_TAX_RATE")</f>
        <v>(Invalid Identifier)</v>
      </c>
      <c r="BL32" s="492" t="e">
        <f>IF(_xll.ciqfunctions.udf.CIQ($A32, "IQ_TOTAL_REV_2YR_ANN_CAGR", IQ_LTM, $B$1,$L$4, $L$3, $L$5, $L$6)="NM","n/a",(_xll.ciqfunctions.udf.CIQ($A32, "IQ_TOTAL_REV_2YR_ANN_CAGR", IQ_LTM, $B$1,$L$4, $L$3, $L$5, $L$6)/100))</f>
        <v>#VALUE!</v>
      </c>
      <c r="BM32" s="492" t="e">
        <f>IF(_xll.ciqfunctions.udf.CIQ($A32, "IQ_TOTAL_REV_3YR_ANN_CAGR", IQ_LTM, $B$1,$L$4, $L$3, $L$5, $L$6)="NM","n/a",(_xll.ciqfunctions.udf.CIQ($A32, "IQ_TOTAL_REV_3YR_ANN_CAGR", IQ_LTM, $B$1,$L$4, $L$3, $L$5, $L$6)/100))</f>
        <v>#VALUE!</v>
      </c>
      <c r="BN32" s="492" t="e">
        <f>IF(_xll.ciqfunctions.udf.CIQ($A32, "IQ_TOTAL_REV_5YR_ANN_CAGR", IQ_LTM, $B$1,$L$4, $L$3, $L$5, $L$6)="NM","n/a",(_xll.ciqfunctions.udf.CIQ($A32, "IQ_TOTAL_REV_5YR_ANN_CAGR", IQ_LTM, $B$1,$L$4, $L$3, $L$5, $L$6)/100))</f>
        <v>#VALUE!</v>
      </c>
      <c r="BO32" s="492" t="e">
        <f>IF(_xll.ciqfunctions.udf.CIQ($A32,"IQ_EBITDA_2YR_ANN_CAGR", IQ_LTM,$B$1,$L$4, $L$3, $L$5, $L$6)="NM","n/a",(_xll.ciqfunctions.udf.CIQ($A32,"IQ_EBITDA_2YR_ANN_CAGR", IQ_LTM,$B$1,$L$4, $L$3, $L$5, $L$6)/100))</f>
        <v>#VALUE!</v>
      </c>
      <c r="BP32" s="492" t="e">
        <f>IF(_xll.ciqfunctions.udf.CIQ($A32,"IQ_EBITDA_3YR_ANN_CAGR", IQ_LTM,$B$1,$L$4, $L$3, $L$5, $L$6)="NM","n/a",(_xll.ciqfunctions.udf.CIQ($A32,"IQ_EBITDA_3YR_ANN_CAGR", IQ_LTM,$B$1,$L$4, $L$3, $L$5, $L$6)/100))</f>
        <v>#VALUE!</v>
      </c>
      <c r="BQ32" s="492" t="e">
        <f>IF(_xll.ciqfunctions.udf.CIQ($A32,"IQ_EBITDA_5YR_ANN_CAGR", IQ_LTM,$B$1,$L$4, $L$3, $L$5, $L$6)="NM","n/a",(_xll.ciqfunctions.udf.CIQ($A32,"IQ_EBITDA_5YR_ANN_CAGR", IQ_LTM,$B$1,$L$4, $L$3, $L$5, $L$6)/100))</f>
        <v>#VALUE!</v>
      </c>
      <c r="BR32" s="496" t="str">
        <f>IFERROR((_xll.ciqfunctions.udf.CIQ($A32, "IQ_DA_CF", IQ_LTM, $B$1, $L$4, $L$3, $L$5, $L$6)/Q32),"NM")</f>
        <v>NM</v>
      </c>
      <c r="BS32" s="546" t="e">
        <f>'Capital IQ Sheet-GPC'!BS32</f>
        <v>#VALUE!</v>
      </c>
      <c r="BT32" s="546" t="e">
        <f>'Capital IQ Sheet-GPC'!BT32</f>
        <v>#VALUE!</v>
      </c>
      <c r="BU32" s="546" t="e">
        <f>'Capital IQ Sheet-GPC'!BU32</f>
        <v>#VALUE!</v>
      </c>
      <c r="BV32" s="546" t="e">
        <f>'Capital IQ Sheet-GPC'!BV32</f>
        <v>#VALUE!</v>
      </c>
      <c r="BW32" s="546" t="e">
        <f>'Capital IQ Sheet-GPC'!BW32</f>
        <v>#VALUE!</v>
      </c>
      <c r="BX32" s="546" t="e">
        <f>'Capital IQ Sheet-GPC'!BX32</f>
        <v>#VALUE!</v>
      </c>
      <c r="BY32" s="546" t="e">
        <f>'Capital IQ Sheet-GPC'!BY32</f>
        <v>#VALUE!</v>
      </c>
      <c r="BZ32" s="546" t="e">
        <f>'Capital IQ Sheet-GPC'!BZ32</f>
        <v>#VALUE!</v>
      </c>
      <c r="CB32" s="492">
        <v>2</v>
      </c>
      <c r="CC32" s="632" t="s">
        <v>253</v>
      </c>
      <c r="CD32" s="632" t="s">
        <v>252</v>
      </c>
      <c r="CE32" s="494">
        <f t="shared" si="1"/>
        <v>42551</v>
      </c>
    </row>
    <row r="33" spans="1:83" s="492" customFormat="1" ht="12.75">
      <c r="A33" s="493" t="str">
        <f>_xll.ciqfunctions.udf.CIQ($B33,"IQ_COMPANY_TICKER")</f>
        <v>(Invalid Identifier)</v>
      </c>
      <c r="B33" s="541" t="str">
        <f>'Capital IQ Sheet-GPC'!B33</f>
        <v>(Invalid Identifier)</v>
      </c>
      <c r="C33" s="493" t="str">
        <f>_xll.ciqfunctions.udf.CIQ($A33,"IQ_COMPANY_NAME")</f>
        <v>(Invalid Identifier)</v>
      </c>
      <c r="D33" s="493" t="str">
        <f>_xll.ciqfunctions.udf.CIQ($A33, "IQ_EXCHANGE")</f>
        <v>(Invalid Identifier)</v>
      </c>
      <c r="E33" s="540" t="str">
        <f>_xll.ciqfunctions.udf.CIQ($A33, "IQ_PERIODDATE_IS", IQ_FY)</f>
        <v>(Invalid Identifier)</v>
      </c>
      <c r="F33" s="540" t="str">
        <f>_xll.ciqfunctions.udf.CIQ(A33, "IQ_PERIODDATE_IS", IQ_LTM, $B$1,$L$4,$L$3)</f>
        <v>(Invalid Identifier)</v>
      </c>
      <c r="G33" s="540" t="str">
        <f>_xll.ciqfunctions.udf.CIQ($A33, "IQ_FIRSTPRICINGDATE")</f>
        <v>(Invalid Identifier)</v>
      </c>
      <c r="H33" s="542" t="str">
        <f>_xll.ciqfunctions.udf.CIQ($A33, "IQ_TEV", $L$2, $L$5, $L$6)</f>
        <v>(Invalid Identifier)</v>
      </c>
      <c r="I33" s="542" t="str">
        <f>_xll.ciqfunctions.udf.CIQ(A33, "IQ_LASTSALEPRICE", $B$1,$L$5)</f>
        <v>(Invalid Identifier)</v>
      </c>
      <c r="J33" s="542" t="str">
        <f>_xll.ciqfunctions.udf.CIQ($A33, "IQ_MARKETCAP", $L$2, $L$5, $L$6)</f>
        <v>(Invalid Identifier)</v>
      </c>
      <c r="K33" s="542" t="str">
        <f>_xll.ciqfunctions.udf.CIQ($A33, "IQ_TOTAL_DEBT", IQ_LTM, $L$2,$L$4, $L$3, $L$5, $L$6)</f>
        <v>(Invalid Identifier)</v>
      </c>
      <c r="L33" s="542" t="str">
        <f>_xll.ciqfunctions.udf.CIQ($A33, "IQ_PREF_EQUITY", IQ_LTM, $L$2, $L$4, $L$3, $L$5, $L$6)</f>
        <v>(Invalid Identifier)</v>
      </c>
      <c r="M33" s="542" t="str">
        <f>_xll.ciqfunctions.udf.CIQ($A33, "IQ_MINORITY_INTEREST_TOTAL", IQ_LTM, $L$2, $L$4, $L$3, $L$5, $L$6)</f>
        <v>(Invalid Identifier)</v>
      </c>
      <c r="N33" s="542" t="str">
        <f>_xll.ciqfunctions.udf.CIQ($A33, "IQ_CASH_ST_INVEST", IQ_LTM, $L$2, $L$4, $L$3, $L$5, $L$6)</f>
        <v>(Invalid Identifier)</v>
      </c>
      <c r="O33" s="542" t="str">
        <f>_xll.ciqfunctions.udf.CIQ($A33, "IQ_TOTAL_REV", IQ_LTM-8, $L$2, $L$4, $L$3, $L$5, $L$6)</f>
        <v>(Invalid Identifier)</v>
      </c>
      <c r="P33" s="542" t="str">
        <f>_xll.ciqfunctions.udf.CIQ($A33, "IQ_TOTAL_REV", IQ_LTM - 4, $L$2, $L$4, $L$3, $L$5,$L$6)</f>
        <v>(Invalid Identifier)</v>
      </c>
      <c r="Q33" s="542" t="str">
        <f>_xll.ciqfunctions.udf.CIQ($A33, "IQ_TOTAL_REV", IQ_LTM, $L$2, $L$4, $L$3, $L$5, $L$6)</f>
        <v>(Invalid Identifier)</v>
      </c>
      <c r="R33" s="542" t="str">
        <f>_xll.ciqfunctions.udf.CIQ($A33, "IQ_TOTAL_REV", $B$2, $L$2, $L$4, $L$3, $L$5, $L$6)</f>
        <v>(Invalid Identifier)</v>
      </c>
      <c r="S33" s="542" t="str">
        <f>IF(_xll.ciqfunctions.udf.CIQ($A33, "IQ_TOTAL_REV", $B$3, $L$2,$L$4, $L$3, $L$5, $L$6)=0,Q33,_xll.ciqfunctions.udf.CIQ($A33, "IQ_TOTAL_REV", $B$3, $L$2,$L$4, $L$3, $L$5, $L$6))</f>
        <v>(Invalid Identifier)</v>
      </c>
      <c r="T33" s="542" t="str">
        <f>IF(_xll.ciqfunctions.udf.CIQ($A33, "IQ_REVENUE_EST",$B$4, $L$2, "CON", $L$3, $L$5, $L$6)=0,"n/a",_xll.ciqfunctions.udf.CIQ($A33, "IQ_REVENUE_EST",$B$4, $L$2, "CON", $L$3, $L$5, $L$6))</f>
        <v>(Invalid Identifier)</v>
      </c>
      <c r="U33" s="542" t="str">
        <f>IF(_xll.ciqfunctions.udf.CIQ($A33, "IQ_REVENUE_EST",$B$5, $L$2, "CON", $L$3, $L$5, $L$6)=0,"n/a",_xll.ciqfunctions.udf.CIQ($A33, "IQ_REVENUE_EST",$B$5, $L$2, "CON", $L$3, $L$5, $L$6))</f>
        <v>(Invalid Identifier)</v>
      </c>
      <c r="V33" s="542" t="str">
        <f>IF(_xll.ciqfunctions.udf.CIQ($A33, "IQ_REVENUE_EST",$B$6, $L$2, "CON", $L$3, $L$5, $L$6)=0,"n/a",_xll.ciqfunctions.udf.CIQ($A33, "IQ_REVENUE_EST",$B$6, $L$2, "CON", $L$3, $L$5, $L$6))</f>
        <v>(Invalid Identifier)</v>
      </c>
      <c r="W33" s="542" t="str">
        <f>IF(_xll.ciqfunctions.udf.CIQ($A33, "IQ_REVENUE_EST", $B$7, $L$2, "CON", $L$3, $L$5, $L$6)=0,"n/a",_xll.ciqfunctions.udf.CIQ($A33, "IQ_REVENUE_EST",$B$7, $L$2, "CON", $L$3, $L$5, $L$6))</f>
        <v>(Invalid Identifier)</v>
      </c>
      <c r="X33" s="542" t="str">
        <f>_xll.ciqfunctions.udf.CIQ($A33, "IQ_EBITDA", IQ_LTM-8, $L$2, $L$4, $L$3, $L$5, $L$6)</f>
        <v>(Invalid Identifier)</v>
      </c>
      <c r="Y33" s="542" t="str">
        <f>_xll.ciqfunctions.udf.CIQ($A33, "IQ_EBITDA", IQ_LTM-4, $L$2,$L$4, $L$3, $L$5, $L$6)</f>
        <v>(Invalid Identifier)</v>
      </c>
      <c r="Z33" s="542" t="str">
        <f>_xll.ciqfunctions.udf.CIQ($A33, "IQ_EBITDA", IQ_LTM, $L$2, $L$4, $L$3, $L$5, $L$6)</f>
        <v>(Invalid Identifier)</v>
      </c>
      <c r="AA33" s="542" t="str">
        <f>_xll.ciqfunctions.udf.CIQ($A33, "IQ_EBITDA", $B$2, $L$2, $L$4, $L$3, $L$5, $L$6)</f>
        <v>(Invalid Identifier)</v>
      </c>
      <c r="AB33" s="542" t="str">
        <f>IF(_xll.ciqfunctions.udf.CIQ($A33, "IQ_EBITDA", $B$3, $L$2,$L$4, $L$3, $L$5, $L$6)=0,Z33,_xll.ciqfunctions.udf.CIQ($A33, "IQ_EBITDA", $B$3, $L$2,$L$4, $L$3, $L$5, $L$6))</f>
        <v>(Invalid Identifier)</v>
      </c>
      <c r="AC33" s="542" t="str">
        <f>IF(_xll.ciqfunctions.udf.CIQ($A33, "IQ_EBITDA_EST",$B$4, $L$2, "CON", $L$3, $L$5, $L$6)=0,"n/a",_xll.ciqfunctions.udf.CIQ($A33, "IQ_EBITDA_EST",$B$4, $L$2, "CON", $L$3, $L$5, $L$6))</f>
        <v>(Invalid Identifier)</v>
      </c>
      <c r="AD33" s="542" t="str">
        <f>IF(_xll.ciqfunctions.udf.CIQ($A33, "IQ_EBITDA_EST",$B$5, $L$2, "CON", $L$3, $L$5, $L$6)=0,"n/a",_xll.ciqfunctions.udf.CIQ($A33, "IQ_EBITDA_EST",$B$5, $L$2, "CON", $L$3, $L$5, $L$6))</f>
        <v>(Invalid Identifier)</v>
      </c>
      <c r="AE33" s="542" t="str">
        <f>IF(_xll.ciqfunctions.udf.CIQ($A33, "IQ_EBITDA_EST",$B$6, $L$2, "CON", $L$3, $L$5, $L$6)=0,"n/a",_xll.ciqfunctions.udf.CIQ($A33, "IQ_EBITDA_EST",$B$6, $L$2, "CON", $L$3, $L$5, $L$6))</f>
        <v>(Invalid Identifier)</v>
      </c>
      <c r="AF33" s="543" t="str">
        <f>IF(ISERROR(_xll.ciqfunctions.udf.CIQ($A33, "IQ_GROSS_MARGIN", IQ_LTM, $L$2,$L$4, $L$3, $L$5, $L$6)/100), "n/a", _xll.ciqfunctions.udf.CIQ($A33,  "IQ_GROSS_MARGIN", IQ_LTM, $L$2, $L$4, $L$3, $L$5, $L$6)/100)</f>
        <v>n/a</v>
      </c>
      <c r="AG33" s="543" t="str">
        <f>IF(ISERROR(_xll.ciqfunctions.udf.CIQ($A33,"IQ_EBITDA_MARGIN", IQ_LTM, $L$2, $L$4, $L$3, $L$5, $L$6)/100), "n/a", _xll.ciqfunctions.udf.CIQ($A33, "IQ_EBITDA_MARGIN", IQ_LTM, $L$2, $L$4, $L$3, $L$5, $L$6)/100)</f>
        <v>n/a</v>
      </c>
      <c r="AH33" s="543" t="str">
        <f>IF(ISERROR(_xll.ciqfunctions.udf.CIQ($A33,"IQ_EBIT_MARGIN", IQ_LTM, $L$2, $L$4, $L$3, $L$5, $L$6)/100), "n/a", _xll.ciqfunctions.udf.CIQ($A33, "IQ_EBIT_MARGIN", IQ_LTM, $L$2, $L$4, $L$3, $L$5, $L$6)/100)</f>
        <v>n/a</v>
      </c>
      <c r="AI33" s="543" t="str">
        <f>IF(ISERROR(_xll.ciqfunctions.udf.CIQ($A33,"IQ_NI_MARGIN", IQ_LTM, $L$2, $L$4, $L$3, $L$5, $L$6)/100), "n/a", _xll.ciqfunctions.udf.CIQ($A33, "IQ_NI_MARGIN", IQ_LTM, $L$2, $L$4, $L$3, $L$5, $L$6)/100)</f>
        <v>n/a</v>
      </c>
      <c r="AJ33" s="542" t="str">
        <f>IF(ISERROR(_xll.ciqfunctions.udf.CIQ($A33, "IQ_NET_WORKING_CAP", IQ_LTM-8, $L$2, $L$4, $L$3, $L$5, $L$6)), "n/a", _xll.ciqfunctions.udf.CIQ($A33, "IQ_NET_WORKING_CAP", IQ_LTM-8, $L$2, $L$4, $L$3, $L$5, $L$6))</f>
        <v>(Invalid Identifier)</v>
      </c>
      <c r="AK33" s="542" t="str">
        <f>IF(ISERROR(_xll.ciqfunctions.udf.CIQ($A33, "IQ_NET_WORKING_CAP", IQ_LTM-4, $L$2, $L$4, $L$3, $L$5, $L$6)), "n/a", _xll.ciqfunctions.udf.CIQ($A33, "IQ_NET_WORKING_CAP", IQ_LTM-4, $L$2, $L$4, $L$3, $L$5, $L$6))</f>
        <v>(Invalid Identifier)</v>
      </c>
      <c r="AL33" s="542" t="str">
        <f>IF(ISERROR(_xll.ciqfunctions.udf.CIQ($A33, "IQ_NET_WORKING_CAP", IQ_LTM, $L$2,$L$4, $L$3, $L$5, $L$6)), "n/a", _xll.ciqfunctions.udf.CIQ($A33, "IQ_NET_WORKING_CAP", IQ_LTM, $L$2, $L$4, $L$3, $L$5, $L$6))</f>
        <v>(Invalid Identifier)</v>
      </c>
      <c r="AM33" s="542" t="str">
        <f>IF(ISERROR(_xll.ciqfunctions.udf.CIQ($A33, "IQ_Capex", IQ_LTM-8, $L$2,$L$4, $L$3, $L$5, $L$6)), "n/a", _xll.ciqfunctions.udf.CIQ($A33, "IQ_Capex", IQ_LTM-8, $L$2, $L$4, $L$3, $L$5, $L$6))</f>
        <v>(Invalid Identifier)</v>
      </c>
      <c r="AN33" s="542" t="str">
        <f>IF(ISERROR(_xll.ciqfunctions.udf.CIQ($A33, "IQ_Capex", IQ_LTM-4, $L$2,$L$4, $L$3, $L$5, $L$6)), "n/a", _xll.ciqfunctions.udf.CIQ($A33, "IQ_Capex", IQ_LTM-4, $L$2,$L$4, $L$3, $L$5, $L$6))</f>
        <v>(Invalid Identifier)</v>
      </c>
      <c r="AO33" s="542" t="str">
        <f>IF(ISERROR(_xll.ciqfunctions.udf.CIQ($A33, "IQ_Capex", IQ_LTM, $L$2, $L$4, $L$3, $L$5, $L$6)), "n/a", _xll.ciqfunctions.udf.CIQ($A33, "IQ_Capex", IQ_LTM, $L$2, $L$4, $L$3, $L$5, $L$6))</f>
        <v>(Invalid Identifier)</v>
      </c>
      <c r="AP33" s="544" t="str">
        <f>_xll.ciqfunctions.udf.CIQ(A33, "IQ_BUSINESS_DESCRIPTION")</f>
        <v>(Invalid Identifier)</v>
      </c>
      <c r="AQ33" s="545" t="str">
        <f>_xll.ciqfunctions.udf.CIQ($A33, "IQ_BETA_1YR", $B$1)</f>
        <v>(Invalid Identifier)</v>
      </c>
      <c r="AR33" s="545" t="str">
        <f>_xll.ciqfunctions.udf.CIQ($A33, "IQ_BETA_2YR", $B$1)</f>
        <v>(Invalid Identifier)</v>
      </c>
      <c r="AS33" s="545" t="str">
        <f>_xll.ciqfunctions.udf.CIQ($A33, "IQ_BETA_5YR", $B$1)</f>
        <v>(Invalid Identifier)</v>
      </c>
      <c r="AT33" s="543" t="e">
        <f>_xll.ciqfunctions.udf.CIQ($A33, "IQ_DIVIDEND_YIELD", $B$1)/100</f>
        <v>#VALUE!</v>
      </c>
      <c r="AU33" s="542" t="str">
        <f>_xll.ciqfunctions.udf.CIQ($A33, "IQ_EARNING_CO", IQ_LTM-8, $L$2, $L$4, $L$3, $L$5, $L$6)</f>
        <v>(Invalid Identifier)</v>
      </c>
      <c r="AV33" s="542" t="str">
        <f>_xll.ciqfunctions.udf.CIQ($A33, "IQ_EARNING_CO", IQ_LTM-4, $L$2, $L$4, $L$3, $L$5, $L$6)</f>
        <v>(Invalid Identifier)</v>
      </c>
      <c r="AW33" s="542" t="str">
        <f>_xll.ciqfunctions.udf.CIQ($A33, "IQ_EARNING_CO", IQ_LTM, $L$2, $L$4, $L$3, $L$5, $L$6)</f>
        <v>(Invalid Identifier)</v>
      </c>
      <c r="AX33" s="542" t="str">
        <f>_xll.ciqfunctions.udf.CIQ($A33, "IQ_EARNING_CO", $B$2, $L$2, $L$4, $L$3, $L$5, $L$6)</f>
        <v>(Invalid Identifier)</v>
      </c>
      <c r="AY33" s="542" t="str">
        <f>IF(_xll.ciqfunctions.udf.CIQ($A33, "IQ_EARNING_CO", $B$3, $L$2,$L$4, $L$3, $L$5, $L$6)=0,AW33,_xll.ciqfunctions.udf.CIQ($A33, "IQ_EARNING_CO", $B$3, $L$2,$L$4, $L$3, $L$5, $L$6))</f>
        <v>(Invalid Identifier)</v>
      </c>
      <c r="AZ33" s="542" t="str">
        <f>_xll.ciqfunctions.udf.CIQ($A33, "IQ_TOTAL_EQUITY", IQ_LTM-8, $L$2, $L$4, $L$3, $L$5, $L$6)</f>
        <v>(Invalid Identifier)</v>
      </c>
      <c r="BA33" s="542" t="str">
        <f>_xll.ciqfunctions.udf.CIQ($A33, "IQ_TOTAL_EQUITY", IQ_LTM-4, $L$2, $L$4, $L$3, $L$5, $L$6)</f>
        <v>(Invalid Identifier)</v>
      </c>
      <c r="BB33" s="542" t="str">
        <f>_xll.ciqfunctions.udf.CIQ($A33, "IQ_TOTAL_EQUITY", IQ_LTM, $L$2, $L$4, $L$3, $L$5, $L$6)</f>
        <v>(Invalid Identifier)</v>
      </c>
      <c r="BC33" s="542" t="str">
        <f>_xll.ciqfunctions.udf.CIQ($A33, "IQ_TOTAL_EQUITY", $B$2, $L$2, $L$4, $L$3, $L$5, $L$6)</f>
        <v>(Invalid Identifier)</v>
      </c>
      <c r="BD33" s="542" t="str">
        <f>IF(_xll.ciqfunctions.udf.CIQ($A33, "IQ_TOTAL_EQUITY", $B$3, $L$2,$L$4, $L$3, $L$5, $L$6)=0,BB33,_xll.ciqfunctions.udf.CIQ($A33, "IQ_TOTAL_EQUITY", $B$3, $L$2,$L$4, $L$3, $L$5, $L$6))</f>
        <v>(Invalid Identifier)</v>
      </c>
      <c r="BE33" s="542" t="str">
        <f>_xll.ciqfunctions.udf.CIQ(A33, "IQ_LASTSALEPRICE", $B$8)</f>
        <v>(Invalid Identifier)</v>
      </c>
      <c r="BF33" s="542" t="str">
        <f>_xll.ciqfunctions.udf.CIQ($A33, "IQ_MARKETCAP", $B$8, $L$5, $L$6)</f>
        <v>(Invalid Identifier)</v>
      </c>
      <c r="BG33" s="542" t="str">
        <f>_xll.ciqfunctions.udf.CIQ($A33, "IQ_TOTAL_DEBT", IQ_LTM, $B$8,$L$4, $L$3, $L$5, $L$6)</f>
        <v>(Invalid Identifier)</v>
      </c>
      <c r="BH33" s="492" t="str">
        <f>_xll.ciqfunctions.udf.CIQ($A33,"IQ_PREF_EQUITY",IQ_LTM,$B$8,$L$4,$L$3,$L$5,$L$6)</f>
        <v>(Invalid Identifier)</v>
      </c>
      <c r="BI33" s="492" t="str">
        <f>_xll.ciqfunctions.udf.CIQ($A33, "IQ_MINORITY_INTEREST_TOTAL", IQ_LTM,$B$8,$L$4,$L$3,$L$5,$L$6)</f>
        <v>(Invalid Identifier)</v>
      </c>
      <c r="BJ33" s="542" t="str">
        <f>_xll.ciqfunctions.udf.CIQ($A33, "IQ_CASH_ST_INVEST", IQ_LTM, $B$8, $L$4, $L$3, $L$5, $L$6)</f>
        <v>(Invalid Identifier)</v>
      </c>
      <c r="BK33" s="492" t="str">
        <f>_xll.ciqfunctions.udf.CIQ($A33, "IQ_EFFECT_TAX_RATE")</f>
        <v>(Invalid Identifier)</v>
      </c>
      <c r="BL33" s="492" t="e">
        <f>IF(_xll.ciqfunctions.udf.CIQ($A33, "IQ_TOTAL_REV_2YR_ANN_CAGR", IQ_LTM, $B$1,$L$4, $L$3, $L$5, $L$6)="NM","n/a",(_xll.ciqfunctions.udf.CIQ($A33, "IQ_TOTAL_REV_2YR_ANN_CAGR", IQ_LTM, $B$1,$L$4, $L$3, $L$5, $L$6)/100))</f>
        <v>#VALUE!</v>
      </c>
      <c r="BM33" s="492" t="e">
        <f>IF(_xll.ciqfunctions.udf.CIQ($A33, "IQ_TOTAL_REV_3YR_ANN_CAGR", IQ_LTM, $B$1,$L$4, $L$3, $L$5, $L$6)="NM","n/a",(_xll.ciqfunctions.udf.CIQ($A33, "IQ_TOTAL_REV_3YR_ANN_CAGR", IQ_LTM, $B$1,$L$4, $L$3, $L$5, $L$6)/100))</f>
        <v>#VALUE!</v>
      </c>
      <c r="BN33" s="492" t="e">
        <f>IF(_xll.ciqfunctions.udf.CIQ($A33, "IQ_TOTAL_REV_5YR_ANN_CAGR", IQ_LTM, $B$1,$L$4, $L$3, $L$5, $L$6)="NM","n/a",(_xll.ciqfunctions.udf.CIQ($A33, "IQ_TOTAL_REV_5YR_ANN_CAGR", IQ_LTM, $B$1,$L$4, $L$3, $L$5, $L$6)/100))</f>
        <v>#VALUE!</v>
      </c>
      <c r="BO33" s="492" t="e">
        <f>IF(_xll.ciqfunctions.udf.CIQ($A33,"IQ_EBITDA_2YR_ANN_CAGR", IQ_LTM,$B$1,$L$4, $L$3, $L$5, $L$6)="NM","n/a",(_xll.ciqfunctions.udf.CIQ($A33,"IQ_EBITDA_2YR_ANN_CAGR", IQ_LTM,$B$1,$L$4, $L$3, $L$5, $L$6)/100))</f>
        <v>#VALUE!</v>
      </c>
      <c r="BP33" s="492" t="e">
        <f>IF(_xll.ciqfunctions.udf.CIQ($A33,"IQ_EBITDA_3YR_ANN_CAGR", IQ_LTM,$B$1,$L$4, $L$3, $L$5, $L$6)="NM","n/a",(_xll.ciqfunctions.udf.CIQ($A33,"IQ_EBITDA_3YR_ANN_CAGR", IQ_LTM,$B$1,$L$4, $L$3, $L$5, $L$6)/100))</f>
        <v>#VALUE!</v>
      </c>
      <c r="BQ33" s="492" t="e">
        <f>IF(_xll.ciqfunctions.udf.CIQ($A33,"IQ_EBITDA_5YR_ANN_CAGR", IQ_LTM,$B$1,$L$4, $L$3, $L$5, $L$6)="NM","n/a",(_xll.ciqfunctions.udf.CIQ($A33,"IQ_EBITDA_5YR_ANN_CAGR", IQ_LTM,$B$1,$L$4, $L$3, $L$5, $L$6)/100))</f>
        <v>#VALUE!</v>
      </c>
      <c r="BR33" s="496" t="str">
        <f>IFERROR((_xll.ciqfunctions.udf.CIQ($A33, "IQ_DA_CF", IQ_LTM, $B$1, $L$4, $L$3, $L$5, $L$6)/Q33),"NM")</f>
        <v>NM</v>
      </c>
      <c r="BS33" s="546" t="e">
        <f>'Capital IQ Sheet-GPC'!BS33</f>
        <v>#VALUE!</v>
      </c>
      <c r="BT33" s="546" t="e">
        <f>'Capital IQ Sheet-GPC'!BT33</f>
        <v>#VALUE!</v>
      </c>
      <c r="BU33" s="546" t="e">
        <f>'Capital IQ Sheet-GPC'!BU33</f>
        <v>#VALUE!</v>
      </c>
      <c r="BV33" s="546" t="e">
        <f>'Capital IQ Sheet-GPC'!BV33</f>
        <v>#VALUE!</v>
      </c>
      <c r="BW33" s="546" t="e">
        <f>'Capital IQ Sheet-GPC'!BW33</f>
        <v>#VALUE!</v>
      </c>
      <c r="BX33" s="546" t="e">
        <f>'Capital IQ Sheet-GPC'!BX33</f>
        <v>#VALUE!</v>
      </c>
      <c r="BY33" s="546" t="e">
        <f>'Capital IQ Sheet-GPC'!BY33</f>
        <v>#VALUE!</v>
      </c>
      <c r="BZ33" s="546" t="e">
        <f>'Capital IQ Sheet-GPC'!BZ33</f>
        <v>#VALUE!</v>
      </c>
      <c r="CB33" s="492">
        <v>2</v>
      </c>
      <c r="CC33" s="632" t="s">
        <v>253</v>
      </c>
      <c r="CD33" s="632" t="s">
        <v>252</v>
      </c>
      <c r="CE33" s="494">
        <f t="shared" si="1"/>
        <v>42551</v>
      </c>
    </row>
    <row r="34" spans="1:83" s="492" customFormat="1" ht="12.75">
      <c r="A34" s="493" t="str">
        <f>_xll.ciqfunctions.udf.CIQ($B34,"IQ_COMPANY_TICKER")</f>
        <v>(Invalid Identifier)</v>
      </c>
      <c r="B34" s="541" t="str">
        <f>'Capital IQ Sheet-GPC'!B34</f>
        <v>(Invalid Identifier)</v>
      </c>
      <c r="C34" s="493" t="str">
        <f>_xll.ciqfunctions.udf.CIQ($A34,"IQ_COMPANY_NAME")</f>
        <v>(Invalid Identifier)</v>
      </c>
      <c r="D34" s="493" t="str">
        <f>_xll.ciqfunctions.udf.CIQ($A34, "IQ_EXCHANGE")</f>
        <v>(Invalid Identifier)</v>
      </c>
      <c r="E34" s="540" t="str">
        <f>_xll.ciqfunctions.udf.CIQ($A34, "IQ_PERIODDATE_IS", IQ_FY)</f>
        <v>(Invalid Identifier)</v>
      </c>
      <c r="F34" s="540" t="str">
        <f>_xll.ciqfunctions.udf.CIQ(A34, "IQ_PERIODDATE_IS", IQ_LTM, $B$1,$L$4,$L$3)</f>
        <v>(Invalid Identifier)</v>
      </c>
      <c r="G34" s="540" t="str">
        <f>_xll.ciqfunctions.udf.CIQ($A34, "IQ_FIRSTPRICINGDATE")</f>
        <v>(Invalid Identifier)</v>
      </c>
      <c r="H34" s="542" t="str">
        <f>_xll.ciqfunctions.udf.CIQ($A34, "IQ_TEV", $L$2, $L$5, $L$6)</f>
        <v>(Invalid Identifier)</v>
      </c>
      <c r="I34" s="542" t="str">
        <f>_xll.ciqfunctions.udf.CIQ(A34, "IQ_LASTSALEPRICE", $B$1,$L$5)</f>
        <v>(Invalid Identifier)</v>
      </c>
      <c r="J34" s="542" t="str">
        <f>_xll.ciqfunctions.udf.CIQ($A34, "IQ_MARKETCAP", $L$2, $L$5, $L$6)</f>
        <v>(Invalid Identifier)</v>
      </c>
      <c r="K34" s="542" t="str">
        <f>_xll.ciqfunctions.udf.CIQ($A34, "IQ_TOTAL_DEBT", IQ_LTM, $L$2,$L$4, $L$3, $L$5, $L$6)</f>
        <v>(Invalid Identifier)</v>
      </c>
      <c r="L34" s="542" t="str">
        <f>_xll.ciqfunctions.udf.CIQ($A34, "IQ_PREF_EQUITY", IQ_LTM, $L$2, $L$4, $L$3, $L$5, $L$6)</f>
        <v>(Invalid Identifier)</v>
      </c>
      <c r="M34" s="542" t="str">
        <f>_xll.ciqfunctions.udf.CIQ($A34, "IQ_MINORITY_INTEREST_TOTAL", IQ_LTM, $L$2, $L$4, $L$3, $L$5, $L$6)</f>
        <v>(Invalid Identifier)</v>
      </c>
      <c r="N34" s="542" t="str">
        <f>_xll.ciqfunctions.udf.CIQ($A34, "IQ_CASH_ST_INVEST", IQ_LTM, $L$2, $L$4, $L$3, $L$5, $L$6)</f>
        <v>(Invalid Identifier)</v>
      </c>
      <c r="O34" s="542" t="str">
        <f>_xll.ciqfunctions.udf.CIQ($A34, "IQ_TOTAL_REV", IQ_LTM-8, $L$2, $L$4, $L$3, $L$5, $L$6)</f>
        <v>(Invalid Identifier)</v>
      </c>
      <c r="P34" s="542" t="str">
        <f>_xll.ciqfunctions.udf.CIQ($A34, "IQ_TOTAL_REV", IQ_LTM - 4, $L$2, $L$4, $L$3, $L$5,$L$6)</f>
        <v>(Invalid Identifier)</v>
      </c>
      <c r="Q34" s="542" t="str">
        <f>_xll.ciqfunctions.udf.CIQ($A34, "IQ_TOTAL_REV", IQ_LTM, $L$2, $L$4, $L$3, $L$5, $L$6)</f>
        <v>(Invalid Identifier)</v>
      </c>
      <c r="R34" s="542" t="str">
        <f>_xll.ciqfunctions.udf.CIQ($A34, "IQ_TOTAL_REV", $B$2, $L$2, $L$4, $L$3, $L$5, $L$6)</f>
        <v>(Invalid Identifier)</v>
      </c>
      <c r="S34" s="542" t="str">
        <f>IF(_xll.ciqfunctions.udf.CIQ($A34, "IQ_TOTAL_REV", $B$3, $L$2,$L$4, $L$3, $L$5, $L$6)=0,Q34,_xll.ciqfunctions.udf.CIQ($A34, "IQ_TOTAL_REV", $B$3, $L$2,$L$4, $L$3, $L$5, $L$6))</f>
        <v>(Invalid Identifier)</v>
      </c>
      <c r="T34" s="542" t="str">
        <f>IF(_xll.ciqfunctions.udf.CIQ($A34, "IQ_REVENUE_EST",$B$4, $L$2, "CON", $L$3, $L$5, $L$6)=0,"n/a",_xll.ciqfunctions.udf.CIQ($A34, "IQ_REVENUE_EST",$B$4, $L$2, "CON", $L$3, $L$5, $L$6))</f>
        <v>(Invalid Identifier)</v>
      </c>
      <c r="U34" s="542" t="str">
        <f>IF(_xll.ciqfunctions.udf.CIQ($A34, "IQ_REVENUE_EST",$B$5, $L$2, "CON", $L$3, $L$5, $L$6)=0,"n/a",_xll.ciqfunctions.udf.CIQ($A34, "IQ_REVENUE_EST",$B$5, $L$2, "CON", $L$3, $L$5, $L$6))</f>
        <v>(Invalid Identifier)</v>
      </c>
      <c r="V34" s="542" t="str">
        <f>IF(_xll.ciqfunctions.udf.CIQ($A34, "IQ_REVENUE_EST",$B$6, $L$2, "CON", $L$3, $L$5, $L$6)=0,"n/a",_xll.ciqfunctions.udf.CIQ($A34, "IQ_REVENUE_EST",$B$6, $L$2, "CON", $L$3, $L$5, $L$6))</f>
        <v>(Invalid Identifier)</v>
      </c>
      <c r="W34" s="542" t="str">
        <f>IF(_xll.ciqfunctions.udf.CIQ($A34, "IQ_REVENUE_EST", $B$7, $L$2, "CON", $L$3, $L$5, $L$6)=0,"n/a",_xll.ciqfunctions.udf.CIQ($A34, "IQ_REVENUE_EST",$B$7, $L$2, "CON", $L$3, $L$5, $L$6))</f>
        <v>(Invalid Identifier)</v>
      </c>
      <c r="X34" s="542" t="str">
        <f>_xll.ciqfunctions.udf.CIQ($A34, "IQ_EBITDA", IQ_LTM-8, $L$2, $L$4, $L$3, $L$5, $L$6)</f>
        <v>(Invalid Identifier)</v>
      </c>
      <c r="Y34" s="542" t="str">
        <f>_xll.ciqfunctions.udf.CIQ($A34, "IQ_EBITDA", IQ_LTM-4, $L$2,$L$4, $L$3, $L$5, $L$6)</f>
        <v>(Invalid Identifier)</v>
      </c>
      <c r="Z34" s="542" t="str">
        <f>_xll.ciqfunctions.udf.CIQ($A34, "IQ_EBITDA", IQ_LTM, $L$2, $L$4, $L$3, $L$5, $L$6)</f>
        <v>(Invalid Identifier)</v>
      </c>
      <c r="AA34" s="542" t="str">
        <f>_xll.ciqfunctions.udf.CIQ($A34, "IQ_EBITDA", $B$2, $L$2, $L$4, $L$3, $L$5, $L$6)</f>
        <v>(Invalid Identifier)</v>
      </c>
      <c r="AB34" s="542" t="str">
        <f>IF(_xll.ciqfunctions.udf.CIQ($A34, "IQ_EBITDA", $B$3, $L$2,$L$4, $L$3, $L$5, $L$6)=0,Z34,_xll.ciqfunctions.udf.CIQ($A34, "IQ_EBITDA", $B$3, $L$2,$L$4, $L$3, $L$5, $L$6))</f>
        <v>(Invalid Identifier)</v>
      </c>
      <c r="AC34" s="542" t="str">
        <f>IF(_xll.ciqfunctions.udf.CIQ($A34, "IQ_EBITDA_EST",$B$4, $L$2, "CON", $L$3, $L$5, $L$6)=0,"n/a",_xll.ciqfunctions.udf.CIQ($A34, "IQ_EBITDA_EST",$B$4, $L$2, "CON", $L$3, $L$5, $L$6))</f>
        <v>(Invalid Identifier)</v>
      </c>
      <c r="AD34" s="542" t="str">
        <f>IF(_xll.ciqfunctions.udf.CIQ($A34, "IQ_EBITDA_EST",$B$5, $L$2, "CON", $L$3, $L$5, $L$6)=0,"n/a",_xll.ciqfunctions.udf.CIQ($A34, "IQ_EBITDA_EST",$B$5, $L$2, "CON", $L$3, $L$5, $L$6))</f>
        <v>(Invalid Identifier)</v>
      </c>
      <c r="AE34" s="542" t="str">
        <f>IF(_xll.ciqfunctions.udf.CIQ($A34, "IQ_EBITDA_EST",$B$6, $L$2, "CON", $L$3, $L$5, $L$6)=0,"n/a",_xll.ciqfunctions.udf.CIQ($A34, "IQ_EBITDA_EST",$B$6, $L$2, "CON", $L$3, $L$5, $L$6))</f>
        <v>(Invalid Identifier)</v>
      </c>
      <c r="AF34" s="543" t="str">
        <f>IF(ISERROR(_xll.ciqfunctions.udf.CIQ($A34, "IQ_GROSS_MARGIN", IQ_LTM, $L$2,$L$4, $L$3, $L$5, $L$6)/100), "n/a", _xll.ciqfunctions.udf.CIQ($A34,  "IQ_GROSS_MARGIN", IQ_LTM, $L$2, $L$4, $L$3, $L$5, $L$6)/100)</f>
        <v>n/a</v>
      </c>
      <c r="AG34" s="543" t="str">
        <f>IF(ISERROR(_xll.ciqfunctions.udf.CIQ($A34,"IQ_EBITDA_MARGIN", IQ_LTM, $L$2, $L$4, $L$3, $L$5, $L$6)/100), "n/a", _xll.ciqfunctions.udf.CIQ($A34, "IQ_EBITDA_MARGIN", IQ_LTM, $L$2, $L$4, $L$3, $L$5, $L$6)/100)</f>
        <v>n/a</v>
      </c>
      <c r="AH34" s="543" t="str">
        <f>IF(ISERROR(_xll.ciqfunctions.udf.CIQ($A34,"IQ_EBIT_MARGIN", IQ_LTM, $L$2, $L$4, $L$3, $L$5, $L$6)/100), "n/a", _xll.ciqfunctions.udf.CIQ($A34, "IQ_EBIT_MARGIN", IQ_LTM, $L$2, $L$4, $L$3, $L$5, $L$6)/100)</f>
        <v>n/a</v>
      </c>
      <c r="AI34" s="543" t="str">
        <f>IF(ISERROR(_xll.ciqfunctions.udf.CIQ($A34,"IQ_NI_MARGIN", IQ_LTM, $L$2, $L$4, $L$3, $L$5, $L$6)/100), "n/a", _xll.ciqfunctions.udf.CIQ($A34, "IQ_NI_MARGIN", IQ_LTM, $L$2, $L$4, $L$3, $L$5, $L$6)/100)</f>
        <v>n/a</v>
      </c>
      <c r="AJ34" s="542" t="str">
        <f>IF(ISERROR(_xll.ciqfunctions.udf.CIQ($A34, "IQ_NET_WORKING_CAP", IQ_LTM-8, $L$2, $L$4, $L$3, $L$5, $L$6)), "n/a", _xll.ciqfunctions.udf.CIQ($A34, "IQ_NET_WORKING_CAP", IQ_LTM-8, $L$2, $L$4, $L$3, $L$5, $L$6))</f>
        <v>(Invalid Identifier)</v>
      </c>
      <c r="AK34" s="542" t="str">
        <f>IF(ISERROR(_xll.ciqfunctions.udf.CIQ($A34, "IQ_NET_WORKING_CAP", IQ_LTM-4, $L$2, $L$4, $L$3, $L$5, $L$6)), "n/a", _xll.ciqfunctions.udf.CIQ($A34, "IQ_NET_WORKING_CAP", IQ_LTM-4, $L$2, $L$4, $L$3, $L$5, $L$6))</f>
        <v>(Invalid Identifier)</v>
      </c>
      <c r="AL34" s="542" t="str">
        <f>IF(ISERROR(_xll.ciqfunctions.udf.CIQ($A34, "IQ_NET_WORKING_CAP", IQ_LTM, $L$2,$L$4, $L$3, $L$5, $L$6)), "n/a", _xll.ciqfunctions.udf.CIQ($A34, "IQ_NET_WORKING_CAP", IQ_LTM, $L$2, $L$4, $L$3, $L$5, $L$6))</f>
        <v>(Invalid Identifier)</v>
      </c>
      <c r="AM34" s="542" t="str">
        <f>IF(ISERROR(_xll.ciqfunctions.udf.CIQ($A34, "IQ_Capex", IQ_LTM-8, $L$2,$L$4, $L$3, $L$5, $L$6)), "n/a", _xll.ciqfunctions.udf.CIQ($A34, "IQ_Capex", IQ_LTM-8, $L$2, $L$4, $L$3, $L$5, $L$6))</f>
        <v>(Invalid Identifier)</v>
      </c>
      <c r="AN34" s="542" t="str">
        <f>IF(ISERROR(_xll.ciqfunctions.udf.CIQ($A34, "IQ_Capex", IQ_LTM-4, $L$2,$L$4, $L$3, $L$5, $L$6)), "n/a", _xll.ciqfunctions.udf.CIQ($A34, "IQ_Capex", IQ_LTM-4, $L$2,$L$4, $L$3, $L$5, $L$6))</f>
        <v>(Invalid Identifier)</v>
      </c>
      <c r="AO34" s="542" t="str">
        <f>IF(ISERROR(_xll.ciqfunctions.udf.CIQ($A34, "IQ_Capex", IQ_LTM, $L$2, $L$4, $L$3, $L$5, $L$6)), "n/a", _xll.ciqfunctions.udf.CIQ($A34, "IQ_Capex", IQ_LTM, $L$2, $L$4, $L$3, $L$5, $L$6))</f>
        <v>(Invalid Identifier)</v>
      </c>
      <c r="AP34" s="544" t="str">
        <f>_xll.ciqfunctions.udf.CIQ(A34, "IQ_BUSINESS_DESCRIPTION")</f>
        <v>(Invalid Identifier)</v>
      </c>
      <c r="AQ34" s="545" t="str">
        <f>_xll.ciqfunctions.udf.CIQ($A34, "IQ_BETA_1YR", $B$1)</f>
        <v>(Invalid Identifier)</v>
      </c>
      <c r="AR34" s="545" t="str">
        <f>_xll.ciqfunctions.udf.CIQ($A34, "IQ_BETA_2YR", $B$1)</f>
        <v>(Invalid Identifier)</v>
      </c>
      <c r="AS34" s="545" t="str">
        <f>_xll.ciqfunctions.udf.CIQ($A34, "IQ_BETA_5YR", $B$1)</f>
        <v>(Invalid Identifier)</v>
      </c>
      <c r="AT34" s="543" t="e">
        <f>_xll.ciqfunctions.udf.CIQ($A34, "IQ_DIVIDEND_YIELD", $B$1)/100</f>
        <v>#VALUE!</v>
      </c>
      <c r="AU34" s="542" t="str">
        <f>_xll.ciqfunctions.udf.CIQ($A34, "IQ_EARNING_CO", IQ_LTM-8, $L$2, $L$4, $L$3, $L$5, $L$6)</f>
        <v>(Invalid Identifier)</v>
      </c>
      <c r="AV34" s="542" t="str">
        <f>_xll.ciqfunctions.udf.CIQ($A34, "IQ_EARNING_CO", IQ_LTM-4, $L$2, $L$4, $L$3, $L$5, $L$6)</f>
        <v>(Invalid Identifier)</v>
      </c>
      <c r="AW34" s="542" t="str">
        <f>_xll.ciqfunctions.udf.CIQ($A34, "IQ_EARNING_CO", IQ_LTM, $L$2, $L$4, $L$3, $L$5, $L$6)</f>
        <v>(Invalid Identifier)</v>
      </c>
      <c r="AX34" s="542" t="str">
        <f>_xll.ciqfunctions.udf.CIQ($A34, "IQ_EARNING_CO", $B$2, $L$2, $L$4, $L$3, $L$5, $L$6)</f>
        <v>(Invalid Identifier)</v>
      </c>
      <c r="AY34" s="542" t="str">
        <f>IF(_xll.ciqfunctions.udf.CIQ($A34, "IQ_EARNING_CO", $B$3, $L$2,$L$4, $L$3, $L$5, $L$6)=0,AW34,_xll.ciqfunctions.udf.CIQ($A34, "IQ_EARNING_CO", $B$3, $L$2,$L$4, $L$3, $L$5, $L$6))</f>
        <v>(Invalid Identifier)</v>
      </c>
      <c r="AZ34" s="542" t="str">
        <f>_xll.ciqfunctions.udf.CIQ($A34, "IQ_TOTAL_EQUITY", IQ_LTM-8, $L$2, $L$4, $L$3, $L$5, $L$6)</f>
        <v>(Invalid Identifier)</v>
      </c>
      <c r="BA34" s="542" t="str">
        <f>_xll.ciqfunctions.udf.CIQ($A34, "IQ_TOTAL_EQUITY", IQ_LTM-4, $L$2, $L$4, $L$3, $L$5, $L$6)</f>
        <v>(Invalid Identifier)</v>
      </c>
      <c r="BB34" s="542" t="str">
        <f>_xll.ciqfunctions.udf.CIQ($A34, "IQ_TOTAL_EQUITY", IQ_LTM, $L$2, $L$4, $L$3, $L$5, $L$6)</f>
        <v>(Invalid Identifier)</v>
      </c>
      <c r="BC34" s="542" t="str">
        <f>_xll.ciqfunctions.udf.CIQ($A34, "IQ_TOTAL_EQUITY", $B$2, $L$2, $L$4, $L$3, $L$5, $L$6)</f>
        <v>(Invalid Identifier)</v>
      </c>
      <c r="BD34" s="542" t="str">
        <f>IF(_xll.ciqfunctions.udf.CIQ($A34, "IQ_TOTAL_EQUITY", $B$3, $L$2,$L$4, $L$3, $L$5, $L$6)=0,BB34,_xll.ciqfunctions.udf.CIQ($A34, "IQ_TOTAL_EQUITY", $B$3, $L$2,$L$4, $L$3, $L$5, $L$6))</f>
        <v>(Invalid Identifier)</v>
      </c>
      <c r="BE34" s="542" t="str">
        <f>_xll.ciqfunctions.udf.CIQ(A34, "IQ_LASTSALEPRICE", $B$8)</f>
        <v>(Invalid Identifier)</v>
      </c>
      <c r="BF34" s="542" t="str">
        <f>_xll.ciqfunctions.udf.CIQ($A34, "IQ_MARKETCAP", $B$8, $L$5, $L$6)</f>
        <v>(Invalid Identifier)</v>
      </c>
      <c r="BG34" s="542" t="str">
        <f>_xll.ciqfunctions.udf.CIQ($A34, "IQ_TOTAL_DEBT", IQ_LTM, $B$8,$L$4, $L$3, $L$5, $L$6)</f>
        <v>(Invalid Identifier)</v>
      </c>
      <c r="BH34" s="492" t="str">
        <f>_xll.ciqfunctions.udf.CIQ($A34,"IQ_PREF_EQUITY",IQ_LTM,$B$8,$L$4,$L$3,$L$5,$L$6)</f>
        <v>(Invalid Identifier)</v>
      </c>
      <c r="BI34" s="492" t="str">
        <f>_xll.ciqfunctions.udf.CIQ($A34, "IQ_MINORITY_INTEREST_TOTAL", IQ_LTM,$B$8,$L$4,$L$3,$L$5,$L$6)</f>
        <v>(Invalid Identifier)</v>
      </c>
      <c r="BJ34" s="542" t="str">
        <f>_xll.ciqfunctions.udf.CIQ($A34, "IQ_CASH_ST_INVEST", IQ_LTM, $B$8, $L$4, $L$3, $L$5, $L$6)</f>
        <v>(Invalid Identifier)</v>
      </c>
      <c r="BK34" s="492" t="str">
        <f>_xll.ciqfunctions.udf.CIQ($A34, "IQ_EFFECT_TAX_RATE")</f>
        <v>(Invalid Identifier)</v>
      </c>
      <c r="BL34" s="492" t="e">
        <f>IF(_xll.ciqfunctions.udf.CIQ($A34, "IQ_TOTAL_REV_2YR_ANN_CAGR", IQ_LTM, $B$1,$L$4, $L$3, $L$5, $L$6)="NM","n/a",(_xll.ciqfunctions.udf.CIQ($A34, "IQ_TOTAL_REV_2YR_ANN_CAGR", IQ_LTM, $B$1,$L$4, $L$3, $L$5, $L$6)/100))</f>
        <v>#VALUE!</v>
      </c>
      <c r="BM34" s="492" t="e">
        <f>IF(_xll.ciqfunctions.udf.CIQ($A34, "IQ_TOTAL_REV_3YR_ANN_CAGR", IQ_LTM, $B$1,$L$4, $L$3, $L$5, $L$6)="NM","n/a",(_xll.ciqfunctions.udf.CIQ($A34, "IQ_TOTAL_REV_3YR_ANN_CAGR", IQ_LTM, $B$1,$L$4, $L$3, $L$5, $L$6)/100))</f>
        <v>#VALUE!</v>
      </c>
      <c r="BN34" s="492" t="e">
        <f>IF(_xll.ciqfunctions.udf.CIQ($A34, "IQ_TOTAL_REV_5YR_ANN_CAGR", IQ_LTM, $B$1,$L$4, $L$3, $L$5, $L$6)="NM","n/a",(_xll.ciqfunctions.udf.CIQ($A34, "IQ_TOTAL_REV_5YR_ANN_CAGR", IQ_LTM, $B$1,$L$4, $L$3, $L$5, $L$6)/100))</f>
        <v>#VALUE!</v>
      </c>
      <c r="BO34" s="492" t="e">
        <f>IF(_xll.ciqfunctions.udf.CIQ($A34,"IQ_EBITDA_2YR_ANN_CAGR", IQ_LTM,$B$1,$L$4, $L$3, $L$5, $L$6)="NM","n/a",(_xll.ciqfunctions.udf.CIQ($A34,"IQ_EBITDA_2YR_ANN_CAGR", IQ_LTM,$B$1,$L$4, $L$3, $L$5, $L$6)/100))</f>
        <v>#VALUE!</v>
      </c>
      <c r="BP34" s="492" t="e">
        <f>IF(_xll.ciqfunctions.udf.CIQ($A34,"IQ_EBITDA_3YR_ANN_CAGR", IQ_LTM,$B$1,$L$4, $L$3, $L$5, $L$6)="NM","n/a",(_xll.ciqfunctions.udf.CIQ($A34,"IQ_EBITDA_3YR_ANN_CAGR", IQ_LTM,$B$1,$L$4, $L$3, $L$5, $L$6)/100))</f>
        <v>#VALUE!</v>
      </c>
      <c r="BQ34" s="492" t="e">
        <f>IF(_xll.ciqfunctions.udf.CIQ($A34,"IQ_EBITDA_5YR_ANN_CAGR", IQ_LTM,$B$1,$L$4, $L$3, $L$5, $L$6)="NM","n/a",(_xll.ciqfunctions.udf.CIQ($A34,"IQ_EBITDA_5YR_ANN_CAGR", IQ_LTM,$B$1,$L$4, $L$3, $L$5, $L$6)/100))</f>
        <v>#VALUE!</v>
      </c>
      <c r="BR34" s="496" t="str">
        <f>IFERROR((_xll.ciqfunctions.udf.CIQ($A34, "IQ_DA_CF", IQ_LTM, $B$1, $L$4, $L$3, $L$5, $L$6)/Q34),"NM")</f>
        <v>NM</v>
      </c>
      <c r="BS34" s="546" t="e">
        <f>'Capital IQ Sheet-GPC'!BS34</f>
        <v>#VALUE!</v>
      </c>
      <c r="BT34" s="546" t="e">
        <f>'Capital IQ Sheet-GPC'!BT34</f>
        <v>#VALUE!</v>
      </c>
      <c r="BU34" s="546" t="e">
        <f>'Capital IQ Sheet-GPC'!BU34</f>
        <v>#VALUE!</v>
      </c>
      <c r="BV34" s="546" t="e">
        <f>'Capital IQ Sheet-GPC'!BV34</f>
        <v>#VALUE!</v>
      </c>
      <c r="BW34" s="546" t="e">
        <f>'Capital IQ Sheet-GPC'!BW34</f>
        <v>#VALUE!</v>
      </c>
      <c r="BX34" s="546" t="e">
        <f>'Capital IQ Sheet-GPC'!BX34</f>
        <v>#VALUE!</v>
      </c>
      <c r="BY34" s="546" t="e">
        <f>'Capital IQ Sheet-GPC'!BY34</f>
        <v>#VALUE!</v>
      </c>
      <c r="BZ34" s="546" t="e">
        <f>'Capital IQ Sheet-GPC'!BZ34</f>
        <v>#VALUE!</v>
      </c>
      <c r="CB34" s="492">
        <v>2</v>
      </c>
      <c r="CC34" s="632" t="s">
        <v>253</v>
      </c>
      <c r="CD34" s="632" t="s">
        <v>252</v>
      </c>
      <c r="CE34" s="494">
        <f t="shared" si="1"/>
        <v>42551</v>
      </c>
    </row>
    <row r="35" spans="1:83" s="492" customFormat="1" ht="12.75">
      <c r="A35" s="493" t="str">
        <f>_xll.ciqfunctions.udf.CIQ($B35,"IQ_COMPANY_TICKER")</f>
        <v>(Invalid Identifier)</v>
      </c>
      <c r="B35" s="541" t="str">
        <f>'Capital IQ Sheet-GPC'!B35</f>
        <v>(Invalid Identifier)</v>
      </c>
      <c r="C35" s="493" t="str">
        <f>_xll.ciqfunctions.udf.CIQ($A35,"IQ_COMPANY_NAME")</f>
        <v>(Invalid Identifier)</v>
      </c>
      <c r="D35" s="493" t="str">
        <f>_xll.ciqfunctions.udf.CIQ($A35, "IQ_EXCHANGE")</f>
        <v>(Invalid Identifier)</v>
      </c>
      <c r="E35" s="540" t="str">
        <f>_xll.ciqfunctions.udf.CIQ($A35, "IQ_PERIODDATE_IS", IQ_FY)</f>
        <v>(Invalid Identifier)</v>
      </c>
      <c r="F35" s="540" t="str">
        <f>_xll.ciqfunctions.udf.CIQ(A35, "IQ_PERIODDATE_IS", IQ_LTM, $B$1,$L$4,$L$3)</f>
        <v>(Invalid Identifier)</v>
      </c>
      <c r="G35" s="540" t="str">
        <f>_xll.ciqfunctions.udf.CIQ($A35, "IQ_FIRSTPRICINGDATE")</f>
        <v>(Invalid Identifier)</v>
      </c>
      <c r="H35" s="542" t="str">
        <f>_xll.ciqfunctions.udf.CIQ($A35, "IQ_TEV", $L$2, $L$5, $L$6)</f>
        <v>(Invalid Identifier)</v>
      </c>
      <c r="I35" s="542" t="str">
        <f>_xll.ciqfunctions.udf.CIQ(A35, "IQ_LASTSALEPRICE", $B$1,$L$5)</f>
        <v>(Invalid Identifier)</v>
      </c>
      <c r="J35" s="542" t="str">
        <f>_xll.ciqfunctions.udf.CIQ($A35, "IQ_MARKETCAP", $L$2, $L$5, $L$6)</f>
        <v>(Invalid Identifier)</v>
      </c>
      <c r="K35" s="542" t="str">
        <f>_xll.ciqfunctions.udf.CIQ($A35, "IQ_TOTAL_DEBT", IQ_LTM, $L$2,$L$4, $L$3, $L$5, $L$6)</f>
        <v>(Invalid Identifier)</v>
      </c>
      <c r="L35" s="542" t="str">
        <f>_xll.ciqfunctions.udf.CIQ($A35, "IQ_PREF_EQUITY", IQ_LTM, $L$2, $L$4, $L$3, $L$5, $L$6)</f>
        <v>(Invalid Identifier)</v>
      </c>
      <c r="M35" s="542" t="str">
        <f>_xll.ciqfunctions.udf.CIQ($A35, "IQ_MINORITY_INTEREST_TOTAL", IQ_LTM, $L$2, $L$4, $L$3, $L$5, $L$6)</f>
        <v>(Invalid Identifier)</v>
      </c>
      <c r="N35" s="542" t="str">
        <f>_xll.ciqfunctions.udf.CIQ($A35, "IQ_CASH_ST_INVEST", IQ_LTM, $L$2, $L$4, $L$3, $L$5, $L$6)</f>
        <v>(Invalid Identifier)</v>
      </c>
      <c r="O35" s="542" t="str">
        <f>_xll.ciqfunctions.udf.CIQ($A35, "IQ_TOTAL_REV", IQ_LTM-8, $L$2, $L$4, $L$3, $L$5, $L$6)</f>
        <v>(Invalid Identifier)</v>
      </c>
      <c r="P35" s="542" t="str">
        <f>_xll.ciqfunctions.udf.CIQ($A35, "IQ_TOTAL_REV", IQ_LTM - 4, $L$2, $L$4, $L$3, $L$5,$L$6)</f>
        <v>(Invalid Identifier)</v>
      </c>
      <c r="Q35" s="542" t="str">
        <f>_xll.ciqfunctions.udf.CIQ($A35, "IQ_TOTAL_REV", IQ_LTM, $L$2, $L$4, $L$3, $L$5, $L$6)</f>
        <v>(Invalid Identifier)</v>
      </c>
      <c r="R35" s="542" t="str">
        <f>_xll.ciqfunctions.udf.CIQ($A35, "IQ_TOTAL_REV", $B$2, $L$2, $L$4, $L$3, $L$5, $L$6)</f>
        <v>(Invalid Identifier)</v>
      </c>
      <c r="S35" s="542" t="str">
        <f>IF(_xll.ciqfunctions.udf.CIQ($A35, "IQ_TOTAL_REV", $B$3, $L$2,$L$4, $L$3, $L$5, $L$6)=0,Q35,_xll.ciqfunctions.udf.CIQ($A35, "IQ_TOTAL_REV", $B$3, $L$2,$L$4, $L$3, $L$5, $L$6))</f>
        <v>(Invalid Identifier)</v>
      </c>
      <c r="T35" s="542" t="str">
        <f>IF(_xll.ciqfunctions.udf.CIQ($A35, "IQ_REVENUE_EST",$B$4, $L$2, "CON", $L$3, $L$5, $L$6)=0,"n/a",_xll.ciqfunctions.udf.CIQ($A35, "IQ_REVENUE_EST",$B$4, $L$2, "CON", $L$3, $L$5, $L$6))</f>
        <v>(Invalid Identifier)</v>
      </c>
      <c r="U35" s="542" t="str">
        <f>IF(_xll.ciqfunctions.udf.CIQ($A35, "IQ_REVENUE_EST",$B$5, $L$2, "CON", $L$3, $L$5, $L$6)=0,"n/a",_xll.ciqfunctions.udf.CIQ($A35, "IQ_REVENUE_EST",$B$5, $L$2, "CON", $L$3, $L$5, $L$6))</f>
        <v>(Invalid Identifier)</v>
      </c>
      <c r="V35" s="542" t="str">
        <f>IF(_xll.ciqfunctions.udf.CIQ($A35, "IQ_REVENUE_EST",$B$6, $L$2, "CON", $L$3, $L$5, $L$6)=0,"n/a",_xll.ciqfunctions.udf.CIQ($A35, "IQ_REVENUE_EST",$B$6, $L$2, "CON", $L$3, $L$5, $L$6))</f>
        <v>(Invalid Identifier)</v>
      </c>
      <c r="W35" s="542" t="str">
        <f>IF(_xll.ciqfunctions.udf.CIQ($A35, "IQ_REVENUE_EST", $B$7, $L$2, "CON", $L$3, $L$5, $L$6)=0,"n/a",_xll.ciqfunctions.udf.CIQ($A35, "IQ_REVENUE_EST",$B$7, $L$2, "CON", $L$3, $L$5, $L$6))</f>
        <v>(Invalid Identifier)</v>
      </c>
      <c r="X35" s="542" t="str">
        <f>_xll.ciqfunctions.udf.CIQ($A35, "IQ_EBITDA", IQ_LTM-8, $L$2, $L$4, $L$3, $L$5, $L$6)</f>
        <v>(Invalid Identifier)</v>
      </c>
      <c r="Y35" s="542" t="str">
        <f>_xll.ciqfunctions.udf.CIQ($A35, "IQ_EBITDA", IQ_LTM-4, $L$2,$L$4, $L$3, $L$5, $L$6)</f>
        <v>(Invalid Identifier)</v>
      </c>
      <c r="Z35" s="542" t="str">
        <f>_xll.ciqfunctions.udf.CIQ($A35, "IQ_EBITDA", IQ_LTM, $L$2, $L$4, $L$3, $L$5, $L$6)</f>
        <v>(Invalid Identifier)</v>
      </c>
      <c r="AA35" s="542" t="str">
        <f>_xll.ciqfunctions.udf.CIQ($A35, "IQ_EBITDA", $B$2, $L$2, $L$4, $L$3, $L$5, $L$6)</f>
        <v>(Invalid Identifier)</v>
      </c>
      <c r="AB35" s="542" t="str">
        <f>IF(_xll.ciqfunctions.udf.CIQ($A35, "IQ_EBITDA", $B$3, $L$2,$L$4, $L$3, $L$5, $L$6)=0,Z35,_xll.ciqfunctions.udf.CIQ($A35, "IQ_EBITDA", $B$3, $L$2,$L$4, $L$3, $L$5, $L$6))</f>
        <v>(Invalid Identifier)</v>
      </c>
      <c r="AC35" s="542" t="str">
        <f>IF(_xll.ciqfunctions.udf.CIQ($A35, "IQ_EBITDA_EST",$B$4, $L$2, "CON", $L$3, $L$5, $L$6)=0,"n/a",_xll.ciqfunctions.udf.CIQ($A35, "IQ_EBITDA_EST",$B$4, $L$2, "CON", $L$3, $L$5, $L$6))</f>
        <v>(Invalid Identifier)</v>
      </c>
      <c r="AD35" s="542" t="str">
        <f>IF(_xll.ciqfunctions.udf.CIQ($A35, "IQ_EBITDA_EST",$B$5, $L$2, "CON", $L$3, $L$5, $L$6)=0,"n/a",_xll.ciqfunctions.udf.CIQ($A35, "IQ_EBITDA_EST",$B$5, $L$2, "CON", $L$3, $L$5, $L$6))</f>
        <v>(Invalid Identifier)</v>
      </c>
      <c r="AE35" s="542" t="str">
        <f>IF(_xll.ciqfunctions.udf.CIQ($A35, "IQ_EBITDA_EST",$B$6, $L$2, "CON", $L$3, $L$5, $L$6)=0,"n/a",_xll.ciqfunctions.udf.CIQ($A35, "IQ_EBITDA_EST",$B$6, $L$2, "CON", $L$3, $L$5, $L$6))</f>
        <v>(Invalid Identifier)</v>
      </c>
      <c r="AF35" s="543" t="str">
        <f>IF(ISERROR(_xll.ciqfunctions.udf.CIQ($A35, "IQ_GROSS_MARGIN", IQ_LTM, $L$2,$L$4, $L$3, $L$5, $L$6)/100), "n/a", _xll.ciqfunctions.udf.CIQ($A35,  "IQ_GROSS_MARGIN", IQ_LTM, $L$2, $L$4, $L$3, $L$5, $L$6)/100)</f>
        <v>n/a</v>
      </c>
      <c r="AG35" s="543" t="str">
        <f>IF(ISERROR(_xll.ciqfunctions.udf.CIQ($A35,"IQ_EBITDA_MARGIN", IQ_LTM, $L$2, $L$4, $L$3, $L$5, $L$6)/100), "n/a", _xll.ciqfunctions.udf.CIQ($A35, "IQ_EBITDA_MARGIN", IQ_LTM, $L$2, $L$4, $L$3, $L$5, $L$6)/100)</f>
        <v>n/a</v>
      </c>
      <c r="AH35" s="543" t="str">
        <f>IF(ISERROR(_xll.ciqfunctions.udf.CIQ($A35,"IQ_EBIT_MARGIN", IQ_LTM, $L$2, $L$4, $L$3, $L$5, $L$6)/100), "n/a", _xll.ciqfunctions.udf.CIQ($A35, "IQ_EBIT_MARGIN", IQ_LTM, $L$2, $L$4, $L$3, $L$5, $L$6)/100)</f>
        <v>n/a</v>
      </c>
      <c r="AI35" s="543" t="str">
        <f>IF(ISERROR(_xll.ciqfunctions.udf.CIQ($A35,"IQ_NI_MARGIN", IQ_LTM, $L$2, $L$4, $L$3, $L$5, $L$6)/100), "n/a", _xll.ciqfunctions.udf.CIQ($A35, "IQ_NI_MARGIN", IQ_LTM, $L$2, $L$4, $L$3, $L$5, $L$6)/100)</f>
        <v>n/a</v>
      </c>
      <c r="AJ35" s="542" t="str">
        <f>IF(ISERROR(_xll.ciqfunctions.udf.CIQ($A35, "IQ_NET_WORKING_CAP", IQ_LTM-8, $L$2, $L$4, $L$3, $L$5, $L$6)), "n/a", _xll.ciqfunctions.udf.CIQ($A35, "IQ_NET_WORKING_CAP", IQ_LTM-8, $L$2, $L$4, $L$3, $L$5, $L$6))</f>
        <v>(Invalid Identifier)</v>
      </c>
      <c r="AK35" s="542" t="str">
        <f>IF(ISERROR(_xll.ciqfunctions.udf.CIQ($A35, "IQ_NET_WORKING_CAP", IQ_LTM-4, $L$2, $L$4, $L$3, $L$5, $L$6)), "n/a", _xll.ciqfunctions.udf.CIQ($A35, "IQ_NET_WORKING_CAP", IQ_LTM-4, $L$2, $L$4, $L$3, $L$5, $L$6))</f>
        <v>(Invalid Identifier)</v>
      </c>
      <c r="AL35" s="542" t="str">
        <f>IF(ISERROR(_xll.ciqfunctions.udf.CIQ($A35, "IQ_NET_WORKING_CAP", IQ_LTM, $L$2,$L$4, $L$3, $L$5, $L$6)), "n/a", _xll.ciqfunctions.udf.CIQ($A35, "IQ_NET_WORKING_CAP", IQ_LTM, $L$2, $L$4, $L$3, $L$5, $L$6))</f>
        <v>(Invalid Identifier)</v>
      </c>
      <c r="AM35" s="542" t="str">
        <f>IF(ISERROR(_xll.ciqfunctions.udf.CIQ($A35, "IQ_Capex", IQ_LTM-8, $L$2,$L$4, $L$3, $L$5, $L$6)), "n/a", _xll.ciqfunctions.udf.CIQ($A35, "IQ_Capex", IQ_LTM-8, $L$2, $L$4, $L$3, $L$5, $L$6))</f>
        <v>(Invalid Identifier)</v>
      </c>
      <c r="AN35" s="542" t="str">
        <f>IF(ISERROR(_xll.ciqfunctions.udf.CIQ($A35, "IQ_Capex", IQ_LTM-4, $L$2,$L$4, $L$3, $L$5, $L$6)), "n/a", _xll.ciqfunctions.udf.CIQ($A35, "IQ_Capex", IQ_LTM-4, $L$2,$L$4, $L$3, $L$5, $L$6))</f>
        <v>(Invalid Identifier)</v>
      </c>
      <c r="AO35" s="542" t="str">
        <f>IF(ISERROR(_xll.ciqfunctions.udf.CIQ($A35, "IQ_Capex", IQ_LTM, $L$2, $L$4, $L$3, $L$5, $L$6)), "n/a", _xll.ciqfunctions.udf.CIQ($A35, "IQ_Capex", IQ_LTM, $L$2, $L$4, $L$3, $L$5, $L$6))</f>
        <v>(Invalid Identifier)</v>
      </c>
      <c r="AP35" s="544" t="str">
        <f>_xll.ciqfunctions.udf.CIQ(A35, "IQ_BUSINESS_DESCRIPTION")</f>
        <v>(Invalid Identifier)</v>
      </c>
      <c r="AQ35" s="545" t="str">
        <f>_xll.ciqfunctions.udf.CIQ($A35, "IQ_BETA_1YR", $B$1)</f>
        <v>(Invalid Identifier)</v>
      </c>
      <c r="AR35" s="545" t="str">
        <f>_xll.ciqfunctions.udf.CIQ($A35, "IQ_BETA_2YR", $B$1)</f>
        <v>(Invalid Identifier)</v>
      </c>
      <c r="AS35" s="545" t="str">
        <f>_xll.ciqfunctions.udf.CIQ($A35, "IQ_BETA_5YR", $B$1)</f>
        <v>(Invalid Identifier)</v>
      </c>
      <c r="AT35" s="543" t="e">
        <f>_xll.ciqfunctions.udf.CIQ($A35, "IQ_DIVIDEND_YIELD", $B$1)/100</f>
        <v>#VALUE!</v>
      </c>
      <c r="AU35" s="542" t="str">
        <f>_xll.ciqfunctions.udf.CIQ($A35, "IQ_EARNING_CO", IQ_LTM-8, $L$2, $L$4, $L$3, $L$5, $L$6)</f>
        <v>(Invalid Identifier)</v>
      </c>
      <c r="AV35" s="542" t="str">
        <f>_xll.ciqfunctions.udf.CIQ($A35, "IQ_EARNING_CO", IQ_LTM-4, $L$2, $L$4, $L$3, $L$5, $L$6)</f>
        <v>(Invalid Identifier)</v>
      </c>
      <c r="AW35" s="542" t="str">
        <f>_xll.ciqfunctions.udf.CIQ($A35, "IQ_EARNING_CO", IQ_LTM, $L$2, $L$4, $L$3, $L$5, $L$6)</f>
        <v>(Invalid Identifier)</v>
      </c>
      <c r="AX35" s="542" t="str">
        <f>_xll.ciqfunctions.udf.CIQ($A35, "IQ_EARNING_CO", $B$2, $L$2, $L$4, $L$3, $L$5, $L$6)</f>
        <v>(Invalid Identifier)</v>
      </c>
      <c r="AY35" s="542" t="str">
        <f>IF(_xll.ciqfunctions.udf.CIQ($A35, "IQ_EARNING_CO", $B$3, $L$2,$L$4, $L$3, $L$5, $L$6)=0,AW35,_xll.ciqfunctions.udf.CIQ($A35, "IQ_EARNING_CO", $B$3, $L$2,$L$4, $L$3, $L$5, $L$6))</f>
        <v>(Invalid Identifier)</v>
      </c>
      <c r="AZ35" s="542" t="str">
        <f>_xll.ciqfunctions.udf.CIQ($A35, "IQ_TOTAL_EQUITY", IQ_LTM-8, $L$2, $L$4, $L$3, $L$5, $L$6)</f>
        <v>(Invalid Identifier)</v>
      </c>
      <c r="BA35" s="542" t="str">
        <f>_xll.ciqfunctions.udf.CIQ($A35, "IQ_TOTAL_EQUITY", IQ_LTM-4, $L$2, $L$4, $L$3, $L$5, $L$6)</f>
        <v>(Invalid Identifier)</v>
      </c>
      <c r="BB35" s="542" t="str">
        <f>_xll.ciqfunctions.udf.CIQ($A35, "IQ_TOTAL_EQUITY", IQ_LTM, $L$2, $L$4, $L$3, $L$5, $L$6)</f>
        <v>(Invalid Identifier)</v>
      </c>
      <c r="BC35" s="542" t="str">
        <f>_xll.ciqfunctions.udf.CIQ($A35, "IQ_TOTAL_EQUITY", $B$2, $L$2, $L$4, $L$3, $L$5, $L$6)</f>
        <v>(Invalid Identifier)</v>
      </c>
      <c r="BD35" s="542" t="str">
        <f>IF(_xll.ciqfunctions.udf.CIQ($A35, "IQ_TOTAL_EQUITY", $B$3, $L$2,$L$4, $L$3, $L$5, $L$6)=0,BB35,_xll.ciqfunctions.udf.CIQ($A35, "IQ_TOTAL_EQUITY", $B$3, $L$2,$L$4, $L$3, $L$5, $L$6))</f>
        <v>(Invalid Identifier)</v>
      </c>
      <c r="BE35" s="542" t="str">
        <f>_xll.ciqfunctions.udf.CIQ(A35, "IQ_LASTSALEPRICE", $B$8)</f>
        <v>(Invalid Identifier)</v>
      </c>
      <c r="BF35" s="542" t="str">
        <f>_xll.ciqfunctions.udf.CIQ($A35, "IQ_MARKETCAP", $B$8, $L$5, $L$6)</f>
        <v>(Invalid Identifier)</v>
      </c>
      <c r="BG35" s="542" t="str">
        <f>_xll.ciqfunctions.udf.CIQ($A35, "IQ_TOTAL_DEBT", IQ_LTM, $B$8,$L$4, $L$3, $L$5, $L$6)</f>
        <v>(Invalid Identifier)</v>
      </c>
      <c r="BH35" s="492" t="str">
        <f>_xll.ciqfunctions.udf.CIQ($A35,"IQ_PREF_EQUITY",IQ_LTM,$B$8,$L$4,$L$3,$L$5,$L$6)</f>
        <v>(Invalid Identifier)</v>
      </c>
      <c r="BI35" s="492" t="str">
        <f>_xll.ciqfunctions.udf.CIQ($A35, "IQ_MINORITY_INTEREST_TOTAL", IQ_LTM,$B$8,$L$4,$L$3,$L$5,$L$6)</f>
        <v>(Invalid Identifier)</v>
      </c>
      <c r="BJ35" s="542" t="str">
        <f>_xll.ciqfunctions.udf.CIQ($A35, "IQ_CASH_ST_INVEST", IQ_LTM, $B$8, $L$4, $L$3, $L$5, $L$6)</f>
        <v>(Invalid Identifier)</v>
      </c>
      <c r="BK35" s="492" t="str">
        <f>_xll.ciqfunctions.udf.CIQ($A35, "IQ_EFFECT_TAX_RATE")</f>
        <v>(Invalid Identifier)</v>
      </c>
      <c r="BL35" s="492" t="e">
        <f>IF(_xll.ciqfunctions.udf.CIQ($A35, "IQ_TOTAL_REV_2YR_ANN_CAGR", IQ_LTM, $B$1,$L$4, $L$3, $L$5, $L$6)="NM","n/a",(_xll.ciqfunctions.udf.CIQ($A35, "IQ_TOTAL_REV_2YR_ANN_CAGR", IQ_LTM, $B$1,$L$4, $L$3, $L$5, $L$6)/100))</f>
        <v>#VALUE!</v>
      </c>
      <c r="BM35" s="492" t="e">
        <f>IF(_xll.ciqfunctions.udf.CIQ($A35, "IQ_TOTAL_REV_3YR_ANN_CAGR", IQ_LTM, $B$1,$L$4, $L$3, $L$5, $L$6)="NM","n/a",(_xll.ciqfunctions.udf.CIQ($A35, "IQ_TOTAL_REV_3YR_ANN_CAGR", IQ_LTM, $B$1,$L$4, $L$3, $L$5, $L$6)/100))</f>
        <v>#VALUE!</v>
      </c>
      <c r="BN35" s="492" t="e">
        <f>IF(_xll.ciqfunctions.udf.CIQ($A35, "IQ_TOTAL_REV_5YR_ANN_CAGR", IQ_LTM, $B$1,$L$4, $L$3, $L$5, $L$6)="NM","n/a",(_xll.ciqfunctions.udf.CIQ($A35, "IQ_TOTAL_REV_5YR_ANN_CAGR", IQ_LTM, $B$1,$L$4, $L$3, $L$5, $L$6)/100))</f>
        <v>#VALUE!</v>
      </c>
      <c r="BO35" s="492" t="e">
        <f>IF(_xll.ciqfunctions.udf.CIQ($A35,"IQ_EBITDA_2YR_ANN_CAGR", IQ_LTM,$B$1,$L$4, $L$3, $L$5, $L$6)="NM","n/a",(_xll.ciqfunctions.udf.CIQ($A35,"IQ_EBITDA_2YR_ANN_CAGR", IQ_LTM,$B$1,$L$4, $L$3, $L$5, $L$6)/100))</f>
        <v>#VALUE!</v>
      </c>
      <c r="BP35" s="492" t="e">
        <f>IF(_xll.ciqfunctions.udf.CIQ($A35,"IQ_EBITDA_3YR_ANN_CAGR", IQ_LTM,$B$1,$L$4, $L$3, $L$5, $L$6)="NM","n/a",(_xll.ciqfunctions.udf.CIQ($A35,"IQ_EBITDA_3YR_ANN_CAGR", IQ_LTM,$B$1,$L$4, $L$3, $L$5, $L$6)/100))</f>
        <v>#VALUE!</v>
      </c>
      <c r="BQ35" s="492" t="e">
        <f>IF(_xll.ciqfunctions.udf.CIQ($A35,"IQ_EBITDA_5YR_ANN_CAGR", IQ_LTM,$B$1,$L$4, $L$3, $L$5, $L$6)="NM","n/a",(_xll.ciqfunctions.udf.CIQ($A35,"IQ_EBITDA_5YR_ANN_CAGR", IQ_LTM,$B$1,$L$4, $L$3, $L$5, $L$6)/100))</f>
        <v>#VALUE!</v>
      </c>
      <c r="BR35" s="496" t="str">
        <f>IFERROR((_xll.ciqfunctions.udf.CIQ($A35, "IQ_DA_CF", IQ_LTM, $B$1, $L$4, $L$3, $L$5, $L$6)/Q35),"NM")</f>
        <v>NM</v>
      </c>
      <c r="BS35" s="546" t="e">
        <f>'Capital IQ Sheet-GPC'!BS35</f>
        <v>#VALUE!</v>
      </c>
      <c r="BT35" s="546" t="e">
        <f>'Capital IQ Sheet-GPC'!BT35</f>
        <v>#VALUE!</v>
      </c>
      <c r="BU35" s="546" t="e">
        <f>'Capital IQ Sheet-GPC'!BU35</f>
        <v>#VALUE!</v>
      </c>
      <c r="BV35" s="546" t="e">
        <f>'Capital IQ Sheet-GPC'!BV35</f>
        <v>#VALUE!</v>
      </c>
      <c r="BW35" s="546" t="e">
        <f>'Capital IQ Sheet-GPC'!BW35</f>
        <v>#VALUE!</v>
      </c>
      <c r="BX35" s="546" t="e">
        <f>'Capital IQ Sheet-GPC'!BX35</f>
        <v>#VALUE!</v>
      </c>
      <c r="BY35" s="546" t="e">
        <f>'Capital IQ Sheet-GPC'!BY35</f>
        <v>#VALUE!</v>
      </c>
      <c r="BZ35" s="546" t="e">
        <f>'Capital IQ Sheet-GPC'!BZ35</f>
        <v>#VALUE!</v>
      </c>
      <c r="CB35" s="492">
        <v>2</v>
      </c>
      <c r="CC35" s="632" t="s">
        <v>253</v>
      </c>
      <c r="CD35" s="632" t="s">
        <v>252</v>
      </c>
      <c r="CE35" s="494">
        <f t="shared" si="0"/>
        <v>42551</v>
      </c>
    </row>
    <row r="36" spans="1:83" s="492" customFormat="1" ht="12.75">
      <c r="A36" s="493" t="str">
        <f>_xll.ciqfunctions.udf.CIQ($B36,"IQ_COMPANY_TICKER")</f>
        <v>(Invalid Identifier)</v>
      </c>
      <c r="B36" s="541" t="str">
        <f>'Capital IQ Sheet-GPC'!B36</f>
        <v>(Invalid Identifier)</v>
      </c>
      <c r="C36" s="493" t="str">
        <f>_xll.ciqfunctions.udf.CIQ($A36,"IQ_COMPANY_NAME")</f>
        <v>(Invalid Identifier)</v>
      </c>
      <c r="D36" s="493" t="str">
        <f>_xll.ciqfunctions.udf.CIQ($A36, "IQ_EXCHANGE")</f>
        <v>(Invalid Identifier)</v>
      </c>
      <c r="E36" s="540" t="str">
        <f>_xll.ciqfunctions.udf.CIQ($A36, "IQ_PERIODDATE_IS", IQ_FY)</f>
        <v>(Invalid Identifier)</v>
      </c>
      <c r="F36" s="540" t="str">
        <f>_xll.ciqfunctions.udf.CIQ(A36, "IQ_PERIODDATE_IS", IQ_LTM, $B$1,$L$4,$L$3)</f>
        <v>(Invalid Identifier)</v>
      </c>
      <c r="G36" s="540" t="str">
        <f>_xll.ciqfunctions.udf.CIQ($A36, "IQ_FIRSTPRICINGDATE")</f>
        <v>(Invalid Identifier)</v>
      </c>
      <c r="H36" s="542" t="str">
        <f>_xll.ciqfunctions.udf.CIQ($A36, "IQ_TEV", $L$2, $L$5, $L$6)</f>
        <v>(Invalid Identifier)</v>
      </c>
      <c r="I36" s="542" t="str">
        <f>_xll.ciqfunctions.udf.CIQ(A36, "IQ_LASTSALEPRICE", $B$1,$L$5)</f>
        <v>(Invalid Identifier)</v>
      </c>
      <c r="J36" s="542" t="str">
        <f>_xll.ciqfunctions.udf.CIQ($A36, "IQ_MARKETCAP", $L$2, $L$5, $L$6)</f>
        <v>(Invalid Identifier)</v>
      </c>
      <c r="K36" s="542" t="str">
        <f>_xll.ciqfunctions.udf.CIQ($A36, "IQ_TOTAL_DEBT", IQ_LTM, $L$2,$L$4, $L$3, $L$5, $L$6)</f>
        <v>(Invalid Identifier)</v>
      </c>
      <c r="L36" s="542" t="str">
        <f>_xll.ciqfunctions.udf.CIQ($A36, "IQ_PREF_EQUITY", IQ_LTM, $L$2, $L$4, $L$3, $L$5, $L$6)</f>
        <v>(Invalid Identifier)</v>
      </c>
      <c r="M36" s="542" t="str">
        <f>_xll.ciqfunctions.udf.CIQ($A36, "IQ_MINORITY_INTEREST_TOTAL", IQ_LTM, $L$2, $L$4, $L$3, $L$5, $L$6)</f>
        <v>(Invalid Identifier)</v>
      </c>
      <c r="N36" s="542" t="str">
        <f>_xll.ciqfunctions.udf.CIQ($A36, "IQ_CASH_ST_INVEST", IQ_LTM, $L$2, $L$4, $L$3, $L$5, $L$6)</f>
        <v>(Invalid Identifier)</v>
      </c>
      <c r="O36" s="542" t="str">
        <f>_xll.ciqfunctions.udf.CIQ($A36, "IQ_TOTAL_REV", IQ_LTM-8, $L$2, $L$4, $L$3, $L$5, $L$6)</f>
        <v>(Invalid Identifier)</v>
      </c>
      <c r="P36" s="542" t="str">
        <f>_xll.ciqfunctions.udf.CIQ($A36, "IQ_TOTAL_REV", IQ_LTM - 4, $L$2, $L$4, $L$3, $L$5,$L$6)</f>
        <v>(Invalid Identifier)</v>
      </c>
      <c r="Q36" s="542" t="str">
        <f>_xll.ciqfunctions.udf.CIQ($A36, "IQ_TOTAL_REV", IQ_LTM, $L$2, $L$4, $L$3, $L$5, $L$6)</f>
        <v>(Invalid Identifier)</v>
      </c>
      <c r="R36" s="542" t="str">
        <f>_xll.ciqfunctions.udf.CIQ($A36, "IQ_TOTAL_REV", $B$2, $L$2, $L$4, $L$3, $L$5, $L$6)</f>
        <v>(Invalid Identifier)</v>
      </c>
      <c r="S36" s="542" t="str">
        <f>IF(_xll.ciqfunctions.udf.CIQ($A36, "IQ_TOTAL_REV", $B$3, $L$2,$L$4, $L$3, $L$5, $L$6)=0,Q36,_xll.ciqfunctions.udf.CIQ($A36, "IQ_TOTAL_REV", $B$3, $L$2,$L$4, $L$3, $L$5, $L$6))</f>
        <v>(Invalid Identifier)</v>
      </c>
      <c r="T36" s="542" t="str">
        <f>IF(_xll.ciqfunctions.udf.CIQ($A36, "IQ_REVENUE_EST",$B$4, $L$2, "CON", $L$3, $L$5, $L$6)=0,"n/a",_xll.ciqfunctions.udf.CIQ($A36, "IQ_REVENUE_EST",$B$4, $L$2, "CON", $L$3, $L$5, $L$6))</f>
        <v>(Invalid Identifier)</v>
      </c>
      <c r="U36" s="542" t="str">
        <f>IF(_xll.ciqfunctions.udf.CIQ($A36, "IQ_REVENUE_EST",$B$5, $L$2, "CON", $L$3, $L$5, $L$6)=0,"n/a",_xll.ciqfunctions.udf.CIQ($A36, "IQ_REVENUE_EST",$B$5, $L$2, "CON", $L$3, $L$5, $L$6))</f>
        <v>(Invalid Identifier)</v>
      </c>
      <c r="V36" s="542" t="str">
        <f>IF(_xll.ciqfunctions.udf.CIQ($A36, "IQ_REVENUE_EST",$B$6, $L$2, "CON", $L$3, $L$5, $L$6)=0,"n/a",_xll.ciqfunctions.udf.CIQ($A36, "IQ_REVENUE_EST",$B$6, $L$2, "CON", $L$3, $L$5, $L$6))</f>
        <v>(Invalid Identifier)</v>
      </c>
      <c r="W36" s="542" t="str">
        <f>IF(_xll.ciqfunctions.udf.CIQ($A36, "IQ_REVENUE_EST", $B$7, $L$2, "CON", $L$3, $L$5, $L$6)=0,"n/a",_xll.ciqfunctions.udf.CIQ($A36, "IQ_REVENUE_EST",$B$7, $L$2, "CON", $L$3, $L$5, $L$6))</f>
        <v>(Invalid Identifier)</v>
      </c>
      <c r="X36" s="542" t="str">
        <f>_xll.ciqfunctions.udf.CIQ($A36, "IQ_EBITDA", IQ_LTM-8, $L$2, $L$4, $L$3, $L$5, $L$6)</f>
        <v>(Invalid Identifier)</v>
      </c>
      <c r="Y36" s="542" t="str">
        <f>_xll.ciqfunctions.udf.CIQ($A36, "IQ_EBITDA", IQ_LTM-4, $L$2,$L$4, $L$3, $L$5, $L$6)</f>
        <v>(Invalid Identifier)</v>
      </c>
      <c r="Z36" s="542" t="str">
        <f>_xll.ciqfunctions.udf.CIQ($A36, "IQ_EBITDA", IQ_LTM, $L$2, $L$4, $L$3, $L$5, $L$6)</f>
        <v>(Invalid Identifier)</v>
      </c>
      <c r="AA36" s="542" t="str">
        <f>_xll.ciqfunctions.udf.CIQ($A36, "IQ_EBITDA", $B$2, $L$2, $L$4, $L$3, $L$5, $L$6)</f>
        <v>(Invalid Identifier)</v>
      </c>
      <c r="AB36" s="542" t="str">
        <f>IF(_xll.ciqfunctions.udf.CIQ($A36, "IQ_EBITDA", $B$3, $L$2,$L$4, $L$3, $L$5, $L$6)=0,Z36,_xll.ciqfunctions.udf.CIQ($A36, "IQ_EBITDA", $B$3, $L$2,$L$4, $L$3, $L$5, $L$6))</f>
        <v>(Invalid Identifier)</v>
      </c>
      <c r="AC36" s="542" t="str">
        <f>IF(_xll.ciqfunctions.udf.CIQ($A36, "IQ_EBITDA_EST",$B$4, $L$2, "CON", $L$3, $L$5, $L$6)=0,"n/a",_xll.ciqfunctions.udf.CIQ($A36, "IQ_EBITDA_EST",$B$4, $L$2, "CON", $L$3, $L$5, $L$6))</f>
        <v>(Invalid Identifier)</v>
      </c>
      <c r="AD36" s="542" t="str">
        <f>IF(_xll.ciqfunctions.udf.CIQ($A36, "IQ_EBITDA_EST",$B$5, $L$2, "CON", $L$3, $L$5, $L$6)=0,"n/a",_xll.ciqfunctions.udf.CIQ($A36, "IQ_EBITDA_EST",$B$5, $L$2, "CON", $L$3, $L$5, $L$6))</f>
        <v>(Invalid Identifier)</v>
      </c>
      <c r="AE36" s="542" t="str">
        <f>IF(_xll.ciqfunctions.udf.CIQ($A36, "IQ_EBITDA_EST",$B$6, $L$2, "CON", $L$3, $L$5, $L$6)=0,"n/a",_xll.ciqfunctions.udf.CIQ($A36, "IQ_EBITDA_EST",$B$6, $L$2, "CON", $L$3, $L$5, $L$6))</f>
        <v>(Invalid Identifier)</v>
      </c>
      <c r="AF36" s="543" t="str">
        <f>IF(ISERROR(_xll.ciqfunctions.udf.CIQ($A36, "IQ_GROSS_MARGIN", IQ_LTM, $L$2,$L$4, $L$3, $L$5, $L$6)/100), "n/a", _xll.ciqfunctions.udf.CIQ($A36,  "IQ_GROSS_MARGIN", IQ_LTM, $L$2, $L$4, $L$3, $L$5, $L$6)/100)</f>
        <v>n/a</v>
      </c>
      <c r="AG36" s="543" t="str">
        <f>IF(ISERROR(_xll.ciqfunctions.udf.CIQ($A36,"IQ_EBITDA_MARGIN", IQ_LTM, $L$2, $L$4, $L$3, $L$5, $L$6)/100), "n/a", _xll.ciqfunctions.udf.CIQ($A36, "IQ_EBITDA_MARGIN", IQ_LTM, $L$2, $L$4, $L$3, $L$5, $L$6)/100)</f>
        <v>n/a</v>
      </c>
      <c r="AH36" s="543" t="str">
        <f>IF(ISERROR(_xll.ciqfunctions.udf.CIQ($A36,"IQ_EBIT_MARGIN", IQ_LTM, $L$2, $L$4, $L$3, $L$5, $L$6)/100), "n/a", _xll.ciqfunctions.udf.CIQ($A36, "IQ_EBIT_MARGIN", IQ_LTM, $L$2, $L$4, $L$3, $L$5, $L$6)/100)</f>
        <v>n/a</v>
      </c>
      <c r="AI36" s="543" t="str">
        <f>IF(ISERROR(_xll.ciqfunctions.udf.CIQ($A36,"IQ_NI_MARGIN", IQ_LTM, $L$2, $L$4, $L$3, $L$5, $L$6)/100), "n/a", _xll.ciqfunctions.udf.CIQ($A36, "IQ_NI_MARGIN", IQ_LTM, $L$2, $L$4, $L$3, $L$5, $L$6)/100)</f>
        <v>n/a</v>
      </c>
      <c r="AJ36" s="542" t="str">
        <f>IF(ISERROR(_xll.ciqfunctions.udf.CIQ($A36, "IQ_NET_WORKING_CAP", IQ_LTM-8, $L$2, $L$4, $L$3, $L$5, $L$6)), "n/a", _xll.ciqfunctions.udf.CIQ($A36, "IQ_NET_WORKING_CAP", IQ_LTM-8, $L$2, $L$4, $L$3, $L$5, $L$6))</f>
        <v>(Invalid Identifier)</v>
      </c>
      <c r="AK36" s="542" t="str">
        <f>IF(ISERROR(_xll.ciqfunctions.udf.CIQ($A36, "IQ_NET_WORKING_CAP", IQ_LTM-4, $L$2, $L$4, $L$3, $L$5, $L$6)), "n/a", _xll.ciqfunctions.udf.CIQ($A36, "IQ_NET_WORKING_CAP", IQ_LTM-4, $L$2, $L$4, $L$3, $L$5, $L$6))</f>
        <v>(Invalid Identifier)</v>
      </c>
      <c r="AL36" s="542" t="str">
        <f>IF(ISERROR(_xll.ciqfunctions.udf.CIQ($A36, "IQ_NET_WORKING_CAP", IQ_LTM, $L$2,$L$4, $L$3, $L$5, $L$6)), "n/a", _xll.ciqfunctions.udf.CIQ($A36, "IQ_NET_WORKING_CAP", IQ_LTM, $L$2, $L$4, $L$3, $L$5, $L$6))</f>
        <v>(Invalid Identifier)</v>
      </c>
      <c r="AM36" s="542" t="str">
        <f>IF(ISERROR(_xll.ciqfunctions.udf.CIQ($A36, "IQ_Capex", IQ_LTM-8, $L$2,$L$4, $L$3, $L$5, $L$6)), "n/a", _xll.ciqfunctions.udf.CIQ($A36, "IQ_Capex", IQ_LTM-8, $L$2, $L$4, $L$3, $L$5, $L$6))</f>
        <v>(Invalid Identifier)</v>
      </c>
      <c r="AN36" s="542" t="str">
        <f>IF(ISERROR(_xll.ciqfunctions.udf.CIQ($A36, "IQ_Capex", IQ_LTM-4, $L$2,$L$4, $L$3, $L$5, $L$6)), "n/a", _xll.ciqfunctions.udf.CIQ($A36, "IQ_Capex", IQ_LTM-4, $L$2,$L$4, $L$3, $L$5, $L$6))</f>
        <v>(Invalid Identifier)</v>
      </c>
      <c r="AO36" s="542" t="str">
        <f>IF(ISERROR(_xll.ciqfunctions.udf.CIQ($A36, "IQ_Capex", IQ_LTM, $L$2, $L$4, $L$3, $L$5, $L$6)), "n/a", _xll.ciqfunctions.udf.CIQ($A36, "IQ_Capex", IQ_LTM, $L$2, $L$4, $L$3, $L$5, $L$6))</f>
        <v>(Invalid Identifier)</v>
      </c>
      <c r="AP36" s="544" t="str">
        <f>_xll.ciqfunctions.udf.CIQ(A36, "IQ_BUSINESS_DESCRIPTION")</f>
        <v>(Invalid Identifier)</v>
      </c>
      <c r="AQ36" s="545" t="str">
        <f>_xll.ciqfunctions.udf.CIQ($A36, "IQ_BETA_1YR", $B$1)</f>
        <v>(Invalid Identifier)</v>
      </c>
      <c r="AR36" s="545" t="str">
        <f>_xll.ciqfunctions.udf.CIQ($A36, "IQ_BETA_2YR", $B$1)</f>
        <v>(Invalid Identifier)</v>
      </c>
      <c r="AS36" s="545" t="str">
        <f>_xll.ciqfunctions.udf.CIQ($A36, "IQ_BETA_5YR", $B$1)</f>
        <v>(Invalid Identifier)</v>
      </c>
      <c r="AT36" s="543" t="e">
        <f>_xll.ciqfunctions.udf.CIQ($A36, "IQ_DIVIDEND_YIELD", $B$1)/100</f>
        <v>#VALUE!</v>
      </c>
      <c r="AU36" s="542" t="str">
        <f>_xll.ciqfunctions.udf.CIQ($A36, "IQ_EARNING_CO", IQ_LTM-8, $L$2, $L$4, $L$3, $L$5, $L$6)</f>
        <v>(Invalid Identifier)</v>
      </c>
      <c r="AV36" s="542" t="str">
        <f>_xll.ciqfunctions.udf.CIQ($A36, "IQ_EARNING_CO", IQ_LTM-4, $L$2, $L$4, $L$3, $L$5, $L$6)</f>
        <v>(Invalid Identifier)</v>
      </c>
      <c r="AW36" s="542" t="str">
        <f>_xll.ciqfunctions.udf.CIQ($A36, "IQ_EARNING_CO", IQ_LTM, $L$2, $L$4, $L$3, $L$5, $L$6)</f>
        <v>(Invalid Identifier)</v>
      </c>
      <c r="AX36" s="542" t="str">
        <f>_xll.ciqfunctions.udf.CIQ($A36, "IQ_EARNING_CO", $B$2, $L$2, $L$4, $L$3, $L$5, $L$6)</f>
        <v>(Invalid Identifier)</v>
      </c>
      <c r="AY36" s="542" t="str">
        <f>IF(_xll.ciqfunctions.udf.CIQ($A36, "IQ_EARNING_CO", $B$3, $L$2,$L$4, $L$3, $L$5, $L$6)=0,AW36,_xll.ciqfunctions.udf.CIQ($A36, "IQ_EARNING_CO", $B$3, $L$2,$L$4, $L$3, $L$5, $L$6))</f>
        <v>(Invalid Identifier)</v>
      </c>
      <c r="AZ36" s="542" t="str">
        <f>_xll.ciqfunctions.udf.CIQ($A36, "IQ_TOTAL_EQUITY", IQ_LTM-8, $L$2, $L$4, $L$3, $L$5, $L$6)</f>
        <v>(Invalid Identifier)</v>
      </c>
      <c r="BA36" s="542" t="str">
        <f>_xll.ciqfunctions.udf.CIQ($A36, "IQ_TOTAL_EQUITY", IQ_LTM-4, $L$2, $L$4, $L$3, $L$5, $L$6)</f>
        <v>(Invalid Identifier)</v>
      </c>
      <c r="BB36" s="542" t="str">
        <f>_xll.ciqfunctions.udf.CIQ($A36, "IQ_TOTAL_EQUITY", IQ_LTM, $L$2, $L$4, $L$3, $L$5, $L$6)</f>
        <v>(Invalid Identifier)</v>
      </c>
      <c r="BC36" s="542" t="str">
        <f>_xll.ciqfunctions.udf.CIQ($A36, "IQ_TOTAL_EQUITY", $B$2, $L$2, $L$4, $L$3, $L$5, $L$6)</f>
        <v>(Invalid Identifier)</v>
      </c>
      <c r="BD36" s="542" t="str">
        <f>IF(_xll.ciqfunctions.udf.CIQ($A36, "IQ_TOTAL_EQUITY", $B$3, $L$2,$L$4, $L$3, $L$5, $L$6)=0,BB36,_xll.ciqfunctions.udf.CIQ($A36, "IQ_TOTAL_EQUITY", $B$3, $L$2,$L$4, $L$3, $L$5, $L$6))</f>
        <v>(Invalid Identifier)</v>
      </c>
      <c r="BE36" s="542" t="str">
        <f>_xll.ciqfunctions.udf.CIQ(A36, "IQ_LASTSALEPRICE", $B$8)</f>
        <v>(Invalid Identifier)</v>
      </c>
      <c r="BF36" s="542" t="str">
        <f>_xll.ciqfunctions.udf.CIQ($A36, "IQ_MARKETCAP", $B$8, $L$5, $L$6)</f>
        <v>(Invalid Identifier)</v>
      </c>
      <c r="BG36" s="542" t="str">
        <f>_xll.ciqfunctions.udf.CIQ($A36, "IQ_TOTAL_DEBT", IQ_LTM, $B$8,$L$4, $L$3, $L$5, $L$6)</f>
        <v>(Invalid Identifier)</v>
      </c>
      <c r="BH36" s="492" t="str">
        <f>_xll.ciqfunctions.udf.CIQ($A36,"IQ_PREF_EQUITY",IQ_LTM,$B$8,$L$4,$L$3,$L$5,$L$6)</f>
        <v>(Invalid Identifier)</v>
      </c>
      <c r="BI36" s="492" t="str">
        <f>_xll.ciqfunctions.udf.CIQ($A36, "IQ_MINORITY_INTEREST_TOTAL", IQ_LTM,$B$8,$L$4,$L$3,$L$5,$L$6)</f>
        <v>(Invalid Identifier)</v>
      </c>
      <c r="BJ36" s="542" t="str">
        <f>_xll.ciqfunctions.udf.CIQ($A36, "IQ_CASH_ST_INVEST", IQ_LTM, $B$8, $L$4, $L$3, $L$5, $L$6)</f>
        <v>(Invalid Identifier)</v>
      </c>
      <c r="BK36" s="492" t="str">
        <f>_xll.ciqfunctions.udf.CIQ($A36, "IQ_EFFECT_TAX_RATE")</f>
        <v>(Invalid Identifier)</v>
      </c>
      <c r="BL36" s="492" t="e">
        <f>IF(_xll.ciqfunctions.udf.CIQ($A36, "IQ_TOTAL_REV_2YR_ANN_CAGR", IQ_LTM, $B$1,$L$4, $L$3, $L$5, $L$6)="NM","n/a",(_xll.ciqfunctions.udf.CIQ($A36, "IQ_TOTAL_REV_2YR_ANN_CAGR", IQ_LTM, $B$1,$L$4, $L$3, $L$5, $L$6)/100))</f>
        <v>#VALUE!</v>
      </c>
      <c r="BM36" s="492" t="e">
        <f>IF(_xll.ciqfunctions.udf.CIQ($A36, "IQ_TOTAL_REV_3YR_ANN_CAGR", IQ_LTM, $B$1,$L$4, $L$3, $L$5, $L$6)="NM","n/a",(_xll.ciqfunctions.udf.CIQ($A36, "IQ_TOTAL_REV_3YR_ANN_CAGR", IQ_LTM, $B$1,$L$4, $L$3, $L$5, $L$6)/100))</f>
        <v>#VALUE!</v>
      </c>
      <c r="BN36" s="492" t="e">
        <f>IF(_xll.ciqfunctions.udf.CIQ($A36, "IQ_TOTAL_REV_5YR_ANN_CAGR", IQ_LTM, $B$1,$L$4, $L$3, $L$5, $L$6)="NM","n/a",(_xll.ciqfunctions.udf.CIQ($A36, "IQ_TOTAL_REV_5YR_ANN_CAGR", IQ_LTM, $B$1,$L$4, $L$3, $L$5, $L$6)/100))</f>
        <v>#VALUE!</v>
      </c>
      <c r="BO36" s="492" t="e">
        <f>IF(_xll.ciqfunctions.udf.CIQ($A36,"IQ_EBITDA_2YR_ANN_CAGR", IQ_LTM,$B$1,$L$4, $L$3, $L$5, $L$6)="NM","n/a",(_xll.ciqfunctions.udf.CIQ($A36,"IQ_EBITDA_2YR_ANN_CAGR", IQ_LTM,$B$1,$L$4, $L$3, $L$5, $L$6)/100))</f>
        <v>#VALUE!</v>
      </c>
      <c r="BP36" s="492" t="e">
        <f>IF(_xll.ciqfunctions.udf.CIQ($A36,"IQ_EBITDA_3YR_ANN_CAGR", IQ_LTM,$B$1,$L$4, $L$3, $L$5, $L$6)="NM","n/a",(_xll.ciqfunctions.udf.CIQ($A36,"IQ_EBITDA_3YR_ANN_CAGR", IQ_LTM,$B$1,$L$4, $L$3, $L$5, $L$6)/100))</f>
        <v>#VALUE!</v>
      </c>
      <c r="BQ36" s="492" t="e">
        <f>IF(_xll.ciqfunctions.udf.CIQ($A36,"IQ_EBITDA_5YR_ANN_CAGR", IQ_LTM,$B$1,$L$4, $L$3, $L$5, $L$6)="NM","n/a",(_xll.ciqfunctions.udf.CIQ($A36,"IQ_EBITDA_5YR_ANN_CAGR", IQ_LTM,$B$1,$L$4, $L$3, $L$5, $L$6)/100))</f>
        <v>#VALUE!</v>
      </c>
      <c r="BR36" s="496" t="str">
        <f>IFERROR((_xll.ciqfunctions.udf.CIQ($A36, "IQ_DA_CF", IQ_LTM, $B$1, $L$4, $L$3, $L$5, $L$6)/Q36),"NM")</f>
        <v>NM</v>
      </c>
      <c r="BS36" s="546" t="e">
        <f>'Capital IQ Sheet-GPC'!BS36</f>
        <v>#VALUE!</v>
      </c>
      <c r="BT36" s="546" t="e">
        <f>'Capital IQ Sheet-GPC'!BT36</f>
        <v>#VALUE!</v>
      </c>
      <c r="BU36" s="546" t="e">
        <f>'Capital IQ Sheet-GPC'!BU36</f>
        <v>#VALUE!</v>
      </c>
      <c r="BV36" s="546" t="e">
        <f>'Capital IQ Sheet-GPC'!BV36</f>
        <v>#VALUE!</v>
      </c>
      <c r="BW36" s="546" t="e">
        <f>'Capital IQ Sheet-GPC'!BW36</f>
        <v>#VALUE!</v>
      </c>
      <c r="BX36" s="546" t="e">
        <f>'Capital IQ Sheet-GPC'!BX36</f>
        <v>#VALUE!</v>
      </c>
      <c r="BY36" s="546" t="e">
        <f>'Capital IQ Sheet-GPC'!BY36</f>
        <v>#VALUE!</v>
      </c>
      <c r="BZ36" s="546" t="e">
        <f>'Capital IQ Sheet-GPC'!BZ36</f>
        <v>#VALUE!</v>
      </c>
      <c r="CB36" s="492">
        <v>2</v>
      </c>
      <c r="CC36" s="632" t="s">
        <v>253</v>
      </c>
      <c r="CD36" s="632" t="s">
        <v>252</v>
      </c>
      <c r="CE36" s="494">
        <f t="shared" si="0"/>
        <v>42551</v>
      </c>
    </row>
    <row r="37" spans="1:83" s="492" customFormat="1" ht="12.75">
      <c r="A37" s="493" t="str">
        <f>_xll.ciqfunctions.udf.CIQ($B37,"IQ_COMPANY_TICKER")</f>
        <v>(Invalid Identifier)</v>
      </c>
      <c r="B37" s="541" t="str">
        <f>'Capital IQ Sheet-GPC'!B37</f>
        <v>(Invalid Identifier)</v>
      </c>
      <c r="C37" s="493" t="str">
        <f>_xll.ciqfunctions.udf.CIQ($A37,"IQ_COMPANY_NAME")</f>
        <v>(Invalid Identifier)</v>
      </c>
      <c r="D37" s="493" t="str">
        <f>_xll.ciqfunctions.udf.CIQ($A37, "IQ_EXCHANGE")</f>
        <v>(Invalid Identifier)</v>
      </c>
      <c r="E37" s="540" t="str">
        <f>_xll.ciqfunctions.udf.CIQ($A37, "IQ_PERIODDATE_IS", IQ_FY)</f>
        <v>(Invalid Identifier)</v>
      </c>
      <c r="F37" s="540" t="str">
        <f>_xll.ciqfunctions.udf.CIQ(A37, "IQ_PERIODDATE_IS", IQ_LTM, $B$1,$L$4,$L$3)</f>
        <v>(Invalid Identifier)</v>
      </c>
      <c r="G37" s="540" t="str">
        <f>_xll.ciqfunctions.udf.CIQ($A37, "IQ_FIRSTPRICINGDATE")</f>
        <v>(Invalid Identifier)</v>
      </c>
      <c r="H37" s="542" t="str">
        <f>_xll.ciqfunctions.udf.CIQ($A37, "IQ_TEV", $L$2, $L$5, $L$6)</f>
        <v>(Invalid Identifier)</v>
      </c>
      <c r="I37" s="542" t="str">
        <f>_xll.ciqfunctions.udf.CIQ(A37, "IQ_LASTSALEPRICE", $B$1,$L$5)</f>
        <v>(Invalid Identifier)</v>
      </c>
      <c r="J37" s="542" t="str">
        <f>_xll.ciqfunctions.udf.CIQ($A37, "IQ_MARKETCAP", $L$2, $L$5, $L$6)</f>
        <v>(Invalid Identifier)</v>
      </c>
      <c r="K37" s="542" t="str">
        <f>_xll.ciqfunctions.udf.CIQ($A37, "IQ_TOTAL_DEBT", IQ_LTM, $L$2,$L$4, $L$3, $L$5, $L$6)</f>
        <v>(Invalid Identifier)</v>
      </c>
      <c r="L37" s="542" t="str">
        <f>_xll.ciqfunctions.udf.CIQ($A37, "IQ_PREF_EQUITY", IQ_LTM, $L$2, $L$4, $L$3, $L$5, $L$6)</f>
        <v>(Invalid Identifier)</v>
      </c>
      <c r="M37" s="542" t="str">
        <f>_xll.ciqfunctions.udf.CIQ($A37, "IQ_MINORITY_INTEREST_TOTAL", IQ_LTM, $L$2, $L$4, $L$3, $L$5, $L$6)</f>
        <v>(Invalid Identifier)</v>
      </c>
      <c r="N37" s="542" t="str">
        <f>_xll.ciqfunctions.udf.CIQ($A37, "IQ_CASH_ST_INVEST", IQ_LTM, $L$2, $L$4, $L$3, $L$5, $L$6)</f>
        <v>(Invalid Identifier)</v>
      </c>
      <c r="O37" s="542" t="str">
        <f>_xll.ciqfunctions.udf.CIQ($A37, "IQ_TOTAL_REV", IQ_LTM-8, $L$2, $L$4, $L$3, $L$5, $L$6)</f>
        <v>(Invalid Identifier)</v>
      </c>
      <c r="P37" s="542" t="str">
        <f>_xll.ciqfunctions.udf.CIQ($A37, "IQ_TOTAL_REV", IQ_LTM - 4, $L$2, $L$4, $L$3, $L$5,$L$6)</f>
        <v>(Invalid Identifier)</v>
      </c>
      <c r="Q37" s="542" t="str">
        <f>_xll.ciqfunctions.udf.CIQ($A37, "IQ_TOTAL_REV", IQ_LTM, $L$2, $L$4, $L$3, $L$5, $L$6)</f>
        <v>(Invalid Identifier)</v>
      </c>
      <c r="R37" s="542" t="str">
        <f>_xll.ciqfunctions.udf.CIQ($A37, "IQ_TOTAL_REV", $B$2, $L$2, $L$4, $L$3, $L$5, $L$6)</f>
        <v>(Invalid Identifier)</v>
      </c>
      <c r="S37" s="542" t="str">
        <f>IF(_xll.ciqfunctions.udf.CIQ($A37, "IQ_TOTAL_REV", $B$3, $L$2,$L$4, $L$3, $L$5, $L$6)=0,Q37,_xll.ciqfunctions.udf.CIQ($A37, "IQ_TOTAL_REV", $B$3, $L$2,$L$4, $L$3, $L$5, $L$6))</f>
        <v>(Invalid Identifier)</v>
      </c>
      <c r="T37" s="542" t="str">
        <f>IF(_xll.ciqfunctions.udf.CIQ($A37, "IQ_REVENUE_EST",$B$4, $L$2, "CON", $L$3, $L$5, $L$6)=0,"n/a",_xll.ciqfunctions.udf.CIQ($A37, "IQ_REVENUE_EST",$B$4, $L$2, "CON", $L$3, $L$5, $L$6))</f>
        <v>(Invalid Identifier)</v>
      </c>
      <c r="U37" s="542" t="str">
        <f>IF(_xll.ciqfunctions.udf.CIQ($A37, "IQ_REVENUE_EST",$B$5, $L$2, "CON", $L$3, $L$5, $L$6)=0,"n/a",_xll.ciqfunctions.udf.CIQ($A37, "IQ_REVENUE_EST",$B$5, $L$2, "CON", $L$3, $L$5, $L$6))</f>
        <v>(Invalid Identifier)</v>
      </c>
      <c r="V37" s="542" t="str">
        <f>IF(_xll.ciqfunctions.udf.CIQ($A37, "IQ_REVENUE_EST",$B$6, $L$2, "CON", $L$3, $L$5, $L$6)=0,"n/a",_xll.ciqfunctions.udf.CIQ($A37, "IQ_REVENUE_EST",$B$6, $L$2, "CON", $L$3, $L$5, $L$6))</f>
        <v>(Invalid Identifier)</v>
      </c>
      <c r="W37" s="542" t="str">
        <f>IF(_xll.ciqfunctions.udf.CIQ($A37, "IQ_REVENUE_EST", $B$7, $L$2, "CON", $L$3, $L$5, $L$6)=0,"n/a",_xll.ciqfunctions.udf.CIQ($A37, "IQ_REVENUE_EST",$B$7, $L$2, "CON", $L$3, $L$5, $L$6))</f>
        <v>(Invalid Identifier)</v>
      </c>
      <c r="X37" s="542" t="str">
        <f>_xll.ciqfunctions.udf.CIQ($A37, "IQ_EBITDA", IQ_LTM-8, $L$2, $L$4, $L$3, $L$5, $L$6)</f>
        <v>(Invalid Identifier)</v>
      </c>
      <c r="Y37" s="542" t="str">
        <f>_xll.ciqfunctions.udf.CIQ($A37, "IQ_EBITDA", IQ_LTM-4, $L$2,$L$4, $L$3, $L$5, $L$6)</f>
        <v>(Invalid Identifier)</v>
      </c>
      <c r="Z37" s="542" t="str">
        <f>_xll.ciqfunctions.udf.CIQ($A37, "IQ_EBITDA", IQ_LTM, $L$2, $L$4, $L$3, $L$5, $L$6)</f>
        <v>(Invalid Identifier)</v>
      </c>
      <c r="AA37" s="542" t="str">
        <f>_xll.ciqfunctions.udf.CIQ($A37, "IQ_EBITDA", $B$2, $L$2, $L$4, $L$3, $L$5, $L$6)</f>
        <v>(Invalid Identifier)</v>
      </c>
      <c r="AB37" s="542" t="str">
        <f>IF(_xll.ciqfunctions.udf.CIQ($A37, "IQ_EBITDA", $B$3, $L$2,$L$4, $L$3, $L$5, $L$6)=0,Z37,_xll.ciqfunctions.udf.CIQ($A37, "IQ_EBITDA", $B$3, $L$2,$L$4, $L$3, $L$5, $L$6))</f>
        <v>(Invalid Identifier)</v>
      </c>
      <c r="AC37" s="542" t="str">
        <f>IF(_xll.ciqfunctions.udf.CIQ($A37, "IQ_EBITDA_EST",$B$4, $L$2, "CON", $L$3, $L$5, $L$6)=0,"n/a",_xll.ciqfunctions.udf.CIQ($A37, "IQ_EBITDA_EST",$B$4, $L$2, "CON", $L$3, $L$5, $L$6))</f>
        <v>(Invalid Identifier)</v>
      </c>
      <c r="AD37" s="542" t="str">
        <f>IF(_xll.ciqfunctions.udf.CIQ($A37, "IQ_EBITDA_EST",$B$5, $L$2, "CON", $L$3, $L$5, $L$6)=0,"n/a",_xll.ciqfunctions.udf.CIQ($A37, "IQ_EBITDA_EST",$B$5, $L$2, "CON", $L$3, $L$5, $L$6))</f>
        <v>(Invalid Identifier)</v>
      </c>
      <c r="AE37" s="542" t="str">
        <f>IF(_xll.ciqfunctions.udf.CIQ($A37, "IQ_EBITDA_EST",$B$6, $L$2, "CON", $L$3, $L$5, $L$6)=0,"n/a",_xll.ciqfunctions.udf.CIQ($A37, "IQ_EBITDA_EST",$B$6, $L$2, "CON", $L$3, $L$5, $L$6))</f>
        <v>(Invalid Identifier)</v>
      </c>
      <c r="AF37" s="543" t="str">
        <f>IF(ISERROR(_xll.ciqfunctions.udf.CIQ($A37, "IQ_GROSS_MARGIN", IQ_LTM, $L$2,$L$4, $L$3, $L$5, $L$6)/100), "n/a", _xll.ciqfunctions.udf.CIQ($A37,  "IQ_GROSS_MARGIN", IQ_LTM, $L$2, $L$4, $L$3, $L$5, $L$6)/100)</f>
        <v>n/a</v>
      </c>
      <c r="AG37" s="543" t="str">
        <f>IF(ISERROR(_xll.ciqfunctions.udf.CIQ($A37,"IQ_EBITDA_MARGIN", IQ_LTM, $L$2, $L$4, $L$3, $L$5, $L$6)/100), "n/a", _xll.ciqfunctions.udf.CIQ($A37, "IQ_EBITDA_MARGIN", IQ_LTM, $L$2, $L$4, $L$3, $L$5, $L$6)/100)</f>
        <v>n/a</v>
      </c>
      <c r="AH37" s="543" t="str">
        <f>IF(ISERROR(_xll.ciqfunctions.udf.CIQ($A37,"IQ_EBIT_MARGIN", IQ_LTM, $L$2, $L$4, $L$3, $L$5, $L$6)/100), "n/a", _xll.ciqfunctions.udf.CIQ($A37, "IQ_EBIT_MARGIN", IQ_LTM, $L$2, $L$4, $L$3, $L$5, $L$6)/100)</f>
        <v>n/a</v>
      </c>
      <c r="AI37" s="543" t="str">
        <f>IF(ISERROR(_xll.ciqfunctions.udf.CIQ($A37,"IQ_NI_MARGIN", IQ_LTM, $L$2, $L$4, $L$3, $L$5, $L$6)/100), "n/a", _xll.ciqfunctions.udf.CIQ($A37, "IQ_NI_MARGIN", IQ_LTM, $L$2, $L$4, $L$3, $L$5, $L$6)/100)</f>
        <v>n/a</v>
      </c>
      <c r="AJ37" s="542" t="str">
        <f>IF(ISERROR(_xll.ciqfunctions.udf.CIQ($A37, "IQ_NET_WORKING_CAP", IQ_LTM-8, $L$2, $L$4, $L$3, $L$5, $L$6)), "n/a", _xll.ciqfunctions.udf.CIQ($A37, "IQ_NET_WORKING_CAP", IQ_LTM-8, $L$2, $L$4, $L$3, $L$5, $L$6))</f>
        <v>(Invalid Identifier)</v>
      </c>
      <c r="AK37" s="542" t="str">
        <f>IF(ISERROR(_xll.ciqfunctions.udf.CIQ($A37, "IQ_NET_WORKING_CAP", IQ_LTM-4, $L$2, $L$4, $L$3, $L$5, $L$6)), "n/a", _xll.ciqfunctions.udf.CIQ($A37, "IQ_NET_WORKING_CAP", IQ_LTM-4, $L$2, $L$4, $L$3, $L$5, $L$6))</f>
        <v>(Invalid Identifier)</v>
      </c>
      <c r="AL37" s="542" t="str">
        <f>IF(ISERROR(_xll.ciqfunctions.udf.CIQ($A37, "IQ_NET_WORKING_CAP", IQ_LTM, $L$2,$L$4, $L$3, $L$5, $L$6)), "n/a", _xll.ciqfunctions.udf.CIQ($A37, "IQ_NET_WORKING_CAP", IQ_LTM, $L$2, $L$4, $L$3, $L$5, $L$6))</f>
        <v>(Invalid Identifier)</v>
      </c>
      <c r="AM37" s="542" t="str">
        <f>IF(ISERROR(_xll.ciqfunctions.udf.CIQ($A37, "IQ_Capex", IQ_LTM-8, $L$2,$L$4, $L$3, $L$5, $L$6)), "n/a", _xll.ciqfunctions.udf.CIQ($A37, "IQ_Capex", IQ_LTM-8, $L$2, $L$4, $L$3, $L$5, $L$6))</f>
        <v>(Invalid Identifier)</v>
      </c>
      <c r="AN37" s="542" t="str">
        <f>IF(ISERROR(_xll.ciqfunctions.udf.CIQ($A37, "IQ_Capex", IQ_LTM-4, $L$2,$L$4, $L$3, $L$5, $L$6)), "n/a", _xll.ciqfunctions.udf.CIQ($A37, "IQ_Capex", IQ_LTM-4, $L$2,$L$4, $L$3, $L$5, $L$6))</f>
        <v>(Invalid Identifier)</v>
      </c>
      <c r="AO37" s="542" t="str">
        <f>IF(ISERROR(_xll.ciqfunctions.udf.CIQ($A37, "IQ_Capex", IQ_LTM, $L$2, $L$4, $L$3, $L$5, $L$6)), "n/a", _xll.ciqfunctions.udf.CIQ($A37, "IQ_Capex", IQ_LTM, $L$2, $L$4, $L$3, $L$5, $L$6))</f>
        <v>(Invalid Identifier)</v>
      </c>
      <c r="AP37" s="544" t="str">
        <f>_xll.ciqfunctions.udf.CIQ(A37, "IQ_BUSINESS_DESCRIPTION")</f>
        <v>(Invalid Identifier)</v>
      </c>
      <c r="AQ37" s="545" t="str">
        <f>_xll.ciqfunctions.udf.CIQ($A37, "IQ_BETA_1YR", $B$1)</f>
        <v>(Invalid Identifier)</v>
      </c>
      <c r="AR37" s="545" t="str">
        <f>_xll.ciqfunctions.udf.CIQ($A37, "IQ_BETA_2YR", $B$1)</f>
        <v>(Invalid Identifier)</v>
      </c>
      <c r="AS37" s="545" t="str">
        <f>_xll.ciqfunctions.udf.CIQ($A37, "IQ_BETA_5YR", $B$1)</f>
        <v>(Invalid Identifier)</v>
      </c>
      <c r="AT37" s="543" t="e">
        <f>_xll.ciqfunctions.udf.CIQ($A37, "IQ_DIVIDEND_YIELD", $B$1)/100</f>
        <v>#VALUE!</v>
      </c>
      <c r="AU37" s="542" t="str">
        <f>_xll.ciqfunctions.udf.CIQ($A37, "IQ_EARNING_CO", IQ_LTM-8, $L$2, $L$4, $L$3, $L$5, $L$6)</f>
        <v>(Invalid Identifier)</v>
      </c>
      <c r="AV37" s="542" t="str">
        <f>_xll.ciqfunctions.udf.CIQ($A37, "IQ_EARNING_CO", IQ_LTM-4, $L$2, $L$4, $L$3, $L$5, $L$6)</f>
        <v>(Invalid Identifier)</v>
      </c>
      <c r="AW37" s="542" t="str">
        <f>_xll.ciqfunctions.udf.CIQ($A37, "IQ_EARNING_CO", IQ_LTM, $L$2, $L$4, $L$3, $L$5, $L$6)</f>
        <v>(Invalid Identifier)</v>
      </c>
      <c r="AX37" s="542" t="str">
        <f>_xll.ciqfunctions.udf.CIQ($A37, "IQ_EARNING_CO", $B$2, $L$2, $L$4, $L$3, $L$5, $L$6)</f>
        <v>(Invalid Identifier)</v>
      </c>
      <c r="AY37" s="542" t="str">
        <f>IF(_xll.ciqfunctions.udf.CIQ($A37, "IQ_EARNING_CO", $B$3, $L$2,$L$4, $L$3, $L$5, $L$6)=0,AW37,_xll.ciqfunctions.udf.CIQ($A37, "IQ_EARNING_CO", $B$3, $L$2,$L$4, $L$3, $L$5, $L$6))</f>
        <v>(Invalid Identifier)</v>
      </c>
      <c r="AZ37" s="542" t="str">
        <f>_xll.ciqfunctions.udf.CIQ($A37, "IQ_TOTAL_EQUITY", IQ_LTM-8, $L$2, $L$4, $L$3, $L$5, $L$6)</f>
        <v>(Invalid Identifier)</v>
      </c>
      <c r="BA37" s="542" t="str">
        <f>_xll.ciqfunctions.udf.CIQ($A37, "IQ_TOTAL_EQUITY", IQ_LTM-4, $L$2, $L$4, $L$3, $L$5, $L$6)</f>
        <v>(Invalid Identifier)</v>
      </c>
      <c r="BB37" s="542" t="str">
        <f>_xll.ciqfunctions.udf.CIQ($A37, "IQ_TOTAL_EQUITY", IQ_LTM, $L$2, $L$4, $L$3, $L$5, $L$6)</f>
        <v>(Invalid Identifier)</v>
      </c>
      <c r="BC37" s="542" t="str">
        <f>_xll.ciqfunctions.udf.CIQ($A37, "IQ_TOTAL_EQUITY", $B$2, $L$2, $L$4, $L$3, $L$5, $L$6)</f>
        <v>(Invalid Identifier)</v>
      </c>
      <c r="BD37" s="542" t="str">
        <f>IF(_xll.ciqfunctions.udf.CIQ($A37, "IQ_TOTAL_EQUITY", $B$3, $L$2,$L$4, $L$3, $L$5, $L$6)=0,BB37,_xll.ciqfunctions.udf.CIQ($A37, "IQ_TOTAL_EQUITY", $B$3, $L$2,$L$4, $L$3, $L$5, $L$6))</f>
        <v>(Invalid Identifier)</v>
      </c>
      <c r="BE37" s="542" t="str">
        <f>_xll.ciqfunctions.udf.CIQ(A37, "IQ_LASTSALEPRICE", $B$8)</f>
        <v>(Invalid Identifier)</v>
      </c>
      <c r="BF37" s="542" t="str">
        <f>_xll.ciqfunctions.udf.CIQ($A37, "IQ_MARKETCAP", $B$8, $L$5, $L$6)</f>
        <v>(Invalid Identifier)</v>
      </c>
      <c r="BG37" s="542" t="str">
        <f>_xll.ciqfunctions.udf.CIQ($A37, "IQ_TOTAL_DEBT", IQ_LTM, $B$8,$L$4, $L$3, $L$5, $L$6)</f>
        <v>(Invalid Identifier)</v>
      </c>
      <c r="BH37" s="492" t="str">
        <f>_xll.ciqfunctions.udf.CIQ($A37,"IQ_PREF_EQUITY",IQ_LTM,$B$8,$L$4,$L$3,$L$5,$L$6)</f>
        <v>(Invalid Identifier)</v>
      </c>
      <c r="BI37" s="492" t="str">
        <f>_xll.ciqfunctions.udf.CIQ($A37, "IQ_MINORITY_INTEREST_TOTAL", IQ_LTM,$B$8,$L$4,$L$3,$L$5,$L$6)</f>
        <v>(Invalid Identifier)</v>
      </c>
      <c r="BJ37" s="542" t="str">
        <f>_xll.ciqfunctions.udf.CIQ($A37, "IQ_CASH_ST_INVEST", IQ_LTM, $B$8, $L$4, $L$3, $L$5, $L$6)</f>
        <v>(Invalid Identifier)</v>
      </c>
      <c r="BK37" s="492" t="str">
        <f>_xll.ciqfunctions.udf.CIQ($A37, "IQ_EFFECT_TAX_RATE")</f>
        <v>(Invalid Identifier)</v>
      </c>
      <c r="BL37" s="492" t="e">
        <f>IF(_xll.ciqfunctions.udf.CIQ($A37, "IQ_TOTAL_REV_2YR_ANN_CAGR", IQ_LTM, $B$1,$L$4, $L$3, $L$5, $L$6)="NM","n/a",(_xll.ciqfunctions.udf.CIQ($A37, "IQ_TOTAL_REV_2YR_ANN_CAGR", IQ_LTM, $B$1,$L$4, $L$3, $L$5, $L$6)/100))</f>
        <v>#VALUE!</v>
      </c>
      <c r="BM37" s="492" t="e">
        <f>IF(_xll.ciqfunctions.udf.CIQ($A37, "IQ_TOTAL_REV_3YR_ANN_CAGR", IQ_LTM, $B$1,$L$4, $L$3, $L$5, $L$6)="NM","n/a",(_xll.ciqfunctions.udf.CIQ($A37, "IQ_TOTAL_REV_3YR_ANN_CAGR", IQ_LTM, $B$1,$L$4, $L$3, $L$5, $L$6)/100))</f>
        <v>#VALUE!</v>
      </c>
      <c r="BN37" s="492" t="e">
        <f>IF(_xll.ciqfunctions.udf.CIQ($A37, "IQ_TOTAL_REV_5YR_ANN_CAGR", IQ_LTM, $B$1,$L$4, $L$3, $L$5, $L$6)="NM","n/a",(_xll.ciqfunctions.udf.CIQ($A37, "IQ_TOTAL_REV_5YR_ANN_CAGR", IQ_LTM, $B$1,$L$4, $L$3, $L$5, $L$6)/100))</f>
        <v>#VALUE!</v>
      </c>
      <c r="BO37" s="492" t="e">
        <f>IF(_xll.ciqfunctions.udf.CIQ($A37,"IQ_EBITDA_2YR_ANN_CAGR", IQ_LTM,$B$1,$L$4, $L$3, $L$5, $L$6)="NM","n/a",(_xll.ciqfunctions.udf.CIQ($A37,"IQ_EBITDA_2YR_ANN_CAGR", IQ_LTM,$B$1,$L$4, $L$3, $L$5, $L$6)/100))</f>
        <v>#VALUE!</v>
      </c>
      <c r="BP37" s="492" t="e">
        <f>IF(_xll.ciqfunctions.udf.CIQ($A37,"IQ_EBITDA_3YR_ANN_CAGR", IQ_LTM,$B$1,$L$4, $L$3, $L$5, $L$6)="NM","n/a",(_xll.ciqfunctions.udf.CIQ($A37,"IQ_EBITDA_3YR_ANN_CAGR", IQ_LTM,$B$1,$L$4, $L$3, $L$5, $L$6)/100))</f>
        <v>#VALUE!</v>
      </c>
      <c r="BQ37" s="492" t="e">
        <f>IF(_xll.ciqfunctions.udf.CIQ($A37,"IQ_EBITDA_5YR_ANN_CAGR", IQ_LTM,$B$1,$L$4, $L$3, $L$5, $L$6)="NM","n/a",(_xll.ciqfunctions.udf.CIQ($A37,"IQ_EBITDA_5YR_ANN_CAGR", IQ_LTM,$B$1,$L$4, $L$3, $L$5, $L$6)/100))</f>
        <v>#VALUE!</v>
      </c>
      <c r="BR37" s="496" t="str">
        <f>IFERROR((_xll.ciqfunctions.udf.CIQ($A37, "IQ_DA_CF", IQ_LTM, $B$1, $L$4, $L$3, $L$5, $L$6)/Q37),"NM")</f>
        <v>NM</v>
      </c>
      <c r="BS37" s="546" t="e">
        <f>'Capital IQ Sheet-GPC'!BS37</f>
        <v>#VALUE!</v>
      </c>
      <c r="BT37" s="546" t="e">
        <f>'Capital IQ Sheet-GPC'!BT37</f>
        <v>#VALUE!</v>
      </c>
      <c r="BU37" s="546" t="e">
        <f>'Capital IQ Sheet-GPC'!BU37</f>
        <v>#VALUE!</v>
      </c>
      <c r="BV37" s="546" t="e">
        <f>'Capital IQ Sheet-GPC'!BV37</f>
        <v>#VALUE!</v>
      </c>
      <c r="BW37" s="546" t="e">
        <f>'Capital IQ Sheet-GPC'!BW37</f>
        <v>#VALUE!</v>
      </c>
      <c r="BX37" s="546" t="e">
        <f>'Capital IQ Sheet-GPC'!BX37</f>
        <v>#VALUE!</v>
      </c>
      <c r="BY37" s="546" t="e">
        <f>'Capital IQ Sheet-GPC'!BY37</f>
        <v>#VALUE!</v>
      </c>
      <c r="BZ37" s="546" t="e">
        <f>'Capital IQ Sheet-GPC'!BZ37</f>
        <v>#VALUE!</v>
      </c>
      <c r="CB37" s="492">
        <v>2</v>
      </c>
      <c r="CC37" s="632" t="s">
        <v>253</v>
      </c>
      <c r="CD37" s="632" t="s">
        <v>252</v>
      </c>
      <c r="CE37" s="494">
        <f t="shared" si="0"/>
        <v>42551</v>
      </c>
    </row>
    <row r="38" spans="1:83" s="492" customFormat="1" ht="12.75">
      <c r="A38" s="493" t="str">
        <f>_xll.ciqfunctions.udf.CIQ($B38,"IQ_COMPANY_TICKER")</f>
        <v>(Invalid Identifier)</v>
      </c>
      <c r="B38" s="541" t="str">
        <f>'Capital IQ Sheet-GPC'!B38</f>
        <v>(Invalid Identifier)</v>
      </c>
      <c r="C38" s="493" t="str">
        <f>_xll.ciqfunctions.udf.CIQ($A38,"IQ_COMPANY_NAME")</f>
        <v>(Invalid Identifier)</v>
      </c>
      <c r="D38" s="493" t="str">
        <f>_xll.ciqfunctions.udf.CIQ($A38, "IQ_EXCHANGE")</f>
        <v>(Invalid Identifier)</v>
      </c>
      <c r="E38" s="540" t="str">
        <f>_xll.ciqfunctions.udf.CIQ($A38, "IQ_PERIODDATE_IS", IQ_FY)</f>
        <v>(Invalid Identifier)</v>
      </c>
      <c r="F38" s="540" t="str">
        <f>_xll.ciqfunctions.udf.CIQ(A38, "IQ_PERIODDATE_IS", IQ_LTM, $B$1,$L$4,$L$3)</f>
        <v>(Invalid Identifier)</v>
      </c>
      <c r="G38" s="540" t="str">
        <f>_xll.ciqfunctions.udf.CIQ($A38, "IQ_FIRSTPRICINGDATE")</f>
        <v>(Invalid Identifier)</v>
      </c>
      <c r="H38" s="542" t="str">
        <f>_xll.ciqfunctions.udf.CIQ($A38, "IQ_TEV", $L$2, $L$5, $L$6)</f>
        <v>(Invalid Identifier)</v>
      </c>
      <c r="I38" s="542" t="str">
        <f>_xll.ciqfunctions.udf.CIQ(A38, "IQ_LASTSALEPRICE", $B$1,$L$5)</f>
        <v>(Invalid Identifier)</v>
      </c>
      <c r="J38" s="542" t="str">
        <f>_xll.ciqfunctions.udf.CIQ($A38, "IQ_MARKETCAP", $L$2, $L$5, $L$6)</f>
        <v>(Invalid Identifier)</v>
      </c>
      <c r="K38" s="542" t="str">
        <f>_xll.ciqfunctions.udf.CIQ($A38, "IQ_TOTAL_DEBT", IQ_LTM, $L$2,$L$4, $L$3, $L$5, $L$6)</f>
        <v>(Invalid Identifier)</v>
      </c>
      <c r="L38" s="542" t="str">
        <f>_xll.ciqfunctions.udf.CIQ($A38, "IQ_PREF_EQUITY", IQ_LTM, $L$2, $L$4, $L$3, $L$5, $L$6)</f>
        <v>(Invalid Identifier)</v>
      </c>
      <c r="M38" s="542" t="str">
        <f>_xll.ciqfunctions.udf.CIQ($A38, "IQ_MINORITY_INTEREST_TOTAL", IQ_LTM, $L$2, $L$4, $L$3, $L$5, $L$6)</f>
        <v>(Invalid Identifier)</v>
      </c>
      <c r="N38" s="542" t="str">
        <f>_xll.ciqfunctions.udf.CIQ($A38, "IQ_CASH_ST_INVEST", IQ_LTM, $L$2, $L$4, $L$3, $L$5, $L$6)</f>
        <v>(Invalid Identifier)</v>
      </c>
      <c r="O38" s="542" t="str">
        <f>_xll.ciqfunctions.udf.CIQ($A38, "IQ_TOTAL_REV", IQ_LTM-8, $L$2, $L$4, $L$3, $L$5, $L$6)</f>
        <v>(Invalid Identifier)</v>
      </c>
      <c r="P38" s="542" t="str">
        <f>_xll.ciqfunctions.udf.CIQ($A38, "IQ_TOTAL_REV", IQ_LTM - 4, $L$2, $L$4, $L$3, $L$5,$L$6)</f>
        <v>(Invalid Identifier)</v>
      </c>
      <c r="Q38" s="542" t="str">
        <f>_xll.ciqfunctions.udf.CIQ($A38, "IQ_TOTAL_REV", IQ_LTM, $L$2, $L$4, $L$3, $L$5, $L$6)</f>
        <v>(Invalid Identifier)</v>
      </c>
      <c r="R38" s="542" t="str">
        <f>_xll.ciqfunctions.udf.CIQ($A38, "IQ_TOTAL_REV", $B$2, $L$2, $L$4, $L$3, $L$5, $L$6)</f>
        <v>(Invalid Identifier)</v>
      </c>
      <c r="S38" s="542" t="str">
        <f>IF(_xll.ciqfunctions.udf.CIQ($A38, "IQ_TOTAL_REV", $B$3, $L$2,$L$4, $L$3, $L$5, $L$6)=0,Q38,_xll.ciqfunctions.udf.CIQ($A38, "IQ_TOTAL_REV", $B$3, $L$2,$L$4, $L$3, $L$5, $L$6))</f>
        <v>(Invalid Identifier)</v>
      </c>
      <c r="T38" s="542" t="str">
        <f>IF(_xll.ciqfunctions.udf.CIQ($A38, "IQ_REVENUE_EST",$B$4, $L$2, "CON", $L$3, $L$5, $L$6)=0,"n/a",_xll.ciqfunctions.udf.CIQ($A38, "IQ_REVENUE_EST",$B$4, $L$2, "CON", $L$3, $L$5, $L$6))</f>
        <v>(Invalid Identifier)</v>
      </c>
      <c r="U38" s="542" t="str">
        <f>IF(_xll.ciqfunctions.udf.CIQ($A38, "IQ_REVENUE_EST",$B$5, $L$2, "CON", $L$3, $L$5, $L$6)=0,"n/a",_xll.ciqfunctions.udf.CIQ($A38, "IQ_REVENUE_EST",$B$5, $L$2, "CON", $L$3, $L$5, $L$6))</f>
        <v>(Invalid Identifier)</v>
      </c>
      <c r="V38" s="542" t="str">
        <f>IF(_xll.ciqfunctions.udf.CIQ($A38, "IQ_REVENUE_EST",$B$6, $L$2, "CON", $L$3, $L$5, $L$6)=0,"n/a",_xll.ciqfunctions.udf.CIQ($A38, "IQ_REVENUE_EST",$B$6, $L$2, "CON", $L$3, $L$5, $L$6))</f>
        <v>(Invalid Identifier)</v>
      </c>
      <c r="W38" s="542" t="str">
        <f>IF(_xll.ciqfunctions.udf.CIQ($A38, "IQ_REVENUE_EST", $B$7, $L$2, "CON", $L$3, $L$5, $L$6)=0,"n/a",_xll.ciqfunctions.udf.CIQ($A38, "IQ_REVENUE_EST",$B$7, $L$2, "CON", $L$3, $L$5, $L$6))</f>
        <v>(Invalid Identifier)</v>
      </c>
      <c r="X38" s="542" t="str">
        <f>_xll.ciqfunctions.udf.CIQ($A38, "IQ_EBITDA", IQ_LTM-8, $L$2, $L$4, $L$3, $L$5, $L$6)</f>
        <v>(Invalid Identifier)</v>
      </c>
      <c r="Y38" s="542" t="str">
        <f>_xll.ciqfunctions.udf.CIQ($A38, "IQ_EBITDA", IQ_LTM-4, $L$2,$L$4, $L$3, $L$5, $L$6)</f>
        <v>(Invalid Identifier)</v>
      </c>
      <c r="Z38" s="542" t="str">
        <f>_xll.ciqfunctions.udf.CIQ($A38, "IQ_EBITDA", IQ_LTM, $L$2, $L$4, $L$3, $L$5, $L$6)</f>
        <v>(Invalid Identifier)</v>
      </c>
      <c r="AA38" s="542" t="str">
        <f>_xll.ciqfunctions.udf.CIQ($A38, "IQ_EBITDA", $B$2, $L$2, $L$4, $L$3, $L$5, $L$6)</f>
        <v>(Invalid Identifier)</v>
      </c>
      <c r="AB38" s="542" t="str">
        <f>IF(_xll.ciqfunctions.udf.CIQ($A38, "IQ_EBITDA", $B$3, $L$2,$L$4, $L$3, $L$5, $L$6)=0,Z38,_xll.ciqfunctions.udf.CIQ($A38, "IQ_EBITDA", $B$3, $L$2,$L$4, $L$3, $L$5, $L$6))</f>
        <v>(Invalid Identifier)</v>
      </c>
      <c r="AC38" s="542" t="str">
        <f>IF(_xll.ciqfunctions.udf.CIQ($A38, "IQ_EBITDA_EST",$B$4, $L$2, "CON", $L$3, $L$5, $L$6)=0,"n/a",_xll.ciqfunctions.udf.CIQ($A38, "IQ_EBITDA_EST",$B$4, $L$2, "CON", $L$3, $L$5, $L$6))</f>
        <v>(Invalid Identifier)</v>
      </c>
      <c r="AD38" s="542" t="str">
        <f>IF(_xll.ciqfunctions.udf.CIQ($A38, "IQ_EBITDA_EST",$B$5, $L$2, "CON", $L$3, $L$5, $L$6)=0,"n/a",_xll.ciqfunctions.udf.CIQ($A38, "IQ_EBITDA_EST",$B$5, $L$2, "CON", $L$3, $L$5, $L$6))</f>
        <v>(Invalid Identifier)</v>
      </c>
      <c r="AE38" s="542" t="str">
        <f>IF(_xll.ciqfunctions.udf.CIQ($A38, "IQ_EBITDA_EST",$B$6, $L$2, "CON", $L$3, $L$5, $L$6)=0,"n/a",_xll.ciqfunctions.udf.CIQ($A38, "IQ_EBITDA_EST",$B$6, $L$2, "CON", $L$3, $L$5, $L$6))</f>
        <v>(Invalid Identifier)</v>
      </c>
      <c r="AF38" s="543" t="str">
        <f>IF(ISERROR(_xll.ciqfunctions.udf.CIQ($A38, "IQ_GROSS_MARGIN", IQ_LTM, $L$2,$L$4, $L$3, $L$5, $L$6)/100), "n/a", _xll.ciqfunctions.udf.CIQ($A38,  "IQ_GROSS_MARGIN", IQ_LTM, $L$2, $L$4, $L$3, $L$5, $L$6)/100)</f>
        <v>n/a</v>
      </c>
      <c r="AG38" s="543" t="str">
        <f>IF(ISERROR(_xll.ciqfunctions.udf.CIQ($A38,"IQ_EBITDA_MARGIN", IQ_LTM, $L$2, $L$4, $L$3, $L$5, $L$6)/100), "n/a", _xll.ciqfunctions.udf.CIQ($A38, "IQ_EBITDA_MARGIN", IQ_LTM, $L$2, $L$4, $L$3, $L$5, $L$6)/100)</f>
        <v>n/a</v>
      </c>
      <c r="AH38" s="543" t="str">
        <f>IF(ISERROR(_xll.ciqfunctions.udf.CIQ($A38,"IQ_EBIT_MARGIN", IQ_LTM, $L$2, $L$4, $L$3, $L$5, $L$6)/100), "n/a", _xll.ciqfunctions.udf.CIQ($A38, "IQ_EBIT_MARGIN", IQ_LTM, $L$2, $L$4, $L$3, $L$5, $L$6)/100)</f>
        <v>n/a</v>
      </c>
      <c r="AI38" s="543" t="str">
        <f>IF(ISERROR(_xll.ciqfunctions.udf.CIQ($A38,"IQ_NI_MARGIN", IQ_LTM, $L$2, $L$4, $L$3, $L$5, $L$6)/100), "n/a", _xll.ciqfunctions.udf.CIQ($A38, "IQ_NI_MARGIN", IQ_LTM, $L$2, $L$4, $L$3, $L$5, $L$6)/100)</f>
        <v>n/a</v>
      </c>
      <c r="AJ38" s="542" t="str">
        <f>IF(ISERROR(_xll.ciqfunctions.udf.CIQ($A38, "IQ_NET_WORKING_CAP", IQ_LTM-8, $L$2, $L$4, $L$3, $L$5, $L$6)), "n/a", _xll.ciqfunctions.udf.CIQ($A38, "IQ_NET_WORKING_CAP", IQ_LTM-8, $L$2, $L$4, $L$3, $L$5, $L$6))</f>
        <v>(Invalid Identifier)</v>
      </c>
      <c r="AK38" s="542" t="str">
        <f>IF(ISERROR(_xll.ciqfunctions.udf.CIQ($A38, "IQ_NET_WORKING_CAP", IQ_LTM-4, $L$2, $L$4, $L$3, $L$5, $L$6)), "n/a", _xll.ciqfunctions.udf.CIQ($A38, "IQ_NET_WORKING_CAP", IQ_LTM-4, $L$2, $L$4, $L$3, $L$5, $L$6))</f>
        <v>(Invalid Identifier)</v>
      </c>
      <c r="AL38" s="542" t="str">
        <f>IF(ISERROR(_xll.ciqfunctions.udf.CIQ($A38, "IQ_NET_WORKING_CAP", IQ_LTM, $L$2,$L$4, $L$3, $L$5, $L$6)), "n/a", _xll.ciqfunctions.udf.CIQ($A38, "IQ_NET_WORKING_CAP", IQ_LTM, $L$2, $L$4, $L$3, $L$5, $L$6))</f>
        <v>(Invalid Identifier)</v>
      </c>
      <c r="AM38" s="542" t="str">
        <f>IF(ISERROR(_xll.ciqfunctions.udf.CIQ($A38, "IQ_Capex", IQ_LTM-8, $L$2,$L$4, $L$3, $L$5, $L$6)), "n/a", _xll.ciqfunctions.udf.CIQ($A38, "IQ_Capex", IQ_LTM-8, $L$2, $L$4, $L$3, $L$5, $L$6))</f>
        <v>(Invalid Identifier)</v>
      </c>
      <c r="AN38" s="542" t="str">
        <f>IF(ISERROR(_xll.ciqfunctions.udf.CIQ($A38, "IQ_Capex", IQ_LTM-4, $L$2,$L$4, $L$3, $L$5, $L$6)), "n/a", _xll.ciqfunctions.udf.CIQ($A38, "IQ_Capex", IQ_LTM-4, $L$2,$L$4, $L$3, $L$5, $L$6))</f>
        <v>(Invalid Identifier)</v>
      </c>
      <c r="AO38" s="542" t="str">
        <f>IF(ISERROR(_xll.ciqfunctions.udf.CIQ($A38, "IQ_Capex", IQ_LTM, $L$2, $L$4, $L$3, $L$5, $L$6)), "n/a", _xll.ciqfunctions.udf.CIQ($A38, "IQ_Capex", IQ_LTM, $L$2, $L$4, $L$3, $L$5, $L$6))</f>
        <v>(Invalid Identifier)</v>
      </c>
      <c r="AP38" s="544" t="str">
        <f>_xll.ciqfunctions.udf.CIQ(A38, "IQ_BUSINESS_DESCRIPTION")</f>
        <v>(Invalid Identifier)</v>
      </c>
      <c r="AQ38" s="545" t="str">
        <f>_xll.ciqfunctions.udf.CIQ($A38, "IQ_BETA_1YR", $B$1)</f>
        <v>(Invalid Identifier)</v>
      </c>
      <c r="AR38" s="545" t="str">
        <f>_xll.ciqfunctions.udf.CIQ($A38, "IQ_BETA_2YR", $B$1)</f>
        <v>(Invalid Identifier)</v>
      </c>
      <c r="AS38" s="545" t="str">
        <f>_xll.ciqfunctions.udf.CIQ($A38, "IQ_BETA_5YR", $B$1)</f>
        <v>(Invalid Identifier)</v>
      </c>
      <c r="AT38" s="543" t="e">
        <f>_xll.ciqfunctions.udf.CIQ($A38, "IQ_DIVIDEND_YIELD", $B$1)/100</f>
        <v>#VALUE!</v>
      </c>
      <c r="AU38" s="542" t="str">
        <f>_xll.ciqfunctions.udf.CIQ($A38, "IQ_EARNING_CO", IQ_LTM-8, $L$2, $L$4, $L$3, $L$5, $L$6)</f>
        <v>(Invalid Identifier)</v>
      </c>
      <c r="AV38" s="542" t="str">
        <f>_xll.ciqfunctions.udf.CIQ($A38, "IQ_EARNING_CO", IQ_LTM-4, $L$2, $L$4, $L$3, $L$5, $L$6)</f>
        <v>(Invalid Identifier)</v>
      </c>
      <c r="AW38" s="542" t="str">
        <f>_xll.ciqfunctions.udf.CIQ($A38, "IQ_EARNING_CO", IQ_LTM, $L$2, $L$4, $L$3, $L$5, $L$6)</f>
        <v>(Invalid Identifier)</v>
      </c>
      <c r="AX38" s="542" t="str">
        <f>_xll.ciqfunctions.udf.CIQ($A38, "IQ_EARNING_CO", $B$2, $L$2, $L$4, $L$3, $L$5, $L$6)</f>
        <v>(Invalid Identifier)</v>
      </c>
      <c r="AY38" s="542" t="str">
        <f>IF(_xll.ciqfunctions.udf.CIQ($A38, "IQ_EARNING_CO", $B$3, $L$2,$L$4, $L$3, $L$5, $L$6)=0,AW38,_xll.ciqfunctions.udf.CIQ($A38, "IQ_EARNING_CO", $B$3, $L$2,$L$4, $L$3, $L$5, $L$6))</f>
        <v>(Invalid Identifier)</v>
      </c>
      <c r="AZ38" s="542" t="str">
        <f>_xll.ciqfunctions.udf.CIQ($A38, "IQ_TOTAL_EQUITY", IQ_LTM-8, $L$2, $L$4, $L$3, $L$5, $L$6)</f>
        <v>(Invalid Identifier)</v>
      </c>
      <c r="BA38" s="542" t="str">
        <f>_xll.ciqfunctions.udf.CIQ($A38, "IQ_TOTAL_EQUITY", IQ_LTM-4, $L$2, $L$4, $L$3, $L$5, $L$6)</f>
        <v>(Invalid Identifier)</v>
      </c>
      <c r="BB38" s="542" t="str">
        <f>_xll.ciqfunctions.udf.CIQ($A38, "IQ_TOTAL_EQUITY", IQ_LTM, $L$2, $L$4, $L$3, $L$5, $L$6)</f>
        <v>(Invalid Identifier)</v>
      </c>
      <c r="BC38" s="542" t="str">
        <f>_xll.ciqfunctions.udf.CIQ($A38, "IQ_TOTAL_EQUITY", $B$2, $L$2, $L$4, $L$3, $L$5, $L$6)</f>
        <v>(Invalid Identifier)</v>
      </c>
      <c r="BD38" s="542" t="str">
        <f>IF(_xll.ciqfunctions.udf.CIQ($A38, "IQ_TOTAL_EQUITY", $B$3, $L$2,$L$4, $L$3, $L$5, $L$6)=0,BB38,_xll.ciqfunctions.udf.CIQ($A38, "IQ_TOTAL_EQUITY", $B$3, $L$2,$L$4, $L$3, $L$5, $L$6))</f>
        <v>(Invalid Identifier)</v>
      </c>
      <c r="BE38" s="542" t="str">
        <f>_xll.ciqfunctions.udf.CIQ(A38, "IQ_LASTSALEPRICE", $B$8)</f>
        <v>(Invalid Identifier)</v>
      </c>
      <c r="BF38" s="542" t="str">
        <f>_xll.ciqfunctions.udf.CIQ($A38, "IQ_MARKETCAP", $B$8, $L$5, $L$6)</f>
        <v>(Invalid Identifier)</v>
      </c>
      <c r="BG38" s="542" t="str">
        <f>_xll.ciqfunctions.udf.CIQ($A38, "IQ_TOTAL_DEBT", IQ_LTM, $B$8,$L$4, $L$3, $L$5, $L$6)</f>
        <v>(Invalid Identifier)</v>
      </c>
      <c r="BH38" s="492" t="str">
        <f>_xll.ciqfunctions.udf.CIQ($A38,"IQ_PREF_EQUITY",IQ_LTM,$B$8,$L$4,$L$3,$L$5,$L$6)</f>
        <v>(Invalid Identifier)</v>
      </c>
      <c r="BI38" s="492" t="str">
        <f>_xll.ciqfunctions.udf.CIQ($A38, "IQ_MINORITY_INTEREST_TOTAL", IQ_LTM,$B$8,$L$4,$L$3,$L$5,$L$6)</f>
        <v>(Invalid Identifier)</v>
      </c>
      <c r="BJ38" s="542" t="str">
        <f>_xll.ciqfunctions.udf.CIQ($A38, "IQ_CASH_ST_INVEST", IQ_LTM, $B$8, $L$4, $L$3, $L$5, $L$6)</f>
        <v>(Invalid Identifier)</v>
      </c>
      <c r="BK38" s="492" t="str">
        <f>_xll.ciqfunctions.udf.CIQ($A38, "IQ_EFFECT_TAX_RATE")</f>
        <v>(Invalid Identifier)</v>
      </c>
      <c r="BL38" s="492" t="e">
        <f>IF(_xll.ciqfunctions.udf.CIQ($A38, "IQ_TOTAL_REV_2YR_ANN_CAGR", IQ_LTM, $B$1,$L$4, $L$3, $L$5, $L$6)="NM","n/a",(_xll.ciqfunctions.udf.CIQ($A38, "IQ_TOTAL_REV_2YR_ANN_CAGR", IQ_LTM, $B$1,$L$4, $L$3, $L$5, $L$6)/100))</f>
        <v>#VALUE!</v>
      </c>
      <c r="BM38" s="492" t="e">
        <f>IF(_xll.ciqfunctions.udf.CIQ($A38, "IQ_TOTAL_REV_3YR_ANN_CAGR", IQ_LTM, $B$1,$L$4, $L$3, $L$5, $L$6)="NM","n/a",(_xll.ciqfunctions.udf.CIQ($A38, "IQ_TOTAL_REV_3YR_ANN_CAGR", IQ_LTM, $B$1,$L$4, $L$3, $L$5, $L$6)/100))</f>
        <v>#VALUE!</v>
      </c>
      <c r="BN38" s="492" t="e">
        <f>IF(_xll.ciqfunctions.udf.CIQ($A38, "IQ_TOTAL_REV_5YR_ANN_CAGR", IQ_LTM, $B$1,$L$4, $L$3, $L$5, $L$6)="NM","n/a",(_xll.ciqfunctions.udf.CIQ($A38, "IQ_TOTAL_REV_5YR_ANN_CAGR", IQ_LTM, $B$1,$L$4, $L$3, $L$5, $L$6)/100))</f>
        <v>#VALUE!</v>
      </c>
      <c r="BO38" s="492" t="e">
        <f>IF(_xll.ciqfunctions.udf.CIQ($A38,"IQ_EBITDA_2YR_ANN_CAGR", IQ_LTM,$B$1,$L$4, $L$3, $L$5, $L$6)="NM","n/a",(_xll.ciqfunctions.udf.CIQ($A38,"IQ_EBITDA_2YR_ANN_CAGR", IQ_LTM,$B$1,$L$4, $L$3, $L$5, $L$6)/100))</f>
        <v>#VALUE!</v>
      </c>
      <c r="BP38" s="492" t="e">
        <f>IF(_xll.ciqfunctions.udf.CIQ($A38,"IQ_EBITDA_3YR_ANN_CAGR", IQ_LTM,$B$1,$L$4, $L$3, $L$5, $L$6)="NM","n/a",(_xll.ciqfunctions.udf.CIQ($A38,"IQ_EBITDA_3YR_ANN_CAGR", IQ_LTM,$B$1,$L$4, $L$3, $L$5, $L$6)/100))</f>
        <v>#VALUE!</v>
      </c>
      <c r="BQ38" s="492" t="e">
        <f>IF(_xll.ciqfunctions.udf.CIQ($A38,"IQ_EBITDA_5YR_ANN_CAGR", IQ_LTM,$B$1,$L$4, $L$3, $L$5, $L$6)="NM","n/a",(_xll.ciqfunctions.udf.CIQ($A38,"IQ_EBITDA_5YR_ANN_CAGR", IQ_LTM,$B$1,$L$4, $L$3, $L$5, $L$6)/100))</f>
        <v>#VALUE!</v>
      </c>
      <c r="BR38" s="496" t="str">
        <f>IFERROR((_xll.ciqfunctions.udf.CIQ($A38, "IQ_DA_CF", IQ_LTM, $B$1, $L$4, $L$3, $L$5, $L$6)/Q38),"NM")</f>
        <v>NM</v>
      </c>
      <c r="BS38" s="546" t="e">
        <f>'Capital IQ Sheet-GPC'!BS38</f>
        <v>#VALUE!</v>
      </c>
      <c r="BT38" s="546" t="e">
        <f>'Capital IQ Sheet-GPC'!BT38</f>
        <v>#VALUE!</v>
      </c>
      <c r="BU38" s="546" t="e">
        <f>'Capital IQ Sheet-GPC'!BU38</f>
        <v>#VALUE!</v>
      </c>
      <c r="BV38" s="546" t="e">
        <f>'Capital IQ Sheet-GPC'!BV38</f>
        <v>#VALUE!</v>
      </c>
      <c r="BW38" s="546" t="e">
        <f>'Capital IQ Sheet-GPC'!BW38</f>
        <v>#VALUE!</v>
      </c>
      <c r="BX38" s="546" t="e">
        <f>'Capital IQ Sheet-GPC'!BX38</f>
        <v>#VALUE!</v>
      </c>
      <c r="BY38" s="546" t="e">
        <f>'Capital IQ Sheet-GPC'!BY38</f>
        <v>#VALUE!</v>
      </c>
      <c r="BZ38" s="546" t="e">
        <f>'Capital IQ Sheet-GPC'!BZ38</f>
        <v>#VALUE!</v>
      </c>
      <c r="CB38" s="492">
        <v>2</v>
      </c>
      <c r="CC38" s="632" t="s">
        <v>253</v>
      </c>
      <c r="CD38" s="632" t="s">
        <v>252</v>
      </c>
      <c r="CE38" s="494">
        <f t="shared" si="0"/>
        <v>42551</v>
      </c>
    </row>
    <row r="39" spans="1:83" s="492" customFormat="1" ht="12.75">
      <c r="A39" s="493" t="str">
        <f>_xll.ciqfunctions.udf.CIQ($B39,"IQ_COMPANY_TICKER")</f>
        <v>(Invalid Identifier)</v>
      </c>
      <c r="B39" s="541" t="str">
        <f>'Capital IQ Sheet-GPC'!B39</f>
        <v>(Invalid Identifier)</v>
      </c>
      <c r="C39" s="493" t="str">
        <f>_xll.ciqfunctions.udf.CIQ($A39,"IQ_COMPANY_NAME")</f>
        <v>(Invalid Identifier)</v>
      </c>
      <c r="D39" s="493" t="str">
        <f>_xll.ciqfunctions.udf.CIQ($A39, "IQ_EXCHANGE")</f>
        <v>(Invalid Identifier)</v>
      </c>
      <c r="E39" s="540" t="str">
        <f>_xll.ciqfunctions.udf.CIQ($A39, "IQ_PERIODDATE_IS", IQ_FY)</f>
        <v>(Invalid Identifier)</v>
      </c>
      <c r="F39" s="540" t="str">
        <f>_xll.ciqfunctions.udf.CIQ(A39, "IQ_PERIODDATE_IS", IQ_LTM, $B$1,$L$4,$L$3)</f>
        <v>(Invalid Identifier)</v>
      </c>
      <c r="G39" s="540" t="str">
        <f>_xll.ciqfunctions.udf.CIQ($A39, "IQ_FIRSTPRICINGDATE")</f>
        <v>(Invalid Identifier)</v>
      </c>
      <c r="H39" s="542" t="str">
        <f>_xll.ciqfunctions.udf.CIQ($A39, "IQ_TEV", $L$2, $L$5, $L$6)</f>
        <v>(Invalid Identifier)</v>
      </c>
      <c r="I39" s="542" t="str">
        <f>_xll.ciqfunctions.udf.CIQ(A39, "IQ_LASTSALEPRICE", $B$1,$L$5)</f>
        <v>(Invalid Identifier)</v>
      </c>
      <c r="J39" s="542" t="str">
        <f>_xll.ciqfunctions.udf.CIQ($A39, "IQ_MARKETCAP", $L$2, $L$5, $L$6)</f>
        <v>(Invalid Identifier)</v>
      </c>
      <c r="K39" s="542" t="str">
        <f>_xll.ciqfunctions.udf.CIQ($A39, "IQ_TOTAL_DEBT", IQ_LTM, $L$2,$L$4, $L$3, $L$5, $L$6)</f>
        <v>(Invalid Identifier)</v>
      </c>
      <c r="L39" s="542" t="str">
        <f>_xll.ciqfunctions.udf.CIQ($A39, "IQ_PREF_EQUITY", IQ_LTM, $L$2, $L$4, $L$3, $L$5, $L$6)</f>
        <v>(Invalid Identifier)</v>
      </c>
      <c r="M39" s="542" t="str">
        <f>_xll.ciqfunctions.udf.CIQ($A39, "IQ_MINORITY_INTEREST_TOTAL", IQ_LTM, $L$2, $L$4, $L$3, $L$5, $L$6)</f>
        <v>(Invalid Identifier)</v>
      </c>
      <c r="N39" s="542" t="str">
        <f>_xll.ciqfunctions.udf.CIQ($A39, "IQ_CASH_ST_INVEST", IQ_LTM, $L$2, $L$4, $L$3, $L$5, $L$6)</f>
        <v>(Invalid Identifier)</v>
      </c>
      <c r="O39" s="542" t="str">
        <f>_xll.ciqfunctions.udf.CIQ($A39, "IQ_TOTAL_REV", IQ_LTM-8, $L$2, $L$4, $L$3, $L$5, $L$6)</f>
        <v>(Invalid Identifier)</v>
      </c>
      <c r="P39" s="542" t="str">
        <f>_xll.ciqfunctions.udf.CIQ($A39, "IQ_TOTAL_REV", IQ_LTM - 4, $L$2, $L$4, $L$3, $L$5,$L$6)</f>
        <v>(Invalid Identifier)</v>
      </c>
      <c r="Q39" s="542" t="str">
        <f>_xll.ciqfunctions.udf.CIQ($A39, "IQ_TOTAL_REV", IQ_LTM, $L$2, $L$4, $L$3, $L$5, $L$6)</f>
        <v>(Invalid Identifier)</v>
      </c>
      <c r="R39" s="542" t="str">
        <f>_xll.ciqfunctions.udf.CIQ($A39, "IQ_TOTAL_REV", $B$2, $L$2, $L$4, $L$3, $L$5, $L$6)</f>
        <v>(Invalid Identifier)</v>
      </c>
      <c r="S39" s="542" t="str">
        <f>IF(_xll.ciqfunctions.udf.CIQ($A39, "IQ_TOTAL_REV", $B$3, $L$2,$L$4, $L$3, $L$5, $L$6)=0,Q39,_xll.ciqfunctions.udf.CIQ($A39, "IQ_TOTAL_REV", $B$3, $L$2,$L$4, $L$3, $L$5, $L$6))</f>
        <v>(Invalid Identifier)</v>
      </c>
      <c r="T39" s="542" t="str">
        <f>IF(_xll.ciqfunctions.udf.CIQ($A39, "IQ_REVENUE_EST",$B$4, $L$2, "CON", $L$3, $L$5, $L$6)=0,"n/a",_xll.ciqfunctions.udf.CIQ($A39, "IQ_REVENUE_EST",$B$4, $L$2, "CON", $L$3, $L$5, $L$6))</f>
        <v>(Invalid Identifier)</v>
      </c>
      <c r="U39" s="542" t="str">
        <f>IF(_xll.ciqfunctions.udf.CIQ($A39, "IQ_REVENUE_EST",$B$5, $L$2, "CON", $L$3, $L$5, $L$6)=0,"n/a",_xll.ciqfunctions.udf.CIQ($A39, "IQ_REVENUE_EST",$B$5, $L$2, "CON", $L$3, $L$5, $L$6))</f>
        <v>(Invalid Identifier)</v>
      </c>
      <c r="V39" s="542" t="str">
        <f>IF(_xll.ciqfunctions.udf.CIQ($A39, "IQ_REVENUE_EST",$B$6, $L$2, "CON", $L$3, $L$5, $L$6)=0,"n/a",_xll.ciqfunctions.udf.CIQ($A39, "IQ_REVENUE_EST",$B$6, $L$2, "CON", $L$3, $L$5, $L$6))</f>
        <v>(Invalid Identifier)</v>
      </c>
      <c r="W39" s="542" t="str">
        <f>IF(_xll.ciqfunctions.udf.CIQ($A39, "IQ_REVENUE_EST", $B$7, $L$2, "CON", $L$3, $L$5, $L$6)=0,"n/a",_xll.ciqfunctions.udf.CIQ($A39, "IQ_REVENUE_EST",$B$7, $L$2, "CON", $L$3, $L$5, $L$6))</f>
        <v>(Invalid Identifier)</v>
      </c>
      <c r="X39" s="542" t="str">
        <f>_xll.ciqfunctions.udf.CIQ($A39, "IQ_EBITDA", IQ_LTM-8, $L$2, $L$4, $L$3, $L$5, $L$6)</f>
        <v>(Invalid Identifier)</v>
      </c>
      <c r="Y39" s="542" t="str">
        <f>_xll.ciqfunctions.udf.CIQ($A39, "IQ_EBITDA", IQ_LTM-4, $L$2,$L$4, $L$3, $L$5, $L$6)</f>
        <v>(Invalid Identifier)</v>
      </c>
      <c r="Z39" s="542" t="str">
        <f>_xll.ciqfunctions.udf.CIQ($A39, "IQ_EBITDA", IQ_LTM, $L$2, $L$4, $L$3, $L$5, $L$6)</f>
        <v>(Invalid Identifier)</v>
      </c>
      <c r="AA39" s="542" t="str">
        <f>_xll.ciqfunctions.udf.CIQ($A39, "IQ_EBITDA", $B$2, $L$2, $L$4, $L$3, $L$5, $L$6)</f>
        <v>(Invalid Identifier)</v>
      </c>
      <c r="AB39" s="542" t="str">
        <f>IF(_xll.ciqfunctions.udf.CIQ($A39, "IQ_EBITDA", $B$3, $L$2,$L$4, $L$3, $L$5, $L$6)=0,Z39,_xll.ciqfunctions.udf.CIQ($A39, "IQ_EBITDA", $B$3, $L$2,$L$4, $L$3, $L$5, $L$6))</f>
        <v>(Invalid Identifier)</v>
      </c>
      <c r="AC39" s="542" t="str">
        <f>IF(_xll.ciqfunctions.udf.CIQ($A39, "IQ_EBITDA_EST",$B$4, $L$2, "CON", $L$3, $L$5, $L$6)=0,"n/a",_xll.ciqfunctions.udf.CIQ($A39, "IQ_EBITDA_EST",$B$4, $L$2, "CON", $L$3, $L$5, $L$6))</f>
        <v>(Invalid Identifier)</v>
      </c>
      <c r="AD39" s="542" t="str">
        <f>IF(_xll.ciqfunctions.udf.CIQ($A39, "IQ_EBITDA_EST",$B$5, $L$2, "CON", $L$3, $L$5, $L$6)=0,"n/a",_xll.ciqfunctions.udf.CIQ($A39, "IQ_EBITDA_EST",$B$5, $L$2, "CON", $L$3, $L$5, $L$6))</f>
        <v>(Invalid Identifier)</v>
      </c>
      <c r="AE39" s="542" t="str">
        <f>IF(_xll.ciqfunctions.udf.CIQ($A39, "IQ_EBITDA_EST",$B$6, $L$2, "CON", $L$3, $L$5, $L$6)=0,"n/a",_xll.ciqfunctions.udf.CIQ($A39, "IQ_EBITDA_EST",$B$6, $L$2, "CON", $L$3, $L$5, $L$6))</f>
        <v>(Invalid Identifier)</v>
      </c>
      <c r="AF39" s="543" t="str">
        <f>IF(ISERROR(_xll.ciqfunctions.udf.CIQ($A39, "IQ_GROSS_MARGIN", IQ_LTM, $L$2,$L$4, $L$3, $L$5, $L$6)/100), "n/a", _xll.ciqfunctions.udf.CIQ($A39,  "IQ_GROSS_MARGIN", IQ_LTM, $L$2, $L$4, $L$3, $L$5, $L$6)/100)</f>
        <v>n/a</v>
      </c>
      <c r="AG39" s="543" t="str">
        <f>IF(ISERROR(_xll.ciqfunctions.udf.CIQ($A39,"IQ_EBITDA_MARGIN", IQ_LTM, $L$2, $L$4, $L$3, $L$5, $L$6)/100), "n/a", _xll.ciqfunctions.udf.CIQ($A39, "IQ_EBITDA_MARGIN", IQ_LTM, $L$2, $L$4, $L$3, $L$5, $L$6)/100)</f>
        <v>n/a</v>
      </c>
      <c r="AH39" s="543" t="str">
        <f>IF(ISERROR(_xll.ciqfunctions.udf.CIQ($A39,"IQ_EBIT_MARGIN", IQ_LTM, $L$2, $L$4, $L$3, $L$5, $L$6)/100), "n/a", _xll.ciqfunctions.udf.CIQ($A39, "IQ_EBIT_MARGIN", IQ_LTM, $L$2, $L$4, $L$3, $L$5, $L$6)/100)</f>
        <v>n/a</v>
      </c>
      <c r="AI39" s="543" t="str">
        <f>IF(ISERROR(_xll.ciqfunctions.udf.CIQ($A39,"IQ_NI_MARGIN", IQ_LTM, $L$2, $L$4, $L$3, $L$5, $L$6)/100), "n/a", _xll.ciqfunctions.udf.CIQ($A39, "IQ_NI_MARGIN", IQ_LTM, $L$2, $L$4, $L$3, $L$5, $L$6)/100)</f>
        <v>n/a</v>
      </c>
      <c r="AJ39" s="542" t="str">
        <f>IF(ISERROR(_xll.ciqfunctions.udf.CIQ($A39, "IQ_NET_WORKING_CAP", IQ_LTM-8, $L$2, $L$4, $L$3, $L$5, $L$6)), "n/a", _xll.ciqfunctions.udf.CIQ($A39, "IQ_NET_WORKING_CAP", IQ_LTM-8, $L$2, $L$4, $L$3, $L$5, $L$6))</f>
        <v>(Invalid Identifier)</v>
      </c>
      <c r="AK39" s="542" t="str">
        <f>IF(ISERROR(_xll.ciqfunctions.udf.CIQ($A39, "IQ_NET_WORKING_CAP", IQ_LTM-4, $L$2, $L$4, $L$3, $L$5, $L$6)), "n/a", _xll.ciqfunctions.udf.CIQ($A39, "IQ_NET_WORKING_CAP", IQ_LTM-4, $L$2, $L$4, $L$3, $L$5, $L$6))</f>
        <v>(Invalid Identifier)</v>
      </c>
      <c r="AL39" s="542" t="str">
        <f>IF(ISERROR(_xll.ciqfunctions.udf.CIQ($A39, "IQ_NET_WORKING_CAP", IQ_LTM, $L$2,$L$4, $L$3, $L$5, $L$6)), "n/a", _xll.ciqfunctions.udf.CIQ($A39, "IQ_NET_WORKING_CAP", IQ_LTM, $L$2, $L$4, $L$3, $L$5, $L$6))</f>
        <v>(Invalid Identifier)</v>
      </c>
      <c r="AM39" s="542" t="str">
        <f>IF(ISERROR(_xll.ciqfunctions.udf.CIQ($A39, "IQ_Capex", IQ_LTM-8, $L$2,$L$4, $L$3, $L$5, $L$6)), "n/a", _xll.ciqfunctions.udf.CIQ($A39, "IQ_Capex", IQ_LTM-8, $L$2, $L$4, $L$3, $L$5, $L$6))</f>
        <v>(Invalid Identifier)</v>
      </c>
      <c r="AN39" s="542" t="str">
        <f>IF(ISERROR(_xll.ciqfunctions.udf.CIQ($A39, "IQ_Capex", IQ_LTM-4, $L$2,$L$4, $L$3, $L$5, $L$6)), "n/a", _xll.ciqfunctions.udf.CIQ($A39, "IQ_Capex", IQ_LTM-4, $L$2,$L$4, $L$3, $L$5, $L$6))</f>
        <v>(Invalid Identifier)</v>
      </c>
      <c r="AO39" s="542" t="str">
        <f>IF(ISERROR(_xll.ciqfunctions.udf.CIQ($A39, "IQ_Capex", IQ_LTM, $L$2, $L$4, $L$3, $L$5, $L$6)), "n/a", _xll.ciqfunctions.udf.CIQ($A39, "IQ_Capex", IQ_LTM, $L$2, $L$4, $L$3, $L$5, $L$6))</f>
        <v>(Invalid Identifier)</v>
      </c>
      <c r="AP39" s="544" t="str">
        <f>_xll.ciqfunctions.udf.CIQ(A39, "IQ_BUSINESS_DESCRIPTION")</f>
        <v>(Invalid Identifier)</v>
      </c>
      <c r="AQ39" s="545" t="str">
        <f>_xll.ciqfunctions.udf.CIQ($A39, "IQ_BETA_1YR", $B$1)</f>
        <v>(Invalid Identifier)</v>
      </c>
      <c r="AR39" s="545" t="str">
        <f>_xll.ciqfunctions.udf.CIQ($A39, "IQ_BETA_2YR", $B$1)</f>
        <v>(Invalid Identifier)</v>
      </c>
      <c r="AS39" s="545" t="str">
        <f>_xll.ciqfunctions.udf.CIQ($A39, "IQ_BETA_5YR", $B$1)</f>
        <v>(Invalid Identifier)</v>
      </c>
      <c r="AT39" s="543" t="e">
        <f>_xll.ciqfunctions.udf.CIQ($A39, "IQ_DIVIDEND_YIELD", $B$1)/100</f>
        <v>#VALUE!</v>
      </c>
      <c r="AU39" s="542" t="str">
        <f>_xll.ciqfunctions.udf.CIQ($A39, "IQ_EARNING_CO", IQ_LTM-8, $L$2, $L$4, $L$3, $L$5, $L$6)</f>
        <v>(Invalid Identifier)</v>
      </c>
      <c r="AV39" s="542" t="str">
        <f>_xll.ciqfunctions.udf.CIQ($A39, "IQ_EARNING_CO", IQ_LTM-4, $L$2, $L$4, $L$3, $L$5, $L$6)</f>
        <v>(Invalid Identifier)</v>
      </c>
      <c r="AW39" s="542" t="str">
        <f>_xll.ciqfunctions.udf.CIQ($A39, "IQ_EARNING_CO", IQ_LTM, $L$2, $L$4, $L$3, $L$5, $L$6)</f>
        <v>(Invalid Identifier)</v>
      </c>
      <c r="AX39" s="542" t="str">
        <f>_xll.ciqfunctions.udf.CIQ($A39, "IQ_EARNING_CO", $B$2, $L$2, $L$4, $L$3, $L$5, $L$6)</f>
        <v>(Invalid Identifier)</v>
      </c>
      <c r="AY39" s="542" t="str">
        <f>IF(_xll.ciqfunctions.udf.CIQ($A39, "IQ_EARNING_CO", $B$3, $L$2,$L$4, $L$3, $L$5, $L$6)=0,AW39,_xll.ciqfunctions.udf.CIQ($A39, "IQ_EARNING_CO", $B$3, $L$2,$L$4, $L$3, $L$5, $L$6))</f>
        <v>(Invalid Identifier)</v>
      </c>
      <c r="AZ39" s="542" t="str">
        <f>_xll.ciqfunctions.udf.CIQ($A39, "IQ_TOTAL_EQUITY", IQ_LTM-8, $L$2, $L$4, $L$3, $L$5, $L$6)</f>
        <v>(Invalid Identifier)</v>
      </c>
      <c r="BA39" s="542" t="str">
        <f>_xll.ciqfunctions.udf.CIQ($A39, "IQ_TOTAL_EQUITY", IQ_LTM-4, $L$2, $L$4, $L$3, $L$5, $L$6)</f>
        <v>(Invalid Identifier)</v>
      </c>
      <c r="BB39" s="542" t="str">
        <f>_xll.ciqfunctions.udf.CIQ($A39, "IQ_TOTAL_EQUITY", IQ_LTM, $L$2, $L$4, $L$3, $L$5, $L$6)</f>
        <v>(Invalid Identifier)</v>
      </c>
      <c r="BC39" s="542" t="str">
        <f>_xll.ciqfunctions.udf.CIQ($A39, "IQ_TOTAL_EQUITY", $B$2, $L$2, $L$4, $L$3, $L$5, $L$6)</f>
        <v>(Invalid Identifier)</v>
      </c>
      <c r="BD39" s="542" t="str">
        <f>IF(_xll.ciqfunctions.udf.CIQ($A39, "IQ_TOTAL_EQUITY", $B$3, $L$2,$L$4, $L$3, $L$5, $L$6)=0,BB39,_xll.ciqfunctions.udf.CIQ($A39, "IQ_TOTAL_EQUITY", $B$3, $L$2,$L$4, $L$3, $L$5, $L$6))</f>
        <v>(Invalid Identifier)</v>
      </c>
      <c r="BE39" s="542" t="str">
        <f>_xll.ciqfunctions.udf.CIQ(A39, "IQ_LASTSALEPRICE", $B$8)</f>
        <v>(Invalid Identifier)</v>
      </c>
      <c r="BF39" s="542" t="str">
        <f>_xll.ciqfunctions.udf.CIQ($A39, "IQ_MARKETCAP", $B$8, $L$5, $L$6)</f>
        <v>(Invalid Identifier)</v>
      </c>
      <c r="BG39" s="542" t="str">
        <f>_xll.ciqfunctions.udf.CIQ($A39, "IQ_TOTAL_DEBT", IQ_LTM, $B$8,$L$4, $L$3, $L$5, $L$6)</f>
        <v>(Invalid Identifier)</v>
      </c>
      <c r="BH39" s="492" t="str">
        <f>_xll.ciqfunctions.udf.CIQ($A39,"IQ_PREF_EQUITY",IQ_LTM,$B$8,$L$4,$L$3,$L$5,$L$6)</f>
        <v>(Invalid Identifier)</v>
      </c>
      <c r="BI39" s="492" t="str">
        <f>_xll.ciqfunctions.udf.CIQ($A39, "IQ_MINORITY_INTEREST_TOTAL", IQ_LTM,$B$8,$L$4,$L$3,$L$5,$L$6)</f>
        <v>(Invalid Identifier)</v>
      </c>
      <c r="BJ39" s="542" t="str">
        <f>_xll.ciqfunctions.udf.CIQ($A39, "IQ_CASH_ST_INVEST", IQ_LTM, $B$8, $L$4, $L$3, $L$5, $L$6)</f>
        <v>(Invalid Identifier)</v>
      </c>
      <c r="BK39" s="492" t="str">
        <f>_xll.ciqfunctions.udf.CIQ($A39, "IQ_EFFECT_TAX_RATE")</f>
        <v>(Invalid Identifier)</v>
      </c>
      <c r="BL39" s="492" t="e">
        <f>IF(_xll.ciqfunctions.udf.CIQ($A39, "IQ_TOTAL_REV_2YR_ANN_CAGR", IQ_LTM, $B$1,$L$4, $L$3, $L$5, $L$6)="NM","n/a",(_xll.ciqfunctions.udf.CIQ($A39, "IQ_TOTAL_REV_2YR_ANN_CAGR", IQ_LTM, $B$1,$L$4, $L$3, $L$5, $L$6)/100))</f>
        <v>#VALUE!</v>
      </c>
      <c r="BM39" s="492" t="e">
        <f>IF(_xll.ciqfunctions.udf.CIQ($A39, "IQ_TOTAL_REV_3YR_ANN_CAGR", IQ_LTM, $B$1,$L$4, $L$3, $L$5, $L$6)="NM","n/a",(_xll.ciqfunctions.udf.CIQ($A39, "IQ_TOTAL_REV_3YR_ANN_CAGR", IQ_LTM, $B$1,$L$4, $L$3, $L$5, $L$6)/100))</f>
        <v>#VALUE!</v>
      </c>
      <c r="BN39" s="492" t="e">
        <f>IF(_xll.ciqfunctions.udf.CIQ($A39, "IQ_TOTAL_REV_5YR_ANN_CAGR", IQ_LTM, $B$1,$L$4, $L$3, $L$5, $L$6)="NM","n/a",(_xll.ciqfunctions.udf.CIQ($A39, "IQ_TOTAL_REV_5YR_ANN_CAGR", IQ_LTM, $B$1,$L$4, $L$3, $L$5, $L$6)/100))</f>
        <v>#VALUE!</v>
      </c>
      <c r="BO39" s="492" t="e">
        <f>IF(_xll.ciqfunctions.udf.CIQ($A39,"IQ_EBITDA_2YR_ANN_CAGR", IQ_LTM,$B$1,$L$4, $L$3, $L$5, $L$6)="NM","n/a",(_xll.ciqfunctions.udf.CIQ($A39,"IQ_EBITDA_2YR_ANN_CAGR", IQ_LTM,$B$1,$L$4, $L$3, $L$5, $L$6)/100))</f>
        <v>#VALUE!</v>
      </c>
      <c r="BP39" s="492" t="e">
        <f>IF(_xll.ciqfunctions.udf.CIQ($A39,"IQ_EBITDA_3YR_ANN_CAGR", IQ_LTM,$B$1,$L$4, $L$3, $L$5, $L$6)="NM","n/a",(_xll.ciqfunctions.udf.CIQ($A39,"IQ_EBITDA_3YR_ANN_CAGR", IQ_LTM,$B$1,$L$4, $L$3, $L$5, $L$6)/100))</f>
        <v>#VALUE!</v>
      </c>
      <c r="BQ39" s="492" t="e">
        <f>IF(_xll.ciqfunctions.udf.CIQ($A39,"IQ_EBITDA_5YR_ANN_CAGR", IQ_LTM,$B$1,$L$4, $L$3, $L$5, $L$6)="NM","n/a",(_xll.ciqfunctions.udf.CIQ($A39,"IQ_EBITDA_5YR_ANN_CAGR", IQ_LTM,$B$1,$L$4, $L$3, $L$5, $L$6)/100))</f>
        <v>#VALUE!</v>
      </c>
      <c r="BR39" s="496" t="str">
        <f>IFERROR((_xll.ciqfunctions.udf.CIQ($A39, "IQ_DA_CF", IQ_LTM, $B$1, $L$4, $L$3, $L$5, $L$6)/Q39),"NM")</f>
        <v>NM</v>
      </c>
      <c r="BS39" s="546" t="e">
        <f>'Capital IQ Sheet-GPC'!BS39</f>
        <v>#VALUE!</v>
      </c>
      <c r="BT39" s="546" t="e">
        <f>'Capital IQ Sheet-GPC'!BT39</f>
        <v>#VALUE!</v>
      </c>
      <c r="BU39" s="546" t="e">
        <f>'Capital IQ Sheet-GPC'!BU39</f>
        <v>#VALUE!</v>
      </c>
      <c r="BV39" s="546" t="e">
        <f>'Capital IQ Sheet-GPC'!BV39</f>
        <v>#VALUE!</v>
      </c>
      <c r="BW39" s="546" t="e">
        <f>'Capital IQ Sheet-GPC'!BW39</f>
        <v>#VALUE!</v>
      </c>
      <c r="BX39" s="546" t="e">
        <f>'Capital IQ Sheet-GPC'!BX39</f>
        <v>#VALUE!</v>
      </c>
      <c r="BY39" s="546" t="e">
        <f>'Capital IQ Sheet-GPC'!BY39</f>
        <v>#VALUE!</v>
      </c>
      <c r="BZ39" s="546" t="e">
        <f>'Capital IQ Sheet-GPC'!BZ39</f>
        <v>#VALUE!</v>
      </c>
      <c r="CB39" s="492">
        <v>2</v>
      </c>
      <c r="CC39" s="632" t="s">
        <v>253</v>
      </c>
      <c r="CD39" s="632" t="s">
        <v>252</v>
      </c>
      <c r="CE39" s="494">
        <f t="shared" si="0"/>
        <v>42551</v>
      </c>
    </row>
    <row r="40" spans="1:83" s="492" customFormat="1" ht="12.75">
      <c r="A40" s="493" t="str">
        <f>_xll.ciqfunctions.udf.CIQ($B40,"IQ_COMPANY_TICKER")</f>
        <v>(Invalid Identifier)</v>
      </c>
      <c r="B40" s="541" t="str">
        <f>'Capital IQ Sheet-GPC'!B40</f>
        <v>(Invalid Identifier)</v>
      </c>
      <c r="C40" s="493" t="str">
        <f>_xll.ciqfunctions.udf.CIQ($A40,"IQ_COMPANY_NAME")</f>
        <v>(Invalid Identifier)</v>
      </c>
      <c r="D40" s="493" t="str">
        <f>_xll.ciqfunctions.udf.CIQ($A40, "IQ_EXCHANGE")</f>
        <v>(Invalid Identifier)</v>
      </c>
      <c r="E40" s="540" t="str">
        <f>_xll.ciqfunctions.udf.CIQ($A40, "IQ_PERIODDATE_IS", IQ_FY)</f>
        <v>(Invalid Identifier)</v>
      </c>
      <c r="F40" s="540" t="str">
        <f>_xll.ciqfunctions.udf.CIQ(A40, "IQ_PERIODDATE_IS", IQ_LTM, $B$1,$L$4,$L$3)</f>
        <v>(Invalid Identifier)</v>
      </c>
      <c r="G40" s="540" t="str">
        <f>_xll.ciqfunctions.udf.CIQ($A40, "IQ_FIRSTPRICINGDATE")</f>
        <v>(Invalid Identifier)</v>
      </c>
      <c r="H40" s="542" t="str">
        <f>_xll.ciqfunctions.udf.CIQ($A40, "IQ_TEV", $L$2, $L$5, $L$6)</f>
        <v>(Invalid Identifier)</v>
      </c>
      <c r="I40" s="542" t="str">
        <f>_xll.ciqfunctions.udf.CIQ(A40, "IQ_LASTSALEPRICE", $B$1,$L$5)</f>
        <v>(Invalid Identifier)</v>
      </c>
      <c r="J40" s="542" t="str">
        <f>_xll.ciqfunctions.udf.CIQ($A40, "IQ_MARKETCAP", $L$2, $L$5, $L$6)</f>
        <v>(Invalid Identifier)</v>
      </c>
      <c r="K40" s="542" t="str">
        <f>_xll.ciqfunctions.udf.CIQ($A40, "IQ_TOTAL_DEBT", IQ_LTM, $L$2,$L$4, $L$3, $L$5, $L$6)</f>
        <v>(Invalid Identifier)</v>
      </c>
      <c r="L40" s="542" t="str">
        <f>_xll.ciqfunctions.udf.CIQ($A40, "IQ_PREF_EQUITY", IQ_LTM, $L$2, $L$4, $L$3, $L$5, $L$6)</f>
        <v>(Invalid Identifier)</v>
      </c>
      <c r="M40" s="542" t="str">
        <f>_xll.ciqfunctions.udf.CIQ($A40, "IQ_MINORITY_INTEREST_TOTAL", IQ_LTM, $L$2, $L$4, $L$3, $L$5, $L$6)</f>
        <v>(Invalid Identifier)</v>
      </c>
      <c r="N40" s="542" t="str">
        <f>_xll.ciqfunctions.udf.CIQ($A40, "IQ_CASH_ST_INVEST", IQ_LTM, $L$2, $L$4, $L$3, $L$5, $L$6)</f>
        <v>(Invalid Identifier)</v>
      </c>
      <c r="O40" s="542" t="str">
        <f>_xll.ciqfunctions.udf.CIQ($A40, "IQ_TOTAL_REV", IQ_LTM-8, $L$2, $L$4, $L$3, $L$5, $L$6)</f>
        <v>(Invalid Identifier)</v>
      </c>
      <c r="P40" s="542" t="str">
        <f>_xll.ciqfunctions.udf.CIQ($A40, "IQ_TOTAL_REV", IQ_LTM - 4, $L$2, $L$4, $L$3, $L$5,$L$6)</f>
        <v>(Invalid Identifier)</v>
      </c>
      <c r="Q40" s="542" t="str">
        <f>_xll.ciqfunctions.udf.CIQ($A40, "IQ_TOTAL_REV", IQ_LTM, $L$2, $L$4, $L$3, $L$5, $L$6)</f>
        <v>(Invalid Identifier)</v>
      </c>
      <c r="R40" s="542" t="str">
        <f>_xll.ciqfunctions.udf.CIQ($A40, "IQ_TOTAL_REV", $B$2, $L$2, $L$4, $L$3, $L$5, $L$6)</f>
        <v>(Invalid Identifier)</v>
      </c>
      <c r="S40" s="542" t="str">
        <f>IF(_xll.ciqfunctions.udf.CIQ($A40, "IQ_TOTAL_REV", $B$3, $L$2,$L$4, $L$3, $L$5, $L$6)=0,Q40,_xll.ciqfunctions.udf.CIQ($A40, "IQ_TOTAL_REV", $B$3, $L$2,$L$4, $L$3, $L$5, $L$6))</f>
        <v>(Invalid Identifier)</v>
      </c>
      <c r="T40" s="542" t="str">
        <f>IF(_xll.ciqfunctions.udf.CIQ($A40, "IQ_REVENUE_EST",$B$4, $L$2, "CON", $L$3, $L$5, $L$6)=0,"n/a",_xll.ciqfunctions.udf.CIQ($A40, "IQ_REVENUE_EST",$B$4, $L$2, "CON", $L$3, $L$5, $L$6))</f>
        <v>(Invalid Identifier)</v>
      </c>
      <c r="U40" s="542" t="str">
        <f>IF(_xll.ciqfunctions.udf.CIQ($A40, "IQ_REVENUE_EST",$B$5, $L$2, "CON", $L$3, $L$5, $L$6)=0,"n/a",_xll.ciqfunctions.udf.CIQ($A40, "IQ_REVENUE_EST",$B$5, $L$2, "CON", $L$3, $L$5, $L$6))</f>
        <v>(Invalid Identifier)</v>
      </c>
      <c r="V40" s="542" t="str">
        <f>IF(_xll.ciqfunctions.udf.CIQ($A40, "IQ_REVENUE_EST",$B$6, $L$2, "CON", $L$3, $L$5, $L$6)=0,"n/a",_xll.ciqfunctions.udf.CIQ($A40, "IQ_REVENUE_EST",$B$6, $L$2, "CON", $L$3, $L$5, $L$6))</f>
        <v>(Invalid Identifier)</v>
      </c>
      <c r="W40" s="542" t="str">
        <f>IF(_xll.ciqfunctions.udf.CIQ($A40, "IQ_REVENUE_EST", $B$7, $L$2, "CON", $L$3, $L$5, $L$6)=0,"n/a",_xll.ciqfunctions.udf.CIQ($A40, "IQ_REVENUE_EST",$B$7, $L$2, "CON", $L$3, $L$5, $L$6))</f>
        <v>(Invalid Identifier)</v>
      </c>
      <c r="X40" s="542" t="str">
        <f>_xll.ciqfunctions.udf.CIQ($A40, "IQ_EBITDA", IQ_LTM-8, $L$2, $L$4, $L$3, $L$5, $L$6)</f>
        <v>(Invalid Identifier)</v>
      </c>
      <c r="Y40" s="542" t="str">
        <f>_xll.ciqfunctions.udf.CIQ($A40, "IQ_EBITDA", IQ_LTM-4, $L$2,$L$4, $L$3, $L$5, $L$6)</f>
        <v>(Invalid Identifier)</v>
      </c>
      <c r="Z40" s="542" t="str">
        <f>_xll.ciqfunctions.udf.CIQ($A40, "IQ_EBITDA", IQ_LTM, $L$2, $L$4, $L$3, $L$5, $L$6)</f>
        <v>(Invalid Identifier)</v>
      </c>
      <c r="AA40" s="542" t="str">
        <f>_xll.ciqfunctions.udf.CIQ($A40, "IQ_EBITDA", $B$2, $L$2, $L$4, $L$3, $L$5, $L$6)</f>
        <v>(Invalid Identifier)</v>
      </c>
      <c r="AB40" s="542" t="str">
        <f>IF(_xll.ciqfunctions.udf.CIQ($A40, "IQ_EBITDA", $B$3, $L$2,$L$4, $L$3, $L$5, $L$6)=0,Z40,_xll.ciqfunctions.udf.CIQ($A40, "IQ_EBITDA", $B$3, $L$2,$L$4, $L$3, $L$5, $L$6))</f>
        <v>(Invalid Identifier)</v>
      </c>
      <c r="AC40" s="542" t="str">
        <f>IF(_xll.ciqfunctions.udf.CIQ($A40, "IQ_EBITDA_EST",$B$4, $L$2, "CON", $L$3, $L$5, $L$6)=0,"n/a",_xll.ciqfunctions.udf.CIQ($A40, "IQ_EBITDA_EST",$B$4, $L$2, "CON", $L$3, $L$5, $L$6))</f>
        <v>(Invalid Identifier)</v>
      </c>
      <c r="AD40" s="542" t="str">
        <f>IF(_xll.ciqfunctions.udf.CIQ($A40, "IQ_EBITDA_EST",$B$5, $L$2, "CON", $L$3, $L$5, $L$6)=0,"n/a",_xll.ciqfunctions.udf.CIQ($A40, "IQ_EBITDA_EST",$B$5, $L$2, "CON", $L$3, $L$5, $L$6))</f>
        <v>(Invalid Identifier)</v>
      </c>
      <c r="AE40" s="542" t="str">
        <f>IF(_xll.ciqfunctions.udf.CIQ($A40, "IQ_EBITDA_EST",$B$6, $L$2, "CON", $L$3, $L$5, $L$6)=0,"n/a",_xll.ciqfunctions.udf.CIQ($A40, "IQ_EBITDA_EST",$B$6, $L$2, "CON", $L$3, $L$5, $L$6))</f>
        <v>(Invalid Identifier)</v>
      </c>
      <c r="AF40" s="543" t="str">
        <f>IF(ISERROR(_xll.ciqfunctions.udf.CIQ($A40, "IQ_GROSS_MARGIN", IQ_LTM, $L$2,$L$4, $L$3, $L$5, $L$6)/100), "n/a", _xll.ciqfunctions.udf.CIQ($A40,  "IQ_GROSS_MARGIN", IQ_LTM, $L$2, $L$4, $L$3, $L$5, $L$6)/100)</f>
        <v>n/a</v>
      </c>
      <c r="AG40" s="543" t="str">
        <f>IF(ISERROR(_xll.ciqfunctions.udf.CIQ($A40,"IQ_EBITDA_MARGIN", IQ_LTM, $L$2, $L$4, $L$3, $L$5, $L$6)/100), "n/a", _xll.ciqfunctions.udf.CIQ($A40, "IQ_EBITDA_MARGIN", IQ_LTM, $L$2, $L$4, $L$3, $L$5, $L$6)/100)</f>
        <v>n/a</v>
      </c>
      <c r="AH40" s="543" t="str">
        <f>IF(ISERROR(_xll.ciqfunctions.udf.CIQ($A40,"IQ_EBIT_MARGIN", IQ_LTM, $L$2, $L$4, $L$3, $L$5, $L$6)/100), "n/a", _xll.ciqfunctions.udf.CIQ($A40, "IQ_EBIT_MARGIN", IQ_LTM, $L$2, $L$4, $L$3, $L$5, $L$6)/100)</f>
        <v>n/a</v>
      </c>
      <c r="AI40" s="543" t="str">
        <f>IF(ISERROR(_xll.ciqfunctions.udf.CIQ($A40,"IQ_NI_MARGIN", IQ_LTM, $L$2, $L$4, $L$3, $L$5, $L$6)/100), "n/a", _xll.ciqfunctions.udf.CIQ($A40, "IQ_NI_MARGIN", IQ_LTM, $L$2, $L$4, $L$3, $L$5, $L$6)/100)</f>
        <v>n/a</v>
      </c>
      <c r="AJ40" s="542" t="str">
        <f>IF(ISERROR(_xll.ciqfunctions.udf.CIQ($A40, "IQ_NET_WORKING_CAP", IQ_LTM-8, $L$2, $L$4, $L$3, $L$5, $L$6)), "n/a", _xll.ciqfunctions.udf.CIQ($A40, "IQ_NET_WORKING_CAP", IQ_LTM-8, $L$2, $L$4, $L$3, $L$5, $L$6))</f>
        <v>(Invalid Identifier)</v>
      </c>
      <c r="AK40" s="542" t="str">
        <f>IF(ISERROR(_xll.ciqfunctions.udf.CIQ($A40, "IQ_NET_WORKING_CAP", IQ_LTM-4, $L$2, $L$4, $L$3, $L$5, $L$6)), "n/a", _xll.ciqfunctions.udf.CIQ($A40, "IQ_NET_WORKING_CAP", IQ_LTM-4, $L$2, $L$4, $L$3, $L$5, $L$6))</f>
        <v>(Invalid Identifier)</v>
      </c>
      <c r="AL40" s="542" t="str">
        <f>IF(ISERROR(_xll.ciqfunctions.udf.CIQ($A40, "IQ_NET_WORKING_CAP", IQ_LTM, $L$2,$L$4, $L$3, $L$5, $L$6)), "n/a", _xll.ciqfunctions.udf.CIQ($A40, "IQ_NET_WORKING_CAP", IQ_LTM, $L$2, $L$4, $L$3, $L$5, $L$6))</f>
        <v>(Invalid Identifier)</v>
      </c>
      <c r="AM40" s="542" t="str">
        <f>IF(ISERROR(_xll.ciqfunctions.udf.CIQ($A40, "IQ_Capex", IQ_LTM-8, $L$2,$L$4, $L$3, $L$5, $L$6)), "n/a", _xll.ciqfunctions.udf.CIQ($A40, "IQ_Capex", IQ_LTM-8, $L$2, $L$4, $L$3, $L$5, $L$6))</f>
        <v>(Invalid Identifier)</v>
      </c>
      <c r="AN40" s="542" t="str">
        <f>IF(ISERROR(_xll.ciqfunctions.udf.CIQ($A40, "IQ_Capex", IQ_LTM-4, $L$2,$L$4, $L$3, $L$5, $L$6)), "n/a", _xll.ciqfunctions.udf.CIQ($A40, "IQ_Capex", IQ_LTM-4, $L$2,$L$4, $L$3, $L$5, $L$6))</f>
        <v>(Invalid Identifier)</v>
      </c>
      <c r="AO40" s="542" t="str">
        <f>IF(ISERROR(_xll.ciqfunctions.udf.CIQ($A40, "IQ_Capex", IQ_LTM, $L$2, $L$4, $L$3, $L$5, $L$6)), "n/a", _xll.ciqfunctions.udf.CIQ($A40, "IQ_Capex", IQ_LTM, $L$2, $L$4, $L$3, $L$5, $L$6))</f>
        <v>(Invalid Identifier)</v>
      </c>
      <c r="AP40" s="544" t="str">
        <f>_xll.ciqfunctions.udf.CIQ(A40, "IQ_BUSINESS_DESCRIPTION")</f>
        <v>(Invalid Identifier)</v>
      </c>
      <c r="AQ40" s="545" t="str">
        <f>_xll.ciqfunctions.udf.CIQ($A40, "IQ_BETA_1YR", $B$1)</f>
        <v>(Invalid Identifier)</v>
      </c>
      <c r="AR40" s="545" t="str">
        <f>_xll.ciqfunctions.udf.CIQ($A40, "IQ_BETA_2YR", $B$1)</f>
        <v>(Invalid Identifier)</v>
      </c>
      <c r="AS40" s="545" t="str">
        <f>_xll.ciqfunctions.udf.CIQ($A40, "IQ_BETA_5YR", $B$1)</f>
        <v>(Invalid Identifier)</v>
      </c>
      <c r="AT40" s="543" t="e">
        <f>_xll.ciqfunctions.udf.CIQ($A40, "IQ_DIVIDEND_YIELD", $B$1)/100</f>
        <v>#VALUE!</v>
      </c>
      <c r="AU40" s="542" t="str">
        <f>_xll.ciqfunctions.udf.CIQ($A40, "IQ_EARNING_CO", IQ_LTM-8, $L$2, $L$4, $L$3, $L$5, $L$6)</f>
        <v>(Invalid Identifier)</v>
      </c>
      <c r="AV40" s="542" t="str">
        <f>_xll.ciqfunctions.udf.CIQ($A40, "IQ_EARNING_CO", IQ_LTM-4, $L$2, $L$4, $L$3, $L$5, $L$6)</f>
        <v>(Invalid Identifier)</v>
      </c>
      <c r="AW40" s="542" t="str">
        <f>_xll.ciqfunctions.udf.CIQ($A40, "IQ_EARNING_CO", IQ_LTM, $L$2, $L$4, $L$3, $L$5, $L$6)</f>
        <v>(Invalid Identifier)</v>
      </c>
      <c r="AX40" s="542" t="str">
        <f>_xll.ciqfunctions.udf.CIQ($A40, "IQ_EARNING_CO", $B$2, $L$2, $L$4, $L$3, $L$5, $L$6)</f>
        <v>(Invalid Identifier)</v>
      </c>
      <c r="AY40" s="542" t="str">
        <f>IF(_xll.ciqfunctions.udf.CIQ($A40, "IQ_EARNING_CO", $B$3, $L$2,$L$4, $L$3, $L$5, $L$6)=0,AW40,_xll.ciqfunctions.udf.CIQ($A40, "IQ_EARNING_CO", $B$3, $L$2,$L$4, $L$3, $L$5, $L$6))</f>
        <v>(Invalid Identifier)</v>
      </c>
      <c r="AZ40" s="542" t="str">
        <f>_xll.ciqfunctions.udf.CIQ($A40, "IQ_TOTAL_EQUITY", IQ_LTM-8, $L$2, $L$4, $L$3, $L$5, $L$6)</f>
        <v>(Invalid Identifier)</v>
      </c>
      <c r="BA40" s="542" t="str">
        <f>_xll.ciqfunctions.udf.CIQ($A40, "IQ_TOTAL_EQUITY", IQ_LTM-4, $L$2, $L$4, $L$3, $L$5, $L$6)</f>
        <v>(Invalid Identifier)</v>
      </c>
      <c r="BB40" s="542" t="str">
        <f>_xll.ciqfunctions.udf.CIQ($A40, "IQ_TOTAL_EQUITY", IQ_LTM, $L$2, $L$4, $L$3, $L$5, $L$6)</f>
        <v>(Invalid Identifier)</v>
      </c>
      <c r="BC40" s="542" t="str">
        <f>_xll.ciqfunctions.udf.CIQ($A40, "IQ_TOTAL_EQUITY", $B$2, $L$2, $L$4, $L$3, $L$5, $L$6)</f>
        <v>(Invalid Identifier)</v>
      </c>
      <c r="BD40" s="542" t="str">
        <f>IF(_xll.ciqfunctions.udf.CIQ($A40, "IQ_TOTAL_EQUITY", $B$3, $L$2,$L$4, $L$3, $L$5, $L$6)=0,BB40,_xll.ciqfunctions.udf.CIQ($A40, "IQ_TOTAL_EQUITY", $B$3, $L$2,$L$4, $L$3, $L$5, $L$6))</f>
        <v>(Invalid Identifier)</v>
      </c>
      <c r="BE40" s="542" t="str">
        <f>_xll.ciqfunctions.udf.CIQ(A40, "IQ_LASTSALEPRICE", $B$8)</f>
        <v>(Invalid Identifier)</v>
      </c>
      <c r="BF40" s="542" t="str">
        <f>_xll.ciqfunctions.udf.CIQ($A40, "IQ_MARKETCAP", $B$8, $L$5, $L$6)</f>
        <v>(Invalid Identifier)</v>
      </c>
      <c r="BG40" s="542" t="str">
        <f>_xll.ciqfunctions.udf.CIQ($A40, "IQ_TOTAL_DEBT", IQ_LTM, $B$8,$L$4, $L$3, $L$5, $L$6)</f>
        <v>(Invalid Identifier)</v>
      </c>
      <c r="BH40" s="492" t="str">
        <f>_xll.ciqfunctions.udf.CIQ($A40,"IQ_PREF_EQUITY",IQ_LTM,$B$8,$L$4,$L$3,$L$5,$L$6)</f>
        <v>(Invalid Identifier)</v>
      </c>
      <c r="BI40" s="492" t="str">
        <f>_xll.ciqfunctions.udf.CIQ($A40, "IQ_MINORITY_INTEREST_TOTAL", IQ_LTM,$B$8,$L$4,$L$3,$L$5,$L$6)</f>
        <v>(Invalid Identifier)</v>
      </c>
      <c r="BJ40" s="542" t="str">
        <f>_xll.ciqfunctions.udf.CIQ($A40, "IQ_CASH_ST_INVEST", IQ_LTM, $B$8, $L$4, $L$3, $L$5, $L$6)</f>
        <v>(Invalid Identifier)</v>
      </c>
      <c r="BK40" s="492" t="str">
        <f>_xll.ciqfunctions.udf.CIQ($A40, "IQ_EFFECT_TAX_RATE")</f>
        <v>(Invalid Identifier)</v>
      </c>
      <c r="BL40" s="492" t="e">
        <f>IF(_xll.ciqfunctions.udf.CIQ($A40, "IQ_TOTAL_REV_2YR_ANN_CAGR", IQ_LTM, $B$1,$L$4, $L$3, $L$5, $L$6)="NM","n/a",(_xll.ciqfunctions.udf.CIQ($A40, "IQ_TOTAL_REV_2YR_ANN_CAGR", IQ_LTM, $B$1,$L$4, $L$3, $L$5, $L$6)/100))</f>
        <v>#VALUE!</v>
      </c>
      <c r="BM40" s="492" t="e">
        <f>IF(_xll.ciqfunctions.udf.CIQ($A40, "IQ_TOTAL_REV_3YR_ANN_CAGR", IQ_LTM, $B$1,$L$4, $L$3, $L$5, $L$6)="NM","n/a",(_xll.ciqfunctions.udf.CIQ($A40, "IQ_TOTAL_REV_3YR_ANN_CAGR", IQ_LTM, $B$1,$L$4, $L$3, $L$5, $L$6)/100))</f>
        <v>#VALUE!</v>
      </c>
      <c r="BN40" s="492" t="e">
        <f>IF(_xll.ciqfunctions.udf.CIQ($A40, "IQ_TOTAL_REV_5YR_ANN_CAGR", IQ_LTM, $B$1,$L$4, $L$3, $L$5, $L$6)="NM","n/a",(_xll.ciqfunctions.udf.CIQ($A40, "IQ_TOTAL_REV_5YR_ANN_CAGR", IQ_LTM, $B$1,$L$4, $L$3, $L$5, $L$6)/100))</f>
        <v>#VALUE!</v>
      </c>
      <c r="BO40" s="492" t="e">
        <f>IF(_xll.ciqfunctions.udf.CIQ($A40,"IQ_EBITDA_2YR_ANN_CAGR", IQ_LTM,$B$1,$L$4, $L$3, $L$5, $L$6)="NM","n/a",(_xll.ciqfunctions.udf.CIQ($A40,"IQ_EBITDA_2YR_ANN_CAGR", IQ_LTM,$B$1,$L$4, $L$3, $L$5, $L$6)/100))</f>
        <v>#VALUE!</v>
      </c>
      <c r="BP40" s="492" t="e">
        <f>IF(_xll.ciqfunctions.udf.CIQ($A40,"IQ_EBITDA_3YR_ANN_CAGR", IQ_LTM,$B$1,$L$4, $L$3, $L$5, $L$6)="NM","n/a",(_xll.ciqfunctions.udf.CIQ($A40,"IQ_EBITDA_3YR_ANN_CAGR", IQ_LTM,$B$1,$L$4, $L$3, $L$5, $L$6)/100))</f>
        <v>#VALUE!</v>
      </c>
      <c r="BQ40" s="492" t="e">
        <f>IF(_xll.ciqfunctions.udf.CIQ($A40,"IQ_EBITDA_5YR_ANN_CAGR", IQ_LTM,$B$1,$L$4, $L$3, $L$5, $L$6)="NM","n/a",(_xll.ciqfunctions.udf.CIQ($A40,"IQ_EBITDA_5YR_ANN_CAGR", IQ_LTM,$B$1,$L$4, $L$3, $L$5, $L$6)/100))</f>
        <v>#VALUE!</v>
      </c>
      <c r="BR40" s="496" t="str">
        <f>IFERROR((_xll.ciqfunctions.udf.CIQ($A40, "IQ_DA_CF", IQ_LTM, $B$1, $L$4, $L$3, $L$5, $L$6)/Q40),"NM")</f>
        <v>NM</v>
      </c>
      <c r="BS40" s="546" t="e">
        <f>'Capital IQ Sheet-GPC'!BS40</f>
        <v>#VALUE!</v>
      </c>
      <c r="BT40" s="546" t="e">
        <f>'Capital IQ Sheet-GPC'!BT40</f>
        <v>#VALUE!</v>
      </c>
      <c r="BU40" s="546" t="e">
        <f>'Capital IQ Sheet-GPC'!BU40</f>
        <v>#VALUE!</v>
      </c>
      <c r="BV40" s="546" t="e">
        <f>'Capital IQ Sheet-GPC'!BV40</f>
        <v>#VALUE!</v>
      </c>
      <c r="BW40" s="546" t="e">
        <f>'Capital IQ Sheet-GPC'!BW40</f>
        <v>#VALUE!</v>
      </c>
      <c r="BX40" s="546" t="e">
        <f>'Capital IQ Sheet-GPC'!BX40</f>
        <v>#VALUE!</v>
      </c>
      <c r="BY40" s="546" t="e">
        <f>'Capital IQ Sheet-GPC'!BY40</f>
        <v>#VALUE!</v>
      </c>
      <c r="BZ40" s="546" t="e">
        <f>'Capital IQ Sheet-GPC'!BZ40</f>
        <v>#VALUE!</v>
      </c>
      <c r="CB40" s="492">
        <v>2</v>
      </c>
      <c r="CC40" s="632" t="s">
        <v>253</v>
      </c>
      <c r="CD40" s="632" t="s">
        <v>252</v>
      </c>
      <c r="CE40" s="494">
        <f t="shared" si="0"/>
        <v>42551</v>
      </c>
    </row>
    <row r="41" spans="1:83" s="492" customFormat="1" ht="12.75">
      <c r="A41" s="493" t="str">
        <f>_xll.ciqfunctions.udf.CIQ($B41,"IQ_COMPANY_TICKER")</f>
        <v>(Invalid Identifier)</v>
      </c>
      <c r="B41" s="541" t="str">
        <f>'Capital IQ Sheet-GPC'!B41</f>
        <v>(Invalid Identifier)</v>
      </c>
      <c r="C41" s="493" t="str">
        <f>_xll.ciqfunctions.udf.CIQ($A41,"IQ_COMPANY_NAME")</f>
        <v>(Invalid Identifier)</v>
      </c>
      <c r="D41" s="493" t="str">
        <f>_xll.ciqfunctions.udf.CIQ($A41, "IQ_EXCHANGE")</f>
        <v>(Invalid Identifier)</v>
      </c>
      <c r="E41" s="540" t="str">
        <f>_xll.ciqfunctions.udf.CIQ($A41, "IQ_PERIODDATE_IS", IQ_FY)</f>
        <v>(Invalid Identifier)</v>
      </c>
      <c r="F41" s="540" t="str">
        <f>_xll.ciqfunctions.udf.CIQ(A41, "IQ_PERIODDATE_IS", IQ_LTM, $B$1,$L$4,$L$3)</f>
        <v>(Invalid Identifier)</v>
      </c>
      <c r="G41" s="540" t="str">
        <f>_xll.ciqfunctions.udf.CIQ($A41, "IQ_FIRSTPRICINGDATE")</f>
        <v>(Invalid Identifier)</v>
      </c>
      <c r="H41" s="542" t="str">
        <f>_xll.ciqfunctions.udf.CIQ($A41, "IQ_TEV", $L$2, $L$5, $L$6)</f>
        <v>(Invalid Identifier)</v>
      </c>
      <c r="I41" s="542" t="str">
        <f>_xll.ciqfunctions.udf.CIQ(A41, "IQ_LASTSALEPRICE", $B$1,$L$5)</f>
        <v>(Invalid Identifier)</v>
      </c>
      <c r="J41" s="542" t="str">
        <f>_xll.ciqfunctions.udf.CIQ($A41, "IQ_MARKETCAP", $L$2, $L$5, $L$6)</f>
        <v>(Invalid Identifier)</v>
      </c>
      <c r="K41" s="542" t="str">
        <f>_xll.ciqfunctions.udf.CIQ($A41, "IQ_TOTAL_DEBT", IQ_LTM, $L$2,$L$4, $L$3, $L$5, $L$6)</f>
        <v>(Invalid Identifier)</v>
      </c>
      <c r="L41" s="542" t="str">
        <f>_xll.ciqfunctions.udf.CIQ($A41, "IQ_PREF_EQUITY", IQ_LTM, $L$2, $L$4, $L$3, $L$5, $L$6)</f>
        <v>(Invalid Identifier)</v>
      </c>
      <c r="M41" s="542" t="str">
        <f>_xll.ciqfunctions.udf.CIQ($A41, "IQ_MINORITY_INTEREST_TOTAL", IQ_LTM, $L$2, $L$4, $L$3, $L$5, $L$6)</f>
        <v>(Invalid Identifier)</v>
      </c>
      <c r="N41" s="542" t="str">
        <f>_xll.ciqfunctions.udf.CIQ($A41, "IQ_CASH_ST_INVEST", IQ_LTM, $L$2, $L$4, $L$3, $L$5, $L$6)</f>
        <v>(Invalid Identifier)</v>
      </c>
      <c r="O41" s="542" t="str">
        <f>_xll.ciqfunctions.udf.CIQ($A41, "IQ_TOTAL_REV", IQ_LTM-8, $L$2, $L$4, $L$3, $L$5, $L$6)</f>
        <v>(Invalid Identifier)</v>
      </c>
      <c r="P41" s="542" t="str">
        <f>_xll.ciqfunctions.udf.CIQ($A41, "IQ_TOTAL_REV", IQ_LTM - 4, $L$2, $L$4, $L$3, $L$5,$L$6)</f>
        <v>(Invalid Identifier)</v>
      </c>
      <c r="Q41" s="542" t="str">
        <f>_xll.ciqfunctions.udf.CIQ($A41, "IQ_TOTAL_REV", IQ_LTM, $L$2, $L$4, $L$3, $L$5, $L$6)</f>
        <v>(Invalid Identifier)</v>
      </c>
      <c r="R41" s="542" t="str">
        <f>_xll.ciqfunctions.udf.CIQ($A41, "IQ_TOTAL_REV", $B$2, $L$2, $L$4, $L$3, $L$5, $L$6)</f>
        <v>(Invalid Identifier)</v>
      </c>
      <c r="S41" s="542" t="str">
        <f>IF(_xll.ciqfunctions.udf.CIQ($A41, "IQ_TOTAL_REV", $B$3, $L$2,$L$4, $L$3, $L$5, $L$6)=0,Q41,_xll.ciqfunctions.udf.CIQ($A41, "IQ_TOTAL_REV", $B$3, $L$2,$L$4, $L$3, $L$5, $L$6))</f>
        <v>(Invalid Identifier)</v>
      </c>
      <c r="T41" s="542" t="str">
        <f>IF(_xll.ciqfunctions.udf.CIQ($A41, "IQ_REVENUE_EST",$B$4, $L$2, "CON", $L$3, $L$5, $L$6)=0,"n/a",_xll.ciqfunctions.udf.CIQ($A41, "IQ_REVENUE_EST",$B$4, $L$2, "CON", $L$3, $L$5, $L$6))</f>
        <v>(Invalid Identifier)</v>
      </c>
      <c r="U41" s="542" t="str">
        <f>IF(_xll.ciqfunctions.udf.CIQ($A41, "IQ_REVENUE_EST",$B$5, $L$2, "CON", $L$3, $L$5, $L$6)=0,"n/a",_xll.ciqfunctions.udf.CIQ($A41, "IQ_REVENUE_EST",$B$5, $L$2, "CON", $L$3, $L$5, $L$6))</f>
        <v>(Invalid Identifier)</v>
      </c>
      <c r="V41" s="542" t="str">
        <f>IF(_xll.ciqfunctions.udf.CIQ($A41, "IQ_REVENUE_EST",$B$6, $L$2, "CON", $L$3, $L$5, $L$6)=0,"n/a",_xll.ciqfunctions.udf.CIQ($A41, "IQ_REVENUE_EST",$B$6, $L$2, "CON", $L$3, $L$5, $L$6))</f>
        <v>(Invalid Identifier)</v>
      </c>
      <c r="W41" s="542" t="str">
        <f>IF(_xll.ciqfunctions.udf.CIQ($A41, "IQ_REVENUE_EST", $B$7, $L$2, "CON", $L$3, $L$5, $L$6)=0,"n/a",_xll.ciqfunctions.udf.CIQ($A41, "IQ_REVENUE_EST",$B$7, $L$2, "CON", $L$3, $L$5, $L$6))</f>
        <v>(Invalid Identifier)</v>
      </c>
      <c r="X41" s="542" t="str">
        <f>_xll.ciqfunctions.udf.CIQ($A41, "IQ_EBITDA", IQ_LTM-8, $L$2, $L$4, $L$3, $L$5, $L$6)</f>
        <v>(Invalid Identifier)</v>
      </c>
      <c r="Y41" s="542" t="str">
        <f>_xll.ciqfunctions.udf.CIQ($A41, "IQ_EBITDA", IQ_LTM-4, $L$2,$L$4, $L$3, $L$5, $L$6)</f>
        <v>(Invalid Identifier)</v>
      </c>
      <c r="Z41" s="542" t="str">
        <f>_xll.ciqfunctions.udf.CIQ($A41, "IQ_EBITDA", IQ_LTM, $L$2, $L$4, $L$3, $L$5, $L$6)</f>
        <v>(Invalid Identifier)</v>
      </c>
      <c r="AA41" s="542" t="str">
        <f>_xll.ciqfunctions.udf.CIQ($A41, "IQ_EBITDA", $B$2, $L$2, $L$4, $L$3, $L$5, $L$6)</f>
        <v>(Invalid Identifier)</v>
      </c>
      <c r="AB41" s="542" t="str">
        <f>IF(_xll.ciqfunctions.udf.CIQ($A41, "IQ_EBITDA", $B$3, $L$2,$L$4, $L$3, $L$5, $L$6)=0,Z41,_xll.ciqfunctions.udf.CIQ($A41, "IQ_EBITDA", $B$3, $L$2,$L$4, $L$3, $L$5, $L$6))</f>
        <v>(Invalid Identifier)</v>
      </c>
      <c r="AC41" s="542" t="str">
        <f>IF(_xll.ciqfunctions.udf.CIQ($A41, "IQ_EBITDA_EST",$B$4, $L$2, "CON", $L$3, $L$5, $L$6)=0,"n/a",_xll.ciqfunctions.udf.CIQ($A41, "IQ_EBITDA_EST",$B$4, $L$2, "CON", $L$3, $L$5, $L$6))</f>
        <v>(Invalid Identifier)</v>
      </c>
      <c r="AD41" s="542" t="str">
        <f>IF(_xll.ciqfunctions.udf.CIQ($A41, "IQ_EBITDA_EST",$B$5, $L$2, "CON", $L$3, $L$5, $L$6)=0,"n/a",_xll.ciqfunctions.udf.CIQ($A41, "IQ_EBITDA_EST",$B$5, $L$2, "CON", $L$3, $L$5, $L$6))</f>
        <v>(Invalid Identifier)</v>
      </c>
      <c r="AE41" s="542" t="str">
        <f>IF(_xll.ciqfunctions.udf.CIQ($A41, "IQ_EBITDA_EST",$B$6, $L$2, "CON", $L$3, $L$5, $L$6)=0,"n/a",_xll.ciqfunctions.udf.CIQ($A41, "IQ_EBITDA_EST",$B$6, $L$2, "CON", $L$3, $L$5, $L$6))</f>
        <v>(Invalid Identifier)</v>
      </c>
      <c r="AF41" s="543" t="str">
        <f>IF(ISERROR(_xll.ciqfunctions.udf.CIQ($A41, "IQ_GROSS_MARGIN", IQ_LTM, $L$2,$L$4, $L$3, $L$5, $L$6)/100), "n/a", _xll.ciqfunctions.udf.CIQ($A41,  "IQ_GROSS_MARGIN", IQ_LTM, $L$2, $L$4, $L$3, $L$5, $L$6)/100)</f>
        <v>n/a</v>
      </c>
      <c r="AG41" s="543" t="str">
        <f>IF(ISERROR(_xll.ciqfunctions.udf.CIQ($A41,"IQ_EBITDA_MARGIN", IQ_LTM, $L$2, $L$4, $L$3, $L$5, $L$6)/100), "n/a", _xll.ciqfunctions.udf.CIQ($A41, "IQ_EBITDA_MARGIN", IQ_LTM, $L$2, $L$4, $L$3, $L$5, $L$6)/100)</f>
        <v>n/a</v>
      </c>
      <c r="AH41" s="543" t="str">
        <f>IF(ISERROR(_xll.ciqfunctions.udf.CIQ($A41,"IQ_EBIT_MARGIN", IQ_LTM, $L$2, $L$4, $L$3, $L$5, $L$6)/100), "n/a", _xll.ciqfunctions.udf.CIQ($A41, "IQ_EBIT_MARGIN", IQ_LTM, $L$2, $L$4, $L$3, $L$5, $L$6)/100)</f>
        <v>n/a</v>
      </c>
      <c r="AI41" s="543" t="str">
        <f>IF(ISERROR(_xll.ciqfunctions.udf.CIQ($A41,"IQ_NI_MARGIN", IQ_LTM, $L$2, $L$4, $L$3, $L$5, $L$6)/100), "n/a", _xll.ciqfunctions.udf.CIQ($A41, "IQ_NI_MARGIN", IQ_LTM, $L$2, $L$4, $L$3, $L$5, $L$6)/100)</f>
        <v>n/a</v>
      </c>
      <c r="AJ41" s="542" t="str">
        <f>IF(ISERROR(_xll.ciqfunctions.udf.CIQ($A41, "IQ_NET_WORKING_CAP", IQ_LTM-8, $L$2, $L$4, $L$3, $L$5, $L$6)), "n/a", _xll.ciqfunctions.udf.CIQ($A41, "IQ_NET_WORKING_CAP", IQ_LTM-8, $L$2, $L$4, $L$3, $L$5, $L$6))</f>
        <v>(Invalid Identifier)</v>
      </c>
      <c r="AK41" s="542" t="str">
        <f>IF(ISERROR(_xll.ciqfunctions.udf.CIQ($A41, "IQ_NET_WORKING_CAP", IQ_LTM-4, $L$2, $L$4, $L$3, $L$5, $L$6)), "n/a", _xll.ciqfunctions.udf.CIQ($A41, "IQ_NET_WORKING_CAP", IQ_LTM-4, $L$2, $L$4, $L$3, $L$5, $L$6))</f>
        <v>(Invalid Identifier)</v>
      </c>
      <c r="AL41" s="542" t="str">
        <f>IF(ISERROR(_xll.ciqfunctions.udf.CIQ($A41, "IQ_NET_WORKING_CAP", IQ_LTM, $L$2,$L$4, $L$3, $L$5, $L$6)), "n/a", _xll.ciqfunctions.udf.CIQ($A41, "IQ_NET_WORKING_CAP", IQ_LTM, $L$2, $L$4, $L$3, $L$5, $L$6))</f>
        <v>(Invalid Identifier)</v>
      </c>
      <c r="AM41" s="542" t="str">
        <f>IF(ISERROR(_xll.ciqfunctions.udf.CIQ($A41, "IQ_Capex", IQ_LTM-8, $L$2,$L$4, $L$3, $L$5, $L$6)), "n/a", _xll.ciqfunctions.udf.CIQ($A41, "IQ_Capex", IQ_LTM-8, $L$2, $L$4, $L$3, $L$5, $L$6))</f>
        <v>(Invalid Identifier)</v>
      </c>
      <c r="AN41" s="542" t="str">
        <f>IF(ISERROR(_xll.ciqfunctions.udf.CIQ($A41, "IQ_Capex", IQ_LTM-4, $L$2,$L$4, $L$3, $L$5, $L$6)), "n/a", _xll.ciqfunctions.udf.CIQ($A41, "IQ_Capex", IQ_LTM-4, $L$2,$L$4, $L$3, $L$5, $L$6))</f>
        <v>(Invalid Identifier)</v>
      </c>
      <c r="AO41" s="542" t="str">
        <f>IF(ISERROR(_xll.ciqfunctions.udf.CIQ($A41, "IQ_Capex", IQ_LTM, $L$2, $L$4, $L$3, $L$5, $L$6)), "n/a", _xll.ciqfunctions.udf.CIQ($A41, "IQ_Capex", IQ_LTM, $L$2, $L$4, $L$3, $L$5, $L$6))</f>
        <v>(Invalid Identifier)</v>
      </c>
      <c r="AP41" s="544" t="str">
        <f>_xll.ciqfunctions.udf.CIQ(A41, "IQ_BUSINESS_DESCRIPTION")</f>
        <v>(Invalid Identifier)</v>
      </c>
      <c r="AQ41" s="545" t="str">
        <f>_xll.ciqfunctions.udf.CIQ($A41, "IQ_BETA_1YR", $B$1)</f>
        <v>(Invalid Identifier)</v>
      </c>
      <c r="AR41" s="545" t="str">
        <f>_xll.ciqfunctions.udf.CIQ($A41, "IQ_BETA_2YR", $B$1)</f>
        <v>(Invalid Identifier)</v>
      </c>
      <c r="AS41" s="545" t="str">
        <f>_xll.ciqfunctions.udf.CIQ($A41, "IQ_BETA_5YR", $B$1)</f>
        <v>(Invalid Identifier)</v>
      </c>
      <c r="AT41" s="543" t="e">
        <f>_xll.ciqfunctions.udf.CIQ($A41, "IQ_DIVIDEND_YIELD", $B$1)/100</f>
        <v>#VALUE!</v>
      </c>
      <c r="AU41" s="542" t="str">
        <f>_xll.ciqfunctions.udf.CIQ($A41, "IQ_EARNING_CO", IQ_LTM-8, $L$2, $L$4, $L$3, $L$5, $L$6)</f>
        <v>(Invalid Identifier)</v>
      </c>
      <c r="AV41" s="542" t="str">
        <f>_xll.ciqfunctions.udf.CIQ($A41, "IQ_EARNING_CO", IQ_LTM-4, $L$2, $L$4, $L$3, $L$5, $L$6)</f>
        <v>(Invalid Identifier)</v>
      </c>
      <c r="AW41" s="542" t="str">
        <f>_xll.ciqfunctions.udf.CIQ($A41, "IQ_EARNING_CO", IQ_LTM, $L$2, $L$4, $L$3, $L$5, $L$6)</f>
        <v>(Invalid Identifier)</v>
      </c>
      <c r="AX41" s="542" t="str">
        <f>_xll.ciqfunctions.udf.CIQ($A41, "IQ_EARNING_CO", $B$2, $L$2, $L$4, $L$3, $L$5, $L$6)</f>
        <v>(Invalid Identifier)</v>
      </c>
      <c r="AY41" s="542" t="str">
        <f>IF(_xll.ciqfunctions.udf.CIQ($A41, "IQ_EARNING_CO", $B$3, $L$2,$L$4, $L$3, $L$5, $L$6)=0,AW41,_xll.ciqfunctions.udf.CIQ($A41, "IQ_EARNING_CO", $B$3, $L$2,$L$4, $L$3, $L$5, $L$6))</f>
        <v>(Invalid Identifier)</v>
      </c>
      <c r="AZ41" s="542" t="str">
        <f>_xll.ciqfunctions.udf.CIQ($A41, "IQ_TOTAL_EQUITY", IQ_LTM-8, $L$2, $L$4, $L$3, $L$5, $L$6)</f>
        <v>(Invalid Identifier)</v>
      </c>
      <c r="BA41" s="542" t="str">
        <f>_xll.ciqfunctions.udf.CIQ($A41, "IQ_TOTAL_EQUITY", IQ_LTM-4, $L$2, $L$4, $L$3, $L$5, $L$6)</f>
        <v>(Invalid Identifier)</v>
      </c>
      <c r="BB41" s="542" t="str">
        <f>_xll.ciqfunctions.udf.CIQ($A41, "IQ_TOTAL_EQUITY", IQ_LTM, $L$2, $L$4, $L$3, $L$5, $L$6)</f>
        <v>(Invalid Identifier)</v>
      </c>
      <c r="BC41" s="542" t="str">
        <f>_xll.ciqfunctions.udf.CIQ($A41, "IQ_TOTAL_EQUITY", $B$2, $L$2, $L$4, $L$3, $L$5, $L$6)</f>
        <v>(Invalid Identifier)</v>
      </c>
      <c r="BD41" s="542" t="str">
        <f>IF(_xll.ciqfunctions.udf.CIQ($A41, "IQ_TOTAL_EQUITY", $B$3, $L$2,$L$4, $L$3, $L$5, $L$6)=0,BB41,_xll.ciqfunctions.udf.CIQ($A41, "IQ_TOTAL_EQUITY", $B$3, $L$2,$L$4, $L$3, $L$5, $L$6))</f>
        <v>(Invalid Identifier)</v>
      </c>
      <c r="BE41" s="542" t="str">
        <f>_xll.ciqfunctions.udf.CIQ(A41, "IQ_LASTSALEPRICE", $B$8)</f>
        <v>(Invalid Identifier)</v>
      </c>
      <c r="BF41" s="542" t="str">
        <f>_xll.ciqfunctions.udf.CIQ($A41, "IQ_MARKETCAP", $B$8, $L$5, $L$6)</f>
        <v>(Invalid Identifier)</v>
      </c>
      <c r="BG41" s="542" t="str">
        <f>_xll.ciqfunctions.udf.CIQ($A41, "IQ_TOTAL_DEBT", IQ_LTM, $B$8,$L$4, $L$3, $L$5, $L$6)</f>
        <v>(Invalid Identifier)</v>
      </c>
      <c r="BH41" s="492" t="str">
        <f>_xll.ciqfunctions.udf.CIQ($A41,"IQ_PREF_EQUITY",IQ_LTM,$B$8,$L$4,$L$3,$L$5,$L$6)</f>
        <v>(Invalid Identifier)</v>
      </c>
      <c r="BI41" s="492" t="str">
        <f>_xll.ciqfunctions.udf.CIQ($A41, "IQ_MINORITY_INTEREST_TOTAL", IQ_LTM,$B$8,$L$4,$L$3,$L$5,$L$6)</f>
        <v>(Invalid Identifier)</v>
      </c>
      <c r="BJ41" s="542" t="str">
        <f>_xll.ciqfunctions.udf.CIQ($A41, "IQ_CASH_ST_INVEST", IQ_LTM, $B$8, $L$4, $L$3, $L$5, $L$6)</f>
        <v>(Invalid Identifier)</v>
      </c>
      <c r="BK41" s="492" t="str">
        <f>_xll.ciqfunctions.udf.CIQ($A41, "IQ_EFFECT_TAX_RATE")</f>
        <v>(Invalid Identifier)</v>
      </c>
      <c r="BL41" s="492" t="e">
        <f>IF(_xll.ciqfunctions.udf.CIQ($A41, "IQ_TOTAL_REV_2YR_ANN_CAGR", IQ_LTM, $B$1,$L$4, $L$3, $L$5, $L$6)="NM","n/a",(_xll.ciqfunctions.udf.CIQ($A41, "IQ_TOTAL_REV_2YR_ANN_CAGR", IQ_LTM, $B$1,$L$4, $L$3, $L$5, $L$6)/100))</f>
        <v>#VALUE!</v>
      </c>
      <c r="BM41" s="492" t="e">
        <f>IF(_xll.ciqfunctions.udf.CIQ($A41, "IQ_TOTAL_REV_3YR_ANN_CAGR", IQ_LTM, $B$1,$L$4, $L$3, $L$5, $L$6)="NM","n/a",(_xll.ciqfunctions.udf.CIQ($A41, "IQ_TOTAL_REV_3YR_ANN_CAGR", IQ_LTM, $B$1,$L$4, $L$3, $L$5, $L$6)/100))</f>
        <v>#VALUE!</v>
      </c>
      <c r="BN41" s="492" t="e">
        <f>IF(_xll.ciqfunctions.udf.CIQ($A41, "IQ_TOTAL_REV_5YR_ANN_CAGR", IQ_LTM, $B$1,$L$4, $L$3, $L$5, $L$6)="NM","n/a",(_xll.ciqfunctions.udf.CIQ($A41, "IQ_TOTAL_REV_5YR_ANN_CAGR", IQ_LTM, $B$1,$L$4, $L$3, $L$5, $L$6)/100))</f>
        <v>#VALUE!</v>
      </c>
      <c r="BO41" s="492" t="e">
        <f>IF(_xll.ciqfunctions.udf.CIQ($A41,"IQ_EBITDA_2YR_ANN_CAGR", IQ_LTM,$B$1,$L$4, $L$3, $L$5, $L$6)="NM","n/a",(_xll.ciqfunctions.udf.CIQ($A41,"IQ_EBITDA_2YR_ANN_CAGR", IQ_LTM,$B$1,$L$4, $L$3, $L$5, $L$6)/100))</f>
        <v>#VALUE!</v>
      </c>
      <c r="BP41" s="492" t="e">
        <f>IF(_xll.ciqfunctions.udf.CIQ($A41,"IQ_EBITDA_3YR_ANN_CAGR", IQ_LTM,$B$1,$L$4, $L$3, $L$5, $L$6)="NM","n/a",(_xll.ciqfunctions.udf.CIQ($A41,"IQ_EBITDA_3YR_ANN_CAGR", IQ_LTM,$B$1,$L$4, $L$3, $L$5, $L$6)/100))</f>
        <v>#VALUE!</v>
      </c>
      <c r="BQ41" s="492" t="e">
        <f>IF(_xll.ciqfunctions.udf.CIQ($A41,"IQ_EBITDA_5YR_ANN_CAGR", IQ_LTM,$B$1,$L$4, $L$3, $L$5, $L$6)="NM","n/a",(_xll.ciqfunctions.udf.CIQ($A41,"IQ_EBITDA_5YR_ANN_CAGR", IQ_LTM,$B$1,$L$4, $L$3, $L$5, $L$6)/100))</f>
        <v>#VALUE!</v>
      </c>
      <c r="BR41" s="496" t="str">
        <f>IFERROR((_xll.ciqfunctions.udf.CIQ($A41, "IQ_DA_CF", IQ_LTM, $B$1, $L$4, $L$3, $L$5, $L$6)/Q41),"NM")</f>
        <v>NM</v>
      </c>
      <c r="BS41" s="546" t="e">
        <f>'Capital IQ Sheet-GPC'!BS41</f>
        <v>#VALUE!</v>
      </c>
      <c r="BT41" s="546" t="e">
        <f>'Capital IQ Sheet-GPC'!BT41</f>
        <v>#VALUE!</v>
      </c>
      <c r="BU41" s="546" t="e">
        <f>'Capital IQ Sheet-GPC'!BU41</f>
        <v>#VALUE!</v>
      </c>
      <c r="BV41" s="546" t="e">
        <f>'Capital IQ Sheet-GPC'!BV41</f>
        <v>#VALUE!</v>
      </c>
      <c r="BW41" s="546" t="e">
        <f>'Capital IQ Sheet-GPC'!BW41</f>
        <v>#VALUE!</v>
      </c>
      <c r="BX41" s="546" t="e">
        <f>'Capital IQ Sheet-GPC'!BX41</f>
        <v>#VALUE!</v>
      </c>
      <c r="BY41" s="546" t="e">
        <f>'Capital IQ Sheet-GPC'!BY41</f>
        <v>#VALUE!</v>
      </c>
      <c r="BZ41" s="546" t="e">
        <f>'Capital IQ Sheet-GPC'!BZ41</f>
        <v>#VALUE!</v>
      </c>
      <c r="CB41" s="492">
        <v>2</v>
      </c>
      <c r="CC41" s="632" t="s">
        <v>253</v>
      </c>
      <c r="CD41" s="632" t="s">
        <v>252</v>
      </c>
      <c r="CE41" s="494">
        <f t="shared" si="0"/>
        <v>42551</v>
      </c>
    </row>
    <row r="42" spans="1:83" s="492" customFormat="1" ht="12.75">
      <c r="A42" s="493" t="str">
        <f>_xll.ciqfunctions.udf.CIQ($B42,"IQ_COMPANY_TICKER")</f>
        <v>(Invalid Identifier)</v>
      </c>
      <c r="B42" s="541" t="str">
        <f>'Capital IQ Sheet-GPC'!B42</f>
        <v>(Invalid Identifier)</v>
      </c>
      <c r="C42" s="493" t="str">
        <f>_xll.ciqfunctions.udf.CIQ($A42,"IQ_COMPANY_NAME")</f>
        <v>(Invalid Identifier)</v>
      </c>
      <c r="D42" s="493" t="str">
        <f>_xll.ciqfunctions.udf.CIQ($A42, "IQ_EXCHANGE")</f>
        <v>(Invalid Identifier)</v>
      </c>
      <c r="E42" s="540" t="str">
        <f>_xll.ciqfunctions.udf.CIQ($A42, "IQ_PERIODDATE_IS", IQ_FY)</f>
        <v>(Invalid Identifier)</v>
      </c>
      <c r="F42" s="540" t="str">
        <f>_xll.ciqfunctions.udf.CIQ(A42, "IQ_PERIODDATE_IS", IQ_LTM, $B$1,$L$4,$L$3)</f>
        <v>(Invalid Identifier)</v>
      </c>
      <c r="G42" s="540" t="str">
        <f>_xll.ciqfunctions.udf.CIQ($A42, "IQ_FIRSTPRICINGDATE")</f>
        <v>(Invalid Identifier)</v>
      </c>
      <c r="H42" s="542" t="str">
        <f>_xll.ciqfunctions.udf.CIQ($A42, "IQ_TEV", $L$2, $L$5, $L$6)</f>
        <v>(Invalid Identifier)</v>
      </c>
      <c r="I42" s="542" t="str">
        <f>_xll.ciqfunctions.udf.CIQ(A42, "IQ_LASTSALEPRICE", $B$1,$L$5)</f>
        <v>(Invalid Identifier)</v>
      </c>
      <c r="J42" s="542" t="str">
        <f>_xll.ciqfunctions.udf.CIQ($A42, "IQ_MARKETCAP", $L$2, $L$5, $L$6)</f>
        <v>(Invalid Identifier)</v>
      </c>
      <c r="K42" s="542" t="str">
        <f>_xll.ciqfunctions.udf.CIQ($A42, "IQ_TOTAL_DEBT", IQ_LTM, $L$2,$L$4, $L$3, $L$5, $L$6)</f>
        <v>(Invalid Identifier)</v>
      </c>
      <c r="L42" s="542" t="str">
        <f>_xll.ciqfunctions.udf.CIQ($A42, "IQ_PREF_EQUITY", IQ_LTM, $L$2, $L$4, $L$3, $L$5, $L$6)</f>
        <v>(Invalid Identifier)</v>
      </c>
      <c r="M42" s="542" t="str">
        <f>_xll.ciqfunctions.udf.CIQ($A42, "IQ_MINORITY_INTEREST_TOTAL", IQ_LTM, $L$2, $L$4, $L$3, $L$5, $L$6)</f>
        <v>(Invalid Identifier)</v>
      </c>
      <c r="N42" s="542" t="str">
        <f>_xll.ciqfunctions.udf.CIQ($A42, "IQ_CASH_ST_INVEST", IQ_LTM, $L$2, $L$4, $L$3, $L$5, $L$6)</f>
        <v>(Invalid Identifier)</v>
      </c>
      <c r="O42" s="542" t="str">
        <f>_xll.ciqfunctions.udf.CIQ($A42, "IQ_TOTAL_REV", IQ_LTM-8, $L$2, $L$4, $L$3, $L$5, $L$6)</f>
        <v>(Invalid Identifier)</v>
      </c>
      <c r="P42" s="542" t="str">
        <f>_xll.ciqfunctions.udf.CIQ($A42, "IQ_TOTAL_REV", IQ_LTM - 4, $L$2, $L$4, $L$3, $L$5,$L$6)</f>
        <v>(Invalid Identifier)</v>
      </c>
      <c r="Q42" s="542" t="str">
        <f>_xll.ciqfunctions.udf.CIQ($A42, "IQ_TOTAL_REV", IQ_LTM, $L$2, $L$4, $L$3, $L$5, $L$6)</f>
        <v>(Invalid Identifier)</v>
      </c>
      <c r="R42" s="542" t="str">
        <f>_xll.ciqfunctions.udf.CIQ($A42, "IQ_TOTAL_REV", $B$2, $L$2, $L$4, $L$3, $L$5, $L$6)</f>
        <v>(Invalid Identifier)</v>
      </c>
      <c r="S42" s="542" t="str">
        <f>IF(_xll.ciqfunctions.udf.CIQ($A42, "IQ_TOTAL_REV", $B$3, $L$2,$L$4, $L$3, $L$5, $L$6)=0,Q42,_xll.ciqfunctions.udf.CIQ($A42, "IQ_TOTAL_REV", $B$3, $L$2,$L$4, $L$3, $L$5, $L$6))</f>
        <v>(Invalid Identifier)</v>
      </c>
      <c r="T42" s="542" t="str">
        <f>IF(_xll.ciqfunctions.udf.CIQ($A42, "IQ_REVENUE_EST",$B$4, $L$2, "CON", $L$3, $L$5, $L$6)=0,"n/a",_xll.ciqfunctions.udf.CIQ($A42, "IQ_REVENUE_EST",$B$4, $L$2, "CON", $L$3, $L$5, $L$6))</f>
        <v>(Invalid Identifier)</v>
      </c>
      <c r="U42" s="542" t="str">
        <f>IF(_xll.ciqfunctions.udf.CIQ($A42, "IQ_REVENUE_EST",$B$5, $L$2, "CON", $L$3, $L$5, $L$6)=0,"n/a",_xll.ciqfunctions.udf.CIQ($A42, "IQ_REVENUE_EST",$B$5, $L$2, "CON", $L$3, $L$5, $L$6))</f>
        <v>(Invalid Identifier)</v>
      </c>
      <c r="V42" s="542" t="str">
        <f>IF(_xll.ciqfunctions.udf.CIQ($A42, "IQ_REVENUE_EST",$B$6, $L$2, "CON", $L$3, $L$5, $L$6)=0,"n/a",_xll.ciqfunctions.udf.CIQ($A42, "IQ_REVENUE_EST",$B$6, $L$2, "CON", $L$3, $L$5, $L$6))</f>
        <v>(Invalid Identifier)</v>
      </c>
      <c r="W42" s="542" t="str">
        <f>IF(_xll.ciqfunctions.udf.CIQ($A42, "IQ_REVENUE_EST", $B$7, $L$2, "CON", $L$3, $L$5, $L$6)=0,"n/a",_xll.ciqfunctions.udf.CIQ($A42, "IQ_REVENUE_EST",$B$7, $L$2, "CON", $L$3, $L$5, $L$6))</f>
        <v>(Invalid Identifier)</v>
      </c>
      <c r="X42" s="542" t="str">
        <f>_xll.ciqfunctions.udf.CIQ($A42, "IQ_EBITDA", IQ_LTM-8, $L$2, $L$4, $L$3, $L$5, $L$6)</f>
        <v>(Invalid Identifier)</v>
      </c>
      <c r="Y42" s="542" t="str">
        <f>_xll.ciqfunctions.udf.CIQ($A42, "IQ_EBITDA", IQ_LTM-4, $L$2,$L$4, $L$3, $L$5, $L$6)</f>
        <v>(Invalid Identifier)</v>
      </c>
      <c r="Z42" s="542" t="str">
        <f>_xll.ciqfunctions.udf.CIQ($A42, "IQ_EBITDA", IQ_LTM, $L$2, $L$4, $L$3, $L$5, $L$6)</f>
        <v>(Invalid Identifier)</v>
      </c>
      <c r="AA42" s="542" t="str">
        <f>_xll.ciqfunctions.udf.CIQ($A42, "IQ_EBITDA", $B$2, $L$2, $L$4, $L$3, $L$5, $L$6)</f>
        <v>(Invalid Identifier)</v>
      </c>
      <c r="AB42" s="542" t="str">
        <f>IF(_xll.ciqfunctions.udf.CIQ($A42, "IQ_EBITDA", $B$3, $L$2,$L$4, $L$3, $L$5, $L$6)=0,Z42,_xll.ciqfunctions.udf.CIQ($A42, "IQ_EBITDA", $B$3, $L$2,$L$4, $L$3, $L$5, $L$6))</f>
        <v>(Invalid Identifier)</v>
      </c>
      <c r="AC42" s="542" t="str">
        <f>IF(_xll.ciqfunctions.udf.CIQ($A42, "IQ_EBITDA_EST",$B$4, $L$2, "CON", $L$3, $L$5, $L$6)=0,"n/a",_xll.ciqfunctions.udf.CIQ($A42, "IQ_EBITDA_EST",$B$4, $L$2, "CON", $L$3, $L$5, $L$6))</f>
        <v>(Invalid Identifier)</v>
      </c>
      <c r="AD42" s="542" t="str">
        <f>IF(_xll.ciqfunctions.udf.CIQ($A42, "IQ_EBITDA_EST",$B$5, $L$2, "CON", $L$3, $L$5, $L$6)=0,"n/a",_xll.ciqfunctions.udf.CIQ($A42, "IQ_EBITDA_EST",$B$5, $L$2, "CON", $L$3, $L$5, $L$6))</f>
        <v>(Invalid Identifier)</v>
      </c>
      <c r="AE42" s="542" t="str">
        <f>IF(_xll.ciqfunctions.udf.CIQ($A42, "IQ_EBITDA_EST",$B$6, $L$2, "CON", $L$3, $L$5, $L$6)=0,"n/a",_xll.ciqfunctions.udf.CIQ($A42, "IQ_EBITDA_EST",$B$6, $L$2, "CON", $L$3, $L$5, $L$6))</f>
        <v>(Invalid Identifier)</v>
      </c>
      <c r="AF42" s="543" t="str">
        <f>IF(ISERROR(_xll.ciqfunctions.udf.CIQ($A42, "IQ_GROSS_MARGIN", IQ_LTM, $L$2,$L$4, $L$3, $L$5, $L$6)/100), "n/a", _xll.ciqfunctions.udf.CIQ($A42,  "IQ_GROSS_MARGIN", IQ_LTM, $L$2, $L$4, $L$3, $L$5, $L$6)/100)</f>
        <v>n/a</v>
      </c>
      <c r="AG42" s="543" t="str">
        <f>IF(ISERROR(_xll.ciqfunctions.udf.CIQ($A42,"IQ_EBITDA_MARGIN", IQ_LTM, $L$2, $L$4, $L$3, $L$5, $L$6)/100), "n/a", _xll.ciqfunctions.udf.CIQ($A42, "IQ_EBITDA_MARGIN", IQ_LTM, $L$2, $L$4, $L$3, $L$5, $L$6)/100)</f>
        <v>n/a</v>
      </c>
      <c r="AH42" s="543" t="str">
        <f>IF(ISERROR(_xll.ciqfunctions.udf.CIQ($A42,"IQ_EBIT_MARGIN", IQ_LTM, $L$2, $L$4, $L$3, $L$5, $L$6)/100), "n/a", _xll.ciqfunctions.udf.CIQ($A42, "IQ_EBIT_MARGIN", IQ_LTM, $L$2, $L$4, $L$3, $L$5, $L$6)/100)</f>
        <v>n/a</v>
      </c>
      <c r="AI42" s="543" t="str">
        <f>IF(ISERROR(_xll.ciqfunctions.udf.CIQ($A42,"IQ_NI_MARGIN", IQ_LTM, $L$2, $L$4, $L$3, $L$5, $L$6)/100), "n/a", _xll.ciqfunctions.udf.CIQ($A42, "IQ_NI_MARGIN", IQ_LTM, $L$2, $L$4, $L$3, $L$5, $L$6)/100)</f>
        <v>n/a</v>
      </c>
      <c r="AJ42" s="542" t="str">
        <f>IF(ISERROR(_xll.ciqfunctions.udf.CIQ($A42, "IQ_NET_WORKING_CAP", IQ_LTM-8, $L$2, $L$4, $L$3, $L$5, $L$6)), "n/a", _xll.ciqfunctions.udf.CIQ($A42, "IQ_NET_WORKING_CAP", IQ_LTM-8, $L$2, $L$4, $L$3, $L$5, $L$6))</f>
        <v>(Invalid Identifier)</v>
      </c>
      <c r="AK42" s="542" t="str">
        <f>IF(ISERROR(_xll.ciqfunctions.udf.CIQ($A42, "IQ_NET_WORKING_CAP", IQ_LTM-4, $L$2, $L$4, $L$3, $L$5, $L$6)), "n/a", _xll.ciqfunctions.udf.CIQ($A42, "IQ_NET_WORKING_CAP", IQ_LTM-4, $L$2, $L$4, $L$3, $L$5, $L$6))</f>
        <v>(Invalid Identifier)</v>
      </c>
      <c r="AL42" s="542" t="str">
        <f>IF(ISERROR(_xll.ciqfunctions.udf.CIQ($A42, "IQ_NET_WORKING_CAP", IQ_LTM, $L$2,$L$4, $L$3, $L$5, $L$6)), "n/a", _xll.ciqfunctions.udf.CIQ($A42, "IQ_NET_WORKING_CAP", IQ_LTM, $L$2, $L$4, $L$3, $L$5, $L$6))</f>
        <v>(Invalid Identifier)</v>
      </c>
      <c r="AM42" s="542" t="str">
        <f>IF(ISERROR(_xll.ciqfunctions.udf.CIQ($A42, "IQ_Capex", IQ_LTM-8, $L$2,$L$4, $L$3, $L$5, $L$6)), "n/a", _xll.ciqfunctions.udf.CIQ($A42, "IQ_Capex", IQ_LTM-8, $L$2, $L$4, $L$3, $L$5, $L$6))</f>
        <v>(Invalid Identifier)</v>
      </c>
      <c r="AN42" s="542" t="str">
        <f>IF(ISERROR(_xll.ciqfunctions.udf.CIQ($A42, "IQ_Capex", IQ_LTM-4, $L$2,$L$4, $L$3, $L$5, $L$6)), "n/a", _xll.ciqfunctions.udf.CIQ($A42, "IQ_Capex", IQ_LTM-4, $L$2,$L$4, $L$3, $L$5, $L$6))</f>
        <v>(Invalid Identifier)</v>
      </c>
      <c r="AO42" s="542" t="str">
        <f>IF(ISERROR(_xll.ciqfunctions.udf.CIQ($A42, "IQ_Capex", IQ_LTM, $L$2, $L$4, $L$3, $L$5, $L$6)), "n/a", _xll.ciqfunctions.udf.CIQ($A42, "IQ_Capex", IQ_LTM, $L$2, $L$4, $L$3, $L$5, $L$6))</f>
        <v>(Invalid Identifier)</v>
      </c>
      <c r="AP42" s="544" t="str">
        <f>_xll.ciqfunctions.udf.CIQ(A42, "IQ_BUSINESS_DESCRIPTION")</f>
        <v>(Invalid Identifier)</v>
      </c>
      <c r="AQ42" s="545" t="str">
        <f>_xll.ciqfunctions.udf.CIQ($A42, "IQ_BETA_1YR", $B$1)</f>
        <v>(Invalid Identifier)</v>
      </c>
      <c r="AR42" s="545" t="str">
        <f>_xll.ciqfunctions.udf.CIQ($A42, "IQ_BETA_2YR", $B$1)</f>
        <v>(Invalid Identifier)</v>
      </c>
      <c r="AS42" s="545" t="str">
        <f>_xll.ciqfunctions.udf.CIQ($A42, "IQ_BETA_5YR", $B$1)</f>
        <v>(Invalid Identifier)</v>
      </c>
      <c r="AT42" s="543" t="e">
        <f>_xll.ciqfunctions.udf.CIQ($A42, "IQ_DIVIDEND_YIELD", $B$1)/100</f>
        <v>#VALUE!</v>
      </c>
      <c r="AU42" s="542" t="str">
        <f>_xll.ciqfunctions.udf.CIQ($A42, "IQ_EARNING_CO", IQ_LTM-8, $L$2, $L$4, $L$3, $L$5, $L$6)</f>
        <v>(Invalid Identifier)</v>
      </c>
      <c r="AV42" s="542" t="str">
        <f>_xll.ciqfunctions.udf.CIQ($A42, "IQ_EARNING_CO", IQ_LTM-4, $L$2, $L$4, $L$3, $L$5, $L$6)</f>
        <v>(Invalid Identifier)</v>
      </c>
      <c r="AW42" s="542" t="str">
        <f>_xll.ciqfunctions.udf.CIQ($A42, "IQ_EARNING_CO", IQ_LTM, $L$2, $L$4, $L$3, $L$5, $L$6)</f>
        <v>(Invalid Identifier)</v>
      </c>
      <c r="AX42" s="542" t="str">
        <f>_xll.ciqfunctions.udf.CIQ($A42, "IQ_EARNING_CO", $B$2, $L$2, $L$4, $L$3, $L$5, $L$6)</f>
        <v>(Invalid Identifier)</v>
      </c>
      <c r="AY42" s="542" t="str">
        <f>IF(_xll.ciqfunctions.udf.CIQ($A42, "IQ_EARNING_CO", $B$3, $L$2,$L$4, $L$3, $L$5, $L$6)=0,AW42,_xll.ciqfunctions.udf.CIQ($A42, "IQ_EARNING_CO", $B$3, $L$2,$L$4, $L$3, $L$5, $L$6))</f>
        <v>(Invalid Identifier)</v>
      </c>
      <c r="AZ42" s="542" t="str">
        <f>_xll.ciqfunctions.udf.CIQ($A42, "IQ_TOTAL_EQUITY", IQ_LTM-8, $L$2, $L$4, $L$3, $L$5, $L$6)</f>
        <v>(Invalid Identifier)</v>
      </c>
      <c r="BA42" s="542" t="str">
        <f>_xll.ciqfunctions.udf.CIQ($A42, "IQ_TOTAL_EQUITY", IQ_LTM-4, $L$2, $L$4, $L$3, $L$5, $L$6)</f>
        <v>(Invalid Identifier)</v>
      </c>
      <c r="BB42" s="542" t="str">
        <f>_xll.ciqfunctions.udf.CIQ($A42, "IQ_TOTAL_EQUITY", IQ_LTM, $L$2, $L$4, $L$3, $L$5, $L$6)</f>
        <v>(Invalid Identifier)</v>
      </c>
      <c r="BC42" s="542" t="str">
        <f>_xll.ciqfunctions.udf.CIQ($A42, "IQ_TOTAL_EQUITY", $B$2, $L$2, $L$4, $L$3, $L$5, $L$6)</f>
        <v>(Invalid Identifier)</v>
      </c>
      <c r="BD42" s="542" t="str">
        <f>IF(_xll.ciqfunctions.udf.CIQ($A42, "IQ_TOTAL_EQUITY", $B$3, $L$2,$L$4, $L$3, $L$5, $L$6)=0,BB42,_xll.ciqfunctions.udf.CIQ($A42, "IQ_TOTAL_EQUITY", $B$3, $L$2,$L$4, $L$3, $L$5, $L$6))</f>
        <v>(Invalid Identifier)</v>
      </c>
      <c r="BE42" s="542" t="str">
        <f>_xll.ciqfunctions.udf.CIQ(A42, "IQ_LASTSALEPRICE", $B$8)</f>
        <v>(Invalid Identifier)</v>
      </c>
      <c r="BF42" s="542" t="str">
        <f>_xll.ciqfunctions.udf.CIQ($A42, "IQ_MARKETCAP", $B$8, $L$5, $L$6)</f>
        <v>(Invalid Identifier)</v>
      </c>
      <c r="BG42" s="542" t="str">
        <f>_xll.ciqfunctions.udf.CIQ($A42, "IQ_TOTAL_DEBT", IQ_LTM, $B$8,$L$4, $L$3, $L$5, $L$6)</f>
        <v>(Invalid Identifier)</v>
      </c>
      <c r="BH42" s="492" t="str">
        <f>_xll.ciqfunctions.udf.CIQ($A42,"IQ_PREF_EQUITY",IQ_LTM,$B$8,$L$4,$L$3,$L$5,$L$6)</f>
        <v>(Invalid Identifier)</v>
      </c>
      <c r="BI42" s="492" t="str">
        <f>_xll.ciqfunctions.udf.CIQ($A42, "IQ_MINORITY_INTEREST_TOTAL", IQ_LTM,$B$8,$L$4,$L$3,$L$5,$L$6)</f>
        <v>(Invalid Identifier)</v>
      </c>
      <c r="BJ42" s="542" t="str">
        <f>_xll.ciqfunctions.udf.CIQ($A42, "IQ_CASH_ST_INVEST", IQ_LTM, $B$8, $L$4, $L$3, $L$5, $L$6)</f>
        <v>(Invalid Identifier)</v>
      </c>
      <c r="BK42" s="492" t="str">
        <f>_xll.ciqfunctions.udf.CIQ($A42, "IQ_EFFECT_TAX_RATE")</f>
        <v>(Invalid Identifier)</v>
      </c>
      <c r="BL42" s="492" t="e">
        <f>IF(_xll.ciqfunctions.udf.CIQ($A42, "IQ_TOTAL_REV_2YR_ANN_CAGR", IQ_LTM, $B$1,$L$4, $L$3, $L$5, $L$6)="NM","n/a",(_xll.ciqfunctions.udf.CIQ($A42, "IQ_TOTAL_REV_2YR_ANN_CAGR", IQ_LTM, $B$1,$L$4, $L$3, $L$5, $L$6)/100))</f>
        <v>#VALUE!</v>
      </c>
      <c r="BM42" s="492" t="e">
        <f>IF(_xll.ciqfunctions.udf.CIQ($A42, "IQ_TOTAL_REV_3YR_ANN_CAGR", IQ_LTM, $B$1,$L$4, $L$3, $L$5, $L$6)="NM","n/a",(_xll.ciqfunctions.udf.CIQ($A42, "IQ_TOTAL_REV_3YR_ANN_CAGR", IQ_LTM, $B$1,$L$4, $L$3, $L$5, $L$6)/100))</f>
        <v>#VALUE!</v>
      </c>
      <c r="BN42" s="492" t="e">
        <f>IF(_xll.ciqfunctions.udf.CIQ($A42, "IQ_TOTAL_REV_5YR_ANN_CAGR", IQ_LTM, $B$1,$L$4, $L$3, $L$5, $L$6)="NM","n/a",(_xll.ciqfunctions.udf.CIQ($A42, "IQ_TOTAL_REV_5YR_ANN_CAGR", IQ_LTM, $B$1,$L$4, $L$3, $L$5, $L$6)/100))</f>
        <v>#VALUE!</v>
      </c>
      <c r="BO42" s="492" t="e">
        <f>IF(_xll.ciqfunctions.udf.CIQ($A42,"IQ_EBITDA_2YR_ANN_CAGR", IQ_LTM,$B$1,$L$4, $L$3, $L$5, $L$6)="NM","n/a",(_xll.ciqfunctions.udf.CIQ($A42,"IQ_EBITDA_2YR_ANN_CAGR", IQ_LTM,$B$1,$L$4, $L$3, $L$5, $L$6)/100))</f>
        <v>#VALUE!</v>
      </c>
      <c r="BP42" s="492" t="e">
        <f>IF(_xll.ciqfunctions.udf.CIQ($A42,"IQ_EBITDA_3YR_ANN_CAGR", IQ_LTM,$B$1,$L$4, $L$3, $L$5, $L$6)="NM","n/a",(_xll.ciqfunctions.udf.CIQ($A42,"IQ_EBITDA_3YR_ANN_CAGR", IQ_LTM,$B$1,$L$4, $L$3, $L$5, $L$6)/100))</f>
        <v>#VALUE!</v>
      </c>
      <c r="BQ42" s="492" t="e">
        <f>IF(_xll.ciqfunctions.udf.CIQ($A42,"IQ_EBITDA_5YR_ANN_CAGR", IQ_LTM,$B$1,$L$4, $L$3, $L$5, $L$6)="NM","n/a",(_xll.ciqfunctions.udf.CIQ($A42,"IQ_EBITDA_5YR_ANN_CAGR", IQ_LTM,$B$1,$L$4, $L$3, $L$5, $L$6)/100))</f>
        <v>#VALUE!</v>
      </c>
      <c r="BR42" s="496" t="str">
        <f>IFERROR((_xll.ciqfunctions.udf.CIQ($A42, "IQ_DA_CF", IQ_LTM, $B$1, $L$4, $L$3, $L$5, $L$6)/Q42),"NM")</f>
        <v>NM</v>
      </c>
      <c r="BS42" s="546" t="e">
        <f>'Capital IQ Sheet-GPC'!BS42</f>
        <v>#VALUE!</v>
      </c>
      <c r="BT42" s="546" t="e">
        <f>'Capital IQ Sheet-GPC'!BT42</f>
        <v>#VALUE!</v>
      </c>
      <c r="BU42" s="546" t="e">
        <f>'Capital IQ Sheet-GPC'!BU42</f>
        <v>#VALUE!</v>
      </c>
      <c r="BV42" s="546" t="e">
        <f>'Capital IQ Sheet-GPC'!BV42</f>
        <v>#VALUE!</v>
      </c>
      <c r="BW42" s="546" t="e">
        <f>'Capital IQ Sheet-GPC'!BW42</f>
        <v>#VALUE!</v>
      </c>
      <c r="BX42" s="546" t="e">
        <f>'Capital IQ Sheet-GPC'!BX42</f>
        <v>#VALUE!</v>
      </c>
      <c r="BY42" s="546" t="e">
        <f>'Capital IQ Sheet-GPC'!BY42</f>
        <v>#VALUE!</v>
      </c>
      <c r="BZ42" s="546" t="e">
        <f>'Capital IQ Sheet-GPC'!BZ42</f>
        <v>#VALUE!</v>
      </c>
      <c r="CB42" s="492">
        <v>2</v>
      </c>
      <c r="CC42" s="632" t="s">
        <v>253</v>
      </c>
      <c r="CD42" s="632" t="s">
        <v>252</v>
      </c>
      <c r="CE42" s="494">
        <f t="shared" si="0"/>
        <v>42551</v>
      </c>
    </row>
    <row r="43" spans="1:83">
      <c r="A43" s="539" t="str">
        <f>'Capital IQ Sheet-GPC'!A43</f>
        <v>Comparable Public Companies (Secondary)</v>
      </c>
      <c r="B43" s="541"/>
      <c r="E43" s="540"/>
      <c r="F43" s="540"/>
      <c r="G43" s="540"/>
      <c r="H43" s="542"/>
      <c r="I43" s="542"/>
      <c r="K43" s="542"/>
      <c r="M43" s="542"/>
      <c r="N43" s="542"/>
      <c r="O43" s="542"/>
      <c r="P43" s="542"/>
      <c r="Q43" s="542"/>
      <c r="R43" s="542"/>
      <c r="S43" s="542"/>
      <c r="U43" s="542"/>
      <c r="V43" s="542"/>
      <c r="W43" s="542"/>
      <c r="X43" s="542"/>
      <c r="Y43" s="542"/>
      <c r="Z43" s="542"/>
      <c r="AA43" s="542"/>
      <c r="AB43" s="542"/>
      <c r="AC43" s="542"/>
      <c r="AE43" s="542"/>
      <c r="AF43" s="543"/>
      <c r="AG43" s="543"/>
      <c r="AH43" s="543"/>
      <c r="AI43" s="543"/>
      <c r="AJ43" s="542"/>
      <c r="AK43" s="542"/>
      <c r="AL43" s="542"/>
      <c r="AM43" s="542"/>
      <c r="AN43" s="542"/>
      <c r="AO43" s="542"/>
      <c r="AP43" s="544"/>
      <c r="AQ43" s="545"/>
      <c r="AR43" s="545"/>
      <c r="AS43" s="545"/>
      <c r="AU43" s="542"/>
      <c r="AV43" s="542"/>
      <c r="AW43" s="542"/>
      <c r="AX43" s="542"/>
      <c r="AY43" s="542"/>
      <c r="AZ43" s="542"/>
      <c r="BA43" s="542"/>
      <c r="BB43" s="542"/>
      <c r="BC43" s="542"/>
      <c r="BD43" s="542"/>
      <c r="BE43" s="542"/>
      <c r="BF43" s="542"/>
      <c r="BG43" s="542"/>
      <c r="BH43" s="489"/>
      <c r="BI43" s="489"/>
      <c r="BJ43" s="542"/>
      <c r="BK43" s="489"/>
      <c r="BL43" s="489"/>
      <c r="BM43" s="489"/>
      <c r="BN43" s="489"/>
      <c r="BO43" s="489"/>
      <c r="BP43" s="489"/>
      <c r="BQ43" s="489"/>
      <c r="BR43" s="489"/>
      <c r="BS43" s="489"/>
      <c r="BT43" s="489"/>
      <c r="BU43" s="489"/>
      <c r="BV43" s="489"/>
      <c r="BW43" s="489"/>
      <c r="BX43" s="489"/>
      <c r="BY43" s="489"/>
      <c r="BZ43" s="489"/>
    </row>
    <row r="44" spans="1:83">
      <c r="A44" s="493" t="str">
        <f>_xll.ciqfunctions.udf.CIQ($B44,"IQ_COMPANY_TICKER")</f>
        <v>(Invalid Identifier)</v>
      </c>
      <c r="B44" s="541" t="str">
        <f>'Capital IQ Sheet-GPC'!B44</f>
        <v>(Invalid Identifier)</v>
      </c>
      <c r="C44" s="493" t="str">
        <f>_xll.ciqfunctions.udf.CIQ($A44,"IQ_COMPANY_NAME")</f>
        <v>(Invalid Identifier)</v>
      </c>
      <c r="D44" s="493" t="str">
        <f>_xll.ciqfunctions.udf.CIQ($A44, "IQ_EXCHANGE")</f>
        <v>(Invalid Identifier)</v>
      </c>
      <c r="E44" s="540" t="str">
        <f>_xll.ciqfunctions.udf.CIQ($A44, "IQ_PERIODDATE_IS", IQ_FY)</f>
        <v>(Invalid Identifier)</v>
      </c>
      <c r="F44" s="540" t="str">
        <f>_xll.ciqfunctions.udf.CIQ(A44, "IQ_PERIODDATE_IS", IQ_LTM, $B$1,$L$4,$L$3)</f>
        <v>(Invalid Identifier)</v>
      </c>
      <c r="G44" s="540" t="str">
        <f>_xll.ciqfunctions.udf.CIQ($A44, "IQ_FIRSTPRICINGDATE")</f>
        <v>(Invalid Identifier)</v>
      </c>
      <c r="H44" s="542" t="str">
        <f>_xll.ciqfunctions.udf.CIQ($A44, "IQ_TEV", $L$2, $L$5, $L$6)</f>
        <v>(Invalid Identifier)</v>
      </c>
      <c r="I44" s="542" t="str">
        <f>_xll.ciqfunctions.udf.CIQ(A44, "IQ_LASTSALEPRICE", $B$1,$L$5)</f>
        <v>(Invalid Identifier)</v>
      </c>
      <c r="J44" s="540" t="str">
        <f>_xll.ciqfunctions.udf.CIQ($B44, "IQ_FIRSTPRICINGDATE")</f>
        <v>(Invalid Identifier)</v>
      </c>
      <c r="K44" s="542" t="str">
        <f>_xll.ciqfunctions.udf.CIQ($A44, "IQ_TOTAL_DEBT", IQ_LTM, $L$2,$L$4, $L$3, $L$5, $L$6)</f>
        <v>(Invalid Identifier)</v>
      </c>
      <c r="L44" s="542" t="str">
        <f>_xll.ciqfunctions.udf.CIQ($A44, "IQ_PREF_EQUITY", IQ_LTM, $L$2, $L$4, $L$3, $L$5, $L$6)</f>
        <v>(Invalid Identifier)</v>
      </c>
      <c r="M44" s="542" t="str">
        <f>_xll.ciqfunctions.udf.CIQ($A44, "IQ_MINORITY_INTEREST_TOTAL", IQ_LTM, $L$2, $L$4, $L$3, $L$5, $L$6)</f>
        <v>(Invalid Identifier)</v>
      </c>
      <c r="N44" s="542" t="str">
        <f>_xll.ciqfunctions.udf.CIQ($A44, "IQ_CASH_ST_INVEST", IQ_LTM, $L$2, $L$4, $L$3, $L$5, $L$6)</f>
        <v>(Invalid Identifier)</v>
      </c>
      <c r="O44" s="542" t="str">
        <f>_xll.ciqfunctions.udf.CIQ($A44, "IQ_TOTAL_REV", IQ_LTM-8, $L$2, $L$4, $L$3, $L$5, $L$6)</f>
        <v>(Invalid Identifier)</v>
      </c>
      <c r="P44" s="542" t="str">
        <f>_xll.ciqfunctions.udf.CIQ($A44, "IQ_TOTAL_REV", IQ_LTM - 4, $L$2, $L$4, $L$3, $L$5,$L$6)</f>
        <v>(Invalid Identifier)</v>
      </c>
      <c r="Q44" s="542" t="str">
        <f>_xll.ciqfunctions.udf.CIQ($A44, "IQ_TOTAL_REV", IQ_LTM, $L$2, $L$4, $L$3, $L$5, $L$6)</f>
        <v>(Invalid Identifier)</v>
      </c>
      <c r="R44" s="542" t="str">
        <f>_xll.ciqfunctions.udf.CIQ($A44, "IQ_TOTAL_REV", $B$2, $L$2, $L$4, $L$3, $L$5, $L$6)</f>
        <v>(Invalid Identifier)</v>
      </c>
      <c r="S44" s="542" t="str">
        <f>IF(_xll.ciqfunctions.udf.CIQ($A44, "IQ_TOTAL_REV", $B$3, $L$2,$L$4, $L$3, $L$5, $L$6)=0,Q44,_xll.ciqfunctions.udf.CIQ($A44, "IQ_TOTAL_REV", $B$3, $L$2,$L$4, $L$3, $L$5, $L$6))</f>
        <v>(Invalid Identifier)</v>
      </c>
      <c r="T44" s="542" t="str">
        <f>IF(_xll.ciqfunctions.udf.CIQ($A44, "IQ_REVENUE_EST",$B$4, $L$2, "CON", $L$3, $L$5, $L$6)=0,"n/a",_xll.ciqfunctions.udf.CIQ($A44, "IQ_REVENUE_EST",$B$4, $L$2, "CON", $L$3, $L$5, $L$6))</f>
        <v>(Invalid Identifier)</v>
      </c>
      <c r="U44" s="542" t="str">
        <f>IF(_xll.ciqfunctions.udf.CIQ($A44, "IQ_REVENUE_EST",$B$5, $L$2, "CON", $L$3, $L$5, $L$6)=0,"n/a",_xll.ciqfunctions.udf.CIQ($A44, "IQ_REVENUE_EST",$B$5, $L$2, "CON", $L$3, $L$5, $L$6))</f>
        <v>(Invalid Identifier)</v>
      </c>
      <c r="V44" s="542" t="str">
        <f>IF(_xll.ciqfunctions.udf.CIQ($A44, "IQ_REVENUE_EST",$B$6, $L$2, "CON", $L$3, $L$5, $L$6)=0,"n/a",_xll.ciqfunctions.udf.CIQ($A44, "IQ_REVENUE_EST",$B$6, $L$2, "CON", $L$3, $L$5, $L$6))</f>
        <v>(Invalid Identifier)</v>
      </c>
      <c r="W44" s="542" t="str">
        <f>IF(_xll.ciqfunctions.udf.CIQ($A44, "IQ_REVENUE_EST", $B$7, $L$2, "CON", $L$3, $L$5, $L$6)=0,"n/a",_xll.ciqfunctions.udf.CIQ($A44, "IQ_REVENUE_EST",$B$7, $L$2, "CON", $L$3, $L$5, $L$6))</f>
        <v>(Invalid Identifier)</v>
      </c>
      <c r="X44" s="542" t="str">
        <f>_xll.ciqfunctions.udf.CIQ($A44, "IQ_EBITDA", IQ_LTM-8, $L$2, $L$4, $L$3, $L$5, $L$6)</f>
        <v>(Invalid Identifier)</v>
      </c>
      <c r="Y44" s="542" t="str">
        <f>_xll.ciqfunctions.udf.CIQ($A44, "IQ_EBITDA", IQ_LTM-4, $L$2,$L$4, $L$3, $L$5, $L$6)</f>
        <v>(Invalid Identifier)</v>
      </c>
      <c r="Z44" s="542" t="str">
        <f>_xll.ciqfunctions.udf.CIQ($A44, "IQ_EBITDA", IQ_LTM, $L$2, $L$4, $L$3, $L$5, $L$6)</f>
        <v>(Invalid Identifier)</v>
      </c>
      <c r="AA44" s="542" t="str">
        <f>_xll.ciqfunctions.udf.CIQ($A44, "IQ_EBITDA", $B$2, $L$2, $L$4, $L$3, $L$5, $L$6)</f>
        <v>(Invalid Identifier)</v>
      </c>
      <c r="AB44" s="542" t="str">
        <f>IF(_xll.ciqfunctions.udf.CIQ($A44, "IQ_EBITDA", $B$3, $L$2,$L$4, $L$3, $L$5, $L$6)=0,Z44,_xll.ciqfunctions.udf.CIQ($A44, "IQ_EBITDA", $B$3, $L$2,$L$4, $L$3, $L$5, $L$6))</f>
        <v>(Invalid Identifier)</v>
      </c>
      <c r="AC44" s="542" t="str">
        <f>IF(_xll.ciqfunctions.udf.CIQ($A44, "IQ_EBITDA_EST",$B$4, $L$2, "CON", $L$3, $L$5, $L$6)=0,"n/a",_xll.ciqfunctions.udf.CIQ($A44, "IQ_EBITDA_EST",$B$4, $L$2, "CON", $L$3, $L$5, $L$6))</f>
        <v>(Invalid Identifier)</v>
      </c>
      <c r="AD44" s="493" t="str">
        <f>IF(_xll.ciqfunctions.udf.CIQ($A44, "IQ_EBITDA_EST",$B$5, $L$2, "CON", $L$3, $L$5, $L$6)=0,"n/a",_xll.ciqfunctions.udf.CIQ($A44, "IQ_EBITDA_EST",$B$5, $L$2, "CON", $L$3, $L$5, $L$6))</f>
        <v>(Invalid Identifier)</v>
      </c>
      <c r="AE44" s="542" t="str">
        <f>IF(_xll.ciqfunctions.udf.CIQ($A44, "IQ_EBITDA_EST",$B$6, $L$2, "CON", $L$3, $L$5, $L$6)=0,"n/a",_xll.ciqfunctions.udf.CIQ($A44, "IQ_EBITDA_EST",$B$6, $L$2, "CON", $L$3, $L$5, $L$6))</f>
        <v>(Invalid Identifier)</v>
      </c>
      <c r="AF44" s="543" t="str">
        <f>IF(ISERROR(_xll.ciqfunctions.udf.CIQ($A44, "IQ_GROSS_MARGIN", IQ_LTM, $L$2,$L$4, $L$3, $L$5, $L$6)/100), "n/a", _xll.ciqfunctions.udf.CIQ($A44,  "IQ_GROSS_MARGIN", IQ_LTM, $L$2, $L$4, $L$3, $L$5, $L$6)/100)</f>
        <v>n/a</v>
      </c>
      <c r="AG44" s="543" t="str">
        <f>IF(ISERROR(_xll.ciqfunctions.udf.CIQ($A44,"IQ_EBITDA_MARGIN", IQ_LTM, $L$2, $L$4, $L$3, $L$5, $L$6)/100), "n/a", _xll.ciqfunctions.udf.CIQ($A44, "IQ_EBITDA_MARGIN", IQ_LTM, $L$2, $L$4, $L$3, $L$5, $L$6)/100)</f>
        <v>n/a</v>
      </c>
      <c r="AH44" s="543" t="str">
        <f>IF(ISERROR(_xll.ciqfunctions.udf.CIQ($A44,"IQ_EBIT_MARGIN", IQ_LTM, $L$2, $L$4, $L$3, $L$5, $L$6)/100), "n/a", _xll.ciqfunctions.udf.CIQ($A44, "IQ_EBIT_MARGIN", IQ_LTM, $L$2, $L$4, $L$3, $L$5, $L$6)/100)</f>
        <v>n/a</v>
      </c>
      <c r="AI44" s="543" t="str">
        <f>IF(ISERROR(_xll.ciqfunctions.udf.CIQ($A44,"IQ_NI_MARGIN", IQ_LTM, $L$2, $L$4, $L$3, $L$5, $L$6)/100), "n/a", _xll.ciqfunctions.udf.CIQ($A44, "IQ_NI_MARGIN", IQ_LTM, $L$2, $L$4, $L$3, $L$5, $L$6)/100)</f>
        <v>n/a</v>
      </c>
      <c r="AJ44" s="542" t="str">
        <f>IF(ISERROR(_xll.ciqfunctions.udf.CIQ($A44, "IQ_NET_WORKING_CAP", IQ_LTM-8, $L$2, $L$4, $L$3, $L$5, $L$6)), "n/a", _xll.ciqfunctions.udf.CIQ($A44, "IQ_NET_WORKING_CAP", IQ_LTM-8, $L$2, $L$4, $L$3, $L$5, $L$6))</f>
        <v>(Invalid Identifier)</v>
      </c>
      <c r="AK44" s="542" t="str">
        <f>IF(ISERROR(_xll.ciqfunctions.udf.CIQ($A44, "IQ_NET_WORKING_CAP", IQ_LTM-4, $L$2, $L$4, $L$3, $L$5, $L$6)), "n/a", _xll.ciqfunctions.udf.CIQ($A44, "IQ_NET_WORKING_CAP", IQ_LTM-4, $L$2, $L$4, $L$3, $L$5, $L$6))</f>
        <v>(Invalid Identifier)</v>
      </c>
      <c r="AL44" s="542" t="str">
        <f>IF(ISERROR(_xll.ciqfunctions.udf.CIQ($A44, "IQ_NET_WORKING_CAP", IQ_LTM, $L$2,$L$4, $L$3, $L$5, $L$6)), "n/a", _xll.ciqfunctions.udf.CIQ($A44, "IQ_NET_WORKING_CAP", IQ_LTM, $L$2, $L$4, $L$3, $L$5, $L$6))</f>
        <v>(Invalid Identifier)</v>
      </c>
      <c r="AM44" s="542" t="str">
        <f>IF(ISERROR(_xll.ciqfunctions.udf.CIQ($A44, "IQ_Capex", IQ_LTM-8, $L$2,$L$4, $L$3, $L$5, $L$6)), "n/a", _xll.ciqfunctions.udf.CIQ($A44, "IQ_Capex", IQ_LTM-8, $L$2, $L$4, $L$3, $L$5, $L$6))</f>
        <v>(Invalid Identifier)</v>
      </c>
      <c r="AN44" s="542" t="str">
        <f>IF(ISERROR(_xll.ciqfunctions.udf.CIQ($A44, "IQ_Capex", IQ_LTM-4, $L$2,$L$4, $L$3, $L$5, $L$6)), "n/a", _xll.ciqfunctions.udf.CIQ($A44, "IQ_Capex", IQ_LTM-4, $L$2,$L$4, $L$3, $L$5, $L$6))</f>
        <v>(Invalid Identifier)</v>
      </c>
      <c r="AO44" s="542" t="str">
        <f>IF(ISERROR(_xll.ciqfunctions.udf.CIQ($A44, "IQ_Capex", IQ_LTM, $L$2, $L$4, $L$3, $L$5, $L$6)), "n/a", _xll.ciqfunctions.udf.CIQ($A44, "IQ_Capex", IQ_LTM, $L$2, $L$4, $L$3, $L$5, $L$6))</f>
        <v>(Invalid Identifier)</v>
      </c>
      <c r="AP44" s="544" t="str">
        <f>_xll.ciqfunctions.udf.CIQ(A44, "IQ_BUSINESS_DESCRIPTION")</f>
        <v>(Invalid Identifier)</v>
      </c>
      <c r="AQ44" s="545" t="str">
        <f>_xll.ciqfunctions.udf.CIQ($A44, "IQ_BETA_1YR", $B$1)</f>
        <v>(Invalid Identifier)</v>
      </c>
      <c r="AR44" s="545" t="str">
        <f>_xll.ciqfunctions.udf.CIQ($A44, "IQ_BETA_2YR", $B$1)</f>
        <v>(Invalid Identifier)</v>
      </c>
      <c r="AS44" s="545" t="str">
        <f>_xll.ciqfunctions.udf.CIQ($A44, "IQ_BETA_5YR", $B$1)</f>
        <v>(Invalid Identifier)</v>
      </c>
      <c r="AT44" s="493" t="str">
        <f>_xll.ciqfunctions.udf.CIQ($B44, "IQ_GP", IQ_LTM,$B$1, ,,"USD")</f>
        <v>(Invalid Identifier)</v>
      </c>
      <c r="AU44" s="542" t="str">
        <f>_xll.ciqfunctions.udf.CIQ($A44, "IQ_EARNING_CO", IQ_LTM-8, $L$2, $L$4, $L$3, $L$5, $L$6)</f>
        <v>(Invalid Identifier)</v>
      </c>
      <c r="AV44" s="542" t="str">
        <f>_xll.ciqfunctions.udf.CIQ($A44, "IQ_EARNING_CO", IQ_LTM-4, $L$2, $L$4, $L$3, $L$5, $L$6)</f>
        <v>(Invalid Identifier)</v>
      </c>
      <c r="AW44" s="542" t="str">
        <f>_xll.ciqfunctions.udf.CIQ($A44, "IQ_EARNING_CO", IQ_LTM, $L$2, $L$4, $L$3, $L$5, $L$6)</f>
        <v>(Invalid Identifier)</v>
      </c>
      <c r="AX44" s="542" t="str">
        <f>_xll.ciqfunctions.udf.CIQ($A44, "IQ_EARNING_CO", $B$2, $L$2, $L$4, $L$3, $L$5, $L$6)</f>
        <v>(Invalid Identifier)</v>
      </c>
      <c r="AY44" s="542" t="str">
        <f>IF(_xll.ciqfunctions.udf.CIQ($A44, "IQ_EARNING_CO", $B$3, $L$2,$L$4, $L$3, $L$5, $L$6)=0,AW44,_xll.ciqfunctions.udf.CIQ($A44, "IQ_EARNING_CO", $B$3, $L$2,$L$4, $L$3, $L$5, $L$6))</f>
        <v>(Invalid Identifier)</v>
      </c>
      <c r="AZ44" s="542" t="str">
        <f>_xll.ciqfunctions.udf.CIQ($A44, "IQ_TOTAL_EQUITY", IQ_LTM-8, $L$2, $L$4, $L$3, $L$5, $L$6)</f>
        <v>(Invalid Identifier)</v>
      </c>
      <c r="BA44" s="542" t="str">
        <f>_xll.ciqfunctions.udf.CIQ($A44, "IQ_TOTAL_EQUITY", IQ_LTM-4, $L$2, $L$4, $L$3, $L$5, $L$6)</f>
        <v>(Invalid Identifier)</v>
      </c>
      <c r="BB44" s="542" t="str">
        <f>_xll.ciqfunctions.udf.CIQ($A44, "IQ_TOTAL_EQUITY", IQ_LTM, $L$2, $L$4, $L$3, $L$5, $L$6)</f>
        <v>(Invalid Identifier)</v>
      </c>
      <c r="BC44" s="542" t="str">
        <f>_xll.ciqfunctions.udf.CIQ($A44, "IQ_TOTAL_EQUITY", $B$2, $L$2, $L$4, $L$3, $L$5, $L$6)</f>
        <v>(Invalid Identifier)</v>
      </c>
      <c r="BD44" s="542" t="str">
        <f>IF(_xll.ciqfunctions.udf.CIQ($A44, "IQ_TOTAL_EQUITY", $B$3, $L$2,$L$4, $L$3, $L$5, $L$6)=0,BB44,_xll.ciqfunctions.udf.CIQ($A44, "IQ_TOTAL_EQUITY", $B$3, $L$2,$L$4, $L$3, $L$5, $L$6))</f>
        <v>(Invalid Identifier)</v>
      </c>
      <c r="BE44" s="542" t="str">
        <f>_xll.ciqfunctions.udf.CIQ(A44, "IQ_LASTSALEPRICE", $B$8)</f>
        <v>(Invalid Identifier)</v>
      </c>
      <c r="BF44" s="542" t="str">
        <f>_xll.ciqfunctions.udf.CIQ($A44, "IQ_MARKETCAP", $B$8, $L$5, $L$6)</f>
        <v>(Invalid Identifier)</v>
      </c>
      <c r="BG44" s="542" t="str">
        <f>_xll.ciqfunctions.udf.CIQ($A44, "IQ_TOTAL_DEBT", IQ_LTM, $B$8,$L$4, $L$3, $L$5, $L$6)</f>
        <v>(Invalid Identifier)</v>
      </c>
      <c r="BH44" s="492" t="str">
        <f>_xll.ciqfunctions.udf.CIQ($A44,"IQ_PREF_EQUITY",IQ_LTM,$B$8,$L$4,$L$3,$L$5,$L$6)</f>
        <v>(Invalid Identifier)</v>
      </c>
      <c r="BI44" s="492" t="str">
        <f>_xll.ciqfunctions.udf.CIQ($A44, "IQ_MINORITY_INTEREST_TOTAL", IQ_LTM,$B$8,$L$4,$L$3,$L$5,$L$6)</f>
        <v>(Invalid Identifier)</v>
      </c>
      <c r="BJ44" s="542" t="str">
        <f>_xll.ciqfunctions.udf.CIQ($A44, "IQ_CASH_ST_INVEST", IQ_LTM, $B$8, $L$4, $L$3, $L$5, $L$6)</f>
        <v>(Invalid Identifier)</v>
      </c>
      <c r="BK44" s="492" t="str">
        <f>_xll.ciqfunctions.udf.CIQ($A44, "IQ_EFFECT_TAX_RATE")</f>
        <v>(Invalid Identifier)</v>
      </c>
      <c r="BL44" s="492" t="e">
        <f>IF(_xll.ciqfunctions.udf.CIQ($A44, "IQ_TOTAL_REV_2YR_ANN_CAGR", IQ_LTM, $B$1,$L$4, $L$3, $L$5, $L$6)="NM","n/a",(_xll.ciqfunctions.udf.CIQ($A44, "IQ_TOTAL_REV_2YR_ANN_CAGR", IQ_LTM, $B$1,$L$4, $L$3, $L$5, $L$6)/100))</f>
        <v>#VALUE!</v>
      </c>
      <c r="BM44" s="492" t="e">
        <f>IF(_xll.ciqfunctions.udf.CIQ($A44, "IQ_TOTAL_REV_3YR_ANN_CAGR", IQ_LTM, $B$1,$L$4, $L$3, $L$5, $L$6)="NM","n/a",(_xll.ciqfunctions.udf.CIQ($A44, "IQ_TOTAL_REV_3YR_ANN_CAGR", IQ_LTM, $B$1,$L$4, $L$3, $L$5, $L$6)/100))</f>
        <v>#VALUE!</v>
      </c>
      <c r="BN44" s="492" t="e">
        <f>IF(_xll.ciqfunctions.udf.CIQ($A44, "IQ_TOTAL_REV_5YR_ANN_CAGR", IQ_LTM, $B$1,$L$4, $L$3, $L$5, $L$6)="NM","n/a",(_xll.ciqfunctions.udf.CIQ($A44, "IQ_TOTAL_REV_5YR_ANN_CAGR", IQ_LTM, $B$1,$L$4, $L$3, $L$5, $L$6)/100))</f>
        <v>#VALUE!</v>
      </c>
      <c r="BO44" s="492" t="e">
        <f>IF(_xll.ciqfunctions.udf.CIQ($A44,"IQ_EBITDA_2YR_ANN_CAGR", IQ_LTM,$B$1,$L$4, $L$3, $L$5, $L$6)="NM","n/a",(_xll.ciqfunctions.udf.CIQ($A44,"IQ_EBITDA_2YR_ANN_CAGR", IQ_LTM,$B$1,$L$4, $L$3, $L$5, $L$6)/100))</f>
        <v>#VALUE!</v>
      </c>
      <c r="BP44" s="492" t="e">
        <f>IF(_xll.ciqfunctions.udf.CIQ($A44,"IQ_EBITDA_3YR_ANN_CAGR", IQ_LTM,$B$1,$L$4, $L$3, $L$5, $L$6)="NM","n/a",(_xll.ciqfunctions.udf.CIQ($A44,"IQ_EBITDA_3YR_ANN_CAGR", IQ_LTM,$B$1,$L$4, $L$3, $L$5, $L$6)/100))</f>
        <v>#VALUE!</v>
      </c>
      <c r="BQ44" s="492" t="e">
        <f>IF(_xll.ciqfunctions.udf.CIQ($A44,"IQ_EBITDA_5YR_ANN_CAGR", IQ_LTM,$B$1,$L$4, $L$3, $L$5, $L$6)="NM","n/a",(_xll.ciqfunctions.udf.CIQ($A44,"IQ_EBITDA_5YR_ANN_CAGR", IQ_LTM,$B$1,$L$4, $L$3, $L$5, $L$6)/100))</f>
        <v>#VALUE!</v>
      </c>
      <c r="BR44" s="496" t="str">
        <f>IFERROR((_xll.ciqfunctions.udf.CIQ($A44, "IQ_DA_CF", IQ_LTM, $B$1, $L$4, $L$3, $L$5, $L$6)/Q44),"NM")</f>
        <v>NM</v>
      </c>
      <c r="BS44" s="543" t="e">
        <f>'Capital IQ Sheet-GPC'!BS44</f>
        <v>#VALUE!</v>
      </c>
      <c r="BT44" s="543" t="e">
        <f>'Capital IQ Sheet-GPC'!BT44</f>
        <v>#VALUE!</v>
      </c>
      <c r="BU44" s="543" t="e">
        <f>'Capital IQ Sheet-GPC'!BU44</f>
        <v>#VALUE!</v>
      </c>
      <c r="BV44" s="543" t="e">
        <f>'Capital IQ Sheet-GPC'!BV44</f>
        <v>#VALUE!</v>
      </c>
      <c r="BW44" s="543" t="e">
        <f>'Capital IQ Sheet-GPC'!BW44</f>
        <v>#VALUE!</v>
      </c>
      <c r="BX44" s="543" t="e">
        <f>'Capital IQ Sheet-GPC'!BX44</f>
        <v>#VALUE!</v>
      </c>
      <c r="BY44" s="543" t="e">
        <f>'Capital IQ Sheet-GPC'!BY44</f>
        <v>#VALUE!</v>
      </c>
      <c r="BZ44" s="543" t="e">
        <f>'Capital IQ Sheet-GPC'!BZ44</f>
        <v>#VALUE!</v>
      </c>
    </row>
    <row r="45" spans="1:83">
      <c r="A45" s="493" t="str">
        <f>_xll.ciqfunctions.udf.CIQ($B45,"IQ_COMPANY_TICKER")</f>
        <v>(Invalid Identifier)</v>
      </c>
      <c r="B45" s="541" t="str">
        <f>'Capital IQ Sheet-GPC'!B45</f>
        <v>(Invalid Identifier)</v>
      </c>
      <c r="C45" s="493" t="str">
        <f>_xll.ciqfunctions.udf.CIQ($A45,"IQ_COMPANY_NAME")</f>
        <v>(Invalid Identifier)</v>
      </c>
      <c r="D45" s="493" t="str">
        <f>_xll.ciqfunctions.udf.CIQ($A45, "IQ_EXCHANGE")</f>
        <v>(Invalid Identifier)</v>
      </c>
      <c r="E45" s="540" t="str">
        <f>_xll.ciqfunctions.udf.CIQ($A45, "IQ_PERIODDATE_IS", IQ_FY)</f>
        <v>(Invalid Identifier)</v>
      </c>
      <c r="F45" s="540" t="str">
        <f>_xll.ciqfunctions.udf.CIQ(A45, "IQ_PERIODDATE_IS", IQ_LTM, $B$1,$L$4,$L$3)</f>
        <v>(Invalid Identifier)</v>
      </c>
      <c r="G45" s="540" t="str">
        <f>_xll.ciqfunctions.udf.CIQ($A45, "IQ_FIRSTPRICINGDATE")</f>
        <v>(Invalid Identifier)</v>
      </c>
      <c r="H45" s="542" t="str">
        <f>_xll.ciqfunctions.udf.CIQ($A45, "IQ_TEV", $L$2, $L$5, $L$6)</f>
        <v>(Invalid Identifier)</v>
      </c>
      <c r="I45" s="542" t="str">
        <f>_xll.ciqfunctions.udf.CIQ(A45, "IQ_LASTSALEPRICE", $B$1,$L$5)</f>
        <v>(Invalid Identifier)</v>
      </c>
      <c r="J45" s="540" t="str">
        <f>_xll.ciqfunctions.udf.CIQ($B45, "IQ_FIRSTPRICINGDATE")</f>
        <v>(Invalid Identifier)</v>
      </c>
      <c r="K45" s="542" t="str">
        <f>_xll.ciqfunctions.udf.CIQ($A45, "IQ_TOTAL_DEBT", IQ_LTM, $L$2,$L$4, $L$3, $L$5, $L$6)</f>
        <v>(Invalid Identifier)</v>
      </c>
      <c r="L45" s="542" t="str">
        <f>_xll.ciqfunctions.udf.CIQ($A45, "IQ_PREF_EQUITY", IQ_LTM, $L$2, $L$4, $L$3, $L$5, $L$6)</f>
        <v>(Invalid Identifier)</v>
      </c>
      <c r="M45" s="542" t="str">
        <f>_xll.ciqfunctions.udf.CIQ($A45, "IQ_MINORITY_INTEREST_TOTAL", IQ_LTM, $L$2, $L$4, $L$3, $L$5, $L$6)</f>
        <v>(Invalid Identifier)</v>
      </c>
      <c r="N45" s="542" t="str">
        <f>_xll.ciqfunctions.udf.CIQ($A45, "IQ_CASH_ST_INVEST", IQ_LTM, $L$2, $L$4, $L$3, $L$5, $L$6)</f>
        <v>(Invalid Identifier)</v>
      </c>
      <c r="O45" s="542" t="str">
        <f>_xll.ciqfunctions.udf.CIQ($A45, "IQ_TOTAL_REV", IQ_LTM-8, $L$2, $L$4, $L$3, $L$5, $L$6)</f>
        <v>(Invalid Identifier)</v>
      </c>
      <c r="P45" s="542" t="str">
        <f>_xll.ciqfunctions.udf.CIQ($A45, "IQ_TOTAL_REV", IQ_LTM - 4, $L$2, $L$4, $L$3, $L$5,$L$6)</f>
        <v>(Invalid Identifier)</v>
      </c>
      <c r="Q45" s="542" t="str">
        <f>_xll.ciqfunctions.udf.CIQ($A45, "IQ_TOTAL_REV", IQ_LTM, $L$2, $L$4, $L$3, $L$5, $L$6)</f>
        <v>(Invalid Identifier)</v>
      </c>
      <c r="R45" s="542" t="str">
        <f>_xll.ciqfunctions.udf.CIQ($A45, "IQ_TOTAL_REV", $B$2, $L$2, $L$4, $L$3, $L$5, $L$6)</f>
        <v>(Invalid Identifier)</v>
      </c>
      <c r="S45" s="542" t="str">
        <f>IF(_xll.ciqfunctions.udf.CIQ($A45, "IQ_TOTAL_REV", $B$3, $L$2,$L$4, $L$3, $L$5, $L$6)=0,Q45,_xll.ciqfunctions.udf.CIQ($A45, "IQ_TOTAL_REV", $B$3, $L$2,$L$4, $L$3, $L$5, $L$6))</f>
        <v>(Invalid Identifier)</v>
      </c>
      <c r="T45" s="542" t="str">
        <f>IF(_xll.ciqfunctions.udf.CIQ($A45, "IQ_REVENUE_EST",$B$4, $L$2, "CON", $L$3, $L$5, $L$6)=0,"n/a",_xll.ciqfunctions.udf.CIQ($A45, "IQ_REVENUE_EST",$B$4, $L$2, "CON", $L$3, $L$5, $L$6))</f>
        <v>(Invalid Identifier)</v>
      </c>
      <c r="U45" s="542" t="str">
        <f>IF(_xll.ciqfunctions.udf.CIQ($A45, "IQ_REVENUE_EST",$B$5, $L$2, "CON", $L$3, $L$5, $L$6)=0,"n/a",_xll.ciqfunctions.udf.CIQ($A45, "IQ_REVENUE_EST",$B$5, $L$2, "CON", $L$3, $L$5, $L$6))</f>
        <v>(Invalid Identifier)</v>
      </c>
      <c r="V45" s="542" t="str">
        <f>IF(_xll.ciqfunctions.udf.CIQ($A45, "IQ_REVENUE_EST",$B$6, $L$2, "CON", $L$3, $L$5, $L$6)=0,"n/a",_xll.ciqfunctions.udf.CIQ($A45, "IQ_REVENUE_EST",$B$6, $L$2, "CON", $L$3, $L$5, $L$6))</f>
        <v>(Invalid Identifier)</v>
      </c>
      <c r="W45" s="542" t="str">
        <f>IF(_xll.ciqfunctions.udf.CIQ($A45, "IQ_REVENUE_EST", $B$7, $L$2, "CON", $L$3, $L$5, $L$6)=0,"n/a",_xll.ciqfunctions.udf.CIQ($A45, "IQ_REVENUE_EST",$B$7, $L$2, "CON", $L$3, $L$5, $L$6))</f>
        <v>(Invalid Identifier)</v>
      </c>
      <c r="X45" s="542" t="str">
        <f>_xll.ciqfunctions.udf.CIQ($A45, "IQ_EBITDA", IQ_LTM-8, $L$2, $L$4, $L$3, $L$5, $L$6)</f>
        <v>(Invalid Identifier)</v>
      </c>
      <c r="Y45" s="542" t="str">
        <f>_xll.ciqfunctions.udf.CIQ($A45, "IQ_EBITDA", IQ_LTM-4, $L$2,$L$4, $L$3, $L$5, $L$6)</f>
        <v>(Invalid Identifier)</v>
      </c>
      <c r="Z45" s="542" t="str">
        <f>_xll.ciqfunctions.udf.CIQ($A45, "IQ_EBITDA", IQ_LTM, $L$2, $L$4, $L$3, $L$5, $L$6)</f>
        <v>(Invalid Identifier)</v>
      </c>
      <c r="AA45" s="542" t="str">
        <f>_xll.ciqfunctions.udf.CIQ($A45, "IQ_EBITDA", $B$2, $L$2, $L$4, $L$3, $L$5, $L$6)</f>
        <v>(Invalid Identifier)</v>
      </c>
      <c r="AB45" s="542" t="str">
        <f>IF(_xll.ciqfunctions.udf.CIQ($A45, "IQ_EBITDA", $B$3, $L$2,$L$4, $L$3, $L$5, $L$6)=0,Z45,_xll.ciqfunctions.udf.CIQ($A45, "IQ_EBITDA", $B$3, $L$2,$L$4, $L$3, $L$5, $L$6))</f>
        <v>(Invalid Identifier)</v>
      </c>
      <c r="AC45" s="542" t="str">
        <f>IF(_xll.ciqfunctions.udf.CIQ($A45, "IQ_EBITDA_EST",$B$4, $L$2, "CON", $L$3, $L$5, $L$6)=0,"n/a",_xll.ciqfunctions.udf.CIQ($A45, "IQ_EBITDA_EST",$B$4, $L$2, "CON", $L$3, $L$5, $L$6))</f>
        <v>(Invalid Identifier)</v>
      </c>
      <c r="AD45" s="493" t="str">
        <f>IF(_xll.ciqfunctions.udf.CIQ($A45, "IQ_EBITDA_EST",$B$5, $L$2, "CON", $L$3, $L$5, $L$6)=0,"n/a",_xll.ciqfunctions.udf.CIQ($A45, "IQ_EBITDA_EST",$B$5, $L$2, "CON", $L$3, $L$5, $L$6))</f>
        <v>(Invalid Identifier)</v>
      </c>
      <c r="AE45" s="542" t="str">
        <f>IF(_xll.ciqfunctions.udf.CIQ($A45, "IQ_EBITDA_EST",$B$6, $L$2, "CON", $L$3, $L$5, $L$6)=0,"n/a",_xll.ciqfunctions.udf.CIQ($A45, "IQ_EBITDA_EST",$B$6, $L$2, "CON", $L$3, $L$5, $L$6))</f>
        <v>(Invalid Identifier)</v>
      </c>
      <c r="AF45" s="543" t="str">
        <f>IF(ISERROR(_xll.ciqfunctions.udf.CIQ($A45, "IQ_GROSS_MARGIN", IQ_LTM, $L$2,$L$4, $L$3, $L$5, $L$6)/100), "n/a", _xll.ciqfunctions.udf.CIQ($A45,  "IQ_GROSS_MARGIN", IQ_LTM, $L$2, $L$4, $L$3, $L$5, $L$6)/100)</f>
        <v>n/a</v>
      </c>
      <c r="AG45" s="543" t="str">
        <f>IF(ISERROR(_xll.ciqfunctions.udf.CIQ($A45,"IQ_EBITDA_MARGIN", IQ_LTM, $L$2, $L$4, $L$3, $L$5, $L$6)/100), "n/a", _xll.ciqfunctions.udf.CIQ($A45, "IQ_EBITDA_MARGIN", IQ_LTM, $L$2, $L$4, $L$3, $L$5, $L$6)/100)</f>
        <v>n/a</v>
      </c>
      <c r="AH45" s="543" t="str">
        <f>IF(ISERROR(_xll.ciqfunctions.udf.CIQ($A45,"IQ_EBIT_MARGIN", IQ_LTM, $L$2, $L$4, $L$3, $L$5, $L$6)/100), "n/a", _xll.ciqfunctions.udf.CIQ($A45, "IQ_EBIT_MARGIN", IQ_LTM, $L$2, $L$4, $L$3, $L$5, $L$6)/100)</f>
        <v>n/a</v>
      </c>
      <c r="AI45" s="543" t="str">
        <f>IF(ISERROR(_xll.ciqfunctions.udf.CIQ($A45,"IQ_NI_MARGIN", IQ_LTM, $L$2, $L$4, $L$3, $L$5, $L$6)/100), "n/a", _xll.ciqfunctions.udf.CIQ($A45, "IQ_NI_MARGIN", IQ_LTM, $L$2, $L$4, $L$3, $L$5, $L$6)/100)</f>
        <v>n/a</v>
      </c>
      <c r="AJ45" s="542" t="str">
        <f>IF(ISERROR(_xll.ciqfunctions.udf.CIQ($A45, "IQ_NET_WORKING_CAP", IQ_LTM-8, $L$2, $L$4, $L$3, $L$5, $L$6)), "n/a", _xll.ciqfunctions.udf.CIQ($A45, "IQ_NET_WORKING_CAP", IQ_LTM-8, $L$2, $L$4, $L$3, $L$5, $L$6))</f>
        <v>(Invalid Identifier)</v>
      </c>
      <c r="AK45" s="542" t="str">
        <f>IF(ISERROR(_xll.ciqfunctions.udf.CIQ($A45, "IQ_NET_WORKING_CAP", IQ_LTM-4, $L$2, $L$4, $L$3, $L$5, $L$6)), "n/a", _xll.ciqfunctions.udf.CIQ($A45, "IQ_NET_WORKING_CAP", IQ_LTM-4, $L$2, $L$4, $L$3, $L$5, $L$6))</f>
        <v>(Invalid Identifier)</v>
      </c>
      <c r="AL45" s="542" t="str">
        <f>IF(ISERROR(_xll.ciqfunctions.udf.CIQ($A45, "IQ_NET_WORKING_CAP", IQ_LTM, $L$2,$L$4, $L$3, $L$5, $L$6)), "n/a", _xll.ciqfunctions.udf.CIQ($A45, "IQ_NET_WORKING_CAP", IQ_LTM, $L$2, $L$4, $L$3, $L$5, $L$6))</f>
        <v>(Invalid Identifier)</v>
      </c>
      <c r="AM45" s="542" t="str">
        <f>IF(ISERROR(_xll.ciqfunctions.udf.CIQ($A45, "IQ_Capex", IQ_LTM-8, $L$2,$L$4, $L$3, $L$5, $L$6)), "n/a", _xll.ciqfunctions.udf.CIQ($A45, "IQ_Capex", IQ_LTM-8, $L$2, $L$4, $L$3, $L$5, $L$6))</f>
        <v>(Invalid Identifier)</v>
      </c>
      <c r="AN45" s="542" t="str">
        <f>IF(ISERROR(_xll.ciqfunctions.udf.CIQ($A45, "IQ_Capex", IQ_LTM-4, $L$2,$L$4, $L$3, $L$5, $L$6)), "n/a", _xll.ciqfunctions.udf.CIQ($A45, "IQ_Capex", IQ_LTM-4, $L$2,$L$4, $L$3, $L$5, $L$6))</f>
        <v>(Invalid Identifier)</v>
      </c>
      <c r="AO45" s="542" t="str">
        <f>IF(ISERROR(_xll.ciqfunctions.udf.CIQ($A45, "IQ_Capex", IQ_LTM, $L$2, $L$4, $L$3, $L$5, $L$6)), "n/a", _xll.ciqfunctions.udf.CIQ($A45, "IQ_Capex", IQ_LTM, $L$2, $L$4, $L$3, $L$5, $L$6))</f>
        <v>(Invalid Identifier)</v>
      </c>
      <c r="AP45" s="544" t="str">
        <f>_xll.ciqfunctions.udf.CIQ(A45, "IQ_BUSINESS_DESCRIPTION")</f>
        <v>(Invalid Identifier)</v>
      </c>
      <c r="AQ45" s="545" t="str">
        <f>_xll.ciqfunctions.udf.CIQ($A45, "IQ_BETA_1YR", $B$1)</f>
        <v>(Invalid Identifier)</v>
      </c>
      <c r="AR45" s="545" t="str">
        <f>_xll.ciqfunctions.udf.CIQ($A45, "IQ_BETA_2YR", $B$1)</f>
        <v>(Invalid Identifier)</v>
      </c>
      <c r="AS45" s="545" t="str">
        <f>_xll.ciqfunctions.udf.CIQ($A45, "IQ_BETA_5YR", $B$1)</f>
        <v>(Invalid Identifier)</v>
      </c>
      <c r="AT45" s="493" t="str">
        <f>_xll.ciqfunctions.udf.CIQ($B45, "IQ_GP", IQ_LTM,$B$1, ,,"USD")</f>
        <v>(Invalid Identifier)</v>
      </c>
      <c r="AU45" s="542" t="str">
        <f>_xll.ciqfunctions.udf.CIQ($A45, "IQ_EARNING_CO", IQ_LTM-8, $L$2, $L$4, $L$3, $L$5, $L$6)</f>
        <v>(Invalid Identifier)</v>
      </c>
      <c r="AV45" s="542" t="str">
        <f>_xll.ciqfunctions.udf.CIQ($A45, "IQ_EARNING_CO", IQ_LTM-4, $L$2, $L$4, $L$3, $L$5, $L$6)</f>
        <v>(Invalid Identifier)</v>
      </c>
      <c r="AW45" s="542" t="str">
        <f>_xll.ciqfunctions.udf.CIQ($A45, "IQ_EARNING_CO", IQ_LTM, $L$2, $L$4, $L$3, $L$5, $L$6)</f>
        <v>(Invalid Identifier)</v>
      </c>
      <c r="AX45" s="542" t="str">
        <f>_xll.ciqfunctions.udf.CIQ($A45, "IQ_EARNING_CO", $B$2, $L$2, $L$4, $L$3, $L$5, $L$6)</f>
        <v>(Invalid Identifier)</v>
      </c>
      <c r="AY45" s="542" t="str">
        <f>IF(_xll.ciqfunctions.udf.CIQ($A45, "IQ_EARNING_CO", $B$3, $L$2,$L$4, $L$3, $L$5, $L$6)=0,AW45,_xll.ciqfunctions.udf.CIQ($A45, "IQ_EARNING_CO", $B$3, $L$2,$L$4, $L$3, $L$5, $L$6))</f>
        <v>(Invalid Identifier)</v>
      </c>
      <c r="AZ45" s="542" t="str">
        <f>_xll.ciqfunctions.udf.CIQ($A45, "IQ_TOTAL_EQUITY", IQ_LTM-8, $L$2, $L$4, $L$3, $L$5, $L$6)</f>
        <v>(Invalid Identifier)</v>
      </c>
      <c r="BA45" s="542" t="str">
        <f>_xll.ciqfunctions.udf.CIQ($A45, "IQ_TOTAL_EQUITY", IQ_LTM-4, $L$2, $L$4, $L$3, $L$5, $L$6)</f>
        <v>(Invalid Identifier)</v>
      </c>
      <c r="BB45" s="542" t="str">
        <f>_xll.ciqfunctions.udf.CIQ($A45, "IQ_TOTAL_EQUITY", IQ_LTM, $L$2, $L$4, $L$3, $L$5, $L$6)</f>
        <v>(Invalid Identifier)</v>
      </c>
      <c r="BC45" s="542" t="str">
        <f>_xll.ciqfunctions.udf.CIQ($A45, "IQ_TOTAL_EQUITY", $B$2, $L$2, $L$4, $L$3, $L$5, $L$6)</f>
        <v>(Invalid Identifier)</v>
      </c>
      <c r="BD45" s="542" t="str">
        <f>IF(_xll.ciqfunctions.udf.CIQ($A45, "IQ_TOTAL_EQUITY", $B$3, $L$2,$L$4, $L$3, $L$5, $L$6)=0,BB45,_xll.ciqfunctions.udf.CIQ($A45, "IQ_TOTAL_EQUITY", $B$3, $L$2,$L$4, $L$3, $L$5, $L$6))</f>
        <v>(Invalid Identifier)</v>
      </c>
      <c r="BE45" s="542" t="str">
        <f>_xll.ciqfunctions.udf.CIQ(A45, "IQ_LASTSALEPRICE", $B$8)</f>
        <v>(Invalid Identifier)</v>
      </c>
      <c r="BF45" s="542" t="str">
        <f>_xll.ciqfunctions.udf.CIQ($A45, "IQ_MARKETCAP", $B$8, $L$5, $L$6)</f>
        <v>(Invalid Identifier)</v>
      </c>
      <c r="BG45" s="542" t="str">
        <f>_xll.ciqfunctions.udf.CIQ($A45, "IQ_TOTAL_DEBT", IQ_LTM, $B$8,$L$4, $L$3, $L$5, $L$6)</f>
        <v>(Invalid Identifier)</v>
      </c>
      <c r="BH45" s="492" t="str">
        <f>_xll.ciqfunctions.udf.CIQ($A45,"IQ_PREF_EQUITY",IQ_LTM,$B$8,$L$4,$L$3,$L$5,$L$6)</f>
        <v>(Invalid Identifier)</v>
      </c>
      <c r="BI45" s="492" t="str">
        <f>_xll.ciqfunctions.udf.CIQ($A45, "IQ_MINORITY_INTEREST_TOTAL", IQ_LTM,$B$8,$L$4,$L$3,$L$5,$L$6)</f>
        <v>(Invalid Identifier)</v>
      </c>
      <c r="BJ45" s="542" t="str">
        <f>_xll.ciqfunctions.udf.CIQ($A45, "IQ_CASH_ST_INVEST", IQ_LTM, $B$8, $L$4, $L$3, $L$5, $L$6)</f>
        <v>(Invalid Identifier)</v>
      </c>
      <c r="BK45" s="492" t="str">
        <f>_xll.ciqfunctions.udf.CIQ($A45, "IQ_EFFECT_TAX_RATE")</f>
        <v>(Invalid Identifier)</v>
      </c>
      <c r="BL45" s="492" t="e">
        <f>IF(_xll.ciqfunctions.udf.CIQ($A45, "IQ_TOTAL_REV_2YR_ANN_CAGR", IQ_LTM, $B$1,$L$4, $L$3, $L$5, $L$6)="NM","n/a",(_xll.ciqfunctions.udf.CIQ($A45, "IQ_TOTAL_REV_2YR_ANN_CAGR", IQ_LTM, $B$1,$L$4, $L$3, $L$5, $L$6)/100))</f>
        <v>#VALUE!</v>
      </c>
      <c r="BM45" s="492" t="e">
        <f>IF(_xll.ciqfunctions.udf.CIQ($A45, "IQ_TOTAL_REV_3YR_ANN_CAGR", IQ_LTM, $B$1,$L$4, $L$3, $L$5, $L$6)="NM","n/a",(_xll.ciqfunctions.udf.CIQ($A45, "IQ_TOTAL_REV_3YR_ANN_CAGR", IQ_LTM, $B$1,$L$4, $L$3, $L$5, $L$6)/100))</f>
        <v>#VALUE!</v>
      </c>
      <c r="BN45" s="492" t="e">
        <f>IF(_xll.ciqfunctions.udf.CIQ($A45, "IQ_TOTAL_REV_5YR_ANN_CAGR", IQ_LTM, $B$1,$L$4, $L$3, $L$5, $L$6)="NM","n/a",(_xll.ciqfunctions.udf.CIQ($A45, "IQ_TOTAL_REV_5YR_ANN_CAGR", IQ_LTM, $B$1,$L$4, $L$3, $L$5, $L$6)/100))</f>
        <v>#VALUE!</v>
      </c>
      <c r="BO45" s="492" t="e">
        <f>IF(_xll.ciqfunctions.udf.CIQ($A45,"IQ_EBITDA_2YR_ANN_CAGR", IQ_LTM,$B$1,$L$4, $L$3, $L$5, $L$6)="NM","n/a",(_xll.ciqfunctions.udf.CIQ($A45,"IQ_EBITDA_2YR_ANN_CAGR", IQ_LTM,$B$1,$L$4, $L$3, $L$5, $L$6)/100))</f>
        <v>#VALUE!</v>
      </c>
      <c r="BP45" s="492" t="e">
        <f>IF(_xll.ciqfunctions.udf.CIQ($A45,"IQ_EBITDA_3YR_ANN_CAGR", IQ_LTM,$B$1,$L$4, $L$3, $L$5, $L$6)="NM","n/a",(_xll.ciqfunctions.udf.CIQ($A45,"IQ_EBITDA_3YR_ANN_CAGR", IQ_LTM,$B$1,$L$4, $L$3, $L$5, $L$6)/100))</f>
        <v>#VALUE!</v>
      </c>
      <c r="BQ45" s="492" t="e">
        <f>IF(_xll.ciqfunctions.udf.CIQ($A45,"IQ_EBITDA_5YR_ANN_CAGR", IQ_LTM,$B$1,$L$4, $L$3, $L$5, $L$6)="NM","n/a",(_xll.ciqfunctions.udf.CIQ($A45,"IQ_EBITDA_5YR_ANN_CAGR", IQ_LTM,$B$1,$L$4, $L$3, $L$5, $L$6)/100))</f>
        <v>#VALUE!</v>
      </c>
      <c r="BR45" s="496" t="str">
        <f>IFERROR((_xll.ciqfunctions.udf.CIQ($A45, "IQ_DA_CF", IQ_LTM, $B$1, $L$4, $L$3, $L$5, $L$6)/Q45),"NM")</f>
        <v>NM</v>
      </c>
      <c r="BS45" s="543" t="e">
        <f>'Capital IQ Sheet-GPC'!BS45</f>
        <v>#VALUE!</v>
      </c>
      <c r="BT45" s="543" t="e">
        <f>'Capital IQ Sheet-GPC'!BT45</f>
        <v>#VALUE!</v>
      </c>
      <c r="BU45" s="543" t="e">
        <f>'Capital IQ Sheet-GPC'!BU45</f>
        <v>#VALUE!</v>
      </c>
      <c r="BV45" s="543" t="e">
        <f>'Capital IQ Sheet-GPC'!BV45</f>
        <v>#VALUE!</v>
      </c>
      <c r="BW45" s="543" t="e">
        <f>'Capital IQ Sheet-GPC'!BW45</f>
        <v>#VALUE!</v>
      </c>
      <c r="BX45" s="543" t="e">
        <f>'Capital IQ Sheet-GPC'!BX45</f>
        <v>#VALUE!</v>
      </c>
      <c r="BY45" s="543" t="e">
        <f>'Capital IQ Sheet-GPC'!BY45</f>
        <v>#VALUE!</v>
      </c>
      <c r="BZ45" s="543" t="e">
        <f>'Capital IQ Sheet-GPC'!BZ45</f>
        <v>#VALUE!</v>
      </c>
    </row>
    <row r="46" spans="1:83">
      <c r="A46" s="493" t="str">
        <f>_xll.ciqfunctions.udf.CIQ($B46,"IQ_COMPANY_TICKER")</f>
        <v>(Invalid Identifier)</v>
      </c>
      <c r="B46" s="541" t="str">
        <f>'Capital IQ Sheet-GPC'!B46</f>
        <v>(Invalid Identifier)</v>
      </c>
      <c r="C46" s="493" t="str">
        <f>_xll.ciqfunctions.udf.CIQ($A46,"IQ_COMPANY_NAME")</f>
        <v>(Invalid Identifier)</v>
      </c>
      <c r="D46" s="493" t="str">
        <f>_xll.ciqfunctions.udf.CIQ($A46, "IQ_EXCHANGE")</f>
        <v>(Invalid Identifier)</v>
      </c>
      <c r="E46" s="540" t="str">
        <f>_xll.ciqfunctions.udf.CIQ($A46, "IQ_PERIODDATE_IS", IQ_FY)</f>
        <v>(Invalid Identifier)</v>
      </c>
      <c r="F46" s="540" t="str">
        <f>_xll.ciqfunctions.udf.CIQ(A46, "IQ_PERIODDATE_IS", IQ_LTM, $B$1,$L$4,$L$3)</f>
        <v>(Invalid Identifier)</v>
      </c>
      <c r="G46" s="540" t="str">
        <f>_xll.ciqfunctions.udf.CIQ($A46, "IQ_FIRSTPRICINGDATE")</f>
        <v>(Invalid Identifier)</v>
      </c>
      <c r="H46" s="542" t="str">
        <f>_xll.ciqfunctions.udf.CIQ($A46, "IQ_TEV", $L$2, $L$5, $L$6)</f>
        <v>(Invalid Identifier)</v>
      </c>
      <c r="I46" s="542" t="str">
        <f>_xll.ciqfunctions.udf.CIQ(A46, "IQ_LASTSALEPRICE", $B$1,$L$5)</f>
        <v>(Invalid Identifier)</v>
      </c>
      <c r="J46" s="540" t="str">
        <f>_xll.ciqfunctions.udf.CIQ($B46, "IQ_FIRSTPRICINGDATE")</f>
        <v>(Invalid Identifier)</v>
      </c>
      <c r="K46" s="542" t="str">
        <f>_xll.ciqfunctions.udf.CIQ($A46, "IQ_TOTAL_DEBT", IQ_LTM, $L$2,$L$4, $L$3, $L$5, $L$6)</f>
        <v>(Invalid Identifier)</v>
      </c>
      <c r="L46" s="542" t="str">
        <f>_xll.ciqfunctions.udf.CIQ($A46, "IQ_PREF_EQUITY", IQ_LTM, $L$2, $L$4, $L$3, $L$5, $L$6)</f>
        <v>(Invalid Identifier)</v>
      </c>
      <c r="M46" s="542" t="str">
        <f>_xll.ciqfunctions.udf.CIQ($A46, "IQ_MINORITY_INTEREST_TOTAL", IQ_LTM, $L$2, $L$4, $L$3, $L$5, $L$6)</f>
        <v>(Invalid Identifier)</v>
      </c>
      <c r="N46" s="542" t="str">
        <f>_xll.ciqfunctions.udf.CIQ($A46, "IQ_CASH_ST_INVEST", IQ_LTM, $L$2, $L$4, $L$3, $L$5, $L$6)</f>
        <v>(Invalid Identifier)</v>
      </c>
      <c r="O46" s="542" t="str">
        <f>_xll.ciqfunctions.udf.CIQ($A46, "IQ_TOTAL_REV", IQ_LTM-8, $L$2, $L$4, $L$3, $L$5, $L$6)</f>
        <v>(Invalid Identifier)</v>
      </c>
      <c r="P46" s="542" t="str">
        <f>_xll.ciqfunctions.udf.CIQ($A46, "IQ_TOTAL_REV", IQ_LTM - 4, $L$2, $L$4, $L$3, $L$5,$L$6)</f>
        <v>(Invalid Identifier)</v>
      </c>
      <c r="Q46" s="542" t="str">
        <f>_xll.ciqfunctions.udf.CIQ($A46, "IQ_TOTAL_REV", IQ_LTM, $L$2, $L$4, $L$3, $L$5, $L$6)</f>
        <v>(Invalid Identifier)</v>
      </c>
      <c r="R46" s="542" t="str">
        <f>_xll.ciqfunctions.udf.CIQ($A46, "IQ_TOTAL_REV", $B$2, $L$2, $L$4, $L$3, $L$5, $L$6)</f>
        <v>(Invalid Identifier)</v>
      </c>
      <c r="S46" s="542" t="str">
        <f>IF(_xll.ciqfunctions.udf.CIQ($A46, "IQ_TOTAL_REV", $B$3, $L$2,$L$4, $L$3, $L$5, $L$6)=0,Q46,_xll.ciqfunctions.udf.CIQ($A46, "IQ_TOTAL_REV", $B$3, $L$2,$L$4, $L$3, $L$5, $L$6))</f>
        <v>(Invalid Identifier)</v>
      </c>
      <c r="T46" s="542" t="str">
        <f>IF(_xll.ciqfunctions.udf.CIQ($A46, "IQ_REVENUE_EST",$B$4, $L$2, "CON", $L$3, $L$5, $L$6)=0,"n/a",_xll.ciqfunctions.udf.CIQ($A46, "IQ_REVENUE_EST",$B$4, $L$2, "CON", $L$3, $L$5, $L$6))</f>
        <v>(Invalid Identifier)</v>
      </c>
      <c r="U46" s="542" t="str">
        <f>IF(_xll.ciqfunctions.udf.CIQ($A46, "IQ_REVENUE_EST",$B$5, $L$2, "CON", $L$3, $L$5, $L$6)=0,"n/a",_xll.ciqfunctions.udf.CIQ($A46, "IQ_REVENUE_EST",$B$5, $L$2, "CON", $L$3, $L$5, $L$6))</f>
        <v>(Invalid Identifier)</v>
      </c>
      <c r="V46" s="542" t="str">
        <f>IF(_xll.ciqfunctions.udf.CIQ($A46, "IQ_REVENUE_EST",$B$6, $L$2, "CON", $L$3, $L$5, $L$6)=0,"n/a",_xll.ciqfunctions.udf.CIQ($A46, "IQ_REVENUE_EST",$B$6, $L$2, "CON", $L$3, $L$5, $L$6))</f>
        <v>(Invalid Identifier)</v>
      </c>
      <c r="W46" s="542" t="str">
        <f>IF(_xll.ciqfunctions.udf.CIQ($A46, "IQ_REVENUE_EST", $B$7, $L$2, "CON", $L$3, $L$5, $L$6)=0,"n/a",_xll.ciqfunctions.udf.CIQ($A46, "IQ_REVENUE_EST",$B$7, $L$2, "CON", $L$3, $L$5, $L$6))</f>
        <v>(Invalid Identifier)</v>
      </c>
      <c r="X46" s="542" t="str">
        <f>_xll.ciqfunctions.udf.CIQ($A46, "IQ_EBITDA", IQ_LTM-8, $L$2, $L$4, $L$3, $L$5, $L$6)</f>
        <v>(Invalid Identifier)</v>
      </c>
      <c r="Y46" s="542" t="str">
        <f>_xll.ciqfunctions.udf.CIQ($A46, "IQ_EBITDA", IQ_LTM-4, $L$2,$L$4, $L$3, $L$5, $L$6)</f>
        <v>(Invalid Identifier)</v>
      </c>
      <c r="Z46" s="542" t="str">
        <f>_xll.ciqfunctions.udf.CIQ($A46, "IQ_EBITDA", IQ_LTM, $L$2, $L$4, $L$3, $L$5, $L$6)</f>
        <v>(Invalid Identifier)</v>
      </c>
      <c r="AA46" s="542" t="str">
        <f>_xll.ciqfunctions.udf.CIQ($A46, "IQ_EBITDA", $B$2, $L$2, $L$4, $L$3, $L$5, $L$6)</f>
        <v>(Invalid Identifier)</v>
      </c>
      <c r="AB46" s="542" t="str">
        <f>IF(_xll.ciqfunctions.udf.CIQ($A46, "IQ_EBITDA", $B$3, $L$2,$L$4, $L$3, $L$5, $L$6)=0,Z46,_xll.ciqfunctions.udf.CIQ($A46, "IQ_EBITDA", $B$3, $L$2,$L$4, $L$3, $L$5, $L$6))</f>
        <v>(Invalid Identifier)</v>
      </c>
      <c r="AC46" s="542" t="str">
        <f>IF(_xll.ciqfunctions.udf.CIQ($A46, "IQ_EBITDA_EST",$B$4, $L$2, "CON", $L$3, $L$5, $L$6)=0,"n/a",_xll.ciqfunctions.udf.CIQ($A46, "IQ_EBITDA_EST",$B$4, $L$2, "CON", $L$3, $L$5, $L$6))</f>
        <v>(Invalid Identifier)</v>
      </c>
      <c r="AD46" s="493" t="str">
        <f>IF(_xll.ciqfunctions.udf.CIQ($A46, "IQ_EBITDA_EST",$B$5, $L$2, "CON", $L$3, $L$5, $L$6)=0,"n/a",_xll.ciqfunctions.udf.CIQ($A46, "IQ_EBITDA_EST",$B$5, $L$2, "CON", $L$3, $L$5, $L$6))</f>
        <v>(Invalid Identifier)</v>
      </c>
      <c r="AE46" s="542" t="str">
        <f>IF(_xll.ciqfunctions.udf.CIQ($A46, "IQ_EBITDA_EST",$B$6, $L$2, "CON", $L$3, $L$5, $L$6)=0,"n/a",_xll.ciqfunctions.udf.CIQ($A46, "IQ_EBITDA_EST",$B$6, $L$2, "CON", $L$3, $L$5, $L$6))</f>
        <v>(Invalid Identifier)</v>
      </c>
      <c r="AF46" s="543" t="str">
        <f>IF(ISERROR(_xll.ciqfunctions.udf.CIQ($A46, "IQ_GROSS_MARGIN", IQ_LTM, $L$2,$L$4, $L$3, $L$5, $L$6)/100), "n/a", _xll.ciqfunctions.udf.CIQ($A46,  "IQ_GROSS_MARGIN", IQ_LTM, $L$2, $L$4, $L$3, $L$5, $L$6)/100)</f>
        <v>n/a</v>
      </c>
      <c r="AG46" s="543" t="str">
        <f>IF(ISERROR(_xll.ciqfunctions.udf.CIQ($A46,"IQ_EBITDA_MARGIN", IQ_LTM, $L$2, $L$4, $L$3, $L$5, $L$6)/100), "n/a", _xll.ciqfunctions.udf.CIQ($A46, "IQ_EBITDA_MARGIN", IQ_LTM, $L$2, $L$4, $L$3, $L$5, $L$6)/100)</f>
        <v>n/a</v>
      </c>
      <c r="AH46" s="543" t="str">
        <f>IF(ISERROR(_xll.ciqfunctions.udf.CIQ($A46,"IQ_EBIT_MARGIN", IQ_LTM, $L$2, $L$4, $L$3, $L$5, $L$6)/100), "n/a", _xll.ciqfunctions.udf.CIQ($A46, "IQ_EBIT_MARGIN", IQ_LTM, $L$2, $L$4, $L$3, $L$5, $L$6)/100)</f>
        <v>n/a</v>
      </c>
      <c r="AI46" s="543" t="str">
        <f>IF(ISERROR(_xll.ciqfunctions.udf.CIQ($A46,"IQ_NI_MARGIN", IQ_LTM, $L$2, $L$4, $L$3, $L$5, $L$6)/100), "n/a", _xll.ciqfunctions.udf.CIQ($A46, "IQ_NI_MARGIN", IQ_LTM, $L$2, $L$4, $L$3, $L$5, $L$6)/100)</f>
        <v>n/a</v>
      </c>
      <c r="AJ46" s="542" t="str">
        <f>IF(ISERROR(_xll.ciqfunctions.udf.CIQ($A46, "IQ_NET_WORKING_CAP", IQ_LTM-8, $L$2, $L$4, $L$3, $L$5, $L$6)), "n/a", _xll.ciqfunctions.udf.CIQ($A46, "IQ_NET_WORKING_CAP", IQ_LTM-8, $L$2, $L$4, $L$3, $L$5, $L$6))</f>
        <v>(Invalid Identifier)</v>
      </c>
      <c r="AK46" s="542" t="str">
        <f>IF(ISERROR(_xll.ciqfunctions.udf.CIQ($A46, "IQ_NET_WORKING_CAP", IQ_LTM-4, $L$2, $L$4, $L$3, $L$5, $L$6)), "n/a", _xll.ciqfunctions.udf.CIQ($A46, "IQ_NET_WORKING_CAP", IQ_LTM-4, $L$2, $L$4, $L$3, $L$5, $L$6))</f>
        <v>(Invalid Identifier)</v>
      </c>
      <c r="AL46" s="542" t="str">
        <f>IF(ISERROR(_xll.ciqfunctions.udf.CIQ($A46, "IQ_NET_WORKING_CAP", IQ_LTM, $L$2,$L$4, $L$3, $L$5, $L$6)), "n/a", _xll.ciqfunctions.udf.CIQ($A46, "IQ_NET_WORKING_CAP", IQ_LTM, $L$2, $L$4, $L$3, $L$5, $L$6))</f>
        <v>(Invalid Identifier)</v>
      </c>
      <c r="AM46" s="542" t="str">
        <f>IF(ISERROR(_xll.ciqfunctions.udf.CIQ($A46, "IQ_Capex", IQ_LTM-8, $L$2,$L$4, $L$3, $L$5, $L$6)), "n/a", _xll.ciqfunctions.udf.CIQ($A46, "IQ_Capex", IQ_LTM-8, $L$2, $L$4, $L$3, $L$5, $L$6))</f>
        <v>(Invalid Identifier)</v>
      </c>
      <c r="AN46" s="542" t="str">
        <f>IF(ISERROR(_xll.ciqfunctions.udf.CIQ($A46, "IQ_Capex", IQ_LTM-4, $L$2,$L$4, $L$3, $L$5, $L$6)), "n/a", _xll.ciqfunctions.udf.CIQ($A46, "IQ_Capex", IQ_LTM-4, $L$2,$L$4, $L$3, $L$5, $L$6))</f>
        <v>(Invalid Identifier)</v>
      </c>
      <c r="AO46" s="542" t="str">
        <f>IF(ISERROR(_xll.ciqfunctions.udf.CIQ($A46, "IQ_Capex", IQ_LTM, $L$2, $L$4, $L$3, $L$5, $L$6)), "n/a", _xll.ciqfunctions.udf.CIQ($A46, "IQ_Capex", IQ_LTM, $L$2, $L$4, $L$3, $L$5, $L$6))</f>
        <v>(Invalid Identifier)</v>
      </c>
      <c r="AP46" s="544" t="str">
        <f>_xll.ciqfunctions.udf.CIQ(A46, "IQ_BUSINESS_DESCRIPTION")</f>
        <v>(Invalid Identifier)</v>
      </c>
      <c r="AQ46" s="545" t="str">
        <f>_xll.ciqfunctions.udf.CIQ($A46, "IQ_BETA_1YR", $B$1)</f>
        <v>(Invalid Identifier)</v>
      </c>
      <c r="AR46" s="545" t="str">
        <f>_xll.ciqfunctions.udf.CIQ($A46, "IQ_BETA_2YR", $B$1)</f>
        <v>(Invalid Identifier)</v>
      </c>
      <c r="AS46" s="545" t="str">
        <f>_xll.ciqfunctions.udf.CIQ($A46, "IQ_BETA_5YR", $B$1)</f>
        <v>(Invalid Identifier)</v>
      </c>
      <c r="AT46" s="493" t="str">
        <f>_xll.ciqfunctions.udf.CIQ($B46, "IQ_GP", IQ_LTM,$B$1, ,,"USD")</f>
        <v>(Invalid Identifier)</v>
      </c>
      <c r="AU46" s="542" t="str">
        <f>_xll.ciqfunctions.udf.CIQ($A46, "IQ_EARNING_CO", IQ_LTM-8, $L$2, $L$4, $L$3, $L$5, $L$6)</f>
        <v>(Invalid Identifier)</v>
      </c>
      <c r="AV46" s="542" t="str">
        <f>_xll.ciqfunctions.udf.CIQ($A46, "IQ_EARNING_CO", IQ_LTM-4, $L$2, $L$4, $L$3, $L$5, $L$6)</f>
        <v>(Invalid Identifier)</v>
      </c>
      <c r="AW46" s="542" t="str">
        <f>_xll.ciqfunctions.udf.CIQ($A46, "IQ_EARNING_CO", IQ_LTM, $L$2, $L$4, $L$3, $L$5, $L$6)</f>
        <v>(Invalid Identifier)</v>
      </c>
      <c r="AX46" s="542" t="str">
        <f>_xll.ciqfunctions.udf.CIQ($A46, "IQ_EARNING_CO", $B$2, $L$2, $L$4, $L$3, $L$5, $L$6)</f>
        <v>(Invalid Identifier)</v>
      </c>
      <c r="AY46" s="542" t="str">
        <f>IF(_xll.ciqfunctions.udf.CIQ($A46, "IQ_EARNING_CO", $B$3, $L$2,$L$4, $L$3, $L$5, $L$6)=0,AW46,_xll.ciqfunctions.udf.CIQ($A46, "IQ_EARNING_CO", $B$3, $L$2,$L$4, $L$3, $L$5, $L$6))</f>
        <v>(Invalid Identifier)</v>
      </c>
      <c r="AZ46" s="542" t="str">
        <f>_xll.ciqfunctions.udf.CIQ($A46, "IQ_TOTAL_EQUITY", IQ_LTM-8, $L$2, $L$4, $L$3, $L$5, $L$6)</f>
        <v>(Invalid Identifier)</v>
      </c>
      <c r="BA46" s="542" t="str">
        <f>_xll.ciqfunctions.udf.CIQ($A46, "IQ_TOTAL_EQUITY", IQ_LTM-4, $L$2, $L$4, $L$3, $L$5, $L$6)</f>
        <v>(Invalid Identifier)</v>
      </c>
      <c r="BB46" s="542" t="str">
        <f>_xll.ciqfunctions.udf.CIQ($A46, "IQ_TOTAL_EQUITY", IQ_LTM, $L$2, $L$4, $L$3, $L$5, $L$6)</f>
        <v>(Invalid Identifier)</v>
      </c>
      <c r="BC46" s="542" t="str">
        <f>_xll.ciqfunctions.udf.CIQ($A46, "IQ_TOTAL_EQUITY", $B$2, $L$2, $L$4, $L$3, $L$5, $L$6)</f>
        <v>(Invalid Identifier)</v>
      </c>
      <c r="BD46" s="542" t="str">
        <f>IF(_xll.ciqfunctions.udf.CIQ($A46, "IQ_TOTAL_EQUITY", $B$3, $L$2,$L$4, $L$3, $L$5, $L$6)=0,BB46,_xll.ciqfunctions.udf.CIQ($A46, "IQ_TOTAL_EQUITY", $B$3, $L$2,$L$4, $L$3, $L$5, $L$6))</f>
        <v>(Invalid Identifier)</v>
      </c>
      <c r="BE46" s="542" t="str">
        <f>_xll.ciqfunctions.udf.CIQ(A46, "IQ_LASTSALEPRICE", $B$8)</f>
        <v>(Invalid Identifier)</v>
      </c>
      <c r="BF46" s="542" t="str">
        <f>_xll.ciqfunctions.udf.CIQ($A46, "IQ_MARKETCAP", $B$8, $L$5, $L$6)</f>
        <v>(Invalid Identifier)</v>
      </c>
      <c r="BG46" s="542" t="str">
        <f>_xll.ciqfunctions.udf.CIQ($A46, "IQ_TOTAL_DEBT", IQ_LTM, $B$8,$L$4, $L$3, $L$5, $L$6)</f>
        <v>(Invalid Identifier)</v>
      </c>
      <c r="BH46" s="492" t="str">
        <f>_xll.ciqfunctions.udf.CIQ($A46,"IQ_PREF_EQUITY",IQ_LTM,$B$8,$L$4,$L$3,$L$5,$L$6)</f>
        <v>(Invalid Identifier)</v>
      </c>
      <c r="BI46" s="492" t="str">
        <f>_xll.ciqfunctions.udf.CIQ($A46, "IQ_MINORITY_INTEREST_TOTAL", IQ_LTM,$B$8,$L$4,$L$3,$L$5,$L$6)</f>
        <v>(Invalid Identifier)</v>
      </c>
      <c r="BJ46" s="542" t="str">
        <f>_xll.ciqfunctions.udf.CIQ($A46, "IQ_CASH_ST_INVEST", IQ_LTM, $B$8, $L$4, $L$3, $L$5, $L$6)</f>
        <v>(Invalid Identifier)</v>
      </c>
      <c r="BK46" s="492" t="str">
        <f>_xll.ciqfunctions.udf.CIQ($A46, "IQ_EFFECT_TAX_RATE")</f>
        <v>(Invalid Identifier)</v>
      </c>
      <c r="BL46" s="492" t="e">
        <f>IF(_xll.ciqfunctions.udf.CIQ($A46, "IQ_TOTAL_REV_2YR_ANN_CAGR", IQ_LTM, $B$1,$L$4, $L$3, $L$5, $L$6)="NM","n/a",(_xll.ciqfunctions.udf.CIQ($A46, "IQ_TOTAL_REV_2YR_ANN_CAGR", IQ_LTM, $B$1,$L$4, $L$3, $L$5, $L$6)/100))</f>
        <v>#VALUE!</v>
      </c>
      <c r="BM46" s="492" t="e">
        <f>IF(_xll.ciqfunctions.udf.CIQ($A46, "IQ_TOTAL_REV_3YR_ANN_CAGR", IQ_LTM, $B$1,$L$4, $L$3, $L$5, $L$6)="NM","n/a",(_xll.ciqfunctions.udf.CIQ($A46, "IQ_TOTAL_REV_3YR_ANN_CAGR", IQ_LTM, $B$1,$L$4, $L$3, $L$5, $L$6)/100))</f>
        <v>#VALUE!</v>
      </c>
      <c r="BN46" s="492" t="e">
        <f>IF(_xll.ciqfunctions.udf.CIQ($A46, "IQ_TOTAL_REV_5YR_ANN_CAGR", IQ_LTM, $B$1,$L$4, $L$3, $L$5, $L$6)="NM","n/a",(_xll.ciqfunctions.udf.CIQ($A46, "IQ_TOTAL_REV_5YR_ANN_CAGR", IQ_LTM, $B$1,$L$4, $L$3, $L$5, $L$6)/100))</f>
        <v>#VALUE!</v>
      </c>
      <c r="BO46" s="492" t="e">
        <f>IF(_xll.ciqfunctions.udf.CIQ($A46,"IQ_EBITDA_2YR_ANN_CAGR", IQ_LTM,$B$1,$L$4, $L$3, $L$5, $L$6)="NM","n/a",(_xll.ciqfunctions.udf.CIQ($A46,"IQ_EBITDA_2YR_ANN_CAGR", IQ_LTM,$B$1,$L$4, $L$3, $L$5, $L$6)/100))</f>
        <v>#VALUE!</v>
      </c>
      <c r="BP46" s="492" t="e">
        <f>IF(_xll.ciqfunctions.udf.CIQ($A46,"IQ_EBITDA_3YR_ANN_CAGR", IQ_LTM,$B$1,$L$4, $L$3, $L$5, $L$6)="NM","n/a",(_xll.ciqfunctions.udf.CIQ($A46,"IQ_EBITDA_3YR_ANN_CAGR", IQ_LTM,$B$1,$L$4, $L$3, $L$5, $L$6)/100))</f>
        <v>#VALUE!</v>
      </c>
      <c r="BQ46" s="492" t="e">
        <f>IF(_xll.ciqfunctions.udf.CIQ($A46,"IQ_EBITDA_5YR_ANN_CAGR", IQ_LTM,$B$1,$L$4, $L$3, $L$5, $L$6)="NM","n/a",(_xll.ciqfunctions.udf.CIQ($A46,"IQ_EBITDA_5YR_ANN_CAGR", IQ_LTM,$B$1,$L$4, $L$3, $L$5, $L$6)/100))</f>
        <v>#VALUE!</v>
      </c>
      <c r="BR46" s="496" t="str">
        <f>IFERROR((_xll.ciqfunctions.udf.CIQ($A46, "IQ_DA_CF", IQ_LTM, $B$1, $L$4, $L$3, $L$5, $L$6)/Q46),"NM")</f>
        <v>NM</v>
      </c>
      <c r="BS46" s="543" t="e">
        <f>'Capital IQ Sheet-GPC'!BS46</f>
        <v>#VALUE!</v>
      </c>
      <c r="BT46" s="543" t="e">
        <f>'Capital IQ Sheet-GPC'!BT46</f>
        <v>#VALUE!</v>
      </c>
      <c r="BU46" s="543" t="e">
        <f>'Capital IQ Sheet-GPC'!BU46</f>
        <v>#VALUE!</v>
      </c>
      <c r="BV46" s="543" t="e">
        <f>'Capital IQ Sheet-GPC'!BV46</f>
        <v>#VALUE!</v>
      </c>
      <c r="BW46" s="543" t="e">
        <f>'Capital IQ Sheet-GPC'!BW46</f>
        <v>#VALUE!</v>
      </c>
      <c r="BX46" s="543" t="e">
        <f>'Capital IQ Sheet-GPC'!BX46</f>
        <v>#VALUE!</v>
      </c>
      <c r="BY46" s="543" t="e">
        <f>'Capital IQ Sheet-GPC'!BY46</f>
        <v>#VALUE!</v>
      </c>
      <c r="BZ46" s="543" t="e">
        <f>'Capital IQ Sheet-GPC'!BZ46</f>
        <v>#VALUE!</v>
      </c>
    </row>
    <row r="47" spans="1:83">
      <c r="A47" s="493" t="str">
        <f>_xll.ciqfunctions.udf.CIQ($B47,"IQ_COMPANY_TICKER")</f>
        <v>(Invalid Identifier)</v>
      </c>
      <c r="B47" s="541" t="str">
        <f>'Capital IQ Sheet-GPC'!B47</f>
        <v>(Invalid Identifier)</v>
      </c>
      <c r="C47" s="493" t="str">
        <f>_xll.ciqfunctions.udf.CIQ($A47,"IQ_COMPANY_NAME")</f>
        <v>(Invalid Identifier)</v>
      </c>
      <c r="D47" s="493" t="str">
        <f>_xll.ciqfunctions.udf.CIQ($A47, "IQ_EXCHANGE")</f>
        <v>(Invalid Identifier)</v>
      </c>
      <c r="E47" s="540" t="str">
        <f>_xll.ciqfunctions.udf.CIQ($A47, "IQ_PERIODDATE_IS", IQ_FY)</f>
        <v>(Invalid Identifier)</v>
      </c>
      <c r="F47" s="540" t="str">
        <f>_xll.ciqfunctions.udf.CIQ(A47, "IQ_PERIODDATE_IS", IQ_LTM, $B$1,$L$4,$L$3)</f>
        <v>(Invalid Identifier)</v>
      </c>
      <c r="G47" s="540" t="str">
        <f>_xll.ciqfunctions.udf.CIQ($A47, "IQ_FIRSTPRICINGDATE")</f>
        <v>(Invalid Identifier)</v>
      </c>
      <c r="H47" s="542" t="str">
        <f>_xll.ciqfunctions.udf.CIQ($A47, "IQ_TEV", $L$2, $L$5, $L$6)</f>
        <v>(Invalid Identifier)</v>
      </c>
      <c r="I47" s="542" t="str">
        <f>_xll.ciqfunctions.udf.CIQ(A47, "IQ_LASTSALEPRICE", $B$1,$L$5)</f>
        <v>(Invalid Identifier)</v>
      </c>
      <c r="J47" s="540" t="str">
        <f>_xll.ciqfunctions.udf.CIQ($B47, "IQ_FIRSTPRICINGDATE")</f>
        <v>(Invalid Identifier)</v>
      </c>
      <c r="K47" s="542" t="str">
        <f>_xll.ciqfunctions.udf.CIQ($A47, "IQ_TOTAL_DEBT", IQ_LTM, $L$2,$L$4, $L$3, $L$5, $L$6)</f>
        <v>(Invalid Identifier)</v>
      </c>
      <c r="L47" s="542" t="str">
        <f>_xll.ciqfunctions.udf.CIQ($A47, "IQ_PREF_EQUITY", IQ_LTM, $L$2, $L$4, $L$3, $L$5, $L$6)</f>
        <v>(Invalid Identifier)</v>
      </c>
      <c r="M47" s="542" t="str">
        <f>_xll.ciqfunctions.udf.CIQ($A47, "IQ_MINORITY_INTEREST_TOTAL", IQ_LTM, $L$2, $L$4, $L$3, $L$5, $L$6)</f>
        <v>(Invalid Identifier)</v>
      </c>
      <c r="N47" s="542" t="str">
        <f>_xll.ciqfunctions.udf.CIQ($A47, "IQ_CASH_ST_INVEST", IQ_LTM, $L$2, $L$4, $L$3, $L$5, $L$6)</f>
        <v>(Invalid Identifier)</v>
      </c>
      <c r="O47" s="542" t="str">
        <f>_xll.ciqfunctions.udf.CIQ($A47, "IQ_TOTAL_REV", IQ_LTM-8, $L$2, $L$4, $L$3, $L$5, $L$6)</f>
        <v>(Invalid Identifier)</v>
      </c>
      <c r="P47" s="542" t="str">
        <f>_xll.ciqfunctions.udf.CIQ($A47, "IQ_TOTAL_REV", IQ_LTM - 4, $L$2, $L$4, $L$3, $L$5,$L$6)</f>
        <v>(Invalid Identifier)</v>
      </c>
      <c r="Q47" s="542" t="str">
        <f>_xll.ciqfunctions.udf.CIQ($A47, "IQ_TOTAL_REV", IQ_LTM, $L$2, $L$4, $L$3, $L$5, $L$6)</f>
        <v>(Invalid Identifier)</v>
      </c>
      <c r="R47" s="542" t="str">
        <f>_xll.ciqfunctions.udf.CIQ($A47, "IQ_TOTAL_REV", $B$2, $L$2, $L$4, $L$3, $L$5, $L$6)</f>
        <v>(Invalid Identifier)</v>
      </c>
      <c r="S47" s="542" t="str">
        <f>IF(_xll.ciqfunctions.udf.CIQ($A47, "IQ_TOTAL_REV", $B$3, $L$2,$L$4, $L$3, $L$5, $L$6)=0,Q47,_xll.ciqfunctions.udf.CIQ($A47, "IQ_TOTAL_REV", $B$3, $L$2,$L$4, $L$3, $L$5, $L$6))</f>
        <v>(Invalid Identifier)</v>
      </c>
      <c r="T47" s="542" t="str">
        <f>IF(_xll.ciqfunctions.udf.CIQ($A47, "IQ_REVENUE_EST",$B$4, $L$2, "CON", $L$3, $L$5, $L$6)=0,"n/a",_xll.ciqfunctions.udf.CIQ($A47, "IQ_REVENUE_EST",$B$4, $L$2, "CON", $L$3, $L$5, $L$6))</f>
        <v>(Invalid Identifier)</v>
      </c>
      <c r="U47" s="542" t="str">
        <f>IF(_xll.ciqfunctions.udf.CIQ($A47, "IQ_REVENUE_EST",$B$5, $L$2, "CON", $L$3, $L$5, $L$6)=0,"n/a",_xll.ciqfunctions.udf.CIQ($A47, "IQ_REVENUE_EST",$B$5, $L$2, "CON", $L$3, $L$5, $L$6))</f>
        <v>(Invalid Identifier)</v>
      </c>
      <c r="V47" s="542" t="str">
        <f>IF(_xll.ciqfunctions.udf.CIQ($A47, "IQ_REVENUE_EST",$B$6, $L$2, "CON", $L$3, $L$5, $L$6)=0,"n/a",_xll.ciqfunctions.udf.CIQ($A47, "IQ_REVENUE_EST",$B$6, $L$2, "CON", $L$3, $L$5, $L$6))</f>
        <v>(Invalid Identifier)</v>
      </c>
      <c r="W47" s="542" t="str">
        <f>IF(_xll.ciqfunctions.udf.CIQ($A47, "IQ_REVENUE_EST", $B$7, $L$2, "CON", $L$3, $L$5, $L$6)=0,"n/a",_xll.ciqfunctions.udf.CIQ($A47, "IQ_REVENUE_EST",$B$7, $L$2, "CON", $L$3, $L$5, $L$6))</f>
        <v>(Invalid Identifier)</v>
      </c>
      <c r="X47" s="542" t="str">
        <f>_xll.ciqfunctions.udf.CIQ($A47, "IQ_EBITDA", IQ_LTM-8, $L$2, $L$4, $L$3, $L$5, $L$6)</f>
        <v>(Invalid Identifier)</v>
      </c>
      <c r="Y47" s="542" t="str">
        <f>_xll.ciqfunctions.udf.CIQ($A47, "IQ_EBITDA", IQ_LTM-4, $L$2,$L$4, $L$3, $L$5, $L$6)</f>
        <v>(Invalid Identifier)</v>
      </c>
      <c r="Z47" s="542" t="str">
        <f>_xll.ciqfunctions.udf.CIQ($A47, "IQ_EBITDA", IQ_LTM, $L$2, $L$4, $L$3, $L$5, $L$6)</f>
        <v>(Invalid Identifier)</v>
      </c>
      <c r="AA47" s="542" t="str">
        <f>_xll.ciqfunctions.udf.CIQ($A47, "IQ_EBITDA", $B$2, $L$2, $L$4, $L$3, $L$5, $L$6)</f>
        <v>(Invalid Identifier)</v>
      </c>
      <c r="AB47" s="542" t="str">
        <f>IF(_xll.ciqfunctions.udf.CIQ($A47, "IQ_EBITDA", $B$3, $L$2,$L$4, $L$3, $L$5, $L$6)=0,Z47,_xll.ciqfunctions.udf.CIQ($A47, "IQ_EBITDA", $B$3, $L$2,$L$4, $L$3, $L$5, $L$6))</f>
        <v>(Invalid Identifier)</v>
      </c>
      <c r="AC47" s="542" t="str">
        <f>IF(_xll.ciqfunctions.udf.CIQ($A47, "IQ_EBITDA_EST",$B$4, $L$2, "CON", $L$3, $L$5, $L$6)=0,"n/a",_xll.ciqfunctions.udf.CIQ($A47, "IQ_EBITDA_EST",$B$4, $L$2, "CON", $L$3, $L$5, $L$6))</f>
        <v>(Invalid Identifier)</v>
      </c>
      <c r="AD47" s="493" t="str">
        <f>IF(_xll.ciqfunctions.udf.CIQ($A47, "IQ_EBITDA_EST",$B$5, $L$2, "CON", $L$3, $L$5, $L$6)=0,"n/a",_xll.ciqfunctions.udf.CIQ($A47, "IQ_EBITDA_EST",$B$5, $L$2, "CON", $L$3, $L$5, $L$6))</f>
        <v>(Invalid Identifier)</v>
      </c>
      <c r="AE47" s="542" t="str">
        <f>IF(_xll.ciqfunctions.udf.CIQ($A47, "IQ_EBITDA_EST",$B$6, $L$2, "CON", $L$3, $L$5, $L$6)=0,"n/a",_xll.ciqfunctions.udf.CIQ($A47, "IQ_EBITDA_EST",$B$6, $L$2, "CON", $L$3, $L$5, $L$6))</f>
        <v>(Invalid Identifier)</v>
      </c>
      <c r="AF47" s="543" t="str">
        <f>IF(ISERROR(_xll.ciqfunctions.udf.CIQ($A47, "IQ_GROSS_MARGIN", IQ_LTM, $L$2,$L$4, $L$3, $L$5, $L$6)/100), "n/a", _xll.ciqfunctions.udf.CIQ($A47,  "IQ_GROSS_MARGIN", IQ_LTM, $L$2, $L$4, $L$3, $L$5, $L$6)/100)</f>
        <v>n/a</v>
      </c>
      <c r="AG47" s="543" t="str">
        <f>IF(ISERROR(_xll.ciqfunctions.udf.CIQ($A47,"IQ_EBITDA_MARGIN", IQ_LTM, $L$2, $L$4, $L$3, $L$5, $L$6)/100), "n/a", _xll.ciqfunctions.udf.CIQ($A47, "IQ_EBITDA_MARGIN", IQ_LTM, $L$2, $L$4, $L$3, $L$5, $L$6)/100)</f>
        <v>n/a</v>
      </c>
      <c r="AH47" s="543" t="str">
        <f>IF(ISERROR(_xll.ciqfunctions.udf.CIQ($A47,"IQ_EBIT_MARGIN", IQ_LTM, $L$2, $L$4, $L$3, $L$5, $L$6)/100), "n/a", _xll.ciqfunctions.udf.CIQ($A47, "IQ_EBIT_MARGIN", IQ_LTM, $L$2, $L$4, $L$3, $L$5, $L$6)/100)</f>
        <v>n/a</v>
      </c>
      <c r="AI47" s="543" t="str">
        <f>IF(ISERROR(_xll.ciqfunctions.udf.CIQ($A47,"IQ_NI_MARGIN", IQ_LTM, $L$2, $L$4, $L$3, $L$5, $L$6)/100), "n/a", _xll.ciqfunctions.udf.CIQ($A47, "IQ_NI_MARGIN", IQ_LTM, $L$2, $L$4, $L$3, $L$5, $L$6)/100)</f>
        <v>n/a</v>
      </c>
      <c r="AJ47" s="542" t="str">
        <f>IF(ISERROR(_xll.ciqfunctions.udf.CIQ($A47, "IQ_NET_WORKING_CAP", IQ_LTM-8, $L$2, $L$4, $L$3, $L$5, $L$6)), "n/a", _xll.ciqfunctions.udf.CIQ($A47, "IQ_NET_WORKING_CAP", IQ_LTM-8, $L$2, $L$4, $L$3, $L$5, $L$6))</f>
        <v>(Invalid Identifier)</v>
      </c>
      <c r="AK47" s="542" t="str">
        <f>IF(ISERROR(_xll.ciqfunctions.udf.CIQ($A47, "IQ_NET_WORKING_CAP", IQ_LTM-4, $L$2, $L$4, $L$3, $L$5, $L$6)), "n/a", _xll.ciqfunctions.udf.CIQ($A47, "IQ_NET_WORKING_CAP", IQ_LTM-4, $L$2, $L$4, $L$3, $L$5, $L$6))</f>
        <v>(Invalid Identifier)</v>
      </c>
      <c r="AL47" s="542" t="str">
        <f>IF(ISERROR(_xll.ciqfunctions.udf.CIQ($A47, "IQ_NET_WORKING_CAP", IQ_LTM, $L$2,$L$4, $L$3, $L$5, $L$6)), "n/a", _xll.ciqfunctions.udf.CIQ($A47, "IQ_NET_WORKING_CAP", IQ_LTM, $L$2, $L$4, $L$3, $L$5, $L$6))</f>
        <v>(Invalid Identifier)</v>
      </c>
      <c r="AM47" s="542" t="str">
        <f>IF(ISERROR(_xll.ciqfunctions.udf.CIQ($A47, "IQ_Capex", IQ_LTM-8, $L$2,$L$4, $L$3, $L$5, $L$6)), "n/a", _xll.ciqfunctions.udf.CIQ($A47, "IQ_Capex", IQ_LTM-8, $L$2, $L$4, $L$3, $L$5, $L$6))</f>
        <v>(Invalid Identifier)</v>
      </c>
      <c r="AN47" s="542" t="str">
        <f>IF(ISERROR(_xll.ciqfunctions.udf.CIQ($A47, "IQ_Capex", IQ_LTM-4, $L$2,$L$4, $L$3, $L$5, $L$6)), "n/a", _xll.ciqfunctions.udf.CIQ($A47, "IQ_Capex", IQ_LTM-4, $L$2,$L$4, $L$3, $L$5, $L$6))</f>
        <v>(Invalid Identifier)</v>
      </c>
      <c r="AO47" s="542" t="str">
        <f>IF(ISERROR(_xll.ciqfunctions.udf.CIQ($A47, "IQ_Capex", IQ_LTM, $L$2, $L$4, $L$3, $L$5, $L$6)), "n/a", _xll.ciqfunctions.udf.CIQ($A47, "IQ_Capex", IQ_LTM, $L$2, $L$4, $L$3, $L$5, $L$6))</f>
        <v>(Invalid Identifier)</v>
      </c>
      <c r="AP47" s="544" t="str">
        <f>_xll.ciqfunctions.udf.CIQ(A47, "IQ_BUSINESS_DESCRIPTION")</f>
        <v>(Invalid Identifier)</v>
      </c>
      <c r="AQ47" s="545" t="str">
        <f>_xll.ciqfunctions.udf.CIQ($A47, "IQ_BETA_1YR", $B$1)</f>
        <v>(Invalid Identifier)</v>
      </c>
      <c r="AR47" s="545" t="str">
        <f>_xll.ciqfunctions.udf.CIQ($A47, "IQ_BETA_2YR", $B$1)</f>
        <v>(Invalid Identifier)</v>
      </c>
      <c r="AS47" s="545" t="str">
        <f>_xll.ciqfunctions.udf.CIQ($A47, "IQ_BETA_5YR", $B$1)</f>
        <v>(Invalid Identifier)</v>
      </c>
      <c r="AT47" s="493" t="str">
        <f>_xll.ciqfunctions.udf.CIQ($B47, "IQ_GP", IQ_LTM,$B$1, ,,"USD")</f>
        <v>(Invalid Identifier)</v>
      </c>
      <c r="AU47" s="542" t="str">
        <f>_xll.ciqfunctions.udf.CIQ($A47, "IQ_EARNING_CO", IQ_LTM-8, $L$2, $L$4, $L$3, $L$5, $L$6)</f>
        <v>(Invalid Identifier)</v>
      </c>
      <c r="AV47" s="542" t="str">
        <f>_xll.ciqfunctions.udf.CIQ($A47, "IQ_EARNING_CO", IQ_LTM-4, $L$2, $L$4, $L$3, $L$5, $L$6)</f>
        <v>(Invalid Identifier)</v>
      </c>
      <c r="AW47" s="542" t="str">
        <f>_xll.ciqfunctions.udf.CIQ($A47, "IQ_EARNING_CO", IQ_LTM, $L$2, $L$4, $L$3, $L$5, $L$6)</f>
        <v>(Invalid Identifier)</v>
      </c>
      <c r="AX47" s="542" t="str">
        <f>_xll.ciqfunctions.udf.CIQ($A47, "IQ_EARNING_CO", $B$2, $L$2, $L$4, $L$3, $L$5, $L$6)</f>
        <v>(Invalid Identifier)</v>
      </c>
      <c r="AY47" s="542" t="str">
        <f>IF(_xll.ciqfunctions.udf.CIQ($A47, "IQ_EARNING_CO", $B$3, $L$2,$L$4, $L$3, $L$5, $L$6)=0,AW47,_xll.ciqfunctions.udf.CIQ($A47, "IQ_EARNING_CO", $B$3, $L$2,$L$4, $L$3, $L$5, $L$6))</f>
        <v>(Invalid Identifier)</v>
      </c>
      <c r="AZ47" s="542" t="str">
        <f>_xll.ciqfunctions.udf.CIQ($A47, "IQ_TOTAL_EQUITY", IQ_LTM-8, $L$2, $L$4, $L$3, $L$5, $L$6)</f>
        <v>(Invalid Identifier)</v>
      </c>
      <c r="BA47" s="542" t="str">
        <f>_xll.ciqfunctions.udf.CIQ($A47, "IQ_TOTAL_EQUITY", IQ_LTM-4, $L$2, $L$4, $L$3, $L$5, $L$6)</f>
        <v>(Invalid Identifier)</v>
      </c>
      <c r="BB47" s="542" t="str">
        <f>_xll.ciqfunctions.udf.CIQ($A47, "IQ_TOTAL_EQUITY", IQ_LTM, $L$2, $L$4, $L$3, $L$5, $L$6)</f>
        <v>(Invalid Identifier)</v>
      </c>
      <c r="BC47" s="542" t="str">
        <f>_xll.ciqfunctions.udf.CIQ($A47, "IQ_TOTAL_EQUITY", $B$2, $L$2, $L$4, $L$3, $L$5, $L$6)</f>
        <v>(Invalid Identifier)</v>
      </c>
      <c r="BD47" s="542" t="str">
        <f>IF(_xll.ciqfunctions.udf.CIQ($A47, "IQ_TOTAL_EQUITY", $B$3, $L$2,$L$4, $L$3, $L$5, $L$6)=0,BB47,_xll.ciqfunctions.udf.CIQ($A47, "IQ_TOTAL_EQUITY", $B$3, $L$2,$L$4, $L$3, $L$5, $L$6))</f>
        <v>(Invalid Identifier)</v>
      </c>
      <c r="BE47" s="542" t="str">
        <f>_xll.ciqfunctions.udf.CIQ(A47, "IQ_LASTSALEPRICE", $B$8)</f>
        <v>(Invalid Identifier)</v>
      </c>
      <c r="BF47" s="542" t="str">
        <f>_xll.ciqfunctions.udf.CIQ($A47, "IQ_MARKETCAP", $B$8, $L$5, $L$6)</f>
        <v>(Invalid Identifier)</v>
      </c>
      <c r="BG47" s="542" t="str">
        <f>_xll.ciqfunctions.udf.CIQ($A47, "IQ_TOTAL_DEBT", IQ_LTM, $B$8,$L$4, $L$3, $L$5, $L$6)</f>
        <v>(Invalid Identifier)</v>
      </c>
      <c r="BH47" s="492" t="str">
        <f>_xll.ciqfunctions.udf.CIQ($A47,"IQ_PREF_EQUITY",IQ_LTM,$B$8,$L$4,$L$3,$L$5,$L$6)</f>
        <v>(Invalid Identifier)</v>
      </c>
      <c r="BI47" s="492" t="str">
        <f>_xll.ciqfunctions.udf.CIQ($A47, "IQ_MINORITY_INTEREST_TOTAL", IQ_LTM,$B$8,$L$4,$L$3,$L$5,$L$6)</f>
        <v>(Invalid Identifier)</v>
      </c>
      <c r="BJ47" s="542" t="str">
        <f>_xll.ciqfunctions.udf.CIQ($A47, "IQ_CASH_ST_INVEST", IQ_LTM, $B$8, $L$4, $L$3, $L$5, $L$6)</f>
        <v>(Invalid Identifier)</v>
      </c>
      <c r="BK47" s="492" t="str">
        <f>_xll.ciqfunctions.udf.CIQ($A47, "IQ_EFFECT_TAX_RATE")</f>
        <v>(Invalid Identifier)</v>
      </c>
      <c r="BL47" s="492" t="e">
        <f>IF(_xll.ciqfunctions.udf.CIQ($A47, "IQ_TOTAL_REV_2YR_ANN_CAGR", IQ_LTM, $B$1,$L$4, $L$3, $L$5, $L$6)="NM","n/a",(_xll.ciqfunctions.udf.CIQ($A47, "IQ_TOTAL_REV_2YR_ANN_CAGR", IQ_LTM, $B$1,$L$4, $L$3, $L$5, $L$6)/100))</f>
        <v>#VALUE!</v>
      </c>
      <c r="BM47" s="492" t="e">
        <f>IF(_xll.ciqfunctions.udf.CIQ($A47, "IQ_TOTAL_REV_3YR_ANN_CAGR", IQ_LTM, $B$1,$L$4, $L$3, $L$5, $L$6)="NM","n/a",(_xll.ciqfunctions.udf.CIQ($A47, "IQ_TOTAL_REV_3YR_ANN_CAGR", IQ_LTM, $B$1,$L$4, $L$3, $L$5, $L$6)/100))</f>
        <v>#VALUE!</v>
      </c>
      <c r="BN47" s="492" t="e">
        <f>IF(_xll.ciqfunctions.udf.CIQ($A47, "IQ_TOTAL_REV_5YR_ANN_CAGR", IQ_LTM, $B$1,$L$4, $L$3, $L$5, $L$6)="NM","n/a",(_xll.ciqfunctions.udf.CIQ($A47, "IQ_TOTAL_REV_5YR_ANN_CAGR", IQ_LTM, $B$1,$L$4, $L$3, $L$5, $L$6)/100))</f>
        <v>#VALUE!</v>
      </c>
      <c r="BO47" s="492" t="e">
        <f>IF(_xll.ciqfunctions.udf.CIQ($A47,"IQ_EBITDA_2YR_ANN_CAGR", IQ_LTM,$B$1,$L$4, $L$3, $L$5, $L$6)="NM","n/a",(_xll.ciqfunctions.udf.CIQ($A47,"IQ_EBITDA_2YR_ANN_CAGR", IQ_LTM,$B$1,$L$4, $L$3, $L$5, $L$6)/100))</f>
        <v>#VALUE!</v>
      </c>
      <c r="BP47" s="492" t="e">
        <f>IF(_xll.ciqfunctions.udf.CIQ($A47,"IQ_EBITDA_3YR_ANN_CAGR", IQ_LTM,$B$1,$L$4, $L$3, $L$5, $L$6)="NM","n/a",(_xll.ciqfunctions.udf.CIQ($A47,"IQ_EBITDA_3YR_ANN_CAGR", IQ_LTM,$B$1,$L$4, $L$3, $L$5, $L$6)/100))</f>
        <v>#VALUE!</v>
      </c>
      <c r="BQ47" s="492" t="e">
        <f>IF(_xll.ciqfunctions.udf.CIQ($A47,"IQ_EBITDA_5YR_ANN_CAGR", IQ_LTM,$B$1,$L$4, $L$3, $L$5, $L$6)="NM","n/a",(_xll.ciqfunctions.udf.CIQ($A47,"IQ_EBITDA_5YR_ANN_CAGR", IQ_LTM,$B$1,$L$4, $L$3, $L$5, $L$6)/100))</f>
        <v>#VALUE!</v>
      </c>
      <c r="BR47" s="496" t="str">
        <f>IFERROR((_xll.ciqfunctions.udf.CIQ($A47, "IQ_DA_CF", IQ_LTM, $B$1, $L$4, $L$3, $L$5, $L$6)/Q47),"NM")</f>
        <v>NM</v>
      </c>
      <c r="BS47" s="543" t="e">
        <f>'Capital IQ Sheet-GPC'!BS47</f>
        <v>#VALUE!</v>
      </c>
      <c r="BT47" s="543" t="e">
        <f>'Capital IQ Sheet-GPC'!BT47</f>
        <v>#VALUE!</v>
      </c>
      <c r="BU47" s="543" t="e">
        <f>'Capital IQ Sheet-GPC'!BU47</f>
        <v>#VALUE!</v>
      </c>
      <c r="BV47" s="543" t="e">
        <f>'Capital IQ Sheet-GPC'!BV47</f>
        <v>#VALUE!</v>
      </c>
      <c r="BW47" s="543" t="e">
        <f>'Capital IQ Sheet-GPC'!BW47</f>
        <v>#VALUE!</v>
      </c>
      <c r="BX47" s="543" t="e">
        <f>'Capital IQ Sheet-GPC'!BX47</f>
        <v>#VALUE!</v>
      </c>
      <c r="BY47" s="543" t="e">
        <f>'Capital IQ Sheet-GPC'!BY47</f>
        <v>#VALUE!</v>
      </c>
      <c r="BZ47" s="543" t="e">
        <f>'Capital IQ Sheet-GPC'!BZ47</f>
        <v>#VALUE!</v>
      </c>
    </row>
    <row r="48" spans="1:83">
      <c r="A48" s="493" t="str">
        <f>_xll.ciqfunctions.udf.CIQ($B48,"IQ_COMPANY_TICKER")</f>
        <v>(Invalid Identifier)</v>
      </c>
      <c r="B48" s="541" t="str">
        <f>'Capital IQ Sheet-GPC'!B48</f>
        <v>(Invalid Identifier)</v>
      </c>
      <c r="C48" s="493" t="str">
        <f>_xll.ciqfunctions.udf.CIQ($A48,"IQ_COMPANY_NAME")</f>
        <v>(Invalid Identifier)</v>
      </c>
      <c r="D48" s="493" t="str">
        <f>_xll.ciqfunctions.udf.CIQ($A48, "IQ_EXCHANGE")</f>
        <v>(Invalid Identifier)</v>
      </c>
      <c r="E48" s="540" t="str">
        <f>_xll.ciqfunctions.udf.CIQ($A48, "IQ_PERIODDATE_IS", IQ_FY)</f>
        <v>(Invalid Identifier)</v>
      </c>
      <c r="F48" s="540" t="str">
        <f>_xll.ciqfunctions.udf.CIQ(A48, "IQ_PERIODDATE_IS", IQ_LTM, $B$1,$L$4,$L$3)</f>
        <v>(Invalid Identifier)</v>
      </c>
      <c r="G48" s="540" t="str">
        <f>_xll.ciqfunctions.udf.CIQ($A48, "IQ_FIRSTPRICINGDATE")</f>
        <v>(Invalid Identifier)</v>
      </c>
      <c r="H48" s="542" t="str">
        <f>_xll.ciqfunctions.udf.CIQ($A48, "IQ_TEV", $L$2, $L$5, $L$6)</f>
        <v>(Invalid Identifier)</v>
      </c>
      <c r="I48" s="542" t="str">
        <f>_xll.ciqfunctions.udf.CIQ(A48, "IQ_LASTSALEPRICE", $B$1,$L$5)</f>
        <v>(Invalid Identifier)</v>
      </c>
      <c r="J48" s="540" t="str">
        <f>_xll.ciqfunctions.udf.CIQ($B48, "IQ_FIRSTPRICINGDATE")</f>
        <v>(Invalid Identifier)</v>
      </c>
      <c r="K48" s="542" t="str">
        <f>_xll.ciqfunctions.udf.CIQ($A48, "IQ_TOTAL_DEBT", IQ_LTM, $L$2,$L$4, $L$3, $L$5, $L$6)</f>
        <v>(Invalid Identifier)</v>
      </c>
      <c r="L48" s="542" t="str">
        <f>_xll.ciqfunctions.udf.CIQ($A48, "IQ_PREF_EQUITY", IQ_LTM, $L$2, $L$4, $L$3, $L$5, $L$6)</f>
        <v>(Invalid Identifier)</v>
      </c>
      <c r="M48" s="542" t="str">
        <f>_xll.ciqfunctions.udf.CIQ($A48, "IQ_MINORITY_INTEREST_TOTAL", IQ_LTM, $L$2, $L$4, $L$3, $L$5, $L$6)</f>
        <v>(Invalid Identifier)</v>
      </c>
      <c r="N48" s="542" t="str">
        <f>_xll.ciqfunctions.udf.CIQ($A48, "IQ_CASH_ST_INVEST", IQ_LTM, $L$2, $L$4, $L$3, $L$5, $L$6)</f>
        <v>(Invalid Identifier)</v>
      </c>
      <c r="O48" s="542" t="str">
        <f>_xll.ciqfunctions.udf.CIQ($A48, "IQ_TOTAL_REV", IQ_LTM-8, $L$2, $L$4, $L$3, $L$5, $L$6)</f>
        <v>(Invalid Identifier)</v>
      </c>
      <c r="P48" s="542" t="str">
        <f>_xll.ciqfunctions.udf.CIQ($A48, "IQ_TOTAL_REV", IQ_LTM - 4, $L$2, $L$4, $L$3, $L$5,$L$6)</f>
        <v>(Invalid Identifier)</v>
      </c>
      <c r="Q48" s="542" t="str">
        <f>_xll.ciqfunctions.udf.CIQ($A48, "IQ_TOTAL_REV", IQ_LTM, $L$2, $L$4, $L$3, $L$5, $L$6)</f>
        <v>(Invalid Identifier)</v>
      </c>
      <c r="R48" s="542" t="str">
        <f>_xll.ciqfunctions.udf.CIQ($A48, "IQ_TOTAL_REV", $B$2, $L$2, $L$4, $L$3, $L$5, $L$6)</f>
        <v>(Invalid Identifier)</v>
      </c>
      <c r="S48" s="542" t="str">
        <f>IF(_xll.ciqfunctions.udf.CIQ($A48, "IQ_TOTAL_REV", $B$3, $L$2,$L$4, $L$3, $L$5, $L$6)=0,Q48,_xll.ciqfunctions.udf.CIQ($A48, "IQ_TOTAL_REV", $B$3, $L$2,$L$4, $L$3, $L$5, $L$6))</f>
        <v>(Invalid Identifier)</v>
      </c>
      <c r="T48" s="542" t="str">
        <f>IF(_xll.ciqfunctions.udf.CIQ($A48, "IQ_REVENUE_EST",$B$4, $L$2, "CON", $L$3, $L$5, $L$6)=0,"n/a",_xll.ciqfunctions.udf.CIQ($A48, "IQ_REVENUE_EST",$B$4, $L$2, "CON", $L$3, $L$5, $L$6))</f>
        <v>(Invalid Identifier)</v>
      </c>
      <c r="U48" s="542" t="str">
        <f>IF(_xll.ciqfunctions.udf.CIQ($A48, "IQ_REVENUE_EST",$B$5, $L$2, "CON", $L$3, $L$5, $L$6)=0,"n/a",_xll.ciqfunctions.udf.CIQ($A48, "IQ_REVENUE_EST",$B$5, $L$2, "CON", $L$3, $L$5, $L$6))</f>
        <v>(Invalid Identifier)</v>
      </c>
      <c r="V48" s="542" t="str">
        <f>IF(_xll.ciqfunctions.udf.CIQ($A48, "IQ_REVENUE_EST",$B$6, $L$2, "CON", $L$3, $L$5, $L$6)=0,"n/a",_xll.ciqfunctions.udf.CIQ($A48, "IQ_REVENUE_EST",$B$6, $L$2, "CON", $L$3, $L$5, $L$6))</f>
        <v>(Invalid Identifier)</v>
      </c>
      <c r="W48" s="542" t="str">
        <f>IF(_xll.ciqfunctions.udf.CIQ($A48, "IQ_REVENUE_EST", $B$7, $L$2, "CON", $L$3, $L$5, $L$6)=0,"n/a",_xll.ciqfunctions.udf.CIQ($A48, "IQ_REVENUE_EST",$B$7, $L$2, "CON", $L$3, $L$5, $L$6))</f>
        <v>(Invalid Identifier)</v>
      </c>
      <c r="X48" s="542" t="str">
        <f>_xll.ciqfunctions.udf.CIQ($A48, "IQ_EBITDA", IQ_LTM-8, $L$2, $L$4, $L$3, $L$5, $L$6)</f>
        <v>(Invalid Identifier)</v>
      </c>
      <c r="Y48" s="542" t="str">
        <f>_xll.ciqfunctions.udf.CIQ($A48, "IQ_EBITDA", IQ_LTM-4, $L$2,$L$4, $L$3, $L$5, $L$6)</f>
        <v>(Invalid Identifier)</v>
      </c>
      <c r="Z48" s="542" t="str">
        <f>_xll.ciqfunctions.udf.CIQ($A48, "IQ_EBITDA", IQ_LTM, $L$2, $L$4, $L$3, $L$5, $L$6)</f>
        <v>(Invalid Identifier)</v>
      </c>
      <c r="AA48" s="542" t="str">
        <f>_xll.ciqfunctions.udf.CIQ($A48, "IQ_EBITDA", $B$2, $L$2, $L$4, $L$3, $L$5, $L$6)</f>
        <v>(Invalid Identifier)</v>
      </c>
      <c r="AB48" s="542" t="str">
        <f>IF(_xll.ciqfunctions.udf.CIQ($A48, "IQ_EBITDA", $B$3, $L$2,$L$4, $L$3, $L$5, $L$6)=0,Z48,_xll.ciqfunctions.udf.CIQ($A48, "IQ_EBITDA", $B$3, $L$2,$L$4, $L$3, $L$5, $L$6))</f>
        <v>(Invalid Identifier)</v>
      </c>
      <c r="AC48" s="542" t="str">
        <f>IF(_xll.ciqfunctions.udf.CIQ($A48, "IQ_EBITDA_EST",$B$4, $L$2, "CON", $L$3, $L$5, $L$6)=0,"n/a",_xll.ciqfunctions.udf.CIQ($A48, "IQ_EBITDA_EST",$B$4, $L$2, "CON", $L$3, $L$5, $L$6))</f>
        <v>(Invalid Identifier)</v>
      </c>
      <c r="AD48" s="493" t="str">
        <f>IF(_xll.ciqfunctions.udf.CIQ($A48, "IQ_EBITDA_EST",$B$5, $L$2, "CON", $L$3, $L$5, $L$6)=0,"n/a",_xll.ciqfunctions.udf.CIQ($A48, "IQ_EBITDA_EST",$B$5, $L$2, "CON", $L$3, $L$5, $L$6))</f>
        <v>(Invalid Identifier)</v>
      </c>
      <c r="AE48" s="542" t="str">
        <f>IF(_xll.ciqfunctions.udf.CIQ($A48, "IQ_EBITDA_EST",$B$6, $L$2, "CON", $L$3, $L$5, $L$6)=0,"n/a",_xll.ciqfunctions.udf.CIQ($A48, "IQ_EBITDA_EST",$B$6, $L$2, "CON", $L$3, $L$5, $L$6))</f>
        <v>(Invalid Identifier)</v>
      </c>
      <c r="AF48" s="543" t="str">
        <f>IF(ISERROR(_xll.ciqfunctions.udf.CIQ($A48, "IQ_GROSS_MARGIN", IQ_LTM, $L$2,$L$4, $L$3, $L$5, $L$6)/100), "n/a", _xll.ciqfunctions.udf.CIQ($A48,  "IQ_GROSS_MARGIN", IQ_LTM, $L$2, $L$4, $L$3, $L$5, $L$6)/100)</f>
        <v>n/a</v>
      </c>
      <c r="AG48" s="543" t="str">
        <f>IF(ISERROR(_xll.ciqfunctions.udf.CIQ($A48,"IQ_EBITDA_MARGIN", IQ_LTM, $L$2, $L$4, $L$3, $L$5, $L$6)/100), "n/a", _xll.ciqfunctions.udf.CIQ($A48, "IQ_EBITDA_MARGIN", IQ_LTM, $L$2, $L$4, $L$3, $L$5, $L$6)/100)</f>
        <v>n/a</v>
      </c>
      <c r="AH48" s="543" t="str">
        <f>IF(ISERROR(_xll.ciqfunctions.udf.CIQ($A48,"IQ_EBIT_MARGIN", IQ_LTM, $L$2, $L$4, $L$3, $L$5, $L$6)/100), "n/a", _xll.ciqfunctions.udf.CIQ($A48, "IQ_EBIT_MARGIN", IQ_LTM, $L$2, $L$4, $L$3, $L$5, $L$6)/100)</f>
        <v>n/a</v>
      </c>
      <c r="AI48" s="543" t="str">
        <f>IF(ISERROR(_xll.ciqfunctions.udf.CIQ($A48,"IQ_NI_MARGIN", IQ_LTM, $L$2, $L$4, $L$3, $L$5, $L$6)/100), "n/a", _xll.ciqfunctions.udf.CIQ($A48, "IQ_NI_MARGIN", IQ_LTM, $L$2, $L$4, $L$3, $L$5, $L$6)/100)</f>
        <v>n/a</v>
      </c>
      <c r="AJ48" s="542" t="str">
        <f>IF(ISERROR(_xll.ciqfunctions.udf.CIQ($A48, "IQ_NET_WORKING_CAP", IQ_LTM-8, $L$2, $L$4, $L$3, $L$5, $L$6)), "n/a", _xll.ciqfunctions.udf.CIQ($A48, "IQ_NET_WORKING_CAP", IQ_LTM-8, $L$2, $L$4, $L$3, $L$5, $L$6))</f>
        <v>(Invalid Identifier)</v>
      </c>
      <c r="AK48" s="542" t="str">
        <f>IF(ISERROR(_xll.ciqfunctions.udf.CIQ($A48, "IQ_NET_WORKING_CAP", IQ_LTM-4, $L$2, $L$4, $L$3, $L$5, $L$6)), "n/a", _xll.ciqfunctions.udf.CIQ($A48, "IQ_NET_WORKING_CAP", IQ_LTM-4, $L$2, $L$4, $L$3, $L$5, $L$6))</f>
        <v>(Invalid Identifier)</v>
      </c>
      <c r="AL48" s="542" t="str">
        <f>IF(ISERROR(_xll.ciqfunctions.udf.CIQ($A48, "IQ_NET_WORKING_CAP", IQ_LTM, $L$2,$L$4, $L$3, $L$5, $L$6)), "n/a", _xll.ciqfunctions.udf.CIQ($A48, "IQ_NET_WORKING_CAP", IQ_LTM, $L$2, $L$4, $L$3, $L$5, $L$6))</f>
        <v>(Invalid Identifier)</v>
      </c>
      <c r="AM48" s="542" t="str">
        <f>IF(ISERROR(_xll.ciqfunctions.udf.CIQ($A48, "IQ_Capex", IQ_LTM-8, $L$2,$L$4, $L$3, $L$5, $L$6)), "n/a", _xll.ciqfunctions.udf.CIQ($A48, "IQ_Capex", IQ_LTM-8, $L$2, $L$4, $L$3, $L$5, $L$6))</f>
        <v>(Invalid Identifier)</v>
      </c>
      <c r="AN48" s="542" t="str">
        <f>IF(ISERROR(_xll.ciqfunctions.udf.CIQ($A48, "IQ_Capex", IQ_LTM-4, $L$2,$L$4, $L$3, $L$5, $L$6)), "n/a", _xll.ciqfunctions.udf.CIQ($A48, "IQ_Capex", IQ_LTM-4, $L$2,$L$4, $L$3, $L$5, $L$6))</f>
        <v>(Invalid Identifier)</v>
      </c>
      <c r="AO48" s="542" t="str">
        <f>IF(ISERROR(_xll.ciqfunctions.udf.CIQ($A48, "IQ_Capex", IQ_LTM, $L$2, $L$4, $L$3, $L$5, $L$6)), "n/a", _xll.ciqfunctions.udf.CIQ($A48, "IQ_Capex", IQ_LTM, $L$2, $L$4, $L$3, $L$5, $L$6))</f>
        <v>(Invalid Identifier)</v>
      </c>
      <c r="AP48" s="544" t="str">
        <f>_xll.ciqfunctions.udf.CIQ(A48, "IQ_BUSINESS_DESCRIPTION")</f>
        <v>(Invalid Identifier)</v>
      </c>
      <c r="AQ48" s="545" t="str">
        <f>_xll.ciqfunctions.udf.CIQ($A48, "IQ_BETA_1YR", $B$1)</f>
        <v>(Invalid Identifier)</v>
      </c>
      <c r="AR48" s="545" t="str">
        <f>_xll.ciqfunctions.udf.CIQ($A48, "IQ_BETA_2YR", $B$1)</f>
        <v>(Invalid Identifier)</v>
      </c>
      <c r="AS48" s="545" t="str">
        <f>_xll.ciqfunctions.udf.CIQ($A48, "IQ_BETA_5YR", $B$1)</f>
        <v>(Invalid Identifier)</v>
      </c>
      <c r="AT48" s="493" t="str">
        <f>_xll.ciqfunctions.udf.CIQ($B48, "IQ_GP", IQ_LTM,$B$1, ,,"USD")</f>
        <v>(Invalid Identifier)</v>
      </c>
      <c r="AU48" s="542" t="str">
        <f>_xll.ciqfunctions.udf.CIQ($A48, "IQ_EARNING_CO", IQ_LTM-8, $L$2, $L$4, $L$3, $L$5, $L$6)</f>
        <v>(Invalid Identifier)</v>
      </c>
      <c r="AV48" s="542" t="str">
        <f>_xll.ciqfunctions.udf.CIQ($A48, "IQ_EARNING_CO", IQ_LTM-4, $L$2, $L$4, $L$3, $L$5, $L$6)</f>
        <v>(Invalid Identifier)</v>
      </c>
      <c r="AW48" s="542" t="str">
        <f>_xll.ciqfunctions.udf.CIQ($A48, "IQ_EARNING_CO", IQ_LTM, $L$2, $L$4, $L$3, $L$5, $L$6)</f>
        <v>(Invalid Identifier)</v>
      </c>
      <c r="AX48" s="542" t="str">
        <f>_xll.ciqfunctions.udf.CIQ($A48, "IQ_EARNING_CO", $B$2, $L$2, $L$4, $L$3, $L$5, $L$6)</f>
        <v>(Invalid Identifier)</v>
      </c>
      <c r="AY48" s="542" t="str">
        <f>IF(_xll.ciqfunctions.udf.CIQ($A48, "IQ_EARNING_CO", $B$3, $L$2,$L$4, $L$3, $L$5, $L$6)=0,AW48,_xll.ciqfunctions.udf.CIQ($A48, "IQ_EARNING_CO", $B$3, $L$2,$L$4, $L$3, $L$5, $L$6))</f>
        <v>(Invalid Identifier)</v>
      </c>
      <c r="AZ48" s="542" t="str">
        <f>_xll.ciqfunctions.udf.CIQ($A48, "IQ_TOTAL_EQUITY", IQ_LTM-8, $L$2, $L$4, $L$3, $L$5, $L$6)</f>
        <v>(Invalid Identifier)</v>
      </c>
      <c r="BA48" s="542" t="str">
        <f>_xll.ciqfunctions.udf.CIQ($A48, "IQ_TOTAL_EQUITY", IQ_LTM-4, $L$2, $L$4, $L$3, $L$5, $L$6)</f>
        <v>(Invalid Identifier)</v>
      </c>
      <c r="BB48" s="542" t="str">
        <f>_xll.ciqfunctions.udf.CIQ($A48, "IQ_TOTAL_EQUITY", IQ_LTM, $L$2, $L$4, $L$3, $L$5, $L$6)</f>
        <v>(Invalid Identifier)</v>
      </c>
      <c r="BC48" s="542" t="str">
        <f>_xll.ciqfunctions.udf.CIQ($A48, "IQ_TOTAL_EQUITY", $B$2, $L$2, $L$4, $L$3, $L$5, $L$6)</f>
        <v>(Invalid Identifier)</v>
      </c>
      <c r="BD48" s="542" t="str">
        <f>IF(_xll.ciqfunctions.udf.CIQ($A48, "IQ_TOTAL_EQUITY", $B$3, $L$2,$L$4, $L$3, $L$5, $L$6)=0,BB48,_xll.ciqfunctions.udf.CIQ($A48, "IQ_TOTAL_EQUITY", $B$3, $L$2,$L$4, $L$3, $L$5, $L$6))</f>
        <v>(Invalid Identifier)</v>
      </c>
      <c r="BE48" s="542" t="str">
        <f>_xll.ciqfunctions.udf.CIQ(A48, "IQ_LASTSALEPRICE", $B$8)</f>
        <v>(Invalid Identifier)</v>
      </c>
      <c r="BF48" s="542" t="str">
        <f>_xll.ciqfunctions.udf.CIQ($A48, "IQ_MARKETCAP", $B$8, $L$5, $L$6)</f>
        <v>(Invalid Identifier)</v>
      </c>
      <c r="BG48" s="542" t="str">
        <f>_xll.ciqfunctions.udf.CIQ($A48, "IQ_TOTAL_DEBT", IQ_LTM, $B$8,$L$4, $L$3, $L$5, $L$6)</f>
        <v>(Invalid Identifier)</v>
      </c>
      <c r="BH48" s="492" t="str">
        <f>_xll.ciqfunctions.udf.CIQ($A48,"IQ_PREF_EQUITY",IQ_LTM,$B$8,$L$4,$L$3,$L$5,$L$6)</f>
        <v>(Invalid Identifier)</v>
      </c>
      <c r="BI48" s="492" t="str">
        <f>_xll.ciqfunctions.udf.CIQ($A48, "IQ_MINORITY_INTEREST_TOTAL", IQ_LTM,$B$8,$L$4,$L$3,$L$5,$L$6)</f>
        <v>(Invalid Identifier)</v>
      </c>
      <c r="BJ48" s="542" t="str">
        <f>_xll.ciqfunctions.udf.CIQ($A48, "IQ_CASH_ST_INVEST", IQ_LTM, $B$8, $L$4, $L$3, $L$5, $L$6)</f>
        <v>(Invalid Identifier)</v>
      </c>
      <c r="BK48" s="492" t="str">
        <f>_xll.ciqfunctions.udf.CIQ($A48, "IQ_EFFECT_TAX_RATE")</f>
        <v>(Invalid Identifier)</v>
      </c>
      <c r="BL48" s="492" t="e">
        <f>IF(_xll.ciqfunctions.udf.CIQ($A48, "IQ_TOTAL_REV_2YR_ANN_CAGR", IQ_LTM, $B$1,$L$4, $L$3, $L$5, $L$6)="NM","n/a",(_xll.ciqfunctions.udf.CIQ($A48, "IQ_TOTAL_REV_2YR_ANN_CAGR", IQ_LTM, $B$1,$L$4, $L$3, $L$5, $L$6)/100))</f>
        <v>#VALUE!</v>
      </c>
      <c r="BM48" s="492" t="e">
        <f>IF(_xll.ciqfunctions.udf.CIQ($A48, "IQ_TOTAL_REV_3YR_ANN_CAGR", IQ_LTM, $B$1,$L$4, $L$3, $L$5, $L$6)="NM","n/a",(_xll.ciqfunctions.udf.CIQ($A48, "IQ_TOTAL_REV_3YR_ANN_CAGR", IQ_LTM, $B$1,$L$4, $L$3, $L$5, $L$6)/100))</f>
        <v>#VALUE!</v>
      </c>
      <c r="BN48" s="492" t="e">
        <f>IF(_xll.ciqfunctions.udf.CIQ($A48, "IQ_TOTAL_REV_5YR_ANN_CAGR", IQ_LTM, $B$1,$L$4, $L$3, $L$5, $L$6)="NM","n/a",(_xll.ciqfunctions.udf.CIQ($A48, "IQ_TOTAL_REV_5YR_ANN_CAGR", IQ_LTM, $B$1,$L$4, $L$3, $L$5, $L$6)/100))</f>
        <v>#VALUE!</v>
      </c>
      <c r="BO48" s="492" t="e">
        <f>IF(_xll.ciqfunctions.udf.CIQ($A48,"IQ_EBITDA_2YR_ANN_CAGR", IQ_LTM,$B$1,$L$4, $L$3, $L$5, $L$6)="NM","n/a",(_xll.ciqfunctions.udf.CIQ($A48,"IQ_EBITDA_2YR_ANN_CAGR", IQ_LTM,$B$1,$L$4, $L$3, $L$5, $L$6)/100))</f>
        <v>#VALUE!</v>
      </c>
      <c r="BP48" s="492" t="e">
        <f>IF(_xll.ciqfunctions.udf.CIQ($A48,"IQ_EBITDA_3YR_ANN_CAGR", IQ_LTM,$B$1,$L$4, $L$3, $L$5, $L$6)="NM","n/a",(_xll.ciqfunctions.udf.CIQ($A48,"IQ_EBITDA_3YR_ANN_CAGR", IQ_LTM,$B$1,$L$4, $L$3, $L$5, $L$6)/100))</f>
        <v>#VALUE!</v>
      </c>
      <c r="BQ48" s="492" t="e">
        <f>IF(_xll.ciqfunctions.udf.CIQ($A48,"IQ_EBITDA_5YR_ANN_CAGR", IQ_LTM,$B$1,$L$4, $L$3, $L$5, $L$6)="NM","n/a",(_xll.ciqfunctions.udf.CIQ($A48,"IQ_EBITDA_5YR_ANN_CAGR", IQ_LTM,$B$1,$L$4, $L$3, $L$5, $L$6)/100))</f>
        <v>#VALUE!</v>
      </c>
      <c r="BR48" s="496" t="str">
        <f>IFERROR((_xll.ciqfunctions.udf.CIQ($A48, "IQ_DA_CF", IQ_LTM, $B$1, $L$4, $L$3, $L$5, $L$6)/Q48),"NM")</f>
        <v>NM</v>
      </c>
      <c r="BS48" s="543" t="e">
        <f>'Capital IQ Sheet-GPC'!BS48</f>
        <v>#VALUE!</v>
      </c>
      <c r="BT48" s="543" t="e">
        <f>'Capital IQ Sheet-GPC'!BT48</f>
        <v>#VALUE!</v>
      </c>
      <c r="BU48" s="543" t="e">
        <f>'Capital IQ Sheet-GPC'!BU48</f>
        <v>#VALUE!</v>
      </c>
      <c r="BV48" s="543" t="e">
        <f>'Capital IQ Sheet-GPC'!BV48</f>
        <v>#VALUE!</v>
      </c>
      <c r="BW48" s="543" t="e">
        <f>'Capital IQ Sheet-GPC'!BW48</f>
        <v>#VALUE!</v>
      </c>
      <c r="BX48" s="543" t="e">
        <f>'Capital IQ Sheet-GPC'!BX48</f>
        <v>#VALUE!</v>
      </c>
      <c r="BY48" s="543" t="e">
        <f>'Capital IQ Sheet-GPC'!BY48</f>
        <v>#VALUE!</v>
      </c>
      <c r="BZ48" s="543" t="e">
        <f>'Capital IQ Sheet-GPC'!BZ48</f>
        <v>#VALUE!</v>
      </c>
    </row>
    <row r="49" spans="1:83">
      <c r="A49" s="493" t="str">
        <f>_xll.ciqfunctions.udf.CIQ($B49,"IQ_COMPANY_TICKER")</f>
        <v>(Invalid Identifier)</v>
      </c>
      <c r="B49" s="541" t="str">
        <f>'Capital IQ Sheet-GPC'!B49</f>
        <v>(Invalid Identifier)</v>
      </c>
      <c r="C49" s="493" t="str">
        <f>_xll.ciqfunctions.udf.CIQ($A49,"IQ_COMPANY_NAME")</f>
        <v>(Invalid Identifier)</v>
      </c>
      <c r="D49" s="493" t="str">
        <f>_xll.ciqfunctions.udf.CIQ($A49, "IQ_EXCHANGE")</f>
        <v>(Invalid Identifier)</v>
      </c>
      <c r="E49" s="540" t="str">
        <f>_xll.ciqfunctions.udf.CIQ($A49, "IQ_PERIODDATE_IS", IQ_FY)</f>
        <v>(Invalid Identifier)</v>
      </c>
      <c r="F49" s="540" t="str">
        <f>_xll.ciqfunctions.udf.CIQ(A49, "IQ_PERIODDATE_IS", IQ_LTM, $B$1,$L$4,$L$3)</f>
        <v>(Invalid Identifier)</v>
      </c>
      <c r="G49" s="540" t="str">
        <f>_xll.ciqfunctions.udf.CIQ($A49, "IQ_FIRSTPRICINGDATE")</f>
        <v>(Invalid Identifier)</v>
      </c>
      <c r="H49" s="542" t="str">
        <f>_xll.ciqfunctions.udf.CIQ($A49, "IQ_TEV", $L$2, $L$5, $L$6)</f>
        <v>(Invalid Identifier)</v>
      </c>
      <c r="I49" s="542" t="str">
        <f>_xll.ciqfunctions.udf.CIQ(A49, "IQ_LASTSALEPRICE", $B$1,$L$5)</f>
        <v>(Invalid Identifier)</v>
      </c>
      <c r="J49" s="540" t="str">
        <f>_xll.ciqfunctions.udf.CIQ($B49, "IQ_FIRSTPRICINGDATE")</f>
        <v>(Invalid Identifier)</v>
      </c>
      <c r="K49" s="542" t="str">
        <f>_xll.ciqfunctions.udf.CIQ($A49, "IQ_TOTAL_DEBT", IQ_LTM, $L$2,$L$4, $L$3, $L$5, $L$6)</f>
        <v>(Invalid Identifier)</v>
      </c>
      <c r="L49" s="542" t="str">
        <f>_xll.ciqfunctions.udf.CIQ($A49, "IQ_PREF_EQUITY", IQ_LTM, $L$2, $L$4, $L$3, $L$5, $L$6)</f>
        <v>(Invalid Identifier)</v>
      </c>
      <c r="M49" s="542" t="str">
        <f>_xll.ciqfunctions.udf.CIQ($A49, "IQ_MINORITY_INTEREST_TOTAL", IQ_LTM, $L$2, $L$4, $L$3, $L$5, $L$6)</f>
        <v>(Invalid Identifier)</v>
      </c>
      <c r="N49" s="542" t="str">
        <f>_xll.ciqfunctions.udf.CIQ($A49, "IQ_CASH_ST_INVEST", IQ_LTM, $L$2, $L$4, $L$3, $L$5, $L$6)</f>
        <v>(Invalid Identifier)</v>
      </c>
      <c r="O49" s="542" t="str">
        <f>_xll.ciqfunctions.udf.CIQ($A49, "IQ_TOTAL_REV", IQ_LTM-8, $L$2, $L$4, $L$3, $L$5, $L$6)</f>
        <v>(Invalid Identifier)</v>
      </c>
      <c r="P49" s="542" t="str">
        <f>_xll.ciqfunctions.udf.CIQ($A49, "IQ_TOTAL_REV", IQ_LTM - 4, $L$2, $L$4, $L$3, $L$5,$L$6)</f>
        <v>(Invalid Identifier)</v>
      </c>
      <c r="Q49" s="542" t="str">
        <f>_xll.ciqfunctions.udf.CIQ($A49, "IQ_TOTAL_REV", IQ_LTM, $L$2, $L$4, $L$3, $L$5, $L$6)</f>
        <v>(Invalid Identifier)</v>
      </c>
      <c r="R49" s="542" t="str">
        <f>_xll.ciqfunctions.udf.CIQ($A49, "IQ_TOTAL_REV", $B$2, $L$2, $L$4, $L$3, $L$5, $L$6)</f>
        <v>(Invalid Identifier)</v>
      </c>
      <c r="S49" s="542" t="str">
        <f>IF(_xll.ciqfunctions.udf.CIQ($A49, "IQ_TOTAL_REV", $B$3, $L$2,$L$4, $L$3, $L$5, $L$6)=0,Q49,_xll.ciqfunctions.udf.CIQ($A49, "IQ_TOTAL_REV", $B$3, $L$2,$L$4, $L$3, $L$5, $L$6))</f>
        <v>(Invalid Identifier)</v>
      </c>
      <c r="T49" s="542" t="str">
        <f>IF(_xll.ciqfunctions.udf.CIQ($A49, "IQ_REVENUE_EST",$B$4, $L$2, "CON", $L$3, $L$5, $L$6)=0,"n/a",_xll.ciqfunctions.udf.CIQ($A49, "IQ_REVENUE_EST",$B$4, $L$2, "CON", $L$3, $L$5, $L$6))</f>
        <v>(Invalid Identifier)</v>
      </c>
      <c r="U49" s="542" t="str">
        <f>IF(_xll.ciqfunctions.udf.CIQ($A49, "IQ_REVENUE_EST",$B$5, $L$2, "CON", $L$3, $L$5, $L$6)=0,"n/a",_xll.ciqfunctions.udf.CIQ($A49, "IQ_REVENUE_EST",$B$5, $L$2, "CON", $L$3, $L$5, $L$6))</f>
        <v>(Invalid Identifier)</v>
      </c>
      <c r="V49" s="542" t="str">
        <f>IF(_xll.ciqfunctions.udf.CIQ($A49, "IQ_REVENUE_EST",$B$6, $L$2, "CON", $L$3, $L$5, $L$6)=0,"n/a",_xll.ciqfunctions.udf.CIQ($A49, "IQ_REVENUE_EST",$B$6, $L$2, "CON", $L$3, $L$5, $L$6))</f>
        <v>(Invalid Identifier)</v>
      </c>
      <c r="W49" s="542" t="str">
        <f>IF(_xll.ciqfunctions.udf.CIQ($A49, "IQ_REVENUE_EST", $B$7, $L$2, "CON", $L$3, $L$5, $L$6)=0,"n/a",_xll.ciqfunctions.udf.CIQ($A49, "IQ_REVENUE_EST",$B$7, $L$2, "CON", $L$3, $L$5, $L$6))</f>
        <v>(Invalid Identifier)</v>
      </c>
      <c r="X49" s="542" t="str">
        <f>_xll.ciqfunctions.udf.CIQ($A49, "IQ_EBITDA", IQ_LTM-8, $L$2, $L$4, $L$3, $L$5, $L$6)</f>
        <v>(Invalid Identifier)</v>
      </c>
      <c r="Y49" s="542" t="str">
        <f>_xll.ciqfunctions.udf.CIQ($A49, "IQ_EBITDA", IQ_LTM-4, $L$2,$L$4, $L$3, $L$5, $L$6)</f>
        <v>(Invalid Identifier)</v>
      </c>
      <c r="Z49" s="542" t="str">
        <f>_xll.ciqfunctions.udf.CIQ($A49, "IQ_EBITDA", IQ_LTM, $L$2, $L$4, $L$3, $L$5, $L$6)</f>
        <v>(Invalid Identifier)</v>
      </c>
      <c r="AA49" s="542" t="str">
        <f>_xll.ciqfunctions.udf.CIQ($A49, "IQ_EBITDA", $B$2, $L$2, $L$4, $L$3, $L$5, $L$6)</f>
        <v>(Invalid Identifier)</v>
      </c>
      <c r="AB49" s="542" t="str">
        <f>IF(_xll.ciqfunctions.udf.CIQ($A49, "IQ_EBITDA", $B$3, $L$2,$L$4, $L$3, $L$5, $L$6)=0,Z49,_xll.ciqfunctions.udf.CIQ($A49, "IQ_EBITDA", $B$3, $L$2,$L$4, $L$3, $L$5, $L$6))</f>
        <v>(Invalid Identifier)</v>
      </c>
      <c r="AC49" s="542" t="str">
        <f>IF(_xll.ciqfunctions.udf.CIQ($A49, "IQ_EBITDA_EST",$B$4, $L$2, "CON", $L$3, $L$5, $L$6)=0,"n/a",_xll.ciqfunctions.udf.CIQ($A49, "IQ_EBITDA_EST",$B$4, $L$2, "CON", $L$3, $L$5, $L$6))</f>
        <v>(Invalid Identifier)</v>
      </c>
      <c r="AD49" s="493" t="str">
        <f>IF(_xll.ciqfunctions.udf.CIQ($A49, "IQ_EBITDA_EST",$B$5, $L$2, "CON", $L$3, $L$5, $L$6)=0,"n/a",_xll.ciqfunctions.udf.CIQ($A49, "IQ_EBITDA_EST",$B$5, $L$2, "CON", $L$3, $L$5, $L$6))</f>
        <v>(Invalid Identifier)</v>
      </c>
      <c r="AE49" s="542" t="str">
        <f>IF(_xll.ciqfunctions.udf.CIQ($A49, "IQ_EBITDA_EST",$B$6, $L$2, "CON", $L$3, $L$5, $L$6)=0,"n/a",_xll.ciqfunctions.udf.CIQ($A49, "IQ_EBITDA_EST",$B$6, $L$2, "CON", $L$3, $L$5, $L$6))</f>
        <v>(Invalid Identifier)</v>
      </c>
      <c r="AF49" s="543" t="str">
        <f>IF(ISERROR(_xll.ciqfunctions.udf.CIQ($A49, "IQ_GROSS_MARGIN", IQ_LTM, $L$2,$L$4, $L$3, $L$5, $L$6)/100), "n/a", _xll.ciqfunctions.udf.CIQ($A49,  "IQ_GROSS_MARGIN", IQ_LTM, $L$2, $L$4, $L$3, $L$5, $L$6)/100)</f>
        <v>n/a</v>
      </c>
      <c r="AG49" s="543" t="str">
        <f>IF(ISERROR(_xll.ciqfunctions.udf.CIQ($A49,"IQ_EBITDA_MARGIN", IQ_LTM, $L$2, $L$4, $L$3, $L$5, $L$6)/100), "n/a", _xll.ciqfunctions.udf.CIQ($A49, "IQ_EBITDA_MARGIN", IQ_LTM, $L$2, $L$4, $L$3, $L$5, $L$6)/100)</f>
        <v>n/a</v>
      </c>
      <c r="AH49" s="543" t="str">
        <f>IF(ISERROR(_xll.ciqfunctions.udf.CIQ($A49,"IQ_EBIT_MARGIN", IQ_LTM, $L$2, $L$4, $L$3, $L$5, $L$6)/100), "n/a", _xll.ciqfunctions.udf.CIQ($A49, "IQ_EBIT_MARGIN", IQ_LTM, $L$2, $L$4, $L$3, $L$5, $L$6)/100)</f>
        <v>n/a</v>
      </c>
      <c r="AI49" s="543" t="str">
        <f>IF(ISERROR(_xll.ciqfunctions.udf.CIQ($A49,"IQ_NI_MARGIN", IQ_LTM, $L$2, $L$4, $L$3, $L$5, $L$6)/100), "n/a", _xll.ciqfunctions.udf.CIQ($A49, "IQ_NI_MARGIN", IQ_LTM, $L$2, $L$4, $L$3, $L$5, $L$6)/100)</f>
        <v>n/a</v>
      </c>
      <c r="AJ49" s="542" t="str">
        <f>IF(ISERROR(_xll.ciqfunctions.udf.CIQ($A49, "IQ_NET_WORKING_CAP", IQ_LTM-8, $L$2, $L$4, $L$3, $L$5, $L$6)), "n/a", _xll.ciqfunctions.udf.CIQ($A49, "IQ_NET_WORKING_CAP", IQ_LTM-8, $L$2, $L$4, $L$3, $L$5, $L$6))</f>
        <v>(Invalid Identifier)</v>
      </c>
      <c r="AK49" s="542" t="str">
        <f>IF(ISERROR(_xll.ciqfunctions.udf.CIQ($A49, "IQ_NET_WORKING_CAP", IQ_LTM-4, $L$2, $L$4, $L$3, $L$5, $L$6)), "n/a", _xll.ciqfunctions.udf.CIQ($A49, "IQ_NET_WORKING_CAP", IQ_LTM-4, $L$2, $L$4, $L$3, $L$5, $L$6))</f>
        <v>(Invalid Identifier)</v>
      </c>
      <c r="AL49" s="542" t="str">
        <f>IF(ISERROR(_xll.ciqfunctions.udf.CIQ($A49, "IQ_NET_WORKING_CAP", IQ_LTM, $L$2,$L$4, $L$3, $L$5, $L$6)), "n/a", _xll.ciqfunctions.udf.CIQ($A49, "IQ_NET_WORKING_CAP", IQ_LTM, $L$2, $L$4, $L$3, $L$5, $L$6))</f>
        <v>(Invalid Identifier)</v>
      </c>
      <c r="AM49" s="542" t="str">
        <f>IF(ISERROR(_xll.ciqfunctions.udf.CIQ($A49, "IQ_Capex", IQ_LTM-8, $L$2,$L$4, $L$3, $L$5, $L$6)), "n/a", _xll.ciqfunctions.udf.CIQ($A49, "IQ_Capex", IQ_LTM-8, $L$2, $L$4, $L$3, $L$5, $L$6))</f>
        <v>(Invalid Identifier)</v>
      </c>
      <c r="AN49" s="542" t="str">
        <f>IF(ISERROR(_xll.ciqfunctions.udf.CIQ($A49, "IQ_Capex", IQ_LTM-4, $L$2,$L$4, $L$3, $L$5, $L$6)), "n/a", _xll.ciqfunctions.udf.CIQ($A49, "IQ_Capex", IQ_LTM-4, $L$2,$L$4, $L$3, $L$5, $L$6))</f>
        <v>(Invalid Identifier)</v>
      </c>
      <c r="AO49" s="542" t="str">
        <f>IF(ISERROR(_xll.ciqfunctions.udf.CIQ($A49, "IQ_Capex", IQ_LTM, $L$2, $L$4, $L$3, $L$5, $L$6)), "n/a", _xll.ciqfunctions.udf.CIQ($A49, "IQ_Capex", IQ_LTM, $L$2, $L$4, $L$3, $L$5, $L$6))</f>
        <v>(Invalid Identifier)</v>
      </c>
      <c r="AP49" s="544" t="str">
        <f>_xll.ciqfunctions.udf.CIQ(A49, "IQ_BUSINESS_DESCRIPTION")</f>
        <v>(Invalid Identifier)</v>
      </c>
      <c r="AQ49" s="545" t="str">
        <f>_xll.ciqfunctions.udf.CIQ($A49, "IQ_BETA_1YR", $B$1)</f>
        <v>(Invalid Identifier)</v>
      </c>
      <c r="AR49" s="545" t="str">
        <f>_xll.ciqfunctions.udf.CIQ($A49, "IQ_BETA_2YR", $B$1)</f>
        <v>(Invalid Identifier)</v>
      </c>
      <c r="AS49" s="545" t="str">
        <f>_xll.ciqfunctions.udf.CIQ($A49, "IQ_BETA_5YR", $B$1)</f>
        <v>(Invalid Identifier)</v>
      </c>
      <c r="AT49" s="493" t="str">
        <f>_xll.ciqfunctions.udf.CIQ($B49, "IQ_GP", IQ_LTM,$B$1, ,,"USD")</f>
        <v>(Invalid Identifier)</v>
      </c>
      <c r="AU49" s="542" t="str">
        <f>_xll.ciqfunctions.udf.CIQ($A49, "IQ_EARNING_CO", IQ_LTM-8, $L$2, $L$4, $L$3, $L$5, $L$6)</f>
        <v>(Invalid Identifier)</v>
      </c>
      <c r="AV49" s="542" t="str">
        <f>_xll.ciqfunctions.udf.CIQ($A49, "IQ_EARNING_CO", IQ_LTM-4, $L$2, $L$4, $L$3, $L$5, $L$6)</f>
        <v>(Invalid Identifier)</v>
      </c>
      <c r="AW49" s="542" t="str">
        <f>_xll.ciqfunctions.udf.CIQ($A49, "IQ_EARNING_CO", IQ_LTM, $L$2, $L$4, $L$3, $L$5, $L$6)</f>
        <v>(Invalid Identifier)</v>
      </c>
      <c r="AX49" s="542" t="str">
        <f>_xll.ciqfunctions.udf.CIQ($A49, "IQ_EARNING_CO", $B$2, $L$2, $L$4, $L$3, $L$5, $L$6)</f>
        <v>(Invalid Identifier)</v>
      </c>
      <c r="AY49" s="542" t="str">
        <f>IF(_xll.ciqfunctions.udf.CIQ($A49, "IQ_EARNING_CO", $B$3, $L$2,$L$4, $L$3, $L$5, $L$6)=0,AW49,_xll.ciqfunctions.udf.CIQ($A49, "IQ_EARNING_CO", $B$3, $L$2,$L$4, $L$3, $L$5, $L$6))</f>
        <v>(Invalid Identifier)</v>
      </c>
      <c r="AZ49" s="542" t="str">
        <f>_xll.ciqfunctions.udf.CIQ($A49, "IQ_TOTAL_EQUITY", IQ_LTM-8, $L$2, $L$4, $L$3, $L$5, $L$6)</f>
        <v>(Invalid Identifier)</v>
      </c>
      <c r="BA49" s="542" t="str">
        <f>_xll.ciqfunctions.udf.CIQ($A49, "IQ_TOTAL_EQUITY", IQ_LTM-4, $L$2, $L$4, $L$3, $L$5, $L$6)</f>
        <v>(Invalid Identifier)</v>
      </c>
      <c r="BB49" s="542" t="str">
        <f>_xll.ciqfunctions.udf.CIQ($A49, "IQ_TOTAL_EQUITY", IQ_LTM, $L$2, $L$4, $L$3, $L$5, $L$6)</f>
        <v>(Invalid Identifier)</v>
      </c>
      <c r="BC49" s="542" t="str">
        <f>_xll.ciqfunctions.udf.CIQ($A49, "IQ_TOTAL_EQUITY", $B$2, $L$2, $L$4, $L$3, $L$5, $L$6)</f>
        <v>(Invalid Identifier)</v>
      </c>
      <c r="BD49" s="542" t="str">
        <f>IF(_xll.ciqfunctions.udf.CIQ($A49, "IQ_TOTAL_EQUITY", $B$3, $L$2,$L$4, $L$3, $L$5, $L$6)=0,BB49,_xll.ciqfunctions.udf.CIQ($A49, "IQ_TOTAL_EQUITY", $B$3, $L$2,$L$4, $L$3, $L$5, $L$6))</f>
        <v>(Invalid Identifier)</v>
      </c>
      <c r="BE49" s="542" t="str">
        <f>_xll.ciqfunctions.udf.CIQ(A49, "IQ_LASTSALEPRICE", $B$8)</f>
        <v>(Invalid Identifier)</v>
      </c>
      <c r="BF49" s="542" t="str">
        <f>_xll.ciqfunctions.udf.CIQ($A49, "IQ_MARKETCAP", $B$8, $L$5, $L$6)</f>
        <v>(Invalid Identifier)</v>
      </c>
      <c r="BG49" s="542" t="str">
        <f>_xll.ciqfunctions.udf.CIQ($A49, "IQ_TOTAL_DEBT", IQ_LTM, $B$8,$L$4, $L$3, $L$5, $L$6)</f>
        <v>(Invalid Identifier)</v>
      </c>
      <c r="BH49" s="492" t="str">
        <f>_xll.ciqfunctions.udf.CIQ($A49,"IQ_PREF_EQUITY",IQ_LTM,$B$8,$L$4,$L$3,$L$5,$L$6)</f>
        <v>(Invalid Identifier)</v>
      </c>
      <c r="BI49" s="492" t="str">
        <f>_xll.ciqfunctions.udf.CIQ($A49, "IQ_MINORITY_INTEREST_TOTAL", IQ_LTM,$B$8,$L$4,$L$3,$L$5,$L$6)</f>
        <v>(Invalid Identifier)</v>
      </c>
      <c r="BJ49" s="542" t="str">
        <f>_xll.ciqfunctions.udf.CIQ($A49, "IQ_CASH_ST_INVEST", IQ_LTM, $B$8, $L$4, $L$3, $L$5, $L$6)</f>
        <v>(Invalid Identifier)</v>
      </c>
      <c r="BK49" s="492" t="str">
        <f>_xll.ciqfunctions.udf.CIQ($A49, "IQ_EFFECT_TAX_RATE")</f>
        <v>(Invalid Identifier)</v>
      </c>
      <c r="BL49" s="492" t="e">
        <f>IF(_xll.ciqfunctions.udf.CIQ($A49, "IQ_TOTAL_REV_2YR_ANN_CAGR", IQ_LTM, $B$1,$L$4, $L$3, $L$5, $L$6)="NM","n/a",(_xll.ciqfunctions.udf.CIQ($A49, "IQ_TOTAL_REV_2YR_ANN_CAGR", IQ_LTM, $B$1,$L$4, $L$3, $L$5, $L$6)/100))</f>
        <v>#VALUE!</v>
      </c>
      <c r="BM49" s="492" t="e">
        <f>IF(_xll.ciqfunctions.udf.CIQ($A49, "IQ_TOTAL_REV_3YR_ANN_CAGR", IQ_LTM, $B$1,$L$4, $L$3, $L$5, $L$6)="NM","n/a",(_xll.ciqfunctions.udf.CIQ($A49, "IQ_TOTAL_REV_3YR_ANN_CAGR", IQ_LTM, $B$1,$L$4, $L$3, $L$5, $L$6)/100))</f>
        <v>#VALUE!</v>
      </c>
      <c r="BN49" s="492" t="e">
        <f>IF(_xll.ciqfunctions.udf.CIQ($A49, "IQ_TOTAL_REV_5YR_ANN_CAGR", IQ_LTM, $B$1,$L$4, $L$3, $L$5, $L$6)="NM","n/a",(_xll.ciqfunctions.udf.CIQ($A49, "IQ_TOTAL_REV_5YR_ANN_CAGR", IQ_LTM, $B$1,$L$4, $L$3, $L$5, $L$6)/100))</f>
        <v>#VALUE!</v>
      </c>
      <c r="BO49" s="492" t="e">
        <f>IF(_xll.ciqfunctions.udf.CIQ($A49,"IQ_EBITDA_2YR_ANN_CAGR", IQ_LTM,$B$1,$L$4, $L$3, $L$5, $L$6)="NM","n/a",(_xll.ciqfunctions.udf.CIQ($A49,"IQ_EBITDA_2YR_ANN_CAGR", IQ_LTM,$B$1,$L$4, $L$3, $L$5, $L$6)/100))</f>
        <v>#VALUE!</v>
      </c>
      <c r="BP49" s="492" t="e">
        <f>IF(_xll.ciqfunctions.udf.CIQ($A49,"IQ_EBITDA_3YR_ANN_CAGR", IQ_LTM,$B$1,$L$4, $L$3, $L$5, $L$6)="NM","n/a",(_xll.ciqfunctions.udf.CIQ($A49,"IQ_EBITDA_3YR_ANN_CAGR", IQ_LTM,$B$1,$L$4, $L$3, $L$5, $L$6)/100))</f>
        <v>#VALUE!</v>
      </c>
      <c r="BQ49" s="492" t="e">
        <f>IF(_xll.ciqfunctions.udf.CIQ($A49,"IQ_EBITDA_5YR_ANN_CAGR", IQ_LTM,$B$1,$L$4, $L$3, $L$5, $L$6)="NM","n/a",(_xll.ciqfunctions.udf.CIQ($A49,"IQ_EBITDA_5YR_ANN_CAGR", IQ_LTM,$B$1,$L$4, $L$3, $L$5, $L$6)/100))</f>
        <v>#VALUE!</v>
      </c>
      <c r="BR49" s="496" t="str">
        <f>IFERROR((_xll.ciqfunctions.udf.CIQ($A49, "IQ_DA_CF", IQ_LTM, $B$1, $L$4, $L$3, $L$5, $L$6)/Q49),"NM")</f>
        <v>NM</v>
      </c>
      <c r="BS49" s="543" t="e">
        <f>'Capital IQ Sheet-GPC'!BS49</f>
        <v>#VALUE!</v>
      </c>
      <c r="BT49" s="543" t="e">
        <f>'Capital IQ Sheet-GPC'!BT49</f>
        <v>#VALUE!</v>
      </c>
      <c r="BU49" s="543" t="e">
        <f>'Capital IQ Sheet-GPC'!BU49</f>
        <v>#VALUE!</v>
      </c>
      <c r="BV49" s="543" t="e">
        <f>'Capital IQ Sheet-GPC'!BV49</f>
        <v>#VALUE!</v>
      </c>
      <c r="BW49" s="543" t="e">
        <f>'Capital IQ Sheet-GPC'!BW49</f>
        <v>#VALUE!</v>
      </c>
      <c r="BX49" s="543" t="e">
        <f>'Capital IQ Sheet-GPC'!BX49</f>
        <v>#VALUE!</v>
      </c>
      <c r="BY49" s="543" t="e">
        <f>'Capital IQ Sheet-GPC'!BY49</f>
        <v>#VALUE!</v>
      </c>
      <c r="BZ49" s="543" t="e">
        <f>'Capital IQ Sheet-GPC'!BZ49</f>
        <v>#VALUE!</v>
      </c>
    </row>
    <row r="50" spans="1:83">
      <c r="A50" s="493" t="str">
        <f>_xll.ciqfunctions.udf.CIQ($B50,"IQ_COMPANY_TICKER")</f>
        <v>(Invalid Identifier)</v>
      </c>
      <c r="B50" s="541" t="str">
        <f>'Capital IQ Sheet-GPC'!B50</f>
        <v>(Invalid Identifier)</v>
      </c>
      <c r="C50" s="493" t="str">
        <f>_xll.ciqfunctions.udf.CIQ($A50,"IQ_COMPANY_NAME")</f>
        <v>(Invalid Identifier)</v>
      </c>
      <c r="D50" s="493" t="str">
        <f>_xll.ciqfunctions.udf.CIQ($A50, "IQ_EXCHANGE")</f>
        <v>(Invalid Identifier)</v>
      </c>
      <c r="E50" s="540" t="str">
        <f>_xll.ciqfunctions.udf.CIQ($A50, "IQ_PERIODDATE_IS", IQ_FY)</f>
        <v>(Invalid Identifier)</v>
      </c>
      <c r="F50" s="540" t="str">
        <f>_xll.ciqfunctions.udf.CIQ(A50, "IQ_PERIODDATE_IS", IQ_LTM, $B$1,$L$4,$L$3)</f>
        <v>(Invalid Identifier)</v>
      </c>
      <c r="G50" s="540" t="str">
        <f>_xll.ciqfunctions.udf.CIQ($A50, "IQ_FIRSTPRICINGDATE")</f>
        <v>(Invalid Identifier)</v>
      </c>
      <c r="H50" s="542" t="str">
        <f>_xll.ciqfunctions.udf.CIQ($A50, "IQ_TEV", $L$2, $L$5, $L$6)</f>
        <v>(Invalid Identifier)</v>
      </c>
      <c r="I50" s="542" t="str">
        <f>_xll.ciqfunctions.udf.CIQ(A50, "IQ_LASTSALEPRICE", $B$1,$L$5)</f>
        <v>(Invalid Identifier)</v>
      </c>
      <c r="J50" s="540" t="str">
        <f>_xll.ciqfunctions.udf.CIQ($B50, "IQ_FIRSTPRICINGDATE")</f>
        <v>(Invalid Identifier)</v>
      </c>
      <c r="K50" s="542" t="str">
        <f>_xll.ciqfunctions.udf.CIQ($A50, "IQ_TOTAL_DEBT", IQ_LTM, $L$2,$L$4, $L$3, $L$5, $L$6)</f>
        <v>(Invalid Identifier)</v>
      </c>
      <c r="L50" s="542" t="str">
        <f>_xll.ciqfunctions.udf.CIQ($A50, "IQ_PREF_EQUITY", IQ_LTM, $L$2, $L$4, $L$3, $L$5, $L$6)</f>
        <v>(Invalid Identifier)</v>
      </c>
      <c r="M50" s="542" t="str">
        <f>_xll.ciqfunctions.udf.CIQ($A50, "IQ_MINORITY_INTEREST_TOTAL", IQ_LTM, $L$2, $L$4, $L$3, $L$5, $L$6)</f>
        <v>(Invalid Identifier)</v>
      </c>
      <c r="N50" s="542" t="str">
        <f>_xll.ciqfunctions.udf.CIQ($A50, "IQ_CASH_ST_INVEST", IQ_LTM, $L$2, $L$4, $L$3, $L$5, $L$6)</f>
        <v>(Invalid Identifier)</v>
      </c>
      <c r="O50" s="542" t="str">
        <f>_xll.ciqfunctions.udf.CIQ($A50, "IQ_TOTAL_REV", IQ_LTM-8, $L$2, $L$4, $L$3, $L$5, $L$6)</f>
        <v>(Invalid Identifier)</v>
      </c>
      <c r="P50" s="542" t="str">
        <f>_xll.ciqfunctions.udf.CIQ($A50, "IQ_TOTAL_REV", IQ_LTM - 4, $L$2, $L$4, $L$3, $L$5,$L$6)</f>
        <v>(Invalid Identifier)</v>
      </c>
      <c r="Q50" s="542" t="str">
        <f>_xll.ciqfunctions.udf.CIQ($A50, "IQ_TOTAL_REV", IQ_LTM, $L$2, $L$4, $L$3, $L$5, $L$6)</f>
        <v>(Invalid Identifier)</v>
      </c>
      <c r="R50" s="542" t="str">
        <f>_xll.ciqfunctions.udf.CIQ($A50, "IQ_TOTAL_REV", $B$2, $L$2, $L$4, $L$3, $L$5, $L$6)</f>
        <v>(Invalid Identifier)</v>
      </c>
      <c r="S50" s="542" t="str">
        <f>IF(_xll.ciqfunctions.udf.CIQ($A50, "IQ_TOTAL_REV", $B$3, $L$2,$L$4, $L$3, $L$5, $L$6)=0,Q50,_xll.ciqfunctions.udf.CIQ($A50, "IQ_TOTAL_REV", $B$3, $L$2,$L$4, $L$3, $L$5, $L$6))</f>
        <v>(Invalid Identifier)</v>
      </c>
      <c r="T50" s="542" t="str">
        <f>IF(_xll.ciqfunctions.udf.CIQ($A50, "IQ_REVENUE_EST",$B$4, $L$2, "CON", $L$3, $L$5, $L$6)=0,"n/a",_xll.ciqfunctions.udf.CIQ($A50, "IQ_REVENUE_EST",$B$4, $L$2, "CON", $L$3, $L$5, $L$6))</f>
        <v>(Invalid Identifier)</v>
      </c>
      <c r="U50" s="542" t="str">
        <f>IF(_xll.ciqfunctions.udf.CIQ($A50, "IQ_REVENUE_EST",$B$5, $L$2, "CON", $L$3, $L$5, $L$6)=0,"n/a",_xll.ciqfunctions.udf.CIQ($A50, "IQ_REVENUE_EST",$B$5, $L$2, "CON", $L$3, $L$5, $L$6))</f>
        <v>(Invalid Identifier)</v>
      </c>
      <c r="V50" s="542" t="str">
        <f>IF(_xll.ciqfunctions.udf.CIQ($A50, "IQ_REVENUE_EST",$B$6, $L$2, "CON", $L$3, $L$5, $L$6)=0,"n/a",_xll.ciqfunctions.udf.CIQ($A50, "IQ_REVENUE_EST",$B$6, $L$2, "CON", $L$3, $L$5, $L$6))</f>
        <v>(Invalid Identifier)</v>
      </c>
      <c r="W50" s="542" t="str">
        <f>IF(_xll.ciqfunctions.udf.CIQ($A50, "IQ_REVENUE_EST", $B$7, $L$2, "CON", $L$3, $L$5, $L$6)=0,"n/a",_xll.ciqfunctions.udf.CIQ($A50, "IQ_REVENUE_EST",$B$7, $L$2, "CON", $L$3, $L$5, $L$6))</f>
        <v>(Invalid Identifier)</v>
      </c>
      <c r="X50" s="542" t="str">
        <f>_xll.ciqfunctions.udf.CIQ($A50, "IQ_EBITDA", IQ_LTM-8, $L$2, $L$4, $L$3, $L$5, $L$6)</f>
        <v>(Invalid Identifier)</v>
      </c>
      <c r="Y50" s="542" t="str">
        <f>_xll.ciqfunctions.udf.CIQ($A50, "IQ_EBITDA", IQ_LTM-4, $L$2,$L$4, $L$3, $L$5, $L$6)</f>
        <v>(Invalid Identifier)</v>
      </c>
      <c r="Z50" s="542" t="str">
        <f>_xll.ciqfunctions.udf.CIQ($A50, "IQ_EBITDA", IQ_LTM, $L$2, $L$4, $L$3, $L$5, $L$6)</f>
        <v>(Invalid Identifier)</v>
      </c>
      <c r="AA50" s="542" t="str">
        <f>_xll.ciqfunctions.udf.CIQ($A50, "IQ_EBITDA", $B$2, $L$2, $L$4, $L$3, $L$5, $L$6)</f>
        <v>(Invalid Identifier)</v>
      </c>
      <c r="AB50" s="542" t="str">
        <f>IF(_xll.ciqfunctions.udf.CIQ($A50, "IQ_EBITDA", $B$3, $L$2,$L$4, $L$3, $L$5, $L$6)=0,Z50,_xll.ciqfunctions.udf.CIQ($A50, "IQ_EBITDA", $B$3, $L$2,$L$4, $L$3, $L$5, $L$6))</f>
        <v>(Invalid Identifier)</v>
      </c>
      <c r="AC50" s="542" t="str">
        <f>IF(_xll.ciqfunctions.udf.CIQ($A50, "IQ_EBITDA_EST",$B$4, $L$2, "CON", $L$3, $L$5, $L$6)=0,"n/a",_xll.ciqfunctions.udf.CIQ($A50, "IQ_EBITDA_EST",$B$4, $L$2, "CON", $L$3, $L$5, $L$6))</f>
        <v>(Invalid Identifier)</v>
      </c>
      <c r="AD50" s="493" t="str">
        <f>IF(_xll.ciqfunctions.udf.CIQ($A50, "IQ_EBITDA_EST",$B$5, $L$2, "CON", $L$3, $L$5, $L$6)=0,"n/a",_xll.ciqfunctions.udf.CIQ($A50, "IQ_EBITDA_EST",$B$5, $L$2, "CON", $L$3, $L$5, $L$6))</f>
        <v>(Invalid Identifier)</v>
      </c>
      <c r="AE50" s="542" t="str">
        <f>IF(_xll.ciqfunctions.udf.CIQ($A50, "IQ_EBITDA_EST",$B$6, $L$2, "CON", $L$3, $L$5, $L$6)=0,"n/a",_xll.ciqfunctions.udf.CIQ($A50, "IQ_EBITDA_EST",$B$6, $L$2, "CON", $L$3, $L$5, $L$6))</f>
        <v>(Invalid Identifier)</v>
      </c>
      <c r="AF50" s="543" t="str">
        <f>IF(ISERROR(_xll.ciqfunctions.udf.CIQ($A50, "IQ_GROSS_MARGIN", IQ_LTM, $L$2,$L$4, $L$3, $L$5, $L$6)/100), "n/a", _xll.ciqfunctions.udf.CIQ($A50,  "IQ_GROSS_MARGIN", IQ_LTM, $L$2, $L$4, $L$3, $L$5, $L$6)/100)</f>
        <v>n/a</v>
      </c>
      <c r="AG50" s="543" t="str">
        <f>IF(ISERROR(_xll.ciqfunctions.udf.CIQ($A50,"IQ_EBITDA_MARGIN", IQ_LTM, $L$2, $L$4, $L$3, $L$5, $L$6)/100), "n/a", _xll.ciqfunctions.udf.CIQ($A50, "IQ_EBITDA_MARGIN", IQ_LTM, $L$2, $L$4, $L$3, $L$5, $L$6)/100)</f>
        <v>n/a</v>
      </c>
      <c r="AH50" s="543" t="str">
        <f>IF(ISERROR(_xll.ciqfunctions.udf.CIQ($A50,"IQ_EBIT_MARGIN", IQ_LTM, $L$2, $L$4, $L$3, $L$5, $L$6)/100), "n/a", _xll.ciqfunctions.udf.CIQ($A50, "IQ_EBIT_MARGIN", IQ_LTM, $L$2, $L$4, $L$3, $L$5, $L$6)/100)</f>
        <v>n/a</v>
      </c>
      <c r="AI50" s="543" t="str">
        <f>IF(ISERROR(_xll.ciqfunctions.udf.CIQ($A50,"IQ_NI_MARGIN", IQ_LTM, $L$2, $L$4, $L$3, $L$5, $L$6)/100), "n/a", _xll.ciqfunctions.udf.CIQ($A50, "IQ_NI_MARGIN", IQ_LTM, $L$2, $L$4, $L$3, $L$5, $L$6)/100)</f>
        <v>n/a</v>
      </c>
      <c r="AJ50" s="542" t="str">
        <f>IF(ISERROR(_xll.ciqfunctions.udf.CIQ($A50, "IQ_NET_WORKING_CAP", IQ_LTM-8, $L$2, $L$4, $L$3, $L$5, $L$6)), "n/a", _xll.ciqfunctions.udf.CIQ($A50, "IQ_NET_WORKING_CAP", IQ_LTM-8, $L$2, $L$4, $L$3, $L$5, $L$6))</f>
        <v>(Invalid Identifier)</v>
      </c>
      <c r="AK50" s="542" t="str">
        <f>IF(ISERROR(_xll.ciqfunctions.udf.CIQ($A50, "IQ_NET_WORKING_CAP", IQ_LTM-4, $L$2, $L$4, $L$3, $L$5, $L$6)), "n/a", _xll.ciqfunctions.udf.CIQ($A50, "IQ_NET_WORKING_CAP", IQ_LTM-4, $L$2, $L$4, $L$3, $L$5, $L$6))</f>
        <v>(Invalid Identifier)</v>
      </c>
      <c r="AL50" s="542" t="str">
        <f>IF(ISERROR(_xll.ciqfunctions.udf.CIQ($A50, "IQ_NET_WORKING_CAP", IQ_LTM, $L$2,$L$4, $L$3, $L$5, $L$6)), "n/a", _xll.ciqfunctions.udf.CIQ($A50, "IQ_NET_WORKING_CAP", IQ_LTM, $L$2, $L$4, $L$3, $L$5, $L$6))</f>
        <v>(Invalid Identifier)</v>
      </c>
      <c r="AM50" s="542" t="str">
        <f>IF(ISERROR(_xll.ciqfunctions.udf.CIQ($A50, "IQ_Capex", IQ_LTM-8, $L$2,$L$4, $L$3, $L$5, $L$6)), "n/a", _xll.ciqfunctions.udf.CIQ($A50, "IQ_Capex", IQ_LTM-8, $L$2, $L$4, $L$3, $L$5, $L$6))</f>
        <v>(Invalid Identifier)</v>
      </c>
      <c r="AN50" s="542" t="str">
        <f>IF(ISERROR(_xll.ciqfunctions.udf.CIQ($A50, "IQ_Capex", IQ_LTM-4, $L$2,$L$4, $L$3, $L$5, $L$6)), "n/a", _xll.ciqfunctions.udf.CIQ($A50, "IQ_Capex", IQ_LTM-4, $L$2,$L$4, $L$3, $L$5, $L$6))</f>
        <v>(Invalid Identifier)</v>
      </c>
      <c r="AO50" s="542" t="str">
        <f>IF(ISERROR(_xll.ciqfunctions.udf.CIQ($A50, "IQ_Capex", IQ_LTM, $L$2, $L$4, $L$3, $L$5, $L$6)), "n/a", _xll.ciqfunctions.udf.CIQ($A50, "IQ_Capex", IQ_LTM, $L$2, $L$4, $L$3, $L$5, $L$6))</f>
        <v>(Invalid Identifier)</v>
      </c>
      <c r="AP50" s="544" t="str">
        <f>_xll.ciqfunctions.udf.CIQ(A50, "IQ_BUSINESS_DESCRIPTION")</f>
        <v>(Invalid Identifier)</v>
      </c>
      <c r="AQ50" s="545" t="str">
        <f>_xll.ciqfunctions.udf.CIQ($A50, "IQ_BETA_1YR", $B$1)</f>
        <v>(Invalid Identifier)</v>
      </c>
      <c r="AR50" s="545" t="str">
        <f>_xll.ciqfunctions.udf.CIQ($A50, "IQ_BETA_2YR", $B$1)</f>
        <v>(Invalid Identifier)</v>
      </c>
      <c r="AS50" s="545" t="str">
        <f>_xll.ciqfunctions.udf.CIQ($A50, "IQ_BETA_5YR", $B$1)</f>
        <v>(Invalid Identifier)</v>
      </c>
      <c r="AT50" s="493" t="str">
        <f>_xll.ciqfunctions.udf.CIQ($B50, "IQ_GP", IQ_LTM,$B$1, ,,"USD")</f>
        <v>(Invalid Identifier)</v>
      </c>
      <c r="AU50" s="542" t="str">
        <f>_xll.ciqfunctions.udf.CIQ($A50, "IQ_EARNING_CO", IQ_LTM-8, $L$2, $L$4, $L$3, $L$5, $L$6)</f>
        <v>(Invalid Identifier)</v>
      </c>
      <c r="AV50" s="542" t="str">
        <f>_xll.ciqfunctions.udf.CIQ($A50, "IQ_EARNING_CO", IQ_LTM-4, $L$2, $L$4, $L$3, $L$5, $L$6)</f>
        <v>(Invalid Identifier)</v>
      </c>
      <c r="AW50" s="542" t="str">
        <f>_xll.ciqfunctions.udf.CIQ($A50, "IQ_EARNING_CO", IQ_LTM, $L$2, $L$4, $L$3, $L$5, $L$6)</f>
        <v>(Invalid Identifier)</v>
      </c>
      <c r="AX50" s="542" t="str">
        <f>_xll.ciqfunctions.udf.CIQ($A50, "IQ_EARNING_CO", $B$2, $L$2, $L$4, $L$3, $L$5, $L$6)</f>
        <v>(Invalid Identifier)</v>
      </c>
      <c r="AY50" s="542" t="str">
        <f>IF(_xll.ciqfunctions.udf.CIQ($A50, "IQ_EARNING_CO", $B$3, $L$2,$L$4, $L$3, $L$5, $L$6)=0,AW50,_xll.ciqfunctions.udf.CIQ($A50, "IQ_EARNING_CO", $B$3, $L$2,$L$4, $L$3, $L$5, $L$6))</f>
        <v>(Invalid Identifier)</v>
      </c>
      <c r="AZ50" s="542" t="str">
        <f>_xll.ciqfunctions.udf.CIQ($A50, "IQ_TOTAL_EQUITY", IQ_LTM-8, $L$2, $L$4, $L$3, $L$5, $L$6)</f>
        <v>(Invalid Identifier)</v>
      </c>
      <c r="BA50" s="542" t="str">
        <f>_xll.ciqfunctions.udf.CIQ($A50, "IQ_TOTAL_EQUITY", IQ_LTM-4, $L$2, $L$4, $L$3, $L$5, $L$6)</f>
        <v>(Invalid Identifier)</v>
      </c>
      <c r="BB50" s="542" t="str">
        <f>_xll.ciqfunctions.udf.CIQ($A50, "IQ_TOTAL_EQUITY", IQ_LTM, $L$2, $L$4, $L$3, $L$5, $L$6)</f>
        <v>(Invalid Identifier)</v>
      </c>
      <c r="BC50" s="542" t="str">
        <f>_xll.ciqfunctions.udf.CIQ($A50, "IQ_TOTAL_EQUITY", $B$2, $L$2, $L$4, $L$3, $L$5, $L$6)</f>
        <v>(Invalid Identifier)</v>
      </c>
      <c r="BD50" s="542" t="str">
        <f>IF(_xll.ciqfunctions.udf.CIQ($A50, "IQ_TOTAL_EQUITY", $B$3, $L$2,$L$4, $L$3, $L$5, $L$6)=0,BB50,_xll.ciqfunctions.udf.CIQ($A50, "IQ_TOTAL_EQUITY", $B$3, $L$2,$L$4, $L$3, $L$5, $L$6))</f>
        <v>(Invalid Identifier)</v>
      </c>
      <c r="BE50" s="542" t="str">
        <f>_xll.ciqfunctions.udf.CIQ(A50, "IQ_LASTSALEPRICE", $B$8)</f>
        <v>(Invalid Identifier)</v>
      </c>
      <c r="BF50" s="542" t="str">
        <f>_xll.ciqfunctions.udf.CIQ($A50, "IQ_MARKETCAP", $B$8, $L$5, $L$6)</f>
        <v>(Invalid Identifier)</v>
      </c>
      <c r="BG50" s="542" t="str">
        <f>_xll.ciqfunctions.udf.CIQ($A50, "IQ_TOTAL_DEBT", IQ_LTM, $B$8,$L$4, $L$3, $L$5, $L$6)</f>
        <v>(Invalid Identifier)</v>
      </c>
      <c r="BH50" s="492" t="str">
        <f>_xll.ciqfunctions.udf.CIQ($A50,"IQ_PREF_EQUITY",IQ_LTM,$B$8,$L$4,$L$3,$L$5,$L$6)</f>
        <v>(Invalid Identifier)</v>
      </c>
      <c r="BI50" s="492" t="str">
        <f>_xll.ciqfunctions.udf.CIQ($A50, "IQ_MINORITY_INTEREST_TOTAL", IQ_LTM,$B$8,$L$4,$L$3,$L$5,$L$6)</f>
        <v>(Invalid Identifier)</v>
      </c>
      <c r="BJ50" s="542" t="str">
        <f>_xll.ciqfunctions.udf.CIQ($A50, "IQ_CASH_ST_INVEST", IQ_LTM, $B$8, $L$4, $L$3, $L$5, $L$6)</f>
        <v>(Invalid Identifier)</v>
      </c>
      <c r="BK50" s="492" t="str">
        <f>_xll.ciqfunctions.udf.CIQ($A50, "IQ_EFFECT_TAX_RATE")</f>
        <v>(Invalid Identifier)</v>
      </c>
      <c r="BL50" s="492" t="e">
        <f>IF(_xll.ciqfunctions.udf.CIQ($A50, "IQ_TOTAL_REV_2YR_ANN_CAGR", IQ_LTM, $B$1,$L$4, $L$3, $L$5, $L$6)="NM","n/a",(_xll.ciqfunctions.udf.CIQ($A50, "IQ_TOTAL_REV_2YR_ANN_CAGR", IQ_LTM, $B$1,$L$4, $L$3, $L$5, $L$6)/100))</f>
        <v>#VALUE!</v>
      </c>
      <c r="BM50" s="492" t="e">
        <f>IF(_xll.ciqfunctions.udf.CIQ($A50, "IQ_TOTAL_REV_3YR_ANN_CAGR", IQ_LTM, $B$1,$L$4, $L$3, $L$5, $L$6)="NM","n/a",(_xll.ciqfunctions.udf.CIQ($A50, "IQ_TOTAL_REV_3YR_ANN_CAGR", IQ_LTM, $B$1,$L$4, $L$3, $L$5, $L$6)/100))</f>
        <v>#VALUE!</v>
      </c>
      <c r="BN50" s="492" t="e">
        <f>IF(_xll.ciqfunctions.udf.CIQ($A50, "IQ_TOTAL_REV_5YR_ANN_CAGR", IQ_LTM, $B$1,$L$4, $L$3, $L$5, $L$6)="NM","n/a",(_xll.ciqfunctions.udf.CIQ($A50, "IQ_TOTAL_REV_5YR_ANN_CAGR", IQ_LTM, $B$1,$L$4, $L$3, $L$5, $L$6)/100))</f>
        <v>#VALUE!</v>
      </c>
      <c r="BO50" s="492" t="e">
        <f>IF(_xll.ciqfunctions.udf.CIQ($A50,"IQ_EBITDA_2YR_ANN_CAGR", IQ_LTM,$B$1,$L$4, $L$3, $L$5, $L$6)="NM","n/a",(_xll.ciqfunctions.udf.CIQ($A50,"IQ_EBITDA_2YR_ANN_CAGR", IQ_LTM,$B$1,$L$4, $L$3, $L$5, $L$6)/100))</f>
        <v>#VALUE!</v>
      </c>
      <c r="BP50" s="492" t="e">
        <f>IF(_xll.ciqfunctions.udf.CIQ($A50,"IQ_EBITDA_3YR_ANN_CAGR", IQ_LTM,$B$1,$L$4, $L$3, $L$5, $L$6)="NM","n/a",(_xll.ciqfunctions.udf.CIQ($A50,"IQ_EBITDA_3YR_ANN_CAGR", IQ_LTM,$B$1,$L$4, $L$3, $L$5, $L$6)/100))</f>
        <v>#VALUE!</v>
      </c>
      <c r="BQ50" s="492" t="e">
        <f>IF(_xll.ciqfunctions.udf.CIQ($A50,"IQ_EBITDA_5YR_ANN_CAGR", IQ_LTM,$B$1,$L$4, $L$3, $L$5, $L$6)="NM","n/a",(_xll.ciqfunctions.udf.CIQ($A50,"IQ_EBITDA_5YR_ANN_CAGR", IQ_LTM,$B$1,$L$4, $L$3, $L$5, $L$6)/100))</f>
        <v>#VALUE!</v>
      </c>
      <c r="BR50" s="496" t="str">
        <f>IFERROR((_xll.ciqfunctions.udf.CIQ($A50, "IQ_DA_CF", IQ_LTM, $B$1, $L$4, $L$3, $L$5, $L$6)/Q50),"NM")</f>
        <v>NM</v>
      </c>
      <c r="BS50" s="543" t="e">
        <f>'Capital IQ Sheet-GPC'!BS50</f>
        <v>#VALUE!</v>
      </c>
      <c r="BT50" s="543" t="e">
        <f>'Capital IQ Sheet-GPC'!BT50</f>
        <v>#VALUE!</v>
      </c>
      <c r="BU50" s="543" t="e">
        <f>'Capital IQ Sheet-GPC'!BU50</f>
        <v>#VALUE!</v>
      </c>
      <c r="BV50" s="543" t="e">
        <f>'Capital IQ Sheet-GPC'!BV50</f>
        <v>#VALUE!</v>
      </c>
      <c r="BW50" s="543" t="e">
        <f>'Capital IQ Sheet-GPC'!BW50</f>
        <v>#VALUE!</v>
      </c>
      <c r="BX50" s="543" t="e">
        <f>'Capital IQ Sheet-GPC'!BX50</f>
        <v>#VALUE!</v>
      </c>
      <c r="BY50" s="543" t="e">
        <f>'Capital IQ Sheet-GPC'!BY50</f>
        <v>#VALUE!</v>
      </c>
      <c r="BZ50" s="543" t="e">
        <f>'Capital IQ Sheet-GPC'!BZ50</f>
        <v>#VALUE!</v>
      </c>
    </row>
    <row r="51" spans="1:83">
      <c r="A51" s="493" t="str">
        <f>_xll.ciqfunctions.udf.CIQ($B51,"IQ_COMPANY_TICKER")</f>
        <v>(Invalid Identifier)</v>
      </c>
      <c r="B51" s="541" t="str">
        <f>'Capital IQ Sheet-GPC'!B51</f>
        <v>(Invalid Identifier)</v>
      </c>
      <c r="C51" s="493" t="str">
        <f>_xll.ciqfunctions.udf.CIQ($A51,"IQ_COMPANY_NAME")</f>
        <v>(Invalid Identifier)</v>
      </c>
      <c r="D51" s="493" t="str">
        <f>_xll.ciqfunctions.udf.CIQ($A51, "IQ_EXCHANGE")</f>
        <v>(Invalid Identifier)</v>
      </c>
      <c r="E51" s="540" t="str">
        <f>_xll.ciqfunctions.udf.CIQ($A51, "IQ_PERIODDATE_IS", IQ_FY)</f>
        <v>(Invalid Identifier)</v>
      </c>
      <c r="F51" s="540" t="str">
        <f>_xll.ciqfunctions.udf.CIQ(A51, "IQ_PERIODDATE_IS", IQ_LTM, $B$1,$L$4,$L$3)</f>
        <v>(Invalid Identifier)</v>
      </c>
      <c r="G51" s="540" t="str">
        <f>_xll.ciqfunctions.udf.CIQ($A51, "IQ_FIRSTPRICINGDATE")</f>
        <v>(Invalid Identifier)</v>
      </c>
      <c r="H51" s="542" t="str">
        <f>_xll.ciqfunctions.udf.CIQ($A51, "IQ_TEV", $L$2, $L$5, $L$6)</f>
        <v>(Invalid Identifier)</v>
      </c>
      <c r="I51" s="542" t="str">
        <f>_xll.ciqfunctions.udf.CIQ(A51, "IQ_LASTSALEPRICE", $B$1,$L$5)</f>
        <v>(Invalid Identifier)</v>
      </c>
      <c r="J51" s="540" t="str">
        <f>_xll.ciqfunctions.udf.CIQ($B51, "IQ_FIRSTPRICINGDATE")</f>
        <v>(Invalid Identifier)</v>
      </c>
      <c r="K51" s="542" t="str">
        <f>_xll.ciqfunctions.udf.CIQ($A51, "IQ_TOTAL_DEBT", IQ_LTM, $L$2,$L$4, $L$3, $L$5, $L$6)</f>
        <v>(Invalid Identifier)</v>
      </c>
      <c r="L51" s="542" t="str">
        <f>_xll.ciqfunctions.udf.CIQ($A51, "IQ_PREF_EQUITY", IQ_LTM, $L$2, $L$4, $L$3, $L$5, $L$6)</f>
        <v>(Invalid Identifier)</v>
      </c>
      <c r="M51" s="542" t="str">
        <f>_xll.ciqfunctions.udf.CIQ($A51, "IQ_MINORITY_INTEREST_TOTAL", IQ_LTM, $L$2, $L$4, $L$3, $L$5, $L$6)</f>
        <v>(Invalid Identifier)</v>
      </c>
      <c r="N51" s="542" t="str">
        <f>_xll.ciqfunctions.udf.CIQ($A51, "IQ_CASH_ST_INVEST", IQ_LTM, $L$2, $L$4, $L$3, $L$5, $L$6)</f>
        <v>(Invalid Identifier)</v>
      </c>
      <c r="O51" s="542" t="str">
        <f>_xll.ciqfunctions.udf.CIQ($A51, "IQ_TOTAL_REV", IQ_LTM-8, $L$2, $L$4, $L$3, $L$5, $L$6)</f>
        <v>(Invalid Identifier)</v>
      </c>
      <c r="P51" s="542" t="str">
        <f>_xll.ciqfunctions.udf.CIQ($A51, "IQ_TOTAL_REV", IQ_LTM - 4, $L$2, $L$4, $L$3, $L$5,$L$6)</f>
        <v>(Invalid Identifier)</v>
      </c>
      <c r="Q51" s="542" t="str">
        <f>_xll.ciqfunctions.udf.CIQ($A51, "IQ_TOTAL_REV", IQ_LTM, $L$2, $L$4, $L$3, $L$5, $L$6)</f>
        <v>(Invalid Identifier)</v>
      </c>
      <c r="R51" s="542" t="str">
        <f>_xll.ciqfunctions.udf.CIQ($A51, "IQ_TOTAL_REV", $B$2, $L$2, $L$4, $L$3, $L$5, $L$6)</f>
        <v>(Invalid Identifier)</v>
      </c>
      <c r="S51" s="542" t="str">
        <f>IF(_xll.ciqfunctions.udf.CIQ($A51, "IQ_TOTAL_REV", $B$3, $L$2,$L$4, $L$3, $L$5, $L$6)=0,Q51,_xll.ciqfunctions.udf.CIQ($A51, "IQ_TOTAL_REV", $B$3, $L$2,$L$4, $L$3, $L$5, $L$6))</f>
        <v>(Invalid Identifier)</v>
      </c>
      <c r="T51" s="542" t="str">
        <f>IF(_xll.ciqfunctions.udf.CIQ($A51, "IQ_REVENUE_EST",$B$4, $L$2, "CON", $L$3, $L$5, $L$6)=0,"n/a",_xll.ciqfunctions.udf.CIQ($A51, "IQ_REVENUE_EST",$B$4, $L$2, "CON", $L$3, $L$5, $L$6))</f>
        <v>(Invalid Identifier)</v>
      </c>
      <c r="U51" s="542" t="str">
        <f>IF(_xll.ciqfunctions.udf.CIQ($A51, "IQ_REVENUE_EST",$B$5, $L$2, "CON", $L$3, $L$5, $L$6)=0,"n/a",_xll.ciqfunctions.udf.CIQ($A51, "IQ_REVENUE_EST",$B$5, $L$2, "CON", $L$3, $L$5, $L$6))</f>
        <v>(Invalid Identifier)</v>
      </c>
      <c r="V51" s="542" t="str">
        <f>IF(_xll.ciqfunctions.udf.CIQ($A51, "IQ_REVENUE_EST",$B$6, $L$2, "CON", $L$3, $L$5, $L$6)=0,"n/a",_xll.ciqfunctions.udf.CIQ($A51, "IQ_REVENUE_EST",$B$6, $L$2, "CON", $L$3, $L$5, $L$6))</f>
        <v>(Invalid Identifier)</v>
      </c>
      <c r="W51" s="542" t="str">
        <f>IF(_xll.ciqfunctions.udf.CIQ($A51, "IQ_REVENUE_EST", $B$7, $L$2, "CON", $L$3, $L$5, $L$6)=0,"n/a",_xll.ciqfunctions.udf.CIQ($A51, "IQ_REVENUE_EST",$B$7, $L$2, "CON", $L$3, $L$5, $L$6))</f>
        <v>(Invalid Identifier)</v>
      </c>
      <c r="X51" s="542" t="str">
        <f>_xll.ciqfunctions.udf.CIQ($A51, "IQ_EBITDA", IQ_LTM-8, $L$2, $L$4, $L$3, $L$5, $L$6)</f>
        <v>(Invalid Identifier)</v>
      </c>
      <c r="Y51" s="542" t="str">
        <f>_xll.ciqfunctions.udf.CIQ($A51, "IQ_EBITDA", IQ_LTM-4, $L$2,$L$4, $L$3, $L$5, $L$6)</f>
        <v>(Invalid Identifier)</v>
      </c>
      <c r="Z51" s="542" t="str">
        <f>_xll.ciqfunctions.udf.CIQ($A51, "IQ_EBITDA", IQ_LTM, $L$2, $L$4, $L$3, $L$5, $L$6)</f>
        <v>(Invalid Identifier)</v>
      </c>
      <c r="AA51" s="542" t="str">
        <f>_xll.ciqfunctions.udf.CIQ($A51, "IQ_EBITDA", $B$2, $L$2, $L$4, $L$3, $L$5, $L$6)</f>
        <v>(Invalid Identifier)</v>
      </c>
      <c r="AB51" s="542" t="str">
        <f>IF(_xll.ciqfunctions.udf.CIQ($A51, "IQ_EBITDA", $B$3, $L$2,$L$4, $L$3, $L$5, $L$6)=0,Z51,_xll.ciqfunctions.udf.CIQ($A51, "IQ_EBITDA", $B$3, $L$2,$L$4, $L$3, $L$5, $L$6))</f>
        <v>(Invalid Identifier)</v>
      </c>
      <c r="AC51" s="542" t="str">
        <f>IF(_xll.ciqfunctions.udf.CIQ($A51, "IQ_EBITDA_EST",$B$4, $L$2, "CON", $L$3, $L$5, $L$6)=0,"n/a",_xll.ciqfunctions.udf.CIQ($A51, "IQ_EBITDA_EST",$B$4, $L$2, "CON", $L$3, $L$5, $L$6))</f>
        <v>(Invalid Identifier)</v>
      </c>
      <c r="AD51" s="493" t="str">
        <f>IF(_xll.ciqfunctions.udf.CIQ($A51, "IQ_EBITDA_EST",$B$5, $L$2, "CON", $L$3, $L$5, $L$6)=0,"n/a",_xll.ciqfunctions.udf.CIQ($A51, "IQ_EBITDA_EST",$B$5, $L$2, "CON", $L$3, $L$5, $L$6))</f>
        <v>(Invalid Identifier)</v>
      </c>
      <c r="AE51" s="542" t="str">
        <f>IF(_xll.ciqfunctions.udf.CIQ($A51, "IQ_EBITDA_EST",$B$6, $L$2, "CON", $L$3, $L$5, $L$6)=0,"n/a",_xll.ciqfunctions.udf.CIQ($A51, "IQ_EBITDA_EST",$B$6, $L$2, "CON", $L$3, $L$5, $L$6))</f>
        <v>(Invalid Identifier)</v>
      </c>
      <c r="AF51" s="543" t="str">
        <f>IF(ISERROR(_xll.ciqfunctions.udf.CIQ($A51, "IQ_GROSS_MARGIN", IQ_LTM, $L$2,$L$4, $L$3, $L$5, $L$6)/100), "n/a", _xll.ciqfunctions.udf.CIQ($A51,  "IQ_GROSS_MARGIN", IQ_LTM, $L$2, $L$4, $L$3, $L$5, $L$6)/100)</f>
        <v>n/a</v>
      </c>
      <c r="AG51" s="543" t="str">
        <f>IF(ISERROR(_xll.ciqfunctions.udf.CIQ($A51,"IQ_EBITDA_MARGIN", IQ_LTM, $L$2, $L$4, $L$3, $L$5, $L$6)/100), "n/a", _xll.ciqfunctions.udf.CIQ($A51, "IQ_EBITDA_MARGIN", IQ_LTM, $L$2, $L$4, $L$3, $L$5, $L$6)/100)</f>
        <v>n/a</v>
      </c>
      <c r="AH51" s="543" t="str">
        <f>IF(ISERROR(_xll.ciqfunctions.udf.CIQ($A51,"IQ_EBIT_MARGIN", IQ_LTM, $L$2, $L$4, $L$3, $L$5, $L$6)/100), "n/a", _xll.ciqfunctions.udf.CIQ($A51, "IQ_EBIT_MARGIN", IQ_LTM, $L$2, $L$4, $L$3, $L$5, $L$6)/100)</f>
        <v>n/a</v>
      </c>
      <c r="AI51" s="543" t="str">
        <f>IF(ISERROR(_xll.ciqfunctions.udf.CIQ($A51,"IQ_NI_MARGIN", IQ_LTM, $L$2, $L$4, $L$3, $L$5, $L$6)/100), "n/a", _xll.ciqfunctions.udf.CIQ($A51, "IQ_NI_MARGIN", IQ_LTM, $L$2, $L$4, $L$3, $L$5, $L$6)/100)</f>
        <v>n/a</v>
      </c>
      <c r="AJ51" s="542" t="str">
        <f>IF(ISERROR(_xll.ciqfunctions.udf.CIQ($A51, "IQ_NET_WORKING_CAP", IQ_LTM-8, $L$2, $L$4, $L$3, $L$5, $L$6)), "n/a", _xll.ciqfunctions.udf.CIQ($A51, "IQ_NET_WORKING_CAP", IQ_LTM-8, $L$2, $L$4, $L$3, $L$5, $L$6))</f>
        <v>(Invalid Identifier)</v>
      </c>
      <c r="AK51" s="542" t="str">
        <f>IF(ISERROR(_xll.ciqfunctions.udf.CIQ($A51, "IQ_NET_WORKING_CAP", IQ_LTM-4, $L$2, $L$4, $L$3, $L$5, $L$6)), "n/a", _xll.ciqfunctions.udf.CIQ($A51, "IQ_NET_WORKING_CAP", IQ_LTM-4, $L$2, $L$4, $L$3, $L$5, $L$6))</f>
        <v>(Invalid Identifier)</v>
      </c>
      <c r="AL51" s="542" t="str">
        <f>IF(ISERROR(_xll.ciqfunctions.udf.CIQ($A51, "IQ_NET_WORKING_CAP", IQ_LTM, $L$2,$L$4, $L$3, $L$5, $L$6)), "n/a", _xll.ciqfunctions.udf.CIQ($A51, "IQ_NET_WORKING_CAP", IQ_LTM, $L$2, $L$4, $L$3, $L$5, $L$6))</f>
        <v>(Invalid Identifier)</v>
      </c>
      <c r="AM51" s="542" t="str">
        <f>IF(ISERROR(_xll.ciqfunctions.udf.CIQ($A51, "IQ_Capex", IQ_LTM-8, $L$2,$L$4, $L$3, $L$5, $L$6)), "n/a", _xll.ciqfunctions.udf.CIQ($A51, "IQ_Capex", IQ_LTM-8, $L$2, $L$4, $L$3, $L$5, $L$6))</f>
        <v>(Invalid Identifier)</v>
      </c>
      <c r="AN51" s="542" t="str">
        <f>IF(ISERROR(_xll.ciqfunctions.udf.CIQ($A51, "IQ_Capex", IQ_LTM-4, $L$2,$L$4, $L$3, $L$5, $L$6)), "n/a", _xll.ciqfunctions.udf.CIQ($A51, "IQ_Capex", IQ_LTM-4, $L$2,$L$4, $L$3, $L$5, $L$6))</f>
        <v>(Invalid Identifier)</v>
      </c>
      <c r="AO51" s="542" t="str">
        <f>IF(ISERROR(_xll.ciqfunctions.udf.CIQ($A51, "IQ_Capex", IQ_LTM, $L$2, $L$4, $L$3, $L$5, $L$6)), "n/a", _xll.ciqfunctions.udf.CIQ($A51, "IQ_Capex", IQ_LTM, $L$2, $L$4, $L$3, $L$5, $L$6))</f>
        <v>(Invalid Identifier)</v>
      </c>
      <c r="AP51" s="544" t="str">
        <f>_xll.ciqfunctions.udf.CIQ(A51, "IQ_BUSINESS_DESCRIPTION")</f>
        <v>(Invalid Identifier)</v>
      </c>
      <c r="AQ51" s="545" t="str">
        <f>_xll.ciqfunctions.udf.CIQ($A51, "IQ_BETA_1YR", $B$1)</f>
        <v>(Invalid Identifier)</v>
      </c>
      <c r="AR51" s="545" t="str">
        <f>_xll.ciqfunctions.udf.CIQ($A51, "IQ_BETA_2YR", $B$1)</f>
        <v>(Invalid Identifier)</v>
      </c>
      <c r="AS51" s="545" t="str">
        <f>_xll.ciqfunctions.udf.CIQ($A51, "IQ_BETA_5YR", $B$1)</f>
        <v>(Invalid Identifier)</v>
      </c>
      <c r="AT51" s="493" t="str">
        <f>_xll.ciqfunctions.udf.CIQ($B51, "IQ_GP", IQ_LTM,$B$1, ,,"USD")</f>
        <v>(Invalid Identifier)</v>
      </c>
      <c r="AU51" s="542" t="str">
        <f>_xll.ciqfunctions.udf.CIQ($A51, "IQ_EARNING_CO", IQ_LTM-8, $L$2, $L$4, $L$3, $L$5, $L$6)</f>
        <v>(Invalid Identifier)</v>
      </c>
      <c r="AV51" s="542" t="str">
        <f>_xll.ciqfunctions.udf.CIQ($A51, "IQ_EARNING_CO", IQ_LTM-4, $L$2, $L$4, $L$3, $L$5, $L$6)</f>
        <v>(Invalid Identifier)</v>
      </c>
      <c r="AW51" s="542" t="str">
        <f>_xll.ciqfunctions.udf.CIQ($A51, "IQ_EARNING_CO", IQ_LTM, $L$2, $L$4, $L$3, $L$5, $L$6)</f>
        <v>(Invalid Identifier)</v>
      </c>
      <c r="AX51" s="542" t="str">
        <f>_xll.ciqfunctions.udf.CIQ($A51, "IQ_EARNING_CO", $B$2, $L$2, $L$4, $L$3, $L$5, $L$6)</f>
        <v>(Invalid Identifier)</v>
      </c>
      <c r="AY51" s="542" t="str">
        <f>IF(_xll.ciqfunctions.udf.CIQ($A51, "IQ_EARNING_CO", $B$3, $L$2,$L$4, $L$3, $L$5, $L$6)=0,AW51,_xll.ciqfunctions.udf.CIQ($A51, "IQ_EARNING_CO", $B$3, $L$2,$L$4, $L$3, $L$5, $L$6))</f>
        <v>(Invalid Identifier)</v>
      </c>
      <c r="AZ51" s="542" t="str">
        <f>_xll.ciqfunctions.udf.CIQ($A51, "IQ_TOTAL_EQUITY", IQ_LTM-8, $L$2, $L$4, $L$3, $L$5, $L$6)</f>
        <v>(Invalid Identifier)</v>
      </c>
      <c r="BA51" s="542" t="str">
        <f>_xll.ciqfunctions.udf.CIQ($A51, "IQ_TOTAL_EQUITY", IQ_LTM-4, $L$2, $L$4, $L$3, $L$5, $L$6)</f>
        <v>(Invalid Identifier)</v>
      </c>
      <c r="BB51" s="542" t="str">
        <f>_xll.ciqfunctions.udf.CIQ($A51, "IQ_TOTAL_EQUITY", IQ_LTM, $L$2, $L$4, $L$3, $L$5, $L$6)</f>
        <v>(Invalid Identifier)</v>
      </c>
      <c r="BC51" s="542" t="str">
        <f>_xll.ciqfunctions.udf.CIQ($A51, "IQ_TOTAL_EQUITY", $B$2, $L$2, $L$4, $L$3, $L$5, $L$6)</f>
        <v>(Invalid Identifier)</v>
      </c>
      <c r="BD51" s="542" t="str">
        <f>IF(_xll.ciqfunctions.udf.CIQ($A51, "IQ_TOTAL_EQUITY", $B$3, $L$2,$L$4, $L$3, $L$5, $L$6)=0,BB51,_xll.ciqfunctions.udf.CIQ($A51, "IQ_TOTAL_EQUITY", $B$3, $L$2,$L$4, $L$3, $L$5, $L$6))</f>
        <v>(Invalid Identifier)</v>
      </c>
      <c r="BE51" s="542" t="str">
        <f>_xll.ciqfunctions.udf.CIQ(A51, "IQ_LASTSALEPRICE", $B$8)</f>
        <v>(Invalid Identifier)</v>
      </c>
      <c r="BF51" s="542" t="str">
        <f>_xll.ciqfunctions.udf.CIQ($A51, "IQ_MARKETCAP", $B$8, $L$5, $L$6)</f>
        <v>(Invalid Identifier)</v>
      </c>
      <c r="BG51" s="542" t="str">
        <f>_xll.ciqfunctions.udf.CIQ($A51, "IQ_TOTAL_DEBT", IQ_LTM, $B$8,$L$4, $L$3, $L$5, $L$6)</f>
        <v>(Invalid Identifier)</v>
      </c>
      <c r="BH51" s="492" t="str">
        <f>_xll.ciqfunctions.udf.CIQ($A51,"IQ_PREF_EQUITY",IQ_LTM,$B$8,$L$4,$L$3,$L$5,$L$6)</f>
        <v>(Invalid Identifier)</v>
      </c>
      <c r="BI51" s="492" t="str">
        <f>_xll.ciqfunctions.udf.CIQ($A51, "IQ_MINORITY_INTEREST_TOTAL", IQ_LTM,$B$8,$L$4,$L$3,$L$5,$L$6)</f>
        <v>(Invalid Identifier)</v>
      </c>
      <c r="BJ51" s="542" t="str">
        <f>_xll.ciqfunctions.udf.CIQ($A51, "IQ_CASH_ST_INVEST", IQ_LTM, $B$8, $L$4, $L$3, $L$5, $L$6)</f>
        <v>(Invalid Identifier)</v>
      </c>
      <c r="BK51" s="492" t="str">
        <f>_xll.ciqfunctions.udf.CIQ($A51, "IQ_EFFECT_TAX_RATE")</f>
        <v>(Invalid Identifier)</v>
      </c>
      <c r="BL51" s="492" t="e">
        <f>IF(_xll.ciqfunctions.udf.CIQ($A51, "IQ_TOTAL_REV_2YR_ANN_CAGR", IQ_LTM, $B$1,$L$4, $L$3, $L$5, $L$6)="NM","n/a",(_xll.ciqfunctions.udf.CIQ($A51, "IQ_TOTAL_REV_2YR_ANN_CAGR", IQ_LTM, $B$1,$L$4, $L$3, $L$5, $L$6)/100))</f>
        <v>#VALUE!</v>
      </c>
      <c r="BM51" s="492" t="e">
        <f>IF(_xll.ciqfunctions.udf.CIQ($A51, "IQ_TOTAL_REV_3YR_ANN_CAGR", IQ_LTM, $B$1,$L$4, $L$3, $L$5, $L$6)="NM","n/a",(_xll.ciqfunctions.udf.CIQ($A51, "IQ_TOTAL_REV_3YR_ANN_CAGR", IQ_LTM, $B$1,$L$4, $L$3, $L$5, $L$6)/100))</f>
        <v>#VALUE!</v>
      </c>
      <c r="BN51" s="492" t="e">
        <f>IF(_xll.ciqfunctions.udf.CIQ($A51, "IQ_TOTAL_REV_5YR_ANN_CAGR", IQ_LTM, $B$1,$L$4, $L$3, $L$5, $L$6)="NM","n/a",(_xll.ciqfunctions.udf.CIQ($A51, "IQ_TOTAL_REV_5YR_ANN_CAGR", IQ_LTM, $B$1,$L$4, $L$3, $L$5, $L$6)/100))</f>
        <v>#VALUE!</v>
      </c>
      <c r="BO51" s="492" t="e">
        <f>IF(_xll.ciqfunctions.udf.CIQ($A51,"IQ_EBITDA_2YR_ANN_CAGR", IQ_LTM,$B$1,$L$4, $L$3, $L$5, $L$6)="NM","n/a",(_xll.ciqfunctions.udf.CIQ($A51,"IQ_EBITDA_2YR_ANN_CAGR", IQ_LTM,$B$1,$L$4, $L$3, $L$5, $L$6)/100))</f>
        <v>#VALUE!</v>
      </c>
      <c r="BP51" s="492" t="e">
        <f>IF(_xll.ciqfunctions.udf.CIQ($A51,"IQ_EBITDA_3YR_ANN_CAGR", IQ_LTM,$B$1,$L$4, $L$3, $L$5, $L$6)="NM","n/a",(_xll.ciqfunctions.udf.CIQ($A51,"IQ_EBITDA_3YR_ANN_CAGR", IQ_LTM,$B$1,$L$4, $L$3, $L$5, $L$6)/100))</f>
        <v>#VALUE!</v>
      </c>
      <c r="BQ51" s="492" t="e">
        <f>IF(_xll.ciqfunctions.udf.CIQ($A51,"IQ_EBITDA_5YR_ANN_CAGR", IQ_LTM,$B$1,$L$4, $L$3, $L$5, $L$6)="NM","n/a",(_xll.ciqfunctions.udf.CIQ($A51,"IQ_EBITDA_5YR_ANN_CAGR", IQ_LTM,$B$1,$L$4, $L$3, $L$5, $L$6)/100))</f>
        <v>#VALUE!</v>
      </c>
      <c r="BR51" s="496" t="str">
        <f>IFERROR((_xll.ciqfunctions.udf.CIQ($A51, "IQ_DA_CF", IQ_LTM, $B$1, $L$4, $L$3, $L$5, $L$6)/Q51),"NM")</f>
        <v>NM</v>
      </c>
      <c r="BS51" s="543" t="e">
        <f>'Capital IQ Sheet-GPC'!BS51</f>
        <v>#VALUE!</v>
      </c>
      <c r="BT51" s="543" t="e">
        <f>'Capital IQ Sheet-GPC'!BT51</f>
        <v>#VALUE!</v>
      </c>
      <c r="BU51" s="543" t="e">
        <f>'Capital IQ Sheet-GPC'!BU51</f>
        <v>#VALUE!</v>
      </c>
      <c r="BV51" s="543" t="e">
        <f>'Capital IQ Sheet-GPC'!BV51</f>
        <v>#VALUE!</v>
      </c>
      <c r="BW51" s="543" t="e">
        <f>'Capital IQ Sheet-GPC'!BW51</f>
        <v>#VALUE!</v>
      </c>
      <c r="BX51" s="543" t="e">
        <f>'Capital IQ Sheet-GPC'!BX51</f>
        <v>#VALUE!</v>
      </c>
      <c r="BY51" s="543" t="e">
        <f>'Capital IQ Sheet-GPC'!BY51</f>
        <v>#VALUE!</v>
      </c>
      <c r="BZ51" s="543" t="e">
        <f>'Capital IQ Sheet-GPC'!BZ51</f>
        <v>#VALUE!</v>
      </c>
    </row>
    <row r="52" spans="1:83">
      <c r="A52" s="493" t="str">
        <f>_xll.ciqfunctions.udf.CIQ($B52,"IQ_COMPANY_TICKER")</f>
        <v>(Invalid Identifier)</v>
      </c>
      <c r="B52" s="541" t="str">
        <f>'Capital IQ Sheet-GPC'!B52</f>
        <v>(Invalid Identifier)</v>
      </c>
      <c r="C52" s="493" t="str">
        <f>_xll.ciqfunctions.udf.CIQ($A52,"IQ_COMPANY_NAME")</f>
        <v>(Invalid Identifier)</v>
      </c>
      <c r="D52" s="493" t="str">
        <f>_xll.ciqfunctions.udf.CIQ($A52, "IQ_EXCHANGE")</f>
        <v>(Invalid Identifier)</v>
      </c>
      <c r="E52" s="540" t="str">
        <f>_xll.ciqfunctions.udf.CIQ($A52, "IQ_PERIODDATE_IS", IQ_FY)</f>
        <v>(Invalid Identifier)</v>
      </c>
      <c r="F52" s="540" t="str">
        <f>_xll.ciqfunctions.udf.CIQ(A52, "IQ_PERIODDATE_IS", IQ_LTM, $B$1,$L$4,$L$3)</f>
        <v>(Invalid Identifier)</v>
      </c>
      <c r="G52" s="540" t="str">
        <f>_xll.ciqfunctions.udf.CIQ($A52, "IQ_FIRSTPRICINGDATE")</f>
        <v>(Invalid Identifier)</v>
      </c>
      <c r="H52" s="542" t="str">
        <f>_xll.ciqfunctions.udf.CIQ($A52, "IQ_TEV", $L$2, $L$5, $L$6)</f>
        <v>(Invalid Identifier)</v>
      </c>
      <c r="I52" s="542" t="str">
        <f>_xll.ciqfunctions.udf.CIQ(A52, "IQ_LASTSALEPRICE", $B$1,$L$5)</f>
        <v>(Invalid Identifier)</v>
      </c>
      <c r="J52" s="540" t="str">
        <f>_xll.ciqfunctions.udf.CIQ($B52, "IQ_FIRSTPRICINGDATE")</f>
        <v>(Invalid Identifier)</v>
      </c>
      <c r="K52" s="542" t="str">
        <f>_xll.ciqfunctions.udf.CIQ($A52, "IQ_TOTAL_DEBT", IQ_LTM, $L$2,$L$4, $L$3, $L$5, $L$6)</f>
        <v>(Invalid Identifier)</v>
      </c>
      <c r="L52" s="542" t="str">
        <f>_xll.ciqfunctions.udf.CIQ($A52, "IQ_PREF_EQUITY", IQ_LTM, $L$2, $L$4, $L$3, $L$5, $L$6)</f>
        <v>(Invalid Identifier)</v>
      </c>
      <c r="M52" s="542" t="str">
        <f>_xll.ciqfunctions.udf.CIQ($A52, "IQ_MINORITY_INTEREST_TOTAL", IQ_LTM, $L$2, $L$4, $L$3, $L$5, $L$6)</f>
        <v>(Invalid Identifier)</v>
      </c>
      <c r="N52" s="542" t="str">
        <f>_xll.ciqfunctions.udf.CIQ($A52, "IQ_CASH_ST_INVEST", IQ_LTM, $L$2, $L$4, $L$3, $L$5, $L$6)</f>
        <v>(Invalid Identifier)</v>
      </c>
      <c r="O52" s="542" t="str">
        <f>_xll.ciqfunctions.udf.CIQ($A52, "IQ_TOTAL_REV", IQ_LTM-8, $L$2, $L$4, $L$3, $L$5, $L$6)</f>
        <v>(Invalid Identifier)</v>
      </c>
      <c r="P52" s="542" t="str">
        <f>_xll.ciqfunctions.udf.CIQ($A52, "IQ_TOTAL_REV", IQ_LTM - 4, $L$2, $L$4, $L$3, $L$5,$L$6)</f>
        <v>(Invalid Identifier)</v>
      </c>
      <c r="Q52" s="542" t="str">
        <f>_xll.ciqfunctions.udf.CIQ($A52, "IQ_TOTAL_REV", IQ_LTM, $L$2, $L$4, $L$3, $L$5, $L$6)</f>
        <v>(Invalid Identifier)</v>
      </c>
      <c r="R52" s="542" t="str">
        <f>_xll.ciqfunctions.udf.CIQ($A52, "IQ_TOTAL_REV", $B$2, $L$2, $L$4, $L$3, $L$5, $L$6)</f>
        <v>(Invalid Identifier)</v>
      </c>
      <c r="S52" s="542" t="str">
        <f>IF(_xll.ciqfunctions.udf.CIQ($A52, "IQ_TOTAL_REV", $B$3, $L$2,$L$4, $L$3, $L$5, $L$6)=0,Q52,_xll.ciqfunctions.udf.CIQ($A52, "IQ_TOTAL_REV", $B$3, $L$2,$L$4, $L$3, $L$5, $L$6))</f>
        <v>(Invalid Identifier)</v>
      </c>
      <c r="T52" s="542" t="str">
        <f>IF(_xll.ciqfunctions.udf.CIQ($A52, "IQ_REVENUE_EST",$B$4, $L$2, "CON", $L$3, $L$5, $L$6)=0,"n/a",_xll.ciqfunctions.udf.CIQ($A52, "IQ_REVENUE_EST",$B$4, $L$2, "CON", $L$3, $L$5, $L$6))</f>
        <v>(Invalid Identifier)</v>
      </c>
      <c r="U52" s="542" t="str">
        <f>IF(_xll.ciqfunctions.udf.CIQ($A52, "IQ_REVENUE_EST",$B$5, $L$2, "CON", $L$3, $L$5, $L$6)=0,"n/a",_xll.ciqfunctions.udf.CIQ($A52, "IQ_REVENUE_EST",$B$5, $L$2, "CON", $L$3, $L$5, $L$6))</f>
        <v>(Invalid Identifier)</v>
      </c>
      <c r="V52" s="542" t="str">
        <f>IF(_xll.ciqfunctions.udf.CIQ($A52, "IQ_REVENUE_EST",$B$6, $L$2, "CON", $L$3, $L$5, $L$6)=0,"n/a",_xll.ciqfunctions.udf.CIQ($A52, "IQ_REVENUE_EST",$B$6, $L$2, "CON", $L$3, $L$5, $L$6))</f>
        <v>(Invalid Identifier)</v>
      </c>
      <c r="W52" s="542" t="str">
        <f>IF(_xll.ciqfunctions.udf.CIQ($A52, "IQ_REVENUE_EST", $B$7, $L$2, "CON", $L$3, $L$5, $L$6)=0,"n/a",_xll.ciqfunctions.udf.CIQ($A52, "IQ_REVENUE_EST",$B$7, $L$2, "CON", $L$3, $L$5, $L$6))</f>
        <v>(Invalid Identifier)</v>
      </c>
      <c r="X52" s="542" t="str">
        <f>_xll.ciqfunctions.udf.CIQ($A52, "IQ_EBITDA", IQ_LTM-8, $L$2, $L$4, $L$3, $L$5, $L$6)</f>
        <v>(Invalid Identifier)</v>
      </c>
      <c r="Y52" s="542" t="str">
        <f>_xll.ciqfunctions.udf.CIQ($A52, "IQ_EBITDA", IQ_LTM-4, $L$2,$L$4, $L$3, $L$5, $L$6)</f>
        <v>(Invalid Identifier)</v>
      </c>
      <c r="Z52" s="542" t="str">
        <f>_xll.ciqfunctions.udf.CIQ($A52, "IQ_EBITDA", IQ_LTM, $L$2, $L$4, $L$3, $L$5, $L$6)</f>
        <v>(Invalid Identifier)</v>
      </c>
      <c r="AA52" s="542" t="str">
        <f>_xll.ciqfunctions.udf.CIQ($A52, "IQ_EBITDA", $B$2, $L$2, $L$4, $L$3, $L$5, $L$6)</f>
        <v>(Invalid Identifier)</v>
      </c>
      <c r="AB52" s="542" t="str">
        <f>IF(_xll.ciqfunctions.udf.CIQ($A52, "IQ_EBITDA", $B$3, $L$2,$L$4, $L$3, $L$5, $L$6)=0,Z52,_xll.ciqfunctions.udf.CIQ($A52, "IQ_EBITDA", $B$3, $L$2,$L$4, $L$3, $L$5, $L$6))</f>
        <v>(Invalid Identifier)</v>
      </c>
      <c r="AC52" s="542" t="str">
        <f>IF(_xll.ciqfunctions.udf.CIQ($A52, "IQ_EBITDA_EST",$B$4, $L$2, "CON", $L$3, $L$5, $L$6)=0,"n/a",_xll.ciqfunctions.udf.CIQ($A52, "IQ_EBITDA_EST",$B$4, $L$2, "CON", $L$3, $L$5, $L$6))</f>
        <v>(Invalid Identifier)</v>
      </c>
      <c r="AD52" s="493" t="str">
        <f>IF(_xll.ciqfunctions.udf.CIQ($A52, "IQ_EBITDA_EST",$B$5, $L$2, "CON", $L$3, $L$5, $L$6)=0,"n/a",_xll.ciqfunctions.udf.CIQ($A52, "IQ_EBITDA_EST",$B$5, $L$2, "CON", $L$3, $L$5, $L$6))</f>
        <v>(Invalid Identifier)</v>
      </c>
      <c r="AE52" s="542" t="str">
        <f>IF(_xll.ciqfunctions.udf.CIQ($A52, "IQ_EBITDA_EST",$B$6, $L$2, "CON", $L$3, $L$5, $L$6)=0,"n/a",_xll.ciqfunctions.udf.CIQ($A52, "IQ_EBITDA_EST",$B$6, $L$2, "CON", $L$3, $L$5, $L$6))</f>
        <v>(Invalid Identifier)</v>
      </c>
      <c r="AF52" s="543" t="str">
        <f>IF(ISERROR(_xll.ciqfunctions.udf.CIQ($A52, "IQ_GROSS_MARGIN", IQ_LTM, $L$2,$L$4, $L$3, $L$5, $L$6)/100), "n/a", _xll.ciqfunctions.udf.CIQ($A52,  "IQ_GROSS_MARGIN", IQ_LTM, $L$2, $L$4, $L$3, $L$5, $L$6)/100)</f>
        <v>n/a</v>
      </c>
      <c r="AG52" s="543" t="str">
        <f>IF(ISERROR(_xll.ciqfunctions.udf.CIQ($A52,"IQ_EBITDA_MARGIN", IQ_LTM, $L$2, $L$4, $L$3, $L$5, $L$6)/100), "n/a", _xll.ciqfunctions.udf.CIQ($A52, "IQ_EBITDA_MARGIN", IQ_LTM, $L$2, $L$4, $L$3, $L$5, $L$6)/100)</f>
        <v>n/a</v>
      </c>
      <c r="AH52" s="543" t="str">
        <f>IF(ISERROR(_xll.ciqfunctions.udf.CIQ($A52,"IQ_EBIT_MARGIN", IQ_LTM, $L$2, $L$4, $L$3, $L$5, $L$6)/100), "n/a", _xll.ciqfunctions.udf.CIQ($A52, "IQ_EBIT_MARGIN", IQ_LTM, $L$2, $L$4, $L$3, $L$5, $L$6)/100)</f>
        <v>n/a</v>
      </c>
      <c r="AI52" s="543" t="str">
        <f>IF(ISERROR(_xll.ciqfunctions.udf.CIQ($A52,"IQ_NI_MARGIN", IQ_LTM, $L$2, $L$4, $L$3, $L$5, $L$6)/100), "n/a", _xll.ciqfunctions.udf.CIQ($A52, "IQ_NI_MARGIN", IQ_LTM, $L$2, $L$4, $L$3, $L$5, $L$6)/100)</f>
        <v>n/a</v>
      </c>
      <c r="AJ52" s="542" t="str">
        <f>IF(ISERROR(_xll.ciqfunctions.udf.CIQ($A52, "IQ_NET_WORKING_CAP", IQ_LTM-8, $L$2, $L$4, $L$3, $L$5, $L$6)), "n/a", _xll.ciqfunctions.udf.CIQ($A52, "IQ_NET_WORKING_CAP", IQ_LTM-8, $L$2, $L$4, $L$3, $L$5, $L$6))</f>
        <v>(Invalid Identifier)</v>
      </c>
      <c r="AK52" s="542" t="str">
        <f>IF(ISERROR(_xll.ciqfunctions.udf.CIQ($A52, "IQ_NET_WORKING_CAP", IQ_LTM-4, $L$2, $L$4, $L$3, $L$5, $L$6)), "n/a", _xll.ciqfunctions.udf.CIQ($A52, "IQ_NET_WORKING_CAP", IQ_LTM-4, $L$2, $L$4, $L$3, $L$5, $L$6))</f>
        <v>(Invalid Identifier)</v>
      </c>
      <c r="AL52" s="542" t="str">
        <f>IF(ISERROR(_xll.ciqfunctions.udf.CIQ($A52, "IQ_NET_WORKING_CAP", IQ_LTM, $L$2,$L$4, $L$3, $L$5, $L$6)), "n/a", _xll.ciqfunctions.udf.CIQ($A52, "IQ_NET_WORKING_CAP", IQ_LTM, $L$2, $L$4, $L$3, $L$5, $L$6))</f>
        <v>(Invalid Identifier)</v>
      </c>
      <c r="AM52" s="542" t="str">
        <f>IF(ISERROR(_xll.ciqfunctions.udf.CIQ($A52, "IQ_Capex", IQ_LTM-8, $L$2,$L$4, $L$3, $L$5, $L$6)), "n/a", _xll.ciqfunctions.udf.CIQ($A52, "IQ_Capex", IQ_LTM-8, $L$2, $L$4, $L$3, $L$5, $L$6))</f>
        <v>(Invalid Identifier)</v>
      </c>
      <c r="AN52" s="542" t="str">
        <f>IF(ISERROR(_xll.ciqfunctions.udf.CIQ($A52, "IQ_Capex", IQ_LTM-4, $L$2,$L$4, $L$3, $L$5, $L$6)), "n/a", _xll.ciqfunctions.udf.CIQ($A52, "IQ_Capex", IQ_LTM-4, $L$2,$L$4, $L$3, $L$5, $L$6))</f>
        <v>(Invalid Identifier)</v>
      </c>
      <c r="AO52" s="542" t="str">
        <f>IF(ISERROR(_xll.ciqfunctions.udf.CIQ($A52, "IQ_Capex", IQ_LTM, $L$2, $L$4, $L$3, $L$5, $L$6)), "n/a", _xll.ciqfunctions.udf.CIQ($A52, "IQ_Capex", IQ_LTM, $L$2, $L$4, $L$3, $L$5, $L$6))</f>
        <v>(Invalid Identifier)</v>
      </c>
      <c r="AP52" s="544" t="str">
        <f>_xll.ciqfunctions.udf.CIQ(A52, "IQ_BUSINESS_DESCRIPTION")</f>
        <v>(Invalid Identifier)</v>
      </c>
      <c r="AQ52" s="545" t="str">
        <f>_xll.ciqfunctions.udf.CIQ($A52, "IQ_BETA_1YR", $B$1)</f>
        <v>(Invalid Identifier)</v>
      </c>
      <c r="AR52" s="545" t="str">
        <f>_xll.ciqfunctions.udf.CIQ($A52, "IQ_BETA_2YR", $B$1)</f>
        <v>(Invalid Identifier)</v>
      </c>
      <c r="AS52" s="545" t="str">
        <f>_xll.ciqfunctions.udf.CIQ($A52, "IQ_BETA_5YR", $B$1)</f>
        <v>(Invalid Identifier)</v>
      </c>
      <c r="AT52" s="493" t="str">
        <f>_xll.ciqfunctions.udf.CIQ($B52, "IQ_GP", IQ_LTM,$B$1, ,,"USD")</f>
        <v>(Invalid Identifier)</v>
      </c>
      <c r="AU52" s="542" t="str">
        <f>_xll.ciqfunctions.udf.CIQ($A52, "IQ_EARNING_CO", IQ_LTM-8, $L$2, $L$4, $L$3, $L$5, $L$6)</f>
        <v>(Invalid Identifier)</v>
      </c>
      <c r="AV52" s="542" t="str">
        <f>_xll.ciqfunctions.udf.CIQ($A52, "IQ_EARNING_CO", IQ_LTM-4, $L$2, $L$4, $L$3, $L$5, $L$6)</f>
        <v>(Invalid Identifier)</v>
      </c>
      <c r="AW52" s="542" t="str">
        <f>_xll.ciqfunctions.udf.CIQ($A52, "IQ_EARNING_CO", IQ_LTM, $L$2, $L$4, $L$3, $L$5, $L$6)</f>
        <v>(Invalid Identifier)</v>
      </c>
      <c r="AX52" s="542" t="str">
        <f>_xll.ciqfunctions.udf.CIQ($A52, "IQ_EARNING_CO", $B$2, $L$2, $L$4, $L$3, $L$5, $L$6)</f>
        <v>(Invalid Identifier)</v>
      </c>
      <c r="AY52" s="542" t="str">
        <f>IF(_xll.ciqfunctions.udf.CIQ($A52, "IQ_EARNING_CO", $B$3, $L$2,$L$4, $L$3, $L$5, $L$6)=0,AW52,_xll.ciqfunctions.udf.CIQ($A52, "IQ_EARNING_CO", $B$3, $L$2,$L$4, $L$3, $L$5, $L$6))</f>
        <v>(Invalid Identifier)</v>
      </c>
      <c r="AZ52" s="542" t="str">
        <f>_xll.ciqfunctions.udf.CIQ($A52, "IQ_TOTAL_EQUITY", IQ_LTM-8, $L$2, $L$4, $L$3, $L$5, $L$6)</f>
        <v>(Invalid Identifier)</v>
      </c>
      <c r="BA52" s="542" t="str">
        <f>_xll.ciqfunctions.udf.CIQ($A52, "IQ_TOTAL_EQUITY", IQ_LTM-4, $L$2, $L$4, $L$3, $L$5, $L$6)</f>
        <v>(Invalid Identifier)</v>
      </c>
      <c r="BB52" s="542" t="str">
        <f>_xll.ciqfunctions.udf.CIQ($A52, "IQ_TOTAL_EQUITY", IQ_LTM, $L$2, $L$4, $L$3, $L$5, $L$6)</f>
        <v>(Invalid Identifier)</v>
      </c>
      <c r="BC52" s="542" t="str">
        <f>_xll.ciqfunctions.udf.CIQ($A52, "IQ_TOTAL_EQUITY", $B$2, $L$2, $L$4, $L$3, $L$5, $L$6)</f>
        <v>(Invalid Identifier)</v>
      </c>
      <c r="BD52" s="542" t="str">
        <f>IF(_xll.ciqfunctions.udf.CIQ($A52, "IQ_TOTAL_EQUITY", $B$3, $L$2,$L$4, $L$3, $L$5, $L$6)=0,BB52,_xll.ciqfunctions.udf.CIQ($A52, "IQ_TOTAL_EQUITY", $B$3, $L$2,$L$4, $L$3, $L$5, $L$6))</f>
        <v>(Invalid Identifier)</v>
      </c>
      <c r="BE52" s="542" t="str">
        <f>_xll.ciqfunctions.udf.CIQ(A52, "IQ_LASTSALEPRICE", $B$8)</f>
        <v>(Invalid Identifier)</v>
      </c>
      <c r="BF52" s="542" t="str">
        <f>_xll.ciqfunctions.udf.CIQ($A52, "IQ_MARKETCAP", $B$8, $L$5, $L$6)</f>
        <v>(Invalid Identifier)</v>
      </c>
      <c r="BG52" s="542" t="str">
        <f>_xll.ciqfunctions.udf.CIQ($A52, "IQ_TOTAL_DEBT", IQ_LTM, $B$8,$L$4, $L$3, $L$5, $L$6)</f>
        <v>(Invalid Identifier)</v>
      </c>
      <c r="BH52" s="492" t="str">
        <f>_xll.ciqfunctions.udf.CIQ($A52,"IQ_PREF_EQUITY",IQ_LTM,$B$8,$L$4,$L$3,$L$5,$L$6)</f>
        <v>(Invalid Identifier)</v>
      </c>
      <c r="BI52" s="492" t="str">
        <f>_xll.ciqfunctions.udf.CIQ($A52, "IQ_MINORITY_INTEREST_TOTAL", IQ_LTM,$B$8,$L$4,$L$3,$L$5,$L$6)</f>
        <v>(Invalid Identifier)</v>
      </c>
      <c r="BJ52" s="542" t="str">
        <f>_xll.ciqfunctions.udf.CIQ($A52, "IQ_CASH_ST_INVEST", IQ_LTM, $B$8, $L$4, $L$3, $L$5, $L$6)</f>
        <v>(Invalid Identifier)</v>
      </c>
      <c r="BK52" s="492" t="str">
        <f>_xll.ciqfunctions.udf.CIQ($A52, "IQ_EFFECT_TAX_RATE")</f>
        <v>(Invalid Identifier)</v>
      </c>
      <c r="BL52" s="492" t="e">
        <f>IF(_xll.ciqfunctions.udf.CIQ($A52, "IQ_TOTAL_REV_2YR_ANN_CAGR", IQ_LTM, $B$1,$L$4, $L$3, $L$5, $L$6)="NM","n/a",(_xll.ciqfunctions.udf.CIQ($A52, "IQ_TOTAL_REV_2YR_ANN_CAGR", IQ_LTM, $B$1,$L$4, $L$3, $L$5, $L$6)/100))</f>
        <v>#VALUE!</v>
      </c>
      <c r="BM52" s="492" t="e">
        <f>IF(_xll.ciqfunctions.udf.CIQ($A52, "IQ_TOTAL_REV_3YR_ANN_CAGR", IQ_LTM, $B$1,$L$4, $L$3, $L$5, $L$6)="NM","n/a",(_xll.ciqfunctions.udf.CIQ($A52, "IQ_TOTAL_REV_3YR_ANN_CAGR", IQ_LTM, $B$1,$L$4, $L$3, $L$5, $L$6)/100))</f>
        <v>#VALUE!</v>
      </c>
      <c r="BN52" s="492" t="e">
        <f>IF(_xll.ciqfunctions.udf.CIQ($A52, "IQ_TOTAL_REV_5YR_ANN_CAGR", IQ_LTM, $B$1,$L$4, $L$3, $L$5, $L$6)="NM","n/a",(_xll.ciqfunctions.udf.CIQ($A52, "IQ_TOTAL_REV_5YR_ANN_CAGR", IQ_LTM, $B$1,$L$4, $L$3, $L$5, $L$6)/100))</f>
        <v>#VALUE!</v>
      </c>
      <c r="BO52" s="492" t="e">
        <f>IF(_xll.ciqfunctions.udf.CIQ($A52,"IQ_EBITDA_2YR_ANN_CAGR", IQ_LTM,$B$1,$L$4, $L$3, $L$5, $L$6)="NM","n/a",(_xll.ciqfunctions.udf.CIQ($A52,"IQ_EBITDA_2YR_ANN_CAGR", IQ_LTM,$B$1,$L$4, $L$3, $L$5, $L$6)/100))</f>
        <v>#VALUE!</v>
      </c>
      <c r="BP52" s="492" t="e">
        <f>IF(_xll.ciqfunctions.udf.CIQ($A52,"IQ_EBITDA_3YR_ANN_CAGR", IQ_LTM,$B$1,$L$4, $L$3, $L$5, $L$6)="NM","n/a",(_xll.ciqfunctions.udf.CIQ($A52,"IQ_EBITDA_3YR_ANN_CAGR", IQ_LTM,$B$1,$L$4, $L$3, $L$5, $L$6)/100))</f>
        <v>#VALUE!</v>
      </c>
      <c r="BQ52" s="492" t="e">
        <f>IF(_xll.ciqfunctions.udf.CIQ($A52,"IQ_EBITDA_5YR_ANN_CAGR", IQ_LTM,$B$1,$L$4, $L$3, $L$5, $L$6)="NM","n/a",(_xll.ciqfunctions.udf.CIQ($A52,"IQ_EBITDA_5YR_ANN_CAGR", IQ_LTM,$B$1,$L$4, $L$3, $L$5, $L$6)/100))</f>
        <v>#VALUE!</v>
      </c>
      <c r="BR52" s="496" t="str">
        <f>IFERROR((_xll.ciqfunctions.udf.CIQ($A52, "IQ_DA_CF", IQ_LTM, $B$1, $L$4, $L$3, $L$5, $L$6)/Q52),"NM")</f>
        <v>NM</v>
      </c>
      <c r="BS52" s="543" t="e">
        <f>'Capital IQ Sheet-GPC'!BS52</f>
        <v>#VALUE!</v>
      </c>
      <c r="BT52" s="543" t="e">
        <f>'Capital IQ Sheet-GPC'!BT52</f>
        <v>#VALUE!</v>
      </c>
      <c r="BU52" s="543" t="e">
        <f>'Capital IQ Sheet-GPC'!BU52</f>
        <v>#VALUE!</v>
      </c>
      <c r="BV52" s="543" t="e">
        <f>'Capital IQ Sheet-GPC'!BV52</f>
        <v>#VALUE!</v>
      </c>
      <c r="BW52" s="543" t="e">
        <f>'Capital IQ Sheet-GPC'!BW52</f>
        <v>#VALUE!</v>
      </c>
      <c r="BX52" s="543" t="e">
        <f>'Capital IQ Sheet-GPC'!BX52</f>
        <v>#VALUE!</v>
      </c>
      <c r="BY52" s="543" t="e">
        <f>'Capital IQ Sheet-GPC'!BY52</f>
        <v>#VALUE!</v>
      </c>
      <c r="BZ52" s="543" t="e">
        <f>'Capital IQ Sheet-GPC'!BZ52</f>
        <v>#VALUE!</v>
      </c>
    </row>
    <row r="53" spans="1:83">
      <c r="A53" s="493" t="str">
        <f>_xll.ciqfunctions.udf.CIQ($B53,"IQ_COMPANY_TICKER")</f>
        <v>(Invalid Identifier)</v>
      </c>
      <c r="B53" s="541" t="str">
        <f>'Capital IQ Sheet-GPC'!B53</f>
        <v>(Invalid Identifier)</v>
      </c>
      <c r="C53" s="493" t="str">
        <f>_xll.ciqfunctions.udf.CIQ($A53,"IQ_COMPANY_NAME")</f>
        <v>(Invalid Identifier)</v>
      </c>
      <c r="D53" s="493" t="str">
        <f>_xll.ciqfunctions.udf.CIQ($A53, "IQ_EXCHANGE")</f>
        <v>(Invalid Identifier)</v>
      </c>
      <c r="E53" s="540" t="str">
        <f>_xll.ciqfunctions.udf.CIQ($A53, "IQ_PERIODDATE_IS", IQ_FY)</f>
        <v>(Invalid Identifier)</v>
      </c>
      <c r="F53" s="540" t="str">
        <f>_xll.ciqfunctions.udf.CIQ(A53, "IQ_PERIODDATE_IS", IQ_LTM, $B$1,$L$4,$L$3)</f>
        <v>(Invalid Identifier)</v>
      </c>
      <c r="G53" s="540" t="str">
        <f>_xll.ciqfunctions.udf.CIQ($A53, "IQ_FIRSTPRICINGDATE")</f>
        <v>(Invalid Identifier)</v>
      </c>
      <c r="H53" s="542" t="str">
        <f>_xll.ciqfunctions.udf.CIQ($A53, "IQ_TEV", $L$2, $L$5, $L$6)</f>
        <v>(Invalid Identifier)</v>
      </c>
      <c r="I53" s="542" t="str">
        <f>_xll.ciqfunctions.udf.CIQ(A53, "IQ_LASTSALEPRICE", $B$1,$L$5)</f>
        <v>(Invalid Identifier)</v>
      </c>
      <c r="J53" s="540" t="str">
        <f>_xll.ciqfunctions.udf.CIQ($B53, "IQ_FIRSTPRICINGDATE")</f>
        <v>(Invalid Identifier)</v>
      </c>
      <c r="K53" s="542" t="str">
        <f>_xll.ciqfunctions.udf.CIQ($A53, "IQ_TOTAL_DEBT", IQ_LTM, $L$2,$L$4, $L$3, $L$5, $L$6)</f>
        <v>(Invalid Identifier)</v>
      </c>
      <c r="L53" s="542" t="str">
        <f>_xll.ciqfunctions.udf.CIQ($A53, "IQ_PREF_EQUITY", IQ_LTM, $L$2, $L$4, $L$3, $L$5, $L$6)</f>
        <v>(Invalid Identifier)</v>
      </c>
      <c r="M53" s="542" t="str">
        <f>_xll.ciqfunctions.udf.CIQ($A53, "IQ_MINORITY_INTEREST_TOTAL", IQ_LTM, $L$2, $L$4, $L$3, $L$5, $L$6)</f>
        <v>(Invalid Identifier)</v>
      </c>
      <c r="N53" s="542" t="str">
        <f>_xll.ciqfunctions.udf.CIQ($A53, "IQ_CASH_ST_INVEST", IQ_LTM, $L$2, $L$4, $L$3, $L$5, $L$6)</f>
        <v>(Invalid Identifier)</v>
      </c>
      <c r="O53" s="542" t="str">
        <f>_xll.ciqfunctions.udf.CIQ($A53, "IQ_TOTAL_REV", IQ_LTM-8, $L$2, $L$4, $L$3, $L$5, $L$6)</f>
        <v>(Invalid Identifier)</v>
      </c>
      <c r="P53" s="542" t="str">
        <f>_xll.ciqfunctions.udf.CIQ($A53, "IQ_TOTAL_REV", IQ_LTM - 4, $L$2, $L$4, $L$3, $L$5,$L$6)</f>
        <v>(Invalid Identifier)</v>
      </c>
      <c r="Q53" s="542" t="str">
        <f>_xll.ciqfunctions.udf.CIQ($A53, "IQ_TOTAL_REV", IQ_LTM, $L$2, $L$4, $L$3, $L$5, $L$6)</f>
        <v>(Invalid Identifier)</v>
      </c>
      <c r="R53" s="542" t="str">
        <f>_xll.ciqfunctions.udf.CIQ($A53, "IQ_TOTAL_REV", $B$2, $L$2, $L$4, $L$3, $L$5, $L$6)</f>
        <v>(Invalid Identifier)</v>
      </c>
      <c r="S53" s="542" t="str">
        <f>IF(_xll.ciqfunctions.udf.CIQ($A53, "IQ_TOTAL_REV", $B$3, $L$2,$L$4, $L$3, $L$5, $L$6)=0,Q53,_xll.ciqfunctions.udf.CIQ($A53, "IQ_TOTAL_REV", $B$3, $L$2,$L$4, $L$3, $L$5, $L$6))</f>
        <v>(Invalid Identifier)</v>
      </c>
      <c r="T53" s="542" t="str">
        <f>IF(_xll.ciqfunctions.udf.CIQ($A53, "IQ_REVENUE_EST",$B$4, $L$2, "CON", $L$3, $L$5, $L$6)=0,"n/a",_xll.ciqfunctions.udf.CIQ($A53, "IQ_REVENUE_EST",$B$4, $L$2, "CON", $L$3, $L$5, $L$6))</f>
        <v>(Invalid Identifier)</v>
      </c>
      <c r="U53" s="542" t="str">
        <f>IF(_xll.ciqfunctions.udf.CIQ($A53, "IQ_REVENUE_EST",$B$5, $L$2, "CON", $L$3, $L$5, $L$6)=0,"n/a",_xll.ciqfunctions.udf.CIQ($A53, "IQ_REVENUE_EST",$B$5, $L$2, "CON", $L$3, $L$5, $L$6))</f>
        <v>(Invalid Identifier)</v>
      </c>
      <c r="V53" s="542" t="str">
        <f>IF(_xll.ciqfunctions.udf.CIQ($A53, "IQ_REVENUE_EST",$B$6, $L$2, "CON", $L$3, $L$5, $L$6)=0,"n/a",_xll.ciqfunctions.udf.CIQ($A53, "IQ_REVENUE_EST",$B$6, $L$2, "CON", $L$3, $L$5, $L$6))</f>
        <v>(Invalid Identifier)</v>
      </c>
      <c r="W53" s="542" t="str">
        <f>IF(_xll.ciqfunctions.udf.CIQ($A53, "IQ_REVENUE_EST", $B$7, $L$2, "CON", $L$3, $L$5, $L$6)=0,"n/a",_xll.ciqfunctions.udf.CIQ($A53, "IQ_REVENUE_EST",$B$7, $L$2, "CON", $L$3, $L$5, $L$6))</f>
        <v>(Invalid Identifier)</v>
      </c>
      <c r="X53" s="542" t="str">
        <f>_xll.ciqfunctions.udf.CIQ($A53, "IQ_EBITDA", IQ_LTM-8, $L$2, $L$4, $L$3, $L$5, $L$6)</f>
        <v>(Invalid Identifier)</v>
      </c>
      <c r="Y53" s="542" t="str">
        <f>_xll.ciqfunctions.udf.CIQ($A53, "IQ_EBITDA", IQ_LTM-4, $L$2,$L$4, $L$3, $L$5, $L$6)</f>
        <v>(Invalid Identifier)</v>
      </c>
      <c r="Z53" s="542" t="str">
        <f>_xll.ciqfunctions.udf.CIQ($A53, "IQ_EBITDA", IQ_LTM, $L$2, $L$4, $L$3, $L$5, $L$6)</f>
        <v>(Invalid Identifier)</v>
      </c>
      <c r="AA53" s="542" t="str">
        <f>_xll.ciqfunctions.udf.CIQ($A53, "IQ_EBITDA", $B$2, $L$2, $L$4, $L$3, $L$5, $L$6)</f>
        <v>(Invalid Identifier)</v>
      </c>
      <c r="AB53" s="542" t="str">
        <f>IF(_xll.ciqfunctions.udf.CIQ($A53, "IQ_EBITDA", $B$3, $L$2,$L$4, $L$3, $L$5, $L$6)=0,Z53,_xll.ciqfunctions.udf.CIQ($A53, "IQ_EBITDA", $B$3, $L$2,$L$4, $L$3, $L$5, $L$6))</f>
        <v>(Invalid Identifier)</v>
      </c>
      <c r="AC53" s="542" t="str">
        <f>IF(_xll.ciqfunctions.udf.CIQ($A53, "IQ_EBITDA_EST",$B$4, $L$2, "CON", $L$3, $L$5, $L$6)=0,"n/a",_xll.ciqfunctions.udf.CIQ($A53, "IQ_EBITDA_EST",$B$4, $L$2, "CON", $L$3, $L$5, $L$6))</f>
        <v>(Invalid Identifier)</v>
      </c>
      <c r="AD53" s="493" t="str">
        <f>IF(_xll.ciqfunctions.udf.CIQ($A53, "IQ_EBITDA_EST",$B$5, $L$2, "CON", $L$3, $L$5, $L$6)=0,"n/a",_xll.ciqfunctions.udf.CIQ($A53, "IQ_EBITDA_EST",$B$5, $L$2, "CON", $L$3, $L$5, $L$6))</f>
        <v>(Invalid Identifier)</v>
      </c>
      <c r="AE53" s="542" t="str">
        <f>IF(_xll.ciqfunctions.udf.CIQ($A53, "IQ_EBITDA_EST",$B$6, $L$2, "CON", $L$3, $L$5, $L$6)=0,"n/a",_xll.ciqfunctions.udf.CIQ($A53, "IQ_EBITDA_EST",$B$6, $L$2, "CON", $L$3, $L$5, $L$6))</f>
        <v>(Invalid Identifier)</v>
      </c>
      <c r="AF53" s="543" t="str">
        <f>IF(ISERROR(_xll.ciqfunctions.udf.CIQ($A53, "IQ_GROSS_MARGIN", IQ_LTM, $L$2,$L$4, $L$3, $L$5, $L$6)/100), "n/a", _xll.ciqfunctions.udf.CIQ($A53,  "IQ_GROSS_MARGIN", IQ_LTM, $L$2, $L$4, $L$3, $L$5, $L$6)/100)</f>
        <v>n/a</v>
      </c>
      <c r="AG53" s="543" t="str">
        <f>IF(ISERROR(_xll.ciqfunctions.udf.CIQ($A53,"IQ_EBITDA_MARGIN", IQ_LTM, $L$2, $L$4, $L$3, $L$5, $L$6)/100), "n/a", _xll.ciqfunctions.udf.CIQ($A53, "IQ_EBITDA_MARGIN", IQ_LTM, $L$2, $L$4, $L$3, $L$5, $L$6)/100)</f>
        <v>n/a</v>
      </c>
      <c r="AH53" s="543" t="str">
        <f>IF(ISERROR(_xll.ciqfunctions.udf.CIQ($A53,"IQ_EBIT_MARGIN", IQ_LTM, $L$2, $L$4, $L$3, $L$5, $L$6)/100), "n/a", _xll.ciqfunctions.udf.CIQ($A53, "IQ_EBIT_MARGIN", IQ_LTM, $L$2, $L$4, $L$3, $L$5, $L$6)/100)</f>
        <v>n/a</v>
      </c>
      <c r="AI53" s="543" t="str">
        <f>IF(ISERROR(_xll.ciqfunctions.udf.CIQ($A53,"IQ_NI_MARGIN", IQ_LTM, $L$2, $L$4, $L$3, $L$5, $L$6)/100), "n/a", _xll.ciqfunctions.udf.CIQ($A53, "IQ_NI_MARGIN", IQ_LTM, $L$2, $L$4, $L$3, $L$5, $L$6)/100)</f>
        <v>n/a</v>
      </c>
      <c r="AJ53" s="542" t="str">
        <f>IF(ISERROR(_xll.ciqfunctions.udf.CIQ($A53, "IQ_NET_WORKING_CAP", IQ_LTM-8, $L$2, $L$4, $L$3, $L$5, $L$6)), "n/a", _xll.ciqfunctions.udf.CIQ($A53, "IQ_NET_WORKING_CAP", IQ_LTM-8, $L$2, $L$4, $L$3, $L$5, $L$6))</f>
        <v>(Invalid Identifier)</v>
      </c>
      <c r="AK53" s="542" t="str">
        <f>IF(ISERROR(_xll.ciqfunctions.udf.CIQ($A53, "IQ_NET_WORKING_CAP", IQ_LTM-4, $L$2, $L$4, $L$3, $L$5, $L$6)), "n/a", _xll.ciqfunctions.udf.CIQ($A53, "IQ_NET_WORKING_CAP", IQ_LTM-4, $L$2, $L$4, $L$3, $L$5, $L$6))</f>
        <v>(Invalid Identifier)</v>
      </c>
      <c r="AL53" s="542" t="str">
        <f>IF(ISERROR(_xll.ciqfunctions.udf.CIQ($A53, "IQ_NET_WORKING_CAP", IQ_LTM, $L$2,$L$4, $L$3, $L$5, $L$6)), "n/a", _xll.ciqfunctions.udf.CIQ($A53, "IQ_NET_WORKING_CAP", IQ_LTM, $L$2, $L$4, $L$3, $L$5, $L$6))</f>
        <v>(Invalid Identifier)</v>
      </c>
      <c r="AM53" s="542" t="str">
        <f>IF(ISERROR(_xll.ciqfunctions.udf.CIQ($A53, "IQ_Capex", IQ_LTM-8, $L$2,$L$4, $L$3, $L$5, $L$6)), "n/a", _xll.ciqfunctions.udf.CIQ($A53, "IQ_Capex", IQ_LTM-8, $L$2, $L$4, $L$3, $L$5, $L$6))</f>
        <v>(Invalid Identifier)</v>
      </c>
      <c r="AN53" s="542" t="str">
        <f>IF(ISERROR(_xll.ciqfunctions.udf.CIQ($A53, "IQ_Capex", IQ_LTM-4, $L$2,$L$4, $L$3, $L$5, $L$6)), "n/a", _xll.ciqfunctions.udf.CIQ($A53, "IQ_Capex", IQ_LTM-4, $L$2,$L$4, $L$3, $L$5, $L$6))</f>
        <v>(Invalid Identifier)</v>
      </c>
      <c r="AO53" s="542" t="str">
        <f>IF(ISERROR(_xll.ciqfunctions.udf.CIQ($A53, "IQ_Capex", IQ_LTM, $L$2, $L$4, $L$3, $L$5, $L$6)), "n/a", _xll.ciqfunctions.udf.CIQ($A53, "IQ_Capex", IQ_LTM, $L$2, $L$4, $L$3, $L$5, $L$6))</f>
        <v>(Invalid Identifier)</v>
      </c>
      <c r="AP53" s="544" t="str">
        <f>_xll.ciqfunctions.udf.CIQ(A53, "IQ_BUSINESS_DESCRIPTION")</f>
        <v>(Invalid Identifier)</v>
      </c>
      <c r="AQ53" s="545" t="str">
        <f>_xll.ciqfunctions.udf.CIQ($A53, "IQ_BETA_1YR", $B$1)</f>
        <v>(Invalid Identifier)</v>
      </c>
      <c r="AR53" s="545" t="str">
        <f>_xll.ciqfunctions.udf.CIQ($A53, "IQ_BETA_2YR", $B$1)</f>
        <v>(Invalid Identifier)</v>
      </c>
      <c r="AS53" s="545" t="str">
        <f>_xll.ciqfunctions.udf.CIQ($A53, "IQ_BETA_5YR", $B$1)</f>
        <v>(Invalid Identifier)</v>
      </c>
      <c r="AT53" s="493" t="str">
        <f>_xll.ciqfunctions.udf.CIQ($B53, "IQ_GP", IQ_LTM,$B$1, ,,"USD")</f>
        <v>(Invalid Identifier)</v>
      </c>
      <c r="AU53" s="542" t="str">
        <f>_xll.ciqfunctions.udf.CIQ($A53, "IQ_EARNING_CO", IQ_LTM-8, $L$2, $L$4, $L$3, $L$5, $L$6)</f>
        <v>(Invalid Identifier)</v>
      </c>
      <c r="AV53" s="542" t="str">
        <f>_xll.ciqfunctions.udf.CIQ($A53, "IQ_EARNING_CO", IQ_LTM-4, $L$2, $L$4, $L$3, $L$5, $L$6)</f>
        <v>(Invalid Identifier)</v>
      </c>
      <c r="AW53" s="542" t="str">
        <f>_xll.ciqfunctions.udf.CIQ($A53, "IQ_EARNING_CO", IQ_LTM, $L$2, $L$4, $L$3, $L$5, $L$6)</f>
        <v>(Invalid Identifier)</v>
      </c>
      <c r="AX53" s="542" t="str">
        <f>_xll.ciqfunctions.udf.CIQ($A53, "IQ_EARNING_CO", $B$2, $L$2, $L$4, $L$3, $L$5, $L$6)</f>
        <v>(Invalid Identifier)</v>
      </c>
      <c r="AY53" s="542" t="str">
        <f>IF(_xll.ciqfunctions.udf.CIQ($A53, "IQ_EARNING_CO", $B$3, $L$2,$L$4, $L$3, $L$5, $L$6)=0,AW53,_xll.ciqfunctions.udf.CIQ($A53, "IQ_EARNING_CO", $B$3, $L$2,$L$4, $L$3, $L$5, $L$6))</f>
        <v>(Invalid Identifier)</v>
      </c>
      <c r="AZ53" s="542" t="str">
        <f>_xll.ciqfunctions.udf.CIQ($A53, "IQ_TOTAL_EQUITY", IQ_LTM-8, $L$2, $L$4, $L$3, $L$5, $L$6)</f>
        <v>(Invalid Identifier)</v>
      </c>
      <c r="BA53" s="542" t="str">
        <f>_xll.ciqfunctions.udf.CIQ($A53, "IQ_TOTAL_EQUITY", IQ_LTM-4, $L$2, $L$4, $L$3, $L$5, $L$6)</f>
        <v>(Invalid Identifier)</v>
      </c>
      <c r="BB53" s="542" t="str">
        <f>_xll.ciqfunctions.udf.CIQ($A53, "IQ_TOTAL_EQUITY", IQ_LTM, $L$2, $L$4, $L$3, $L$5, $L$6)</f>
        <v>(Invalid Identifier)</v>
      </c>
      <c r="BC53" s="542" t="str">
        <f>_xll.ciqfunctions.udf.CIQ($A53, "IQ_TOTAL_EQUITY", $B$2, $L$2, $L$4, $L$3, $L$5, $L$6)</f>
        <v>(Invalid Identifier)</v>
      </c>
      <c r="BD53" s="542" t="str">
        <f>IF(_xll.ciqfunctions.udf.CIQ($A53, "IQ_TOTAL_EQUITY", $B$3, $L$2,$L$4, $L$3, $L$5, $L$6)=0,BB53,_xll.ciqfunctions.udf.CIQ($A53, "IQ_TOTAL_EQUITY", $B$3, $L$2,$L$4, $L$3, $L$5, $L$6))</f>
        <v>(Invalid Identifier)</v>
      </c>
      <c r="BE53" s="542" t="str">
        <f>_xll.ciqfunctions.udf.CIQ(A53, "IQ_LASTSALEPRICE", $B$8)</f>
        <v>(Invalid Identifier)</v>
      </c>
      <c r="BF53" s="542" t="str">
        <f>_xll.ciqfunctions.udf.CIQ($A53, "IQ_MARKETCAP", $B$8, $L$5, $L$6)</f>
        <v>(Invalid Identifier)</v>
      </c>
      <c r="BG53" s="542" t="str">
        <f>_xll.ciqfunctions.udf.CIQ($A53, "IQ_TOTAL_DEBT", IQ_LTM, $B$8,$L$4, $L$3, $L$5, $L$6)</f>
        <v>(Invalid Identifier)</v>
      </c>
      <c r="BH53" s="492" t="str">
        <f>_xll.ciqfunctions.udf.CIQ($A53,"IQ_PREF_EQUITY",IQ_LTM,$B$8,$L$4,$L$3,$L$5,$L$6)</f>
        <v>(Invalid Identifier)</v>
      </c>
      <c r="BI53" s="492" t="str">
        <f>_xll.ciqfunctions.udf.CIQ($A53, "IQ_MINORITY_INTEREST_TOTAL", IQ_LTM,$B$8,$L$4,$L$3,$L$5,$L$6)</f>
        <v>(Invalid Identifier)</v>
      </c>
      <c r="BJ53" s="542" t="str">
        <f>_xll.ciqfunctions.udf.CIQ($A53, "IQ_CASH_ST_INVEST", IQ_LTM, $B$8, $L$4, $L$3, $L$5, $L$6)</f>
        <v>(Invalid Identifier)</v>
      </c>
      <c r="BK53" s="492" t="str">
        <f>_xll.ciqfunctions.udf.CIQ($A53, "IQ_EFFECT_TAX_RATE")</f>
        <v>(Invalid Identifier)</v>
      </c>
      <c r="BL53" s="492" t="e">
        <f>IF(_xll.ciqfunctions.udf.CIQ($A53, "IQ_TOTAL_REV_2YR_ANN_CAGR", IQ_LTM, $B$1,$L$4, $L$3, $L$5, $L$6)="NM","n/a",(_xll.ciqfunctions.udf.CIQ($A53, "IQ_TOTAL_REV_2YR_ANN_CAGR", IQ_LTM, $B$1,$L$4, $L$3, $L$5, $L$6)/100))</f>
        <v>#VALUE!</v>
      </c>
      <c r="BM53" s="492" t="e">
        <f>IF(_xll.ciqfunctions.udf.CIQ($A53, "IQ_TOTAL_REV_3YR_ANN_CAGR", IQ_LTM, $B$1,$L$4, $L$3, $L$5, $L$6)="NM","n/a",(_xll.ciqfunctions.udf.CIQ($A53, "IQ_TOTAL_REV_3YR_ANN_CAGR", IQ_LTM, $B$1,$L$4, $L$3, $L$5, $L$6)/100))</f>
        <v>#VALUE!</v>
      </c>
      <c r="BN53" s="492" t="e">
        <f>IF(_xll.ciqfunctions.udf.CIQ($A53, "IQ_TOTAL_REV_5YR_ANN_CAGR", IQ_LTM, $B$1,$L$4, $L$3, $L$5, $L$6)="NM","n/a",(_xll.ciqfunctions.udf.CIQ($A53, "IQ_TOTAL_REV_5YR_ANN_CAGR", IQ_LTM, $B$1,$L$4, $L$3, $L$5, $L$6)/100))</f>
        <v>#VALUE!</v>
      </c>
      <c r="BO53" s="492" t="e">
        <f>IF(_xll.ciqfunctions.udf.CIQ($A53,"IQ_EBITDA_2YR_ANN_CAGR", IQ_LTM,$B$1,$L$4, $L$3, $L$5, $L$6)="NM","n/a",(_xll.ciqfunctions.udf.CIQ($A53,"IQ_EBITDA_2YR_ANN_CAGR", IQ_LTM,$B$1,$L$4, $L$3, $L$5, $L$6)/100))</f>
        <v>#VALUE!</v>
      </c>
      <c r="BP53" s="492" t="e">
        <f>IF(_xll.ciqfunctions.udf.CIQ($A53,"IQ_EBITDA_3YR_ANN_CAGR", IQ_LTM,$B$1,$L$4, $L$3, $L$5, $L$6)="NM","n/a",(_xll.ciqfunctions.udf.CIQ($A53,"IQ_EBITDA_3YR_ANN_CAGR", IQ_LTM,$B$1,$L$4, $L$3, $L$5, $L$6)/100))</f>
        <v>#VALUE!</v>
      </c>
      <c r="BQ53" s="492" t="e">
        <f>IF(_xll.ciqfunctions.udf.CIQ($A53,"IQ_EBITDA_5YR_ANN_CAGR", IQ_LTM,$B$1,$L$4, $L$3, $L$5, $L$6)="NM","n/a",(_xll.ciqfunctions.udf.CIQ($A53,"IQ_EBITDA_5YR_ANN_CAGR", IQ_LTM,$B$1,$L$4, $L$3, $L$5, $L$6)/100))</f>
        <v>#VALUE!</v>
      </c>
      <c r="BR53" s="496" t="str">
        <f>IFERROR((_xll.ciqfunctions.udf.CIQ($A53, "IQ_DA_CF", IQ_LTM, $B$1, $L$4, $L$3, $L$5, $L$6)/Q53),"NM")</f>
        <v>NM</v>
      </c>
      <c r="BS53" s="543" t="e">
        <f>'Capital IQ Sheet-GPC'!BS53</f>
        <v>#VALUE!</v>
      </c>
      <c r="BT53" s="543" t="e">
        <f>'Capital IQ Sheet-GPC'!BT53</f>
        <v>#VALUE!</v>
      </c>
      <c r="BU53" s="543" t="e">
        <f>'Capital IQ Sheet-GPC'!BU53</f>
        <v>#VALUE!</v>
      </c>
      <c r="BV53" s="543" t="e">
        <f>'Capital IQ Sheet-GPC'!BV53</f>
        <v>#VALUE!</v>
      </c>
      <c r="BW53" s="543" t="e">
        <f>'Capital IQ Sheet-GPC'!BW53</f>
        <v>#VALUE!</v>
      </c>
      <c r="BX53" s="543" t="e">
        <f>'Capital IQ Sheet-GPC'!BX53</f>
        <v>#VALUE!</v>
      </c>
      <c r="BY53" s="543" t="e">
        <f>'Capital IQ Sheet-GPC'!BY53</f>
        <v>#VALUE!</v>
      </c>
      <c r="BZ53" s="543" t="e">
        <f>'Capital IQ Sheet-GPC'!BZ53</f>
        <v>#VALUE!</v>
      </c>
    </row>
    <row r="54" spans="1:83">
      <c r="A54" s="491"/>
      <c r="J54" s="540"/>
      <c r="M54" s="495"/>
      <c r="N54" s="495"/>
      <c r="O54" s="495"/>
      <c r="P54" s="495"/>
      <c r="Q54" s="495"/>
      <c r="R54" s="495"/>
      <c r="S54" s="495"/>
      <c r="T54" s="495"/>
      <c r="U54" s="495"/>
      <c r="V54" s="495"/>
      <c r="W54" s="495"/>
      <c r="X54" s="495"/>
      <c r="Y54" s="495"/>
      <c r="Z54" s="495"/>
      <c r="AA54" s="495"/>
      <c r="AB54" s="495"/>
      <c r="AC54" s="495"/>
      <c r="AD54" s="495"/>
      <c r="AE54" s="495"/>
      <c r="AF54" s="495"/>
      <c r="AG54" s="495"/>
      <c r="AH54" s="495"/>
      <c r="AI54" s="495"/>
      <c r="AJ54" s="495"/>
      <c r="AK54" s="495"/>
      <c r="AL54" s="495"/>
      <c r="AM54" s="495"/>
      <c r="AN54" s="495"/>
      <c r="AO54" s="495"/>
      <c r="AP54" s="495"/>
      <c r="AQ54" s="491"/>
      <c r="AR54" s="495"/>
      <c r="AS54" s="491"/>
      <c r="AT54" s="495"/>
      <c r="AU54" s="491"/>
      <c r="AV54" s="491"/>
      <c r="AW54" s="491"/>
      <c r="AX54" s="491"/>
      <c r="AY54" s="491"/>
      <c r="AZ54" s="491"/>
      <c r="BA54" s="491"/>
      <c r="BB54" s="491"/>
      <c r="BC54" s="495"/>
      <c r="BD54" s="491"/>
      <c r="BE54" s="491"/>
      <c r="BF54" s="491"/>
      <c r="BG54" s="491"/>
      <c r="BH54" s="491"/>
      <c r="BI54" s="491"/>
      <c r="BJ54" s="491"/>
      <c r="BK54" s="491"/>
      <c r="BL54" s="491"/>
      <c r="BM54" s="491"/>
      <c r="BN54" s="491"/>
      <c r="BO54" s="491"/>
      <c r="BP54" s="491"/>
      <c r="BQ54" s="491"/>
      <c r="BR54" s="491"/>
      <c r="BS54" s="491"/>
      <c r="BT54" s="491"/>
      <c r="BU54" s="491"/>
      <c r="BV54" s="491"/>
      <c r="BW54" s="491"/>
      <c r="BX54" s="491"/>
      <c r="BY54" s="491"/>
      <c r="BZ54" s="491"/>
      <c r="CE54" s="491"/>
    </row>
    <row r="55" spans="1:83">
      <c r="A55" s="491"/>
      <c r="J55" s="540"/>
      <c r="L55" s="537"/>
      <c r="M55" s="495"/>
      <c r="N55" s="495"/>
      <c r="O55" s="495"/>
      <c r="P55" s="495"/>
      <c r="Q55" s="495"/>
      <c r="R55" s="495"/>
      <c r="S55" s="495"/>
      <c r="T55" s="495"/>
      <c r="U55" s="495"/>
      <c r="V55" s="495"/>
      <c r="W55" s="495"/>
      <c r="X55" s="495"/>
      <c r="Y55" s="495"/>
      <c r="Z55" s="495"/>
      <c r="AA55" s="495"/>
      <c r="AB55" s="495"/>
      <c r="AC55" s="495"/>
      <c r="AD55" s="495"/>
      <c r="AE55" s="495"/>
      <c r="AF55" s="495"/>
      <c r="AG55" s="495"/>
      <c r="AH55" s="495"/>
      <c r="AI55" s="495"/>
      <c r="AJ55" s="495"/>
      <c r="AK55" s="495"/>
      <c r="AL55" s="495"/>
      <c r="AM55" s="495"/>
      <c r="AN55" s="495"/>
      <c r="AO55" s="495"/>
      <c r="AP55" s="495"/>
      <c r="AQ55" s="491"/>
      <c r="AR55" s="495"/>
      <c r="AS55" s="491"/>
      <c r="AT55" s="495"/>
      <c r="AU55" s="491"/>
      <c r="AV55" s="491"/>
      <c r="AW55" s="491"/>
      <c r="AX55" s="491"/>
      <c r="AY55" s="491"/>
      <c r="AZ55" s="491"/>
      <c r="BA55" s="491"/>
      <c r="BB55" s="491"/>
      <c r="BC55" s="495"/>
      <c r="BD55" s="491"/>
      <c r="BE55" s="491"/>
      <c r="BF55" s="491"/>
      <c r="BG55" s="491"/>
      <c r="BH55" s="491"/>
      <c r="BI55" s="491"/>
      <c r="BJ55" s="491"/>
      <c r="BK55" s="491"/>
      <c r="BL55" s="491"/>
      <c r="BM55" s="491"/>
      <c r="BN55" s="491"/>
      <c r="BO55" s="491"/>
      <c r="BP55" s="491"/>
      <c r="BQ55" s="491"/>
      <c r="BR55" s="491"/>
      <c r="BS55" s="491"/>
      <c r="BT55" s="491"/>
      <c r="BU55" s="491"/>
      <c r="BV55" s="491"/>
      <c r="BW55" s="491"/>
      <c r="BX55" s="491"/>
      <c r="BY55" s="491"/>
      <c r="BZ55" s="491"/>
      <c r="CE55" s="491"/>
    </row>
    <row r="56" spans="1:83" ht="12.75">
      <c r="A56" s="491"/>
      <c r="B56" s="633" t="s">
        <v>127</v>
      </c>
      <c r="C56" s="634" t="s">
        <v>670</v>
      </c>
      <c r="D56" s="635" t="s">
        <v>671</v>
      </c>
      <c r="E56" s="636" t="s">
        <v>126</v>
      </c>
      <c r="F56" s="637"/>
      <c r="G56" s="637"/>
      <c r="H56" s="637"/>
      <c r="I56" s="637"/>
      <c r="J56" s="630"/>
      <c r="K56" s="631"/>
      <c r="L56" s="537"/>
      <c r="M56" s="495"/>
      <c r="N56" s="495"/>
      <c r="O56" s="495"/>
      <c r="P56" s="495"/>
      <c r="Q56" s="495"/>
      <c r="R56" s="495"/>
      <c r="S56" s="495"/>
      <c r="T56" s="495"/>
      <c r="U56" s="495"/>
      <c r="V56" s="495"/>
      <c r="W56" s="495"/>
      <c r="X56" s="495"/>
      <c r="Y56" s="495"/>
      <c r="Z56" s="495"/>
      <c r="AA56" s="495"/>
      <c r="AB56" s="495"/>
      <c r="AC56" s="495"/>
      <c r="AD56" s="495"/>
      <c r="AE56" s="495"/>
      <c r="AF56" s="495"/>
      <c r="AG56" s="495"/>
      <c r="AH56" s="495"/>
      <c r="AI56" s="495"/>
      <c r="AJ56" s="495"/>
      <c r="AK56" s="495"/>
      <c r="AL56" s="495"/>
      <c r="AM56" s="495"/>
      <c r="AN56" s="495"/>
      <c r="AO56" s="495"/>
      <c r="AP56" s="495"/>
      <c r="AQ56" s="491"/>
      <c r="AR56" s="495"/>
      <c r="AS56" s="491"/>
      <c r="AT56" s="495"/>
      <c r="AU56" s="491"/>
      <c r="AV56" s="491"/>
      <c r="AW56" s="491"/>
      <c r="AX56" s="491"/>
      <c r="AY56" s="491"/>
      <c r="AZ56" s="491"/>
      <c r="BA56" s="491"/>
      <c r="BB56" s="491"/>
      <c r="BC56" s="495"/>
      <c r="BD56" s="491"/>
      <c r="BE56" s="491"/>
      <c r="BF56" s="491"/>
      <c r="BG56" s="491"/>
      <c r="BH56" s="491"/>
      <c r="BI56" s="491"/>
      <c r="BJ56" s="491"/>
      <c r="BK56" s="491"/>
      <c r="BL56" s="491"/>
      <c r="BM56" s="491"/>
      <c r="BN56" s="491"/>
      <c r="BO56" s="491"/>
      <c r="BP56" s="491"/>
      <c r="BQ56" s="491"/>
      <c r="BR56" s="491"/>
      <c r="BS56" s="491"/>
      <c r="BT56" s="491"/>
      <c r="BU56" s="491"/>
      <c r="BV56" s="491"/>
      <c r="BW56" s="491"/>
      <c r="BX56" s="491"/>
      <c r="BY56" s="491"/>
      <c r="BZ56" s="491"/>
      <c r="CE56" s="491"/>
    </row>
    <row r="57" spans="1:83" ht="12.75">
      <c r="A57" s="491"/>
      <c r="B57" s="555" t="s">
        <v>130</v>
      </c>
      <c r="C57" s="638">
        <f>1/12</f>
        <v>8.3333333333333329E-2</v>
      </c>
      <c r="D57" s="639">
        <f>_xll.ciqfunctions.udf.CIQSP(B57, "IQ_LASTSALEPRICE",$B$1)/100</f>
        <v>1.77E-2</v>
      </c>
      <c r="E57" s="640" t="str">
        <f>IF((_xll.ciqfunctions.udf.CIQ(B57, "IQ_COMPANY_NAME"))="(Invalid Identifier)","",(_xll.ciqfunctions.udf.CIQ(B57, "IQ_COMPANY_NAME")))</f>
        <v>United States Treasury Constant Maturity - 1 Month</v>
      </c>
      <c r="F57" s="641"/>
      <c r="G57" s="641"/>
      <c r="H57" s="641"/>
      <c r="I57" s="641"/>
      <c r="J57" s="560"/>
      <c r="K57" s="561"/>
      <c r="M57" s="495"/>
      <c r="N57" s="495"/>
      <c r="O57" s="495"/>
      <c r="P57" s="495"/>
      <c r="Q57" s="495"/>
      <c r="R57" s="495"/>
      <c r="S57" s="495"/>
      <c r="T57" s="495"/>
      <c r="U57" s="495"/>
      <c r="V57" s="495"/>
      <c r="W57" s="495"/>
      <c r="X57" s="495"/>
      <c r="Y57" s="495"/>
      <c r="Z57" s="495"/>
      <c r="AA57" s="495"/>
      <c r="AB57" s="495"/>
      <c r="AC57" s="495"/>
      <c r="AD57" s="495"/>
      <c r="AE57" s="495"/>
      <c r="AF57" s="495"/>
      <c r="AG57" s="495"/>
      <c r="AH57" s="495"/>
      <c r="AI57" s="495"/>
      <c r="AJ57" s="495"/>
      <c r="AK57" s="495"/>
      <c r="AL57" s="495"/>
      <c r="AM57" s="495"/>
      <c r="AN57" s="495"/>
      <c r="AO57" s="495"/>
      <c r="AP57" s="495"/>
      <c r="AQ57" s="491"/>
      <c r="AR57" s="495"/>
      <c r="AS57" s="491"/>
      <c r="AT57" s="495"/>
      <c r="AU57" s="491"/>
      <c r="AV57" s="491"/>
      <c r="AW57" s="491"/>
      <c r="AX57" s="491"/>
      <c r="AY57" s="491"/>
      <c r="AZ57" s="491"/>
      <c r="BA57" s="491"/>
      <c r="BB57" s="491"/>
      <c r="BC57" s="495"/>
      <c r="BD57" s="491"/>
      <c r="BE57" s="491"/>
      <c r="BF57" s="491"/>
      <c r="BG57" s="491"/>
      <c r="BH57" s="491"/>
      <c r="BI57" s="491"/>
      <c r="BJ57" s="491"/>
      <c r="BK57" s="491"/>
      <c r="BL57" s="491"/>
      <c r="BM57" s="491"/>
      <c r="BN57" s="491"/>
      <c r="BO57" s="491"/>
      <c r="BP57" s="491"/>
      <c r="BQ57" s="491"/>
      <c r="BR57" s="491"/>
      <c r="BS57" s="491"/>
      <c r="BT57" s="491"/>
      <c r="BU57" s="491"/>
      <c r="BV57" s="491"/>
      <c r="BW57" s="491"/>
      <c r="BX57" s="491"/>
      <c r="BY57" s="491"/>
      <c r="BZ57" s="491"/>
      <c r="CE57" s="491"/>
    </row>
    <row r="58" spans="1:83" ht="12.75">
      <c r="A58" s="491"/>
      <c r="B58" s="642" t="s">
        <v>131</v>
      </c>
      <c r="C58" s="643">
        <f>3/12</f>
        <v>0.25</v>
      </c>
      <c r="D58" s="521">
        <f>_xll.ciqfunctions.udf.CIQSP(B58, "IQ_LASTSALEPRICE",$B$1)/100</f>
        <v>1.9299999999999998E-2</v>
      </c>
      <c r="E58" s="640" t="str">
        <f>IF((_xll.ciqfunctions.udf.CIQ(B58, "IQ_COMPANY_NAME"))="(Invalid Identifier)","",(_xll.ciqfunctions.udf.CIQ(B58, "IQ_COMPANY_NAME")))</f>
        <v>United States Treasury Constant Maturity - 3 Month</v>
      </c>
      <c r="F58" s="641"/>
      <c r="G58" s="641"/>
      <c r="H58" s="641"/>
      <c r="I58" s="641"/>
      <c r="J58" s="560"/>
      <c r="K58" s="561"/>
      <c r="M58" s="495"/>
      <c r="N58" s="495"/>
      <c r="O58" s="495"/>
      <c r="P58" s="495"/>
      <c r="Q58" s="495"/>
      <c r="R58" s="495"/>
      <c r="S58" s="495"/>
      <c r="T58" s="495"/>
      <c r="U58" s="495"/>
      <c r="V58" s="495"/>
      <c r="W58" s="495"/>
      <c r="X58" s="495"/>
      <c r="Y58" s="495"/>
      <c r="Z58" s="495"/>
      <c r="AA58" s="495"/>
      <c r="AB58" s="495"/>
      <c r="AC58" s="495"/>
      <c r="AD58" s="495"/>
      <c r="AE58" s="495"/>
      <c r="AF58" s="495"/>
      <c r="AG58" s="495"/>
      <c r="AH58" s="495"/>
      <c r="AI58" s="495"/>
      <c r="AJ58" s="495"/>
      <c r="AK58" s="495"/>
      <c r="AL58" s="495"/>
      <c r="AM58" s="495"/>
      <c r="AN58" s="495"/>
      <c r="AO58" s="495"/>
      <c r="AP58" s="495"/>
      <c r="AQ58" s="491"/>
      <c r="AR58" s="495"/>
      <c r="AS58" s="491"/>
      <c r="AT58" s="495"/>
      <c r="AU58" s="491"/>
      <c r="AV58" s="491"/>
      <c r="AW58" s="491"/>
      <c r="AX58" s="491"/>
      <c r="AY58" s="491"/>
      <c r="AZ58" s="491"/>
      <c r="BA58" s="491"/>
      <c r="BB58" s="491"/>
      <c r="BC58" s="495"/>
      <c r="BD58" s="491"/>
      <c r="BE58" s="491"/>
      <c r="BF58" s="491"/>
      <c r="BG58" s="491"/>
      <c r="BH58" s="491"/>
      <c r="BI58" s="491"/>
      <c r="BJ58" s="491"/>
      <c r="BK58" s="491"/>
      <c r="BL58" s="491"/>
      <c r="BM58" s="491"/>
      <c r="BN58" s="491"/>
      <c r="BO58" s="491"/>
      <c r="BP58" s="491"/>
      <c r="BQ58" s="491"/>
      <c r="BR58" s="491"/>
      <c r="BS58" s="491"/>
      <c r="BT58" s="491"/>
      <c r="BU58" s="491"/>
      <c r="BV58" s="491"/>
      <c r="BW58" s="491"/>
      <c r="BX58" s="491"/>
      <c r="BY58" s="491"/>
      <c r="BZ58" s="491"/>
      <c r="CE58" s="491"/>
    </row>
    <row r="59" spans="1:83" ht="12.75">
      <c r="A59" s="491"/>
      <c r="B59" s="642" t="s">
        <v>132</v>
      </c>
      <c r="C59" s="643">
        <f>6/12</f>
        <v>0.5</v>
      </c>
      <c r="D59" s="521">
        <f>_xll.ciqfunctions.udf.CIQSP(B59, "IQ_LASTSALEPRICE",$B$1)/100</f>
        <v>2.1099999999999997E-2</v>
      </c>
      <c r="E59" s="640" t="str">
        <f>IF((_xll.ciqfunctions.udf.CIQ(B59, "IQ_COMPANY_NAME"))="(Invalid Identifier)","",(_xll.ciqfunctions.udf.CIQ(B59, "IQ_COMPANY_NAME")))</f>
        <v>United States Treasury Constant Maturity - 6 Month</v>
      </c>
      <c r="F59" s="641"/>
      <c r="G59" s="641"/>
      <c r="H59" s="641"/>
      <c r="I59" s="641"/>
      <c r="J59" s="560"/>
      <c r="K59" s="561"/>
      <c r="M59" s="495"/>
      <c r="N59" s="495"/>
      <c r="O59" s="495"/>
      <c r="P59" s="495"/>
      <c r="Q59" s="495"/>
      <c r="R59" s="495"/>
      <c r="S59" s="495"/>
      <c r="T59" s="495"/>
      <c r="U59" s="495"/>
      <c r="V59" s="495"/>
      <c r="W59" s="495"/>
      <c r="X59" s="495"/>
      <c r="Y59" s="495"/>
      <c r="Z59" s="495"/>
      <c r="AA59" s="495"/>
      <c r="AB59" s="495"/>
      <c r="AC59" s="495"/>
      <c r="AD59" s="495"/>
      <c r="AE59" s="495"/>
      <c r="AF59" s="495"/>
      <c r="AG59" s="495"/>
      <c r="AH59" s="495"/>
      <c r="AI59" s="495"/>
      <c r="AJ59" s="495"/>
      <c r="AK59" s="495"/>
      <c r="AL59" s="495"/>
      <c r="AM59" s="495"/>
      <c r="AN59" s="495"/>
      <c r="AO59" s="495"/>
      <c r="AP59" s="495"/>
      <c r="AQ59" s="491"/>
      <c r="AR59" s="495"/>
      <c r="AS59" s="491"/>
      <c r="AT59" s="495"/>
      <c r="AU59" s="491"/>
      <c r="AV59" s="491"/>
      <c r="AW59" s="491"/>
      <c r="AX59" s="491"/>
      <c r="AY59" s="491"/>
      <c r="AZ59" s="491"/>
      <c r="BA59" s="491"/>
      <c r="BB59" s="491"/>
      <c r="BC59" s="495"/>
      <c r="BD59" s="491"/>
      <c r="BE59" s="491"/>
      <c r="BF59" s="491"/>
      <c r="BG59" s="491"/>
      <c r="BH59" s="491"/>
      <c r="BI59" s="491"/>
      <c r="BJ59" s="491"/>
      <c r="BK59" s="491"/>
      <c r="BL59" s="491"/>
      <c r="BM59" s="491"/>
      <c r="BN59" s="491"/>
      <c r="BO59" s="491"/>
      <c r="BP59" s="491"/>
      <c r="BQ59" s="491"/>
      <c r="BR59" s="491"/>
      <c r="BS59" s="491"/>
      <c r="BT59" s="491"/>
      <c r="BU59" s="491"/>
      <c r="BV59" s="491"/>
      <c r="BW59" s="491"/>
      <c r="BX59" s="491"/>
      <c r="BY59" s="491"/>
      <c r="BZ59" s="491"/>
      <c r="CE59" s="491"/>
    </row>
    <row r="60" spans="1:83" ht="12.75">
      <c r="A60" s="491"/>
      <c r="B60" s="642" t="s">
        <v>133</v>
      </c>
      <c r="C60" s="643">
        <v>1</v>
      </c>
      <c r="D60" s="521">
        <f>_xll.ciqfunctions.udf.CIQSP(B60, "IQ_LASTSALEPRICE",$B$1)/100</f>
        <v>2.3300000000000001E-2</v>
      </c>
      <c r="E60" s="640" t="str">
        <f>IF((_xll.ciqfunctions.udf.CIQ(B60, "IQ_COMPANY_NAME"))="(Invalid Identifier)","",(_xll.ciqfunctions.udf.CIQ(B60, "IQ_COMPANY_NAME")))</f>
        <v>United States Treasury Constant Maturity - 1 Year</v>
      </c>
      <c r="F60" s="641"/>
      <c r="G60" s="641"/>
      <c r="H60" s="641"/>
      <c r="I60" s="641"/>
      <c r="J60" s="560"/>
      <c r="K60" s="561"/>
      <c r="M60" s="495"/>
      <c r="N60" s="495"/>
      <c r="O60" s="495"/>
      <c r="P60" s="495"/>
      <c r="Q60" s="495"/>
      <c r="R60" s="495"/>
      <c r="S60" s="495"/>
      <c r="T60" s="495"/>
      <c r="U60" s="495"/>
      <c r="V60" s="495"/>
      <c r="W60" s="495"/>
      <c r="X60" s="495"/>
      <c r="Y60" s="495"/>
      <c r="Z60" s="495"/>
      <c r="AA60" s="495"/>
      <c r="AB60" s="495"/>
      <c r="AC60" s="495"/>
      <c r="AD60" s="495"/>
      <c r="AE60" s="495"/>
      <c r="AF60" s="495"/>
      <c r="AG60" s="495"/>
      <c r="AH60" s="495"/>
      <c r="AI60" s="495"/>
      <c r="AJ60" s="495"/>
      <c r="AK60" s="495"/>
      <c r="AL60" s="495"/>
      <c r="AM60" s="495"/>
      <c r="AN60" s="495"/>
      <c r="AO60" s="495"/>
      <c r="AP60" s="495"/>
      <c r="AQ60" s="491"/>
      <c r="AR60" s="495"/>
      <c r="AS60" s="491"/>
      <c r="AT60" s="495"/>
      <c r="AU60" s="491"/>
      <c r="AV60" s="491"/>
      <c r="AW60" s="491"/>
      <c r="AX60" s="491"/>
      <c r="AY60" s="491"/>
      <c r="AZ60" s="491"/>
      <c r="BA60" s="491"/>
      <c r="BB60" s="491"/>
      <c r="BC60" s="495"/>
      <c r="BD60" s="491"/>
      <c r="BE60" s="491"/>
      <c r="BF60" s="491"/>
      <c r="BG60" s="491"/>
      <c r="BH60" s="491"/>
      <c r="BI60" s="491"/>
      <c r="BJ60" s="491"/>
      <c r="BK60" s="491"/>
      <c r="BL60" s="491"/>
      <c r="BM60" s="491"/>
      <c r="BN60" s="491"/>
      <c r="BO60" s="491"/>
      <c r="BP60" s="491"/>
      <c r="BQ60" s="491"/>
      <c r="BR60" s="491"/>
      <c r="BS60" s="491"/>
      <c r="BT60" s="491"/>
      <c r="BU60" s="491"/>
      <c r="BV60" s="491"/>
      <c r="BW60" s="491"/>
      <c r="BX60" s="491"/>
      <c r="BY60" s="491"/>
      <c r="BZ60" s="491"/>
      <c r="CE60" s="491"/>
    </row>
    <row r="61" spans="1:83" ht="12.75">
      <c r="A61" s="491"/>
      <c r="B61" s="642" t="s">
        <v>134</v>
      </c>
      <c r="C61" s="643">
        <v>2</v>
      </c>
      <c r="D61" s="521">
        <f>_xll.ciqfunctions.udf.CIQSP(B61, "IQ_LASTSALEPRICE",$B$1)/100</f>
        <v>2.52E-2</v>
      </c>
      <c r="E61" s="640" t="str">
        <f>IF((_xll.ciqfunctions.udf.CIQ(B61, "IQ_COMPANY_NAME"))="(Invalid Identifier)","",(_xll.ciqfunctions.udf.CIQ(B61, "IQ_COMPANY_NAME")))</f>
        <v>United States Treasury Constant Maturity - 2 Year</v>
      </c>
      <c r="F61" s="641"/>
      <c r="G61" s="641"/>
      <c r="H61" s="641"/>
      <c r="I61" s="641"/>
      <c r="J61" s="560"/>
      <c r="K61" s="561"/>
      <c r="M61" s="495"/>
      <c r="N61" s="495"/>
      <c r="O61" s="495"/>
      <c r="P61" s="495"/>
      <c r="Q61" s="495"/>
      <c r="R61" s="495"/>
      <c r="S61" s="495"/>
      <c r="T61" s="495"/>
      <c r="U61" s="495"/>
      <c r="V61" s="495"/>
      <c r="W61" s="495"/>
      <c r="X61" s="495"/>
      <c r="Y61" s="495"/>
      <c r="Z61" s="495"/>
      <c r="AA61" s="495"/>
      <c r="AB61" s="495"/>
      <c r="AC61" s="495"/>
      <c r="AD61" s="495"/>
      <c r="AE61" s="495"/>
      <c r="AF61" s="495"/>
      <c r="AG61" s="495"/>
      <c r="AH61" s="495"/>
      <c r="AI61" s="495"/>
      <c r="AJ61" s="495"/>
      <c r="AK61" s="495"/>
      <c r="AL61" s="495"/>
      <c r="AM61" s="495"/>
      <c r="AN61" s="495"/>
      <c r="AO61" s="495"/>
      <c r="AP61" s="495"/>
      <c r="AQ61" s="491"/>
      <c r="AR61" s="495"/>
      <c r="AS61" s="491"/>
      <c r="AT61" s="495"/>
      <c r="AU61" s="491"/>
      <c r="AV61" s="491"/>
      <c r="AW61" s="491"/>
      <c r="AX61" s="491"/>
      <c r="AY61" s="491"/>
      <c r="AZ61" s="491"/>
      <c r="BA61" s="491"/>
      <c r="BB61" s="491"/>
      <c r="BC61" s="495"/>
      <c r="BD61" s="491"/>
      <c r="BE61" s="491"/>
      <c r="BF61" s="491"/>
      <c r="BG61" s="491"/>
      <c r="BH61" s="491"/>
      <c r="BI61" s="491"/>
      <c r="BJ61" s="491"/>
      <c r="BK61" s="491"/>
      <c r="BL61" s="491"/>
      <c r="BM61" s="491"/>
      <c r="BN61" s="491"/>
      <c r="BO61" s="491"/>
      <c r="BP61" s="491"/>
      <c r="BQ61" s="491"/>
      <c r="BR61" s="491"/>
      <c r="BS61" s="491"/>
      <c r="BT61" s="491"/>
      <c r="BU61" s="491"/>
      <c r="BV61" s="491"/>
      <c r="BW61" s="491"/>
      <c r="BX61" s="491"/>
      <c r="BY61" s="491"/>
      <c r="BZ61" s="491"/>
      <c r="CE61" s="491"/>
    </row>
    <row r="62" spans="1:83" ht="12.75">
      <c r="A62" s="491"/>
      <c r="B62" s="642" t="s">
        <v>135</v>
      </c>
      <c r="C62" s="643">
        <v>3</v>
      </c>
      <c r="D62" s="521">
        <f>_xll.ciqfunctions.udf.CIQSP(B62, "IQ_LASTSALEPRICE",$B$1)/100</f>
        <v>2.63E-2</v>
      </c>
      <c r="E62" s="640" t="str">
        <f>IF((_xll.ciqfunctions.udf.CIQ(B62, "IQ_COMPANY_NAME"))="(Invalid Identifier)","",(_xll.ciqfunctions.udf.CIQ(B62, "IQ_COMPANY_NAME")))</f>
        <v>United States Treasury Constant Maturity - 3 Year</v>
      </c>
      <c r="F62" s="641"/>
      <c r="G62" s="641"/>
      <c r="H62" s="641"/>
      <c r="I62" s="641"/>
      <c r="J62" s="560"/>
      <c r="K62" s="561"/>
      <c r="M62" s="495"/>
      <c r="N62" s="495"/>
      <c r="O62" s="495"/>
      <c r="P62" s="495"/>
      <c r="Q62" s="495"/>
      <c r="R62" s="495"/>
      <c r="S62" s="495"/>
      <c r="T62" s="495"/>
      <c r="U62" s="495"/>
      <c r="V62" s="495"/>
      <c r="W62" s="495"/>
      <c r="X62" s="495"/>
      <c r="Y62" s="495"/>
      <c r="Z62" s="495"/>
      <c r="AA62" s="495"/>
      <c r="AB62" s="495"/>
      <c r="AC62" s="495"/>
      <c r="AD62" s="495"/>
      <c r="AE62" s="495"/>
      <c r="AF62" s="495"/>
      <c r="AG62" s="495"/>
      <c r="AH62" s="495"/>
      <c r="AI62" s="495"/>
      <c r="AJ62" s="495"/>
      <c r="AK62" s="495"/>
      <c r="AL62" s="495"/>
      <c r="AM62" s="495"/>
      <c r="AN62" s="495"/>
      <c r="AO62" s="495"/>
      <c r="AP62" s="495"/>
      <c r="AQ62" s="491"/>
      <c r="AR62" s="495"/>
      <c r="AS62" s="491"/>
      <c r="AT62" s="495"/>
      <c r="AU62" s="491"/>
      <c r="AV62" s="491"/>
      <c r="AW62" s="491"/>
      <c r="AX62" s="491"/>
      <c r="AY62" s="491"/>
      <c r="AZ62" s="491"/>
      <c r="BA62" s="491"/>
      <c r="BB62" s="491"/>
      <c r="BC62" s="495"/>
      <c r="BD62" s="491"/>
      <c r="BE62" s="491"/>
      <c r="BF62" s="491"/>
      <c r="BG62" s="491"/>
      <c r="BH62" s="491"/>
      <c r="BI62" s="491"/>
      <c r="BJ62" s="491"/>
      <c r="BK62" s="491"/>
      <c r="BL62" s="491"/>
      <c r="BM62" s="491"/>
      <c r="BN62" s="491"/>
      <c r="BO62" s="491"/>
      <c r="BP62" s="491"/>
      <c r="BQ62" s="491"/>
      <c r="BR62" s="491"/>
      <c r="BS62" s="491"/>
      <c r="BT62" s="491"/>
      <c r="BU62" s="491"/>
      <c r="BV62" s="491"/>
      <c r="BW62" s="491"/>
      <c r="BX62" s="491"/>
      <c r="BY62" s="491"/>
      <c r="BZ62" s="491"/>
      <c r="CE62" s="491"/>
    </row>
    <row r="63" spans="1:83" ht="12.75">
      <c r="A63" s="491"/>
      <c r="B63" s="642" t="s">
        <v>136</v>
      </c>
      <c r="C63" s="643">
        <v>5</v>
      </c>
      <c r="D63" s="521">
        <f>_xll.ciqfunctions.udf.CIQSP(B63, "IQ_LASTSALEPRICE",$B$1)/100</f>
        <v>2.7300000000000001E-2</v>
      </c>
      <c r="E63" s="640" t="str">
        <f>IF((_xll.ciqfunctions.udf.CIQ(B63, "IQ_COMPANY_NAME"))="(Invalid Identifier)","",(_xll.ciqfunctions.udf.CIQ(B63, "IQ_COMPANY_NAME")))</f>
        <v>United States Treasury Constant Maturity - 5 Year</v>
      </c>
      <c r="F63" s="641"/>
      <c r="G63" s="641"/>
      <c r="H63" s="641"/>
      <c r="I63" s="641"/>
      <c r="J63" s="560"/>
      <c r="K63" s="561"/>
      <c r="M63" s="495"/>
      <c r="N63" s="495"/>
      <c r="O63" s="495"/>
      <c r="P63" s="495"/>
      <c r="Q63" s="495"/>
      <c r="R63" s="495"/>
      <c r="S63" s="495"/>
      <c r="T63" s="495"/>
      <c r="U63" s="495"/>
      <c r="V63" s="495"/>
      <c r="W63" s="495"/>
      <c r="X63" s="495"/>
      <c r="Y63" s="495"/>
      <c r="Z63" s="495"/>
      <c r="AA63" s="495"/>
      <c r="AB63" s="495"/>
      <c r="AC63" s="495"/>
      <c r="AD63" s="495"/>
      <c r="AE63" s="495"/>
      <c r="AF63" s="495"/>
      <c r="AG63" s="495"/>
      <c r="AH63" s="495"/>
      <c r="AI63" s="495"/>
      <c r="AJ63" s="495"/>
      <c r="AK63" s="495"/>
      <c r="AL63" s="495"/>
      <c r="AM63" s="495"/>
      <c r="AN63" s="495"/>
      <c r="AO63" s="495"/>
      <c r="AP63" s="495"/>
      <c r="AQ63" s="491"/>
      <c r="AR63" s="495"/>
      <c r="AS63" s="491"/>
      <c r="AT63" s="495"/>
      <c r="AU63" s="491"/>
      <c r="AV63" s="491"/>
      <c r="AW63" s="491"/>
      <c r="AX63" s="491"/>
      <c r="AY63" s="491"/>
      <c r="AZ63" s="491"/>
      <c r="BA63" s="491"/>
      <c r="BB63" s="491"/>
      <c r="BC63" s="495"/>
      <c r="BD63" s="491"/>
      <c r="BE63" s="491"/>
      <c r="BF63" s="491"/>
      <c r="BG63" s="491"/>
      <c r="BH63" s="491"/>
      <c r="BI63" s="491"/>
      <c r="BJ63" s="491"/>
      <c r="BK63" s="491"/>
      <c r="BL63" s="491"/>
      <c r="BM63" s="491"/>
      <c r="BN63" s="491"/>
      <c r="BO63" s="491"/>
      <c r="BP63" s="491"/>
      <c r="BQ63" s="491"/>
      <c r="BR63" s="491"/>
      <c r="BS63" s="491"/>
      <c r="BT63" s="491"/>
      <c r="BU63" s="491"/>
      <c r="BV63" s="491"/>
      <c r="BW63" s="491"/>
      <c r="BX63" s="491"/>
      <c r="BY63" s="491"/>
      <c r="BZ63" s="491"/>
      <c r="CE63" s="491"/>
    </row>
    <row r="64" spans="1:83" ht="12.75">
      <c r="A64" s="491"/>
      <c r="B64" s="642" t="s">
        <v>137</v>
      </c>
      <c r="C64" s="643">
        <v>7</v>
      </c>
      <c r="D64" s="521">
        <f>_xll.ciqfunctions.udf.CIQSP(B64, "IQ_LASTSALEPRICE",$B$1)/100</f>
        <v>2.81E-2</v>
      </c>
      <c r="E64" s="640" t="str">
        <f>IF((_xll.ciqfunctions.udf.CIQ(B64, "IQ_COMPANY_NAME"))="(Invalid Identifier)","",(_xll.ciqfunctions.udf.CIQ(B64, "IQ_COMPANY_NAME")))</f>
        <v>United States Treasury Constant Maturity - 7 Year</v>
      </c>
      <c r="F64" s="641"/>
      <c r="G64" s="641"/>
      <c r="H64" s="641"/>
      <c r="I64" s="641"/>
      <c r="J64" s="560"/>
      <c r="K64" s="561"/>
      <c r="M64" s="495"/>
      <c r="N64" s="495"/>
      <c r="O64" s="495"/>
      <c r="P64" s="495"/>
      <c r="Q64" s="495"/>
      <c r="R64" s="495"/>
      <c r="S64" s="495"/>
      <c r="T64" s="495"/>
      <c r="U64" s="495"/>
      <c r="V64" s="495"/>
      <c r="W64" s="495"/>
      <c r="X64" s="495"/>
      <c r="Y64" s="495"/>
      <c r="Z64" s="495"/>
      <c r="AA64" s="495"/>
      <c r="AB64" s="495"/>
      <c r="AC64" s="495"/>
      <c r="AD64" s="495"/>
      <c r="AE64" s="495"/>
      <c r="AF64" s="495"/>
      <c r="AG64" s="495"/>
      <c r="AH64" s="495"/>
      <c r="AI64" s="495"/>
      <c r="AJ64" s="495"/>
      <c r="AK64" s="495"/>
      <c r="AL64" s="495"/>
      <c r="AM64" s="495"/>
      <c r="AN64" s="495"/>
      <c r="AO64" s="495"/>
      <c r="AP64" s="495"/>
      <c r="AQ64" s="491"/>
      <c r="AR64" s="495"/>
      <c r="AS64" s="491"/>
      <c r="AT64" s="495"/>
      <c r="AU64" s="491"/>
      <c r="AV64" s="491"/>
      <c r="AW64" s="491"/>
      <c r="AX64" s="491"/>
      <c r="AY64" s="491"/>
      <c r="AZ64" s="491"/>
      <c r="BA64" s="491"/>
      <c r="BB64" s="491"/>
      <c r="BC64" s="495"/>
      <c r="BD64" s="491"/>
      <c r="BE64" s="491"/>
      <c r="BF64" s="491"/>
      <c r="BG64" s="491"/>
      <c r="BH64" s="491"/>
      <c r="BI64" s="491"/>
      <c r="BJ64" s="491"/>
      <c r="BK64" s="491"/>
      <c r="BL64" s="491"/>
      <c r="BM64" s="491"/>
      <c r="BN64" s="491"/>
      <c r="BO64" s="491"/>
      <c r="BP64" s="491"/>
      <c r="BQ64" s="491"/>
      <c r="BR64" s="491"/>
      <c r="BS64" s="491"/>
      <c r="BT64" s="491"/>
      <c r="BU64" s="491"/>
      <c r="BV64" s="491"/>
      <c r="BW64" s="491"/>
      <c r="BX64" s="491"/>
      <c r="BY64" s="491"/>
      <c r="BZ64" s="491"/>
      <c r="CE64" s="491"/>
    </row>
    <row r="65" spans="1:83" ht="12.75">
      <c r="A65" s="491"/>
      <c r="B65" s="642" t="s">
        <v>138</v>
      </c>
      <c r="C65" s="643">
        <v>10</v>
      </c>
      <c r="D65" s="521">
        <f>_xll.ciqfunctions.udf.CIQSP(B65, "IQ_LASTSALEPRICE",$B$1)/100</f>
        <v>2.8500000000000001E-2</v>
      </c>
      <c r="E65" s="640" t="str">
        <f>IF((_xll.ciqfunctions.udf.CIQ(B65, "IQ_COMPANY_NAME"))="(Invalid Identifier)","",(_xll.ciqfunctions.udf.CIQ(B65, "IQ_COMPANY_NAME")))</f>
        <v>United States Treasury Constant Maturity - 10 Year</v>
      </c>
      <c r="F65" s="641"/>
      <c r="G65" s="641"/>
      <c r="H65" s="641"/>
      <c r="I65" s="641"/>
      <c r="J65" s="560"/>
      <c r="K65" s="561"/>
      <c r="M65" s="495"/>
      <c r="N65" s="495"/>
      <c r="O65" s="495"/>
      <c r="P65" s="495"/>
      <c r="Q65" s="495"/>
      <c r="R65" s="495"/>
      <c r="S65" s="495"/>
      <c r="T65" s="495"/>
      <c r="U65" s="495"/>
      <c r="V65" s="495"/>
      <c r="W65" s="495"/>
      <c r="X65" s="495"/>
      <c r="Y65" s="495"/>
      <c r="Z65" s="495"/>
      <c r="AA65" s="495"/>
      <c r="AB65" s="495"/>
      <c r="AC65" s="495"/>
      <c r="AD65" s="495"/>
      <c r="AE65" s="495"/>
      <c r="AF65" s="495"/>
      <c r="AG65" s="495"/>
      <c r="AH65" s="495"/>
      <c r="AI65" s="495"/>
      <c r="AJ65" s="495"/>
      <c r="AK65" s="495"/>
      <c r="AL65" s="495"/>
      <c r="AM65" s="495"/>
      <c r="AN65" s="495"/>
      <c r="AO65" s="495"/>
      <c r="AP65" s="495"/>
      <c r="AQ65" s="491"/>
      <c r="AR65" s="495"/>
      <c r="AS65" s="491"/>
      <c r="AT65" s="495"/>
      <c r="AU65" s="491"/>
      <c r="AV65" s="491"/>
      <c r="AW65" s="491"/>
      <c r="AX65" s="491"/>
      <c r="AY65" s="491"/>
      <c r="AZ65" s="491"/>
      <c r="BA65" s="491"/>
      <c r="BB65" s="491"/>
      <c r="BC65" s="495"/>
      <c r="BD65" s="491"/>
      <c r="BE65" s="491"/>
      <c r="BF65" s="491"/>
      <c r="BG65" s="491"/>
      <c r="BH65" s="491"/>
      <c r="BI65" s="491"/>
      <c r="BJ65" s="491"/>
      <c r="BK65" s="491"/>
      <c r="BL65" s="491"/>
      <c r="BM65" s="491"/>
      <c r="BN65" s="491"/>
      <c r="BO65" s="491"/>
      <c r="BP65" s="491"/>
      <c r="BQ65" s="491"/>
      <c r="BR65" s="491"/>
      <c r="BS65" s="491"/>
      <c r="BT65" s="491"/>
      <c r="BU65" s="491"/>
      <c r="BV65" s="491"/>
      <c r="BW65" s="491"/>
      <c r="BX65" s="491"/>
      <c r="BY65" s="491"/>
      <c r="BZ65" s="491"/>
      <c r="CE65" s="491"/>
    </row>
    <row r="66" spans="1:83" ht="12.75">
      <c r="A66" s="491"/>
      <c r="B66" s="642" t="s">
        <v>139</v>
      </c>
      <c r="C66" s="643">
        <v>20</v>
      </c>
      <c r="D66" s="521">
        <f>_xll.ciqfunctions.udf.CIQSP(B66, "IQ_LASTSALEPRICE",$B$1)/100</f>
        <v>2.9100000000000001E-2</v>
      </c>
      <c r="E66" s="640" t="str">
        <f>IF((_xll.ciqfunctions.udf.CIQ(B66, "IQ_COMPANY_NAME"))="(Invalid Identifier)","",(_xll.ciqfunctions.udf.CIQ(B66, "IQ_COMPANY_NAME")))</f>
        <v>United States Treasury Constant Maturity - 20 Year</v>
      </c>
      <c r="F66" s="641"/>
      <c r="G66" s="641"/>
      <c r="H66" s="641"/>
      <c r="I66" s="641"/>
      <c r="J66" s="560"/>
      <c r="K66" s="561"/>
      <c r="M66" s="495"/>
      <c r="N66" s="495"/>
      <c r="O66" s="495"/>
      <c r="P66" s="495"/>
      <c r="Q66" s="495"/>
      <c r="R66" s="495"/>
      <c r="S66" s="495"/>
      <c r="T66" s="495"/>
      <c r="U66" s="495"/>
      <c r="V66" s="495"/>
      <c r="W66" s="495"/>
      <c r="X66" s="495"/>
      <c r="Y66" s="495"/>
      <c r="Z66" s="495"/>
      <c r="AA66" s="495"/>
      <c r="AB66" s="495"/>
      <c r="AC66" s="495"/>
      <c r="AD66" s="495"/>
      <c r="AE66" s="495"/>
      <c r="AF66" s="495"/>
      <c r="AG66" s="495"/>
      <c r="AH66" s="495"/>
      <c r="AI66" s="495"/>
      <c r="AJ66" s="495"/>
      <c r="AK66" s="495"/>
      <c r="AL66" s="495"/>
      <c r="AM66" s="495"/>
      <c r="AN66" s="495"/>
      <c r="AO66" s="495"/>
      <c r="AP66" s="495"/>
      <c r="AQ66" s="491"/>
      <c r="AR66" s="495"/>
      <c r="AS66" s="491"/>
      <c r="AT66" s="495"/>
      <c r="AU66" s="491"/>
      <c r="AV66" s="491"/>
      <c r="AW66" s="491"/>
      <c r="AX66" s="491"/>
      <c r="AY66" s="491"/>
      <c r="AZ66" s="491"/>
      <c r="BA66" s="491"/>
      <c r="BB66" s="491"/>
      <c r="BC66" s="495"/>
      <c r="BD66" s="491"/>
      <c r="BE66" s="491"/>
      <c r="BF66" s="491"/>
      <c r="BG66" s="491"/>
      <c r="BH66" s="491"/>
      <c r="BI66" s="491"/>
      <c r="BJ66" s="491"/>
      <c r="BK66" s="491"/>
      <c r="BL66" s="491"/>
      <c r="BM66" s="491"/>
      <c r="BN66" s="491"/>
      <c r="BO66" s="491"/>
      <c r="BP66" s="491"/>
      <c r="BQ66" s="491"/>
      <c r="BR66" s="491"/>
      <c r="BS66" s="491"/>
      <c r="BT66" s="491"/>
      <c r="BU66" s="491"/>
      <c r="BV66" s="491"/>
      <c r="BW66" s="491"/>
      <c r="BX66" s="491"/>
      <c r="BY66" s="491"/>
      <c r="BZ66" s="491"/>
      <c r="CE66" s="491"/>
    </row>
    <row r="67" spans="1:83" ht="12.75">
      <c r="A67" s="491"/>
      <c r="B67" s="644" t="s">
        <v>140</v>
      </c>
      <c r="C67" s="645">
        <v>30</v>
      </c>
      <c r="D67" s="498">
        <f>_xll.ciqfunctions.udf.CIQSP(B67, "IQ_LASTSALEPRICE",$B$1)/100</f>
        <v>2.98E-2</v>
      </c>
      <c r="E67" s="646" t="str">
        <f>IF((_xll.ciqfunctions.udf.CIQ(B67, "IQ_COMPANY_NAME"))="(Invalid Identifier)","",(_xll.ciqfunctions.udf.CIQ(B67, "IQ_COMPANY_NAME")))</f>
        <v>United States Treasury Constant Maturity - 30 Year</v>
      </c>
      <c r="F67" s="647"/>
      <c r="G67" s="647"/>
      <c r="H67" s="647"/>
      <c r="I67" s="647"/>
      <c r="J67" s="568"/>
      <c r="K67" s="569"/>
      <c r="M67" s="495"/>
      <c r="N67" s="495"/>
      <c r="O67" s="495"/>
      <c r="P67" s="495"/>
      <c r="Q67" s="495"/>
      <c r="R67" s="495"/>
      <c r="S67" s="495"/>
      <c r="T67" s="495"/>
      <c r="U67" s="495"/>
      <c r="V67" s="495"/>
      <c r="W67" s="495"/>
      <c r="X67" s="495"/>
      <c r="Y67" s="495"/>
      <c r="Z67" s="495"/>
      <c r="AA67" s="495"/>
      <c r="AB67" s="495"/>
      <c r="AC67" s="495"/>
      <c r="AD67" s="495"/>
      <c r="AE67" s="495"/>
      <c r="AF67" s="495"/>
      <c r="AG67" s="495"/>
      <c r="AH67" s="495"/>
      <c r="AI67" s="495"/>
      <c r="AJ67" s="495"/>
      <c r="AK67" s="495"/>
      <c r="AL67" s="495"/>
      <c r="AM67" s="495"/>
      <c r="AN67" s="495"/>
      <c r="AO67" s="495"/>
      <c r="AP67" s="495"/>
      <c r="AQ67" s="491"/>
      <c r="AR67" s="495"/>
      <c r="AS67" s="491"/>
      <c r="AT67" s="495"/>
      <c r="AU67" s="491"/>
      <c r="AV67" s="491"/>
      <c r="AW67" s="491"/>
      <c r="AX67" s="491"/>
      <c r="AY67" s="491"/>
      <c r="AZ67" s="491"/>
      <c r="BA67" s="491"/>
      <c r="BB67" s="491"/>
      <c r="BC67" s="495"/>
      <c r="BD67" s="491"/>
      <c r="BE67" s="491"/>
      <c r="BF67" s="491"/>
      <c r="BG67" s="491"/>
      <c r="BH67" s="491"/>
      <c r="BI67" s="491"/>
      <c r="BJ67" s="491"/>
      <c r="BK67" s="491"/>
      <c r="BL67" s="491"/>
      <c r="BM67" s="491"/>
      <c r="BN67" s="491"/>
      <c r="BO67" s="491"/>
      <c r="BP67" s="491"/>
      <c r="BQ67" s="491"/>
      <c r="BR67" s="491"/>
      <c r="BS67" s="491"/>
      <c r="BT67" s="491"/>
      <c r="BU67" s="491"/>
      <c r="BV67" s="491"/>
      <c r="BW67" s="491"/>
      <c r="BX67" s="491"/>
      <c r="BY67" s="491"/>
      <c r="BZ67" s="491"/>
      <c r="CE67" s="491"/>
    </row>
    <row r="70" spans="1:83">
      <c r="A70" s="491"/>
      <c r="B70" s="570" t="s">
        <v>672</v>
      </c>
      <c r="K70" s="495"/>
      <c r="L70" s="495"/>
      <c r="M70" s="495"/>
      <c r="N70" s="495"/>
      <c r="O70" s="495"/>
      <c r="P70" s="495"/>
      <c r="Q70" s="495"/>
      <c r="R70" s="495"/>
      <c r="S70" s="495"/>
      <c r="T70" s="495"/>
      <c r="U70" s="495"/>
      <c r="V70" s="495"/>
      <c r="W70" s="495"/>
      <c r="X70" s="495"/>
      <c r="Y70" s="495"/>
      <c r="Z70" s="495"/>
      <c r="AA70" s="495"/>
      <c r="AB70" s="495"/>
      <c r="AC70" s="495"/>
      <c r="AD70" s="495"/>
      <c r="AE70" s="495"/>
      <c r="AF70" s="495"/>
      <c r="AG70" s="495"/>
      <c r="AH70" s="495"/>
      <c r="AI70" s="495"/>
      <c r="AJ70" s="495"/>
      <c r="AK70" s="495"/>
      <c r="AL70" s="495"/>
      <c r="AM70" s="495"/>
      <c r="AN70" s="495"/>
      <c r="AO70" s="495"/>
      <c r="AP70" s="495"/>
      <c r="AQ70" s="491"/>
      <c r="AR70" s="495"/>
      <c r="AS70" s="491"/>
      <c r="AT70" s="495"/>
      <c r="AU70" s="491"/>
      <c r="AV70" s="491"/>
      <c r="AW70" s="491"/>
      <c r="AX70" s="491"/>
      <c r="AY70" s="491"/>
      <c r="AZ70" s="491"/>
      <c r="BA70" s="491"/>
      <c r="BB70" s="491"/>
      <c r="BC70" s="495"/>
      <c r="BD70" s="491"/>
      <c r="BE70" s="491"/>
      <c r="BF70" s="491"/>
      <c r="BG70" s="491"/>
      <c r="BH70" s="491"/>
      <c r="BI70" s="491"/>
      <c r="BJ70" s="491"/>
      <c r="BK70" s="491"/>
      <c r="BL70" s="491"/>
      <c r="BM70" s="491"/>
      <c r="BN70" s="491"/>
      <c r="BO70" s="491"/>
      <c r="BP70" s="491"/>
      <c r="BQ70" s="491"/>
      <c r="BR70" s="491"/>
      <c r="BS70" s="491"/>
      <c r="BT70" s="491"/>
      <c r="BU70" s="491"/>
      <c r="BV70" s="491"/>
      <c r="BW70" s="491"/>
      <c r="BX70" s="491"/>
      <c r="BY70" s="491"/>
      <c r="BZ70" s="491"/>
      <c r="CE70" s="491"/>
    </row>
    <row r="71" spans="1:83" ht="12.75">
      <c r="A71" s="491"/>
      <c r="B71" s="648" t="s">
        <v>673</v>
      </c>
      <c r="C71" s="572">
        <f>_xll.ciqfunctions.udf.CIQSP(B71, "IQ_LASTSALEPRICE",$B$1)/100</f>
        <v>4.8399999999999999E-2</v>
      </c>
      <c r="D71" s="649" t="s">
        <v>764</v>
      </c>
      <c r="E71" s="650"/>
      <c r="F71" s="650"/>
      <c r="G71" s="650"/>
      <c r="H71" s="650"/>
      <c r="I71" s="650"/>
      <c r="J71" s="651"/>
      <c r="K71" s="495"/>
      <c r="L71" s="495"/>
      <c r="M71" s="495"/>
      <c r="N71" s="495"/>
      <c r="O71" s="495"/>
      <c r="P71" s="495"/>
      <c r="Q71" s="495"/>
      <c r="R71" s="495"/>
      <c r="S71" s="495"/>
      <c r="T71" s="495"/>
      <c r="U71" s="495"/>
      <c r="V71" s="495"/>
      <c r="W71" s="495"/>
      <c r="X71" s="495"/>
      <c r="Y71" s="495"/>
      <c r="Z71" s="495"/>
      <c r="AA71" s="495"/>
      <c r="AB71" s="495"/>
      <c r="AC71" s="495"/>
      <c r="AD71" s="495"/>
      <c r="AE71" s="495"/>
      <c r="AF71" s="495"/>
      <c r="AG71" s="495"/>
      <c r="AH71" s="495"/>
      <c r="AI71" s="495"/>
      <c r="AJ71" s="495"/>
      <c r="AK71" s="495"/>
      <c r="AL71" s="495"/>
      <c r="AM71" s="495"/>
      <c r="AN71" s="495"/>
      <c r="AO71" s="495"/>
      <c r="AP71" s="495"/>
      <c r="AQ71" s="491"/>
      <c r="AR71" s="495"/>
      <c r="AS71" s="491"/>
      <c r="AT71" s="495"/>
      <c r="AU71" s="491"/>
      <c r="AV71" s="491"/>
      <c r="AW71" s="491"/>
      <c r="AX71" s="491"/>
      <c r="AY71" s="491"/>
      <c r="AZ71" s="491"/>
      <c r="BA71" s="491"/>
      <c r="BB71" s="491"/>
      <c r="BC71" s="495"/>
      <c r="BD71" s="491"/>
      <c r="BE71" s="491"/>
      <c r="BF71" s="491"/>
      <c r="BG71" s="491"/>
      <c r="BH71" s="491"/>
      <c r="BI71" s="491"/>
      <c r="BJ71" s="491"/>
      <c r="BK71" s="491"/>
      <c r="BL71" s="491"/>
      <c r="BM71" s="491"/>
      <c r="BN71" s="491"/>
      <c r="BO71" s="491"/>
      <c r="BP71" s="491"/>
      <c r="BQ71" s="491"/>
      <c r="BR71" s="491"/>
      <c r="BS71" s="491"/>
      <c r="BT71" s="491"/>
      <c r="BU71" s="491"/>
      <c r="BV71" s="491"/>
      <c r="BW71" s="491"/>
      <c r="BX71" s="491"/>
      <c r="BY71" s="491"/>
      <c r="BZ71" s="491"/>
      <c r="CE71" s="491"/>
    </row>
    <row r="73" spans="1:83">
      <c r="A73" s="491"/>
      <c r="B73" s="570" t="s">
        <v>674</v>
      </c>
      <c r="K73" s="495"/>
      <c r="L73" s="495"/>
      <c r="M73" s="495"/>
      <c r="N73" s="495"/>
      <c r="O73" s="495"/>
      <c r="P73" s="495"/>
      <c r="Q73" s="495"/>
      <c r="R73" s="495"/>
      <c r="S73" s="495"/>
      <c r="T73" s="495"/>
      <c r="U73" s="495"/>
      <c r="V73" s="495"/>
      <c r="W73" s="495"/>
      <c r="X73" s="495"/>
      <c r="Y73" s="495"/>
      <c r="Z73" s="495"/>
      <c r="AA73" s="495"/>
      <c r="AB73" s="495"/>
      <c r="AC73" s="495"/>
      <c r="AD73" s="495"/>
      <c r="AE73" s="495"/>
      <c r="AF73" s="495"/>
      <c r="AG73" s="495"/>
      <c r="AH73" s="495"/>
      <c r="AI73" s="495"/>
      <c r="AJ73" s="495"/>
      <c r="AK73" s="495"/>
      <c r="AL73" s="495"/>
      <c r="AM73" s="495"/>
      <c r="AN73" s="495"/>
      <c r="AO73" s="495"/>
      <c r="AP73" s="495"/>
      <c r="AQ73" s="491"/>
      <c r="AR73" s="495"/>
      <c r="AS73" s="491"/>
      <c r="AT73" s="495"/>
      <c r="AU73" s="491"/>
      <c r="AV73" s="491"/>
      <c r="AW73" s="491"/>
      <c r="AX73" s="491"/>
      <c r="AY73" s="491"/>
      <c r="AZ73" s="491"/>
      <c r="BA73" s="491"/>
      <c r="BB73" s="491"/>
      <c r="BC73" s="495"/>
      <c r="BD73" s="491"/>
      <c r="BE73" s="491"/>
      <c r="BF73" s="491"/>
      <c r="BG73" s="491"/>
      <c r="BH73" s="491"/>
      <c r="BI73" s="491"/>
      <c r="BJ73" s="491"/>
      <c r="BK73" s="491"/>
      <c r="BL73" s="491"/>
      <c r="BM73" s="491"/>
      <c r="BN73" s="491"/>
      <c r="BO73" s="491"/>
      <c r="BP73" s="491"/>
      <c r="BQ73" s="491"/>
      <c r="BR73" s="491"/>
      <c r="BS73" s="491"/>
      <c r="BT73" s="491"/>
      <c r="BU73" s="491"/>
      <c r="BV73" s="491"/>
      <c r="BW73" s="491"/>
      <c r="BX73" s="491"/>
      <c r="BY73" s="491"/>
      <c r="BZ73" s="491"/>
      <c r="CE73" s="491"/>
    </row>
    <row r="74" spans="1:83" ht="12.75">
      <c r="A74" s="491"/>
      <c r="B74" s="648" t="s">
        <v>675</v>
      </c>
      <c r="C74" s="572">
        <f>IF(ISERROR(_xll.ciqfunctions.udf.CIQ("%USPMRT","IQ_LASTSALEPRICE",B1)/100),"NM",_xll.ciqfunctions.udf.CIQ("%USPMRT","IQ_LASTSALEPRICE",B1)/100)</f>
        <v>0.05</v>
      </c>
      <c r="D74" s="649"/>
      <c r="E74" s="650"/>
      <c r="F74" s="650"/>
      <c r="G74" s="650"/>
      <c r="H74" s="650"/>
      <c r="I74" s="650"/>
      <c r="J74" s="651"/>
      <c r="K74" s="495"/>
      <c r="L74" s="495"/>
      <c r="M74" s="495"/>
      <c r="N74" s="495"/>
      <c r="O74" s="495"/>
      <c r="P74" s="495"/>
      <c r="Q74" s="495"/>
      <c r="R74" s="495"/>
      <c r="S74" s="495"/>
      <c r="T74" s="495"/>
      <c r="U74" s="495"/>
      <c r="V74" s="495"/>
      <c r="W74" s="495"/>
      <c r="X74" s="495"/>
      <c r="Y74" s="495"/>
      <c r="Z74" s="495"/>
      <c r="AA74" s="495"/>
      <c r="AB74" s="495"/>
      <c r="AC74" s="495"/>
      <c r="AD74" s="495"/>
      <c r="AE74" s="495"/>
      <c r="AF74" s="495"/>
      <c r="AG74" s="495"/>
      <c r="AH74" s="495"/>
      <c r="AI74" s="495"/>
      <c r="AJ74" s="495"/>
      <c r="AK74" s="495"/>
      <c r="AL74" s="495"/>
      <c r="AM74" s="495"/>
      <c r="AN74" s="495"/>
      <c r="AO74" s="495"/>
      <c r="AP74" s="495"/>
      <c r="AQ74" s="491"/>
      <c r="AR74" s="495"/>
      <c r="AS74" s="491"/>
      <c r="AT74" s="495"/>
      <c r="AU74" s="491"/>
      <c r="AV74" s="491"/>
      <c r="AW74" s="491"/>
      <c r="AX74" s="491"/>
      <c r="AY74" s="491"/>
      <c r="AZ74" s="491"/>
      <c r="BA74" s="491"/>
      <c r="BB74" s="491"/>
      <c r="BC74" s="495"/>
      <c r="BD74" s="491"/>
      <c r="BE74" s="491"/>
      <c r="BF74" s="491"/>
      <c r="BG74" s="491"/>
      <c r="BH74" s="491"/>
      <c r="BI74" s="491"/>
      <c r="BJ74" s="491"/>
      <c r="BK74" s="491"/>
      <c r="BL74" s="491"/>
      <c r="BM74" s="491"/>
      <c r="BN74" s="491"/>
      <c r="BO74" s="491"/>
      <c r="BP74" s="491"/>
      <c r="BQ74" s="491"/>
      <c r="BR74" s="491"/>
      <c r="BS74" s="491"/>
      <c r="BT74" s="491"/>
      <c r="BU74" s="491"/>
      <c r="BV74" s="491"/>
      <c r="BW74" s="491"/>
      <c r="BX74" s="491"/>
      <c r="BY74" s="491"/>
      <c r="BZ74" s="491"/>
      <c r="CE74" s="491"/>
    </row>
  </sheetData>
  <dataValidations count="1">
    <dataValidation type="list" allowBlank="1" showInputMessage="1" showErrorMessage="1" sqref="CC13:CD42">
      <formula1>#REF!</formula1>
    </dataValidation>
  </dataValidations>
  <pageMargins left="0.7" right="0.7" top="0.75" bottom="0.75" header="0.3" footer="0.3"/>
  <pageSetup scale="81" orientation="portrait" r:id="rId1"/>
  <colBreaks count="2" manualBreakCount="2">
    <brk id="58" max="73" man="1"/>
    <brk id="67" max="73" man="1"/>
  </colBreaks>
  <legacy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B1:AJ57"/>
  <sheetViews>
    <sheetView showGridLines="0" view="pageBreakPreview" topLeftCell="A28" zoomScale="90" zoomScaleNormal="100" zoomScaleSheetLayoutView="90" workbookViewId="0">
      <selection activeCell="A28" sqref="A28"/>
    </sheetView>
  </sheetViews>
  <sheetFormatPr defaultRowHeight="12.75" outlineLevelCol="1"/>
  <cols>
    <col min="1" max="1" width="2.83203125" style="628" customWidth="1"/>
    <col min="2" max="2" width="11.83203125" style="628" customWidth="1"/>
    <col min="3" max="3" width="28.83203125" style="628" customWidth="1"/>
    <col min="4" max="4" width="26.33203125" style="628" customWidth="1"/>
    <col min="5" max="5" width="26.33203125" style="628" hidden="1" customWidth="1" outlineLevel="1"/>
    <col min="6" max="6" width="10.1640625" style="628" bestFit="1" customWidth="1" collapsed="1"/>
    <col min="7" max="7" width="10" style="628" hidden="1" customWidth="1" outlineLevel="1"/>
    <col min="8" max="8" width="2.83203125" style="628" customWidth="1" collapsed="1"/>
    <col min="9" max="11" width="16.33203125" style="628" customWidth="1"/>
    <col min="12" max="12" width="15.6640625" style="628" customWidth="1"/>
    <col min="13" max="13" width="2.83203125" style="628" customWidth="1"/>
    <col min="14" max="16" width="19.1640625" style="628" customWidth="1"/>
    <col min="17" max="17" width="2.83203125" style="628" customWidth="1"/>
    <col min="18" max="20" width="11.33203125" style="628" customWidth="1"/>
    <col min="21" max="22" width="11.33203125" style="628" hidden="1" customWidth="1" outlineLevel="1"/>
    <col min="23" max="23" width="2.83203125" style="628" customWidth="1" collapsed="1"/>
    <col min="24" max="26" width="11.33203125" style="628" hidden="1" customWidth="1" outlineLevel="1"/>
    <col min="27" max="27" width="2.83203125" style="628" hidden="1" customWidth="1" outlineLevel="1"/>
    <col min="28" max="30" width="11.33203125" style="628" hidden="1" customWidth="1" outlineLevel="1"/>
    <col min="31" max="31" width="2.83203125" style="628" hidden="1" customWidth="1" outlineLevel="1"/>
    <col min="32" max="32" width="12.1640625" style="628" customWidth="1" collapsed="1"/>
    <col min="33" max="33" width="11.6640625" style="628" customWidth="1"/>
    <col min="34" max="34" width="2.83203125" style="628" customWidth="1"/>
    <col min="35" max="35" width="24.6640625" style="628" customWidth="1"/>
    <col min="36" max="36" width="51.1640625" style="628" customWidth="1"/>
    <col min="37" max="16384" width="9.33203125" style="628"/>
  </cols>
  <sheetData>
    <row r="1" spans="2:36" s="405" customFormat="1" ht="10.7" customHeight="1" thickBot="1"/>
    <row r="2" spans="2:36" s="405" customFormat="1" ht="16.5" customHeight="1" thickTop="1">
      <c r="B2" s="10" t="s">
        <v>577</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I2" s="579" t="s">
        <v>87</v>
      </c>
      <c r="AJ2" s="658">
        <f>+'Capital IQ Sheet-STM'!AL2</f>
        <v>43281</v>
      </c>
    </row>
    <row r="3" spans="2:36" s="405" customFormat="1" ht="15.75" customHeight="1">
      <c r="B3" s="11" t="s">
        <v>712</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I3" s="362" t="s">
        <v>398</v>
      </c>
      <c r="AJ3" s="308" t="s">
        <v>400</v>
      </c>
    </row>
    <row r="4" spans="2:36" s="405" customFormat="1" ht="16.5" customHeight="1" thickBot="1">
      <c r="B4" s="12" t="s">
        <v>641</v>
      </c>
      <c r="C4" s="12"/>
      <c r="D4" s="12"/>
      <c r="E4" s="12"/>
      <c r="F4" s="12"/>
      <c r="G4" s="12"/>
      <c r="H4" s="12"/>
      <c r="I4" s="12"/>
      <c r="J4" s="12"/>
      <c r="K4" s="12"/>
      <c r="L4" s="12"/>
      <c r="M4" s="12"/>
      <c r="N4" s="13"/>
      <c r="O4" s="13"/>
      <c r="P4" s="13"/>
      <c r="Q4" s="13" t="s">
        <v>88</v>
      </c>
      <c r="R4" s="13"/>
      <c r="S4" s="13"/>
      <c r="T4" s="13"/>
      <c r="U4" s="13"/>
      <c r="V4" s="13"/>
      <c r="W4" s="13"/>
      <c r="X4" s="13"/>
      <c r="Y4" s="13"/>
      <c r="Z4" s="13"/>
      <c r="AA4" s="13"/>
      <c r="AB4" s="13"/>
      <c r="AC4" s="13"/>
      <c r="AD4" s="13"/>
      <c r="AE4" s="13"/>
      <c r="AF4" s="13"/>
      <c r="AG4" s="13"/>
      <c r="AI4" s="362" t="s">
        <v>399</v>
      </c>
      <c r="AJ4" s="308" t="s">
        <v>401</v>
      </c>
    </row>
    <row r="5" spans="2:36" s="16" customFormat="1" ht="12.75" customHeight="1" thickTop="1">
      <c r="B5" s="405"/>
      <c r="C5" s="405"/>
      <c r="D5" s="405"/>
      <c r="E5" s="405"/>
      <c r="F5" s="405"/>
      <c r="G5" s="405"/>
      <c r="H5" s="405"/>
      <c r="I5" s="405"/>
      <c r="J5" s="405"/>
      <c r="K5" s="405"/>
      <c r="L5" s="405"/>
      <c r="M5" s="405"/>
      <c r="N5" s="405"/>
      <c r="O5" s="405"/>
      <c r="P5" s="405"/>
      <c r="Q5" s="405"/>
      <c r="R5" s="405"/>
      <c r="S5" s="405"/>
      <c r="T5" s="405"/>
      <c r="U5" s="405"/>
      <c r="V5" s="405"/>
      <c r="W5" s="405"/>
      <c r="X5" s="405"/>
      <c r="Y5" s="405"/>
      <c r="Z5" s="405"/>
      <c r="AA5" s="405"/>
      <c r="AB5" s="405"/>
      <c r="AC5" s="405"/>
      <c r="AD5" s="405"/>
      <c r="AE5" s="405"/>
      <c r="AF5" s="405"/>
      <c r="AG5" s="405"/>
      <c r="AH5" s="405"/>
      <c r="AI5" s="82" t="s">
        <v>89</v>
      </c>
      <c r="AJ5" s="659" t="s">
        <v>90</v>
      </c>
    </row>
    <row r="6" spans="2:36" s="660" customFormat="1" ht="12.75" customHeight="1">
      <c r="C6" s="628"/>
      <c r="D6" s="661"/>
    </row>
    <row r="7" spans="2:36" s="660" customFormat="1" ht="12.75" customHeight="1">
      <c r="I7" s="662" t="s">
        <v>413</v>
      </c>
      <c r="J7" s="983"/>
      <c r="K7" s="983"/>
      <c r="L7" s="663"/>
      <c r="N7" s="662" t="s">
        <v>298</v>
      </c>
      <c r="O7" s="664"/>
      <c r="P7" s="663"/>
      <c r="R7" s="662" t="s">
        <v>297</v>
      </c>
      <c r="S7" s="664"/>
      <c r="T7" s="663"/>
      <c r="U7" s="664"/>
      <c r="V7" s="663"/>
      <c r="X7" s="662" t="s">
        <v>299</v>
      </c>
      <c r="Y7" s="664"/>
      <c r="Z7" s="663"/>
      <c r="AB7" s="662" t="s">
        <v>300</v>
      </c>
      <c r="AC7" s="664"/>
      <c r="AD7" s="663"/>
      <c r="AF7" s="662" t="s">
        <v>303</v>
      </c>
      <c r="AG7" s="665"/>
    </row>
    <row r="8" spans="2:36" s="669" customFormat="1" ht="30.75" customHeight="1">
      <c r="B8" s="666" t="s">
        <v>292</v>
      </c>
      <c r="C8" s="667" t="s">
        <v>757</v>
      </c>
      <c r="D8" s="667" t="s">
        <v>293</v>
      </c>
      <c r="E8" s="667" t="s">
        <v>417</v>
      </c>
      <c r="F8" s="668" t="s">
        <v>294</v>
      </c>
      <c r="G8" s="668" t="s">
        <v>296</v>
      </c>
      <c r="I8" s="666" t="s">
        <v>145</v>
      </c>
      <c r="J8" s="984" t="s">
        <v>1397</v>
      </c>
      <c r="K8" s="984" t="s">
        <v>1398</v>
      </c>
      <c r="L8" s="668" t="s">
        <v>414</v>
      </c>
      <c r="M8" s="670"/>
      <c r="N8" s="666" t="s">
        <v>159</v>
      </c>
      <c r="O8" s="667" t="s">
        <v>165</v>
      </c>
      <c r="P8" s="668" t="s">
        <v>166</v>
      </c>
      <c r="R8" s="666" t="s">
        <v>159</v>
      </c>
      <c r="S8" s="667" t="s">
        <v>165</v>
      </c>
      <c r="T8" s="668" t="s">
        <v>166</v>
      </c>
      <c r="U8" s="667" t="s">
        <v>415</v>
      </c>
      <c r="V8" s="668" t="s">
        <v>416</v>
      </c>
      <c r="X8" s="666" t="s">
        <v>159</v>
      </c>
      <c r="Y8" s="667" t="s">
        <v>165</v>
      </c>
      <c r="Z8" s="668" t="s">
        <v>166</v>
      </c>
      <c r="AB8" s="666" t="s">
        <v>159</v>
      </c>
      <c r="AC8" s="667" t="s">
        <v>165</v>
      </c>
      <c r="AD8" s="668" t="s">
        <v>166</v>
      </c>
      <c r="AF8" s="671" t="s">
        <v>301</v>
      </c>
      <c r="AG8" s="672" t="s">
        <v>302</v>
      </c>
      <c r="AI8" s="673" t="s">
        <v>295</v>
      </c>
    </row>
    <row r="9" spans="2:36" s="660" customFormat="1" ht="12.75" customHeight="1"/>
    <row r="10" spans="2:36" s="675" customFormat="1" ht="12.75" customHeight="1">
      <c r="B10" s="674">
        <f>_xll.ciqfunctions.udf.CIQ($AI10,"IQ_TR_CLOSED_DATE")</f>
        <v>43308</v>
      </c>
      <c r="C10" s="675" t="str">
        <f>_xll.ciqfunctions.udf.CIQ($AI10,"IQ_TR_BUYERNAME")</f>
        <v>Whitebox Advisors, LLC; Whitebox Asymmetric Partners LP; Pernix Ireland Pain Limited; Whitebox Caja Blanca Fund, LP; 1992 Co-Invest Fund; 1992 Tactical Fund; 1992 Multi-Strategy Fund</v>
      </c>
      <c r="D10" s="675" t="str">
        <f>_xll.ciqfunctions.udf.CIQ($AI10,"IQ_TR_TARGETNAME")</f>
        <v>Substantially all of the assets of Orexigen Therapeutics, Inc.</v>
      </c>
      <c r="E10" s="675" t="str">
        <f>_xll.ciqfunctions.udf.CIQ($AI10, "IQ_PRIMARY_INDUSTRY")</f>
        <v>Pharmaceuticals</v>
      </c>
      <c r="F10" s="676">
        <f>_xll.ciqfunctions.udf.CIQ($AI10, "IQ_TR_PCT_SOUGHT")/100</f>
        <v>1</v>
      </c>
      <c r="G10" s="677" t="str">
        <f>_xll.ciqfunctions.udf.CIQ(AI10, "IQ_TR_MAJ_MIN_STAKE")</f>
        <v>Majority</v>
      </c>
      <c r="I10" s="678">
        <f>_xll.ciqfunctions.udf.CIQ($AI10, "IQ_TR_IMPLIED_EV_FINAL", , $AJ$4,$AJ$5)</f>
        <v>73.5</v>
      </c>
      <c r="J10" s="678">
        <f>IF(_xll.ciqfunctions.udf.CIQ(AI10, "IQ_TR_TOTAL_CASH")="n/a",0,_xll.ciqfunctions.udf.CIQ(AI10, "IQ_TR_TOTAL_CASH"))+IF(_xll.ciqfunctions.udf.CIQ(AI10, "IQ_TR_TOTAL_STOCK")="n/a",0,_xll.ciqfunctions.udf.CIQ(AI10, "IQ_TR_TOTAL_STOCK"))</f>
        <v>73.5</v>
      </c>
      <c r="K10" s="152" t="str">
        <f>_xll.ciqfunctions.udf.CIQ(AI10, "IQ_TR_EARNOUTS")</f>
        <v>n/a</v>
      </c>
      <c r="L10" s="678">
        <f>IF(_xll.ciqfunctions.udf.CIQ($AI10, "IQ_TR_TOTAL_GROSS_TV",$AJ$4,$AJ$5)=0,"NA",_xll.ciqfunctions.udf.CIQ($AI10, "IQ_TR_TOTAL_GROSS_TV",,"USD"))</f>
        <v>73.5</v>
      </c>
      <c r="M10" s="679"/>
      <c r="N10" s="678" t="str">
        <f>_xll.ciqfunctions.udf.CIQ($AI10, "IQ_TR_TARGET_TOTAL_REV",,$AJ$4,$AJ$5)</f>
        <v>n/a</v>
      </c>
      <c r="O10" s="678" t="str">
        <f>_xll.ciqfunctions.udf.CIQ($AI10, "IQ_TR_TARGET_EBITDA", , $AJ$4,$AJ$5)</f>
        <v>n/a</v>
      </c>
      <c r="P10" s="678" t="str">
        <f>_xll.ciqfunctions.udf.CIQ($AI10, "IQ_TR_TARGET_EBIT", , $AJ$4,$AJ$5)</f>
        <v>n/a</v>
      </c>
      <c r="Q10" s="679"/>
      <c r="R10" s="680" t="str">
        <f>IF(ISERROR($I10/N10), "n/a", $I10/N10)</f>
        <v>n/a</v>
      </c>
      <c r="S10" s="680" t="str">
        <f>IF(ISERROR($I10/O10), "n/a", $I10/O10)</f>
        <v>n/a</v>
      </c>
      <c r="T10" s="680" t="str">
        <f>IF(ISERROR($I10/P10), "n/a", $I10/P10)</f>
        <v>n/a</v>
      </c>
      <c r="U10" s="680" t="str">
        <f>IF(_xll.ciqfunctions.udf.CIQ($AI10, "IQ_TR_IMPLIED_EQ_BV")=0,"NA",_xll.ciqfunctions.udf.CIQ($AI10, "IQ_TR_IMPLIED_EQ_BV"))</f>
        <v>n/a</v>
      </c>
      <c r="V10" s="680" t="str">
        <f>IF(_xll.ciqfunctions.udf.CIQ($AI10, "IQ_TR_IMPLIED_EQ_NI_LTM")=0,"NA",_xll.ciqfunctions.udf.CIQ($AI10, "IQ_TR_IMPLIED_EQ_NI_LTM"))</f>
        <v>n/a</v>
      </c>
      <c r="W10" s="679"/>
      <c r="X10" s="678" t="str">
        <f>_xll.ciqfunctions.udf.CIQ($AI10, "IQ_TR_TARGET_REVENUE_EST",, $AJ$4,$AJ$5)</f>
        <v>n/a</v>
      </c>
      <c r="Y10" s="678" t="str">
        <f>_xll.ciqfunctions.udf.CIQ($AI10, "IQ_TR_TARGET_EBITDA_EST",, $AJ$4,$AJ$5)</f>
        <v>n/a</v>
      </c>
      <c r="Z10" s="678" t="str">
        <f>_xll.ciqfunctions.udf.CIQ(AI10, "IQ_TR_IMPLIED_EV_EBIT_FWD")</f>
        <v>n/a</v>
      </c>
      <c r="AA10" s="679"/>
      <c r="AB10" s="680" t="str">
        <f>IF(ISERROR($I10/X10), "n/a", $I10/X10)</f>
        <v>n/a</v>
      </c>
      <c r="AC10" s="680" t="str">
        <f>IF(ISERROR($I10/Y10), "n/a", $I10/Y10)</f>
        <v>n/a</v>
      </c>
      <c r="AD10" s="680" t="str">
        <f>IF(ISERROR($I10/Z10), "n/a", $I10/Z10)</f>
        <v>n/a</v>
      </c>
      <c r="AF10" s="681" t="e">
        <f>IF((_xll.ciqfunctions.udf.CIQ($AI10, "IQ_TR_TARGET_STOCKPREMIUM_1W")/100)&lt;=0,"NM",_xll.ciqfunctions.udf.CIQ($AI10, "IQ_TR_TARGET_STOCKPREMIUM_1W")/100)</f>
        <v>#VALUE!</v>
      </c>
      <c r="AG10" s="681" t="e">
        <f>IF((_xll.ciqfunctions.udf.CIQ($AI10, "IQ_TR_TARGET_STOCKPREMIUM_1M")/100)&lt;=0,"NM",_xll.ciqfunctions.udf.CIQ($AI10, "IQ_TR_TARGET_STOCKPREMIUM_1M")/100)</f>
        <v>#VALUE!</v>
      </c>
      <c r="AI10" s="682" t="str">
        <f>+'Capital IQ Sheet-STM'!AK10</f>
        <v>IQTR560250266</v>
      </c>
      <c r="AJ10" s="675" t="str">
        <f>_xll.ciqfunctions.udf.CIQ(AI10, "IQ_BUSINESS_DESCRIPTION")</f>
        <v>Substantially all of the assets of Orexigen Therapeutics, Inc. comprises pharmaceutical product manufacturing business. The asset is located in the United States.</v>
      </c>
    </row>
    <row r="11" spans="2:36" s="675" customFormat="1" ht="12.75" customHeight="1">
      <c r="B11" s="674">
        <f>_xll.ciqfunctions.udf.CIQ($AI11,"IQ_TR_CLOSED_DATE")</f>
        <v>43088</v>
      </c>
      <c r="C11" s="675" t="str">
        <f>_xll.ciqfunctions.udf.CIQ($AI11,"IQ_TR_BUYERNAME")</f>
        <v>BiomX Ltd</v>
      </c>
      <c r="D11" s="675" t="str">
        <f>_xll.ciqfunctions.udf.CIQ($AI11,"IQ_TR_TARGETNAME")</f>
        <v>Rondinx Ltd</v>
      </c>
      <c r="E11" s="675" t="str">
        <f>_xll.ciqfunctions.udf.CIQ($AI11, "IQ_PRIMARY_INDUSTRY")</f>
        <v>Biotechnology</v>
      </c>
      <c r="F11" s="676">
        <f>_xll.ciqfunctions.udf.CIQ($AI11, "IQ_TR_PCT_SOUGHT")/100</f>
        <v>1</v>
      </c>
      <c r="G11" s="677" t="str">
        <f>_xll.ciqfunctions.udf.CIQ(AI11, "IQ_TR_MAJ_MIN_STAKE")</f>
        <v>Majority</v>
      </c>
      <c r="I11" s="678" t="str">
        <f>_xll.ciqfunctions.udf.CIQ($AI11, "IQ_TR_IMPLIED_EV_FINAL", , $AJ$4,$AJ$5)</f>
        <v>n/a</v>
      </c>
      <c r="J11" s="678">
        <f>IF(_xll.ciqfunctions.udf.CIQ(AI11, "IQ_TR_TOTAL_CASH")="n/a",0,_xll.ciqfunctions.udf.CIQ(AI11, "IQ_TR_TOTAL_CASH"))+IF(_xll.ciqfunctions.udf.CIQ(AI11, "IQ_TR_TOTAL_STOCK")="n/a",0,_xll.ciqfunctions.udf.CIQ(AI11, "IQ_TR_TOTAL_STOCK"))</f>
        <v>0</v>
      </c>
      <c r="K11" s="152" t="str">
        <f>_xll.ciqfunctions.udf.CIQ(AI11, "IQ_TR_EARNOUTS")</f>
        <v>n/a</v>
      </c>
      <c r="L11" s="678" t="str">
        <f>IF(_xll.ciqfunctions.udf.CIQ($AI11, "IQ_TR_TOTAL_GROSS_TV",$AJ$4,$AJ$5)=0,"NA",_xll.ciqfunctions.udf.CIQ($AI11, "IQ_TR_TOTAL_GROSS_TV",,"USD"))</f>
        <v>n/a</v>
      </c>
      <c r="M11" s="679"/>
      <c r="N11" s="678" t="str">
        <f>_xll.ciqfunctions.udf.CIQ($AI11, "IQ_TR_TARGET_TOTAL_REV",,$AJ$4,$AJ$5)</f>
        <v>n/a</v>
      </c>
      <c r="O11" s="678" t="str">
        <f>_xll.ciqfunctions.udf.CIQ($AI11, "IQ_TR_TARGET_EBITDA", , $AJ$4,$AJ$5)</f>
        <v>n/a</v>
      </c>
      <c r="P11" s="678" t="str">
        <f>_xll.ciqfunctions.udf.CIQ($AI11, "IQ_TR_TARGET_EBIT", , $AJ$4,$AJ$5)</f>
        <v>n/a</v>
      </c>
      <c r="Q11" s="679"/>
      <c r="R11" s="680" t="str">
        <f t="shared" ref="R11:T29" si="0">IF(ISERROR($I11/N11), "n/a", $I11/N11)</f>
        <v>n/a</v>
      </c>
      <c r="S11" s="680" t="str">
        <f t="shared" si="0"/>
        <v>n/a</v>
      </c>
      <c r="T11" s="680" t="str">
        <f t="shared" si="0"/>
        <v>n/a</v>
      </c>
      <c r="U11" s="680" t="str">
        <f>IF(_xll.ciqfunctions.udf.CIQ($AI11, "IQ_TR_IMPLIED_EQ_BV")=0,"NA",_xll.ciqfunctions.udf.CIQ($AI11, "IQ_TR_IMPLIED_EQ_BV"))</f>
        <v>n/a</v>
      </c>
      <c r="V11" s="680" t="str">
        <f>IF(_xll.ciqfunctions.udf.CIQ($AI11, "IQ_TR_IMPLIED_EQ_NI_LTM")=0,"NA",_xll.ciqfunctions.udf.CIQ($AI11, "IQ_TR_IMPLIED_EQ_NI_LTM"))</f>
        <v>n/a</v>
      </c>
      <c r="W11" s="679"/>
      <c r="X11" s="678" t="str">
        <f>_xll.ciqfunctions.udf.CIQ($AI11, "IQ_TR_TARGET_REVENUE_EST",, $AJ$4,$AJ$5)</f>
        <v>n/a</v>
      </c>
      <c r="Y11" s="678" t="str">
        <f>_xll.ciqfunctions.udf.CIQ($AI11, "IQ_TR_TARGET_EBITDA_EST",, $AJ$4,$AJ$5)</f>
        <v>n/a</v>
      </c>
      <c r="Z11" s="678" t="str">
        <f>_xll.ciqfunctions.udf.CIQ(AI11, "IQ_TR_IMPLIED_EV_EBIT_FWD")</f>
        <v>n/a</v>
      </c>
      <c r="AA11" s="679"/>
      <c r="AB11" s="680" t="str">
        <f t="shared" ref="AB11:AD29" si="1">IF(ISERROR($I11/X11), "n/a", $I11/X11)</f>
        <v>n/a</v>
      </c>
      <c r="AC11" s="680" t="str">
        <f t="shared" si="1"/>
        <v>n/a</v>
      </c>
      <c r="AD11" s="680" t="str">
        <f t="shared" si="1"/>
        <v>n/a</v>
      </c>
      <c r="AF11" s="681" t="e">
        <f>IF((_xll.ciqfunctions.udf.CIQ($AI11, "IQ_TR_TARGET_STOCKPREMIUM_1W")/100)&lt;=0,"NM",_xll.ciqfunctions.udf.CIQ($AI11, "IQ_TR_TARGET_STOCKPREMIUM_1W")/100)</f>
        <v>#VALUE!</v>
      </c>
      <c r="AG11" s="681" t="e">
        <f>IF((_xll.ciqfunctions.udf.CIQ($AI11, "IQ_TR_TARGET_STOCKPREMIUM_1M")/100)&lt;=0,"NM",_xll.ciqfunctions.udf.CIQ($AI11, "IQ_TR_TARGET_STOCKPREMIUM_1M")/100)</f>
        <v>#VALUE!</v>
      </c>
      <c r="AI11" s="682" t="str">
        <f>+'Capital IQ Sheet-STM'!AK11</f>
        <v>IQTR547338814</v>
      </c>
      <c r="AJ11" s="675" t="str">
        <f>_xll.ciqfunctions.udf.CIQ(AI11, "IQ_BUSINESS_DESCRIPTION")</f>
        <v xml:space="preserve">As of December 19, 2017, Rondinx Ltd was acquired by BiomX Ltd. Rondinx Ltd operates as a biotechnology company that develops a platform to discover microbiome-related targets, drugs, and companion diagnostics. The company was founded in 2015 and is based in Tel Aviv, Israel._x000D_
</v>
      </c>
    </row>
    <row r="12" spans="2:36" s="675" customFormat="1" ht="12.75" customHeight="1">
      <c r="B12" s="674">
        <f>_xll.ciqfunctions.udf.CIQ($AI12,"IQ_TR_CLOSED_DATE")</f>
        <v>43031</v>
      </c>
      <c r="C12" s="675" t="str">
        <f>_xll.ciqfunctions.udf.CIQ($AI12,"IQ_TR_BUYERNAME")</f>
        <v>Finch Therapeutics Group</v>
      </c>
      <c r="D12" s="675" t="str">
        <f>_xll.ciqfunctions.udf.CIQ($AI12,"IQ_TR_TARGETNAME")</f>
        <v>Crestovo LLC</v>
      </c>
      <c r="E12" s="675" t="str">
        <f>_xll.ciqfunctions.udf.CIQ($AI12, "IQ_PRIMARY_INDUSTRY")</f>
        <v>Pharmaceuticals</v>
      </c>
      <c r="F12" s="676">
        <f>_xll.ciqfunctions.udf.CIQ($AI12, "IQ_TR_PCT_SOUGHT")/100</f>
        <v>1</v>
      </c>
      <c r="G12" s="677" t="str">
        <f>_xll.ciqfunctions.udf.CIQ(AI12, "IQ_TR_MAJ_MIN_STAKE")</f>
        <v>Majority</v>
      </c>
      <c r="I12" s="678" t="str">
        <f>_xll.ciqfunctions.udf.CIQ($AI12, "IQ_TR_IMPLIED_EV_FINAL", , $AJ$4,$AJ$5)</f>
        <v>n/a</v>
      </c>
      <c r="J12" s="678">
        <f>IF(_xll.ciqfunctions.udf.CIQ(AI12, "IQ_TR_TOTAL_CASH")="n/a",0,_xll.ciqfunctions.udf.CIQ(AI12, "IQ_TR_TOTAL_CASH"))+IF(_xll.ciqfunctions.udf.CIQ(AI12, "IQ_TR_TOTAL_STOCK")="n/a",0,_xll.ciqfunctions.udf.CIQ(AI12, "IQ_TR_TOTAL_STOCK"))</f>
        <v>0</v>
      </c>
      <c r="K12" s="152" t="str">
        <f>_xll.ciqfunctions.udf.CIQ(AI12, "IQ_TR_EARNOUTS")</f>
        <v>n/a</v>
      </c>
      <c r="L12" s="678" t="str">
        <f>IF(_xll.ciqfunctions.udf.CIQ($AI12, "IQ_TR_TOTAL_GROSS_TV",$AJ$4,$AJ$5)=0,"NA",_xll.ciqfunctions.udf.CIQ($AI12, "IQ_TR_TOTAL_GROSS_TV",,"USD"))</f>
        <v>n/a</v>
      </c>
      <c r="M12" s="679"/>
      <c r="N12" s="678" t="str">
        <f>_xll.ciqfunctions.udf.CIQ($AI12, "IQ_TR_TARGET_TOTAL_REV",,$AJ$4,$AJ$5)</f>
        <v>n/a</v>
      </c>
      <c r="O12" s="678" t="str">
        <f>_xll.ciqfunctions.udf.CIQ($AI12, "IQ_TR_TARGET_EBITDA", , $AJ$4,$AJ$5)</f>
        <v>n/a</v>
      </c>
      <c r="P12" s="678" t="str">
        <f>_xll.ciqfunctions.udf.CIQ($AI12, "IQ_TR_TARGET_EBIT", , $AJ$4,$AJ$5)</f>
        <v>n/a</v>
      </c>
      <c r="Q12" s="679"/>
      <c r="R12" s="680" t="str">
        <f t="shared" si="0"/>
        <v>n/a</v>
      </c>
      <c r="S12" s="813" t="str">
        <f t="shared" si="0"/>
        <v>n/a</v>
      </c>
      <c r="T12" s="813" t="str">
        <f t="shared" si="0"/>
        <v>n/a</v>
      </c>
      <c r="U12" s="680" t="str">
        <f>IF(_xll.ciqfunctions.udf.CIQ($AI12, "IQ_TR_IMPLIED_EQ_BV")=0,"NA",_xll.ciqfunctions.udf.CIQ($AI12, "IQ_TR_IMPLIED_EQ_BV"))</f>
        <v>n/a</v>
      </c>
      <c r="V12" s="680" t="str">
        <f>IF(_xll.ciqfunctions.udf.CIQ($AI12, "IQ_TR_IMPLIED_EQ_NI_LTM")=0,"NA",_xll.ciqfunctions.udf.CIQ($AI12, "IQ_TR_IMPLIED_EQ_NI_LTM"))</f>
        <v>n/a</v>
      </c>
      <c r="W12" s="679"/>
      <c r="X12" s="678" t="str">
        <f>_xll.ciqfunctions.udf.CIQ($AI12, "IQ_TR_TARGET_REVENUE_EST",, $AJ$4,$AJ$5)</f>
        <v>n/a</v>
      </c>
      <c r="Y12" s="678" t="str">
        <f>_xll.ciqfunctions.udf.CIQ($AI12, "IQ_TR_TARGET_EBITDA_EST",, $AJ$4,$AJ$5)</f>
        <v>n/a</v>
      </c>
      <c r="Z12" s="678" t="str">
        <f>_xll.ciqfunctions.udf.CIQ(AI12, "IQ_TR_IMPLIED_EV_EBIT_FWD")</f>
        <v>n/a</v>
      </c>
      <c r="AA12" s="679"/>
      <c r="AB12" s="680" t="str">
        <f t="shared" si="1"/>
        <v>n/a</v>
      </c>
      <c r="AC12" s="680" t="str">
        <f t="shared" si="1"/>
        <v>n/a</v>
      </c>
      <c r="AD12" s="680" t="str">
        <f t="shared" si="1"/>
        <v>n/a</v>
      </c>
      <c r="AF12" s="681" t="e">
        <f>IF((_xll.ciqfunctions.udf.CIQ($AI12, "IQ_TR_TARGET_STOCKPREMIUM_1W")/100)&lt;=0,"NM",_xll.ciqfunctions.udf.CIQ($AI12, "IQ_TR_TARGET_STOCKPREMIUM_1W")/100)</f>
        <v>#VALUE!</v>
      </c>
      <c r="AG12" s="681" t="e">
        <f>IF((_xll.ciqfunctions.udf.CIQ($AI12, "IQ_TR_TARGET_STOCKPREMIUM_1M")/100)&lt;=0,"NM",_xll.ciqfunctions.udf.CIQ($AI12, "IQ_TR_TARGET_STOCKPREMIUM_1M")/100)</f>
        <v>#VALUE!</v>
      </c>
      <c r="AI12" s="682" t="str">
        <f>+'Capital IQ Sheet-STM'!AK12</f>
        <v>IQTR541283700</v>
      </c>
      <c r="AJ12" s="675" t="str">
        <f>_xll.ciqfunctions.udf.CIQ(AI12, "IQ_BUSINESS_DESCRIPTION")</f>
        <v>As of October 23, 2017, Crestovo LLC was acquired by Finch Therapeutics Group. Crestovo LLC a clinical-stage biopharmaceutical company engages in developing of Full-Spectrum Microbiota(FSM) that harnesses the human gut microbiome. The company was founded in 2014 and is based in Cambridge, Massachusetts.</v>
      </c>
    </row>
    <row r="13" spans="2:36" s="675" customFormat="1" ht="12.75" customHeight="1">
      <c r="B13" s="674">
        <f>_xll.ciqfunctions.udf.CIQ($AI13,"IQ_TR_CLOSED_DATE")</f>
        <v>42748</v>
      </c>
      <c r="C13" s="675" t="str">
        <f>_xll.ciqfunctions.udf.CIQ($AI13,"IQ_TR_BUYERNAME")</f>
        <v>Yungjin Pharm. Co., Ltd.</v>
      </c>
      <c r="D13" s="675" t="str">
        <f>_xll.ciqfunctions.udf.CIQ($AI13,"IQ_TR_TARGETNAME")</f>
        <v>KT&amp;G Life Sciences Corp.</v>
      </c>
      <c r="E13" s="675" t="str">
        <f>_xll.ciqfunctions.udf.CIQ($AI13, "IQ_PRIMARY_INDUSTRY")</f>
        <v>Biotechnology</v>
      </c>
      <c r="F13" s="676">
        <f>_xll.ciqfunctions.udf.CIQ($AI13, "IQ_TR_PCT_SOUGHT")/100</f>
        <v>1</v>
      </c>
      <c r="G13" s="677" t="str">
        <f>_xll.ciqfunctions.udf.CIQ(AI13, "IQ_TR_MAJ_MIN_STAKE")</f>
        <v>Majority</v>
      </c>
      <c r="I13" s="678">
        <f>_xll.ciqfunctions.udf.CIQ($AI13, "IQ_TR_IMPLIED_EV_FINAL", , $AJ$4,$AJ$5)</f>
        <v>38.678359999999998</v>
      </c>
      <c r="J13" s="678">
        <f>IF(_xll.ciqfunctions.udf.CIQ(AI13, "IQ_TR_TOTAL_CASH")="n/a",0,_xll.ciqfunctions.udf.CIQ(AI13, "IQ_TR_TOTAL_CASH"))+IF(_xll.ciqfunctions.udf.CIQ(AI13, "IQ_TR_TOTAL_STOCK")="n/a",0,_xll.ciqfunctions.udf.CIQ(AI13, "IQ_TR_TOTAL_STOCK"))</f>
        <v>56.641860000000001</v>
      </c>
      <c r="K13" s="152" t="str">
        <f>_xll.ciqfunctions.udf.CIQ(AI13, "IQ_TR_EARNOUTS")</f>
        <v>n/a</v>
      </c>
      <c r="L13" s="678">
        <f>IF(_xll.ciqfunctions.udf.CIQ($AI13, "IQ_TR_TOTAL_GROSS_TV",$AJ$4,$AJ$5)=0,"NA",_xll.ciqfunctions.udf.CIQ($AI13, "IQ_TR_TOTAL_GROSS_TV",,"USD"))</f>
        <v>56.641860000000001</v>
      </c>
      <c r="M13" s="679"/>
      <c r="N13" s="678">
        <f>_xll.ciqfunctions.udf.CIQ($AI13, "IQ_TR_TARGET_TOTAL_REV",,$AJ$4,$AJ$5)</f>
        <v>1.12608</v>
      </c>
      <c r="O13" s="678" t="str">
        <f>_xll.ciqfunctions.udf.CIQ($AI13, "IQ_TR_TARGET_EBITDA", , $AJ$4,$AJ$5)</f>
        <v>n/a</v>
      </c>
      <c r="P13" s="678" t="str">
        <f>_xll.ciqfunctions.udf.CIQ($AI13, "IQ_TR_TARGET_EBIT", , $AJ$4,$AJ$5)</f>
        <v>n/a</v>
      </c>
      <c r="Q13" s="679"/>
      <c r="R13" s="680">
        <f t="shared" si="0"/>
        <v>34.347790565501562</v>
      </c>
      <c r="S13" s="680" t="str">
        <f t="shared" si="0"/>
        <v>n/a</v>
      </c>
      <c r="T13" s="680" t="str">
        <f t="shared" si="0"/>
        <v>n/a</v>
      </c>
      <c r="U13" s="680" t="str">
        <f>IF(_xll.ciqfunctions.udf.CIQ($AI13, "IQ_TR_IMPLIED_EQ_BV")=0,"NA",_xll.ciqfunctions.udf.CIQ($AI13, "IQ_TR_IMPLIED_EQ_BV"))</f>
        <v>n/a</v>
      </c>
      <c r="V13" s="680" t="str">
        <f>IF(_xll.ciqfunctions.udf.CIQ($AI13, "IQ_TR_IMPLIED_EQ_NI_LTM")=0,"NA",_xll.ciqfunctions.udf.CIQ($AI13, "IQ_TR_IMPLIED_EQ_NI_LTM"))</f>
        <v>NM</v>
      </c>
      <c r="W13" s="679"/>
      <c r="X13" s="678" t="str">
        <f>_xll.ciqfunctions.udf.CIQ($AI13, "IQ_TR_TARGET_REVENUE_EST",, $AJ$4,$AJ$5)</f>
        <v>n/a</v>
      </c>
      <c r="Y13" s="678" t="str">
        <f>_xll.ciqfunctions.udf.CIQ($AI13, "IQ_TR_TARGET_EBITDA_EST",, $AJ$4,$AJ$5)</f>
        <v>n/a</v>
      </c>
      <c r="Z13" s="678" t="str">
        <f>_xll.ciqfunctions.udf.CIQ(AI13, "IQ_TR_IMPLIED_EV_EBIT_FWD")</f>
        <v>n/a</v>
      </c>
      <c r="AA13" s="679"/>
      <c r="AB13" s="680" t="str">
        <f t="shared" si="1"/>
        <v>n/a</v>
      </c>
      <c r="AC13" s="680" t="str">
        <f t="shared" si="1"/>
        <v>n/a</v>
      </c>
      <c r="AD13" s="680" t="str">
        <f t="shared" si="1"/>
        <v>n/a</v>
      </c>
      <c r="AF13" s="681" t="e">
        <f>IF((_xll.ciqfunctions.udf.CIQ($AI13, "IQ_TR_TARGET_STOCKPREMIUM_1W")/100)&lt;=0,"NM",_xll.ciqfunctions.udf.CIQ($AI13, "IQ_TR_TARGET_STOCKPREMIUM_1W")/100)</f>
        <v>#VALUE!</v>
      </c>
      <c r="AG13" s="681" t="e">
        <f>IF((_xll.ciqfunctions.udf.CIQ($AI13, "IQ_TR_TARGET_STOCKPREMIUM_1M")/100)&lt;=0,"NM",_xll.ciqfunctions.udf.CIQ($AI13, "IQ_TR_TARGET_STOCKPREMIUM_1M")/100)</f>
        <v>#VALUE!</v>
      </c>
      <c r="AI13" s="682" t="str">
        <f>+'Capital IQ Sheet-STM'!AK13</f>
        <v>IQTR330324285</v>
      </c>
      <c r="AJ13" s="675" t="str">
        <f>_xll.ciqfunctions.udf.CIQ(AI13, "IQ_BUSINESS_DESCRIPTION")</f>
        <v>KT&amp;G Life Sciences Corp. develops therapeutic solutions focusing on hard-to-cure disease areas of degenerative, metabolic, cardiovascular, and cancer diseases. Its medicines act directly on metabolism, anti-aging, innate immunity, immune defense system, and normalizing the body function. The company’s pipeline includes various drug candidate substances, including KT&amp;G101 for the atopic dermatitis indication; MB12066 for non-alcoholic fatty liver disease, metabolic disease, and macular degeneration indications; KL7016 for the dry eye syndrome indication; MB11055 for obesity; MB11040 for anti-cancer and menopause disorders; MB11319 for prostatitis; and dietary supplements for arthritis/moisturization and calcium/ferrous supplement indications. KT&amp;G Life Sciences Corp. was formerly known as MD BioAlpha Co., Ltd. and changed its name to KT&amp;G Life Sciences Corp. in December 2011. The company was founded in 2002 and is based in Suwon, South Korea. As of January 13, 2017, KT&amp;G Life Sciences Corp. operates as a subsidiary of Yungjin Pharm. Co., Ltd..</v>
      </c>
    </row>
    <row r="14" spans="2:36" s="675" customFormat="1" ht="12.75" customHeight="1">
      <c r="B14" s="674">
        <f>_xll.ciqfunctions.udf.CIQ($AI14,"IQ_TR_CLOSED_DATE")</f>
        <v>42667</v>
      </c>
      <c r="C14" s="675" t="str">
        <f>_xll.ciqfunctions.udf.CIQ($AI14,"IQ_TR_BUYERNAME")</f>
        <v>Allergan plc</v>
      </c>
      <c r="D14" s="675" t="str">
        <f>_xll.ciqfunctions.udf.CIQ($AI14,"IQ_TR_TARGETNAME")</f>
        <v>Vitae Pharmaceuticals, Inc.</v>
      </c>
      <c r="E14" s="675" t="str">
        <f>_xll.ciqfunctions.udf.CIQ($AI14, "IQ_PRIMARY_INDUSTRY")</f>
        <v>Biotechnology</v>
      </c>
      <c r="F14" s="676">
        <f>_xll.ciqfunctions.udf.CIQ($AI14, "IQ_TR_PCT_SOUGHT")/100</f>
        <v>0.90961969999999992</v>
      </c>
      <c r="G14" s="677" t="str">
        <f>_xll.ciqfunctions.udf.CIQ(AI14, "IQ_TR_MAJ_MIN_STAKE")</f>
        <v>Majority</v>
      </c>
      <c r="I14" s="678">
        <f>_xll.ciqfunctions.udf.CIQ($AI14, "IQ_TR_IMPLIED_EV_FINAL", , $AJ$4,$AJ$5)</f>
        <v>528.23937000000001</v>
      </c>
      <c r="J14" s="678">
        <f>IF(_xll.ciqfunctions.udf.CIQ(AI14, "IQ_TR_TOTAL_CASH")="n/a",0,_xll.ciqfunctions.udf.CIQ(AI14, "IQ_TR_TOTAL_CASH"))+IF(_xll.ciqfunctions.udf.CIQ(AI14, "IQ_TR_TOTAL_STOCK")="n/a",0,_xll.ciqfunctions.udf.CIQ(AI14, "IQ_TR_TOTAL_STOCK"))</f>
        <v>550.93940999999995</v>
      </c>
      <c r="K14" s="152" t="str">
        <f>_xll.ciqfunctions.udf.CIQ(AI14, "IQ_TR_EARNOUTS")</f>
        <v>n/a</v>
      </c>
      <c r="L14" s="678">
        <f>IF(_xll.ciqfunctions.udf.CIQ($AI14, "IQ_TR_TOTAL_GROSS_TV",$AJ$4,$AJ$5)=0,"NA",_xll.ciqfunctions.udf.CIQ($AI14, "IQ_TR_TOTAL_GROSS_TV",,"USD"))</f>
        <v>550.93940999999995</v>
      </c>
      <c r="M14" s="679"/>
      <c r="N14" s="678">
        <f>_xll.ciqfunctions.udf.CIQ($AI14, "IQ_TR_TARGET_TOTAL_REV",,$AJ$4,$AJ$5)</f>
        <v>0.32246999999999998</v>
      </c>
      <c r="O14" s="678">
        <f>_xll.ciqfunctions.udf.CIQ($AI14, "IQ_TR_TARGET_EBITDA", , $AJ$4,$AJ$5)</f>
        <v>-45.344230000000003</v>
      </c>
      <c r="P14" s="678">
        <f>_xll.ciqfunctions.udf.CIQ($AI14, "IQ_TR_TARGET_EBIT", , $AJ$4,$AJ$5)</f>
        <v>-45.57047</v>
      </c>
      <c r="Q14" s="679"/>
      <c r="R14" s="680">
        <f t="shared" si="0"/>
        <v>1638.1039166434089</v>
      </c>
      <c r="S14" s="680">
        <f t="shared" si="0"/>
        <v>-11.649538871869694</v>
      </c>
      <c r="T14" s="680">
        <f t="shared" si="0"/>
        <v>-11.591703355264933</v>
      </c>
      <c r="U14" s="680">
        <f>IF(_xll.ciqfunctions.udf.CIQ($AI14, "IQ_TR_IMPLIED_EQ_BV")=0,"NA",_xll.ciqfunctions.udf.CIQ($AI14, "IQ_TR_IMPLIED_EQ_BV"))</f>
        <v>8.2933599999999998</v>
      </c>
      <c r="V14" s="680" t="str">
        <f>IF(_xll.ciqfunctions.udf.CIQ($AI14, "IQ_TR_IMPLIED_EQ_NI_LTM")=0,"NA",_xll.ciqfunctions.udf.CIQ($AI14, "IQ_TR_IMPLIED_EQ_NI_LTM"))</f>
        <v>NM</v>
      </c>
      <c r="W14" s="679"/>
      <c r="X14" s="678">
        <f>_xll.ciqfunctions.udf.CIQ($AI14, "IQ_TR_TARGET_REVENUE_EST",, $AJ$4,$AJ$5)</f>
        <v>0.13450000000000001</v>
      </c>
      <c r="Y14" s="678" t="str">
        <f>_xll.ciqfunctions.udf.CIQ($AI14, "IQ_TR_TARGET_EBITDA_EST",, $AJ$4,$AJ$5)</f>
        <v>n/a</v>
      </c>
      <c r="Z14" s="678" t="str">
        <f>_xll.ciqfunctions.udf.CIQ(AI14, "IQ_TR_IMPLIED_EV_EBIT_FWD")</f>
        <v>NM</v>
      </c>
      <c r="AA14" s="679"/>
      <c r="AB14" s="680">
        <f t="shared" si="1"/>
        <v>3927.4302602230482</v>
      </c>
      <c r="AC14" s="680" t="str">
        <f t="shared" si="1"/>
        <v>n/a</v>
      </c>
      <c r="AD14" s="680" t="str">
        <f t="shared" si="1"/>
        <v>n/a</v>
      </c>
      <c r="AF14" s="681">
        <f>IF((_xll.ciqfunctions.udf.CIQ($AI14, "IQ_TR_TARGET_STOCKPREMIUM_1W")/100)&lt;=0,"NM",_xll.ciqfunctions.udf.CIQ($AI14, "IQ_TR_TARGET_STOCKPREMIUM_1W")/100)</f>
        <v>1.634881</v>
      </c>
      <c r="AG14" s="681">
        <f>IF((_xll.ciqfunctions.udf.CIQ($AI14, "IQ_TR_TARGET_STOCKPREMIUM_1M")/100)&lt;=0,"NM",_xll.ciqfunctions.udf.CIQ($AI14, "IQ_TR_TARGET_STOCKPREMIUM_1M")/100)</f>
        <v>1.3918000000000001</v>
      </c>
      <c r="AI14" s="682" t="str">
        <f>+'Capital IQ Sheet-STM'!AK14</f>
        <v>IQTR384028496</v>
      </c>
      <c r="AJ14" s="675" t="str">
        <f>_xll.ciqfunctions.udf.CIQ(AI14, "IQ_BUSINESS_DESCRIPTION")</f>
        <v>Vitae Pharmaceuticals, Inc., a biotechnology company, focuses on discovering and developing novel and small molecule drugs for diseases with unmet medical needs in the United States. Its products include VTP-43742 in Phase I clinical trial for the treatment of autoimmune disorders, including psoriasis, psoriatic arthritis, ankylosing spondylitis, inflammatory bowel disease, and multiple sclerosis; VTP-38543 in Phase IIa for the treatment of atopic dermatitis; and BI 1147560 for the treatment and prevention of Alzheimer's disease. The company’s products also include VTP-34072 that is in Phase II clinical trial for the treatment of type 2 diabetes; and VTP-38443 for the treatment of acute coronary syndrome. Vitae Pharmaceuticals, Inc. was founded in 2001 and is headquartered in Fort Washington, Pennsylvania. As of October 24, 2016, Vitae Pharmaceuticals, Inc. operates as a subsidiary of Allergan plc.</v>
      </c>
    </row>
    <row r="15" spans="2:36" s="675" customFormat="1" ht="12.75" customHeight="1">
      <c r="B15" s="674">
        <f>_xll.ciqfunctions.udf.CIQ($AI15,"IQ_TR_CLOSED_DATE")</f>
        <v>42613</v>
      </c>
      <c r="C15" s="675" t="str">
        <f>_xll.ciqfunctions.udf.CIQ($AI15,"IQ_TR_BUYERNAME")</f>
        <v>Vifor Pharma Ltd.</v>
      </c>
      <c r="D15" s="675" t="str">
        <f>_xll.ciqfunctions.udf.CIQ($AI15,"IQ_TR_TARGETNAME")</f>
        <v>Relypsa, Inc.</v>
      </c>
      <c r="E15" s="675" t="str">
        <f>_xll.ciqfunctions.udf.CIQ($AI15, "IQ_PRIMARY_INDUSTRY")</f>
        <v>Pharmaceuticals</v>
      </c>
      <c r="F15" s="676">
        <f>_xll.ciqfunctions.udf.CIQ($AI15, "IQ_TR_PCT_SOUGHT")/100</f>
        <v>1</v>
      </c>
      <c r="G15" s="677" t="str">
        <f>_xll.ciqfunctions.udf.CIQ(AI15, "IQ_TR_MAJ_MIN_STAKE")</f>
        <v>Majority</v>
      </c>
      <c r="I15" s="678">
        <f>_xll.ciqfunctions.udf.CIQ($AI15, "IQ_TR_IMPLIED_EV_FINAL", , $AJ$4,$AJ$5)</f>
        <v>1432.2870800000001</v>
      </c>
      <c r="J15" s="678">
        <f>IF(_xll.ciqfunctions.udf.CIQ(AI15, "IQ_TR_TOTAL_CASH")="n/a",0,_xll.ciqfunctions.udf.CIQ(AI15, "IQ_TR_TOTAL_CASH"))+IF(_xll.ciqfunctions.udf.CIQ(AI15, "IQ_TR_TOTAL_STOCK")="n/a",0,_xll.ciqfunctions.udf.CIQ(AI15, "IQ_TR_TOTAL_STOCK"))</f>
        <v>1468.1658600000001</v>
      </c>
      <c r="K15" s="152" t="str">
        <f>_xll.ciqfunctions.udf.CIQ(AI15, "IQ_TR_EARNOUTS")</f>
        <v>n/a</v>
      </c>
      <c r="L15" s="678">
        <f>IF(_xll.ciqfunctions.udf.CIQ($AI15, "IQ_TR_TOTAL_GROSS_TV",$AJ$4,$AJ$5)=0,"NA",_xll.ciqfunctions.udf.CIQ($AI15, "IQ_TR_TOTAL_GROSS_TV",,"USD"))</f>
        <v>1690.0130799999999</v>
      </c>
      <c r="M15" s="679"/>
      <c r="N15" s="678">
        <f>_xll.ciqfunctions.udf.CIQ($AI15, "IQ_TR_TARGET_TOTAL_REV",,$AJ$4,$AJ$5)</f>
        <v>36.152999999999999</v>
      </c>
      <c r="O15" s="678">
        <f>_xll.ciqfunctions.udf.CIQ($AI15, "IQ_TR_TARGET_EBITDA", , $AJ$4,$AJ$5)</f>
        <v>-228.55799999999999</v>
      </c>
      <c r="P15" s="678">
        <f>_xll.ciqfunctions.udf.CIQ($AI15, "IQ_TR_TARGET_EBIT", , $AJ$4,$AJ$5)</f>
        <v>-230.08199999999999</v>
      </c>
      <c r="Q15" s="679"/>
      <c r="R15" s="680">
        <f t="shared" si="0"/>
        <v>39.617378364174485</v>
      </c>
      <c r="S15" s="680">
        <f t="shared" si="0"/>
        <v>-6.2666241391681767</v>
      </c>
      <c r="T15" s="680">
        <f t="shared" si="0"/>
        <v>-6.2251157413443909</v>
      </c>
      <c r="U15" s="680">
        <f>IF(_xll.ciqfunctions.udf.CIQ($AI15, "IQ_TR_IMPLIED_EQ_BV")=0,"NA",_xll.ciqfunctions.udf.CIQ($AI15, "IQ_TR_IMPLIED_EQ_BV"))</f>
        <v>13.23626</v>
      </c>
      <c r="V15" s="680" t="str">
        <f>IF(_xll.ciqfunctions.udf.CIQ($AI15, "IQ_TR_IMPLIED_EQ_NI_LTM")=0,"NA",_xll.ciqfunctions.udf.CIQ($AI15, "IQ_TR_IMPLIED_EQ_NI_LTM"))</f>
        <v>NM</v>
      </c>
      <c r="W15" s="679"/>
      <c r="X15" s="678">
        <f>_xll.ciqfunctions.udf.CIQ($AI15, "IQ_TR_TARGET_REVENUE_EST",, $AJ$4,$AJ$5)</f>
        <v>32.769599999999997</v>
      </c>
      <c r="Y15" s="678">
        <f>_xll.ciqfunctions.udf.CIQ($AI15, "IQ_TR_TARGET_EBITDA_EST",, $AJ$4,$AJ$5)</f>
        <v>-245.57089999999999</v>
      </c>
      <c r="Z15" s="678" t="str">
        <f>_xll.ciqfunctions.udf.CIQ(AI15, "IQ_TR_IMPLIED_EV_EBIT_FWD")</f>
        <v>NM</v>
      </c>
      <c r="AA15" s="679"/>
      <c r="AB15" s="680">
        <f t="shared" si="1"/>
        <v>43.707798691470146</v>
      </c>
      <c r="AC15" s="680">
        <f t="shared" si="1"/>
        <v>-5.8324788482674457</v>
      </c>
      <c r="AD15" s="680" t="str">
        <f t="shared" si="1"/>
        <v>n/a</v>
      </c>
      <c r="AF15" s="681">
        <f>IF((_xll.ciqfunctions.udf.CIQ($AI15, "IQ_TR_TARGET_STOCKPREMIUM_1W")/100)&lt;=0,"NM",_xll.ciqfunctions.udf.CIQ($AI15, "IQ_TR_TARGET_STOCKPREMIUM_1W")/100)</f>
        <v>0.60561999999999994</v>
      </c>
      <c r="AG15" s="681">
        <f>IF((_xll.ciqfunctions.udf.CIQ($AI15, "IQ_TR_TARGET_STOCKPREMIUM_1M")/100)&lt;=0,"NM",_xll.ciqfunctions.udf.CIQ($AI15, "IQ_TR_TARGET_STOCKPREMIUM_1M")/100)</f>
        <v>0.88235299999999994</v>
      </c>
      <c r="AI15" s="682" t="str">
        <f>+'Capital IQ Sheet-STM'!AK15</f>
        <v>IQTR376799232</v>
      </c>
      <c r="AJ15" s="675" t="str">
        <f>_xll.ciqfunctions.udf.CIQ(AI15, "IQ_BUSINESS_DESCRIPTION")</f>
        <v>Relypsa, Inc., a biopharmaceutical company, focuses on the discovery, development, and commercialization of polymeric medicines for patients with conditions that are overlooked and undertreated and can be addressed in the gastrointestinal tract primarily in the United States. The company offers Veltassa (patiromer), a non-absorbed potassium binding polymer for the treatment of hyperkalemia. It has license agreement with Vifor Fresenius Medical Care Renal Pharma Ltd. for developing and commercializing Veltassa outside the United States and Japan. The company was founded in 2007 and is headquartered in Redwood City, California. As of August 31, 2016, Relypsa, Inc. operates as a subsidiary of Vifor Pharma Ltd.</v>
      </c>
    </row>
    <row r="16" spans="2:36" s="675" customFormat="1" ht="12.75" customHeight="1">
      <c r="B16" s="674">
        <f>_xll.ciqfunctions.udf.CIQ($AI16,"IQ_TR_CLOSED_DATE")</f>
        <v>42613</v>
      </c>
      <c r="C16" s="675" t="str">
        <f>_xll.ciqfunctions.udf.CIQ($AI16,"IQ_TR_BUYERNAME")</f>
        <v>OPKO Health, Inc.</v>
      </c>
      <c r="D16" s="675" t="str">
        <f>_xll.ciqfunctions.udf.CIQ($AI16,"IQ_TR_TARGETNAME")</f>
        <v>Transition Therapeutics Inc.</v>
      </c>
      <c r="E16" s="675" t="str">
        <f>_xll.ciqfunctions.udf.CIQ($AI16, "IQ_PRIMARY_INDUSTRY")</f>
        <v>Biotechnology</v>
      </c>
      <c r="F16" s="676">
        <f>_xll.ciqfunctions.udf.CIQ($AI16, "IQ_TR_PCT_SOUGHT")/100</f>
        <v>1</v>
      </c>
      <c r="G16" s="677" t="str">
        <f>_xll.ciqfunctions.udf.CIQ(AI16, "IQ_TR_MAJ_MIN_STAKE")</f>
        <v>Majority</v>
      </c>
      <c r="I16" s="678">
        <f>_xll.ciqfunctions.udf.CIQ($AI16, "IQ_TR_IMPLIED_EV_FINAL", , $AJ$4,$AJ$5)</f>
        <v>41.130989999999997</v>
      </c>
      <c r="J16" s="678">
        <f>IF(_xll.ciqfunctions.udf.CIQ(AI16, "IQ_TR_TOTAL_CASH")="n/a",0,_xll.ciqfunctions.udf.CIQ(AI16, "IQ_TR_TOTAL_CASH"))+IF(_xll.ciqfunctions.udf.CIQ(AI16, "IQ_TR_TOTAL_STOCK")="n/a",0,_xll.ciqfunctions.udf.CIQ(AI16, "IQ_TR_TOTAL_STOCK"))</f>
        <v>59.806919999999998</v>
      </c>
      <c r="K16" s="152" t="str">
        <f>_xll.ciqfunctions.udf.CIQ(AI16, "IQ_TR_EARNOUTS")</f>
        <v>n/a</v>
      </c>
      <c r="L16" s="678">
        <f>IF(_xll.ciqfunctions.udf.CIQ($AI16, "IQ_TR_TOTAL_GROSS_TV",$AJ$4,$AJ$5)=0,"NA",_xll.ciqfunctions.udf.CIQ($AI16, "IQ_TR_TOTAL_GROSS_TV",,"USD"))</f>
        <v>59.806919999999998</v>
      </c>
      <c r="M16" s="679"/>
      <c r="N16" s="678" t="str">
        <f>_xll.ciqfunctions.udf.CIQ($AI16, "IQ_TR_TARGET_TOTAL_REV",,$AJ$4,$AJ$5)</f>
        <v>n/a</v>
      </c>
      <c r="O16" s="678">
        <f>_xll.ciqfunctions.udf.CIQ($AI16, "IQ_TR_TARGET_EBITDA", , $AJ$4,$AJ$5)</f>
        <v>-19.4024</v>
      </c>
      <c r="P16" s="678">
        <f>_xll.ciqfunctions.udf.CIQ($AI16, "IQ_TR_TARGET_EBIT", , $AJ$4,$AJ$5)</f>
        <v>-19.957249999999998</v>
      </c>
      <c r="Q16" s="679"/>
      <c r="R16" s="680" t="str">
        <f t="shared" si="0"/>
        <v>n/a</v>
      </c>
      <c r="S16" s="680">
        <f t="shared" si="0"/>
        <v>-2.119891869047128</v>
      </c>
      <c r="T16" s="680">
        <f t="shared" si="0"/>
        <v>-2.0609547908654751</v>
      </c>
      <c r="U16" s="680">
        <f>IF(_xll.ciqfunctions.udf.CIQ($AI16, "IQ_TR_IMPLIED_EQ_BV")=0,"NA",_xll.ciqfunctions.udf.CIQ($AI16, "IQ_TR_IMPLIED_EQ_BV"))</f>
        <v>2.87737</v>
      </c>
      <c r="V16" s="680" t="str">
        <f>IF(_xll.ciqfunctions.udf.CIQ($AI16, "IQ_TR_IMPLIED_EQ_NI_LTM")=0,"NA",_xll.ciqfunctions.udf.CIQ($AI16, "IQ_TR_IMPLIED_EQ_NI_LTM"))</f>
        <v>NM</v>
      </c>
      <c r="W16" s="679"/>
      <c r="X16" s="678" t="str">
        <f>_xll.ciqfunctions.udf.CIQ($AI16, "IQ_TR_TARGET_REVENUE_EST",, $AJ$4,$AJ$5)</f>
        <v>n/a</v>
      </c>
      <c r="Y16" s="678">
        <f>_xll.ciqfunctions.udf.CIQ($AI16, "IQ_TR_TARGET_EBITDA_EST",, $AJ$4,$AJ$5)</f>
        <v>-11.43661</v>
      </c>
      <c r="Z16" s="678" t="str">
        <f>_xll.ciqfunctions.udf.CIQ(AI16, "IQ_TR_IMPLIED_EV_EBIT_FWD")</f>
        <v>NM</v>
      </c>
      <c r="AA16" s="679"/>
      <c r="AB16" s="680" t="str">
        <f t="shared" si="1"/>
        <v>n/a</v>
      </c>
      <c r="AC16" s="680">
        <f t="shared" si="1"/>
        <v>-3.5964319846527948</v>
      </c>
      <c r="AD16" s="680" t="str">
        <f t="shared" si="1"/>
        <v>n/a</v>
      </c>
      <c r="AF16" s="681">
        <f>IF((_xll.ciqfunctions.udf.CIQ($AI16, "IQ_TR_TARGET_STOCKPREMIUM_1W")/100)&lt;=0,"NM",_xll.ciqfunctions.udf.CIQ($AI16, "IQ_TR_TARGET_STOCKPREMIUM_1W")/100)</f>
        <v>1.041612</v>
      </c>
      <c r="AG16" s="681">
        <f>IF((_xll.ciqfunctions.udf.CIQ($AI16, "IQ_TR_TARGET_STOCKPREMIUM_1M")/100)&lt;=0,"NM",_xll.ciqfunctions.udf.CIQ($AI16, "IQ_TR_TARGET_STOCKPREMIUM_1M")/100)</f>
        <v>0.92382599999999993</v>
      </c>
      <c r="AI16" s="682" t="str">
        <f>+'Capital IQ Sheet-STM'!AK16</f>
        <v>IQTR370072353</v>
      </c>
      <c r="AJ16" s="675" t="str">
        <f>_xll.ciqfunctions.udf.CIQ(AI16, "IQ_BUSINESS_DESCRIPTION")</f>
        <v>Transition Therapeutics Inc., a biopharmaceutical company, researches and develops therapeutic agents for disease indications primarily in Canada. The company's lead central nervous system drug candidate is ELND005, which has completed a Phase II/III clinical trial for the treatment of agitation/aggression associated with Alzheimer's disease; and has completed Phase IIa clinical trial for the treatment of Down syndrome. Its lead metabolic drug candidate is TT401, which is in Phase II clinical study for the treatment of type 2 diabetes and accompanying obesity. The company is also developing TT701, a selective androgen receptor modulator for the treatment of androgen deficiencies. Transition Therapeutics Inc. has a licensing and collaboration agreement with Eli Lilly to develop and commercialize TT401; and to develop compounds in preclinical models to provide glycemic control and other beneficial effects, including weight loss. The company was formerly known as Transition Therapeutics and Diagnostics Inc. and changed its name to Transition Therapeutics Inc. in December 2000. Transition Therapeutics Inc. was founded in 1987 and is headquartered in Toronto, Canada. As of August 31, 2016, Transition Therapeutics Inc. operates as a subsidiary of Opko Health, Inc.</v>
      </c>
    </row>
    <row r="17" spans="2:36" s="675" customFormat="1" ht="12.75" customHeight="1">
      <c r="B17" s="674">
        <f>_xll.ciqfunctions.udf.CIQ($AI17,"IQ_TR_CLOSED_DATE")</f>
        <v>42583</v>
      </c>
      <c r="C17" s="675" t="str">
        <f>_xll.ciqfunctions.udf.CIQ($AI17,"IQ_TR_BUYERNAME")</f>
        <v>Pfizer Inc.</v>
      </c>
      <c r="D17" s="675" t="str">
        <f>_xll.ciqfunctions.udf.CIQ($AI17,"IQ_TR_TARGETNAME")</f>
        <v>Bamboo Therapeutics, Inc.</v>
      </c>
      <c r="E17" s="675" t="str">
        <f>_xll.ciqfunctions.udf.CIQ($AI17, "IQ_PRIMARY_INDUSTRY")</f>
        <v>Pharmaceuticals</v>
      </c>
      <c r="F17" s="676">
        <f>_xll.ciqfunctions.udf.CIQ($AI17, "IQ_TR_PCT_SOUGHT")/100</f>
        <v>0.78</v>
      </c>
      <c r="G17" s="677" t="str">
        <f>_xll.ciqfunctions.udf.CIQ(AI17, "IQ_TR_MAJ_MIN_STAKE")</f>
        <v>Majority</v>
      </c>
      <c r="I17" s="678">
        <f>_xll.ciqfunctions.udf.CIQ($AI17, "IQ_TR_IMPLIED_EV_FINAL", , $AJ$4,$AJ$5)</f>
        <v>687.30768999999998</v>
      </c>
      <c r="J17" s="678">
        <f>IF(_xll.ciqfunctions.udf.CIQ(AI17, "IQ_TR_TOTAL_CASH")="n/a",0,_xll.ciqfunctions.udf.CIQ(AI17, "IQ_TR_TOTAL_CASH"))+IF(_xll.ciqfunctions.udf.CIQ(AI17, "IQ_TR_TOTAL_STOCK")="n/a",0,_xll.ciqfunctions.udf.CIQ(AI17, "IQ_TR_TOTAL_STOCK"))</f>
        <v>150</v>
      </c>
      <c r="K17" s="152">
        <f>_xll.ciqfunctions.udf.CIQ(AI17, "IQ_TR_EARNOUTS")</f>
        <v>495</v>
      </c>
      <c r="L17" s="678">
        <f>IF(_xll.ciqfunctions.udf.CIQ($AI17, "IQ_TR_TOTAL_GROSS_TV",$AJ$4,$AJ$5)=0,"NA",_xll.ciqfunctions.udf.CIQ($AI17, "IQ_TR_TOTAL_GROSS_TV",,"USD"))</f>
        <v>645</v>
      </c>
      <c r="M17" s="679"/>
      <c r="N17" s="678" t="str">
        <f>_xll.ciqfunctions.udf.CIQ($AI17, "IQ_TR_TARGET_TOTAL_REV",,$AJ$4,$AJ$5)</f>
        <v>n/a</v>
      </c>
      <c r="O17" s="678" t="str">
        <f>_xll.ciqfunctions.udf.CIQ($AI17, "IQ_TR_TARGET_EBITDA", , $AJ$4,$AJ$5)</f>
        <v>n/a</v>
      </c>
      <c r="P17" s="678" t="str">
        <f>_xll.ciqfunctions.udf.CIQ($AI17, "IQ_TR_TARGET_EBIT", , $AJ$4,$AJ$5)</f>
        <v>n/a</v>
      </c>
      <c r="Q17" s="679"/>
      <c r="R17" s="680" t="str">
        <f t="shared" si="0"/>
        <v>n/a</v>
      </c>
      <c r="S17" s="680" t="str">
        <f t="shared" si="0"/>
        <v>n/a</v>
      </c>
      <c r="T17" s="680" t="str">
        <f t="shared" si="0"/>
        <v>n/a</v>
      </c>
      <c r="U17" s="680" t="str">
        <f>IF(_xll.ciqfunctions.udf.CIQ($AI17, "IQ_TR_IMPLIED_EQ_BV")=0,"NA",_xll.ciqfunctions.udf.CIQ($AI17, "IQ_TR_IMPLIED_EQ_BV"))</f>
        <v>n/a</v>
      </c>
      <c r="V17" s="680" t="str">
        <f>IF(_xll.ciqfunctions.udf.CIQ($AI17, "IQ_TR_IMPLIED_EQ_NI_LTM")=0,"NA",_xll.ciqfunctions.udf.CIQ($AI17, "IQ_TR_IMPLIED_EQ_NI_LTM"))</f>
        <v>n/a</v>
      </c>
      <c r="W17" s="679"/>
      <c r="X17" s="678" t="str">
        <f>_xll.ciqfunctions.udf.CIQ($AI17, "IQ_TR_TARGET_REVENUE_EST",, $AJ$4,$AJ$5)</f>
        <v>n/a</v>
      </c>
      <c r="Y17" s="678" t="str">
        <f>_xll.ciqfunctions.udf.CIQ($AI17, "IQ_TR_TARGET_EBITDA_EST",, $AJ$4,$AJ$5)</f>
        <v>n/a</v>
      </c>
      <c r="Z17" s="678" t="str">
        <f>_xll.ciqfunctions.udf.CIQ(AI17, "IQ_TR_IMPLIED_EV_EBIT_FWD")</f>
        <v>n/a</v>
      </c>
      <c r="AA17" s="679"/>
      <c r="AB17" s="680" t="str">
        <f t="shared" si="1"/>
        <v>n/a</v>
      </c>
      <c r="AC17" s="680" t="str">
        <f t="shared" si="1"/>
        <v>n/a</v>
      </c>
      <c r="AD17" s="680" t="str">
        <f t="shared" si="1"/>
        <v>n/a</v>
      </c>
      <c r="AF17" s="681" t="e">
        <f>IF((_xll.ciqfunctions.udf.CIQ($AI17, "IQ_TR_TARGET_STOCKPREMIUM_1W")/100)&lt;=0,"NM",_xll.ciqfunctions.udf.CIQ($AI17, "IQ_TR_TARGET_STOCKPREMIUM_1W")/100)</f>
        <v>#VALUE!</v>
      </c>
      <c r="AG17" s="681" t="e">
        <f>IF((_xll.ciqfunctions.udf.CIQ($AI17, "IQ_TR_TARGET_STOCKPREMIUM_1M")/100)&lt;=0,"NM",_xll.ciqfunctions.udf.CIQ($AI17, "IQ_TR_TARGET_STOCKPREMIUM_1M")/100)</f>
        <v>#VALUE!</v>
      </c>
      <c r="AI17" s="682" t="str">
        <f>+'Capital IQ Sheet-STM'!AK17</f>
        <v>IQTR378587822</v>
      </c>
      <c r="AJ17" s="675" t="str">
        <f>_xll.ciqfunctions.udf.CIQ(AI17, "IQ_BUSINESS_DESCRIPTION")</f>
        <v>Bamboo Therapeutics, Inc. develops therapies for rare and devastating central nervous system and neuromuscular diseases. It provides multiple research grade and clinical grade lots for pharmaceutical and biotechnology companies, as well as universities and foundations; and represents a community of researchers, clinicians, regulatory scientists, and business professionals committed to providing hope to patients suffering from devastating disease. The company was founded in 2014 and is based in Chapel Hill, North Carolina. As of August 1, 2016, Bamboo Therapeutics, Inc. operates as a subsidiary of Pfizer Inc.</v>
      </c>
    </row>
    <row r="18" spans="2:36" s="675" customFormat="1" ht="12.75" customHeight="1">
      <c r="B18" s="674">
        <f>_xll.ciqfunctions.udf.CIQ($AI18,"IQ_TR_CLOSED_DATE")</f>
        <v>42563</v>
      </c>
      <c r="C18" s="675" t="str">
        <f>_xll.ciqfunctions.udf.CIQ($AI18,"IQ_TR_BUYERNAME")</f>
        <v>Evelo Biosciences, Inc.</v>
      </c>
      <c r="D18" s="675" t="str">
        <f>_xll.ciqfunctions.udf.CIQ($AI18,"IQ_TR_TARGETNAME")</f>
        <v>Epiva Biosciences, Inc.</v>
      </c>
      <c r="E18" s="675" t="str">
        <f>_xll.ciqfunctions.udf.CIQ($AI18, "IQ_PRIMARY_INDUSTRY")</f>
        <v>Biotechnology</v>
      </c>
      <c r="F18" s="676">
        <f>_xll.ciqfunctions.udf.CIQ($AI18, "IQ_TR_PCT_SOUGHT")/100</f>
        <v>1</v>
      </c>
      <c r="G18" s="677" t="str">
        <f>_xll.ciqfunctions.udf.CIQ(AI18, "IQ_TR_MAJ_MIN_STAKE")</f>
        <v>Majority</v>
      </c>
      <c r="I18" s="678" t="str">
        <f>_xll.ciqfunctions.udf.CIQ($AI18, "IQ_TR_IMPLIED_EV_FINAL", , $AJ$4,$AJ$5)</f>
        <v>n/a</v>
      </c>
      <c r="J18" s="678">
        <f>IF(_xll.ciqfunctions.udf.CIQ(AI18, "IQ_TR_TOTAL_CASH")="n/a",0,_xll.ciqfunctions.udf.CIQ(AI18, "IQ_TR_TOTAL_CASH"))+IF(_xll.ciqfunctions.udf.CIQ(AI18, "IQ_TR_TOTAL_STOCK")="n/a",0,_xll.ciqfunctions.udf.CIQ(AI18, "IQ_TR_TOTAL_STOCK"))</f>
        <v>0</v>
      </c>
      <c r="K18" s="152" t="str">
        <f>_xll.ciqfunctions.udf.CIQ(AI18, "IQ_TR_EARNOUTS")</f>
        <v>n/a</v>
      </c>
      <c r="L18" s="678" t="str">
        <f>IF(_xll.ciqfunctions.udf.CIQ($AI18, "IQ_TR_TOTAL_GROSS_TV",$AJ$4,$AJ$5)=0,"NA",_xll.ciqfunctions.udf.CIQ($AI18, "IQ_TR_TOTAL_GROSS_TV",,"USD"))</f>
        <v>n/a</v>
      </c>
      <c r="M18" s="679"/>
      <c r="N18" s="678" t="str">
        <f>_xll.ciqfunctions.udf.CIQ($AI18, "IQ_TR_TARGET_TOTAL_REV",,$AJ$4,$AJ$5)</f>
        <v>n/a</v>
      </c>
      <c r="O18" s="678" t="str">
        <f>_xll.ciqfunctions.udf.CIQ($AI18, "IQ_TR_TARGET_EBITDA", , $AJ$4,$AJ$5)</f>
        <v>n/a</v>
      </c>
      <c r="P18" s="678" t="str">
        <f>_xll.ciqfunctions.udf.CIQ($AI18, "IQ_TR_TARGET_EBIT", , $AJ$4,$AJ$5)</f>
        <v>n/a</v>
      </c>
      <c r="Q18" s="679"/>
      <c r="R18" s="680" t="str">
        <f t="shared" si="0"/>
        <v>n/a</v>
      </c>
      <c r="S18" s="680" t="str">
        <f t="shared" si="0"/>
        <v>n/a</v>
      </c>
      <c r="T18" s="680" t="str">
        <f t="shared" si="0"/>
        <v>n/a</v>
      </c>
      <c r="U18" s="680" t="str">
        <f>IF(_xll.ciqfunctions.udf.CIQ($AI18, "IQ_TR_IMPLIED_EQ_BV")=0,"NA",_xll.ciqfunctions.udf.CIQ($AI18, "IQ_TR_IMPLIED_EQ_BV"))</f>
        <v>n/a</v>
      </c>
      <c r="V18" s="680" t="str">
        <f>IF(_xll.ciqfunctions.udf.CIQ($AI18, "IQ_TR_IMPLIED_EQ_NI_LTM")=0,"NA",_xll.ciqfunctions.udf.CIQ($AI18, "IQ_TR_IMPLIED_EQ_NI_LTM"))</f>
        <v>n/a</v>
      </c>
      <c r="W18" s="679"/>
      <c r="X18" s="678" t="str">
        <f>_xll.ciqfunctions.udf.CIQ($AI18, "IQ_TR_TARGET_REVENUE_EST",, $AJ$4,$AJ$5)</f>
        <v>n/a</v>
      </c>
      <c r="Y18" s="678" t="str">
        <f>_xll.ciqfunctions.udf.CIQ($AI18, "IQ_TR_TARGET_EBITDA_EST",, $AJ$4,$AJ$5)</f>
        <v>n/a</v>
      </c>
      <c r="Z18" s="678" t="str">
        <f>_xll.ciqfunctions.udf.CIQ(AI18, "IQ_TR_IMPLIED_EV_EBIT_FWD")</f>
        <v>n/a</v>
      </c>
      <c r="AA18" s="679"/>
      <c r="AB18" s="680" t="str">
        <f t="shared" si="1"/>
        <v>n/a</v>
      </c>
      <c r="AC18" s="680" t="str">
        <f t="shared" si="1"/>
        <v>n/a</v>
      </c>
      <c r="AD18" s="680" t="str">
        <f t="shared" si="1"/>
        <v>n/a</v>
      </c>
      <c r="AF18" s="681" t="e">
        <f>IF((_xll.ciqfunctions.udf.CIQ($AI18, "IQ_TR_TARGET_STOCKPREMIUM_1W")/100)&lt;=0,"NM",_xll.ciqfunctions.udf.CIQ($AI18, "IQ_TR_TARGET_STOCKPREMIUM_1W")/100)</f>
        <v>#VALUE!</v>
      </c>
      <c r="AG18" s="681" t="e">
        <f>IF((_xll.ciqfunctions.udf.CIQ($AI18, "IQ_TR_TARGET_STOCKPREMIUM_1M")/100)&lt;=0,"NM",_xll.ciqfunctions.udf.CIQ($AI18, "IQ_TR_TARGET_STOCKPREMIUM_1M")/100)</f>
        <v>#VALUE!</v>
      </c>
      <c r="AI18" s="682" t="str">
        <f>+'Capital IQ Sheet-STM'!AK18</f>
        <v>IQTR374331586</v>
      </c>
      <c r="AJ18" s="675" t="str">
        <f>_xll.ciqfunctions.udf.CIQ(AI18, "IQ_BUSINESS_DESCRIPTION")</f>
        <v>As of July 12, 2016, Epiva Biosciences, Inc. was acquired by Evelo Biosciences. Epiva Biosciences, Inc. develops immunobiotic therapeutics, a class of primed bacterial interventions designed to restore normo-biosis, the microbiome signature normally found in healthy people. It focuses on treating conditions characterized by inflammation and aberrant immune responses by modulating the systemic microbiome, the host immune-bacteria interface. The company was founded in 2015 and is based in Cambridge, Massachusetts.</v>
      </c>
    </row>
    <row r="19" spans="2:36" s="675" customFormat="1" ht="12.75" customHeight="1">
      <c r="B19" s="674">
        <f>_xll.ciqfunctions.udf.CIQ($AI19,"IQ_TR_CLOSED_DATE")</f>
        <v>42530</v>
      </c>
      <c r="C19" s="675" t="str">
        <f>_xll.ciqfunctions.udf.CIQ($AI19,"IQ_TR_BUYERNAME")</f>
        <v>Nexus BioPharma Corporation (nka:Nexus BioPharma, Inc.)</v>
      </c>
      <c r="D19" s="675" t="str">
        <f>_xll.ciqfunctions.udf.CIQ($AI19,"IQ_TR_TARGETNAME")</f>
        <v>Nexus BioPharma, Inc. Prior to Reverse merger with Nexus BioPharma Corporation</v>
      </c>
      <c r="E19" s="675" t="str">
        <f>_xll.ciqfunctions.udf.CIQ($AI19, "IQ_PRIMARY_INDUSTRY")</f>
        <v>Pharmaceuticals</v>
      </c>
      <c r="F19" s="676">
        <f>_xll.ciqfunctions.udf.CIQ($AI19, "IQ_TR_PCT_SOUGHT")/100</f>
        <v>1</v>
      </c>
      <c r="G19" s="677" t="str">
        <f>_xll.ciqfunctions.udf.CIQ(AI19, "IQ_TR_MAJ_MIN_STAKE")</f>
        <v>Majority</v>
      </c>
      <c r="I19" s="678" t="str">
        <f>_xll.ciqfunctions.udf.CIQ($AI19, "IQ_TR_IMPLIED_EV_FINAL", , $AJ$4,$AJ$5)</f>
        <v>n/a</v>
      </c>
      <c r="J19" s="678">
        <f>IF(_xll.ciqfunctions.udf.CIQ(AI19, "IQ_TR_TOTAL_CASH")="n/a",0,_xll.ciqfunctions.udf.CIQ(AI19, "IQ_TR_TOTAL_CASH"))+IF(_xll.ciqfunctions.udf.CIQ(AI19, "IQ_TR_TOTAL_STOCK")="n/a",0,_xll.ciqfunctions.udf.CIQ(AI19, "IQ_TR_TOTAL_STOCK"))</f>
        <v>0</v>
      </c>
      <c r="K19" s="152" t="str">
        <f>_xll.ciqfunctions.udf.CIQ(AI19, "IQ_TR_EARNOUTS")</f>
        <v>n/a</v>
      </c>
      <c r="L19" s="678" t="str">
        <f>IF(_xll.ciqfunctions.udf.CIQ($AI19, "IQ_TR_TOTAL_GROSS_TV",$AJ$4,$AJ$5)=0,"NA",_xll.ciqfunctions.udf.CIQ($AI19, "IQ_TR_TOTAL_GROSS_TV",,"USD"))</f>
        <v>n/a</v>
      </c>
      <c r="M19" s="679"/>
      <c r="N19" s="678" t="str">
        <f>_xll.ciqfunctions.udf.CIQ($AI19, "IQ_TR_TARGET_TOTAL_REV",,$AJ$4,$AJ$5)</f>
        <v>n/a</v>
      </c>
      <c r="O19" s="678" t="str">
        <f>_xll.ciqfunctions.udf.CIQ($AI19, "IQ_TR_TARGET_EBITDA", , $AJ$4,$AJ$5)</f>
        <v>n/a</v>
      </c>
      <c r="P19" s="678">
        <f>_xll.ciqfunctions.udf.CIQ($AI19, "IQ_TR_TARGET_EBIT", , $AJ$4,$AJ$5)</f>
        <v>-2.8979999999999999E-2</v>
      </c>
      <c r="Q19" s="679"/>
      <c r="R19" s="680" t="str">
        <f t="shared" si="0"/>
        <v>n/a</v>
      </c>
      <c r="S19" s="680" t="str">
        <f t="shared" si="0"/>
        <v>n/a</v>
      </c>
      <c r="T19" s="680" t="str">
        <f t="shared" si="0"/>
        <v>n/a</v>
      </c>
      <c r="U19" s="680" t="str">
        <f>IF(_xll.ciqfunctions.udf.CIQ($AI19, "IQ_TR_IMPLIED_EQ_BV")=0,"NA",_xll.ciqfunctions.udf.CIQ($AI19, "IQ_TR_IMPLIED_EQ_BV"))</f>
        <v>n/a</v>
      </c>
      <c r="V19" s="680" t="str">
        <f>IF(_xll.ciqfunctions.udf.CIQ($AI19, "IQ_TR_IMPLIED_EQ_NI_LTM")=0,"NA",_xll.ciqfunctions.udf.CIQ($AI19, "IQ_TR_IMPLIED_EQ_NI_LTM"))</f>
        <v>n/a</v>
      </c>
      <c r="W19" s="679"/>
      <c r="X19" s="678" t="str">
        <f>_xll.ciqfunctions.udf.CIQ($AI19, "IQ_TR_TARGET_REVENUE_EST",, $AJ$4,$AJ$5)</f>
        <v>n/a</v>
      </c>
      <c r="Y19" s="678" t="str">
        <f>_xll.ciqfunctions.udf.CIQ($AI19, "IQ_TR_TARGET_EBITDA_EST",, $AJ$4,$AJ$5)</f>
        <v>n/a</v>
      </c>
      <c r="Z19" s="678" t="str">
        <f>_xll.ciqfunctions.udf.CIQ(AI19, "IQ_TR_IMPLIED_EV_EBIT_FWD")</f>
        <v>n/a</v>
      </c>
      <c r="AA19" s="679"/>
      <c r="AB19" s="680" t="str">
        <f t="shared" si="1"/>
        <v>n/a</v>
      </c>
      <c r="AC19" s="680" t="str">
        <f t="shared" si="1"/>
        <v>n/a</v>
      </c>
      <c r="AD19" s="680" t="str">
        <f t="shared" si="1"/>
        <v>n/a</v>
      </c>
      <c r="AF19" s="681" t="e">
        <f>IF((_xll.ciqfunctions.udf.CIQ($AI19, "IQ_TR_TARGET_STOCKPREMIUM_1W")/100)&lt;=0,"NM",_xll.ciqfunctions.udf.CIQ($AI19, "IQ_TR_TARGET_STOCKPREMIUM_1W")/100)</f>
        <v>#VALUE!</v>
      </c>
      <c r="AG19" s="681" t="e">
        <f>IF((_xll.ciqfunctions.udf.CIQ($AI19, "IQ_TR_TARGET_STOCKPREMIUM_1M")/100)&lt;=0,"NM",_xll.ciqfunctions.udf.CIQ($AI19, "IQ_TR_TARGET_STOCKPREMIUM_1M")/100)</f>
        <v>#VALUE!</v>
      </c>
      <c r="AI19" s="682" t="str">
        <f>+'Capital IQ Sheet-STM'!AK19</f>
        <v>IQTR340704865</v>
      </c>
      <c r="AJ19" s="675" t="str">
        <f>_xll.ciqfunctions.udf.CIQ(AI19, "IQ_BUSINESS_DESCRIPTION")</f>
        <v>As of June 9, 2016, Nexus BioPharma, Inc. was acquired by Nexus BioPharma Corporation, in a reverse merger transaction. Nexus BioPharma, Inc., a life science company, develops and commercializes drugs for transformative obesity and diabetes treatments. The company was formerly known as Plata Resources, Inc. and changed its name to Nexus BioPharma, Inc. in May 2016. Nexus BioPharma, Inc. was incorporated in 2007 and is based in Montclair, New Jersey.</v>
      </c>
    </row>
    <row r="20" spans="2:36" s="675" customFormat="1" ht="12.75" customHeight="1">
      <c r="B20" s="674">
        <f>_xll.ciqfunctions.udf.CIQ($AI20,"IQ_TR_CLOSED_DATE")</f>
        <v>42478</v>
      </c>
      <c r="C20" s="675" t="str">
        <f>_xll.ciqfunctions.udf.CIQ($AI20,"IQ_TR_BUYERNAME")</f>
        <v>Acorda Therapeutics, Inc.</v>
      </c>
      <c r="D20" s="675" t="str">
        <f>_xll.ciqfunctions.udf.CIQ($AI20,"IQ_TR_TARGETNAME")</f>
        <v>Biotie Therapies Corp.</v>
      </c>
      <c r="E20" s="675" t="str">
        <f>_xll.ciqfunctions.udf.CIQ($AI20, "IQ_PRIMARY_INDUSTRY")</f>
        <v>Biotechnology</v>
      </c>
      <c r="F20" s="676">
        <f>_xll.ciqfunctions.udf.CIQ($AI20, "IQ_TR_PCT_SOUGHT")/100</f>
        <v>1</v>
      </c>
      <c r="G20" s="677" t="str">
        <f>_xll.ciqfunctions.udf.CIQ(AI20, "IQ_TR_MAJ_MIN_STAKE")</f>
        <v>Majority</v>
      </c>
      <c r="I20" s="678">
        <f>_xll.ciqfunctions.udf.CIQ($AI20, "IQ_TR_IMPLIED_EV_FINAL", , $AJ$4,$AJ$5)</f>
        <v>277.68808999999999</v>
      </c>
      <c r="J20" s="678">
        <f>IF(_xll.ciqfunctions.udf.CIQ(AI20, "IQ_TR_TOTAL_CASH")="n/a",0,_xll.ciqfunctions.udf.CIQ(AI20, "IQ_TR_TOTAL_CASH"))+IF(_xll.ciqfunctions.udf.CIQ(AI20, "IQ_TR_TOTAL_STOCK")="n/a",0,_xll.ciqfunctions.udf.CIQ(AI20, "IQ_TR_TOTAL_STOCK"))</f>
        <v>315.01560000000001</v>
      </c>
      <c r="K20" s="152" t="str">
        <f>_xll.ciqfunctions.udf.CIQ(AI20, "IQ_TR_EARNOUTS")</f>
        <v>n/a</v>
      </c>
      <c r="L20" s="678">
        <f>IF(_xll.ciqfunctions.udf.CIQ($AI20, "IQ_TR_TOTAL_GROSS_TV",$AJ$4,$AJ$5)=0,"NA",_xll.ciqfunctions.udf.CIQ($AI20, "IQ_TR_TOTAL_GROSS_TV",,"USD"))</f>
        <v>341.63574</v>
      </c>
      <c r="M20" s="679"/>
      <c r="N20" s="678">
        <f>_xll.ciqfunctions.udf.CIQ($AI20, "IQ_TR_TARGET_TOTAL_REV",,$AJ$4,$AJ$5)</f>
        <v>4.0726000000000004</v>
      </c>
      <c r="O20" s="678">
        <f>_xll.ciqfunctions.udf.CIQ($AI20, "IQ_TR_TARGET_EBITDA", , $AJ$4,$AJ$5)</f>
        <v>-31.66621</v>
      </c>
      <c r="P20" s="678">
        <f>_xll.ciqfunctions.udf.CIQ($AI20, "IQ_TR_TARGET_EBIT", , $AJ$4,$AJ$5)</f>
        <v>-31.935469999999999</v>
      </c>
      <c r="Q20" s="679"/>
      <c r="R20" s="680">
        <f t="shared" si="0"/>
        <v>68.184474291607316</v>
      </c>
      <c r="S20" s="680">
        <f t="shared" si="0"/>
        <v>-8.7692240403887922</v>
      </c>
      <c r="T20" s="680">
        <f t="shared" si="0"/>
        <v>-8.6952874030036202</v>
      </c>
      <c r="U20" s="680">
        <f>IF(_xll.ciqfunctions.udf.CIQ($AI20, "IQ_TR_IMPLIED_EQ_BV")=0,"NA",_xll.ciqfunctions.udf.CIQ($AI20, "IQ_TR_IMPLIED_EQ_BV"))</f>
        <v>2.7334399999999999</v>
      </c>
      <c r="V20" s="680" t="str">
        <f>IF(_xll.ciqfunctions.udf.CIQ($AI20, "IQ_TR_IMPLIED_EQ_NI_LTM")=0,"NA",_xll.ciqfunctions.udf.CIQ($AI20, "IQ_TR_IMPLIED_EQ_NI_LTM"))</f>
        <v>NM</v>
      </c>
      <c r="W20" s="679"/>
      <c r="X20" s="678">
        <f>_xll.ciqfunctions.udf.CIQ($AI20, "IQ_TR_TARGET_REVENUE_EST",, $AJ$4,$AJ$5)</f>
        <v>8.5010100000000008</v>
      </c>
      <c r="Y20" s="678">
        <f>_xll.ciqfunctions.udf.CIQ($AI20, "IQ_TR_TARGET_EBITDA_EST",, $AJ$4,$AJ$5)</f>
        <v>-32.854849999999999</v>
      </c>
      <c r="Z20" s="678" t="str">
        <f>_xll.ciqfunctions.udf.CIQ(AI20, "IQ_TR_IMPLIED_EV_EBIT_FWD")</f>
        <v>NM</v>
      </c>
      <c r="AA20" s="679"/>
      <c r="AB20" s="680">
        <f t="shared" si="1"/>
        <v>32.665305651916647</v>
      </c>
      <c r="AC20" s="680">
        <f t="shared" si="1"/>
        <v>-8.4519664524415727</v>
      </c>
      <c r="AD20" s="680" t="str">
        <f t="shared" si="1"/>
        <v>n/a</v>
      </c>
      <c r="AF20" s="681">
        <f>IF((_xll.ciqfunctions.udf.CIQ($AI20, "IQ_TR_TARGET_STOCKPREMIUM_1W")/100)&lt;=0,"NM",_xll.ciqfunctions.udf.CIQ($AI20, "IQ_TR_TARGET_STOCKPREMIUM_1W")/100)</f>
        <v>1.9670570000000001</v>
      </c>
      <c r="AG20" s="681">
        <f>IF((_xll.ciqfunctions.udf.CIQ($AI20, "IQ_TR_TARGET_STOCKPREMIUM_1M")/100)&lt;=0,"NM",_xll.ciqfunctions.udf.CIQ($AI20, "IQ_TR_TARGET_STOCKPREMIUM_1M")/100)</f>
        <v>1.9121109999999999</v>
      </c>
      <c r="AI20" s="682" t="str">
        <f>+'Capital IQ Sheet-STM'!AK20</f>
        <v>IQTR322467625</v>
      </c>
      <c r="AJ20" s="675" t="str">
        <f>_xll.ciqfunctions.udf.CIQ(AI20, "IQ_BUSINESS_DESCRIPTION")</f>
        <v>Biotie Therapies Corp., a biopharmaceutical company, primarily focuses on developing and selling therapeutics for central nervous system disorders in Finland and the United States. The company offers Selincro (nalmefene), a dual-acting opioid system modulator that reduces alcohol consumption in alcohol dependent individuals; and Tozadenant (SYN115), an oral, potent and selective adenosine A2a receptor antagonist, which is in Phase III clinical study for the treatment of Parkinson’s disease. It also provides SYN120, an oral, potent, dual antagonist of the 5-HT6 and 5-HT2A receptors that has been completed single and multiple ascending dose Phase I clinical studies and a Phase I positron emission tomography imaging study to determine therapeutic dose for subsequent Phase II studies; and BTT1023, a human monoclonal antibody that binds to vascular adhesion protein 1, which is in Phase II clinical trial received orphan drug designation for the treatment of primary sclerosing cholangitis. Biotie Therapies Corp. is headquartered in Turku, Finland. As of April 18, 2016, Biotie Therapies Corp. operates as a subsidiary of Acorda Therapeutics, Inc.</v>
      </c>
    </row>
    <row r="21" spans="2:36" s="675" customFormat="1" ht="12.75" customHeight="1">
      <c r="B21" s="674">
        <f>_xll.ciqfunctions.udf.CIQ($AI21,"IQ_TR_CLOSED_DATE")</f>
        <v>42410</v>
      </c>
      <c r="C21" s="675" t="str">
        <f>_xll.ciqfunctions.udf.CIQ($AI21,"IQ_TR_BUYERNAME")</f>
        <v>4D pharma plc</v>
      </c>
      <c r="D21" s="675" t="str">
        <f>_xll.ciqfunctions.udf.CIQ($AI21,"IQ_TR_TARGETNAME")</f>
        <v>Tucana Health Limited</v>
      </c>
      <c r="E21" s="675" t="str">
        <f>_xll.ciqfunctions.udf.CIQ($AI21, "IQ_PRIMARY_INDUSTRY")</f>
        <v>Biotechnology</v>
      </c>
      <c r="F21" s="676">
        <f>_xll.ciqfunctions.udf.CIQ($AI21, "IQ_TR_PCT_SOUGHT")/100</f>
        <v>1</v>
      </c>
      <c r="G21" s="677" t="str">
        <f>_xll.ciqfunctions.udf.CIQ(AI21, "IQ_TR_MAJ_MIN_STAKE")</f>
        <v>Majority</v>
      </c>
      <c r="I21" s="678">
        <f>_xll.ciqfunctions.udf.CIQ($AI21, "IQ_TR_IMPLIED_EV_FINAL", , $AJ$4,$AJ$5)</f>
        <v>15.418100000000001</v>
      </c>
      <c r="J21" s="678">
        <f>IF(_xll.ciqfunctions.udf.CIQ(AI21, "IQ_TR_TOTAL_CASH")="n/a",0,_xll.ciqfunctions.udf.CIQ(AI21, "IQ_TR_TOTAL_CASH"))+IF(_xll.ciqfunctions.udf.CIQ(AI21, "IQ_TR_TOTAL_STOCK")="n/a",0,_xll.ciqfunctions.udf.CIQ(AI21, "IQ_TR_TOTAL_STOCK"))</f>
        <v>4.4879499999999997</v>
      </c>
      <c r="K21" s="152">
        <f>_xll.ciqfunctions.udf.CIQ(AI21, "IQ_TR_EARNOUTS")</f>
        <v>10.930149999999999</v>
      </c>
      <c r="L21" s="678">
        <f>IF(_xll.ciqfunctions.udf.CIQ($AI21, "IQ_TR_TOTAL_GROSS_TV",$AJ$4,$AJ$5)=0,"NA",_xll.ciqfunctions.udf.CIQ($AI21, "IQ_TR_TOTAL_GROSS_TV",,"USD"))</f>
        <v>15.418100000000001</v>
      </c>
      <c r="M21" s="679"/>
      <c r="N21" s="678" t="str">
        <f>_xll.ciqfunctions.udf.CIQ($AI21, "IQ_TR_TARGET_TOTAL_REV",,$AJ$4,$AJ$5)</f>
        <v>n/a</v>
      </c>
      <c r="O21" s="678" t="str">
        <f>_xll.ciqfunctions.udf.CIQ($AI21, "IQ_TR_TARGET_EBITDA", , $AJ$4,$AJ$5)</f>
        <v>n/a</v>
      </c>
      <c r="P21" s="678" t="str">
        <f>_xll.ciqfunctions.udf.CIQ($AI21, "IQ_TR_TARGET_EBIT", , $AJ$4,$AJ$5)</f>
        <v>n/a</v>
      </c>
      <c r="Q21" s="679"/>
      <c r="R21" s="680" t="str">
        <f t="shared" si="0"/>
        <v>n/a</v>
      </c>
      <c r="S21" s="680" t="str">
        <f t="shared" si="0"/>
        <v>n/a</v>
      </c>
      <c r="T21" s="680" t="str">
        <f t="shared" si="0"/>
        <v>n/a</v>
      </c>
      <c r="U21" s="680" t="str">
        <f>IF(_xll.ciqfunctions.udf.CIQ($AI21, "IQ_TR_IMPLIED_EQ_BV")=0,"NA",_xll.ciqfunctions.udf.CIQ($AI21, "IQ_TR_IMPLIED_EQ_BV"))</f>
        <v>n/a</v>
      </c>
      <c r="V21" s="680" t="str">
        <f>IF(_xll.ciqfunctions.udf.CIQ($AI21, "IQ_TR_IMPLIED_EQ_NI_LTM")=0,"NA",_xll.ciqfunctions.udf.CIQ($AI21, "IQ_TR_IMPLIED_EQ_NI_LTM"))</f>
        <v>n/a</v>
      </c>
      <c r="W21" s="679"/>
      <c r="X21" s="678" t="str">
        <f>_xll.ciqfunctions.udf.CIQ($AI21, "IQ_TR_TARGET_REVENUE_EST",, $AJ$4,$AJ$5)</f>
        <v>n/a</v>
      </c>
      <c r="Y21" s="678" t="str">
        <f>_xll.ciqfunctions.udf.CIQ($AI21, "IQ_TR_TARGET_EBITDA_EST",, $AJ$4,$AJ$5)</f>
        <v>n/a</v>
      </c>
      <c r="Z21" s="678" t="str">
        <f>_xll.ciqfunctions.udf.CIQ(AI21, "IQ_TR_IMPLIED_EV_EBIT_FWD")</f>
        <v>n/a</v>
      </c>
      <c r="AA21" s="679"/>
      <c r="AB21" s="680" t="str">
        <f t="shared" si="1"/>
        <v>n/a</v>
      </c>
      <c r="AC21" s="680" t="str">
        <f t="shared" si="1"/>
        <v>n/a</v>
      </c>
      <c r="AD21" s="680" t="str">
        <f t="shared" si="1"/>
        <v>n/a</v>
      </c>
      <c r="AF21" s="681" t="e">
        <f>IF((_xll.ciqfunctions.udf.CIQ($AI21, "IQ_TR_TARGET_STOCKPREMIUM_1W")/100)&lt;=0,"NM",_xll.ciqfunctions.udf.CIQ($AI21, "IQ_TR_TARGET_STOCKPREMIUM_1W")/100)</f>
        <v>#VALUE!</v>
      </c>
      <c r="AG21" s="681" t="e">
        <f>IF((_xll.ciqfunctions.udf.CIQ($AI21, "IQ_TR_TARGET_STOCKPREMIUM_1M")/100)&lt;=0,"NM",_xll.ciqfunctions.udf.CIQ($AI21, "IQ_TR_TARGET_STOCKPREMIUM_1M")/100)</f>
        <v>#VALUE!</v>
      </c>
      <c r="AI21" s="682" t="str">
        <f>+'Capital IQ Sheet-STM'!AK21</f>
        <v>IQTR325233461</v>
      </c>
      <c r="AJ21" s="675" t="str">
        <f>_xll.ciqfunctions.udf.CIQ(AI21, "IQ_BUSINESS_DESCRIPTION")</f>
        <v>Tucana Health Limited investigates the use of microbiome signatures to aid the diagnosis and treatment of diseases. The company was incorporated in 2016 and is based in Dublin, Ireland. As of February 10, 2016, Tucana Health Limited operates as a subsidiary of 4D pharma plc.</v>
      </c>
    </row>
    <row r="22" spans="2:36" s="675" customFormat="1" ht="12.75" customHeight="1">
      <c r="B22" s="674">
        <f>_xll.ciqfunctions.udf.CIQ($AI22,"IQ_TR_CLOSED_DATE")</f>
        <v>42404</v>
      </c>
      <c r="C22" s="675" t="str">
        <f>_xll.ciqfunctions.udf.CIQ($AI22,"IQ_TR_BUYERNAME")</f>
        <v>Vertical / Trigen Holdings LLC</v>
      </c>
      <c r="D22" s="675" t="str">
        <f>_xll.ciqfunctions.udf.CIQ($AI22,"IQ_TR_TARGETNAME")</f>
        <v>Osmotica Pharmaceutical Corp.</v>
      </c>
      <c r="E22" s="675" t="str">
        <f>_xll.ciqfunctions.udf.CIQ($AI22, "IQ_PRIMARY_INDUSTRY")</f>
        <v>Pharmaceuticals</v>
      </c>
      <c r="F22" s="676">
        <f>_xll.ciqfunctions.udf.CIQ($AI22, "IQ_TR_PCT_SOUGHT")/100</f>
        <v>1</v>
      </c>
      <c r="G22" s="677" t="str">
        <f>_xll.ciqfunctions.udf.CIQ(AI22, "IQ_TR_MAJ_MIN_STAKE")</f>
        <v>Majority</v>
      </c>
      <c r="I22" s="678" t="str">
        <f>_xll.ciqfunctions.udf.CIQ($AI22, "IQ_TR_IMPLIED_EV_FINAL", , $AJ$4,$AJ$5)</f>
        <v>n/a</v>
      </c>
      <c r="J22" s="678">
        <f>IF(_xll.ciqfunctions.udf.CIQ(AI22, "IQ_TR_TOTAL_CASH")="n/a",0,_xll.ciqfunctions.udf.CIQ(AI22, "IQ_TR_TOTAL_CASH"))+IF(_xll.ciqfunctions.udf.CIQ(AI22, "IQ_TR_TOTAL_STOCK")="n/a",0,_xll.ciqfunctions.udf.CIQ(AI22, "IQ_TR_TOTAL_STOCK"))</f>
        <v>0</v>
      </c>
      <c r="K22" s="152" t="str">
        <f>_xll.ciqfunctions.udf.CIQ(AI22, "IQ_TR_EARNOUTS")</f>
        <v>n/a</v>
      </c>
      <c r="L22" s="678" t="str">
        <f>IF(_xll.ciqfunctions.udf.CIQ($AI22, "IQ_TR_TOTAL_GROSS_TV",$AJ$4,$AJ$5)=0,"NA",_xll.ciqfunctions.udf.CIQ($AI22, "IQ_TR_TOTAL_GROSS_TV",,"USD"))</f>
        <v>n/a</v>
      </c>
      <c r="M22" s="679"/>
      <c r="N22" s="678" t="str">
        <f>_xll.ciqfunctions.udf.CIQ($AI22, "IQ_TR_TARGET_TOTAL_REV",,$AJ$4,$AJ$5)</f>
        <v>n/a</v>
      </c>
      <c r="O22" s="678" t="str">
        <f>_xll.ciqfunctions.udf.CIQ($AI22, "IQ_TR_TARGET_EBITDA", , $AJ$4,$AJ$5)</f>
        <v>n/a</v>
      </c>
      <c r="P22" s="678" t="str">
        <f>_xll.ciqfunctions.udf.CIQ($AI22, "IQ_TR_TARGET_EBIT", , $AJ$4,$AJ$5)</f>
        <v>n/a</v>
      </c>
      <c r="Q22" s="679"/>
      <c r="R22" s="680" t="str">
        <f t="shared" si="0"/>
        <v>n/a</v>
      </c>
      <c r="S22" s="680" t="str">
        <f t="shared" si="0"/>
        <v>n/a</v>
      </c>
      <c r="T22" s="680" t="str">
        <f t="shared" si="0"/>
        <v>n/a</v>
      </c>
      <c r="U22" s="680" t="str">
        <f>IF(_xll.ciqfunctions.udf.CIQ($AI22, "IQ_TR_IMPLIED_EQ_BV")=0,"NA",_xll.ciqfunctions.udf.CIQ($AI22, "IQ_TR_IMPLIED_EQ_BV"))</f>
        <v>n/a</v>
      </c>
      <c r="V22" s="680" t="str">
        <f>IF(_xll.ciqfunctions.udf.CIQ($AI22, "IQ_TR_IMPLIED_EQ_NI_LTM")=0,"NA",_xll.ciqfunctions.udf.CIQ($AI22, "IQ_TR_IMPLIED_EQ_NI_LTM"))</f>
        <v>n/a</v>
      </c>
      <c r="W22" s="679"/>
      <c r="X22" s="678" t="str">
        <f>_xll.ciqfunctions.udf.CIQ($AI22, "IQ_TR_TARGET_REVENUE_EST",, $AJ$4,$AJ$5)</f>
        <v>n/a</v>
      </c>
      <c r="Y22" s="678" t="str">
        <f>_xll.ciqfunctions.udf.CIQ($AI22, "IQ_TR_TARGET_EBITDA_EST",, $AJ$4,$AJ$5)</f>
        <v>n/a</v>
      </c>
      <c r="Z22" s="678" t="str">
        <f>_xll.ciqfunctions.udf.CIQ(AI22, "IQ_TR_IMPLIED_EV_EBIT_FWD")</f>
        <v>n/a</v>
      </c>
      <c r="AA22" s="679"/>
      <c r="AB22" s="680" t="str">
        <f t="shared" si="1"/>
        <v>n/a</v>
      </c>
      <c r="AC22" s="680" t="str">
        <f t="shared" si="1"/>
        <v>n/a</v>
      </c>
      <c r="AD22" s="680" t="str">
        <f t="shared" si="1"/>
        <v>n/a</v>
      </c>
      <c r="AF22" s="681" t="e">
        <f>IF((_xll.ciqfunctions.udf.CIQ($AI22, "IQ_TR_TARGET_STOCKPREMIUM_1W")/100)&lt;=0,"NM",_xll.ciqfunctions.udf.CIQ($AI22, "IQ_TR_TARGET_STOCKPREMIUM_1W")/100)</f>
        <v>#VALUE!</v>
      </c>
      <c r="AG22" s="681" t="e">
        <f>IF((_xll.ciqfunctions.udf.CIQ($AI22, "IQ_TR_TARGET_STOCKPREMIUM_1M")/100)&lt;=0,"NM",_xll.ciqfunctions.udf.CIQ($AI22, "IQ_TR_TARGET_STOCKPREMIUM_1M")/100)</f>
        <v>#VALUE!</v>
      </c>
      <c r="AI22" s="682" t="str">
        <f>+'Capital IQ Sheet-STM'!AK22</f>
        <v>IQTR318542210</v>
      </c>
      <c r="AJ22" s="675" t="str">
        <f>_xll.ciqfunctions.udf.CIQ(AI22, "IQ_BUSINESS_DESCRIPTION")</f>
        <v>Osmotica Pharmaceutical Corp., a specialty pharmaceutical company, develops branded and generic pharmaceutical products. The company provides a portfolio of products in various stages of development focused on the treatment of movement disorders, such as MS and Parkinson's disease. Its products pipeline includes various central nervous system and neurology-based therapeutic drugs, such as nifedipine, oxybutynin, venlafaxine, and desvenlafaxine extended release tablets. Osmotica Pharmaceutical Corp. was formerly known as Osmotica USA Corp. The company was founded in 1986 and is based in Marietta, Georgia. It has principal operations in the United States, Argentina, and Hungary; and manufacturing facilities in the United States and Spain. As of February 4, 2016, Osmotica Pharmaceutical Corp. operates as a subsidiary of Vertical / Trigen Holdings LLC.</v>
      </c>
    </row>
    <row r="23" spans="2:36" s="675" customFormat="1" ht="12.75" customHeight="1">
      <c r="B23" s="674">
        <f>_xll.ciqfunctions.udf.CIQ($AI23,"IQ_TR_CLOSED_DATE")</f>
        <v>42307</v>
      </c>
      <c r="C23" s="675" t="str">
        <f>_xll.ciqfunctions.udf.CIQ($AI23,"IQ_TR_BUYERNAME")</f>
        <v>Novo Nordisk A/S</v>
      </c>
      <c r="D23" s="675" t="str">
        <f>_xll.ciqfunctions.udf.CIQ($AI23,"IQ_TR_TARGETNAME")</f>
        <v>Calibrium LLC and MB2 LLC</v>
      </c>
      <c r="E23" s="675" t="str">
        <f>_xll.ciqfunctions.udf.CIQ($AI23, "IQ_PRIMARY_INDUSTRY")</f>
        <v>Biotechnology</v>
      </c>
      <c r="F23" s="676">
        <f>_xll.ciqfunctions.udf.CIQ($AI23, "IQ_TR_PCT_SOUGHT")/100</f>
        <v>1</v>
      </c>
      <c r="G23" s="677" t="str">
        <f>_xll.ciqfunctions.udf.CIQ(AI23, "IQ_TR_MAJ_MIN_STAKE")</f>
        <v>Majority</v>
      </c>
      <c r="I23" s="678" t="str">
        <f>_xll.ciqfunctions.udf.CIQ($AI23, "IQ_TR_IMPLIED_EV_FINAL", , $AJ$4,$AJ$5)</f>
        <v>n/a</v>
      </c>
      <c r="J23" s="678">
        <f>IF(_xll.ciqfunctions.udf.CIQ(AI23, "IQ_TR_TOTAL_CASH")="n/a",0,_xll.ciqfunctions.udf.CIQ(AI23, "IQ_TR_TOTAL_CASH"))+IF(_xll.ciqfunctions.udf.CIQ(AI23, "IQ_TR_TOTAL_STOCK")="n/a",0,_xll.ciqfunctions.udf.CIQ(AI23, "IQ_TR_TOTAL_STOCK"))</f>
        <v>0</v>
      </c>
      <c r="K23" s="152" t="str">
        <f>_xll.ciqfunctions.udf.CIQ(AI23, "IQ_TR_EARNOUTS")</f>
        <v>n/a</v>
      </c>
      <c r="L23" s="678" t="str">
        <f>IF(_xll.ciqfunctions.udf.CIQ($AI23, "IQ_TR_TOTAL_GROSS_TV",$AJ$4,$AJ$5)=0,"NA",_xll.ciqfunctions.udf.CIQ($AI23, "IQ_TR_TOTAL_GROSS_TV",,"USD"))</f>
        <v>n/a</v>
      </c>
      <c r="M23" s="679"/>
      <c r="N23" s="678" t="str">
        <f>_xll.ciqfunctions.udf.CIQ($AI23, "IQ_TR_TARGET_TOTAL_REV",,$AJ$4,$AJ$5)</f>
        <v>n/a</v>
      </c>
      <c r="O23" s="678" t="str">
        <f>_xll.ciqfunctions.udf.CIQ($AI23, "IQ_TR_TARGET_EBITDA", , $AJ$4,$AJ$5)</f>
        <v>n/a</v>
      </c>
      <c r="P23" s="678" t="str">
        <f>_xll.ciqfunctions.udf.CIQ($AI23, "IQ_TR_TARGET_EBIT", , $AJ$4,$AJ$5)</f>
        <v>n/a</v>
      </c>
      <c r="Q23" s="679"/>
      <c r="R23" s="680" t="str">
        <f t="shared" si="0"/>
        <v>n/a</v>
      </c>
      <c r="S23" s="680" t="str">
        <f t="shared" si="0"/>
        <v>n/a</v>
      </c>
      <c r="T23" s="680" t="str">
        <f t="shared" si="0"/>
        <v>n/a</v>
      </c>
      <c r="U23" s="680" t="str">
        <f>IF(_xll.ciqfunctions.udf.CIQ($AI23, "IQ_TR_IMPLIED_EQ_BV")=0,"NA",_xll.ciqfunctions.udf.CIQ($AI23, "IQ_TR_IMPLIED_EQ_BV"))</f>
        <v>n/a</v>
      </c>
      <c r="V23" s="680" t="str">
        <f>IF(_xll.ciqfunctions.udf.CIQ($AI23, "IQ_TR_IMPLIED_EQ_NI_LTM")=0,"NA",_xll.ciqfunctions.udf.CIQ($AI23, "IQ_TR_IMPLIED_EQ_NI_LTM"))</f>
        <v>n/a</v>
      </c>
      <c r="W23" s="679"/>
      <c r="X23" s="678" t="str">
        <f>_xll.ciqfunctions.udf.CIQ($AI23, "IQ_TR_TARGET_REVENUE_EST",, $AJ$4,$AJ$5)</f>
        <v>n/a</v>
      </c>
      <c r="Y23" s="678" t="str">
        <f>_xll.ciqfunctions.udf.CIQ($AI23, "IQ_TR_TARGET_EBITDA_EST",, $AJ$4,$AJ$5)</f>
        <v>n/a</v>
      </c>
      <c r="Z23" s="678" t="str">
        <f>_xll.ciqfunctions.udf.CIQ(AI23, "IQ_TR_IMPLIED_EV_EBIT_FWD")</f>
        <v>n/a</v>
      </c>
      <c r="AA23" s="679"/>
      <c r="AB23" s="680" t="str">
        <f t="shared" si="1"/>
        <v>n/a</v>
      </c>
      <c r="AC23" s="680" t="str">
        <f t="shared" si="1"/>
        <v>n/a</v>
      </c>
      <c r="AD23" s="680" t="str">
        <f t="shared" si="1"/>
        <v>n/a</v>
      </c>
      <c r="AF23" s="681" t="e">
        <f>IF((_xll.ciqfunctions.udf.CIQ($AI23, "IQ_TR_TARGET_STOCKPREMIUM_1W")/100)&lt;=0,"NM",_xll.ciqfunctions.udf.CIQ($AI23, "IQ_TR_TARGET_STOCKPREMIUM_1W")/100)</f>
        <v>#VALUE!</v>
      </c>
      <c r="AG23" s="681" t="e">
        <f>IF((_xll.ciqfunctions.udf.CIQ($AI23, "IQ_TR_TARGET_STOCKPREMIUM_1M")/100)&lt;=0,"NM",_xll.ciqfunctions.udf.CIQ($AI23, "IQ_TR_TARGET_STOCKPREMIUM_1M")/100)</f>
        <v>#VALUE!</v>
      </c>
      <c r="AI23" s="682" t="str">
        <f>+'Capital IQ Sheet-STM'!AK23</f>
        <v>IQTR310229188</v>
      </c>
      <c r="AJ23" s="675" t="str">
        <f>_xll.ciqfunctions.udf.CIQ(AI23, "IQ_BUSINESS_DESCRIPTION")</f>
        <v>As of October 30, 2015, Calibrium LLC and MB2 LLC was acquired by Novo Nordisk A/S. Calibrium LLC and MB2 LLC represents the combined operations of Calibrium LLC and MB2 LLC in their sale to Novo Nordisk A/S. Calibrium LLC is a biopharmaceutical company engaging in discovery and early development of novel peptides for the treatment of diabetes and related metabolic diseases. MB2 LLC is a clinical-stage biopharmaceutical company advancing a pipeline of mixed agonist drugs for the treatment of diabetes and obesity. Calibrium LLC is based in Indianapolis, Indiana. MB2 LLC is based in Carmel, Indiana.</v>
      </c>
    </row>
    <row r="24" spans="2:36" s="675" customFormat="1" ht="12.75" customHeight="1">
      <c r="B24" s="674">
        <f>_xll.ciqfunctions.udf.CIQ($AI24,"IQ_TR_CLOSED_DATE")</f>
        <v>42016</v>
      </c>
      <c r="C24" s="675" t="str">
        <f>_xll.ciqfunctions.udf.CIQ($AI24,"IQ_TR_BUYERNAME")</f>
        <v>Otsuka America, Inc.</v>
      </c>
      <c r="D24" s="675" t="str">
        <f>_xll.ciqfunctions.udf.CIQ($AI24,"IQ_TR_TARGETNAME")</f>
        <v>Avanir Pharmaceuticals, Inc.</v>
      </c>
      <c r="E24" s="675" t="str">
        <f>_xll.ciqfunctions.udf.CIQ($AI24, "IQ_PRIMARY_INDUSTRY")</f>
        <v>Pharmaceuticals</v>
      </c>
      <c r="F24" s="676">
        <f>_xll.ciqfunctions.udf.CIQ($AI24, "IQ_TR_PCT_SOUGHT")/100</f>
        <v>1</v>
      </c>
      <c r="G24" s="677" t="str">
        <f>_xll.ciqfunctions.udf.CIQ(AI24, "IQ_TR_MAJ_MIN_STAKE")</f>
        <v>Majority</v>
      </c>
      <c r="I24" s="678">
        <f>_xll.ciqfunctions.udf.CIQ($AI24, "IQ_TR_IMPLIED_EV_FINAL", , $AJ$4,$AJ$5)</f>
        <v>3192.10014</v>
      </c>
      <c r="J24" s="678">
        <f>IF(_xll.ciqfunctions.udf.CIQ(AI24, "IQ_TR_TOTAL_CASH")="n/a",0,_xll.ciqfunctions.udf.CIQ(AI24, "IQ_TR_TOTAL_CASH"))+IF(_xll.ciqfunctions.udf.CIQ(AI24, "IQ_TR_TOTAL_STOCK")="n/a",0,_xll.ciqfunctions.udf.CIQ(AI24, "IQ_TR_TOTAL_STOCK"))</f>
        <v>3331.3006700000001</v>
      </c>
      <c r="K24" s="152" t="str">
        <f>_xll.ciqfunctions.udf.CIQ(AI24, "IQ_TR_EARNOUTS")</f>
        <v>n/a</v>
      </c>
      <c r="L24" s="678">
        <f>IF(_xll.ciqfunctions.udf.CIQ($AI24, "IQ_TR_TOTAL_GROSS_TV",$AJ$4,$AJ$5)=0,"NA",_xll.ciqfunctions.udf.CIQ($AI24, "IQ_TR_TOTAL_GROSS_TV",,"USD"))</f>
        <v>3463.9701399999999</v>
      </c>
      <c r="M24" s="679"/>
      <c r="N24" s="678">
        <f>_xll.ciqfunctions.udf.CIQ($AI24, "IQ_TR_TARGET_TOTAL_REV",,$AJ$4,$AJ$5)</f>
        <v>115.029</v>
      </c>
      <c r="O24" s="678">
        <f>_xll.ciqfunctions.udf.CIQ($AI24, "IQ_TR_TARGET_EBITDA", , $AJ$4,$AJ$5)</f>
        <v>-44.942</v>
      </c>
      <c r="P24" s="678">
        <f>_xll.ciqfunctions.udf.CIQ($AI24, "IQ_TR_TARGET_EBIT", , $AJ$4,$AJ$5)</f>
        <v>-46.344000000000001</v>
      </c>
      <c r="Q24" s="679"/>
      <c r="R24" s="680">
        <f t="shared" si="0"/>
        <v>27.75039459614532</v>
      </c>
      <c r="S24" s="680">
        <f t="shared" si="0"/>
        <v>-71.027104712740865</v>
      </c>
      <c r="T24" s="680">
        <f t="shared" si="0"/>
        <v>-68.878390730191612</v>
      </c>
      <c r="U24" s="680">
        <f>IF(_xll.ciqfunctions.udf.CIQ($AI24, "IQ_TR_IMPLIED_EQ_BV")=0,"NA",_xll.ciqfunctions.udf.CIQ($AI24, "IQ_TR_IMPLIED_EQ_BV"))</f>
        <v>12.1852</v>
      </c>
      <c r="V24" s="680" t="str">
        <f>IF(_xll.ciqfunctions.udf.CIQ($AI24, "IQ_TR_IMPLIED_EQ_NI_LTM")=0,"NA",_xll.ciqfunctions.udf.CIQ($AI24, "IQ_TR_IMPLIED_EQ_NI_LTM"))</f>
        <v>NM</v>
      </c>
      <c r="W24" s="679"/>
      <c r="X24" s="678">
        <f>_xll.ciqfunctions.udf.CIQ($AI24, "IQ_TR_TARGET_REVENUE_EST",, $AJ$4,$AJ$5)</f>
        <v>154.15889999999999</v>
      </c>
      <c r="Y24" s="678">
        <f>_xll.ciqfunctions.udf.CIQ($AI24, "IQ_TR_TARGET_EBITDA_EST",, $AJ$4,$AJ$5)</f>
        <v>-38.380200000000002</v>
      </c>
      <c r="Z24" s="678" t="str">
        <f>_xll.ciqfunctions.udf.CIQ(AI24, "IQ_TR_IMPLIED_EV_EBIT_FWD")</f>
        <v>NM</v>
      </c>
      <c r="AA24" s="679"/>
      <c r="AB24" s="680">
        <f t="shared" si="1"/>
        <v>20.706557584414526</v>
      </c>
      <c r="AC24" s="680">
        <f t="shared" si="1"/>
        <v>-83.170492597745707</v>
      </c>
      <c r="AD24" s="680" t="str">
        <f t="shared" si="1"/>
        <v>n/a</v>
      </c>
      <c r="AF24" s="681">
        <f>IF((_xll.ciqfunctions.udf.CIQ($AI24, "IQ_TR_TARGET_STOCKPREMIUM_1W")/100)&lt;=0,"NM",_xll.ciqfunctions.udf.CIQ($AI24, "IQ_TR_TARGET_STOCKPREMIUM_1W")/100)</f>
        <v>0.17565700000000001</v>
      </c>
      <c r="AG24" s="681">
        <f>IF((_xll.ciqfunctions.udf.CIQ($AI24, "IQ_TR_TARGET_STOCKPREMIUM_1M")/100)&lt;=0,"NM",_xll.ciqfunctions.udf.CIQ($AI24, "IQ_TR_TARGET_STOCKPREMIUM_1M")/100)</f>
        <v>0.31375599999999998</v>
      </c>
      <c r="AI24" s="682" t="str">
        <f>+'Capital IQ Sheet-STM'!AK24</f>
        <v>IQTR278883716</v>
      </c>
      <c r="AJ24" s="675" t="str">
        <f>_xll.ciqfunctions.udf.CIQ(AI24, "IQ_BUSINESS_DESCRIPTION")</f>
        <v>Avanir Pharmaceuticals, Inc., together with its subsidiaries, engages in acquiring, developing, and commercializing novel therapeutic products for the treatment of central nervous system disorders primarily in the United States. It primarily offers NUEDEXTA, a dual N-methyl-D-aspartate receptor antagonist and sigma-1 agonist for the treatment of pseudobulbar affect; and Docosanol 10% cream, an over-the-counter product for the treatment of cold sores. The company is also involved in Phase II clinical trial of AVP-923 for the treatment of central neuropathic pain in patients with multiple sclerosis, agitation in patients with Alzheimer’s disease, and levodopa-induced-dyskinesia in Parkinson’s disease. In addition, it is developing AVP-786, a Phase II clinical trial product for the treatment of major depressive disorder; and AVP-825, an investigational drug-device combination product consisting of low-dose sumatriptan powder for the acute treatment of migraine. The company has a license agreement with Concert Pharmaceuticals, Inc. to develop and commercialize deuterium-modified dextromethorphan for the potential treatment of neurologic and psychiatric disorders, as well as rights to other deuterium-modified dextromethorphan compounds; and a license agreement with OptiNose AS for the development and commercialization of a novel breath powered intranasal delivery system to treat acute migraine. Avanir Pharmaceuticals, Inc. was founded in 1988 and is headquartered in Aliso Viejo, California.</v>
      </c>
    </row>
    <row r="25" spans="2:36" s="675" customFormat="1" ht="12.75" customHeight="1">
      <c r="B25" s="674">
        <f>_xll.ciqfunctions.udf.CIQ($AI25,"IQ_TR_CLOSED_DATE")</f>
        <v>41934</v>
      </c>
      <c r="C25" s="675" t="str">
        <f>_xll.ciqfunctions.udf.CIQ($AI25,"IQ_TR_BUYERNAME")</f>
        <v>Acorda Therapeutics, Inc.</v>
      </c>
      <c r="D25" s="675" t="str">
        <f>_xll.ciqfunctions.udf.CIQ($AI25,"IQ_TR_TARGETNAME")</f>
        <v>Civitas Therapeutics, Inc.</v>
      </c>
      <c r="E25" s="675" t="str">
        <f>_xll.ciqfunctions.udf.CIQ($AI25, "IQ_PRIMARY_INDUSTRY")</f>
        <v>Biotechnology</v>
      </c>
      <c r="F25" s="676">
        <f>_xll.ciqfunctions.udf.CIQ($AI25, "IQ_TR_PCT_SOUGHT")/100</f>
        <v>1</v>
      </c>
      <c r="G25" s="677" t="str">
        <f>_xll.ciqfunctions.udf.CIQ(AI25, "IQ_TR_MAJ_MIN_STAKE")</f>
        <v>Majority</v>
      </c>
      <c r="I25" s="678">
        <f>_xll.ciqfunctions.udf.CIQ($AI25, "IQ_TR_IMPLIED_EV_FINAL", , $AJ$4,$AJ$5)</f>
        <v>528.22601999999995</v>
      </c>
      <c r="J25" s="678">
        <f>IF(_xll.ciqfunctions.udf.CIQ(AI25, "IQ_TR_TOTAL_CASH")="n/a",0,_xll.ciqfunctions.udf.CIQ(AI25, "IQ_TR_TOTAL_CASH"))+IF(_xll.ciqfunctions.udf.CIQ(AI25, "IQ_TR_TOTAL_STOCK")="n/a",0,_xll.ciqfunctions.udf.CIQ(AI25, "IQ_TR_TOTAL_STOCK"))</f>
        <v>11.51554</v>
      </c>
      <c r="K25" s="152" t="str">
        <f>_xll.ciqfunctions.udf.CIQ(AI25, "IQ_TR_EARNOUTS")</f>
        <v>n/a</v>
      </c>
      <c r="L25" s="678">
        <f>IF(_xll.ciqfunctions.udf.CIQ($AI25, "IQ_TR_TOTAL_GROSS_TV",$AJ$4,$AJ$5)=0,"NA",_xll.ciqfunctions.udf.CIQ($AI25, "IQ_TR_TOTAL_GROSS_TV",,"USD"))</f>
        <v>530.01102000000003</v>
      </c>
      <c r="M25" s="679"/>
      <c r="N25" s="678">
        <f>_xll.ciqfunctions.udf.CIQ($AI25, "IQ_TR_TARGET_TOTAL_REV",,$AJ$4,$AJ$5)</f>
        <v>0</v>
      </c>
      <c r="O25" s="678">
        <f>_xll.ciqfunctions.udf.CIQ($AI25, "IQ_TR_TARGET_EBITDA", , $AJ$4,$AJ$5)</f>
        <v>-25.343</v>
      </c>
      <c r="P25" s="678">
        <f>_xll.ciqfunctions.udf.CIQ($AI25, "IQ_TR_TARGET_EBIT", , $AJ$4,$AJ$5)</f>
        <v>-25.855</v>
      </c>
      <c r="Q25" s="679"/>
      <c r="R25" s="680" t="str">
        <f t="shared" si="0"/>
        <v>n/a</v>
      </c>
      <c r="S25" s="680">
        <f t="shared" si="0"/>
        <v>-20.84307382709229</v>
      </c>
      <c r="T25" s="680">
        <f t="shared" si="0"/>
        <v>-20.430323728485785</v>
      </c>
      <c r="U25" s="680" t="str">
        <f>IF(_xll.ciqfunctions.udf.CIQ($AI25, "IQ_TR_IMPLIED_EQ_BV")=0,"NA",_xll.ciqfunctions.udf.CIQ($AI25, "IQ_TR_IMPLIED_EQ_BV"))</f>
        <v>NM</v>
      </c>
      <c r="V25" s="680" t="str">
        <f>IF(_xll.ciqfunctions.udf.CIQ($AI25, "IQ_TR_IMPLIED_EQ_NI_LTM")=0,"NA",_xll.ciqfunctions.udf.CIQ($AI25, "IQ_TR_IMPLIED_EQ_NI_LTM"))</f>
        <v>NM</v>
      </c>
      <c r="W25" s="679"/>
      <c r="X25" s="678" t="str">
        <f>_xll.ciqfunctions.udf.CIQ($AI25, "IQ_TR_TARGET_REVENUE_EST",, $AJ$4,$AJ$5)</f>
        <v>n/a</v>
      </c>
      <c r="Y25" s="678" t="str">
        <f>_xll.ciqfunctions.udf.CIQ($AI25, "IQ_TR_TARGET_EBITDA_EST",, $AJ$4,$AJ$5)</f>
        <v>n/a</v>
      </c>
      <c r="Z25" s="678" t="str">
        <f>_xll.ciqfunctions.udf.CIQ(AI25, "IQ_TR_IMPLIED_EV_EBIT_FWD")</f>
        <v>n/a</v>
      </c>
      <c r="AA25" s="679"/>
      <c r="AB25" s="680" t="str">
        <f t="shared" si="1"/>
        <v>n/a</v>
      </c>
      <c r="AC25" s="680" t="str">
        <f t="shared" si="1"/>
        <v>n/a</v>
      </c>
      <c r="AD25" s="680" t="str">
        <f t="shared" si="1"/>
        <v>n/a</v>
      </c>
      <c r="AF25" s="681" t="e">
        <f>IF((_xll.ciqfunctions.udf.CIQ($AI25, "IQ_TR_TARGET_STOCKPREMIUM_1W")/100)&lt;=0,"NM",_xll.ciqfunctions.udf.CIQ($AI25, "IQ_TR_TARGET_STOCKPREMIUM_1W")/100)</f>
        <v>#VALUE!</v>
      </c>
      <c r="AG25" s="681" t="e">
        <f>IF((_xll.ciqfunctions.udf.CIQ($AI25, "IQ_TR_TARGET_STOCKPREMIUM_1M")/100)&lt;=0,"NM",_xll.ciqfunctions.udf.CIQ($AI25, "IQ_TR_TARGET_STOCKPREMIUM_1M")/100)</f>
        <v>#VALUE!</v>
      </c>
      <c r="AI25" s="682" t="str">
        <f>+'Capital IQ Sheet-STM'!AK25</f>
        <v>IQTR272776338</v>
      </c>
      <c r="AJ25" s="675" t="str">
        <f>_xll.ciqfunctions.udf.CIQ(AI25, "IQ_BUSINESS_DESCRIPTION")</f>
        <v>Civitas Therapeutics, Inc., a biopharmaceutical company, develops and commercializes transformative therapeutics using its ARCUS technology. Its technology enables the delivery of a precise dose to the lung to potentially enable rapid and predictable L-dopa absorption through a reusable, pocket-size, and breath-actuated inhaler. The company offers CVT-301, a inhaled L-dopa therapy for OFF episodes that provides rapid delivery of L-dopa to the brain to be used in conjunction with a Parkinson’s disease patient’s individually optimized oral L-dopa regimen. Civitas Therapeutics, Inc. was formerly known as Corregidor Therapeutics, Inc. and changed its name to Civitas Therapeutics, Inc. in April 2011. The company was founded in 2009 and is based in Chelsea, Massachusetts. As of October 22, 2014, Civitas Therapeutics, Inc. operates as a subsidiary of Acorda Therapeutics, Inc.</v>
      </c>
    </row>
    <row r="26" spans="2:36" s="675" customFormat="1" ht="12.75" customHeight="1">
      <c r="B26" s="674">
        <f>_xll.ciqfunctions.udf.CIQ($AI26,"IQ_TR_CLOSED_DATE")</f>
        <v>41626</v>
      </c>
      <c r="C26" s="675" t="str">
        <f>_xll.ciqfunctions.udf.CIQ($AI26,"IQ_TR_BUYERNAME")</f>
        <v>Perrigo Company (nka:Perrigo Company plc)</v>
      </c>
      <c r="D26" s="675" t="str">
        <f>_xll.ciqfunctions.udf.CIQ($AI26,"IQ_TR_TARGETNAME")</f>
        <v>Elan Corporation Limited</v>
      </c>
      <c r="E26" s="675" t="str">
        <f>_xll.ciqfunctions.udf.CIQ($AI26, "IQ_PRIMARY_INDUSTRY")</f>
        <v>Biotechnology</v>
      </c>
      <c r="F26" s="676">
        <f>_xll.ciqfunctions.udf.CIQ($AI26, "IQ_TR_PCT_SOUGHT")/100</f>
        <v>1</v>
      </c>
      <c r="G26" s="677" t="str">
        <f>_xll.ciqfunctions.udf.CIQ(AI26, "IQ_TR_MAJ_MIN_STAKE")</f>
        <v>Majority</v>
      </c>
      <c r="I26" s="678">
        <f>_xll.ciqfunctions.udf.CIQ($AI26, "IQ_TR_IMPLIED_EV_FINAL", , $AJ$4,$AJ$5)</f>
        <v>7248.5594799999999</v>
      </c>
      <c r="J26" s="678">
        <f>IF(_xll.ciqfunctions.udf.CIQ(AI26, "IQ_TR_TOTAL_CASH")="n/a",0,_xll.ciqfunctions.udf.CIQ(AI26, "IQ_TR_TOTAL_CASH"))+IF(_xll.ciqfunctions.udf.CIQ(AI26, "IQ_TR_TOTAL_STOCK")="n/a",0,_xll.ciqfunctions.udf.CIQ(AI26, "IQ_TR_TOTAL_STOCK"))</f>
        <v>8444.0834400000003</v>
      </c>
      <c r="K26" s="152" t="str">
        <f>_xll.ciqfunctions.udf.CIQ(AI26, "IQ_TR_EARNOUTS")</f>
        <v>n/a</v>
      </c>
      <c r="L26" s="678">
        <f>IF(_xll.ciqfunctions.udf.CIQ($AI26, "IQ_TR_TOTAL_GROSS_TV",$AJ$4,$AJ$5)=0,"NA",_xll.ciqfunctions.udf.CIQ($AI26, "IQ_TR_TOTAL_GROSS_TV",,"USD"))</f>
        <v>8444.0834400000003</v>
      </c>
      <c r="M26" s="679"/>
      <c r="N26" s="678">
        <f>_xll.ciqfunctions.udf.CIQ($AI26, "IQ_TR_TARGET_TOTAL_REV",,$AJ$4,$AJ$5)</f>
        <v>56.7</v>
      </c>
      <c r="O26" s="678">
        <f>_xll.ciqfunctions.udf.CIQ($AI26, "IQ_TR_TARGET_EBITDA", , $AJ$4,$AJ$5)</f>
        <v>-406.5</v>
      </c>
      <c r="P26" s="678">
        <f>_xll.ciqfunctions.udf.CIQ($AI26, "IQ_TR_TARGET_EBIT", , $AJ$4,$AJ$5)</f>
        <v>-427</v>
      </c>
      <c r="Q26" s="679"/>
      <c r="R26" s="680">
        <f t="shared" si="0"/>
        <v>127.84055520282186</v>
      </c>
      <c r="S26" s="680">
        <f t="shared" si="0"/>
        <v>-17.831634637146372</v>
      </c>
      <c r="T26" s="680">
        <f t="shared" si="0"/>
        <v>-16.975549133489462</v>
      </c>
      <c r="U26" s="680">
        <f>IF(_xll.ciqfunctions.udf.CIQ($AI26, "IQ_TR_IMPLIED_EQ_BV")=0,"NA",_xll.ciqfunctions.udf.CIQ($AI26, "IQ_TR_IMPLIED_EQ_BV"))</f>
        <v>4.1188599999999997</v>
      </c>
      <c r="V26" s="680" t="str">
        <f>IF(_xll.ciqfunctions.udf.CIQ($AI26, "IQ_TR_IMPLIED_EQ_NI_LTM")=0,"NA",_xll.ciqfunctions.udf.CIQ($AI26, "IQ_TR_IMPLIED_EQ_NI_LTM"))</f>
        <v>NM</v>
      </c>
      <c r="W26" s="679"/>
      <c r="X26" s="678">
        <f>_xll.ciqfunctions.udf.CIQ($AI26, "IQ_TR_TARGET_REVENUE_EST",, $AJ$4,$AJ$5)</f>
        <v>255.3947</v>
      </c>
      <c r="Y26" s="678">
        <f>_xll.ciqfunctions.udf.CIQ($AI26, "IQ_TR_TARGET_EBITDA_EST",, $AJ$4,$AJ$5)</f>
        <v>84.952200000000005</v>
      </c>
      <c r="Z26" s="678">
        <f>_xll.ciqfunctions.udf.CIQ(AI26, "IQ_TR_IMPLIED_EV_EBIT_FWD")</f>
        <v>118.99929</v>
      </c>
      <c r="AA26" s="679"/>
      <c r="AB26" s="680">
        <f t="shared" si="1"/>
        <v>28.381792887636273</v>
      </c>
      <c r="AC26" s="680">
        <f t="shared" si="1"/>
        <v>85.325153203801662</v>
      </c>
      <c r="AD26" s="680">
        <f t="shared" si="1"/>
        <v>60.912627966099627</v>
      </c>
      <c r="AF26" s="681">
        <f>IF((_xll.ciqfunctions.udf.CIQ($AI26, "IQ_TR_TARGET_STOCKPREMIUM_1W")/100)&lt;=0,"NM",_xll.ciqfunctions.udf.CIQ($AI26, "IQ_TR_TARGET_STOCKPREMIUM_1W")/100)</f>
        <v>0.15950799999999998</v>
      </c>
      <c r="AG26" s="681">
        <f>IF((_xll.ciqfunctions.udf.CIQ($AI26, "IQ_TR_TARGET_STOCKPREMIUM_1M")/100)&lt;=0,"NM",_xll.ciqfunctions.udf.CIQ($AI26, "IQ_TR_TARGET_STOCKPREMIUM_1M")/100)</f>
        <v>0.16688800000000001</v>
      </c>
      <c r="AI26" s="682" t="str">
        <f>+'Capital IQ Sheet-STM'!AK26</f>
        <v>IQTR243744306</v>
      </c>
      <c r="AJ26" s="675" t="str">
        <f>_xll.ciqfunctions.udf.CIQ(AI26, "IQ_BUSINESS_DESCRIPTION")</f>
        <v>As of December 18, 2013, Elan Corporation Limited was acquired by Perrigo Company Public Limited Company. Elan Corporation Limited is a biotechnology company in the United States, Ireland, and internationally. The company develops ELND005, an orally bioavailable small molecule in Phase II clinical trial being investigated for multiple neuropsychiatric indications on the basis of its proposed dual mechanism of action, which includes b-amyloid anti-aggregation and regulation of brain myo-inositol levels. It also develops ELND005 as an adjunctive maintenance treatment in patients with Bipolar I Disorder to delay the time to occurrence of mood episodes; and for the treatment of agitation/aggression in patients with moderate to severe Alzheimer’s disease. Elan Corporation Limited was founded in 1969 and is headquartered in Dublin, Ireland.</v>
      </c>
    </row>
    <row r="27" spans="2:36" s="675" customFormat="1" ht="12.75" customHeight="1">
      <c r="B27" s="674">
        <f>_xll.ciqfunctions.udf.CIQ($AI27,"IQ_TR_CLOSED_DATE")</f>
        <v>41135</v>
      </c>
      <c r="C27" s="675" t="str">
        <f>_xll.ciqfunctions.udf.CIQ($AI27,"IQ_TR_BUYERNAME")</f>
        <v>Upsher-Smith Laboratories, LLC</v>
      </c>
      <c r="D27" s="675" t="str">
        <f>_xll.ciqfunctions.udf.CIQ($AI27,"IQ_TR_TARGETNAME")</f>
        <v>Proximagen Group plc (nka:Proximagen Group Limited)</v>
      </c>
      <c r="E27" s="675" t="str">
        <f>_xll.ciqfunctions.udf.CIQ($AI27, "IQ_PRIMARY_INDUSTRY")</f>
        <v>Biotechnology</v>
      </c>
      <c r="F27" s="676">
        <f>_xll.ciqfunctions.udf.CIQ($AI27, "IQ_TR_PCT_SOUGHT")/100</f>
        <v>0.84129999999999994</v>
      </c>
      <c r="G27" s="677" t="str">
        <f>_xll.ciqfunctions.udf.CIQ(AI27, "IQ_TR_MAJ_MIN_STAKE")</f>
        <v>Majority</v>
      </c>
      <c r="I27" s="678">
        <f>_xll.ciqfunctions.udf.CIQ($AI27, "IQ_TR_IMPLIED_EV_FINAL", , $AJ$4,$AJ$5)</f>
        <v>401.32884000000001</v>
      </c>
      <c r="J27" s="678">
        <f>IF(_xll.ciqfunctions.udf.CIQ(AI27, "IQ_TR_TOTAL_CASH")="n/a",0,_xll.ciqfunctions.udf.CIQ(AI27, "IQ_TR_TOTAL_CASH"))+IF(_xll.ciqfunctions.udf.CIQ(AI27, "IQ_TR_TOTAL_STOCK")="n/a",0,_xll.ciqfunctions.udf.CIQ(AI27, "IQ_TR_TOTAL_STOCK"))</f>
        <v>264.67173000000003</v>
      </c>
      <c r="K27" s="152">
        <f>_xll.ciqfunctions.udf.CIQ(AI27, "IQ_TR_EARNOUTS")</f>
        <v>158.80304000000001</v>
      </c>
      <c r="L27" s="678">
        <f>IF(_xll.ciqfunctions.udf.CIQ($AI27, "IQ_TR_TOTAL_GROSS_TV",$AJ$4,$AJ$5)=0,"NA",_xll.ciqfunctions.udf.CIQ($AI27, "IQ_TR_TOTAL_GROSS_TV",,"USD"))</f>
        <v>423.47476999999998</v>
      </c>
      <c r="M27" s="679"/>
      <c r="N27" s="678">
        <f>_xll.ciqfunctions.udf.CIQ($AI27, "IQ_TR_TARGET_TOTAL_REV",,$AJ$4,$AJ$5)</f>
        <v>0.2601</v>
      </c>
      <c r="O27" s="678">
        <f>_xll.ciqfunctions.udf.CIQ($AI27, "IQ_TR_TARGET_EBITDA", , $AJ$4,$AJ$5)</f>
        <v>-13.39148</v>
      </c>
      <c r="P27" s="678">
        <f>_xll.ciqfunctions.udf.CIQ($AI27, "IQ_TR_TARGET_EBIT", , $AJ$4,$AJ$5)</f>
        <v>-13.53633</v>
      </c>
      <c r="Q27" s="679"/>
      <c r="R27" s="680">
        <f t="shared" si="0"/>
        <v>1542.9790080738178</v>
      </c>
      <c r="S27" s="680">
        <f t="shared" si="0"/>
        <v>-29.968968329116723</v>
      </c>
      <c r="T27" s="680">
        <f t="shared" si="0"/>
        <v>-29.648275418817363</v>
      </c>
      <c r="U27" s="680">
        <f>IF(_xll.ciqfunctions.udf.CIQ($AI27, "IQ_TR_IMPLIED_EQ_BV")=0,"NA",_xll.ciqfunctions.udf.CIQ($AI27, "IQ_TR_IMPLIED_EQ_BV"))</f>
        <v>4.1382500000000002</v>
      </c>
      <c r="V27" s="680" t="str">
        <f>IF(_xll.ciqfunctions.udf.CIQ($AI27, "IQ_TR_IMPLIED_EQ_NI_LTM")=0,"NA",_xll.ciqfunctions.udf.CIQ($AI27, "IQ_TR_IMPLIED_EQ_NI_LTM"))</f>
        <v>NM</v>
      </c>
      <c r="W27" s="679"/>
      <c r="X27" s="678">
        <f>_xll.ciqfunctions.udf.CIQ($AI27, "IQ_TR_TARGET_REVENUE_EST",, $AJ$4,$AJ$5)</f>
        <v>0.57108999999999999</v>
      </c>
      <c r="Y27" s="678">
        <f>_xll.ciqfunctions.udf.CIQ($AI27, "IQ_TR_TARGET_EBITDA_EST",, $AJ$4,$AJ$5)</f>
        <v>-14.913169999999999</v>
      </c>
      <c r="Z27" s="678" t="str">
        <f>_xll.ciqfunctions.udf.CIQ(AI27, "IQ_TR_IMPLIED_EV_EBIT_FWD")</f>
        <v>NM</v>
      </c>
      <c r="AA27" s="679"/>
      <c r="AB27" s="680">
        <f t="shared" si="1"/>
        <v>702.74184454289173</v>
      </c>
      <c r="AC27" s="680">
        <f t="shared" si="1"/>
        <v>-26.91103501133562</v>
      </c>
      <c r="AD27" s="680" t="str">
        <f t="shared" si="1"/>
        <v>n/a</v>
      </c>
      <c r="AF27" s="681">
        <f>IF((_xll.ciqfunctions.udf.CIQ($AI27, "IQ_TR_TARGET_STOCKPREMIUM_1W")/100)&lt;=0,"NM",_xll.ciqfunctions.udf.CIQ($AI27, "IQ_TR_TARGET_STOCKPREMIUM_1W")/100)</f>
        <v>0.20078199999999999</v>
      </c>
      <c r="AG27" s="681">
        <f>IF((_xll.ciqfunctions.udf.CIQ($AI27, "IQ_TR_TARGET_STOCKPREMIUM_1M")/100)&lt;=0,"NM",_xll.ciqfunctions.udf.CIQ($AI27, "IQ_TR_TARGET_STOCKPREMIUM_1M")/100)</f>
        <v>0.14904200000000001</v>
      </c>
      <c r="AI27" s="682" t="str">
        <f>+'Capital IQ Sheet-STM'!AK27</f>
        <v>IQTR208640553</v>
      </c>
      <c r="AJ27" s="675" t="str">
        <f>_xll.ciqfunctions.udf.CIQ(AI27, "IQ_BUSINESS_DESCRIPTION")</f>
        <v>Proximagen Group Limited, a biotechnology company, focuses on the development and commercialization of novel therapeutics for central nervous system and inflammation diseases. The company develops drug candidate programs comprising 4 programs in clinical development and approximately 10 earlier stage assets being progressed for various therapeutic areas, including epilepsy, parkinson’s diseases, alzheimer’s diseases, inflammation, oncology, and neuropathic pain. It has partnership with GlaxoSmithKline, Upsher-Smith, Lundbeck, and the US National Institutes of Health. It has a drug discovery and development collaboration with Saniona AB (publ). The company was founded in 2003 and is headquartered in London, the United Kingdom. Proximagen Group Limited operates as a subsidiary of ACOVA Inc.</v>
      </c>
    </row>
    <row r="28" spans="2:36" s="675" customFormat="1" ht="12.75" customHeight="1">
      <c r="B28" s="674" t="str">
        <f>_xll.ciqfunctions.udf.CIQ($AI28,"IQ_TR_CLOSED_DATE")</f>
        <v>(Invalid Transaction Id)</v>
      </c>
      <c r="C28" s="675" t="str">
        <f>_xll.ciqfunctions.udf.CIQ($AI28,"IQ_TR_BUYERNAME")</f>
        <v>(Invalid Transaction Id)</v>
      </c>
      <c r="D28" s="675" t="str">
        <f>_xll.ciqfunctions.udf.CIQ($AI28,"IQ_TR_TARGETNAME")</f>
        <v>(Invalid Transaction Id)</v>
      </c>
      <c r="E28" s="675" t="str">
        <f>_xll.ciqfunctions.udf.CIQ($AI28, "IQ_PRIMARY_INDUSTRY")</f>
        <v>n/a</v>
      </c>
      <c r="F28" s="676" t="e">
        <f>_xll.ciqfunctions.udf.CIQ($AI28, "IQ_TR_PCT_SOUGHT")/100</f>
        <v>#VALUE!</v>
      </c>
      <c r="G28" s="677" t="str">
        <f>_xll.ciqfunctions.udf.CIQ(AI28, "IQ_TR_MAJ_MIN_STAKE")</f>
        <v>(Invalid Transaction Id)</v>
      </c>
      <c r="I28" s="678" t="str">
        <f>_xll.ciqfunctions.udf.CIQ($AI28, "IQ_TR_IMPLIED_EV_FINAL", , $AJ$4,$AJ$5)</f>
        <v>(Invalid Transaction Id)</v>
      </c>
      <c r="J28" s="678" t="e">
        <f>IF(_xll.ciqfunctions.udf.CIQ(AI28, "IQ_TR_TOTAL_CASH")="n/a",0,_xll.ciqfunctions.udf.CIQ(AI28, "IQ_TR_TOTAL_CASH"))+IF(_xll.ciqfunctions.udf.CIQ(AI28, "IQ_TR_TOTAL_STOCK")="n/a",0,_xll.ciqfunctions.udf.CIQ(AI28, "IQ_TR_TOTAL_STOCK"))</f>
        <v>#VALUE!</v>
      </c>
      <c r="K28" s="152" t="str">
        <f>_xll.ciqfunctions.udf.CIQ(AI28, "IQ_TR_EARNOUTS")</f>
        <v>(Invalid Transaction Id)</v>
      </c>
      <c r="L28" s="678" t="str">
        <f>IF(_xll.ciqfunctions.udf.CIQ($AI28, "IQ_TR_TOTAL_GROSS_TV",$AJ$4,$AJ$5)=0,"NA",_xll.ciqfunctions.udf.CIQ($AI28, "IQ_TR_TOTAL_GROSS_TV",,"USD"))</f>
        <v>(Invalid Transaction Id)</v>
      </c>
      <c r="M28" s="679"/>
      <c r="N28" s="678" t="str">
        <f>_xll.ciqfunctions.udf.CIQ($AI28, "IQ_TR_TARGET_TOTAL_REV",,$AJ$4,$AJ$5)</f>
        <v>(Invalid Transaction Id)</v>
      </c>
      <c r="O28" s="678" t="str">
        <f>_xll.ciqfunctions.udf.CIQ($AI28, "IQ_TR_TARGET_EBITDA", , $AJ$4,$AJ$5)</f>
        <v>(Invalid Transaction Id)</v>
      </c>
      <c r="P28" s="678" t="str">
        <f>_xll.ciqfunctions.udf.CIQ($AI28, "IQ_TR_TARGET_EBIT", , $AJ$4,$AJ$5)</f>
        <v>(Invalid Transaction Id)</v>
      </c>
      <c r="Q28" s="679"/>
      <c r="R28" s="680" t="str">
        <f t="shared" si="0"/>
        <v>n/a</v>
      </c>
      <c r="S28" s="680" t="str">
        <f t="shared" si="0"/>
        <v>n/a</v>
      </c>
      <c r="T28" s="680" t="str">
        <f t="shared" si="0"/>
        <v>n/a</v>
      </c>
      <c r="U28" s="680" t="str">
        <f>IF(_xll.ciqfunctions.udf.CIQ($AI28, "IQ_TR_IMPLIED_EQ_BV")=0,"NA",_xll.ciqfunctions.udf.CIQ($AI28, "IQ_TR_IMPLIED_EQ_BV"))</f>
        <v>(Invalid Transaction Id)</v>
      </c>
      <c r="V28" s="680" t="str">
        <f>IF(_xll.ciqfunctions.udf.CIQ($AI28, "IQ_TR_IMPLIED_EQ_NI_LTM")=0,"NA",_xll.ciqfunctions.udf.CIQ($AI28, "IQ_TR_IMPLIED_EQ_NI_LTM"))</f>
        <v>(Invalid Transaction Id)</v>
      </c>
      <c r="W28" s="679"/>
      <c r="X28" s="678" t="str">
        <f>_xll.ciqfunctions.udf.CIQ($AI28, "IQ_TR_TARGET_REVENUE_EST",, $AJ$4,$AJ$5)</f>
        <v>(Invalid Transaction Id)</v>
      </c>
      <c r="Y28" s="678" t="str">
        <f>_xll.ciqfunctions.udf.CIQ($AI28, "IQ_TR_TARGET_EBITDA_EST",, $AJ$4,$AJ$5)</f>
        <v>(Invalid Transaction Id)</v>
      </c>
      <c r="Z28" s="678" t="str">
        <f>_xll.ciqfunctions.udf.CIQ(AI28, "IQ_TR_IMPLIED_EV_EBIT_FWD")</f>
        <v>(Invalid Transaction Id)</v>
      </c>
      <c r="AA28" s="679"/>
      <c r="AB28" s="680" t="str">
        <f t="shared" si="1"/>
        <v>n/a</v>
      </c>
      <c r="AC28" s="680" t="str">
        <f t="shared" si="1"/>
        <v>n/a</v>
      </c>
      <c r="AD28" s="680" t="str">
        <f t="shared" si="1"/>
        <v>n/a</v>
      </c>
      <c r="AF28" s="681" t="e">
        <f>IF((_xll.ciqfunctions.udf.CIQ($AI28, "IQ_TR_TARGET_STOCKPREMIUM_1W")/100)&lt;=0,"NM",_xll.ciqfunctions.udf.CIQ($AI28, "IQ_TR_TARGET_STOCKPREMIUM_1W")/100)</f>
        <v>#VALUE!</v>
      </c>
      <c r="AG28" s="681" t="e">
        <f>IF((_xll.ciqfunctions.udf.CIQ($AI28, "IQ_TR_TARGET_STOCKPREMIUM_1M")/100)&lt;=0,"NM",_xll.ciqfunctions.udf.CIQ($AI28, "IQ_TR_TARGET_STOCKPREMIUM_1M")/100)</f>
        <v>#VALUE!</v>
      </c>
      <c r="AI28" s="682">
        <f>+'Capital IQ Sheet-STM'!AK28</f>
        <v>0</v>
      </c>
      <c r="AJ28" s="675" t="str">
        <f>_xll.ciqfunctions.udf.CIQ(AI28, "IQ_BUSINESS_DESCRIPTION")</f>
        <v>n/a</v>
      </c>
    </row>
    <row r="29" spans="2:36" s="675" customFormat="1" ht="12.75" customHeight="1">
      <c r="B29" s="674" t="str">
        <f>_xll.ciqfunctions.udf.CIQ($AI29,"IQ_TR_CLOSED_DATE")</f>
        <v>(Invalid Transaction Id)</v>
      </c>
      <c r="C29" s="675" t="str">
        <f>_xll.ciqfunctions.udf.CIQ($AI29,"IQ_TR_BUYERNAME")</f>
        <v>(Invalid Transaction Id)</v>
      </c>
      <c r="D29" s="675" t="str">
        <f>_xll.ciqfunctions.udf.CIQ($AI29,"IQ_TR_TARGETNAME")</f>
        <v>(Invalid Transaction Id)</v>
      </c>
      <c r="E29" s="675" t="str">
        <f>_xll.ciqfunctions.udf.CIQ($AI29, "IQ_PRIMARY_INDUSTRY")</f>
        <v>n/a</v>
      </c>
      <c r="F29" s="676" t="e">
        <f>_xll.ciqfunctions.udf.CIQ($AI29, "IQ_TR_PCT_SOUGHT")/100</f>
        <v>#VALUE!</v>
      </c>
      <c r="G29" s="677" t="str">
        <f>_xll.ciqfunctions.udf.CIQ(AI29, "IQ_TR_MAJ_MIN_STAKE")</f>
        <v>(Invalid Transaction Id)</v>
      </c>
      <c r="I29" s="678" t="str">
        <f>_xll.ciqfunctions.udf.CIQ($AI29, "IQ_TR_IMPLIED_EV_FINAL", , $AJ$4,$AJ$5)</f>
        <v>(Invalid Transaction Id)</v>
      </c>
      <c r="J29" s="678" t="e">
        <f>IF(_xll.ciqfunctions.udf.CIQ(AI29, "IQ_TR_TOTAL_CASH")="n/a",0,_xll.ciqfunctions.udf.CIQ(AI29, "IQ_TR_TOTAL_CASH"))+IF(_xll.ciqfunctions.udf.CIQ(AI29, "IQ_TR_TOTAL_STOCK")="n/a",0,_xll.ciqfunctions.udf.CIQ(AI29, "IQ_TR_TOTAL_STOCK"))</f>
        <v>#VALUE!</v>
      </c>
      <c r="K29" s="152" t="str">
        <f>_xll.ciqfunctions.udf.CIQ(AI29, "IQ_TR_EARNOUTS")</f>
        <v>(Invalid Transaction Id)</v>
      </c>
      <c r="L29" s="678" t="str">
        <f>IF(_xll.ciqfunctions.udf.CIQ($AI29, "IQ_TR_TOTAL_GROSS_TV",$AJ$4,$AJ$5)=0,"NA",_xll.ciqfunctions.udf.CIQ($AI29, "IQ_TR_TOTAL_GROSS_TV",,"USD"))</f>
        <v>(Invalid Transaction Id)</v>
      </c>
      <c r="M29" s="679"/>
      <c r="N29" s="678" t="str">
        <f>_xll.ciqfunctions.udf.CIQ($AI29, "IQ_TR_TARGET_TOTAL_REV",,$AJ$4,$AJ$5)</f>
        <v>(Invalid Transaction Id)</v>
      </c>
      <c r="O29" s="678" t="str">
        <f>_xll.ciqfunctions.udf.CIQ($AI29, "IQ_TR_TARGET_EBITDA", , $AJ$4,$AJ$5)</f>
        <v>(Invalid Transaction Id)</v>
      </c>
      <c r="P29" s="678" t="str">
        <f>_xll.ciqfunctions.udf.CIQ($AI29, "IQ_TR_TARGET_EBIT", , $AJ$4,$AJ$5)</f>
        <v>(Invalid Transaction Id)</v>
      </c>
      <c r="Q29" s="679"/>
      <c r="R29" s="680" t="str">
        <f t="shared" si="0"/>
        <v>n/a</v>
      </c>
      <c r="S29" s="680" t="str">
        <f t="shared" si="0"/>
        <v>n/a</v>
      </c>
      <c r="T29" s="680" t="str">
        <f t="shared" si="0"/>
        <v>n/a</v>
      </c>
      <c r="U29" s="680" t="str">
        <f>IF(_xll.ciqfunctions.udf.CIQ($AI29, "IQ_TR_IMPLIED_EQ_BV")=0,"NA",_xll.ciqfunctions.udf.CIQ($AI29, "IQ_TR_IMPLIED_EQ_BV"))</f>
        <v>(Invalid Transaction Id)</v>
      </c>
      <c r="V29" s="680" t="str">
        <f>IF(_xll.ciqfunctions.udf.CIQ($AI29, "IQ_TR_IMPLIED_EQ_NI_LTM")=0,"NA",_xll.ciqfunctions.udf.CIQ($AI29, "IQ_TR_IMPLIED_EQ_NI_LTM"))</f>
        <v>(Invalid Transaction Id)</v>
      </c>
      <c r="W29" s="679"/>
      <c r="X29" s="678" t="str">
        <f>_xll.ciqfunctions.udf.CIQ($AI29, "IQ_TR_TARGET_REVENUE_EST",, $AJ$4,$AJ$5)</f>
        <v>(Invalid Transaction Id)</v>
      </c>
      <c r="Y29" s="678" t="str">
        <f>_xll.ciqfunctions.udf.CIQ($AI29, "IQ_TR_TARGET_EBITDA_EST",, $AJ$4,$AJ$5)</f>
        <v>(Invalid Transaction Id)</v>
      </c>
      <c r="Z29" s="678" t="str">
        <f>_xll.ciqfunctions.udf.CIQ(AI29, "IQ_TR_IMPLIED_EV_EBIT_FWD")</f>
        <v>(Invalid Transaction Id)</v>
      </c>
      <c r="AA29" s="679"/>
      <c r="AB29" s="680" t="str">
        <f t="shared" si="1"/>
        <v>n/a</v>
      </c>
      <c r="AC29" s="680" t="str">
        <f t="shared" si="1"/>
        <v>n/a</v>
      </c>
      <c r="AD29" s="680" t="str">
        <f t="shared" si="1"/>
        <v>n/a</v>
      </c>
      <c r="AF29" s="681" t="e">
        <f>IF((_xll.ciqfunctions.udf.CIQ($AI29, "IQ_TR_TARGET_STOCKPREMIUM_1W")/100)&lt;=0,"NM",_xll.ciqfunctions.udf.CIQ($AI29, "IQ_TR_TARGET_STOCKPREMIUM_1W")/100)</f>
        <v>#VALUE!</v>
      </c>
      <c r="AG29" s="681" t="e">
        <f>IF((_xll.ciqfunctions.udf.CIQ($AI29, "IQ_TR_TARGET_STOCKPREMIUM_1M")/100)&lt;=0,"NM",_xll.ciqfunctions.udf.CIQ($AI29, "IQ_TR_TARGET_STOCKPREMIUM_1M")/100)</f>
        <v>#VALUE!</v>
      </c>
      <c r="AI29" s="682">
        <f>+'Capital IQ Sheet-STM'!AK29</f>
        <v>0</v>
      </c>
      <c r="AJ29" s="675" t="str">
        <f>_xll.ciqfunctions.udf.CIQ(AI29, "IQ_BUSINESS_DESCRIPTION")</f>
        <v>n/a</v>
      </c>
    </row>
    <row r="30" spans="2:36" s="675" customFormat="1" ht="12.75" customHeight="1">
      <c r="B30" s="674"/>
      <c r="F30" s="676"/>
      <c r="G30" s="677"/>
      <c r="I30" s="678"/>
      <c r="J30" s="678"/>
      <c r="K30" s="678"/>
      <c r="L30" s="678"/>
      <c r="M30" s="679"/>
      <c r="N30" s="678"/>
      <c r="O30" s="678"/>
      <c r="P30" s="678"/>
      <c r="Q30" s="679"/>
      <c r="R30" s="680"/>
      <c r="S30" s="680"/>
      <c r="T30" s="680"/>
      <c r="U30" s="680"/>
      <c r="V30" s="680"/>
      <c r="W30" s="679"/>
      <c r="X30" s="678"/>
      <c r="Y30" s="678"/>
      <c r="Z30" s="678"/>
      <c r="AA30" s="679"/>
      <c r="AB30" s="680"/>
      <c r="AC30" s="680"/>
      <c r="AD30" s="680"/>
      <c r="AF30" s="681"/>
      <c r="AG30" s="681"/>
      <c r="AI30" s="682">
        <f>+'Capital IQ Sheet-STM'!AK30</f>
        <v>0</v>
      </c>
    </row>
    <row r="31" spans="2:36" s="675" customFormat="1" ht="12.75" customHeight="1">
      <c r="B31" s="674"/>
      <c r="F31" s="676"/>
      <c r="G31" s="677"/>
      <c r="I31" s="678"/>
      <c r="J31" s="678"/>
      <c r="K31" s="678"/>
      <c r="L31" s="678"/>
      <c r="M31" s="679"/>
      <c r="N31" s="678"/>
      <c r="O31" s="678"/>
      <c r="P31" s="678"/>
      <c r="Q31" s="679"/>
      <c r="R31" s="680"/>
      <c r="S31" s="680"/>
      <c r="T31" s="680"/>
      <c r="U31" s="680"/>
      <c r="V31" s="680"/>
      <c r="W31" s="679"/>
      <c r="X31" s="678"/>
      <c r="Y31" s="678"/>
      <c r="Z31" s="678"/>
      <c r="AA31" s="679"/>
      <c r="AB31" s="680"/>
      <c r="AC31" s="680"/>
      <c r="AD31" s="680"/>
      <c r="AF31" s="681"/>
      <c r="AG31" s="681"/>
      <c r="AI31" s="682">
        <f>+'Capital IQ Sheet-STM'!AK31</f>
        <v>0</v>
      </c>
    </row>
    <row r="32" spans="2:36" s="675" customFormat="1" ht="12.75" customHeight="1">
      <c r="B32" s="674"/>
      <c r="F32" s="676"/>
      <c r="G32" s="677"/>
      <c r="I32" s="678"/>
      <c r="J32" s="678"/>
      <c r="K32" s="678"/>
      <c r="L32" s="678"/>
      <c r="M32" s="679"/>
      <c r="N32" s="678"/>
      <c r="O32" s="678"/>
      <c r="P32" s="678"/>
      <c r="Q32" s="679"/>
      <c r="R32" s="680"/>
      <c r="S32" s="680"/>
      <c r="T32" s="680"/>
      <c r="U32" s="680"/>
      <c r="V32" s="680"/>
      <c r="W32" s="679"/>
      <c r="X32" s="678"/>
      <c r="Y32" s="678"/>
      <c r="Z32" s="678"/>
      <c r="AA32" s="679"/>
      <c r="AB32" s="680"/>
      <c r="AC32" s="680"/>
      <c r="AD32" s="680"/>
      <c r="AF32" s="681"/>
      <c r="AG32" s="681"/>
      <c r="AI32" s="682">
        <f>+'Capital IQ Sheet-STM'!AK32</f>
        <v>0</v>
      </c>
    </row>
    <row r="33" spans="2:35" s="675" customFormat="1" ht="12.75" customHeight="1">
      <c r="B33" s="674"/>
      <c r="F33" s="676"/>
      <c r="G33" s="677"/>
      <c r="I33" s="678"/>
      <c r="J33" s="678"/>
      <c r="K33" s="678"/>
      <c r="L33" s="678"/>
      <c r="M33" s="679"/>
      <c r="N33" s="678"/>
      <c r="O33" s="678"/>
      <c r="P33" s="678"/>
      <c r="Q33" s="679"/>
      <c r="R33" s="680"/>
      <c r="S33" s="680"/>
      <c r="T33" s="680"/>
      <c r="U33" s="680"/>
      <c r="V33" s="680"/>
      <c r="W33" s="679"/>
      <c r="X33" s="678"/>
      <c r="Y33" s="678"/>
      <c r="Z33" s="678"/>
      <c r="AA33" s="679"/>
      <c r="AB33" s="680"/>
      <c r="AC33" s="680"/>
      <c r="AD33" s="680"/>
      <c r="AF33" s="681"/>
      <c r="AG33" s="681"/>
      <c r="AI33" s="682">
        <f>+'Capital IQ Sheet-STM'!AK33</f>
        <v>0</v>
      </c>
    </row>
    <row r="34" spans="2:35" s="675" customFormat="1" ht="12.75" customHeight="1">
      <c r="B34" s="674"/>
      <c r="F34" s="676"/>
      <c r="G34" s="677"/>
      <c r="I34" s="678"/>
      <c r="J34" s="678"/>
      <c r="K34" s="678"/>
      <c r="L34" s="678"/>
      <c r="M34" s="679"/>
      <c r="N34" s="678"/>
      <c r="O34" s="678"/>
      <c r="P34" s="678"/>
      <c r="Q34" s="679"/>
      <c r="R34" s="680"/>
      <c r="S34" s="680"/>
      <c r="T34" s="680"/>
      <c r="U34" s="680"/>
      <c r="V34" s="680"/>
      <c r="W34" s="679"/>
      <c r="X34" s="678"/>
      <c r="Y34" s="678"/>
      <c r="Z34" s="678"/>
      <c r="AA34" s="679"/>
      <c r="AB34" s="680"/>
      <c r="AC34" s="680"/>
      <c r="AD34" s="680"/>
      <c r="AF34" s="681"/>
      <c r="AG34" s="681"/>
      <c r="AI34" s="682">
        <f>+'Capital IQ Sheet-STM'!AK34</f>
        <v>0</v>
      </c>
    </row>
    <row r="35" spans="2:35" s="675" customFormat="1" ht="12.75" customHeight="1">
      <c r="B35" s="674"/>
      <c r="F35" s="676"/>
      <c r="G35" s="677"/>
      <c r="I35" s="678"/>
      <c r="J35" s="678"/>
      <c r="K35" s="678"/>
      <c r="L35" s="678"/>
      <c r="M35" s="679"/>
      <c r="N35" s="678"/>
      <c r="O35" s="678"/>
      <c r="P35" s="678"/>
      <c r="Q35" s="679"/>
      <c r="R35" s="680"/>
      <c r="S35" s="680"/>
      <c r="T35" s="680"/>
      <c r="U35" s="680"/>
      <c r="V35" s="680"/>
      <c r="W35" s="679"/>
      <c r="X35" s="678"/>
      <c r="Y35" s="678"/>
      <c r="Z35" s="678"/>
      <c r="AA35" s="679"/>
      <c r="AB35" s="680"/>
      <c r="AC35" s="680"/>
      <c r="AD35" s="680"/>
      <c r="AF35" s="681"/>
      <c r="AG35" s="681"/>
      <c r="AI35" s="682">
        <f>+'Capital IQ Sheet-STM'!AK35</f>
        <v>0</v>
      </c>
    </row>
    <row r="36" spans="2:35" s="675" customFormat="1" ht="12.75" customHeight="1">
      <c r="B36" s="674"/>
      <c r="F36" s="676"/>
      <c r="G36" s="677"/>
      <c r="I36" s="678"/>
      <c r="J36" s="678"/>
      <c r="K36" s="678"/>
      <c r="L36" s="678"/>
      <c r="M36" s="679"/>
      <c r="N36" s="678"/>
      <c r="O36" s="678"/>
      <c r="P36" s="678"/>
      <c r="Q36" s="679"/>
      <c r="R36" s="680"/>
      <c r="S36" s="680"/>
      <c r="T36" s="680"/>
      <c r="U36" s="680"/>
      <c r="V36" s="680"/>
      <c r="W36" s="679"/>
      <c r="X36" s="678"/>
      <c r="Y36" s="678"/>
      <c r="Z36" s="678"/>
      <c r="AA36" s="679"/>
      <c r="AB36" s="680"/>
      <c r="AC36" s="680"/>
      <c r="AD36" s="680"/>
      <c r="AF36" s="681"/>
      <c r="AG36" s="681"/>
      <c r="AI36" s="682">
        <f>+'Capital IQ Sheet-STM'!AK36</f>
        <v>0</v>
      </c>
    </row>
    <row r="37" spans="2:35" s="675" customFormat="1" ht="12.75" customHeight="1">
      <c r="B37" s="674"/>
      <c r="F37" s="676"/>
      <c r="G37" s="677"/>
      <c r="I37" s="678"/>
      <c r="J37" s="678"/>
      <c r="K37" s="678"/>
      <c r="L37" s="678"/>
      <c r="M37" s="679"/>
      <c r="N37" s="678"/>
      <c r="O37" s="678"/>
      <c r="P37" s="678"/>
      <c r="Q37" s="679"/>
      <c r="R37" s="680"/>
      <c r="S37" s="680"/>
      <c r="T37" s="680"/>
      <c r="U37" s="680"/>
      <c r="V37" s="680"/>
      <c r="W37" s="679"/>
      <c r="X37" s="678"/>
      <c r="Y37" s="678"/>
      <c r="Z37" s="678"/>
      <c r="AA37" s="679"/>
      <c r="AB37" s="680"/>
      <c r="AC37" s="680"/>
      <c r="AD37" s="680"/>
      <c r="AF37" s="681"/>
      <c r="AG37" s="681"/>
      <c r="AI37" s="682">
        <f>+'Capital IQ Sheet-STM'!AK37</f>
        <v>0</v>
      </c>
    </row>
    <row r="38" spans="2:35" s="675" customFormat="1" ht="12.75" customHeight="1">
      <c r="B38" s="674"/>
      <c r="F38" s="676"/>
      <c r="G38" s="677"/>
      <c r="I38" s="678"/>
      <c r="J38" s="678"/>
      <c r="K38" s="678"/>
      <c r="L38" s="678"/>
      <c r="M38" s="679"/>
      <c r="N38" s="678"/>
      <c r="O38" s="678"/>
      <c r="P38" s="678"/>
      <c r="Q38" s="679"/>
      <c r="R38" s="680"/>
      <c r="S38" s="680"/>
      <c r="T38" s="680"/>
      <c r="U38" s="680"/>
      <c r="V38" s="680"/>
      <c r="W38" s="679"/>
      <c r="X38" s="678"/>
      <c r="Y38" s="678"/>
      <c r="Z38" s="678"/>
      <c r="AA38" s="679"/>
      <c r="AB38" s="680"/>
      <c r="AC38" s="680"/>
      <c r="AD38" s="680"/>
      <c r="AF38" s="681"/>
      <c r="AG38" s="681"/>
      <c r="AI38" s="682">
        <f>+'Capital IQ Sheet-STM'!AK38</f>
        <v>0</v>
      </c>
    </row>
    <row r="39" spans="2:35" s="675" customFormat="1" ht="12.75" customHeight="1">
      <c r="B39" s="674"/>
      <c r="F39" s="676"/>
      <c r="G39" s="677"/>
      <c r="I39" s="678"/>
      <c r="J39" s="678"/>
      <c r="K39" s="678"/>
      <c r="L39" s="678"/>
      <c r="M39" s="679"/>
      <c r="N39" s="678"/>
      <c r="O39" s="678"/>
      <c r="P39" s="678"/>
      <c r="Q39" s="679"/>
      <c r="R39" s="680"/>
      <c r="S39" s="680"/>
      <c r="T39" s="680"/>
      <c r="U39" s="680"/>
      <c r="V39" s="680"/>
      <c r="W39" s="679"/>
      <c r="X39" s="678"/>
      <c r="Y39" s="678"/>
      <c r="Z39" s="678"/>
      <c r="AA39" s="679"/>
      <c r="AB39" s="680"/>
      <c r="AC39" s="680"/>
      <c r="AD39" s="680"/>
      <c r="AF39" s="681"/>
      <c r="AG39" s="681"/>
      <c r="AI39" s="682">
        <f>+'Capital IQ Sheet-STM'!AK39</f>
        <v>0</v>
      </c>
    </row>
    <row r="40" spans="2:35" s="675" customFormat="1" ht="12.75" customHeight="1">
      <c r="B40" s="674"/>
      <c r="F40" s="676"/>
      <c r="G40" s="677"/>
      <c r="I40" s="678"/>
      <c r="J40" s="678"/>
      <c r="K40" s="678"/>
      <c r="L40" s="678"/>
      <c r="M40" s="679"/>
      <c r="N40" s="678"/>
      <c r="O40" s="678"/>
      <c r="P40" s="678"/>
      <c r="Q40" s="679"/>
      <c r="R40" s="680"/>
      <c r="S40" s="680"/>
      <c r="T40" s="680"/>
      <c r="U40" s="680"/>
      <c r="V40" s="680"/>
      <c r="W40" s="679"/>
      <c r="X40" s="678"/>
      <c r="Y40" s="678"/>
      <c r="Z40" s="678"/>
      <c r="AA40" s="679"/>
      <c r="AB40" s="680"/>
      <c r="AC40" s="680"/>
      <c r="AD40" s="680"/>
      <c r="AF40" s="681"/>
      <c r="AG40" s="681"/>
      <c r="AI40" s="682">
        <f>+'Capital IQ Sheet-STM'!AK40</f>
        <v>0</v>
      </c>
    </row>
    <row r="41" spans="2:35" s="675" customFormat="1" ht="12.75" customHeight="1">
      <c r="B41" s="674"/>
      <c r="F41" s="676"/>
      <c r="G41" s="677"/>
      <c r="I41" s="678"/>
      <c r="J41" s="678"/>
      <c r="K41" s="678"/>
      <c r="L41" s="678"/>
      <c r="M41" s="679"/>
      <c r="N41" s="678"/>
      <c r="O41" s="678"/>
      <c r="P41" s="678"/>
      <c r="Q41" s="679"/>
      <c r="R41" s="680"/>
      <c r="S41" s="680"/>
      <c r="T41" s="680"/>
      <c r="U41" s="680"/>
      <c r="V41" s="680"/>
      <c r="W41" s="679"/>
      <c r="X41" s="678"/>
      <c r="Y41" s="678"/>
      <c r="Z41" s="678"/>
      <c r="AA41" s="679"/>
      <c r="AB41" s="680"/>
      <c r="AC41" s="680"/>
      <c r="AD41" s="680"/>
      <c r="AF41" s="681"/>
      <c r="AG41" s="681"/>
      <c r="AI41" s="682"/>
    </row>
    <row r="42" spans="2:35" s="675" customFormat="1" ht="12.75" customHeight="1">
      <c r="B42" s="674"/>
      <c r="F42" s="676"/>
      <c r="G42" s="677"/>
      <c r="I42" s="678"/>
      <c r="J42" s="678"/>
      <c r="K42" s="678"/>
      <c r="L42" s="678"/>
      <c r="M42" s="679"/>
      <c r="N42" s="678"/>
      <c r="O42" s="678"/>
      <c r="P42" s="678"/>
      <c r="Q42" s="679"/>
      <c r="R42" s="680"/>
      <c r="S42" s="680"/>
      <c r="T42" s="680"/>
      <c r="U42" s="680"/>
      <c r="V42" s="680"/>
      <c r="W42" s="679"/>
      <c r="X42" s="678"/>
      <c r="Y42" s="678"/>
      <c r="Z42" s="678"/>
      <c r="AA42" s="679"/>
      <c r="AB42" s="680"/>
      <c r="AC42" s="680"/>
      <c r="AD42" s="680"/>
      <c r="AF42" s="681"/>
      <c r="AG42" s="681"/>
      <c r="AI42" s="682"/>
    </row>
    <row r="43" spans="2:35" s="675" customFormat="1" ht="12.75" customHeight="1">
      <c r="B43" s="674"/>
      <c r="F43" s="676"/>
      <c r="G43" s="677"/>
      <c r="I43" s="678"/>
      <c r="J43" s="678"/>
      <c r="K43" s="678"/>
      <c r="L43" s="678"/>
      <c r="M43" s="679"/>
      <c r="N43" s="678"/>
      <c r="O43" s="678"/>
      <c r="P43" s="678"/>
      <c r="Q43" s="679"/>
      <c r="R43" s="680"/>
      <c r="S43" s="680"/>
      <c r="T43" s="680"/>
      <c r="U43" s="680"/>
      <c r="V43" s="680"/>
      <c r="W43" s="679"/>
      <c r="X43" s="678"/>
      <c r="Y43" s="678"/>
      <c r="Z43" s="678"/>
      <c r="AA43" s="679"/>
      <c r="AB43" s="680"/>
      <c r="AC43" s="680"/>
      <c r="AD43" s="680"/>
      <c r="AF43" s="681"/>
      <c r="AG43" s="681"/>
      <c r="AI43" s="682"/>
    </row>
    <row r="44" spans="2:35" s="675" customFormat="1" ht="12.75" customHeight="1">
      <c r="B44" s="674"/>
      <c r="F44" s="676"/>
      <c r="G44" s="677"/>
      <c r="I44" s="678"/>
      <c r="J44" s="678"/>
      <c r="K44" s="678"/>
      <c r="L44" s="678"/>
      <c r="M44" s="679"/>
      <c r="N44" s="678"/>
      <c r="O44" s="678"/>
      <c r="P44" s="678"/>
      <c r="Q44" s="679"/>
      <c r="R44" s="680"/>
      <c r="S44" s="680"/>
      <c r="T44" s="680"/>
      <c r="U44" s="680"/>
      <c r="V44" s="680"/>
      <c r="W44" s="679"/>
      <c r="X44" s="678"/>
      <c r="Y44" s="678"/>
      <c r="Z44" s="678"/>
      <c r="AA44" s="679"/>
      <c r="AB44" s="680"/>
      <c r="AC44" s="680"/>
      <c r="AD44" s="680"/>
      <c r="AF44" s="681"/>
      <c r="AG44" s="681"/>
      <c r="AI44" s="682"/>
    </row>
    <row r="45" spans="2:35" s="660" customFormat="1" ht="12.75" customHeight="1"/>
    <row r="46" spans="2:35" s="660" customFormat="1" ht="12.75" customHeight="1"/>
    <row r="47" spans="2:35" s="660" customFormat="1" ht="12.75" customHeight="1">
      <c r="B47" s="683" t="s">
        <v>111</v>
      </c>
      <c r="C47" s="684"/>
      <c r="D47" s="684"/>
      <c r="E47" s="684"/>
      <c r="F47" s="684"/>
      <c r="G47" s="684"/>
      <c r="H47" s="684"/>
      <c r="I47" s="685">
        <f>MAX(I10:I45)</f>
        <v>7248.5594799999999</v>
      </c>
      <c r="J47" s="985"/>
      <c r="K47" s="985"/>
      <c r="L47" s="685"/>
      <c r="M47" s="684"/>
      <c r="N47" s="685">
        <f>MAX(N10:N45)</f>
        <v>115.029</v>
      </c>
      <c r="O47" s="685">
        <f>MAX(O10:O45)</f>
        <v>-13.39148</v>
      </c>
      <c r="P47" s="685">
        <f>MAX(P10:P45)</f>
        <v>-2.8979999999999999E-2</v>
      </c>
      <c r="Q47" s="686"/>
      <c r="R47" s="687">
        <f>MAX(R10:R45)</f>
        <v>1638.1039166434089</v>
      </c>
      <c r="S47" s="687">
        <f>MAX(S10:S45)</f>
        <v>-2.119891869047128</v>
      </c>
      <c r="T47" s="687">
        <f>MAX(T10:T45)</f>
        <v>-2.0609547908654751</v>
      </c>
      <c r="U47" s="687">
        <f>MAX(U10:U45)</f>
        <v>13.23626</v>
      </c>
      <c r="V47" s="687">
        <f>MAX(V10:V45)</f>
        <v>0</v>
      </c>
      <c r="W47" s="684"/>
      <c r="X47" s="685">
        <f>MAX(X10:X45)</f>
        <v>255.3947</v>
      </c>
      <c r="Y47" s="685">
        <f>MAX(Y10:Y45)</f>
        <v>84.952200000000005</v>
      </c>
      <c r="Z47" s="685">
        <f>MAX(Z10:Z45)</f>
        <v>118.99929</v>
      </c>
      <c r="AA47" s="684"/>
      <c r="AB47" s="687">
        <f>MAX(AB10:AB45)</f>
        <v>3927.4302602230482</v>
      </c>
      <c r="AC47" s="687">
        <f>MAX(AC10:AC45)</f>
        <v>85.325153203801662</v>
      </c>
      <c r="AD47" s="687">
        <f>MAX(AD10:AD45)</f>
        <v>60.912627966099627</v>
      </c>
      <c r="AE47" s="684"/>
      <c r="AF47" s="688" t="e">
        <f>MAX(AF10:AF45)</f>
        <v>#VALUE!</v>
      </c>
      <c r="AG47" s="689" t="e">
        <f>MAX(AG10:AG45)</f>
        <v>#VALUE!</v>
      </c>
    </row>
    <row r="48" spans="2:35" s="660" customFormat="1" ht="12.75" customHeight="1">
      <c r="B48" s="690" t="s">
        <v>115</v>
      </c>
      <c r="C48" s="691"/>
      <c r="D48" s="691"/>
      <c r="E48" s="691"/>
      <c r="F48" s="691"/>
      <c r="G48" s="691"/>
      <c r="H48" s="691"/>
      <c r="I48" s="692">
        <f>QUARTILE(I10:I45,3)</f>
        <v>873.55253749999997</v>
      </c>
      <c r="J48" s="692"/>
      <c r="K48" s="692"/>
      <c r="L48" s="692"/>
      <c r="M48" s="691"/>
      <c r="N48" s="692">
        <f>QUARTILE(N10:N45,3)</f>
        <v>41.289749999999998</v>
      </c>
      <c r="O48" s="692">
        <f>QUARTILE(O10:O45,3)</f>
        <v>-23.857849999999999</v>
      </c>
      <c r="P48" s="692">
        <f>QUARTILE(P10:P45,3)</f>
        <v>-19.957249999999998</v>
      </c>
      <c r="Q48" s="693"/>
      <c r="R48" s="694">
        <f>QUARTILE(R10:R45,3)</f>
        <v>835.40978163831983</v>
      </c>
      <c r="S48" s="694">
        <f>QUARTILE(S10:S45,3)</f>
        <v>-8.143574065083639</v>
      </c>
      <c r="T48" s="694">
        <f>QUARTILE(T10:T45,3)</f>
        <v>-8.0777444875888129</v>
      </c>
      <c r="U48" s="694">
        <f>QUARTILE(U10:U45,3)</f>
        <v>10.239280000000001</v>
      </c>
      <c r="V48" s="694" t="e">
        <f>QUARTILE(V10:V45,3)</f>
        <v>#NUM!</v>
      </c>
      <c r="W48" s="691"/>
      <c r="X48" s="692">
        <f>QUARTILE(X10:X45,3)</f>
        <v>123.81157499999999</v>
      </c>
      <c r="Y48" s="692">
        <f>QUARTILE(Y10:Y45,3)</f>
        <v>-12.30575</v>
      </c>
      <c r="Z48" s="692">
        <f>QUARTILE(Z10:Z45,3)</f>
        <v>118.99929</v>
      </c>
      <c r="AA48" s="691"/>
      <c r="AB48" s="694">
        <f>QUARTILE(AB10:AB45,3)</f>
        <v>537.98333308003635</v>
      </c>
      <c r="AC48" s="694">
        <f>QUARTILE(AC10:AC45,3)</f>
        <v>-4.1554437005564573</v>
      </c>
      <c r="AD48" s="694">
        <f>QUARTILE(AD10:AD45,3)</f>
        <v>60.912627966099627</v>
      </c>
      <c r="AE48" s="691"/>
      <c r="AF48" s="695" t="e">
        <f>QUARTILE(AF10:AF45,3)</f>
        <v>#VALUE!</v>
      </c>
      <c r="AG48" s="696" t="e">
        <f>QUARTILE(AG10:AG45,3)</f>
        <v>#VALUE!</v>
      </c>
    </row>
    <row r="49" spans="2:33" s="660" customFormat="1" ht="12.75" customHeight="1">
      <c r="B49" s="690" t="s">
        <v>113</v>
      </c>
      <c r="C49" s="691"/>
      <c r="D49" s="691"/>
      <c r="E49" s="691"/>
      <c r="F49" s="691"/>
      <c r="G49" s="691"/>
      <c r="H49" s="691"/>
      <c r="I49" s="692">
        <f>AVERAGE(I10:I45)</f>
        <v>1205.3720133333334</v>
      </c>
      <c r="J49" s="692"/>
      <c r="K49" s="692"/>
      <c r="L49" s="692"/>
      <c r="M49" s="691"/>
      <c r="N49" s="692">
        <f>AVERAGE(N10:N45)</f>
        <v>26.707906249999997</v>
      </c>
      <c r="O49" s="692">
        <f>AVERAGE(O10:O45)</f>
        <v>-101.893415</v>
      </c>
      <c r="P49" s="692">
        <f>AVERAGE(P10:P45)</f>
        <v>-93.367722222222213</v>
      </c>
      <c r="Q49" s="693"/>
      <c r="R49" s="694">
        <f>AVERAGE(R10:R45)</f>
        <v>496.97478824821104</v>
      </c>
      <c r="S49" s="694">
        <f>AVERAGE(S10:S45)</f>
        <v>-21.059507553321257</v>
      </c>
      <c r="T49" s="694">
        <f>AVERAGE(T10:T45)</f>
        <v>-20.563200037682826</v>
      </c>
      <c r="U49" s="694">
        <f>AVERAGE(U10:U45)</f>
        <v>6.7975342857142858</v>
      </c>
      <c r="V49" s="694" t="e">
        <f>AVERAGE(V10:V45)</f>
        <v>#DIV/0!</v>
      </c>
      <c r="W49" s="691"/>
      <c r="X49" s="692">
        <f>AVERAGE(X10:X45)</f>
        <v>75.254966666666675</v>
      </c>
      <c r="Y49" s="692">
        <f>AVERAGE(Y10:Y45)</f>
        <v>-43.033921666666657</v>
      </c>
      <c r="Z49" s="692">
        <f>AVERAGE(Z10:Z45)</f>
        <v>118.99929</v>
      </c>
      <c r="AA49" s="691"/>
      <c r="AB49" s="694">
        <f>AVERAGE(AB10:AB45)</f>
        <v>792.60559326356304</v>
      </c>
      <c r="AC49" s="694">
        <f>AVERAGE(AC10:AC45)</f>
        <v>-7.1062086151069144</v>
      </c>
      <c r="AD49" s="694">
        <f>AVERAGE(AD10:AD45)</f>
        <v>60.912627966099627</v>
      </c>
      <c r="AE49" s="691"/>
      <c r="AF49" s="695" t="e">
        <f>AVERAGE(AF10:AF45)</f>
        <v>#VALUE!</v>
      </c>
      <c r="AG49" s="696" t="e">
        <f>AVERAGE(AG10:AG45)</f>
        <v>#VALUE!</v>
      </c>
    </row>
    <row r="50" spans="2:33" s="660" customFormat="1" ht="12.75" customHeight="1">
      <c r="B50" s="690" t="s">
        <v>44</v>
      </c>
      <c r="C50" s="691"/>
      <c r="D50" s="691"/>
      <c r="E50" s="691"/>
      <c r="F50" s="691"/>
      <c r="G50" s="691"/>
      <c r="H50" s="691"/>
      <c r="I50" s="692">
        <f>MEDIAN(I10:I45)</f>
        <v>464.77742999999998</v>
      </c>
      <c r="J50" s="692"/>
      <c r="K50" s="692"/>
      <c r="L50" s="692"/>
      <c r="M50" s="691"/>
      <c r="N50" s="692">
        <f>MEDIAN(N10:N45)</f>
        <v>2.5993400000000002</v>
      </c>
      <c r="O50" s="692">
        <f>MEDIAN(O10:O45)</f>
        <v>-38.304105</v>
      </c>
      <c r="P50" s="692">
        <f>MEDIAN(P10:P45)</f>
        <v>-31.935469999999999</v>
      </c>
      <c r="Q50" s="693"/>
      <c r="R50" s="694">
        <f>MEDIAN(R10:R45)</f>
        <v>68.184474291607316</v>
      </c>
      <c r="S50" s="694">
        <f>MEDIAN(S10:S45)</f>
        <v>-14.740586754508033</v>
      </c>
      <c r="T50" s="694">
        <f>MEDIAN(T10:T45)</f>
        <v>-14.283626244377198</v>
      </c>
      <c r="U50" s="694">
        <f>MEDIAN(U10:U45)</f>
        <v>4.1382500000000002</v>
      </c>
      <c r="V50" s="694" t="e">
        <f>MEDIAN(V10:V45)</f>
        <v>#NUM!</v>
      </c>
      <c r="W50" s="691"/>
      <c r="X50" s="692">
        <f>MEDIAN(X10:X45)</f>
        <v>20.635304999999999</v>
      </c>
      <c r="Y50" s="692">
        <f>MEDIAN(Y10:Y45)</f>
        <v>-23.88401</v>
      </c>
      <c r="Z50" s="692">
        <f>MEDIAN(Z10:Z45)</f>
        <v>118.99929</v>
      </c>
      <c r="AA50" s="691"/>
      <c r="AB50" s="694">
        <f>MEDIAN(AB10:AB45)</f>
        <v>38.186552171693393</v>
      </c>
      <c r="AC50" s="694">
        <f>MEDIAN(AC10:AC45)</f>
        <v>-7.1422226503545092</v>
      </c>
      <c r="AD50" s="694">
        <f>MEDIAN(AD10:AD45)</f>
        <v>60.912627966099627</v>
      </c>
      <c r="AE50" s="691"/>
      <c r="AF50" s="695" t="e">
        <f>MEDIAN(AF10:AF45)</f>
        <v>#VALUE!</v>
      </c>
      <c r="AG50" s="696" t="e">
        <f>MEDIAN(AG10:AG45)</f>
        <v>#VALUE!</v>
      </c>
    </row>
    <row r="51" spans="2:33" s="660" customFormat="1" ht="12.75" customHeight="1">
      <c r="B51" s="690" t="s">
        <v>114</v>
      </c>
      <c r="C51" s="691"/>
      <c r="D51" s="691"/>
      <c r="E51" s="691"/>
      <c r="F51" s="691"/>
      <c r="G51" s="691"/>
      <c r="H51" s="691"/>
      <c r="I51" s="692">
        <f>QUARTILE(I10:I45,1)</f>
        <v>65.407747499999999</v>
      </c>
      <c r="J51" s="692"/>
      <c r="K51" s="692"/>
      <c r="L51" s="692"/>
      <c r="M51" s="691"/>
      <c r="N51" s="692">
        <f>QUARTILE(N10:N45,1)</f>
        <v>0.30687749999999997</v>
      </c>
      <c r="O51" s="692">
        <f>QUARTILE(O10:O45,1)</f>
        <v>-91.147672499999999</v>
      </c>
      <c r="P51" s="692">
        <f>QUARTILE(P10:P45,1)</f>
        <v>-46.344000000000001</v>
      </c>
      <c r="Q51" s="693"/>
      <c r="R51" s="694">
        <f>QUARTILE(R10:R45,1)</f>
        <v>36.982584464838027</v>
      </c>
      <c r="S51" s="694">
        <f>QUARTILE(S10:S45,1)</f>
        <v>-23.124547452598399</v>
      </c>
      <c r="T51" s="694">
        <f>QUARTILE(T10:T45,1)</f>
        <v>-22.734811651068679</v>
      </c>
      <c r="U51" s="694">
        <f>QUARTILE(U10:U45,1)</f>
        <v>3.4981149999999999</v>
      </c>
      <c r="V51" s="694" t="e">
        <f>QUARTILE(V10:V45,1)</f>
        <v>#NUM!</v>
      </c>
      <c r="W51" s="691"/>
      <c r="X51" s="692">
        <f>QUARTILE(X10:X45,1)</f>
        <v>2.5535700000000001</v>
      </c>
      <c r="Y51" s="692">
        <f>QUARTILE(Y10:Y45,1)</f>
        <v>-36.998862500000001</v>
      </c>
      <c r="Z51" s="692">
        <f>QUARTILE(Z10:Z45,1)</f>
        <v>118.99929</v>
      </c>
      <c r="AA51" s="691"/>
      <c r="AB51" s="694">
        <f>QUARTILE(AB10:AB45,1)</f>
        <v>29.452671078706366</v>
      </c>
      <c r="AC51" s="694">
        <f>QUARTILE(AC10:AC45,1)</f>
        <v>-22.296267871612109</v>
      </c>
      <c r="AD51" s="694">
        <f>QUARTILE(AD10:AD45,1)</f>
        <v>60.912627966099627</v>
      </c>
      <c r="AE51" s="691"/>
      <c r="AF51" s="695" t="e">
        <f>QUARTILE(AF10:AF45,1)</f>
        <v>#VALUE!</v>
      </c>
      <c r="AG51" s="696" t="e">
        <f>QUARTILE(AG10:AG45,1)</f>
        <v>#VALUE!</v>
      </c>
    </row>
    <row r="52" spans="2:33" s="660" customFormat="1" ht="12.75" customHeight="1">
      <c r="B52" s="697" t="s">
        <v>112</v>
      </c>
      <c r="C52" s="698"/>
      <c r="D52" s="698"/>
      <c r="E52" s="698"/>
      <c r="F52" s="698"/>
      <c r="G52" s="698"/>
      <c r="H52" s="698"/>
      <c r="I52" s="699">
        <f>MIN(I10:I45)</f>
        <v>15.418100000000001</v>
      </c>
      <c r="J52" s="699"/>
      <c r="K52" s="699"/>
      <c r="L52" s="699"/>
      <c r="M52" s="698"/>
      <c r="N52" s="699">
        <f>MIN(N10:N45)</f>
        <v>0</v>
      </c>
      <c r="O52" s="699">
        <f>MIN(O10:O45)</f>
        <v>-406.5</v>
      </c>
      <c r="P52" s="699">
        <f>MIN(P10:P45)</f>
        <v>-427</v>
      </c>
      <c r="Q52" s="700"/>
      <c r="R52" s="701">
        <f>MIN(R10:R45)</f>
        <v>27.75039459614532</v>
      </c>
      <c r="S52" s="701">
        <f>MIN(S10:S45)</f>
        <v>-71.027104712740865</v>
      </c>
      <c r="T52" s="701">
        <f>MIN(T10:T45)</f>
        <v>-68.878390730191612</v>
      </c>
      <c r="U52" s="701">
        <f>MIN(U10:U45)</f>
        <v>2.7334399999999999</v>
      </c>
      <c r="V52" s="701">
        <f>MIN(V10:V45)</f>
        <v>0</v>
      </c>
      <c r="W52" s="698"/>
      <c r="X52" s="699">
        <f>MIN(X10:X45)</f>
        <v>0.13450000000000001</v>
      </c>
      <c r="Y52" s="699">
        <f>MIN(Y10:Y45)</f>
        <v>-245.57089999999999</v>
      </c>
      <c r="Z52" s="699">
        <f>MIN(Z10:Z45)</f>
        <v>118.99929</v>
      </c>
      <c r="AA52" s="698"/>
      <c r="AB52" s="701">
        <f>MIN(AB10:AB45)</f>
        <v>20.706557584414526</v>
      </c>
      <c r="AC52" s="701">
        <f>MIN(AC10:AC45)</f>
        <v>-83.170492597745707</v>
      </c>
      <c r="AD52" s="701">
        <f>MIN(AD10:AD45)</f>
        <v>60.912627966099627</v>
      </c>
      <c r="AE52" s="698"/>
      <c r="AF52" s="702" t="e">
        <f>MIN(AF10:AF45)</f>
        <v>#VALUE!</v>
      </c>
      <c r="AG52" s="703" t="e">
        <f>MIN(AG10:AG45)</f>
        <v>#VALUE!</v>
      </c>
    </row>
    <row r="53" spans="2:33" s="660" customFormat="1" ht="12.75" customHeight="1"/>
    <row r="54" spans="2:33" s="660" customFormat="1" ht="12.75" customHeight="1"/>
    <row r="55" spans="2:33" s="660" customFormat="1" ht="12.75" customHeight="1">
      <c r="B55" s="704" t="s">
        <v>116</v>
      </c>
    </row>
    <row r="56" spans="2:33" s="660" customFormat="1" ht="12.75" customHeight="1"/>
    <row r="57" spans="2:33" s="660" customFormat="1" ht="12.75" customHeight="1"/>
  </sheetData>
  <conditionalFormatting sqref="AG4">
    <cfRule type="cellIs" dxfId="171" priority="1" stopIfTrue="1" operator="equal">
      <formula>"input"</formula>
    </cfRule>
  </conditionalFormatting>
  <conditionalFormatting sqref="R4">
    <cfRule type="cellIs" dxfId="170" priority="5" stopIfTrue="1" operator="equal">
      <formula>"input"</formula>
    </cfRule>
  </conditionalFormatting>
  <conditionalFormatting sqref="B4:M4">
    <cfRule type="cellIs" dxfId="169" priority="11" stopIfTrue="1" operator="equal">
      <formula>"input"</formula>
    </cfRule>
  </conditionalFormatting>
  <conditionalFormatting sqref="N4">
    <cfRule type="cellIs" dxfId="168" priority="9" stopIfTrue="1" operator="equal">
      <formula>"input"</formula>
    </cfRule>
  </conditionalFormatting>
  <conditionalFormatting sqref="N4">
    <cfRule type="cellIs" dxfId="167" priority="10" stopIfTrue="1" operator="equal">
      <formula>"input"</formula>
    </cfRule>
  </conditionalFormatting>
  <conditionalFormatting sqref="O4:Q4">
    <cfRule type="cellIs" dxfId="166" priority="7" stopIfTrue="1" operator="equal">
      <formula>"input"</formula>
    </cfRule>
  </conditionalFormatting>
  <conditionalFormatting sqref="O4:Q4">
    <cfRule type="cellIs" dxfId="165" priority="8" stopIfTrue="1" operator="equal">
      <formula>"input"</formula>
    </cfRule>
  </conditionalFormatting>
  <conditionalFormatting sqref="R4">
    <cfRule type="cellIs" dxfId="164" priority="6" stopIfTrue="1" operator="equal">
      <formula>"input"</formula>
    </cfRule>
  </conditionalFormatting>
  <conditionalFormatting sqref="S4:AF4">
    <cfRule type="cellIs" dxfId="163" priority="3" stopIfTrue="1" operator="equal">
      <formula>"input"</formula>
    </cfRule>
  </conditionalFormatting>
  <conditionalFormatting sqref="S4:AF4">
    <cfRule type="cellIs" dxfId="162" priority="4" stopIfTrue="1" operator="equal">
      <formula>"input"</formula>
    </cfRule>
  </conditionalFormatting>
  <conditionalFormatting sqref="AG4">
    <cfRule type="cellIs" dxfId="161" priority="2" stopIfTrue="1" operator="equal">
      <formula>"input"</formula>
    </cfRule>
  </conditionalFormatting>
  <pageMargins left="0.7" right="0.7" top="0.75" bottom="0.75" header="0.3" footer="0.3"/>
  <pageSetup scale="92" orientation="portrait" r:id="rId1"/>
  <colBreaks count="1" manualBreakCount="1">
    <brk id="13" max="54" man="1"/>
  </colBreak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1"/>
  </sheetPr>
  <dimension ref="A1"/>
  <sheetViews>
    <sheetView showGridLines="0" workbookViewId="0"/>
  </sheetViews>
  <sheetFormatPr defaultRowHeight="12.75"/>
  <cols>
    <col min="1" max="16384" width="9.33203125" style="405"/>
  </cols>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H101"/>
  <sheetViews>
    <sheetView showGridLines="0" view="pageBreakPreview" zoomScaleNormal="100" zoomScaleSheetLayoutView="100" workbookViewId="0">
      <selection activeCell="B11" sqref="B11"/>
    </sheetView>
  </sheetViews>
  <sheetFormatPr defaultRowHeight="12.75" outlineLevelRow="1"/>
  <cols>
    <col min="1" max="1" width="2.83203125" style="405" customWidth="1"/>
    <col min="2" max="2" width="60.1640625" style="173" customWidth="1"/>
    <col min="3" max="6" width="23.83203125" style="173" customWidth="1"/>
    <col min="7" max="7" width="2.83203125" style="173" customWidth="1"/>
    <col min="8" max="8" width="9.33203125" style="173"/>
    <col min="9" max="16384" width="9.33203125" style="405"/>
  </cols>
  <sheetData>
    <row r="1" spans="2:8" ht="10.7" customHeight="1" thickBot="1">
      <c r="B1" s="405"/>
      <c r="C1" s="405"/>
      <c r="D1" s="405"/>
      <c r="E1" s="405"/>
      <c r="F1" s="405"/>
    </row>
    <row r="2" spans="2:8" ht="16.5" customHeight="1" thickTop="1">
      <c r="B2" s="10" t="str">
        <f>'MASTER PubCo Inputs'!$C$5</f>
        <v>Kallyope, Inc.</v>
      </c>
      <c r="C2" s="10"/>
      <c r="D2" s="10"/>
      <c r="E2" s="10"/>
      <c r="F2" s="10"/>
    </row>
    <row r="3" spans="2:8" ht="15.75" customHeight="1">
      <c r="B3" s="11" t="e">
        <f>VLOOKUP(B4,Outline!$E$8:$G$70,COLUMNS(Outline!$E$8:$G$8),FALSE)</f>
        <v>#N/A</v>
      </c>
      <c r="C3" s="11"/>
      <c r="D3" s="11"/>
      <c r="E3" s="11"/>
      <c r="F3" s="11"/>
    </row>
    <row r="4" spans="2:8" ht="16.5" customHeight="1" thickBot="1">
      <c r="B4" s="12" t="s">
        <v>609</v>
      </c>
      <c r="C4" s="12"/>
      <c r="D4" s="12"/>
      <c r="E4" s="12"/>
      <c r="F4" s="13" t="str">
        <f>+'MASTER PubCo Inputs'!$C$19</f>
        <v>(in thousands of USD, except price per share)</v>
      </c>
    </row>
    <row r="5" spans="2:8" ht="12.75" customHeight="1" thickTop="1">
      <c r="B5" s="252"/>
      <c r="C5" s="252"/>
      <c r="D5" s="252"/>
      <c r="E5" s="252"/>
      <c r="F5" s="405"/>
    </row>
    <row r="6" spans="2:8" s="16" customFormat="1" ht="12.75" customHeight="1">
      <c r="B6" s="405"/>
      <c r="C6" s="405"/>
      <c r="D6" s="499"/>
      <c r="E6" s="499"/>
      <c r="F6" s="405"/>
      <c r="G6" s="324"/>
      <c r="H6" s="324"/>
    </row>
    <row r="7" spans="2:8">
      <c r="B7" s="405" t="s">
        <v>346</v>
      </c>
      <c r="C7" s="756">
        <f>'MASTER PubCo Inputs'!C6</f>
        <v>43281</v>
      </c>
      <c r="D7" s="2121">
        <v>43105</v>
      </c>
      <c r="E7" s="2121">
        <v>42704</v>
      </c>
      <c r="F7" s="173" t="s">
        <v>549</v>
      </c>
    </row>
    <row r="8" spans="2:8" ht="38.25" hidden="1" outlineLevel="1">
      <c r="B8" s="405" t="s">
        <v>550</v>
      </c>
      <c r="C8" s="379" t="s">
        <v>551</v>
      </c>
      <c r="D8" s="863" t="s">
        <v>2794</v>
      </c>
      <c r="E8" s="863"/>
    </row>
    <row r="9" spans="2:8" collapsed="1">
      <c r="B9" s="405"/>
      <c r="D9" s="500"/>
      <c r="E9" s="500"/>
    </row>
    <row r="10" spans="2:8" ht="13.5" hidden="1" outlineLevel="1">
      <c r="B10" s="380" t="s">
        <v>552</v>
      </c>
      <c r="D10" s="500"/>
      <c r="E10" s="500"/>
    </row>
    <row r="11" spans="2:8" collapsed="1">
      <c r="B11" s="1" t="s">
        <v>144</v>
      </c>
      <c r="D11" s="500"/>
      <c r="E11" s="500"/>
    </row>
    <row r="12" spans="2:8">
      <c r="B12" s="405" t="s">
        <v>145</v>
      </c>
      <c r="C12" s="864">
        <f>C15-C14+C13</f>
        <v>108407.736</v>
      </c>
      <c r="D12" s="864">
        <f>D15-D14+D13</f>
        <v>102617.882</v>
      </c>
      <c r="E12" s="864">
        <v>16420.048999999999</v>
      </c>
      <c r="F12" s="56">
        <f>IFERROR(C12/D12-1,"n/a")</f>
        <v>5.6421491918923206E-2</v>
      </c>
    </row>
    <row r="13" spans="2:8">
      <c r="B13" s="405" t="s">
        <v>95</v>
      </c>
      <c r="C13" s="757">
        <f>'Hist BS'!G55</f>
        <v>0</v>
      </c>
      <c r="D13" s="2122">
        <v>0</v>
      </c>
      <c r="E13" s="2122">
        <v>0</v>
      </c>
      <c r="F13" s="56" t="str">
        <f>IFERROR(C13/D13-1,"n/a")</f>
        <v>n/a</v>
      </c>
    </row>
    <row r="14" spans="2:8">
      <c r="B14" s="405" t="s">
        <v>561</v>
      </c>
      <c r="C14" s="757">
        <f>IFERROR('Hist BS'!G13,"n/a")</f>
        <v>34922.264000000003</v>
      </c>
      <c r="D14" s="2122">
        <v>23372.117999999999</v>
      </c>
      <c r="E14" s="2122">
        <v>19979.951000000001</v>
      </c>
      <c r="F14" s="56">
        <f>IFERROR(C14/D14-1,"n/a")</f>
        <v>0.4941848231298509</v>
      </c>
    </row>
    <row r="15" spans="2:8">
      <c r="B15" s="405" t="s">
        <v>147</v>
      </c>
      <c r="C15" s="757">
        <f>'Val Summ'!D9</f>
        <v>143330</v>
      </c>
      <c r="D15" s="2122">
        <v>125990</v>
      </c>
      <c r="E15" s="2122">
        <v>36400</v>
      </c>
      <c r="F15" s="56">
        <f>IFERROR(C15/D15-1,"n/a")</f>
        <v>0.13762997063258986</v>
      </c>
    </row>
    <row r="16" spans="2:8">
      <c r="B16" s="405" t="s">
        <v>562</v>
      </c>
      <c r="C16" s="757">
        <f>SUM('Econ Rights'!D13:G14)</f>
        <v>110199.976</v>
      </c>
      <c r="D16" s="2122">
        <v>110200</v>
      </c>
      <c r="E16" s="2122">
        <v>28050</v>
      </c>
      <c r="F16" s="56">
        <f>IFERROR(C16/D16-1,"n/a")</f>
        <v>-2.1778584391451972E-7</v>
      </c>
    </row>
    <row r="17" spans="2:6">
      <c r="B17" s="405"/>
      <c r="D17" s="500"/>
      <c r="E17" s="500"/>
    </row>
    <row r="18" spans="2:6">
      <c r="B18" s="1" t="s">
        <v>1171</v>
      </c>
      <c r="D18" s="500"/>
      <c r="E18" s="500"/>
    </row>
    <row r="19" spans="2:6">
      <c r="B19" s="405" t="s">
        <v>1172</v>
      </c>
      <c r="C19" s="758">
        <f>IFERROR('Val Summ'!F11,"n/a")</f>
        <v>0.47778446963398424</v>
      </c>
      <c r="D19" s="2123">
        <v>0.40104230010399688</v>
      </c>
      <c r="E19" s="2123">
        <v>0.13340690002043237</v>
      </c>
      <c r="F19" s="56">
        <f>IFERROR(C19/D19-1,"n/a")</f>
        <v>0.19135679580454945</v>
      </c>
    </row>
    <row r="20" spans="2:6">
      <c r="B20" s="405" t="s">
        <v>1181</v>
      </c>
      <c r="C20" s="759">
        <f>+'Val Summ'!F22</f>
        <v>0.23889223481699212</v>
      </c>
      <c r="D20" s="370">
        <v>0.20052115005199844</v>
      </c>
      <c r="E20" s="370">
        <v>0.13340690002043237</v>
      </c>
      <c r="F20" s="56">
        <f>IFERROR(C20/D20-1,"n/a")</f>
        <v>0.19135679580454945</v>
      </c>
    </row>
    <row r="21" spans="2:6">
      <c r="B21" s="405"/>
      <c r="D21" s="500"/>
      <c r="E21" s="500"/>
    </row>
    <row r="22" spans="2:6">
      <c r="B22" s="1" t="s">
        <v>1173</v>
      </c>
      <c r="D22" s="500"/>
      <c r="E22" s="500"/>
    </row>
    <row r="23" spans="2:6" ht="31.5" customHeight="1">
      <c r="B23" s="405" t="s">
        <v>1174</v>
      </c>
      <c r="C23" s="330" t="s">
        <v>627</v>
      </c>
      <c r="D23" s="330" t="s">
        <v>627</v>
      </c>
      <c r="E23" s="330" t="s">
        <v>627</v>
      </c>
      <c r="F23" s="56" t="str">
        <f>IFERROR(C23/D23-1,"n/a")</f>
        <v>n/a</v>
      </c>
    </row>
    <row r="24" spans="2:6">
      <c r="B24" s="405"/>
      <c r="D24" s="500"/>
      <c r="E24" s="500"/>
    </row>
    <row r="25" spans="2:6" ht="13.5" hidden="1" outlineLevel="1">
      <c r="B25" s="380" t="s">
        <v>553</v>
      </c>
      <c r="D25" s="500"/>
      <c r="E25" s="500"/>
    </row>
    <row r="26" spans="2:6" collapsed="1">
      <c r="B26" s="405" t="s">
        <v>1173</v>
      </c>
      <c r="D26" s="500"/>
      <c r="E26" s="500"/>
    </row>
    <row r="27" spans="2:6">
      <c r="B27" s="1" t="s">
        <v>554</v>
      </c>
      <c r="D27" s="500"/>
      <c r="E27" s="500"/>
    </row>
    <row r="28" spans="2:6">
      <c r="B28" s="405" t="s">
        <v>1182</v>
      </c>
      <c r="C28" s="760">
        <f>'OPM 1_OIP'!D10</f>
        <v>3.5284794520547953</v>
      </c>
      <c r="D28" s="2124">
        <v>4.0106712328767129</v>
      </c>
      <c r="E28" s="2124">
        <v>4.3913411254129135</v>
      </c>
      <c r="F28" s="56">
        <f>IFERROR(C28/D28-1,"n/a")</f>
        <v>-0.12022720208758131</v>
      </c>
    </row>
    <row r="29" spans="2:6">
      <c r="B29" s="405" t="s">
        <v>1183</v>
      </c>
      <c r="C29" s="2125">
        <f>C7+C28*365.25</f>
        <v>44569.777119863014</v>
      </c>
      <c r="D29" s="2125">
        <v>44569.897667808218</v>
      </c>
      <c r="E29" s="2125">
        <v>44338.937346057064</v>
      </c>
      <c r="F29" s="56" t="s">
        <v>13</v>
      </c>
    </row>
    <row r="30" spans="2:6">
      <c r="B30" s="405" t="s">
        <v>117</v>
      </c>
      <c r="C30" s="759">
        <f>'OPM 1_OIP'!D11</f>
        <v>0.81299999999999994</v>
      </c>
      <c r="D30" s="370">
        <v>0.76700000000000002</v>
      </c>
      <c r="E30" s="370">
        <v>0.83</v>
      </c>
      <c r="F30" s="56">
        <f>IFERROR(C30-D30,"n/a")</f>
        <v>4.599999999999993E-2</v>
      </c>
    </row>
    <row r="31" spans="2:6">
      <c r="B31" s="405" t="s">
        <v>555</v>
      </c>
      <c r="C31" s="759">
        <f>'Asset Vol_OPM_OIP'!Y48</f>
        <v>0.81299999999999994</v>
      </c>
      <c r="D31" s="370">
        <v>0.76700000000000002</v>
      </c>
      <c r="E31" s="370">
        <v>0.83</v>
      </c>
      <c r="F31" s="56">
        <f>IFERROR(C31-D31,"n/a")</f>
        <v>4.599999999999993E-2</v>
      </c>
    </row>
    <row r="32" spans="2:6" ht="25.5">
      <c r="B32" s="1936" t="s">
        <v>556</v>
      </c>
      <c r="C32" s="509" t="s">
        <v>44</v>
      </c>
      <c r="D32" s="509" t="s">
        <v>44</v>
      </c>
      <c r="E32" s="2539" t="s">
        <v>2863</v>
      </c>
      <c r="F32" s="2540" t="str">
        <f>IFERROR(C32/D32-1,"n/a")</f>
        <v>n/a</v>
      </c>
    </row>
    <row r="33" spans="2:6">
      <c r="B33" s="405"/>
      <c r="D33" s="500"/>
      <c r="E33" s="500"/>
    </row>
    <row r="34" spans="2:6">
      <c r="B34" s="1" t="s">
        <v>1175</v>
      </c>
      <c r="D34" s="2126"/>
      <c r="E34" s="2126"/>
      <c r="F34" s="410" t="s">
        <v>840</v>
      </c>
    </row>
    <row r="35" spans="2:6">
      <c r="B35" s="405" t="str">
        <f>'Exit Probability'!B34</f>
        <v>IPO - Phase I</v>
      </c>
      <c r="C35" s="2128">
        <f>'Exit Probability'!E34</f>
        <v>44377</v>
      </c>
      <c r="D35" s="2126">
        <v>44377</v>
      </c>
      <c r="E35" s="2126">
        <v>44377</v>
      </c>
      <c r="F35" s="385">
        <f>IFERROR(YEARFRAC(D35,C35,3)*12,"n/a")</f>
        <v>0</v>
      </c>
    </row>
    <row r="36" spans="2:6">
      <c r="B36" s="405" t="str">
        <f>'Exit Probability'!B35</f>
        <v>IPO - Phase II</v>
      </c>
      <c r="C36" s="2128">
        <f>'Exit Probability'!E35</f>
        <v>45473</v>
      </c>
      <c r="D36" s="2126">
        <v>45473</v>
      </c>
      <c r="E36" s="2126">
        <v>45473</v>
      </c>
      <c r="F36" s="385">
        <f t="shared" ref="F36:F47" si="0">IFERROR(YEARFRAC(D36,C36,3)*12,"n/a")</f>
        <v>0</v>
      </c>
    </row>
    <row r="37" spans="2:6">
      <c r="B37" s="405" t="str">
        <f>'Exit Probability'!B36</f>
        <v>M&amp;A - IND (High)</v>
      </c>
      <c r="C37" s="2128">
        <f>'Exit Probability'!E36</f>
        <v>44012</v>
      </c>
      <c r="D37" s="2126">
        <v>44012</v>
      </c>
      <c r="E37" s="2126">
        <v>43921</v>
      </c>
      <c r="F37" s="385">
        <f t="shared" si="0"/>
        <v>0</v>
      </c>
    </row>
    <row r="38" spans="2:6">
      <c r="B38" s="405" t="str">
        <f>'Exit Probability'!B37</f>
        <v>M&amp;A - IND (Low)</v>
      </c>
      <c r="C38" s="2128">
        <f>'Exit Probability'!E37</f>
        <v>44012</v>
      </c>
      <c r="D38" s="2126">
        <v>44012</v>
      </c>
      <c r="E38" s="2126">
        <v>43921</v>
      </c>
      <c r="F38" s="385">
        <f t="shared" si="0"/>
        <v>0</v>
      </c>
    </row>
    <row r="39" spans="2:6">
      <c r="B39" s="405" t="str">
        <f>'Exit Probability'!B38</f>
        <v>M&amp;A - Phase I (High)</v>
      </c>
      <c r="C39" s="2128">
        <f>'Exit Probability'!E38</f>
        <v>44377</v>
      </c>
      <c r="D39" s="2126">
        <v>44377</v>
      </c>
      <c r="E39" s="2126">
        <v>44377</v>
      </c>
      <c r="F39" s="385">
        <f t="shared" si="0"/>
        <v>0</v>
      </c>
    </row>
    <row r="40" spans="2:6">
      <c r="B40" s="405" t="str">
        <f>'Exit Probability'!B39</f>
        <v>M&amp;A - Phase I (Low)</v>
      </c>
      <c r="C40" s="2128">
        <f>'Exit Probability'!E39</f>
        <v>44377</v>
      </c>
      <c r="D40" s="2126">
        <v>44377</v>
      </c>
      <c r="E40" s="2126">
        <v>44377</v>
      </c>
      <c r="F40" s="385">
        <f t="shared" si="0"/>
        <v>0</v>
      </c>
    </row>
    <row r="41" spans="2:6">
      <c r="B41" s="405" t="str">
        <f>'Exit Probability'!B40</f>
        <v>M&amp;A - Phase II (High)</v>
      </c>
      <c r="C41" s="2128">
        <f>'Exit Probability'!E40</f>
        <v>45473</v>
      </c>
      <c r="D41" s="2126">
        <v>45473</v>
      </c>
      <c r="E41" s="2126">
        <v>45473</v>
      </c>
      <c r="F41" s="385">
        <f t="shared" si="0"/>
        <v>0</v>
      </c>
    </row>
    <row r="42" spans="2:6">
      <c r="B42" s="405" t="str">
        <f>'Exit Probability'!B41</f>
        <v>M&amp;A - Phase II (Low)</v>
      </c>
      <c r="C42" s="2128">
        <f>'Exit Probability'!E41</f>
        <v>45473</v>
      </c>
      <c r="D42" s="2126">
        <v>45473</v>
      </c>
      <c r="E42" s="2126">
        <v>45473</v>
      </c>
      <c r="F42" s="385">
        <f t="shared" si="0"/>
        <v>0</v>
      </c>
    </row>
    <row r="43" spans="2:6">
      <c r="B43" s="405" t="s">
        <v>2864</v>
      </c>
      <c r="C43" s="2316"/>
      <c r="D43" s="2316"/>
      <c r="E43" s="2126">
        <v>43008</v>
      </c>
      <c r="F43" s="385"/>
    </row>
    <row r="44" spans="2:6">
      <c r="B44" s="405" t="s">
        <v>2865</v>
      </c>
      <c r="C44" s="2316"/>
      <c r="D44" s="2316"/>
      <c r="E44" s="2126">
        <v>43373</v>
      </c>
      <c r="F44" s="385"/>
    </row>
    <row r="45" spans="2:6">
      <c r="B45" s="405" t="str">
        <f>'Exit Probability'!B42</f>
        <v>Low Sale - IND</v>
      </c>
      <c r="C45" s="2128">
        <f>'Exit Probability'!E42</f>
        <v>44012</v>
      </c>
      <c r="D45" s="2126">
        <v>44012</v>
      </c>
      <c r="E45" s="2126">
        <v>43921</v>
      </c>
      <c r="F45" s="385">
        <f t="shared" si="0"/>
        <v>0</v>
      </c>
    </row>
    <row r="46" spans="2:6">
      <c r="B46" s="405" t="str">
        <f>'Exit Probability'!B43</f>
        <v>Low Sale - Phase I</v>
      </c>
      <c r="C46" s="2128">
        <f>'Exit Probability'!E43</f>
        <v>44377</v>
      </c>
      <c r="D46" s="2126">
        <v>44377</v>
      </c>
      <c r="E46" s="2126">
        <v>44377</v>
      </c>
      <c r="F46" s="385">
        <f t="shared" si="0"/>
        <v>0</v>
      </c>
    </row>
    <row r="47" spans="2:6">
      <c r="B47" s="405" t="str">
        <f>'Exit Probability'!B44</f>
        <v>Low Sale - Phase II</v>
      </c>
      <c r="C47" s="2128">
        <f>'Exit Probability'!E44</f>
        <v>45473</v>
      </c>
      <c r="D47" s="2126">
        <v>45473</v>
      </c>
      <c r="E47" s="2126">
        <v>45473</v>
      </c>
      <c r="F47" s="385">
        <f t="shared" si="0"/>
        <v>0</v>
      </c>
    </row>
    <row r="48" spans="2:6">
      <c r="B48" s="405"/>
      <c r="D48" s="500"/>
      <c r="E48" s="500"/>
    </row>
    <row r="49" spans="2:6">
      <c r="B49" s="1" t="s">
        <v>557</v>
      </c>
      <c r="D49" s="500"/>
      <c r="E49" s="500"/>
    </row>
    <row r="50" spans="2:6">
      <c r="B50" s="405" t="str">
        <f t="shared" ref="B50:B57" si="1">B35</f>
        <v>IPO - Phase I</v>
      </c>
      <c r="C50" s="2129">
        <f>'Exit Probability'!G34</f>
        <v>450000</v>
      </c>
      <c r="D50" s="2127">
        <v>450000</v>
      </c>
      <c r="E50" s="2127">
        <v>450000</v>
      </c>
      <c r="F50" s="56">
        <f t="shared" ref="F50:F62" si="2">IFERROR(C50/D50-1,"n/a")</f>
        <v>0</v>
      </c>
    </row>
    <row r="51" spans="2:6">
      <c r="B51" s="405" t="str">
        <f t="shared" si="1"/>
        <v>IPO - Phase II</v>
      </c>
      <c r="C51" s="2129">
        <f>'Exit Probability'!G35</f>
        <v>750000</v>
      </c>
      <c r="D51" s="2127">
        <v>750000</v>
      </c>
      <c r="E51" s="2127">
        <v>750000</v>
      </c>
      <c r="F51" s="56">
        <f t="shared" si="2"/>
        <v>0</v>
      </c>
    </row>
    <row r="52" spans="2:6">
      <c r="B52" s="405" t="str">
        <f t="shared" si="1"/>
        <v>M&amp;A - IND (High)</v>
      </c>
      <c r="C52" s="2129">
        <f>'Exit Probability'!G36</f>
        <v>450000</v>
      </c>
      <c r="D52" s="2127">
        <v>450000</v>
      </c>
      <c r="E52" s="2127">
        <v>500000</v>
      </c>
      <c r="F52" s="56">
        <f t="shared" si="2"/>
        <v>0</v>
      </c>
    </row>
    <row r="53" spans="2:6">
      <c r="B53" s="405" t="str">
        <f t="shared" si="1"/>
        <v>M&amp;A - IND (Low)</v>
      </c>
      <c r="C53" s="2129">
        <f>'Exit Probability'!G37</f>
        <v>225000</v>
      </c>
      <c r="D53" s="2127">
        <v>225000</v>
      </c>
      <c r="E53" s="2127">
        <v>250000</v>
      </c>
      <c r="F53" s="56">
        <f t="shared" si="2"/>
        <v>0</v>
      </c>
    </row>
    <row r="54" spans="2:6">
      <c r="B54" s="405" t="str">
        <f t="shared" si="1"/>
        <v>M&amp;A - Phase I (High)</v>
      </c>
      <c r="C54" s="2129">
        <f>'Exit Probability'!G38</f>
        <v>1000000</v>
      </c>
      <c r="D54" s="2127">
        <v>1000000</v>
      </c>
      <c r="E54" s="2127">
        <v>1000000</v>
      </c>
      <c r="F54" s="56">
        <f t="shared" si="2"/>
        <v>0</v>
      </c>
    </row>
    <row r="55" spans="2:6">
      <c r="B55" s="405" t="str">
        <f t="shared" si="1"/>
        <v>M&amp;A - Phase I (Low)</v>
      </c>
      <c r="C55" s="2129">
        <f>'Exit Probability'!G39</f>
        <v>500000</v>
      </c>
      <c r="D55" s="2127">
        <v>500000</v>
      </c>
      <c r="E55" s="2127">
        <v>500000</v>
      </c>
      <c r="F55" s="56">
        <f t="shared" si="2"/>
        <v>0</v>
      </c>
    </row>
    <row r="56" spans="2:6">
      <c r="B56" s="405" t="str">
        <f t="shared" si="1"/>
        <v>M&amp;A - Phase II (High)</v>
      </c>
      <c r="C56" s="2129">
        <f>'Exit Probability'!G40</f>
        <v>2000000</v>
      </c>
      <c r="D56" s="2127">
        <v>1900000</v>
      </c>
      <c r="E56" s="2127">
        <v>2000000</v>
      </c>
      <c r="F56" s="56">
        <f t="shared" si="2"/>
        <v>5.2631578947368363E-2</v>
      </c>
    </row>
    <row r="57" spans="2:6">
      <c r="B57" s="405" t="str">
        <f t="shared" si="1"/>
        <v>M&amp;A - Phase II (Low)</v>
      </c>
      <c r="C57" s="2129">
        <f>'Exit Probability'!G41</f>
        <v>1000000</v>
      </c>
      <c r="D57" s="2127">
        <v>850000</v>
      </c>
      <c r="E57" s="2127">
        <v>1000000</v>
      </c>
      <c r="F57" s="56">
        <f t="shared" si="2"/>
        <v>0.17647058823529416</v>
      </c>
    </row>
    <row r="58" spans="2:6">
      <c r="B58" s="405" t="str">
        <f t="shared" ref="B58:B59" si="3">B43</f>
        <v>Dissolution - Discovery</v>
      </c>
      <c r="C58" s="2317"/>
      <c r="D58" s="2317"/>
      <c r="E58" s="2127">
        <v>2805</v>
      </c>
      <c r="F58" s="56"/>
    </row>
    <row r="59" spans="2:6">
      <c r="B59" s="405" t="str">
        <f t="shared" si="3"/>
        <v>Dissolution - Lead Optimization</v>
      </c>
      <c r="C59" s="2317"/>
      <c r="D59" s="2317"/>
      <c r="E59" s="2127">
        <v>4405</v>
      </c>
      <c r="F59" s="56"/>
    </row>
    <row r="60" spans="2:6">
      <c r="B60" s="405" t="str">
        <f>B45</f>
        <v>Low Sale - IND</v>
      </c>
      <c r="C60" s="2129">
        <f>'Exit Probability'!G42</f>
        <v>55099.987999999998</v>
      </c>
      <c r="D60" s="2127">
        <v>55100</v>
      </c>
      <c r="E60" s="2127">
        <v>28215</v>
      </c>
      <c r="F60" s="56">
        <f t="shared" si="2"/>
        <v>-2.1778584391451972E-7</v>
      </c>
    </row>
    <row r="61" spans="2:6">
      <c r="B61" s="405" t="str">
        <f>B46</f>
        <v>Low Sale - Phase I</v>
      </c>
      <c r="C61" s="2129">
        <f>'Exit Probability'!G43</f>
        <v>105149.98199999999</v>
      </c>
      <c r="D61" s="2127">
        <v>91130</v>
      </c>
      <c r="E61" s="2127">
        <v>62025</v>
      </c>
      <c r="F61" s="56">
        <f t="shared" si="2"/>
        <v>0.15384595632612741</v>
      </c>
    </row>
    <row r="62" spans="2:6">
      <c r="B62" s="405" t="str">
        <f>B47</f>
        <v>Low Sale - Phase II</v>
      </c>
      <c r="C62" s="2129">
        <f>'Exit Probability'!G44</f>
        <v>161399.98199999999</v>
      </c>
      <c r="D62" s="2127">
        <v>139880</v>
      </c>
      <c r="E62" s="2127">
        <v>99525</v>
      </c>
      <c r="F62" s="56">
        <f t="shared" si="2"/>
        <v>0.15384602516442647</v>
      </c>
    </row>
    <row r="63" spans="2:6">
      <c r="B63" s="405"/>
      <c r="C63" s="2129"/>
      <c r="D63" s="866"/>
      <c r="E63" s="866"/>
      <c r="F63" s="56"/>
    </row>
    <row r="64" spans="2:6">
      <c r="B64" s="1" t="s">
        <v>558</v>
      </c>
      <c r="C64" s="381"/>
      <c r="D64" s="865"/>
      <c r="E64" s="865"/>
      <c r="F64" s="381"/>
    </row>
    <row r="65" spans="2:6">
      <c r="B65" s="405" t="str">
        <f t="shared" ref="B65:B72" si="4">B50</f>
        <v>IPO - Phase I</v>
      </c>
      <c r="C65" s="2130">
        <f>'Exit Probability'!F34</f>
        <v>5.3404E-2</v>
      </c>
      <c r="D65" s="370">
        <v>5.3404E-2</v>
      </c>
      <c r="E65" s="370">
        <v>4.4923265887500008E-2</v>
      </c>
      <c r="F65" s="56">
        <f t="shared" ref="F65:F77" si="5">IFERROR(C65-D65,"n/a")</f>
        <v>0</v>
      </c>
    </row>
    <row r="66" spans="2:6">
      <c r="B66" s="405" t="str">
        <f t="shared" si="4"/>
        <v>IPO - Phase II</v>
      </c>
      <c r="C66" s="2130">
        <f>'Exit Probability'!F35</f>
        <v>3.2047080000000006E-2</v>
      </c>
      <c r="D66" s="370">
        <v>3.2047080000000006E-2</v>
      </c>
      <c r="E66" s="370">
        <v>2.4744316471875003E-2</v>
      </c>
      <c r="F66" s="56">
        <f t="shared" si="5"/>
        <v>0</v>
      </c>
    </row>
    <row r="67" spans="2:6">
      <c r="B67" s="405" t="str">
        <f t="shared" si="4"/>
        <v>M&amp;A - IND (High)</v>
      </c>
      <c r="C67" s="2130">
        <f>'Exit Probability'!F36</f>
        <v>9.0999999999999998E-2</v>
      </c>
      <c r="D67" s="370">
        <v>9.0999999999999998E-2</v>
      </c>
      <c r="E67" s="370">
        <v>3.6522936450000001E-2</v>
      </c>
      <c r="F67" s="56">
        <f t="shared" si="5"/>
        <v>0</v>
      </c>
    </row>
    <row r="68" spans="2:6">
      <c r="B68" s="405" t="str">
        <f t="shared" si="4"/>
        <v>M&amp;A - IND (Low)</v>
      </c>
      <c r="C68" s="2130">
        <f>'Exit Probability'!F37</f>
        <v>8.7999999999999995E-2</v>
      </c>
      <c r="D68" s="370">
        <v>8.7999999999999995E-2</v>
      </c>
      <c r="E68" s="370">
        <v>8.9116127100000012E-2</v>
      </c>
      <c r="F68" s="56">
        <f t="shared" si="5"/>
        <v>0</v>
      </c>
    </row>
    <row r="69" spans="2:6" ht="12" customHeight="1">
      <c r="B69" s="405" t="str">
        <f t="shared" si="4"/>
        <v>M&amp;A - Phase I (High)</v>
      </c>
      <c r="C69" s="2130">
        <f>'Exit Probability'!F38</f>
        <v>5.6784000000000001E-2</v>
      </c>
      <c r="D69" s="370">
        <v>5.6784000000000001E-2</v>
      </c>
      <c r="E69" s="370">
        <v>3.6522936450000001E-2</v>
      </c>
      <c r="F69" s="56">
        <f t="shared" si="5"/>
        <v>0</v>
      </c>
    </row>
    <row r="70" spans="2:6">
      <c r="B70" s="405" t="str">
        <f t="shared" si="4"/>
        <v>M&amp;A - Phase I (Low)</v>
      </c>
      <c r="C70" s="2130">
        <f>'Exit Probability'!F39</f>
        <v>0.156832</v>
      </c>
      <c r="D70" s="370">
        <v>0.156832</v>
      </c>
      <c r="E70" s="370">
        <v>0.14317012710000002</v>
      </c>
      <c r="F70" s="56">
        <f t="shared" si="5"/>
        <v>0</v>
      </c>
    </row>
    <row r="71" spans="2:6">
      <c r="B71" s="405" t="str">
        <f t="shared" si="4"/>
        <v>M&amp;A - Phase II (High)</v>
      </c>
      <c r="C71" s="2130">
        <f>'Exit Probability'!F40</f>
        <v>1.533168E-2</v>
      </c>
      <c r="D71" s="370">
        <v>1.533168E-2</v>
      </c>
      <c r="E71" s="370">
        <v>9.1307341125000004E-3</v>
      </c>
      <c r="F71" s="56">
        <f t="shared" si="5"/>
        <v>0</v>
      </c>
    </row>
    <row r="72" spans="2:6">
      <c r="B72" s="405" t="str">
        <f t="shared" si="4"/>
        <v>M&amp;A - Phase II (Low)</v>
      </c>
      <c r="C72" s="2130">
        <f>'Exit Probability'!F41</f>
        <v>0.11285664000000001</v>
      </c>
      <c r="D72" s="370">
        <v>0.11285664000000001</v>
      </c>
      <c r="E72" s="370">
        <v>8.9846531775000016E-2</v>
      </c>
      <c r="F72" s="56">
        <f t="shared" si="5"/>
        <v>0</v>
      </c>
    </row>
    <row r="73" spans="2:6">
      <c r="B73" s="405" t="str">
        <f t="shared" ref="B73:B74" si="6">B58</f>
        <v>Dissolution - Discovery</v>
      </c>
      <c r="C73" s="2318"/>
      <c r="D73" s="2318"/>
      <c r="E73" s="370">
        <v>1.0000000000000018E-4</v>
      </c>
      <c r="F73" s="56"/>
    </row>
    <row r="74" spans="2:6">
      <c r="B74" s="405" t="str">
        <f t="shared" si="6"/>
        <v>Dissolution - Lead Optimization</v>
      </c>
      <c r="C74" s="2318"/>
      <c r="D74" s="2318"/>
      <c r="E74" s="370">
        <v>9.4149000000000024E-2</v>
      </c>
      <c r="F74" s="56"/>
    </row>
    <row r="75" spans="2:6">
      <c r="B75" s="405" t="str">
        <f t="shared" ref="B75:B77" si="7">B60</f>
        <v>Low Sale - IND</v>
      </c>
      <c r="C75" s="2130">
        <f>'Exit Probability'!F42</f>
        <v>0.10500000000000001</v>
      </c>
      <c r="D75" s="370">
        <v>0.10500000000000001</v>
      </c>
      <c r="E75" s="370">
        <v>0.20775620249999999</v>
      </c>
      <c r="F75" s="56">
        <f t="shared" si="5"/>
        <v>0</v>
      </c>
    </row>
    <row r="76" spans="2:6">
      <c r="B76" s="405" t="str">
        <f t="shared" si="7"/>
        <v>Low Sale - Phase I</v>
      </c>
      <c r="C76" s="2130">
        <f>'Exit Probability'!F43</f>
        <v>0.18196000000000001</v>
      </c>
      <c r="D76" s="370">
        <v>0.18196000000000001</v>
      </c>
      <c r="E76" s="370">
        <v>0.10916317912500001</v>
      </c>
      <c r="F76" s="56">
        <f t="shared" si="5"/>
        <v>0</v>
      </c>
    </row>
    <row r="77" spans="2:6">
      <c r="B77" s="405" t="str">
        <f t="shared" si="7"/>
        <v>Low Sale - Phase II</v>
      </c>
      <c r="C77" s="2130">
        <f>'Exit Probability'!F44</f>
        <v>0.10678460000000002</v>
      </c>
      <c r="D77" s="370">
        <v>0.10678460000000002</v>
      </c>
      <c r="E77" s="370">
        <v>0.10089474707812501</v>
      </c>
      <c r="F77" s="56">
        <f t="shared" si="5"/>
        <v>0</v>
      </c>
    </row>
    <row r="78" spans="2:6">
      <c r="B78" s="405"/>
      <c r="C78" s="2130"/>
      <c r="D78" s="370"/>
      <c r="E78" s="370"/>
      <c r="F78" s="56"/>
    </row>
    <row r="79" spans="2:6">
      <c r="B79" s="405" t="s">
        <v>559</v>
      </c>
      <c r="C79" s="757">
        <f>'OPM 1_OIP'!D9</f>
        <v>208419.36584352475</v>
      </c>
      <c r="D79" s="2127">
        <v>143298.95798038039</v>
      </c>
      <c r="E79" s="2127">
        <v>36380</v>
      </c>
      <c r="F79" s="56">
        <f>IFERROR(C79/D79-1,"n/a")</f>
        <v>0.45443741378817459</v>
      </c>
    </row>
    <row r="80" spans="2:6">
      <c r="B80" s="405" t="s">
        <v>560</v>
      </c>
      <c r="C80" s="866">
        <f>C15</f>
        <v>143330</v>
      </c>
      <c r="D80" s="866">
        <f>D15</f>
        <v>125990</v>
      </c>
      <c r="E80" s="2127">
        <v>36400</v>
      </c>
      <c r="F80" s="56">
        <f>IFERROR(C80/D80-1,"n/a")</f>
        <v>0.13762997063258986</v>
      </c>
    </row>
    <row r="81" spans="2:6">
      <c r="B81" s="405"/>
      <c r="D81" s="500"/>
      <c r="E81" s="500"/>
    </row>
    <row r="82" spans="2:6">
      <c r="B82" s="1" t="s">
        <v>317</v>
      </c>
      <c r="D82" s="500"/>
      <c r="E82" s="500"/>
    </row>
    <row r="83" spans="2:6">
      <c r="B83" s="405" t="s">
        <v>2091</v>
      </c>
      <c r="C83" s="2130">
        <f>PWERM!D106</f>
        <v>0.36</v>
      </c>
      <c r="D83" s="370">
        <v>0.35000000000000003</v>
      </c>
      <c r="E83" s="2319"/>
      <c r="F83" s="56">
        <f>IFERROR(C83/D83-1,"n/a")</f>
        <v>2.857142857142847E-2</v>
      </c>
    </row>
    <row r="84" spans="2:6">
      <c r="B84" s="405" t="s">
        <v>2092</v>
      </c>
      <c r="C84" s="2130">
        <f>PWERM!E106</f>
        <v>0.48</v>
      </c>
      <c r="D84" s="370">
        <v>0.5</v>
      </c>
      <c r="E84" s="2319"/>
      <c r="F84" s="56">
        <f>IFERROR(C84/D84-1,"n/a")</f>
        <v>-4.0000000000000036E-2</v>
      </c>
    </row>
    <row r="85" spans="2:6">
      <c r="B85" s="405" t="s">
        <v>2795</v>
      </c>
      <c r="C85" s="2130">
        <f>PWERM!F106</f>
        <v>0.36</v>
      </c>
      <c r="D85" s="370">
        <v>0.35000000000000003</v>
      </c>
      <c r="E85" s="2319"/>
      <c r="F85" s="56">
        <f>IFERROR(C85/D85-1,"n/a")</f>
        <v>2.857142857142847E-2</v>
      </c>
    </row>
    <row r="86" spans="2:6">
      <c r="B86" s="405" t="s">
        <v>2094</v>
      </c>
      <c r="C86" s="2130">
        <f>PWERM!I106</f>
        <v>0.4</v>
      </c>
      <c r="D86" s="370">
        <v>0.45</v>
      </c>
      <c r="E86" s="2320"/>
      <c r="F86" s="56">
        <f>IFERROR(C86/D86-1,"n/a")</f>
        <v>-0.11111111111111105</v>
      </c>
    </row>
    <row r="87" spans="2:6">
      <c r="B87" s="405" t="s">
        <v>2095</v>
      </c>
      <c r="C87" s="2130">
        <f>PWERM!K106</f>
        <v>0.53</v>
      </c>
      <c r="D87" s="370">
        <v>0.5</v>
      </c>
      <c r="E87" s="2319"/>
      <c r="F87" s="56">
        <f>IFERROR(C87/D87-1,"n/a")</f>
        <v>6.0000000000000053E-2</v>
      </c>
    </row>
    <row r="88" spans="2:6">
      <c r="B88" s="405"/>
      <c r="D88" s="500"/>
      <c r="E88" s="500"/>
    </row>
    <row r="89" spans="2:6">
      <c r="B89" s="1" t="s">
        <v>404</v>
      </c>
      <c r="C89" s="381"/>
      <c r="D89" s="865"/>
      <c r="E89" s="865"/>
      <c r="F89" s="381"/>
    </row>
    <row r="90" spans="2:6">
      <c r="B90" s="405" t="s">
        <v>1176</v>
      </c>
      <c r="C90" s="759">
        <f>'WACC PWERM'!J11</f>
        <v>0.125</v>
      </c>
      <c r="D90" s="370">
        <v>0.125</v>
      </c>
      <c r="E90" s="370">
        <v>0.125</v>
      </c>
      <c r="F90" s="56">
        <f>IFERROR(C90-D90,"n/a")</f>
        <v>0</v>
      </c>
    </row>
    <row r="91" spans="2:6">
      <c r="B91" s="405" t="s">
        <v>1177</v>
      </c>
      <c r="C91" s="759">
        <f>'WACC PWERM'!J13</f>
        <v>0.25</v>
      </c>
      <c r="D91" s="370">
        <v>0.25</v>
      </c>
      <c r="E91" s="370">
        <v>0.25</v>
      </c>
      <c r="F91" s="56">
        <f>IFERROR(C91-D91,"n/a")</f>
        <v>0</v>
      </c>
    </row>
    <row r="92" spans="2:6">
      <c r="B92" s="405" t="s">
        <v>1178</v>
      </c>
      <c r="C92" s="759">
        <f>'WACC PWERM'!J15</f>
        <v>0.3</v>
      </c>
      <c r="D92" s="370">
        <v>0.3</v>
      </c>
      <c r="E92" s="370">
        <v>0.55000000000000004</v>
      </c>
      <c r="F92" s="56">
        <f>IFERROR(C92-D92,"n/a")</f>
        <v>0</v>
      </c>
    </row>
    <row r="93" spans="2:6">
      <c r="B93" s="405" t="s">
        <v>1179</v>
      </c>
      <c r="C93" s="759">
        <f>'WACC PWERM'!J23</f>
        <v>0.2</v>
      </c>
      <c r="D93" s="370">
        <v>0.2</v>
      </c>
      <c r="E93" s="370">
        <v>0.23499999999999999</v>
      </c>
      <c r="F93" s="56">
        <f>IFERROR(C93-D93,"n/a")</f>
        <v>0</v>
      </c>
    </row>
    <row r="94" spans="2:6">
      <c r="B94" s="405"/>
      <c r="C94" s="381"/>
      <c r="D94" s="865"/>
      <c r="E94" s="865"/>
      <c r="F94" s="381"/>
    </row>
    <row r="95" spans="2:6" ht="13.5">
      <c r="B95" s="380" t="s">
        <v>91</v>
      </c>
    </row>
    <row r="96" spans="2:6">
      <c r="B96" s="405" t="s">
        <v>2866</v>
      </c>
      <c r="C96" s="2319"/>
      <c r="D96" s="854" t="s">
        <v>1698</v>
      </c>
      <c r="E96" s="500" t="s">
        <v>2871</v>
      </c>
    </row>
    <row r="97" spans="2:5">
      <c r="B97" s="405" t="s">
        <v>2867</v>
      </c>
      <c r="C97" s="2319"/>
      <c r="D97" s="2121">
        <v>43105</v>
      </c>
      <c r="E97" s="2121">
        <v>42643</v>
      </c>
    </row>
    <row r="98" spans="2:5">
      <c r="B98" s="405" t="s">
        <v>2868</v>
      </c>
      <c r="C98" s="2319"/>
      <c r="D98" s="2321">
        <v>2</v>
      </c>
      <c r="E98" s="2321">
        <v>1</v>
      </c>
    </row>
    <row r="99" spans="2:5">
      <c r="B99" s="405" t="s">
        <v>2869</v>
      </c>
      <c r="C99" s="2320"/>
      <c r="D99" s="2322">
        <v>22050.016</v>
      </c>
      <c r="E99" s="2322">
        <v>16000</v>
      </c>
    </row>
    <row r="100" spans="2:5">
      <c r="B100" s="405" t="s">
        <v>1180</v>
      </c>
      <c r="C100" s="2319"/>
      <c r="D100" s="2322">
        <v>93488.921000000002</v>
      </c>
      <c r="E100" s="2127">
        <v>59195.199999999997</v>
      </c>
    </row>
    <row r="101" spans="2:5">
      <c r="B101" s="405" t="s">
        <v>2870</v>
      </c>
      <c r="C101" s="2319"/>
      <c r="D101" s="2321">
        <v>0.13</v>
      </c>
      <c r="E101" s="1242">
        <v>0.11</v>
      </c>
    </row>
  </sheetData>
  <conditionalFormatting sqref="B5:E5 C4:F4">
    <cfRule type="cellIs" dxfId="160" priority="4" stopIfTrue="1" operator="equal">
      <formula>"input"</formula>
    </cfRule>
  </conditionalFormatting>
  <conditionalFormatting sqref="B4">
    <cfRule type="cellIs" dxfId="159" priority="1" stopIfTrue="1" operator="equal">
      <formula>"input"</formula>
    </cfRule>
  </conditionalFormatting>
  <pageMargins left="0.5" right="0.5" top="0.5" bottom="0.5" header="0.5" footer="0.5"/>
  <pageSetup scale="86" orientation="landscape" r:id="rId1"/>
  <rowBreaks count="1" manualBreakCount="1">
    <brk id="48" max="6" man="1"/>
  </rowBreaks>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AG60"/>
  <sheetViews>
    <sheetView showGridLines="0" view="pageBreakPreview" topLeftCell="A4" zoomScaleNormal="100" zoomScaleSheetLayoutView="100" workbookViewId="0">
      <selection activeCell="I17" sqref="I17"/>
    </sheetView>
  </sheetViews>
  <sheetFormatPr defaultRowHeight="12.75"/>
  <cols>
    <col min="1" max="1" width="4.5" style="405" customWidth="1"/>
    <col min="2" max="2" width="31.33203125" style="405" bestFit="1" customWidth="1"/>
    <col min="3" max="3" width="2.83203125" style="405" customWidth="1"/>
    <col min="4" max="4" width="11.83203125" style="405" customWidth="1"/>
    <col min="5" max="6" width="0" style="405" hidden="1" customWidth="1"/>
    <col min="7" max="7" width="2.83203125" style="405" customWidth="1"/>
    <col min="8" max="9" width="11.83203125" style="405" customWidth="1"/>
    <col min="10" max="10" width="2.83203125" style="405" customWidth="1"/>
    <col min="11" max="18" width="11.83203125" style="405" customWidth="1"/>
    <col min="19" max="19" width="4.5" style="405" customWidth="1"/>
    <col min="20" max="20" width="0" style="405" hidden="1" customWidth="1"/>
    <col min="21" max="23" width="10.83203125" style="405" customWidth="1"/>
    <col min="24" max="24" width="1.83203125" style="405" customWidth="1"/>
    <col min="25" max="25" width="17.6640625" style="405" bestFit="1" customWidth="1"/>
    <col min="26" max="26" width="12.5" style="405" bestFit="1" customWidth="1"/>
    <col min="27" max="27" width="9.83203125" style="405" bestFit="1" customWidth="1"/>
    <col min="28" max="28" width="10.1640625" style="405" bestFit="1" customWidth="1"/>
    <col min="29" max="16384" width="9.33203125" style="405"/>
  </cols>
  <sheetData>
    <row r="1" spans="1:33" ht="10.7" customHeight="1" thickBot="1"/>
    <row r="2" spans="1:33" ht="16.5" customHeight="1" thickTop="1">
      <c r="B2" s="10" t="str">
        <f>'MASTER PubCo Inputs'!$C$5</f>
        <v>Kallyope, Inc.</v>
      </c>
      <c r="C2" s="10"/>
      <c r="D2" s="10"/>
      <c r="E2" s="10"/>
      <c r="F2" s="10"/>
      <c r="G2" s="10"/>
      <c r="H2" s="10"/>
      <c r="I2" s="10"/>
      <c r="J2" s="10"/>
      <c r="K2" s="10"/>
      <c r="L2" s="10"/>
      <c r="M2" s="10"/>
      <c r="N2" s="10"/>
      <c r="O2" s="10"/>
      <c r="P2" s="10"/>
      <c r="Q2" s="10"/>
      <c r="R2" s="10"/>
      <c r="Y2" s="303" t="s">
        <v>87</v>
      </c>
      <c r="Z2" s="304">
        <f>+'Comp.1'!$AL$2</f>
        <v>43281</v>
      </c>
    </row>
    <row r="3" spans="1:33" ht="15.75" customHeight="1">
      <c r="B3" s="11" t="e">
        <f>VLOOKUP(B4,Outline!$E$8:$G$69,COLUMNS(Outline!$E$8:$G$8),FALSE)</f>
        <v>#N/A</v>
      </c>
      <c r="C3" s="11"/>
      <c r="D3" s="11"/>
      <c r="E3" s="11"/>
      <c r="F3" s="11"/>
      <c r="G3" s="11"/>
      <c r="H3" s="11"/>
      <c r="I3" s="11"/>
      <c r="J3" s="11"/>
      <c r="K3" s="11"/>
      <c r="L3" s="11"/>
      <c r="M3" s="11"/>
      <c r="N3" s="11"/>
      <c r="O3" s="11"/>
      <c r="P3" s="11"/>
      <c r="Q3" s="11"/>
      <c r="R3" s="11"/>
      <c r="Y3" s="201" t="s">
        <v>398</v>
      </c>
      <c r="Z3" s="308" t="str">
        <f>+'Comp.1'!$AL$3</f>
        <v>F</v>
      </c>
    </row>
    <row r="4" spans="1:33" ht="16.5" customHeight="1" thickBot="1">
      <c r="B4" s="12" t="s">
        <v>261</v>
      </c>
      <c r="C4" s="12"/>
      <c r="D4" s="12"/>
      <c r="E4" s="12"/>
      <c r="F4" s="12"/>
      <c r="G4" s="12"/>
      <c r="H4" s="12"/>
      <c r="I4" s="12"/>
      <c r="J4" s="13"/>
      <c r="K4" s="13"/>
      <c r="L4" s="13"/>
      <c r="M4" s="13"/>
      <c r="N4" s="13"/>
      <c r="O4" s="13"/>
      <c r="P4" s="13"/>
      <c r="Q4" s="13"/>
      <c r="R4" s="13" t="str">
        <f>+'MASTER PubCo Inputs'!$C$24</f>
        <v>(in millions of USD)</v>
      </c>
      <c r="Y4" s="201" t="s">
        <v>399</v>
      </c>
      <c r="Z4" s="308" t="str">
        <f>+'Comp.1'!$AL$4</f>
        <v>USD</v>
      </c>
    </row>
    <row r="5" spans="1:33" s="16" customFormat="1" ht="12.75" customHeight="1" thickTop="1">
      <c r="A5" s="405"/>
      <c r="B5" s="405"/>
      <c r="C5" s="405"/>
      <c r="D5" s="405"/>
      <c r="E5" s="405"/>
      <c r="F5" s="405"/>
      <c r="G5" s="405"/>
      <c r="H5" s="405"/>
      <c r="I5" s="405"/>
      <c r="J5" s="405"/>
      <c r="K5" s="405"/>
      <c r="L5" s="405"/>
      <c r="M5" s="405"/>
      <c r="N5" s="405"/>
      <c r="O5" s="405"/>
      <c r="P5" s="405"/>
      <c r="Q5" s="405"/>
      <c r="R5" s="405"/>
      <c r="S5" s="405"/>
      <c r="Y5" s="82" t="s">
        <v>89</v>
      </c>
      <c r="Z5" s="307" t="str">
        <f>+'Comp.1'!$AL$5</f>
        <v>H</v>
      </c>
    </row>
    <row r="6" spans="1:33" s="16" customFormat="1" ht="12.75" customHeight="1">
      <c r="A6" s="405"/>
      <c r="B6" s="405"/>
      <c r="C6" s="405"/>
      <c r="D6" s="405"/>
      <c r="E6" s="405"/>
      <c r="F6" s="405"/>
      <c r="G6" s="405"/>
      <c r="H6" s="405"/>
      <c r="I6" s="405"/>
      <c r="J6" s="405"/>
      <c r="K6" s="405"/>
      <c r="L6" s="405"/>
      <c r="M6" s="405"/>
      <c r="N6" s="405"/>
      <c r="O6" s="405"/>
      <c r="P6" s="405"/>
      <c r="Q6" s="405"/>
      <c r="R6" s="405"/>
      <c r="S6" s="405"/>
    </row>
    <row r="7" spans="1:33" ht="12.75" customHeight="1">
      <c r="D7" s="121" t="s">
        <v>69</v>
      </c>
      <c r="E7" s="122"/>
      <c r="F7" s="122"/>
      <c r="G7" s="122"/>
      <c r="H7" s="122"/>
      <c r="I7" s="123"/>
      <c r="K7" s="121" t="s">
        <v>91</v>
      </c>
      <c r="L7" s="124"/>
      <c r="M7" s="124"/>
      <c r="N7" s="124"/>
      <c r="O7" s="124"/>
      <c r="P7" s="124"/>
      <c r="Q7" s="124"/>
      <c r="R7" s="125"/>
      <c r="W7" s="83">
        <f>'MASTER PubCo Inputs'!$C$9</f>
        <v>0.35</v>
      </c>
    </row>
    <row r="8" spans="1:33" s="6" customFormat="1" ht="38.25">
      <c r="B8" s="120" t="s">
        <v>633</v>
      </c>
      <c r="D8" s="591" t="s">
        <v>256</v>
      </c>
      <c r="E8" s="592" t="s">
        <v>249</v>
      </c>
      <c r="F8" s="592" t="s">
        <v>250</v>
      </c>
      <c r="G8" s="593"/>
      <c r="H8" s="592" t="s">
        <v>257</v>
      </c>
      <c r="I8" s="594" t="s">
        <v>234</v>
      </c>
      <c r="J8" s="330"/>
      <c r="K8" s="591" t="s">
        <v>94</v>
      </c>
      <c r="L8" s="592" t="s">
        <v>95</v>
      </c>
      <c r="M8" s="592" t="s">
        <v>96</v>
      </c>
      <c r="N8" s="592" t="s">
        <v>97</v>
      </c>
      <c r="O8" s="592" t="s">
        <v>98</v>
      </c>
      <c r="P8" s="592" t="s">
        <v>99</v>
      </c>
      <c r="Q8" s="592" t="s">
        <v>100</v>
      </c>
      <c r="R8" s="594" t="s">
        <v>101</v>
      </c>
      <c r="T8" s="84" t="s">
        <v>258</v>
      </c>
      <c r="U8" s="85" t="s">
        <v>259</v>
      </c>
      <c r="V8" s="85" t="s">
        <v>260</v>
      </c>
      <c r="W8" s="86" t="s">
        <v>231</v>
      </c>
      <c r="Y8" s="87" t="s">
        <v>108</v>
      </c>
      <c r="Z8" s="88" t="s">
        <v>109</v>
      </c>
      <c r="AA8" s="959" t="e">
        <f t="array" ref="AA8">IF(SUM(ABS($AA$10:$AA$39))&lt;0.01,"","Check")</f>
        <v>#VALUE!</v>
      </c>
      <c r="AC8" s="6">
        <v>0</v>
      </c>
    </row>
    <row r="9" spans="1:33" ht="12.75" customHeight="1"/>
    <row r="10" spans="1:33" ht="12.75" customHeight="1">
      <c r="B10" s="405" t="str">
        <f>'Comp.1'!B12</f>
        <v>ACADIA Pharmaceuticals Inc.</v>
      </c>
      <c r="D10" s="437">
        <v>2</v>
      </c>
      <c r="E10" s="55" t="s">
        <v>253</v>
      </c>
      <c r="F10" s="55" t="s">
        <v>252</v>
      </c>
      <c r="H10" s="90">
        <f>HLOOKUP(D10,'Capital IQ Sheet-GPC'!$AQ$10:$AS$75,ROWS('Capital IQ Sheet-GPC'!AQ$10:AQ13),FALSE)</f>
        <v>2.3029099999999998</v>
      </c>
      <c r="I10" s="91">
        <f>IF(ISERROR(H10/(1+(1-$W10)*(($U10)/$V10))), "n/a", H10/(1+(1-$W10)*(($U10)/$V10)))</f>
        <v>2.3029099999999998</v>
      </c>
      <c r="K10" s="92">
        <f>'Capital IQ Sheet-GPC'!J13</f>
        <v>1906.0925500000001</v>
      </c>
      <c r="L10" s="92">
        <f>'Capital IQ Sheet-GPC'!K13</f>
        <v>0</v>
      </c>
      <c r="M10" s="92">
        <f>'Capital IQ Sheet-GPC'!L13</f>
        <v>0</v>
      </c>
      <c r="N10" s="92">
        <f>'Capital IQ Sheet-GPC'!M13</f>
        <v>0</v>
      </c>
      <c r="O10" s="92">
        <f>SUM(L10:N10)</f>
        <v>0</v>
      </c>
      <c r="P10" s="92">
        <f>SUM(K10:N10)</f>
        <v>1906.0925500000001</v>
      </c>
      <c r="Q10" s="92">
        <f>'Capital IQ Sheet-GPC'!N13</f>
        <v>298.06299999999999</v>
      </c>
      <c r="R10" s="92">
        <f>IF(ISERROR(P10-Q10), "n/a", P10-Q10)</f>
        <v>1608.0295500000002</v>
      </c>
      <c r="T10" s="54">
        <f>$Z$2-365*D10</f>
        <v>42551</v>
      </c>
      <c r="U10" s="56">
        <f>IFERROR(SUM(L10:M10)/P10,"n/a")</f>
        <v>0</v>
      </c>
      <c r="V10" s="56">
        <f>IFERROR(1-U10,"n/a")</f>
        <v>1</v>
      </c>
      <c r="W10" s="56">
        <f>W$7</f>
        <v>0.35</v>
      </c>
      <c r="Y10" s="93" t="str">
        <f>'MASTER PubCo Inputs'!B28</f>
        <v>NasdaqGS:ACAD</v>
      </c>
      <c r="Z10" s="406">
        <f>'Capital IQ Sheet-GPC'!H13</f>
        <v>1608.02955</v>
      </c>
      <c r="AA10" s="94">
        <f>R10-Z10</f>
        <v>0</v>
      </c>
      <c r="AC10" s="44"/>
      <c r="AG10" s="95"/>
    </row>
    <row r="11" spans="1:33" ht="12.75" customHeight="1">
      <c r="B11" s="405" t="str">
        <f>'Comp.1'!B13</f>
        <v>Rhythm Pharmaceuticals, Inc.</v>
      </c>
      <c r="D11" s="437">
        <v>2</v>
      </c>
      <c r="E11" s="55" t="s">
        <v>253</v>
      </c>
      <c r="F11" s="55" t="s">
        <v>252</v>
      </c>
      <c r="H11" s="90" t="str">
        <f>HLOOKUP(D11,'Capital IQ Sheet-GPC'!$AQ$10:$AS$75,ROWS('Capital IQ Sheet-GPC'!AQ$10:AQ14),FALSE)</f>
        <v>n/a</v>
      </c>
      <c r="I11" s="91" t="str">
        <f t="shared" ref="I11:I24" si="0">IF(ISERROR(H11/(1+(1-$W11)*(($U11)/$V11))), "n/a", H11/(1+(1-$W11)*(($U11)/$V11)))</f>
        <v>n/a</v>
      </c>
      <c r="K11" s="92">
        <f>'Capital IQ Sheet-GPC'!J14</f>
        <v>1066.6532199999999</v>
      </c>
      <c r="L11" s="92">
        <f>'Capital IQ Sheet-GPC'!K14</f>
        <v>0</v>
      </c>
      <c r="M11" s="92">
        <f>'Capital IQ Sheet-GPC'!L14</f>
        <v>0</v>
      </c>
      <c r="N11" s="92">
        <f>'Capital IQ Sheet-GPC'!M14</f>
        <v>0</v>
      </c>
      <c r="O11" s="92">
        <f t="shared" ref="O11:O24" si="1">SUM(L11:N11)</f>
        <v>0</v>
      </c>
      <c r="P11" s="92">
        <f t="shared" ref="P11:P24" si="2">SUM(K11:N11)</f>
        <v>1066.6532199999999</v>
      </c>
      <c r="Q11" s="92">
        <f>'Capital IQ Sheet-GPC'!N14</f>
        <v>136.453</v>
      </c>
      <c r="R11" s="92">
        <f t="shared" ref="R11:R24" si="3">IF(ISERROR(P11-Q11), "n/a", P11-Q11)</f>
        <v>930.20021999999994</v>
      </c>
      <c r="T11" s="54">
        <f t="shared" ref="T11:T24" si="4">$Z$2-365*D11</f>
        <v>42551</v>
      </c>
      <c r="U11" s="56">
        <f t="shared" ref="U11:U24" si="5">IFERROR(SUM(L11:M11)/P11,"n/a")</f>
        <v>0</v>
      </c>
      <c r="V11" s="56">
        <f t="shared" ref="V11:V24" si="6">IFERROR(1-U11,"n/a")</f>
        <v>1</v>
      </c>
      <c r="W11" s="56">
        <f t="shared" ref="W11:W24" si="7">W$7</f>
        <v>0.35</v>
      </c>
      <c r="Y11" s="93" t="str">
        <f>'MASTER PubCo Inputs'!B29</f>
        <v>NasdaqGM:RYTM</v>
      </c>
      <c r="Z11" s="406">
        <f>'Capital IQ Sheet-GPC'!H14</f>
        <v>930.20021999999994</v>
      </c>
      <c r="AA11" s="94">
        <f t="shared" ref="AA11:AA24" si="8">R11-Z11</f>
        <v>0</v>
      </c>
      <c r="AC11" s="44"/>
      <c r="AG11" s="95"/>
    </row>
    <row r="12" spans="1:33" ht="12.75" customHeight="1">
      <c r="B12" s="405" t="str">
        <f>'Comp.1'!B14</f>
        <v>Assembly Biosciences, Inc.</v>
      </c>
      <c r="D12" s="437">
        <v>2</v>
      </c>
      <c r="E12" s="55" t="s">
        <v>253</v>
      </c>
      <c r="F12" s="55" t="s">
        <v>252</v>
      </c>
      <c r="H12" s="90">
        <f>HLOOKUP(D12,'Capital IQ Sheet-GPC'!$AQ$10:$AS$75,ROWS('Capital IQ Sheet-GPC'!AQ$10:AQ15),FALSE)</f>
        <v>0.77400999999999998</v>
      </c>
      <c r="I12" s="91">
        <f t="shared" si="0"/>
        <v>0.77400999999999998</v>
      </c>
      <c r="K12" s="92">
        <f>'Capital IQ Sheet-GPC'!J15</f>
        <v>805.79364999999996</v>
      </c>
      <c r="L12" s="92">
        <f>'Capital IQ Sheet-GPC'!K15</f>
        <v>0</v>
      </c>
      <c r="M12" s="92">
        <f>'Capital IQ Sheet-GPC'!L15</f>
        <v>0</v>
      </c>
      <c r="N12" s="92">
        <f>'Capital IQ Sheet-GPC'!M15</f>
        <v>0</v>
      </c>
      <c r="O12" s="92">
        <f t="shared" si="1"/>
        <v>0</v>
      </c>
      <c r="P12" s="92">
        <f t="shared" si="2"/>
        <v>805.79364999999996</v>
      </c>
      <c r="Q12" s="92">
        <f>'Capital IQ Sheet-GPC'!N15</f>
        <v>109.15898</v>
      </c>
      <c r="R12" s="92">
        <f t="shared" si="3"/>
        <v>696.63466999999991</v>
      </c>
      <c r="T12" s="54">
        <f t="shared" si="4"/>
        <v>42551</v>
      </c>
      <c r="U12" s="56">
        <f t="shared" si="5"/>
        <v>0</v>
      </c>
      <c r="V12" s="56">
        <f t="shared" si="6"/>
        <v>1</v>
      </c>
      <c r="W12" s="56">
        <f t="shared" si="7"/>
        <v>0.35</v>
      </c>
      <c r="Y12" s="93" t="str">
        <f>'MASTER PubCo Inputs'!B30</f>
        <v>NasdaqCM:ASMB</v>
      </c>
      <c r="Z12" s="406">
        <f>'Capital IQ Sheet-GPC'!H15</f>
        <v>696.63467000000003</v>
      </c>
      <c r="AA12" s="94">
        <f t="shared" si="8"/>
        <v>0</v>
      </c>
      <c r="AC12" s="44"/>
      <c r="AG12" s="95"/>
    </row>
    <row r="13" spans="1:33" ht="12.75" customHeight="1">
      <c r="B13" s="405" t="str">
        <f>'Comp.1'!B15</f>
        <v>Voyager Therapeutics, Inc.</v>
      </c>
      <c r="D13" s="437">
        <v>2</v>
      </c>
      <c r="E13" s="55" t="s">
        <v>253</v>
      </c>
      <c r="F13" s="55" t="s">
        <v>252</v>
      </c>
      <c r="H13" s="90">
        <f>HLOOKUP(D13,'Capital IQ Sheet-GPC'!$AQ$10:$AS$75,ROWS('Capital IQ Sheet-GPC'!AQ$10:AQ16),FALSE)</f>
        <v>1.89943</v>
      </c>
      <c r="I13" s="91">
        <f t="shared" si="0"/>
        <v>1.89943</v>
      </c>
      <c r="K13" s="92">
        <f>'Capital IQ Sheet-GPC'!J16</f>
        <v>631.55226000000005</v>
      </c>
      <c r="L13" s="92">
        <f>'Capital IQ Sheet-GPC'!K16</f>
        <v>0</v>
      </c>
      <c r="M13" s="92">
        <f>'Capital IQ Sheet-GPC'!L16</f>
        <v>0</v>
      </c>
      <c r="N13" s="92">
        <f>'Capital IQ Sheet-GPC'!M16</f>
        <v>0</v>
      </c>
      <c r="O13" s="92">
        <f t="shared" si="1"/>
        <v>0</v>
      </c>
      <c r="P13" s="92">
        <f t="shared" si="2"/>
        <v>631.55226000000005</v>
      </c>
      <c r="Q13" s="92">
        <f>'Capital IQ Sheet-GPC'!N16</f>
        <v>218.19800000000001</v>
      </c>
      <c r="R13" s="92">
        <f t="shared" si="3"/>
        <v>413.35426000000007</v>
      </c>
      <c r="T13" s="54">
        <f t="shared" si="4"/>
        <v>42551</v>
      </c>
      <c r="U13" s="56">
        <f t="shared" si="5"/>
        <v>0</v>
      </c>
      <c r="V13" s="56">
        <f t="shared" si="6"/>
        <v>1</v>
      </c>
      <c r="W13" s="56">
        <f t="shared" si="7"/>
        <v>0.35</v>
      </c>
      <c r="Y13" s="93" t="str">
        <f>'MASTER PubCo Inputs'!B31</f>
        <v>NasdaqGS:VYGR</v>
      </c>
      <c r="Z13" s="406">
        <f>'Capital IQ Sheet-GPC'!H16</f>
        <v>413.35426000000001</v>
      </c>
      <c r="AA13" s="94">
        <f t="shared" si="8"/>
        <v>0</v>
      </c>
      <c r="AC13" s="44"/>
      <c r="AG13" s="95"/>
    </row>
    <row r="14" spans="1:33" ht="12.75" customHeight="1">
      <c r="B14" s="405" t="str">
        <f>'Comp.1'!B16</f>
        <v>Zafgen, Inc.</v>
      </c>
      <c r="D14" s="437">
        <v>2</v>
      </c>
      <c r="E14" s="55" t="s">
        <v>253</v>
      </c>
      <c r="F14" s="55" t="s">
        <v>252</v>
      </c>
      <c r="H14" s="90">
        <f>HLOOKUP(D14,'Capital IQ Sheet-GPC'!$AQ$10:$AS$75,ROWS('Capital IQ Sheet-GPC'!AQ$10:AQ17),FALSE)</f>
        <v>-0.30192999999999998</v>
      </c>
      <c r="I14" s="91">
        <f t="shared" si="0"/>
        <v>-0.29143174771832625</v>
      </c>
      <c r="K14" s="92">
        <f>'Capital IQ Sheet-GPC'!J17</f>
        <v>363.76737000000003</v>
      </c>
      <c r="L14" s="92">
        <f>'Capital IQ Sheet-GPC'!K17</f>
        <v>20.16</v>
      </c>
      <c r="M14" s="92">
        <f>'Capital IQ Sheet-GPC'!L17</f>
        <v>0</v>
      </c>
      <c r="N14" s="92">
        <f>'Capital IQ Sheet-GPC'!M17</f>
        <v>0</v>
      </c>
      <c r="O14" s="92">
        <f t="shared" si="1"/>
        <v>20.16</v>
      </c>
      <c r="P14" s="92">
        <f t="shared" si="2"/>
        <v>383.92737000000005</v>
      </c>
      <c r="Q14" s="92">
        <f>'Capital IQ Sheet-GPC'!N17</f>
        <v>89.07</v>
      </c>
      <c r="R14" s="92">
        <f t="shared" si="3"/>
        <v>294.85737000000006</v>
      </c>
      <c r="T14" s="54">
        <f t="shared" si="4"/>
        <v>42551</v>
      </c>
      <c r="U14" s="56">
        <f t="shared" si="5"/>
        <v>5.2509931761312037E-2</v>
      </c>
      <c r="V14" s="56">
        <f t="shared" si="6"/>
        <v>0.94749006823868798</v>
      </c>
      <c r="W14" s="56">
        <f t="shared" si="7"/>
        <v>0.35</v>
      </c>
      <c r="Y14" s="93" t="str">
        <f>'MASTER PubCo Inputs'!B32</f>
        <v>NasdaqGS:ZFGN</v>
      </c>
      <c r="Z14" s="406">
        <f>'Capital IQ Sheet-GPC'!H17</f>
        <v>294.85737</v>
      </c>
      <c r="AA14" s="94">
        <f t="shared" si="8"/>
        <v>0</v>
      </c>
      <c r="AC14" s="44"/>
      <c r="AG14" s="95"/>
    </row>
    <row r="15" spans="1:33" ht="12.75" customHeight="1">
      <c r="B15" s="405" t="str">
        <f>'Comp.1'!B17</f>
        <v>Seres Therapeutics, Inc.</v>
      </c>
      <c r="D15" s="437">
        <v>2</v>
      </c>
      <c r="E15" s="55" t="s">
        <v>253</v>
      </c>
      <c r="F15" s="55" t="s">
        <v>252</v>
      </c>
      <c r="H15" s="90">
        <f>HLOOKUP(D15,'Capital IQ Sheet-GPC'!$AQ$10:$AS$75,ROWS('Capital IQ Sheet-GPC'!AQ$10:AQ18),FALSE)</f>
        <v>1.7229300000000001</v>
      </c>
      <c r="I15" s="91">
        <f t="shared" si="0"/>
        <v>1.7229300000000001</v>
      </c>
      <c r="K15" s="92">
        <f>'Capital IQ Sheet-GPC'!J18</f>
        <v>349.61295000000001</v>
      </c>
      <c r="L15" s="92">
        <f>'Capital IQ Sheet-GPC'!K18</f>
        <v>0</v>
      </c>
      <c r="M15" s="92">
        <f>'Capital IQ Sheet-GPC'!L18</f>
        <v>0</v>
      </c>
      <c r="N15" s="92">
        <f>'Capital IQ Sheet-GPC'!M18</f>
        <v>0</v>
      </c>
      <c r="O15" s="92">
        <f t="shared" si="1"/>
        <v>0</v>
      </c>
      <c r="P15" s="92">
        <f t="shared" si="2"/>
        <v>349.61295000000001</v>
      </c>
      <c r="Q15" s="92">
        <f>'Capital IQ Sheet-GPC'!N18</f>
        <v>122.194</v>
      </c>
      <c r="R15" s="92">
        <f t="shared" si="3"/>
        <v>227.41895</v>
      </c>
      <c r="T15" s="54">
        <f t="shared" si="4"/>
        <v>42551</v>
      </c>
      <c r="U15" s="56">
        <f t="shared" si="5"/>
        <v>0</v>
      </c>
      <c r="V15" s="56">
        <f t="shared" si="6"/>
        <v>1</v>
      </c>
      <c r="W15" s="56">
        <f t="shared" si="7"/>
        <v>0.35</v>
      </c>
      <c r="Y15" s="93" t="str">
        <f>'MASTER PubCo Inputs'!B33</f>
        <v>NasdaqGS:MCRB</v>
      </c>
      <c r="Z15" s="406">
        <f>'Capital IQ Sheet-GPC'!H18</f>
        <v>227.41893999999999</v>
      </c>
      <c r="AA15" s="94">
        <f t="shared" si="8"/>
        <v>1.0000000003174137E-5</v>
      </c>
      <c r="AC15" s="44"/>
      <c r="AG15" s="95"/>
    </row>
    <row r="16" spans="1:33" ht="12.75" customHeight="1">
      <c r="B16" s="405" t="str">
        <f>'Comp.1'!B18</f>
        <v>CohBar, Inc.</v>
      </c>
      <c r="D16" s="437">
        <v>2</v>
      </c>
      <c r="E16" s="55" t="s">
        <v>253</v>
      </c>
      <c r="F16" s="55" t="s">
        <v>252</v>
      </c>
      <c r="H16" s="90">
        <f>HLOOKUP(D16,'Capital IQ Sheet-GPC'!$AQ$10:$AS$75,ROWS('Capital IQ Sheet-GPC'!AQ$10:AQ19),FALSE)</f>
        <v>2.1240199999999998</v>
      </c>
      <c r="I16" s="91">
        <f t="shared" si="0"/>
        <v>2.1149258180339152</v>
      </c>
      <c r="K16" s="92">
        <f>'Capital IQ Sheet-GPC'!J19</f>
        <v>211.81835000000001</v>
      </c>
      <c r="L16" s="92">
        <f>'Capital IQ Sheet-GPC'!K19</f>
        <v>1.40126</v>
      </c>
      <c r="M16" s="92">
        <f>'Capital IQ Sheet-GPC'!L19</f>
        <v>0</v>
      </c>
      <c r="N16" s="92">
        <f>'Capital IQ Sheet-GPC'!M19</f>
        <v>0</v>
      </c>
      <c r="O16" s="92">
        <f t="shared" si="1"/>
        <v>1.40126</v>
      </c>
      <c r="P16" s="92">
        <f t="shared" si="2"/>
        <v>213.21961000000002</v>
      </c>
      <c r="Q16" s="92">
        <f>'Capital IQ Sheet-GPC'!N19</f>
        <v>8.4566599999999994</v>
      </c>
      <c r="R16" s="92">
        <f t="shared" si="3"/>
        <v>204.76295000000002</v>
      </c>
      <c r="T16" s="54">
        <f t="shared" si="4"/>
        <v>42551</v>
      </c>
      <c r="U16" s="56">
        <f t="shared" si="5"/>
        <v>6.5719095912425687E-3</v>
      </c>
      <c r="V16" s="56">
        <f t="shared" si="6"/>
        <v>0.99342809040875746</v>
      </c>
      <c r="W16" s="56">
        <f t="shared" si="7"/>
        <v>0.35</v>
      </c>
      <c r="Y16" s="93" t="str">
        <f>'MASTER PubCo Inputs'!B34</f>
        <v>TSXV:COB.U</v>
      </c>
      <c r="Z16" s="406">
        <f>'Capital IQ Sheet-GPC'!H19</f>
        <v>204.76295999999999</v>
      </c>
      <c r="AA16" s="94">
        <f t="shared" si="8"/>
        <v>-9.9999999747524271E-6</v>
      </c>
      <c r="AC16" s="44"/>
      <c r="AG16" s="95"/>
    </row>
    <row r="17" spans="2:33" ht="12.75" customHeight="1">
      <c r="B17" s="405" t="str">
        <f>'Comp.1'!B19</f>
        <v>VIVUS, Inc.</v>
      </c>
      <c r="D17" s="437">
        <v>2</v>
      </c>
      <c r="E17" s="55" t="s">
        <v>253</v>
      </c>
      <c r="F17" s="55" t="s">
        <v>252</v>
      </c>
      <c r="H17" s="90">
        <f>HLOOKUP(D17,'Capital IQ Sheet-GPC'!$AQ$10:$AS$75,ROWS('Capital IQ Sheet-GPC'!AQ$10:AQ20),FALSE)</f>
        <v>0.41127000000000002</v>
      </c>
      <c r="I17" s="91">
        <f t="shared" si="0"/>
        <v>0.13457419607961904</v>
      </c>
      <c r="K17" s="92">
        <f>'Capital IQ Sheet-GPC'!J20</f>
        <v>74.768140000000002</v>
      </c>
      <c r="L17" s="92">
        <f>'Capital IQ Sheet-GPC'!K20</f>
        <v>236.50700000000001</v>
      </c>
      <c r="M17" s="92">
        <f>'Capital IQ Sheet-GPC'!L20</f>
        <v>0</v>
      </c>
      <c r="N17" s="92">
        <f>'Capital IQ Sheet-GPC'!M20</f>
        <v>0</v>
      </c>
      <c r="O17" s="92">
        <f t="shared" si="1"/>
        <v>236.50700000000001</v>
      </c>
      <c r="P17" s="92">
        <f t="shared" si="2"/>
        <v>311.27514000000002</v>
      </c>
      <c r="Q17" s="92">
        <f>'Capital IQ Sheet-GPC'!N20</f>
        <v>209.125</v>
      </c>
      <c r="R17" s="92">
        <f t="shared" si="3"/>
        <v>102.15014000000002</v>
      </c>
      <c r="T17" s="54">
        <f t="shared" si="4"/>
        <v>42551</v>
      </c>
      <c r="U17" s="56">
        <f t="shared" si="5"/>
        <v>0.75980047748111201</v>
      </c>
      <c r="V17" s="56">
        <f t="shared" si="6"/>
        <v>0.24019952251888799</v>
      </c>
      <c r="W17" s="56">
        <f t="shared" si="7"/>
        <v>0.35</v>
      </c>
      <c r="Y17" s="93" t="str">
        <f>'MASTER PubCo Inputs'!B35</f>
        <v>NasdaqGS:VVUS</v>
      </c>
      <c r="Z17" s="406">
        <f>'Capital IQ Sheet-GPC'!H20</f>
        <v>102.15013999999999</v>
      </c>
      <c r="AA17" s="94">
        <f t="shared" si="8"/>
        <v>0</v>
      </c>
      <c r="AC17" s="44"/>
      <c r="AG17" s="95"/>
    </row>
    <row r="18" spans="2:33" ht="12.75" customHeight="1">
      <c r="B18" s="405" t="str">
        <f>'Comp.1'!B20</f>
        <v>Anavex Life Sciences Corp.</v>
      </c>
      <c r="D18" s="437">
        <v>2</v>
      </c>
      <c r="E18" s="55" t="s">
        <v>253</v>
      </c>
      <c r="F18" s="55" t="s">
        <v>252</v>
      </c>
      <c r="H18" s="90">
        <f>HLOOKUP(D18,'Capital IQ Sheet-GPC'!$AQ$10:$AS$75,ROWS('Capital IQ Sheet-GPC'!AQ$10:AQ21),FALSE)</f>
        <v>2.35649</v>
      </c>
      <c r="I18" s="91">
        <f t="shared" si="0"/>
        <v>2.35649</v>
      </c>
      <c r="K18" s="92">
        <f>'Capital IQ Sheet-GPC'!J21</f>
        <v>117.00936</v>
      </c>
      <c r="L18" s="92">
        <f>'Capital IQ Sheet-GPC'!K21</f>
        <v>0</v>
      </c>
      <c r="M18" s="92">
        <f>'Capital IQ Sheet-GPC'!L21</f>
        <v>0</v>
      </c>
      <c r="N18" s="92">
        <f>'Capital IQ Sheet-GPC'!M21</f>
        <v>0</v>
      </c>
      <c r="O18" s="92">
        <f t="shared" si="1"/>
        <v>0</v>
      </c>
      <c r="P18" s="92">
        <f t="shared" si="2"/>
        <v>117.00936</v>
      </c>
      <c r="Q18" s="92">
        <f>'Capital IQ Sheet-GPC'!N21</f>
        <v>25.656580000000002</v>
      </c>
      <c r="R18" s="92">
        <f t="shared" si="3"/>
        <v>91.352779999999996</v>
      </c>
      <c r="T18" s="54">
        <f t="shared" si="4"/>
        <v>42551</v>
      </c>
      <c r="U18" s="56">
        <f t="shared" si="5"/>
        <v>0</v>
      </c>
      <c r="V18" s="56">
        <f t="shared" si="6"/>
        <v>1</v>
      </c>
      <c r="W18" s="56">
        <f t="shared" si="7"/>
        <v>0.35</v>
      </c>
      <c r="Y18" s="93" t="str">
        <f>'MASTER PubCo Inputs'!B36</f>
        <v>NasdaqCM:AVXL</v>
      </c>
      <c r="Z18" s="406">
        <f>'Capital IQ Sheet-GPC'!H21</f>
        <v>91.352779999999996</v>
      </c>
      <c r="AA18" s="94">
        <f t="shared" si="8"/>
        <v>0</v>
      </c>
      <c r="AC18" s="44"/>
      <c r="AG18" s="95"/>
    </row>
    <row r="19" spans="2:33" ht="12.75" customHeight="1">
      <c r="B19" s="405" t="str">
        <f>'Comp.1'!B21</f>
        <v>OptiBiotix Health plc</v>
      </c>
      <c r="D19" s="437">
        <v>2</v>
      </c>
      <c r="E19" s="55" t="s">
        <v>253</v>
      </c>
      <c r="F19" s="55" t="s">
        <v>252</v>
      </c>
      <c r="H19" s="90">
        <f>HLOOKUP(D19,'Capital IQ Sheet-GPC'!$AQ$10:$AS$75,ROWS('Capital IQ Sheet-GPC'!AQ$10:AQ22),FALSE)</f>
        <v>0.53061000000000003</v>
      </c>
      <c r="I19" s="91">
        <f t="shared" si="0"/>
        <v>0.53061000000000003</v>
      </c>
      <c r="K19" s="92">
        <f>'Capital IQ Sheet-GPC'!J22</f>
        <v>72.915899999999993</v>
      </c>
      <c r="L19" s="92">
        <f>'Capital IQ Sheet-GPC'!K22</f>
        <v>0</v>
      </c>
      <c r="M19" s="92">
        <f>'Capital IQ Sheet-GPC'!L22</f>
        <v>0</v>
      </c>
      <c r="N19" s="92">
        <f>'Capital IQ Sheet-GPC'!M22</f>
        <v>0</v>
      </c>
      <c r="O19" s="92">
        <f t="shared" si="1"/>
        <v>0</v>
      </c>
      <c r="P19" s="92">
        <f t="shared" si="2"/>
        <v>72.915899999999993</v>
      </c>
      <c r="Q19" s="92">
        <f>'Capital IQ Sheet-GPC'!N22</f>
        <v>1.6849400000000001</v>
      </c>
      <c r="R19" s="92">
        <f t="shared" si="3"/>
        <v>71.230959999999996</v>
      </c>
      <c r="T19" s="54">
        <f t="shared" si="4"/>
        <v>42551</v>
      </c>
      <c r="U19" s="56">
        <f t="shared" si="5"/>
        <v>0</v>
      </c>
      <c r="V19" s="56">
        <f t="shared" si="6"/>
        <v>1</v>
      </c>
      <c r="W19" s="56">
        <f t="shared" si="7"/>
        <v>0.35</v>
      </c>
      <c r="Y19" s="93" t="str">
        <f>'MASTER PubCo Inputs'!B37</f>
        <v>AIM:OPTI</v>
      </c>
      <c r="Z19" s="406">
        <f>'Capital IQ Sheet-GPC'!H22</f>
        <v>71.269909999999996</v>
      </c>
      <c r="AA19" s="94">
        <f t="shared" si="8"/>
        <v>-3.8949999999999818E-2</v>
      </c>
      <c r="AC19" s="44"/>
      <c r="AG19" s="95"/>
    </row>
    <row r="20" spans="2:33" ht="12.75" customHeight="1">
      <c r="B20" s="405" t="str">
        <f>'Comp.1'!B22</f>
        <v>Soleno Therapeutics, Inc.</v>
      </c>
      <c r="D20" s="437">
        <v>2</v>
      </c>
      <c r="E20" s="55" t="s">
        <v>253</v>
      </c>
      <c r="F20" s="55" t="s">
        <v>252</v>
      </c>
      <c r="H20" s="90">
        <f>HLOOKUP(D20,'Capital IQ Sheet-GPC'!$AQ$10:$AS$75,ROWS('Capital IQ Sheet-GPC'!AQ$10:AQ23),FALSE)</f>
        <v>1.2109999999999999E-2</v>
      </c>
      <c r="I20" s="91">
        <f t="shared" si="0"/>
        <v>1.2109999999999999E-2</v>
      </c>
      <c r="K20" s="92">
        <f>'Capital IQ Sheet-GPC'!J23</f>
        <v>46.258000000000003</v>
      </c>
      <c r="L20" s="92">
        <f>'Capital IQ Sheet-GPC'!K23</f>
        <v>0</v>
      </c>
      <c r="M20" s="92">
        <f>'Capital IQ Sheet-GPC'!L23</f>
        <v>0</v>
      </c>
      <c r="N20" s="92">
        <f>'Capital IQ Sheet-GPC'!M23</f>
        <v>0</v>
      </c>
      <c r="O20" s="92">
        <f t="shared" si="1"/>
        <v>0</v>
      </c>
      <c r="P20" s="92">
        <f t="shared" si="2"/>
        <v>46.258000000000003</v>
      </c>
      <c r="Q20" s="92">
        <f>'Capital IQ Sheet-GPC'!N23</f>
        <v>14.866</v>
      </c>
      <c r="R20" s="92">
        <f t="shared" si="3"/>
        <v>31.392000000000003</v>
      </c>
      <c r="T20" s="54">
        <f t="shared" si="4"/>
        <v>42551</v>
      </c>
      <c r="U20" s="56">
        <f t="shared" si="5"/>
        <v>0</v>
      </c>
      <c r="V20" s="56">
        <f t="shared" si="6"/>
        <v>1</v>
      </c>
      <c r="W20" s="56">
        <f t="shared" si="7"/>
        <v>0.35</v>
      </c>
      <c r="Y20" s="93" t="str">
        <f>'MASTER PubCo Inputs'!B38</f>
        <v>NasdaqCM:SLNO</v>
      </c>
      <c r="Z20" s="406">
        <f>'Capital IQ Sheet-GPC'!H23</f>
        <v>31.391999999999999</v>
      </c>
      <c r="AA20" s="94">
        <f t="shared" si="8"/>
        <v>0</v>
      </c>
      <c r="AC20" s="44"/>
      <c r="AG20" s="95"/>
    </row>
    <row r="21" spans="2:33" ht="12.75" customHeight="1">
      <c r="B21" s="405" t="str">
        <f>'Comp.1'!B23</f>
        <v>Synthetic Biologics, Inc.</v>
      </c>
      <c r="D21" s="437">
        <v>2</v>
      </c>
      <c r="E21" s="55" t="s">
        <v>253</v>
      </c>
      <c r="F21" s="55" t="s">
        <v>252</v>
      </c>
      <c r="H21" s="90">
        <f>HLOOKUP(D21,'Capital IQ Sheet-GPC'!$AQ$10:$AS$75,ROWS('Capital IQ Sheet-GPC'!AQ$10:AQ24),FALSE)</f>
        <v>2.5698699999999999</v>
      </c>
      <c r="I21" s="91">
        <f t="shared" si="0"/>
        <v>2.0182458736743834</v>
      </c>
      <c r="K21" s="92">
        <f>'Capital IQ Sheet-GPC'!J24</f>
        <v>30.72748</v>
      </c>
      <c r="L21" s="92">
        <f>'Capital IQ Sheet-GPC'!K24</f>
        <v>0</v>
      </c>
      <c r="M21" s="92">
        <f>'Capital IQ Sheet-GPC'!L24</f>
        <v>12.112</v>
      </c>
      <c r="N21" s="92">
        <f>'Capital IQ Sheet-GPC'!M24</f>
        <v>-1.923</v>
      </c>
      <c r="O21" s="92">
        <f t="shared" si="1"/>
        <v>10.189</v>
      </c>
      <c r="P21" s="92">
        <f t="shared" si="2"/>
        <v>40.91648</v>
      </c>
      <c r="Q21" s="92">
        <f>'Capital IQ Sheet-GPC'!N24</f>
        <v>11.037000000000001</v>
      </c>
      <c r="R21" s="92">
        <f t="shared" si="3"/>
        <v>29.879480000000001</v>
      </c>
      <c r="T21" s="54">
        <f t="shared" si="4"/>
        <v>42551</v>
      </c>
      <c r="U21" s="56">
        <f t="shared" si="5"/>
        <v>0.29601764374648065</v>
      </c>
      <c r="V21" s="56">
        <f t="shared" si="6"/>
        <v>0.70398235625351935</v>
      </c>
      <c r="W21" s="56">
        <f t="shared" si="7"/>
        <v>0.35</v>
      </c>
      <c r="Y21" s="93" t="str">
        <f>'MASTER PubCo Inputs'!B39</f>
        <v>AMEX:SYN</v>
      </c>
      <c r="Z21" s="406">
        <f>'Capital IQ Sheet-GPC'!H24</f>
        <v>29.879480000000001</v>
      </c>
      <c r="AA21" s="94">
        <f t="shared" si="8"/>
        <v>0</v>
      </c>
      <c r="AC21" s="44"/>
      <c r="AG21" s="95"/>
    </row>
    <row r="22" spans="2:33" ht="12.75" customHeight="1">
      <c r="B22" s="405" t="str">
        <f>'Comp.1'!B24</f>
        <v>Nexus BioPharma, Inc.</v>
      </c>
      <c r="D22" s="437">
        <v>2</v>
      </c>
      <c r="E22" s="55" t="s">
        <v>253</v>
      </c>
      <c r="F22" s="55" t="s">
        <v>252</v>
      </c>
      <c r="H22" s="90">
        <f>HLOOKUP(D22,'Capital IQ Sheet-GPC'!$AQ$10:$AS$75,ROWS('Capital IQ Sheet-GPC'!AQ$10:AQ25),FALSE)</f>
        <v>3.7693300000000001</v>
      </c>
      <c r="I22" s="91">
        <f t="shared" si="0"/>
        <v>3.5491962875795329</v>
      </c>
      <c r="K22" s="92">
        <f>'Capital IQ Sheet-GPC'!J25</f>
        <v>3.8515700000000002</v>
      </c>
      <c r="L22" s="92">
        <f>'Capital IQ Sheet-GPC'!K25</f>
        <v>0.36752000000000001</v>
      </c>
      <c r="M22" s="92">
        <f>'Capital IQ Sheet-GPC'!L25</f>
        <v>0</v>
      </c>
      <c r="N22" s="92">
        <f>'Capital IQ Sheet-GPC'!M25</f>
        <v>0</v>
      </c>
      <c r="O22" s="92">
        <f t="shared" si="1"/>
        <v>0.36752000000000001</v>
      </c>
      <c r="P22" s="92">
        <f t="shared" si="2"/>
        <v>4.2190900000000005</v>
      </c>
      <c r="Q22" s="92">
        <f>'Capital IQ Sheet-GPC'!N25</f>
        <v>8.43E-3</v>
      </c>
      <c r="R22" s="92">
        <f t="shared" si="3"/>
        <v>4.2106600000000007</v>
      </c>
      <c r="T22" s="54">
        <f t="shared" si="4"/>
        <v>42551</v>
      </c>
      <c r="U22" s="56">
        <f t="shared" si="5"/>
        <v>8.710883152528151E-2</v>
      </c>
      <c r="V22" s="56">
        <f t="shared" si="6"/>
        <v>0.91289116847471852</v>
      </c>
      <c r="W22" s="56">
        <f t="shared" si="7"/>
        <v>0.35</v>
      </c>
      <c r="Y22" s="93" t="str">
        <f>'MASTER PubCo Inputs'!B40</f>
        <v>OTCPK:NEXS</v>
      </c>
      <c r="Z22" s="406">
        <f>'Capital IQ Sheet-GPC'!H25</f>
        <v>4.2106599999999998</v>
      </c>
      <c r="AA22" s="94">
        <f t="shared" si="8"/>
        <v>0</v>
      </c>
      <c r="AC22" s="44"/>
      <c r="AG22" s="95"/>
    </row>
    <row r="23" spans="2:33" ht="12.75" customHeight="1">
      <c r="B23" s="405" t="str">
        <f>'Comp.1'!B25</f>
        <v>Ritter Pharmaceuticals, Inc.</v>
      </c>
      <c r="D23" s="437">
        <v>2</v>
      </c>
      <c r="E23" s="55" t="s">
        <v>253</v>
      </c>
      <c r="F23" s="55" t="s">
        <v>252</v>
      </c>
      <c r="H23" s="90">
        <f>HLOOKUP(D23,'Capital IQ Sheet-GPC'!$AQ$10:$AS$75,ROWS('Capital IQ Sheet-GPC'!AQ$10:AQ26),FALSE)</f>
        <v>2.1932900000000002</v>
      </c>
      <c r="I23" s="91">
        <f t="shared" si="0"/>
        <v>1.7555334676134171</v>
      </c>
      <c r="K23" s="92">
        <f>'Capital IQ Sheet-GPC'!J26</f>
        <v>12.90047</v>
      </c>
      <c r="L23" s="92">
        <f>'Capital IQ Sheet-GPC'!K26</f>
        <v>0</v>
      </c>
      <c r="M23" s="92">
        <f>'Capital IQ Sheet-GPC'!L26</f>
        <v>4.9489799999999997</v>
      </c>
      <c r="N23" s="92">
        <f>'Capital IQ Sheet-GPC'!M26</f>
        <v>0</v>
      </c>
      <c r="O23" s="92">
        <f t="shared" si="1"/>
        <v>4.9489799999999997</v>
      </c>
      <c r="P23" s="92">
        <f t="shared" si="2"/>
        <v>17.849450000000001</v>
      </c>
      <c r="Q23" s="92">
        <f>'Capital IQ Sheet-GPC'!N26</f>
        <v>18.91704</v>
      </c>
      <c r="R23" s="92">
        <f t="shared" si="3"/>
        <v>-1.0675899999999992</v>
      </c>
      <c r="T23" s="54">
        <f t="shared" si="4"/>
        <v>42551</v>
      </c>
      <c r="U23" s="56">
        <f t="shared" si="5"/>
        <v>0.27726232460944172</v>
      </c>
      <c r="V23" s="56">
        <f t="shared" si="6"/>
        <v>0.72273767539055833</v>
      </c>
      <c r="W23" s="56">
        <f t="shared" si="7"/>
        <v>0.35</v>
      </c>
      <c r="Y23" s="93" t="str">
        <f>'MASTER PubCo Inputs'!B41</f>
        <v>NasdaqCM:RTTR</v>
      </c>
      <c r="Z23" s="406">
        <f>'Capital IQ Sheet-GPC'!H26</f>
        <v>-1.06759</v>
      </c>
      <c r="AA23" s="94">
        <f t="shared" si="8"/>
        <v>0</v>
      </c>
      <c r="AC23" s="44"/>
      <c r="AG23" s="95"/>
    </row>
    <row r="24" spans="2:33" ht="12.75" customHeight="1">
      <c r="B24" s="405">
        <f>'Comp.1'!B26</f>
        <v>0</v>
      </c>
      <c r="D24" s="437">
        <v>2</v>
      </c>
      <c r="E24" s="55" t="s">
        <v>253</v>
      </c>
      <c r="F24" s="55" t="s">
        <v>252</v>
      </c>
      <c r="H24" s="90" t="str">
        <f>HLOOKUP(D24,'Capital IQ Sheet-GPC'!$AQ$10:$AS$75,ROWS('Capital IQ Sheet-GPC'!AQ$10:AQ27),FALSE)</f>
        <v>(Invalid Identifier)</v>
      </c>
      <c r="I24" s="91" t="str">
        <f t="shared" si="0"/>
        <v>n/a</v>
      </c>
      <c r="K24" s="92" t="str">
        <f>'Capital IQ Sheet-GPC'!J27</f>
        <v>(Invalid Identifier)</v>
      </c>
      <c r="L24" s="92" t="str">
        <f>'Capital IQ Sheet-GPC'!K27</f>
        <v>(Invalid Identifier)</v>
      </c>
      <c r="M24" s="92" t="str">
        <f>'Capital IQ Sheet-GPC'!L27</f>
        <v>(Invalid Identifier)</v>
      </c>
      <c r="N24" s="92" t="str">
        <f>'Capital IQ Sheet-GPC'!M27</f>
        <v>(Invalid Identifier)</v>
      </c>
      <c r="O24" s="92">
        <f t="shared" si="1"/>
        <v>0</v>
      </c>
      <c r="P24" s="92">
        <f t="shared" si="2"/>
        <v>0</v>
      </c>
      <c r="Q24" s="92" t="str">
        <f>'Capital IQ Sheet-GPC'!N27</f>
        <v>(Invalid Identifier)</v>
      </c>
      <c r="R24" s="92" t="str">
        <f t="shared" si="3"/>
        <v>n/a</v>
      </c>
      <c r="T24" s="54">
        <f t="shared" si="4"/>
        <v>42551</v>
      </c>
      <c r="U24" s="56" t="str">
        <f t="shared" si="5"/>
        <v>n/a</v>
      </c>
      <c r="V24" s="56" t="str">
        <f t="shared" si="6"/>
        <v>n/a</v>
      </c>
      <c r="W24" s="56">
        <f t="shared" si="7"/>
        <v>0.35</v>
      </c>
      <c r="Y24" s="93" t="str">
        <f>'MASTER PubCo Inputs'!B42</f>
        <v>(Invalid Identifier)</v>
      </c>
      <c r="Z24" s="406" t="str">
        <f>'Capital IQ Sheet-GPC'!H27</f>
        <v>(Invalid Identifier)</v>
      </c>
      <c r="AA24" s="94" t="e">
        <f t="shared" si="8"/>
        <v>#VALUE!</v>
      </c>
      <c r="AC24" s="44"/>
      <c r="AG24" s="95"/>
    </row>
    <row r="25" spans="2:33" ht="12.75" customHeight="1">
      <c r="D25" s="437"/>
      <c r="E25" s="55"/>
      <c r="F25" s="55"/>
      <c r="H25" s="90"/>
      <c r="I25" s="91"/>
      <c r="K25" s="92"/>
      <c r="L25" s="92"/>
      <c r="M25" s="92"/>
      <c r="N25" s="92"/>
      <c r="O25" s="92"/>
      <c r="P25" s="92"/>
      <c r="Q25" s="92"/>
      <c r="R25" s="92"/>
      <c r="T25" s="54"/>
      <c r="U25" s="56"/>
      <c r="V25" s="56"/>
      <c r="W25" s="56"/>
      <c r="Y25" s="93"/>
      <c r="Z25" s="406"/>
      <c r="AA25" s="94"/>
      <c r="AC25" s="44"/>
      <c r="AG25" s="95"/>
    </row>
    <row r="26" spans="2:33" ht="12.75" customHeight="1">
      <c r="D26" s="437"/>
      <c r="E26" s="55"/>
      <c r="F26" s="55"/>
      <c r="H26" s="90"/>
      <c r="I26" s="91"/>
      <c r="K26" s="92"/>
      <c r="L26" s="92"/>
      <c r="M26" s="92"/>
      <c r="N26" s="92"/>
      <c r="O26" s="92"/>
      <c r="P26" s="92"/>
      <c r="Q26" s="92"/>
      <c r="R26" s="92"/>
      <c r="T26" s="54"/>
      <c r="U26" s="56"/>
      <c r="V26" s="56"/>
      <c r="W26" s="56"/>
      <c r="Y26" s="93"/>
      <c r="Z26" s="406"/>
      <c r="AA26" s="94"/>
      <c r="AC26" s="44"/>
      <c r="AG26" s="95"/>
    </row>
    <row r="27" spans="2:33" ht="12.75" customHeight="1">
      <c r="D27" s="437"/>
      <c r="E27" s="55"/>
      <c r="F27" s="55"/>
      <c r="H27" s="90"/>
      <c r="I27" s="91"/>
      <c r="K27" s="92"/>
      <c r="L27" s="92"/>
      <c r="M27" s="92"/>
      <c r="N27" s="92"/>
      <c r="O27" s="92"/>
      <c r="P27" s="92"/>
      <c r="Q27" s="92"/>
      <c r="R27" s="92"/>
      <c r="T27" s="54"/>
      <c r="U27" s="56"/>
      <c r="V27" s="56"/>
      <c r="W27" s="56"/>
      <c r="Y27" s="93"/>
      <c r="Z27" s="406"/>
      <c r="AA27" s="94"/>
      <c r="AC27" s="44"/>
      <c r="AG27" s="95"/>
    </row>
    <row r="28" spans="2:33" ht="12.75" customHeight="1">
      <c r="D28" s="437"/>
      <c r="E28" s="55"/>
      <c r="F28" s="55"/>
      <c r="H28" s="90"/>
      <c r="I28" s="91"/>
      <c r="K28" s="92"/>
      <c r="L28" s="92"/>
      <c r="M28" s="92"/>
      <c r="N28" s="92"/>
      <c r="O28" s="92"/>
      <c r="P28" s="92"/>
      <c r="Q28" s="92"/>
      <c r="R28" s="92"/>
      <c r="T28" s="54"/>
      <c r="U28" s="56"/>
      <c r="V28" s="56"/>
      <c r="W28" s="56"/>
      <c r="Y28" s="93"/>
      <c r="Z28" s="406"/>
      <c r="AA28" s="94"/>
      <c r="AC28" s="44"/>
      <c r="AG28" s="95"/>
    </row>
    <row r="29" spans="2:33" ht="12.75" customHeight="1">
      <c r="D29" s="437"/>
      <c r="E29" s="55"/>
      <c r="F29" s="55"/>
      <c r="H29" s="90"/>
      <c r="I29" s="91"/>
      <c r="K29" s="92"/>
      <c r="L29" s="92"/>
      <c r="M29" s="92"/>
      <c r="N29" s="92"/>
      <c r="O29" s="92"/>
      <c r="P29" s="92"/>
      <c r="Q29" s="92"/>
      <c r="R29" s="92"/>
      <c r="T29" s="54"/>
      <c r="U29" s="56"/>
      <c r="V29" s="56"/>
      <c r="W29" s="56"/>
      <c r="Y29" s="93"/>
      <c r="Z29" s="406"/>
      <c r="AA29" s="94"/>
      <c r="AC29" s="44"/>
      <c r="AG29" s="95"/>
    </row>
    <row r="30" spans="2:33" ht="12.75" customHeight="1">
      <c r="D30" s="437"/>
      <c r="E30" s="55"/>
      <c r="F30" s="55"/>
      <c r="H30" s="90"/>
      <c r="I30" s="91"/>
      <c r="K30" s="92"/>
      <c r="L30" s="92"/>
      <c r="M30" s="92"/>
      <c r="N30" s="92"/>
      <c r="O30" s="92"/>
      <c r="P30" s="92"/>
      <c r="Q30" s="92"/>
      <c r="R30" s="92"/>
      <c r="T30" s="54"/>
      <c r="U30" s="56"/>
      <c r="V30" s="56"/>
      <c r="W30" s="56"/>
      <c r="Y30" s="93"/>
      <c r="Z30" s="406"/>
      <c r="AA30" s="94"/>
      <c r="AC30" s="44"/>
      <c r="AG30" s="95"/>
    </row>
    <row r="31" spans="2:33" ht="12.75" customHeight="1">
      <c r="D31" s="437"/>
      <c r="E31" s="55"/>
      <c r="F31" s="55"/>
      <c r="H31" s="90"/>
      <c r="I31" s="91"/>
      <c r="K31" s="92"/>
      <c r="L31" s="92"/>
      <c r="M31" s="92"/>
      <c r="N31" s="92"/>
      <c r="O31" s="92"/>
      <c r="P31" s="92"/>
      <c r="Q31" s="92"/>
      <c r="R31" s="92"/>
      <c r="T31" s="54"/>
      <c r="U31" s="56"/>
      <c r="V31" s="56"/>
      <c r="W31" s="56"/>
      <c r="Y31" s="93"/>
      <c r="Z31" s="406"/>
      <c r="AA31" s="94"/>
      <c r="AC31" s="44"/>
      <c r="AG31" s="95"/>
    </row>
    <row r="32" spans="2:33" ht="12.75" customHeight="1">
      <c r="D32" s="437"/>
      <c r="E32" s="55"/>
      <c r="F32" s="55"/>
      <c r="H32" s="90"/>
      <c r="I32" s="91"/>
      <c r="K32" s="92"/>
      <c r="L32" s="92"/>
      <c r="M32" s="92"/>
      <c r="N32" s="92"/>
      <c r="O32" s="92"/>
      <c r="P32" s="92"/>
      <c r="Q32" s="92"/>
      <c r="R32" s="92"/>
      <c r="T32" s="54"/>
      <c r="U32" s="56"/>
      <c r="V32" s="56"/>
      <c r="W32" s="56"/>
      <c r="Y32" s="93"/>
      <c r="Z32" s="406"/>
      <c r="AA32" s="94"/>
      <c r="AC32" s="44"/>
      <c r="AG32" s="95"/>
    </row>
    <row r="33" spans="2:33" ht="12.75" customHeight="1">
      <c r="D33" s="437"/>
      <c r="E33" s="55"/>
      <c r="F33" s="55"/>
      <c r="H33" s="90"/>
      <c r="I33" s="91"/>
      <c r="K33" s="92"/>
      <c r="L33" s="92"/>
      <c r="M33" s="92"/>
      <c r="N33" s="92"/>
      <c r="O33" s="92"/>
      <c r="P33" s="92"/>
      <c r="Q33" s="92"/>
      <c r="R33" s="92"/>
      <c r="T33" s="54"/>
      <c r="U33" s="56"/>
      <c r="V33" s="56"/>
      <c r="W33" s="56"/>
      <c r="Y33" s="93"/>
      <c r="Z33" s="406"/>
      <c r="AA33" s="94"/>
      <c r="AC33" s="44"/>
      <c r="AG33" s="95"/>
    </row>
    <row r="34" spans="2:33" ht="12.75" customHeight="1">
      <c r="D34" s="437"/>
      <c r="E34" s="55"/>
      <c r="F34" s="55"/>
      <c r="H34" s="90"/>
      <c r="I34" s="91"/>
      <c r="K34" s="92"/>
      <c r="L34" s="92"/>
      <c r="M34" s="92"/>
      <c r="N34" s="92"/>
      <c r="O34" s="92"/>
      <c r="P34" s="92"/>
      <c r="Q34" s="92"/>
      <c r="R34" s="92"/>
      <c r="T34" s="54"/>
      <c r="U34" s="56"/>
      <c r="V34" s="56"/>
      <c r="W34" s="56"/>
      <c r="Y34" s="93"/>
      <c r="Z34" s="406"/>
      <c r="AA34" s="94"/>
      <c r="AC34" s="44"/>
      <c r="AG34" s="95"/>
    </row>
    <row r="35" spans="2:33" ht="12.75" customHeight="1">
      <c r="D35" s="437"/>
      <c r="E35" s="55"/>
      <c r="F35" s="55"/>
      <c r="H35" s="90"/>
      <c r="I35" s="91"/>
      <c r="K35" s="92"/>
      <c r="L35" s="92"/>
      <c r="M35" s="92"/>
      <c r="N35" s="92"/>
      <c r="O35" s="92"/>
      <c r="P35" s="92"/>
      <c r="Q35" s="92"/>
      <c r="R35" s="92"/>
      <c r="T35" s="54"/>
      <c r="U35" s="56"/>
      <c r="V35" s="56"/>
      <c r="W35" s="56"/>
      <c r="Y35" s="93"/>
      <c r="Z35" s="406"/>
      <c r="AA35" s="94"/>
      <c r="AC35" s="44"/>
      <c r="AG35" s="95"/>
    </row>
    <row r="36" spans="2:33" ht="12.75" customHeight="1">
      <c r="D36" s="437"/>
      <c r="E36" s="55"/>
      <c r="F36" s="55"/>
      <c r="H36" s="90"/>
      <c r="I36" s="91"/>
      <c r="K36" s="92"/>
      <c r="L36" s="92"/>
      <c r="M36" s="92"/>
      <c r="N36" s="92"/>
      <c r="O36" s="92"/>
      <c r="P36" s="92"/>
      <c r="Q36" s="92"/>
      <c r="R36" s="92"/>
      <c r="T36" s="54"/>
      <c r="U36" s="56"/>
      <c r="V36" s="56"/>
      <c r="W36" s="56"/>
      <c r="Y36" s="93"/>
      <c r="Z36" s="406"/>
      <c r="AA36" s="94"/>
      <c r="AC36" s="44"/>
      <c r="AG36" s="95"/>
    </row>
    <row r="37" spans="2:33" ht="12.75" customHeight="1">
      <c r="D37" s="437"/>
      <c r="E37" s="55"/>
      <c r="F37" s="55"/>
      <c r="H37" s="90"/>
      <c r="I37" s="91"/>
      <c r="K37" s="92"/>
      <c r="L37" s="92"/>
      <c r="M37" s="92"/>
      <c r="N37" s="92"/>
      <c r="O37" s="92"/>
      <c r="P37" s="92"/>
      <c r="Q37" s="92"/>
      <c r="R37" s="92"/>
      <c r="T37" s="54"/>
      <c r="U37" s="56"/>
      <c r="V37" s="56"/>
      <c r="W37" s="56"/>
      <c r="Y37" s="93"/>
      <c r="Z37" s="406"/>
      <c r="AA37" s="94"/>
      <c r="AC37" s="44"/>
      <c r="AG37" s="95"/>
    </row>
    <row r="38" spans="2:33" ht="12.75" customHeight="1">
      <c r="D38" s="437"/>
      <c r="E38" s="55"/>
      <c r="F38" s="55"/>
      <c r="H38" s="90"/>
      <c r="I38" s="91"/>
      <c r="K38" s="92"/>
      <c r="L38" s="92"/>
      <c r="M38" s="92"/>
      <c r="N38" s="92"/>
      <c r="O38" s="92"/>
      <c r="P38" s="92"/>
      <c r="Q38" s="92"/>
      <c r="R38" s="92"/>
      <c r="T38" s="54"/>
      <c r="U38" s="56"/>
      <c r="V38" s="56"/>
      <c r="W38" s="56"/>
      <c r="Y38" s="93"/>
      <c r="Z38" s="406"/>
      <c r="AA38" s="94"/>
      <c r="AC38" s="44"/>
      <c r="AG38" s="95"/>
    </row>
    <row r="39" spans="2:33" ht="12.75" customHeight="1">
      <c r="D39" s="437"/>
      <c r="E39" s="55"/>
      <c r="F39" s="55"/>
      <c r="H39" s="90"/>
      <c r="I39" s="91"/>
      <c r="K39" s="92"/>
      <c r="L39" s="92"/>
      <c r="M39" s="92"/>
      <c r="N39" s="92"/>
      <c r="O39" s="92"/>
      <c r="P39" s="92"/>
      <c r="Q39" s="92"/>
      <c r="R39" s="92"/>
      <c r="T39" s="54"/>
      <c r="U39" s="56"/>
      <c r="V39" s="56"/>
      <c r="W39" s="56"/>
      <c r="Y39" s="93"/>
      <c r="Z39" s="406"/>
      <c r="AA39" s="94"/>
      <c r="AC39" s="44"/>
      <c r="AG39" s="95"/>
    </row>
    <row r="40" spans="2:33" ht="12.75" customHeight="1">
      <c r="K40" s="406"/>
      <c r="L40" s="406"/>
      <c r="M40" s="406"/>
      <c r="N40" s="406"/>
      <c r="O40" s="406"/>
      <c r="P40" s="406"/>
      <c r="Q40" s="406"/>
      <c r="R40" s="406"/>
      <c r="S40" s="58"/>
      <c r="T40" s="21"/>
      <c r="U40" s="21"/>
      <c r="V40" s="21"/>
      <c r="W40" s="21"/>
    </row>
    <row r="41" spans="2:33" ht="12.75" customHeight="1">
      <c r="B41" s="766" t="s">
        <v>111</v>
      </c>
      <c r="C41" s="782"/>
      <c r="D41" s="782"/>
      <c r="E41" s="782"/>
      <c r="F41" s="782"/>
      <c r="G41" s="782"/>
      <c r="H41" s="787">
        <f>MAX(H10:H39)</f>
        <v>3.7693300000000001</v>
      </c>
      <c r="I41" s="787">
        <f>MAX(I10:I39)</f>
        <v>3.5491962875795329</v>
      </c>
      <c r="J41" s="782"/>
      <c r="K41" s="781">
        <f t="shared" ref="K41:R41" si="9">MAX(K10:K39)</f>
        <v>1906.0925500000001</v>
      </c>
      <c r="L41" s="781">
        <f t="shared" si="9"/>
        <v>236.50700000000001</v>
      </c>
      <c r="M41" s="781">
        <f t="shared" si="9"/>
        <v>12.112</v>
      </c>
      <c r="N41" s="781">
        <f t="shared" si="9"/>
        <v>0</v>
      </c>
      <c r="O41" s="781">
        <f t="shared" si="9"/>
        <v>236.50700000000001</v>
      </c>
      <c r="P41" s="781">
        <f t="shared" si="9"/>
        <v>1906.0925500000001</v>
      </c>
      <c r="Q41" s="781">
        <f t="shared" si="9"/>
        <v>298.06299999999999</v>
      </c>
      <c r="R41" s="783">
        <f t="shared" si="9"/>
        <v>1608.0295500000002</v>
      </c>
      <c r="S41" s="49"/>
      <c r="T41" s="49"/>
      <c r="U41" s="432">
        <f>MAX(U10:U39)</f>
        <v>0.75980047748111201</v>
      </c>
      <c r="V41" s="432">
        <f>MAX(V10:V39)</f>
        <v>1</v>
      </c>
      <c r="W41" s="49"/>
    </row>
    <row r="42" spans="2:33" ht="12.75" customHeight="1">
      <c r="B42" s="366" t="s">
        <v>115</v>
      </c>
      <c r="C42" s="79"/>
      <c r="D42" s="79"/>
      <c r="E42" s="79"/>
      <c r="F42" s="79"/>
      <c r="G42" s="79"/>
      <c r="H42" s="100">
        <f>QUARTILE(H10:H39,3)</f>
        <v>2.3029099999999998</v>
      </c>
      <c r="I42" s="100">
        <f>QUARTILE(I10:I39,3)</f>
        <v>2.1149258180339152</v>
      </c>
      <c r="J42" s="79"/>
      <c r="K42" s="101">
        <f t="shared" ref="K42:R42" si="10">QUARTILE(K10:K39,3)</f>
        <v>564.60603750000007</v>
      </c>
      <c r="L42" s="101">
        <f t="shared" si="10"/>
        <v>0.27564</v>
      </c>
      <c r="M42" s="101">
        <f t="shared" si="10"/>
        <v>0</v>
      </c>
      <c r="N42" s="101">
        <f t="shared" si="10"/>
        <v>0</v>
      </c>
      <c r="O42" s="101">
        <f t="shared" si="10"/>
        <v>3.1751199999999997</v>
      </c>
      <c r="P42" s="101">
        <f t="shared" si="10"/>
        <v>507.73981500000002</v>
      </c>
      <c r="Q42" s="101">
        <f t="shared" si="10"/>
        <v>132.88825</v>
      </c>
      <c r="R42" s="102">
        <f t="shared" si="10"/>
        <v>383.73003750000009</v>
      </c>
      <c r="S42" s="49"/>
      <c r="T42" s="49"/>
      <c r="U42" s="432">
        <f>QUARTILE(U10:U39,3)</f>
        <v>7.8459106584289146E-2</v>
      </c>
      <c r="V42" s="432">
        <f>QUARTILE(V10:V39,3)</f>
        <v>1</v>
      </c>
      <c r="W42" s="49"/>
    </row>
    <row r="43" spans="2:33" ht="12.75" customHeight="1">
      <c r="B43" s="366" t="s">
        <v>113</v>
      </c>
      <c r="C43" s="79"/>
      <c r="D43" s="79"/>
      <c r="E43" s="79"/>
      <c r="F43" s="79"/>
      <c r="G43" s="79"/>
      <c r="H43" s="100">
        <f>AVERAGE(H10:H39)</f>
        <v>1.5664876923076925</v>
      </c>
      <c r="I43" s="100">
        <f>AVERAGE(I10:I39)</f>
        <v>1.4522718380971185</v>
      </c>
      <c r="J43" s="79"/>
      <c r="K43" s="101">
        <f t="shared" ref="K43:R43" si="11">AVERAGE(K10:K39)</f>
        <v>406.69437642857145</v>
      </c>
      <c r="L43" s="101">
        <f t="shared" si="11"/>
        <v>18.459698571428572</v>
      </c>
      <c r="M43" s="101">
        <f t="shared" si="11"/>
        <v>1.2186414285714287</v>
      </c>
      <c r="N43" s="101">
        <f t="shared" si="11"/>
        <v>-0.13735714285714287</v>
      </c>
      <c r="O43" s="101">
        <f t="shared" si="11"/>
        <v>18.238250666666669</v>
      </c>
      <c r="P43" s="101">
        <f t="shared" si="11"/>
        <v>397.81966866666664</v>
      </c>
      <c r="Q43" s="101">
        <f t="shared" si="11"/>
        <v>90.206330714285741</v>
      </c>
      <c r="R43" s="102">
        <f t="shared" si="11"/>
        <v>336.02902857142857</v>
      </c>
      <c r="S43" s="49"/>
      <c r="T43" s="49"/>
      <c r="U43" s="432">
        <f>AVERAGE(U10:U39)</f>
        <v>0.10566222276534788</v>
      </c>
      <c r="V43" s="432">
        <f>AVERAGE(V10:V39)</f>
        <v>0.89433777723465213</v>
      </c>
      <c r="W43" s="49"/>
    </row>
    <row r="44" spans="2:33" ht="12.75" customHeight="1">
      <c r="B44" s="366" t="s">
        <v>44</v>
      </c>
      <c r="C44" s="79"/>
      <c r="D44" s="79"/>
      <c r="E44" s="79"/>
      <c r="F44" s="79"/>
      <c r="G44" s="79"/>
      <c r="H44" s="100">
        <f>MEDIAN(H10:H39)</f>
        <v>1.89943</v>
      </c>
      <c r="I44" s="100">
        <f>MEDIAN(I10:I39)</f>
        <v>1.7555334676134171</v>
      </c>
      <c r="J44" s="79"/>
      <c r="K44" s="101">
        <f t="shared" ref="K44:R44" si="12">MEDIAN(K10:K39)</f>
        <v>164.41385500000001</v>
      </c>
      <c r="L44" s="101">
        <f t="shared" si="12"/>
        <v>0</v>
      </c>
      <c r="M44" s="101">
        <f t="shared" si="12"/>
        <v>0</v>
      </c>
      <c r="N44" s="101">
        <f t="shared" si="12"/>
        <v>0</v>
      </c>
      <c r="O44" s="101">
        <f t="shared" si="12"/>
        <v>0</v>
      </c>
      <c r="P44" s="101">
        <f t="shared" si="12"/>
        <v>213.21961000000002</v>
      </c>
      <c r="Q44" s="101">
        <f t="shared" si="12"/>
        <v>57.363289999999992</v>
      </c>
      <c r="R44" s="102">
        <f t="shared" si="12"/>
        <v>153.45654500000001</v>
      </c>
      <c r="S44" s="49"/>
      <c r="T44" s="49"/>
      <c r="U44" s="432">
        <f>MEDIAN(U10:U39)</f>
        <v>0</v>
      </c>
      <c r="V44" s="432">
        <f>MEDIAN(V10:V39)</f>
        <v>1</v>
      </c>
      <c r="W44" s="49"/>
    </row>
    <row r="45" spans="2:33" ht="12.75" customHeight="1">
      <c r="B45" s="366" t="s">
        <v>114</v>
      </c>
      <c r="C45" s="79"/>
      <c r="D45" s="79"/>
      <c r="E45" s="79"/>
      <c r="F45" s="79"/>
      <c r="G45" s="79"/>
      <c r="H45" s="100">
        <f>QUARTILE(H10:H39,1)</f>
        <v>0.53061000000000003</v>
      </c>
      <c r="I45" s="100">
        <f>QUARTILE(I10:I39,1)</f>
        <v>0.53061000000000003</v>
      </c>
      <c r="J45" s="79"/>
      <c r="K45" s="101">
        <f t="shared" ref="K45:R45" si="13">QUARTILE(K10:K39,1)</f>
        <v>52.922474999999999</v>
      </c>
      <c r="L45" s="101">
        <f t="shared" si="13"/>
        <v>0</v>
      </c>
      <c r="M45" s="101">
        <f t="shared" si="13"/>
        <v>0</v>
      </c>
      <c r="N45" s="101">
        <f t="shared" si="13"/>
        <v>0</v>
      </c>
      <c r="O45" s="101">
        <f t="shared" si="13"/>
        <v>0</v>
      </c>
      <c r="P45" s="101">
        <f t="shared" si="13"/>
        <v>43.587240000000001</v>
      </c>
      <c r="Q45" s="101">
        <f t="shared" si="13"/>
        <v>11.994250000000001</v>
      </c>
      <c r="R45" s="102">
        <f t="shared" si="13"/>
        <v>41.351739999999999</v>
      </c>
      <c r="S45" s="49"/>
      <c r="T45" s="49"/>
      <c r="U45" s="432">
        <f>QUARTILE(U10:U39,1)</f>
        <v>0</v>
      </c>
      <c r="V45" s="432">
        <f>QUARTILE(V10:V39,1)</f>
        <v>0.92154089341571088</v>
      </c>
      <c r="W45" s="49"/>
    </row>
    <row r="46" spans="2:33" ht="12.75" customHeight="1">
      <c r="B46" s="103" t="s">
        <v>112</v>
      </c>
      <c r="C46" s="72"/>
      <c r="D46" s="72"/>
      <c r="E46" s="72"/>
      <c r="F46" s="72"/>
      <c r="G46" s="72"/>
      <c r="H46" s="105">
        <f>MIN(H10:H39)</f>
        <v>-0.30192999999999998</v>
      </c>
      <c r="I46" s="105">
        <f>MIN(I10:I39)</f>
        <v>-0.29143174771832625</v>
      </c>
      <c r="J46" s="72"/>
      <c r="K46" s="75">
        <f t="shared" ref="K46:R46" si="14">MIN(K10:K39)</f>
        <v>3.8515700000000002</v>
      </c>
      <c r="L46" s="75">
        <f t="shared" si="14"/>
        <v>0</v>
      </c>
      <c r="M46" s="75">
        <f t="shared" si="14"/>
        <v>0</v>
      </c>
      <c r="N46" s="75">
        <f t="shared" si="14"/>
        <v>-1.923</v>
      </c>
      <c r="O46" s="75">
        <f t="shared" si="14"/>
        <v>0</v>
      </c>
      <c r="P46" s="75">
        <f t="shared" si="14"/>
        <v>0</v>
      </c>
      <c r="Q46" s="75">
        <f t="shared" si="14"/>
        <v>8.43E-3</v>
      </c>
      <c r="R46" s="417">
        <f t="shared" si="14"/>
        <v>-1.0675899999999992</v>
      </c>
      <c r="S46" s="49"/>
      <c r="T46" s="49"/>
      <c r="U46" s="432">
        <f>MIN(U10:U39)</f>
        <v>0</v>
      </c>
      <c r="V46" s="432">
        <f>MIN(V10:V39)</f>
        <v>0.24019952251888799</v>
      </c>
      <c r="W46" s="49"/>
    </row>
    <row r="47" spans="2:33" ht="12.75" customHeight="1">
      <c r="S47" s="58"/>
      <c r="T47" s="21"/>
      <c r="U47" s="21"/>
      <c r="V47" s="21"/>
      <c r="W47" s="21"/>
    </row>
    <row r="48" spans="2:33" ht="12.75" customHeight="1">
      <c r="B48" s="8" t="s">
        <v>116</v>
      </c>
      <c r="S48" s="58"/>
    </row>
    <row r="49" spans="5:19" ht="12.75" customHeight="1">
      <c r="S49" s="58"/>
    </row>
    <row r="50" spans="5:19" ht="12.75" customHeight="1"/>
    <row r="55" spans="5:19">
      <c r="E55" s="95" t="s">
        <v>253</v>
      </c>
      <c r="F55" s="55" t="s">
        <v>251</v>
      </c>
    </row>
    <row r="56" spans="5:19">
      <c r="E56" s="95" t="s">
        <v>254</v>
      </c>
      <c r="F56" s="55" t="s">
        <v>252</v>
      </c>
    </row>
    <row r="57" spans="5:19">
      <c r="E57" s="95" t="s">
        <v>255</v>
      </c>
    </row>
    <row r="58" spans="5:19">
      <c r="E58" s="95" t="str">
        <f>"IQ20246097"</f>
        <v>IQ20246097</v>
      </c>
    </row>
    <row r="60" spans="5:19" ht="3" customHeight="1"/>
  </sheetData>
  <conditionalFormatting sqref="B10:B39">
    <cfRule type="cellIs" dxfId="158" priority="12" operator="equal">
      <formula>"(Invalid Identifier)"</formula>
    </cfRule>
  </conditionalFormatting>
  <conditionalFormatting sqref="B4:I4">
    <cfRule type="cellIs" dxfId="157" priority="10" stopIfTrue="1" operator="equal">
      <formula>"input"</formula>
    </cfRule>
  </conditionalFormatting>
  <conditionalFormatting sqref="J4">
    <cfRule type="cellIs" dxfId="156" priority="8" stopIfTrue="1" operator="equal">
      <formula>"input"</formula>
    </cfRule>
  </conditionalFormatting>
  <conditionalFormatting sqref="J4">
    <cfRule type="cellIs" dxfId="155" priority="9" stopIfTrue="1" operator="equal">
      <formula>"input"</formula>
    </cfRule>
  </conditionalFormatting>
  <conditionalFormatting sqref="K4:Q4">
    <cfRule type="cellIs" dxfId="154" priority="6" stopIfTrue="1" operator="equal">
      <formula>"input"</formula>
    </cfRule>
  </conditionalFormatting>
  <conditionalFormatting sqref="K4:Q4">
    <cfRule type="cellIs" dxfId="153" priority="7" stopIfTrue="1" operator="equal">
      <formula>"input"</formula>
    </cfRule>
  </conditionalFormatting>
  <conditionalFormatting sqref="R4">
    <cfRule type="cellIs" dxfId="152" priority="2" stopIfTrue="1" operator="equal">
      <formula>"input"</formula>
    </cfRule>
  </conditionalFormatting>
  <conditionalFormatting sqref="R4">
    <cfRule type="cellIs" dxfId="151" priority="3" stopIfTrue="1" operator="equal">
      <formula>"input"</formula>
    </cfRule>
  </conditionalFormatting>
  <conditionalFormatting sqref="H10:H39">
    <cfRule type="cellIs" dxfId="150" priority="1" operator="equal">
      <formula>"n/a"</formula>
    </cfRule>
  </conditionalFormatting>
  <dataValidations count="2">
    <dataValidation type="list" allowBlank="1" showInputMessage="1" showErrorMessage="1" sqref="E10:E39">
      <formula1>$E$55:$E$59</formula1>
    </dataValidation>
    <dataValidation type="list" allowBlank="1" showInputMessage="1" showErrorMessage="1" sqref="F10:F39">
      <formula1>$F$55:$F$56</formula1>
    </dataValidation>
  </dataValidations>
  <pageMargins left="0.5" right="0.5" top="0.5" bottom="0.5" header="0.5" footer="0.5"/>
  <pageSetup scale="85" orientation="landscape" r:id="rId1"/>
  <legacy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'Capital IQ Sheet-GPC'!$AQ$10:$AS$10</xm:f>
          </x14:formula1>
          <xm:sqref>D10:D39</xm:sqref>
        </x14:dataValidation>
      </x14:dataValidation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123"/>
  <sheetViews>
    <sheetView topLeftCell="A6" zoomScale="70" zoomScaleNormal="70" workbookViewId="0">
      <selection activeCell="G23" sqref="G23"/>
    </sheetView>
  </sheetViews>
  <sheetFormatPr defaultRowHeight="15"/>
  <cols>
    <col min="1" max="1" width="46.5" style="2891" customWidth="1"/>
    <col min="2" max="2" width="21.33203125" style="2891" bestFit="1" customWidth="1"/>
    <col min="3" max="6" width="19.83203125" style="2891" bestFit="1" customWidth="1"/>
    <col min="7" max="12" width="28.83203125" style="2891" customWidth="1"/>
    <col min="13" max="13" width="17.33203125" style="2891" bestFit="1" customWidth="1"/>
    <col min="14" max="16384" width="9.33203125" style="2891"/>
  </cols>
  <sheetData>
    <row r="1" spans="1:13" ht="152.25" customHeight="1">
      <c r="A1" s="2888" t="s">
        <v>3573</v>
      </c>
      <c r="B1" s="2889"/>
      <c r="C1" s="2890"/>
      <c r="D1" s="2890"/>
      <c r="E1" s="2890" t="s">
        <v>1730</v>
      </c>
      <c r="F1" s="2890"/>
      <c r="G1" s="2890"/>
      <c r="H1" s="2890"/>
      <c r="I1" s="2890"/>
      <c r="J1" s="2890"/>
      <c r="K1" s="2890"/>
      <c r="L1" s="2890"/>
      <c r="M1" s="2890"/>
    </row>
    <row r="2" spans="1:13" ht="44.25" customHeight="1">
      <c r="A2" s="3291" t="s">
        <v>3574</v>
      </c>
      <c r="B2" s="3291"/>
      <c r="C2" s="3291"/>
      <c r="D2" s="3291"/>
      <c r="E2" s="3291"/>
      <c r="F2" s="3291"/>
      <c r="G2" s="3291"/>
      <c r="H2" s="3291"/>
      <c r="I2" s="3291"/>
      <c r="J2" s="3291"/>
      <c r="K2" s="3291"/>
      <c r="L2" s="3291"/>
      <c r="M2" s="3291"/>
    </row>
    <row r="3" spans="1:13" ht="27" customHeight="1">
      <c r="A3" s="2892"/>
      <c r="B3" s="2892">
        <v>2012</v>
      </c>
      <c r="C3" s="2892">
        <v>2013</v>
      </c>
      <c r="D3" s="2892">
        <v>2014</v>
      </c>
      <c r="E3" s="2892">
        <v>2015</v>
      </c>
      <c r="F3" s="2892">
        <v>2016</v>
      </c>
      <c r="G3" s="2892">
        <v>2017</v>
      </c>
      <c r="H3" s="2892" t="s">
        <v>3575</v>
      </c>
      <c r="I3" s="2892"/>
      <c r="J3" s="2892"/>
      <c r="K3" s="2892"/>
      <c r="L3" s="2892"/>
      <c r="M3" s="2892"/>
    </row>
    <row r="4" spans="1:13" ht="21" customHeight="1">
      <c r="A4" s="2893" t="s">
        <v>3143</v>
      </c>
      <c r="B4" s="2894">
        <f>SUM(B12:B17)</f>
        <v>232905410.21223396</v>
      </c>
      <c r="C4" s="2894">
        <f t="shared" ref="C4:G4" si="0">SUM(C12:C17)</f>
        <v>235331660.21915194</v>
      </c>
      <c r="D4" s="2894">
        <f t="shared" si="0"/>
        <v>237673002.81184661</v>
      </c>
      <c r="E4" s="2894">
        <f t="shared" si="0"/>
        <v>239980599.54420274</v>
      </c>
      <c r="F4" s="2894">
        <f t="shared" si="0"/>
        <v>242236439.19084236</v>
      </c>
      <c r="G4" s="2894">
        <f t="shared" si="0"/>
        <v>1356135633.6600709</v>
      </c>
      <c r="H4" s="2895">
        <f>(G4/B4)^(1/5)-1</f>
        <v>0.42240971589239074</v>
      </c>
      <c r="I4" s="2896"/>
      <c r="J4" s="2896"/>
      <c r="K4" s="2896"/>
      <c r="L4" s="2896"/>
      <c r="M4" s="2897"/>
    </row>
    <row r="5" spans="1:13" s="2902" customFormat="1" ht="15.75">
      <c r="A5" s="2898"/>
      <c r="B5" s="2899"/>
      <c r="C5" s="2899"/>
      <c r="D5" s="2899"/>
      <c r="E5" s="2899"/>
      <c r="F5" s="2899"/>
      <c r="G5" s="2899"/>
      <c r="H5" s="2900"/>
      <c r="I5" s="2901"/>
      <c r="J5" s="2901"/>
      <c r="K5" s="2901"/>
      <c r="L5" s="2901"/>
    </row>
    <row r="6" spans="1:13" s="2902" customFormat="1" ht="15.75">
      <c r="A6" s="2898" t="s">
        <v>3146</v>
      </c>
      <c r="B6" s="2899"/>
      <c r="C6" s="2899"/>
      <c r="D6" s="2899"/>
      <c r="E6" s="2899"/>
      <c r="F6" s="2899"/>
      <c r="G6" s="2899"/>
      <c r="H6" s="2900"/>
      <c r="I6" s="2901"/>
      <c r="J6" s="2901"/>
      <c r="K6" s="2901"/>
      <c r="L6" s="2901"/>
    </row>
    <row r="7" spans="1:13" s="2902" customFormat="1" ht="15.75">
      <c r="A7" s="2903" t="s">
        <v>3576</v>
      </c>
      <c r="B7" s="2904">
        <f>SUM(B8:B9)</f>
        <v>232905410.21223396</v>
      </c>
      <c r="C7" s="2904">
        <f t="shared" ref="C7:G7" si="1">SUM(C8:C9)</f>
        <v>235331660.21915191</v>
      </c>
      <c r="D7" s="2904">
        <f t="shared" si="1"/>
        <v>237673002.81184661</v>
      </c>
      <c r="E7" s="2904">
        <f t="shared" si="1"/>
        <v>239980599.54420274</v>
      </c>
      <c r="F7" s="2904">
        <f t="shared" si="1"/>
        <v>242236439.19084236</v>
      </c>
      <c r="G7" s="2904">
        <f t="shared" si="1"/>
        <v>1356135633.6600709</v>
      </c>
      <c r="H7" s="2905">
        <f>IFERROR((G7/B7)^(1/5)-1,"N/A")</f>
        <v>0.42240971589239074</v>
      </c>
      <c r="I7" s="2906"/>
      <c r="J7" s="2906"/>
      <c r="K7" s="2906"/>
      <c r="L7" s="2906"/>
      <c r="M7" s="2907"/>
    </row>
    <row r="8" spans="1:13" s="2902" customFormat="1" ht="15.75">
      <c r="A8" s="2903" t="s">
        <v>2942</v>
      </c>
      <c r="B8" s="2904">
        <v>208368136.26388299</v>
      </c>
      <c r="C8" s="2904">
        <v>210639512.61911684</v>
      </c>
      <c r="D8" s="2904">
        <v>212834126.00679642</v>
      </c>
      <c r="E8" s="2904">
        <v>215003104.73432586</v>
      </c>
      <c r="F8" s="2904">
        <v>217123634.39947557</v>
      </c>
      <c r="G8" s="2904">
        <v>1279148558.2186012</v>
      </c>
      <c r="H8" s="2905">
        <f t="shared" ref="H8:H9" si="2">IFERROR((G8/B8)^(1/5)-1,"N/A")</f>
        <v>0.43753337254093694</v>
      </c>
      <c r="I8" s="2906"/>
      <c r="J8" s="2906"/>
      <c r="K8" s="2906"/>
      <c r="L8" s="2906"/>
      <c r="M8" s="2907"/>
    </row>
    <row r="9" spans="1:13" s="2902" customFormat="1" ht="15.75">
      <c r="A9" s="2903" t="s">
        <v>3577</v>
      </c>
      <c r="B9" s="2904">
        <f>SUM(B13:B17)</f>
        <v>24537273.948350966</v>
      </c>
      <c r="C9" s="2904">
        <f t="shared" ref="C9:G9" si="3">SUM(C13:C17)</f>
        <v>24692147.600035086</v>
      </c>
      <c r="D9" s="2904">
        <f t="shared" si="3"/>
        <v>24838876.805050205</v>
      </c>
      <c r="E9" s="2904">
        <f t="shared" si="3"/>
        <v>24977494.809876874</v>
      </c>
      <c r="F9" s="2904">
        <f t="shared" si="3"/>
        <v>25112804.791366797</v>
      </c>
      <c r="G9" s="2904">
        <f t="shared" si="3"/>
        <v>76987075.441469759</v>
      </c>
      <c r="H9" s="2905">
        <f t="shared" si="2"/>
        <v>0.2569508676590051</v>
      </c>
      <c r="I9" s="2906"/>
      <c r="J9" s="2906"/>
      <c r="K9" s="2906"/>
      <c r="L9" s="2906"/>
      <c r="M9" s="2907"/>
    </row>
    <row r="10" spans="1:13" s="2902" customFormat="1" ht="15.75">
      <c r="A10" s="2908"/>
      <c r="B10" s="2899"/>
      <c r="C10" s="2899"/>
      <c r="D10" s="2899"/>
      <c r="E10" s="2899"/>
      <c r="F10" s="2899"/>
      <c r="G10" s="2899"/>
      <c r="H10" s="2900"/>
      <c r="I10" s="2906"/>
      <c r="J10" s="2906"/>
      <c r="K10" s="2906"/>
      <c r="L10" s="2906"/>
      <c r="M10" s="2907"/>
    </row>
    <row r="11" spans="1:13" s="2902" customFormat="1" ht="15.75">
      <c r="A11" s="2909" t="s">
        <v>3152</v>
      </c>
      <c r="B11" s="2899"/>
      <c r="C11" s="2899"/>
      <c r="D11" s="2899"/>
      <c r="E11" s="2899"/>
      <c r="F11" s="2899"/>
      <c r="G11" s="2899"/>
      <c r="H11" s="2900"/>
      <c r="I11" s="2906"/>
      <c r="J11" s="2906"/>
      <c r="K11" s="2906"/>
      <c r="L11" s="2906"/>
      <c r="M11" s="2907"/>
    </row>
    <row r="12" spans="1:13" s="2902" customFormat="1" ht="15.75">
      <c r="A12" s="2910" t="s">
        <v>2942</v>
      </c>
      <c r="B12" s="2904">
        <v>208368136.26388299</v>
      </c>
      <c r="C12" s="2904">
        <v>210639512.61911684</v>
      </c>
      <c r="D12" s="2904">
        <v>212834126.00679642</v>
      </c>
      <c r="E12" s="2904">
        <v>215003104.73432586</v>
      </c>
      <c r="F12" s="2904">
        <v>217123634.39947557</v>
      </c>
      <c r="G12" s="2904">
        <v>1279148558.2186012</v>
      </c>
      <c r="H12" s="2905">
        <f t="shared" ref="H12:H17" si="4">IFERROR((G12/B12)^(1/5)-1,"N/A")</f>
        <v>0.43753337254093694</v>
      </c>
      <c r="I12" s="2901"/>
      <c r="J12" s="2901"/>
      <c r="K12" s="2901"/>
      <c r="L12" s="2901"/>
    </row>
    <row r="13" spans="1:13" s="2902" customFormat="1" ht="15.75">
      <c r="A13" s="2910" t="s">
        <v>3154</v>
      </c>
      <c r="B13" s="2904">
        <v>3774010.9893813543</v>
      </c>
      <c r="C13" s="2904">
        <v>3805007.9355039326</v>
      </c>
      <c r="D13" s="2904">
        <v>3833350.1166410241</v>
      </c>
      <c r="E13" s="2904">
        <v>3860664.5097331954</v>
      </c>
      <c r="F13" s="2904">
        <v>3885995.5693683382</v>
      </c>
      <c r="G13" s="2904">
        <v>11808641.583263803</v>
      </c>
      <c r="H13" s="2905">
        <f t="shared" si="4"/>
        <v>0.2562594917769323</v>
      </c>
      <c r="I13" s="2901"/>
      <c r="J13" s="2901"/>
      <c r="K13" s="2901"/>
      <c r="L13" s="2901"/>
    </row>
    <row r="14" spans="1:13" s="2902" customFormat="1" ht="15.75">
      <c r="A14" s="2903" t="s">
        <v>3155</v>
      </c>
      <c r="B14" s="2904">
        <v>10047764.247715758</v>
      </c>
      <c r="C14" s="2904">
        <v>10058873.829063671</v>
      </c>
      <c r="D14" s="2904">
        <v>10062734.863892782</v>
      </c>
      <c r="E14" s="2904">
        <v>10060803.045590483</v>
      </c>
      <c r="F14" s="2904">
        <v>10060385.460624127</v>
      </c>
      <c r="G14" s="2904">
        <v>19343760.514517795</v>
      </c>
      <c r="H14" s="2905">
        <f t="shared" si="4"/>
        <v>0.1399722879791343</v>
      </c>
      <c r="I14" s="2906"/>
      <c r="J14" s="2906"/>
      <c r="K14" s="2906"/>
      <c r="L14" s="2906"/>
      <c r="M14" s="2907"/>
    </row>
    <row r="15" spans="1:13" s="2902" customFormat="1" ht="15.75">
      <c r="A15" s="2903" t="s">
        <v>3156</v>
      </c>
      <c r="B15" s="2904">
        <v>3439812.7887605829</v>
      </c>
      <c r="C15" s="2904">
        <v>3473306.5742644733</v>
      </c>
      <c r="D15" s="2904">
        <v>3505442.2503070678</v>
      </c>
      <c r="E15" s="2904">
        <v>3535421.3384945197</v>
      </c>
      <c r="F15" s="2904">
        <v>3564549.466140172</v>
      </c>
      <c r="G15" s="2904">
        <v>21318160.875220589</v>
      </c>
      <c r="H15" s="2905">
        <f t="shared" si="4"/>
        <v>0.44026691914941463</v>
      </c>
      <c r="I15" s="2906"/>
      <c r="J15" s="2906"/>
      <c r="K15" s="2906"/>
      <c r="L15" s="2906"/>
      <c r="M15" s="2907"/>
    </row>
    <row r="16" spans="1:13" s="2902" customFormat="1" ht="15.75">
      <c r="A16" s="2903" t="s">
        <v>3157</v>
      </c>
      <c r="B16" s="2904">
        <v>4474703.5554127358</v>
      </c>
      <c r="C16" s="2904">
        <v>4529437.2877593972</v>
      </c>
      <c r="D16" s="2904">
        <v>4587569.3843532167</v>
      </c>
      <c r="E16" s="2904">
        <v>4646890.4844623972</v>
      </c>
      <c r="F16" s="2904">
        <v>4704608.9736526962</v>
      </c>
      <c r="G16" s="2904">
        <v>10437464.332607035</v>
      </c>
      <c r="H16" s="2905">
        <f t="shared" si="4"/>
        <v>0.18458477649527216</v>
      </c>
      <c r="I16" s="2906"/>
      <c r="J16" s="2906"/>
      <c r="K16" s="2906"/>
      <c r="L16" s="2906"/>
      <c r="M16" s="2907"/>
    </row>
    <row r="17" spans="1:13" s="2902" customFormat="1" ht="15.75">
      <c r="A17" s="2903" t="s">
        <v>3578</v>
      </c>
      <c r="B17" s="2904">
        <v>2800982.3670805376</v>
      </c>
      <c r="C17" s="2904">
        <v>2825521.9734436139</v>
      </c>
      <c r="D17" s="2904">
        <v>2849780.1898561148</v>
      </c>
      <c r="E17" s="2904">
        <v>2873715.4315962773</v>
      </c>
      <c r="F17" s="2904">
        <v>2897265.3215814633</v>
      </c>
      <c r="G17" s="2904">
        <v>14079048.135860527</v>
      </c>
      <c r="H17" s="2905">
        <f t="shared" si="4"/>
        <v>0.38118732361278718</v>
      </c>
      <c r="I17" s="2906"/>
      <c r="J17" s="2906"/>
      <c r="K17" s="2906"/>
      <c r="L17" s="2906"/>
      <c r="M17" s="2907"/>
    </row>
    <row r="18" spans="1:13" s="2902" customFormat="1" ht="15.75">
      <c r="A18" s="2908"/>
      <c r="B18" s="2899"/>
      <c r="C18" s="2899"/>
      <c r="D18" s="2899"/>
      <c r="E18" s="2899"/>
      <c r="F18" s="2899"/>
      <c r="G18" s="2899"/>
      <c r="H18" s="2900"/>
      <c r="I18" s="2906"/>
      <c r="J18" s="2906"/>
      <c r="K18" s="2906"/>
      <c r="L18" s="2906"/>
      <c r="M18" s="2907"/>
    </row>
    <row r="19" spans="1:13" s="2902" customFormat="1" ht="15.75">
      <c r="A19" s="2898" t="s">
        <v>3159</v>
      </c>
      <c r="B19" s="2899"/>
      <c r="C19" s="2899"/>
      <c r="D19" s="2899"/>
      <c r="E19" s="2899"/>
      <c r="F19" s="2899"/>
      <c r="G19" s="2899"/>
      <c r="H19" s="2900"/>
      <c r="I19" s="2906"/>
      <c r="J19" s="2906"/>
      <c r="K19" s="2906"/>
      <c r="L19" s="2906"/>
      <c r="M19" s="2907"/>
    </row>
    <row r="20" spans="1:13" s="2902" customFormat="1" ht="15.75">
      <c r="A20" s="2911" t="s">
        <v>3579</v>
      </c>
      <c r="B20" s="2904">
        <v>42506332.149978332</v>
      </c>
      <c r="C20" s="2904">
        <v>42860885.884096079</v>
      </c>
      <c r="D20" s="2904">
        <v>43198550.986755371</v>
      </c>
      <c r="E20" s="2904">
        <v>43525379.477315038</v>
      </c>
      <c r="F20" s="2904">
        <v>43844637.848091029</v>
      </c>
      <c r="G20" s="2904">
        <v>40488404.845206983</v>
      </c>
      <c r="H20" s="2912">
        <f t="shared" ref="H20:H23" si="5">IFERROR((G20/B20)^(1/5)-1,"N/A")</f>
        <v>-9.6803257758197869E-3</v>
      </c>
      <c r="I20" s="2906"/>
      <c r="J20" s="2906"/>
      <c r="K20" s="2906"/>
      <c r="L20" s="2906"/>
      <c r="M20" s="2907"/>
    </row>
    <row r="21" spans="1:13" s="2902" customFormat="1" ht="15.75">
      <c r="A21" s="2903" t="s">
        <v>3580</v>
      </c>
      <c r="B21" s="2904">
        <v>193690764.94145235</v>
      </c>
      <c r="C21" s="2904">
        <v>195794512.68363431</v>
      </c>
      <c r="D21" s="2904">
        <v>197828942.01677269</v>
      </c>
      <c r="E21" s="2904">
        <v>199838398.38123649</v>
      </c>
      <c r="F21" s="2904">
        <v>201802853.46345964</v>
      </c>
      <c r="G21" s="2904">
        <v>27569557.565666258</v>
      </c>
      <c r="H21" s="2912">
        <f t="shared" si="5"/>
        <v>-0.32288228445796641</v>
      </c>
      <c r="I21" s="2906"/>
      <c r="J21" s="2906"/>
      <c r="K21" s="2906"/>
      <c r="L21" s="2906"/>
      <c r="M21" s="2907"/>
    </row>
    <row r="22" spans="1:13" s="2902" customFormat="1" ht="15.75">
      <c r="A22" s="2903" t="s">
        <v>3581</v>
      </c>
      <c r="B22" s="2913"/>
      <c r="C22" s="2904"/>
      <c r="D22" s="2904"/>
      <c r="E22" s="2904"/>
      <c r="F22" s="2904"/>
      <c r="G22" s="2904">
        <v>581791360.85168779</v>
      </c>
      <c r="H22" s="2912" t="str">
        <f t="shared" si="5"/>
        <v>N/A</v>
      </c>
      <c r="I22" s="2906"/>
      <c r="J22" s="2906"/>
      <c r="K22" s="2906"/>
      <c r="L22" s="2906"/>
      <c r="M22" s="2907"/>
    </row>
    <row r="23" spans="1:13" s="2902" customFormat="1" ht="15.75">
      <c r="A23" s="2903" t="s">
        <v>3582</v>
      </c>
      <c r="B23" s="2913"/>
      <c r="C23" s="2904"/>
      <c r="D23" s="2904"/>
      <c r="E23" s="2904"/>
      <c r="F23" s="2904"/>
      <c r="G23" s="2904">
        <v>706286310.39751017</v>
      </c>
      <c r="H23" s="2912" t="str">
        <f t="shared" si="5"/>
        <v>N/A</v>
      </c>
      <c r="I23" s="2901"/>
      <c r="J23" s="2901"/>
      <c r="K23" s="2901"/>
      <c r="L23" s="2901"/>
    </row>
    <row r="24" spans="1:13" s="2902" customFormat="1" ht="15.75">
      <c r="A24" s="2914"/>
      <c r="B24" s="2906"/>
      <c r="C24" s="2906"/>
      <c r="D24" s="2906"/>
      <c r="E24" s="2906"/>
      <c r="F24" s="2906"/>
      <c r="G24" s="2906"/>
      <c r="H24" s="2906"/>
      <c r="I24" s="2906"/>
      <c r="J24" s="2906"/>
      <c r="K24" s="2906"/>
      <c r="L24" s="2906"/>
      <c r="M24" s="2907"/>
    </row>
    <row r="25" spans="1:13" s="2902" customFormat="1" ht="15.75">
      <c r="A25" s="2914"/>
      <c r="B25" s="2906"/>
      <c r="C25" s="2906"/>
      <c r="D25" s="2906"/>
      <c r="E25" s="2906"/>
      <c r="F25" s="2906"/>
      <c r="G25" s="2906"/>
      <c r="H25" s="2906"/>
      <c r="I25" s="2906"/>
      <c r="J25" s="2906"/>
      <c r="K25" s="2906"/>
      <c r="L25" s="2906"/>
      <c r="M25" s="2907"/>
    </row>
    <row r="26" spans="1:13" s="2902" customFormat="1" ht="15.75">
      <c r="A26" s="2914"/>
      <c r="B26" s="2906"/>
      <c r="C26" s="2915"/>
      <c r="D26" s="2906"/>
      <c r="E26" s="2906"/>
      <c r="F26" s="2906"/>
      <c r="G26" s="2906"/>
      <c r="H26" s="2906"/>
      <c r="I26" s="2906"/>
      <c r="J26" s="2906"/>
      <c r="K26" s="2906"/>
      <c r="L26" s="2906"/>
      <c r="M26" s="2907"/>
    </row>
    <row r="27" spans="1:13" s="2902" customFormat="1" ht="15.75">
      <c r="A27" s="2916" t="s">
        <v>3583</v>
      </c>
      <c r="B27" s="2917">
        <v>481749742</v>
      </c>
      <c r="C27" s="2917">
        <v>485214318</v>
      </c>
      <c r="D27" s="2917">
        <v>488513218</v>
      </c>
      <c r="E27" s="2917">
        <v>491730800</v>
      </c>
      <c r="F27" s="2917">
        <v>494905559</v>
      </c>
      <c r="G27" s="2917">
        <v>497994993</v>
      </c>
      <c r="H27" s="2906"/>
      <c r="I27" s="2906"/>
      <c r="J27" s="2906"/>
      <c r="K27" s="2906"/>
      <c r="L27" s="2906"/>
      <c r="M27" s="2907"/>
    </row>
    <row r="28" spans="1:13" s="2902" customFormat="1" ht="15.75">
      <c r="A28" s="2918" t="s">
        <v>3584</v>
      </c>
      <c r="B28" s="2919">
        <v>59250466</v>
      </c>
      <c r="C28" s="2919">
        <v>59789856</v>
      </c>
      <c r="D28" s="2919">
        <v>60309420</v>
      </c>
      <c r="E28" s="2919">
        <v>60815920</v>
      </c>
      <c r="F28" s="2919">
        <v>61309665</v>
      </c>
      <c r="G28" s="2919">
        <v>61789744</v>
      </c>
      <c r="H28" s="2901"/>
      <c r="I28" s="2901"/>
      <c r="J28" s="2901"/>
      <c r="K28" s="2901"/>
      <c r="L28" s="2901"/>
    </row>
    <row r="29" spans="1:13" s="2902" customFormat="1" ht="15.75">
      <c r="A29" s="2920"/>
      <c r="B29" s="2906"/>
      <c r="C29" s="2921"/>
      <c r="E29" s="2906"/>
      <c r="F29" s="2906"/>
      <c r="G29" s="2906"/>
      <c r="H29" s="2906"/>
      <c r="I29" s="2906"/>
      <c r="J29" s="2906"/>
      <c r="K29" s="2906"/>
      <c r="L29" s="2906"/>
    </row>
    <row r="30" spans="1:13" s="2902" customFormat="1" ht="15.75">
      <c r="A30" s="2920"/>
      <c r="B30" s="2906"/>
      <c r="C30" s="2921"/>
      <c r="E30" s="2906"/>
      <c r="F30" s="2906"/>
      <c r="G30" s="2906"/>
      <c r="H30" s="2906"/>
      <c r="I30" s="2906"/>
      <c r="J30" s="2906"/>
      <c r="K30" s="2906"/>
      <c r="L30" s="2906"/>
    </row>
    <row r="31" spans="1:13" s="2902" customFormat="1" ht="15.75">
      <c r="A31" s="2918"/>
      <c r="B31" s="2901"/>
      <c r="C31" s="2921"/>
      <c r="E31" s="2901"/>
      <c r="F31" s="2901"/>
      <c r="G31" s="2901"/>
      <c r="H31" s="2901"/>
      <c r="I31" s="2901"/>
      <c r="J31" s="2901"/>
      <c r="K31" s="2901"/>
      <c r="L31" s="2901"/>
    </row>
    <row r="32" spans="1:13" s="2902" customFormat="1" ht="15.75">
      <c r="A32" s="2920"/>
      <c r="B32" s="2906"/>
      <c r="C32" s="2921"/>
      <c r="E32" s="2906"/>
      <c r="F32" s="2906"/>
      <c r="G32" s="2906"/>
      <c r="H32" s="2906"/>
      <c r="I32" s="2906"/>
      <c r="J32" s="2906"/>
      <c r="K32" s="2906"/>
      <c r="L32" s="2906"/>
    </row>
    <row r="33" spans="1:42" s="2902" customFormat="1" ht="15.75">
      <c r="A33" s="2920"/>
      <c r="B33" s="2906"/>
      <c r="C33" s="2906"/>
      <c r="D33" s="2906"/>
      <c r="E33" s="2906"/>
      <c r="F33" s="2906"/>
      <c r="G33" s="2906"/>
      <c r="H33" s="2906"/>
      <c r="I33" s="2906"/>
      <c r="J33" s="2906"/>
      <c r="K33" s="2906"/>
      <c r="L33" s="2906"/>
    </row>
    <row r="34" spans="1:42" s="2902" customFormat="1" ht="15.75">
      <c r="A34" s="2920"/>
      <c r="B34" s="2906"/>
      <c r="C34" s="2906"/>
      <c r="D34" s="2906"/>
      <c r="E34" s="2906"/>
      <c r="F34" s="2906"/>
      <c r="G34" s="2906"/>
      <c r="H34" s="2906"/>
      <c r="I34" s="2906"/>
      <c r="J34" s="2906"/>
      <c r="K34" s="2906"/>
      <c r="L34" s="2906"/>
    </row>
    <row r="35" spans="1:42" s="2902" customFormat="1" ht="15.75">
      <c r="A35" s="2918"/>
      <c r="B35" s="2906"/>
      <c r="C35" s="2899"/>
      <c r="D35" s="2901"/>
      <c r="E35" s="2901"/>
      <c r="F35" s="2901"/>
      <c r="G35" s="2901"/>
      <c r="H35" s="2901"/>
      <c r="I35" s="2901"/>
      <c r="J35" s="2901"/>
      <c r="K35" s="2901"/>
      <c r="L35" s="2901"/>
    </row>
    <row r="36" spans="1:42" s="2902" customFormat="1" ht="15.75">
      <c r="A36" s="2920"/>
      <c r="B36" s="2901"/>
      <c r="C36" s="2921"/>
      <c r="D36" s="2906"/>
      <c r="E36" s="2906"/>
      <c r="F36" s="2906"/>
      <c r="G36" s="2906"/>
      <c r="H36" s="2906"/>
      <c r="I36" s="2906"/>
      <c r="J36" s="2906"/>
      <c r="K36" s="2906"/>
      <c r="L36" s="2906"/>
    </row>
    <row r="37" spans="1:42" s="2902" customFormat="1" ht="15.75">
      <c r="A37" s="2918"/>
      <c r="B37" s="2906"/>
      <c r="C37" s="2899"/>
      <c r="D37" s="2901"/>
      <c r="E37" s="2901"/>
      <c r="F37" s="2901"/>
      <c r="G37" s="2901"/>
      <c r="H37" s="2901"/>
      <c r="I37" s="2901"/>
      <c r="J37" s="2901"/>
      <c r="K37" s="2901"/>
      <c r="L37" s="2901"/>
    </row>
    <row r="38" spans="1:42" s="2902" customFormat="1" ht="15.75">
      <c r="A38" s="2920"/>
      <c r="B38" s="2906"/>
      <c r="C38" s="2899"/>
      <c r="D38" s="2906"/>
      <c r="E38" s="2906"/>
      <c r="F38" s="2906"/>
      <c r="G38" s="2906"/>
      <c r="H38" s="2906"/>
      <c r="I38" s="2906"/>
      <c r="J38" s="2906"/>
      <c r="K38" s="2906"/>
      <c r="L38" s="2906"/>
    </row>
    <row r="39" spans="1:42" s="2902" customFormat="1" ht="15.75">
      <c r="A39" s="2918"/>
      <c r="B39" s="2901"/>
      <c r="C39" s="2921"/>
      <c r="D39" s="2901"/>
      <c r="E39" s="2901"/>
      <c r="F39" s="2901"/>
      <c r="G39" s="2901"/>
      <c r="H39" s="2901"/>
      <c r="I39" s="2901"/>
      <c r="J39" s="2901"/>
      <c r="K39" s="2901"/>
      <c r="L39" s="2901"/>
    </row>
    <row r="40" spans="1:42" s="2902" customFormat="1" ht="15.75">
      <c r="A40" s="2922"/>
      <c r="B40" s="2906"/>
      <c r="C40" s="2899"/>
      <c r="D40" s="2923"/>
      <c r="E40" s="2923"/>
      <c r="F40" s="2923"/>
      <c r="G40" s="2923"/>
      <c r="H40" s="2923"/>
      <c r="I40" s="2923"/>
      <c r="J40" s="2923"/>
      <c r="K40" s="2923"/>
      <c r="L40" s="2923"/>
      <c r="M40" s="2924"/>
      <c r="N40" s="2924"/>
      <c r="O40" s="2924"/>
      <c r="P40" s="2924"/>
      <c r="Q40" s="2924"/>
      <c r="R40" s="2924"/>
      <c r="S40" s="2924"/>
      <c r="T40" s="2924"/>
      <c r="U40" s="2924"/>
      <c r="V40" s="2924"/>
      <c r="W40" s="2924"/>
      <c r="X40" s="2924"/>
      <c r="Y40" s="2924"/>
      <c r="Z40" s="2924"/>
      <c r="AA40" s="2924"/>
      <c r="AB40" s="2924"/>
      <c r="AC40" s="2924"/>
      <c r="AD40" s="2924"/>
      <c r="AE40" s="2924"/>
      <c r="AF40" s="2924"/>
      <c r="AG40" s="2924"/>
      <c r="AH40" s="2924"/>
      <c r="AI40" s="2924"/>
      <c r="AJ40" s="2924"/>
      <c r="AK40" s="2924"/>
      <c r="AL40" s="2924"/>
      <c r="AM40" s="2924"/>
      <c r="AN40" s="2924"/>
      <c r="AO40" s="2924"/>
      <c r="AP40" s="2924"/>
    </row>
    <row r="41" spans="1:42" s="2933" customFormat="1" ht="15.75">
      <c r="A41" s="2925"/>
      <c r="B41" s="2926"/>
      <c r="C41" s="2927"/>
      <c r="D41" s="2928"/>
      <c r="E41" s="2929"/>
      <c r="F41" s="2930"/>
      <c r="G41" s="2930"/>
      <c r="H41" s="2929"/>
      <c r="I41" s="2929"/>
      <c r="J41" s="2929"/>
      <c r="K41" s="2929"/>
      <c r="L41" s="2929"/>
      <c r="M41" s="2931"/>
      <c r="N41" s="2931"/>
      <c r="O41" s="2932"/>
      <c r="P41" s="2932"/>
      <c r="Q41" s="2932"/>
      <c r="R41" s="2932"/>
      <c r="S41" s="2932"/>
      <c r="T41" s="2932"/>
      <c r="U41" s="2932"/>
      <c r="V41" s="2932"/>
      <c r="W41" s="2932"/>
      <c r="X41" s="2932"/>
      <c r="Y41" s="2932"/>
      <c r="Z41" s="2932"/>
      <c r="AA41" s="2932"/>
      <c r="AB41" s="2932"/>
      <c r="AC41" s="2932"/>
      <c r="AD41" s="2932"/>
      <c r="AE41" s="2932"/>
      <c r="AF41" s="2932"/>
      <c r="AG41" s="2932"/>
      <c r="AH41" s="2932"/>
      <c r="AI41" s="2932"/>
      <c r="AJ41" s="2932"/>
      <c r="AK41" s="2932"/>
      <c r="AL41" s="2932"/>
      <c r="AM41" s="2932"/>
      <c r="AN41" s="2932"/>
      <c r="AO41" s="2932"/>
      <c r="AP41" s="2932"/>
    </row>
    <row r="42" spans="1:42" s="2933" customFormat="1" ht="15.75">
      <c r="A42" s="2922"/>
      <c r="B42" s="2926"/>
      <c r="C42" s="2926"/>
      <c r="D42" s="2926"/>
      <c r="E42" s="2926"/>
      <c r="F42" s="2926"/>
      <c r="G42" s="2926"/>
      <c r="H42" s="2926"/>
      <c r="I42" s="2926"/>
      <c r="J42" s="2926"/>
      <c r="K42" s="2926"/>
      <c r="L42" s="2926"/>
      <c r="M42" s="2931"/>
      <c r="N42" s="2931"/>
      <c r="O42" s="2932"/>
      <c r="P42" s="2932"/>
      <c r="Q42" s="2932"/>
      <c r="R42" s="2932"/>
      <c r="S42" s="2932"/>
      <c r="T42" s="2932"/>
      <c r="U42" s="2932"/>
      <c r="V42" s="2932"/>
      <c r="W42" s="2932"/>
      <c r="X42" s="2932"/>
      <c r="Y42" s="2932"/>
      <c r="Z42" s="2932"/>
      <c r="AA42" s="2932"/>
      <c r="AB42" s="2932"/>
      <c r="AC42" s="2932"/>
      <c r="AD42" s="2932"/>
      <c r="AE42" s="2932"/>
      <c r="AF42" s="2932"/>
      <c r="AG42" s="2932"/>
      <c r="AH42" s="2932"/>
      <c r="AI42" s="2932"/>
      <c r="AJ42" s="2932"/>
      <c r="AK42" s="2932"/>
      <c r="AL42" s="2932"/>
      <c r="AM42" s="2932"/>
      <c r="AN42" s="2932"/>
      <c r="AO42" s="2932"/>
      <c r="AP42" s="2932"/>
    </row>
    <row r="43" spans="1:42" s="2902" customFormat="1">
      <c r="A43" s="2934"/>
      <c r="B43" s="2935"/>
      <c r="C43" s="2924"/>
      <c r="D43" s="2924"/>
      <c r="E43" s="2924"/>
      <c r="F43" s="2924"/>
      <c r="G43" s="2924"/>
      <c r="H43" s="2924"/>
      <c r="I43" s="2924"/>
      <c r="J43" s="2924"/>
      <c r="K43" s="2924"/>
      <c r="L43" s="2924"/>
      <c r="M43" s="2924"/>
      <c r="N43" s="2924"/>
      <c r="O43" s="2924"/>
      <c r="P43" s="2924"/>
      <c r="Q43" s="2924"/>
      <c r="R43" s="2924"/>
      <c r="S43" s="2924"/>
      <c r="T43" s="2924"/>
      <c r="U43" s="2924"/>
      <c r="V43" s="2924"/>
      <c r="W43" s="2924"/>
      <c r="X43" s="2924"/>
      <c r="Y43" s="2924"/>
      <c r="Z43" s="2924"/>
      <c r="AA43" s="2924"/>
      <c r="AB43" s="2924"/>
      <c r="AC43" s="2924"/>
      <c r="AD43" s="2924"/>
      <c r="AE43" s="2924"/>
      <c r="AF43" s="2924"/>
      <c r="AG43" s="2924"/>
      <c r="AH43" s="2924"/>
      <c r="AI43" s="2924"/>
      <c r="AJ43" s="2924"/>
      <c r="AK43" s="2924"/>
      <c r="AL43" s="2924"/>
      <c r="AM43" s="2924"/>
      <c r="AN43" s="2924"/>
      <c r="AO43" s="2924"/>
      <c r="AP43" s="2924"/>
    </row>
    <row r="44" spans="1:42" s="2902" customFormat="1" ht="15.75">
      <c r="A44" s="2898"/>
      <c r="B44" s="2936"/>
      <c r="C44" s="2936"/>
      <c r="D44" s="2936"/>
      <c r="E44" s="2936"/>
      <c r="F44" s="2936"/>
      <c r="G44" s="2936"/>
      <c r="H44" s="2936"/>
      <c r="I44" s="2936"/>
      <c r="J44" s="2936"/>
      <c r="K44" s="2936"/>
      <c r="L44" s="2936"/>
      <c r="M44" s="2907"/>
      <c r="N44" s="2924"/>
      <c r="O44" s="2924"/>
      <c r="P44" s="2924"/>
      <c r="Q44" s="2924"/>
      <c r="R44" s="2924"/>
      <c r="S44" s="2924"/>
      <c r="T44" s="2924"/>
      <c r="U44" s="2924"/>
      <c r="V44" s="2924"/>
      <c r="W44" s="2924"/>
      <c r="X44" s="2924"/>
      <c r="Y44" s="2924"/>
      <c r="Z44" s="2924"/>
      <c r="AA44" s="2924"/>
      <c r="AB44" s="2924"/>
      <c r="AC44" s="2924"/>
      <c r="AD44" s="2924"/>
      <c r="AE44" s="2924"/>
      <c r="AF44" s="2924"/>
      <c r="AG44" s="2924"/>
      <c r="AH44" s="2924"/>
      <c r="AI44" s="2924"/>
      <c r="AJ44" s="2924"/>
      <c r="AK44" s="2924"/>
      <c r="AL44" s="2924"/>
      <c r="AM44" s="2924"/>
      <c r="AN44" s="2924"/>
      <c r="AO44" s="2924"/>
      <c r="AP44" s="2924"/>
    </row>
    <row r="45" spans="1:42" s="2902" customFormat="1" ht="15.75">
      <c r="A45" s="2908"/>
      <c r="B45" s="2937"/>
      <c r="C45" s="2937"/>
      <c r="D45" s="2937"/>
      <c r="E45" s="2937"/>
      <c r="F45" s="2937"/>
      <c r="G45" s="2937"/>
      <c r="H45" s="2937"/>
      <c r="I45" s="2937"/>
      <c r="J45" s="2937"/>
      <c r="K45" s="2937"/>
      <c r="L45" s="2937"/>
      <c r="M45" s="2907"/>
      <c r="N45" s="2924"/>
      <c r="O45" s="2924"/>
      <c r="P45" s="2924"/>
      <c r="Q45" s="2924"/>
      <c r="R45" s="2924"/>
      <c r="S45" s="2924"/>
      <c r="T45" s="2924"/>
      <c r="U45" s="2924"/>
      <c r="V45" s="2924"/>
      <c r="W45" s="2924"/>
      <c r="X45" s="2924"/>
      <c r="Y45" s="2924"/>
      <c r="Z45" s="2924"/>
      <c r="AA45" s="2924"/>
      <c r="AB45" s="2924"/>
      <c r="AC45" s="2924"/>
      <c r="AD45" s="2924"/>
      <c r="AE45" s="2924"/>
      <c r="AF45" s="2924"/>
      <c r="AG45" s="2924"/>
      <c r="AH45" s="2924"/>
      <c r="AI45" s="2924"/>
      <c r="AJ45" s="2924"/>
      <c r="AK45" s="2924"/>
      <c r="AL45" s="2924"/>
      <c r="AM45" s="2924"/>
      <c r="AN45" s="2924"/>
      <c r="AO45" s="2924"/>
      <c r="AP45" s="2924"/>
    </row>
    <row r="46" spans="1:42" s="2902" customFormat="1">
      <c r="A46" s="2938"/>
    </row>
    <row r="47" spans="1:42" s="2902" customFormat="1" ht="15.75">
      <c r="A47" s="2939"/>
    </row>
    <row r="48" spans="1:42" s="2902" customFormat="1" ht="15.75">
      <c r="A48" s="2940"/>
      <c r="B48" s="2899"/>
      <c r="C48" s="2899"/>
      <c r="D48" s="2899"/>
      <c r="E48" s="2899"/>
      <c r="F48" s="2899"/>
      <c r="G48" s="2899"/>
      <c r="H48" s="2899"/>
      <c r="I48" s="2899"/>
      <c r="J48" s="2899"/>
      <c r="K48" s="2899"/>
      <c r="L48" s="2899"/>
      <c r="M48" s="2907"/>
    </row>
    <row r="49" spans="1:13" s="2902" customFormat="1" ht="15.75">
      <c r="A49" s="2940"/>
      <c r="B49" s="2899"/>
      <c r="C49" s="2899"/>
      <c r="D49" s="2899"/>
      <c r="E49" s="2899"/>
      <c r="F49" s="2899"/>
      <c r="G49" s="2899"/>
      <c r="H49" s="2899"/>
      <c r="I49" s="2899"/>
      <c r="J49" s="2899"/>
      <c r="K49" s="2899"/>
      <c r="L49" s="2899"/>
      <c r="M49" s="2907"/>
    </row>
    <row r="50" spans="1:13" s="2902" customFormat="1" ht="15.75">
      <c r="A50" s="2940"/>
      <c r="B50" s="2899"/>
      <c r="C50" s="2899"/>
      <c r="D50" s="2899"/>
      <c r="E50" s="2899"/>
      <c r="F50" s="2899"/>
      <c r="G50" s="2899"/>
      <c r="H50" s="2899"/>
      <c r="I50" s="2899"/>
      <c r="J50" s="2899"/>
      <c r="K50" s="2899"/>
      <c r="L50" s="2899"/>
      <c r="M50" s="2907"/>
    </row>
    <row r="51" spans="1:13" s="2902" customFormat="1" ht="15.75">
      <c r="A51" s="2941"/>
    </row>
    <row r="52" spans="1:13" s="2902" customFormat="1" ht="15.75">
      <c r="A52" s="2939"/>
    </row>
    <row r="53" spans="1:13" s="2902" customFormat="1" ht="15.75">
      <c r="A53" s="2908"/>
      <c r="B53" s="2899"/>
      <c r="C53" s="2899"/>
      <c r="D53" s="2899"/>
      <c r="E53" s="2899"/>
      <c r="F53" s="2899"/>
      <c r="G53" s="2899"/>
      <c r="H53" s="2899"/>
      <c r="I53" s="2899"/>
      <c r="J53" s="2899"/>
      <c r="K53" s="2899"/>
      <c r="L53" s="2899"/>
      <c r="M53" s="2907"/>
    </row>
    <row r="54" spans="1:13" s="2902" customFormat="1" ht="15.75">
      <c r="A54" s="2908"/>
      <c r="B54" s="2899"/>
      <c r="C54" s="2899"/>
      <c r="D54" s="2899"/>
      <c r="E54" s="2899"/>
      <c r="F54" s="2899"/>
      <c r="G54" s="2899"/>
      <c r="H54" s="2899"/>
      <c r="I54" s="2899"/>
      <c r="J54" s="2899"/>
      <c r="K54" s="2899"/>
      <c r="L54" s="2899"/>
      <c r="M54" s="2907"/>
    </row>
    <row r="55" spans="1:13" s="2902" customFormat="1" ht="15.75">
      <c r="A55" s="2908"/>
      <c r="B55" s="2899"/>
      <c r="C55" s="2899"/>
      <c r="D55" s="2899"/>
      <c r="E55" s="2899"/>
      <c r="F55" s="2899"/>
      <c r="G55" s="2899"/>
      <c r="H55" s="2899"/>
      <c r="I55" s="2899"/>
      <c r="J55" s="2899"/>
      <c r="K55" s="2899"/>
      <c r="L55" s="2899"/>
      <c r="M55" s="2907"/>
    </row>
    <row r="56" spans="1:13">
      <c r="A56" s="2942"/>
    </row>
    <row r="57" spans="1:13" ht="15.75">
      <c r="A57" s="2943"/>
      <c r="B57" s="2944"/>
      <c r="C57" s="2944"/>
      <c r="D57" s="2944"/>
      <c r="E57" s="2944"/>
      <c r="F57" s="2944"/>
      <c r="G57" s="2944"/>
      <c r="H57" s="2944"/>
      <c r="I57" s="2944"/>
      <c r="J57" s="2944"/>
      <c r="K57" s="2944"/>
      <c r="L57" s="2944"/>
    </row>
    <row r="58" spans="1:13">
      <c r="A58" s="2942"/>
    </row>
    <row r="59" spans="1:13" ht="15.75">
      <c r="A59" s="2942"/>
      <c r="C59" s="2945"/>
      <c r="D59" s="2945"/>
      <c r="E59" s="2945"/>
      <c r="F59" s="2945"/>
      <c r="G59" s="2945"/>
      <c r="H59" s="2945"/>
    </row>
    <row r="60" spans="1:13" ht="15.75">
      <c r="A60" s="2942"/>
      <c r="C60" s="2945"/>
      <c r="D60" s="2945"/>
      <c r="E60" s="2945"/>
      <c r="F60" s="2945"/>
      <c r="G60" s="2945"/>
      <c r="H60" s="2945"/>
    </row>
    <row r="61" spans="1:13" ht="15.75">
      <c r="A61" s="2942"/>
      <c r="C61" s="2945"/>
      <c r="D61" s="2945"/>
      <c r="E61" s="2945"/>
      <c r="F61" s="2945"/>
      <c r="G61" s="2945"/>
      <c r="H61" s="2945"/>
    </row>
    <row r="62" spans="1:13" ht="15.75">
      <c r="A62" s="2942"/>
      <c r="C62" s="2945"/>
      <c r="D62" s="2945"/>
      <c r="E62" s="2945"/>
      <c r="F62" s="2945"/>
      <c r="G62" s="2945"/>
      <c r="H62" s="2945"/>
    </row>
    <row r="63" spans="1:13" ht="15.75">
      <c r="A63" s="2942"/>
      <c r="C63" s="2945"/>
      <c r="D63" s="2945"/>
      <c r="E63" s="2945"/>
      <c r="F63" s="2945"/>
      <c r="G63" s="2945"/>
      <c r="H63" s="2945"/>
    </row>
    <row r="64" spans="1:13" ht="15.75">
      <c r="A64" s="2942"/>
      <c r="C64" s="2945"/>
      <c r="D64" s="2945"/>
      <c r="E64" s="2945"/>
      <c r="F64" s="2945"/>
      <c r="G64" s="2945"/>
      <c r="H64" s="2945"/>
    </row>
    <row r="65" spans="1:8" ht="15.75">
      <c r="A65" s="2942"/>
      <c r="C65" s="2945"/>
      <c r="D65" s="2945"/>
      <c r="E65" s="2945"/>
      <c r="F65" s="2945"/>
      <c r="G65" s="2945"/>
      <c r="H65" s="2945"/>
    </row>
    <row r="66" spans="1:8" ht="15.75">
      <c r="A66" s="2942"/>
      <c r="C66" s="2945"/>
      <c r="D66" s="2945"/>
      <c r="E66" s="2945"/>
      <c r="F66" s="2945"/>
      <c r="G66" s="2945"/>
      <c r="H66" s="2945"/>
    </row>
    <row r="67" spans="1:8" ht="15.75">
      <c r="A67" s="2942"/>
      <c r="C67" s="2945"/>
      <c r="D67" s="2945"/>
      <c r="E67" s="2945"/>
      <c r="F67" s="2945"/>
      <c r="G67" s="2945"/>
      <c r="H67" s="2945"/>
    </row>
    <row r="68" spans="1:8" ht="15.75">
      <c r="A68" s="2942"/>
      <c r="C68" s="2945"/>
      <c r="D68" s="2945"/>
      <c r="E68" s="2945"/>
      <c r="F68" s="2945"/>
      <c r="G68" s="2945"/>
      <c r="H68" s="2945"/>
    </row>
    <row r="69" spans="1:8" ht="15.75">
      <c r="A69" s="2942"/>
      <c r="C69" s="2945"/>
      <c r="D69" s="2945"/>
      <c r="E69" s="2945"/>
      <c r="F69" s="2945"/>
      <c r="G69" s="2945"/>
      <c r="H69" s="2945"/>
    </row>
    <row r="70" spans="1:8" ht="15.75">
      <c r="A70" s="2942"/>
      <c r="C70" s="2945"/>
      <c r="D70" s="2945"/>
      <c r="E70" s="2945"/>
      <c r="F70" s="2945"/>
      <c r="G70" s="2945"/>
      <c r="H70" s="2945"/>
    </row>
    <row r="71" spans="1:8" ht="15.75">
      <c r="A71" s="2942"/>
      <c r="C71" s="2945"/>
      <c r="D71" s="2945"/>
      <c r="E71" s="2945"/>
      <c r="F71" s="2945"/>
      <c r="G71" s="2945"/>
      <c r="H71" s="2945"/>
    </row>
    <row r="72" spans="1:8" ht="15.75">
      <c r="A72" s="2942"/>
      <c r="C72" s="2945"/>
      <c r="D72" s="2945"/>
      <c r="E72" s="2945"/>
      <c r="F72" s="2945"/>
      <c r="G72" s="2945"/>
      <c r="H72" s="2945"/>
    </row>
    <row r="73" spans="1:8" ht="15.75">
      <c r="A73" s="2942"/>
      <c r="C73" s="2945"/>
      <c r="D73" s="2945"/>
      <c r="E73" s="2945"/>
      <c r="F73" s="2945"/>
      <c r="G73" s="2945"/>
      <c r="H73" s="2945"/>
    </row>
    <row r="74" spans="1:8" ht="15.75">
      <c r="A74" s="2942"/>
      <c r="C74" s="2945"/>
      <c r="D74" s="2945"/>
      <c r="E74" s="2945"/>
      <c r="F74" s="2945"/>
      <c r="G74" s="2945"/>
      <c r="H74" s="2945"/>
    </row>
    <row r="75" spans="1:8" ht="15.75">
      <c r="A75" s="2942"/>
      <c r="C75" s="2945"/>
      <c r="D75" s="2945"/>
      <c r="E75" s="2945"/>
      <c r="F75" s="2945"/>
      <c r="G75" s="2945"/>
      <c r="H75" s="2945"/>
    </row>
    <row r="76" spans="1:8" ht="15.75">
      <c r="A76" s="2942"/>
      <c r="C76" s="2945"/>
      <c r="D76" s="2945"/>
      <c r="E76" s="2945"/>
      <c r="F76" s="2945"/>
      <c r="G76" s="2945"/>
      <c r="H76" s="2945"/>
    </row>
    <row r="77" spans="1:8" ht="15.75">
      <c r="A77" s="2942"/>
      <c r="C77" s="2945"/>
      <c r="D77" s="2945"/>
      <c r="E77" s="2945"/>
      <c r="F77" s="2945"/>
      <c r="G77" s="2945"/>
      <c r="H77" s="2945"/>
    </row>
    <row r="78" spans="1:8" ht="15.75">
      <c r="A78" s="2942"/>
      <c r="C78" s="2945"/>
      <c r="D78" s="2945"/>
      <c r="E78" s="2945"/>
      <c r="F78" s="2945"/>
      <c r="G78" s="2945"/>
      <c r="H78" s="2945"/>
    </row>
    <row r="79" spans="1:8" ht="15.75">
      <c r="A79" s="2942"/>
      <c r="C79" s="2945"/>
      <c r="D79" s="2945"/>
      <c r="E79" s="2945"/>
      <c r="F79" s="2945"/>
      <c r="G79" s="2945"/>
      <c r="H79" s="2945"/>
    </row>
    <row r="80" spans="1:8" ht="15.75">
      <c r="A80" s="2942"/>
      <c r="C80" s="2945"/>
      <c r="D80" s="2945"/>
      <c r="E80" s="2945"/>
      <c r="F80" s="2945"/>
      <c r="G80" s="2945"/>
      <c r="H80" s="2945"/>
    </row>
    <row r="81" spans="1:3" ht="15.75">
      <c r="A81" s="2942"/>
      <c r="B81" s="2946"/>
      <c r="C81" s="2946"/>
    </row>
    <row r="82" spans="1:3" ht="15.75">
      <c r="A82" s="2942"/>
      <c r="B82" s="2946"/>
      <c r="C82" s="2947"/>
    </row>
    <row r="83" spans="1:3" ht="15.75">
      <c r="A83" s="2942"/>
      <c r="B83" s="2946"/>
      <c r="C83" s="2947"/>
    </row>
    <row r="84" spans="1:3" ht="15.75">
      <c r="A84" s="2942"/>
      <c r="B84" s="2946"/>
      <c r="C84" s="2947"/>
    </row>
    <row r="85" spans="1:3" ht="15.75">
      <c r="A85" s="2942"/>
      <c r="B85" s="2946"/>
      <c r="C85" s="2947"/>
    </row>
    <row r="86" spans="1:3" ht="15.75">
      <c r="A86" s="2942"/>
      <c r="B86" s="2946"/>
      <c r="C86" s="2947"/>
    </row>
    <row r="87" spans="1:3" ht="15.75">
      <c r="A87" s="2942"/>
      <c r="B87" s="2946"/>
      <c r="C87" s="2947"/>
    </row>
    <row r="88" spans="1:3" ht="15.75">
      <c r="A88" s="2942"/>
      <c r="B88" s="2946"/>
      <c r="C88" s="2947"/>
    </row>
    <row r="89" spans="1:3" ht="15.75">
      <c r="A89" s="2942"/>
      <c r="B89" s="2946"/>
      <c r="C89" s="2947"/>
    </row>
    <row r="90" spans="1:3" ht="15.75">
      <c r="A90" s="2942"/>
      <c r="B90" s="2946"/>
      <c r="C90" s="2947"/>
    </row>
    <row r="91" spans="1:3" ht="15.75">
      <c r="A91" s="2942"/>
      <c r="B91" s="2946"/>
    </row>
    <row r="92" spans="1:3" ht="15.75">
      <c r="A92" s="2942"/>
      <c r="B92" s="2946"/>
      <c r="C92" s="2948"/>
    </row>
    <row r="93" spans="1:3" ht="15.75">
      <c r="A93" s="2942"/>
      <c r="B93" s="2946"/>
      <c r="C93" s="2948"/>
    </row>
    <row r="94" spans="1:3" ht="15.75">
      <c r="A94" s="2942"/>
      <c r="B94" s="2946"/>
      <c r="C94" s="2948"/>
    </row>
    <row r="95" spans="1:3" ht="15.75">
      <c r="A95" s="2942"/>
      <c r="B95" s="2946"/>
      <c r="C95" s="2948"/>
    </row>
    <row r="96" spans="1:3" ht="15.75">
      <c r="A96" s="2942"/>
      <c r="B96" s="2946"/>
      <c r="C96" s="2948"/>
    </row>
    <row r="97" spans="1:12" ht="15.75">
      <c r="A97" s="2942"/>
      <c r="B97" s="2946"/>
      <c r="C97" s="2948"/>
    </row>
    <row r="98" spans="1:12" ht="15.75">
      <c r="A98" s="2942"/>
      <c r="B98" s="2946"/>
      <c r="C98" s="2948"/>
    </row>
    <row r="99" spans="1:12" ht="15.75">
      <c r="A99" s="2942"/>
      <c r="B99" s="2946"/>
      <c r="C99" s="2948"/>
    </row>
    <row r="100" spans="1:12" ht="15.75">
      <c r="A100" s="2942"/>
      <c r="B100" s="2946"/>
      <c r="C100" s="2948"/>
    </row>
    <row r="101" spans="1:12">
      <c r="A101" s="2942"/>
    </row>
    <row r="102" spans="1:12" ht="15.75">
      <c r="A102" s="2942"/>
      <c r="C102" s="2949"/>
    </row>
    <row r="103" spans="1:12">
      <c r="A103" s="2942"/>
    </row>
    <row r="104" spans="1:12" ht="15.75">
      <c r="A104" s="2942"/>
      <c r="B104" s="2945"/>
      <c r="C104" s="2945"/>
      <c r="D104" s="2945"/>
      <c r="E104" s="2945"/>
      <c r="F104" s="2945"/>
      <c r="G104" s="2945"/>
      <c r="H104" s="2945"/>
      <c r="I104" s="2945"/>
      <c r="J104" s="2945"/>
      <c r="K104" s="2945"/>
      <c r="L104" s="2945"/>
    </row>
    <row r="105" spans="1:12" ht="15.75">
      <c r="A105" s="2942"/>
      <c r="B105" s="2945"/>
      <c r="C105" s="2945"/>
      <c r="D105" s="2945"/>
      <c r="E105" s="2945"/>
      <c r="F105" s="2945"/>
      <c r="G105" s="2945"/>
      <c r="H105" s="2945"/>
      <c r="I105" s="2945"/>
      <c r="J105" s="2945"/>
      <c r="K105" s="2945"/>
      <c r="L105" s="2945"/>
    </row>
    <row r="106" spans="1:12" ht="15.75">
      <c r="A106" s="2942"/>
      <c r="B106" s="2945"/>
      <c r="C106" s="2945"/>
      <c r="D106" s="2945"/>
      <c r="E106" s="2945"/>
      <c r="F106" s="2945"/>
      <c r="G106" s="2945"/>
      <c r="H106" s="2945"/>
      <c r="I106" s="2945"/>
      <c r="J106" s="2945"/>
      <c r="K106" s="2945"/>
      <c r="L106" s="2945"/>
    </row>
    <row r="107" spans="1:12" ht="15.75">
      <c r="A107" s="2942"/>
      <c r="B107" s="2945"/>
      <c r="C107" s="2945"/>
      <c r="D107" s="2945"/>
      <c r="E107" s="2945"/>
      <c r="F107" s="2945"/>
      <c r="G107" s="2945"/>
      <c r="H107" s="2945"/>
      <c r="I107" s="2945"/>
      <c r="J107" s="2945"/>
      <c r="K107" s="2945"/>
      <c r="L107" s="2945"/>
    </row>
    <row r="108" spans="1:12" ht="15.75">
      <c r="A108" s="2942"/>
      <c r="B108" s="2945"/>
      <c r="C108" s="2945"/>
      <c r="D108" s="2945"/>
      <c r="E108" s="2945"/>
      <c r="F108" s="2945"/>
      <c r="G108" s="2945"/>
      <c r="H108" s="2945"/>
      <c r="I108" s="2945"/>
      <c r="J108" s="2945"/>
      <c r="K108" s="2945"/>
      <c r="L108" s="2945"/>
    </row>
    <row r="109" spans="1:12" ht="15.75">
      <c r="A109" s="2942"/>
      <c r="B109" s="2945"/>
      <c r="C109" s="2945"/>
      <c r="D109" s="2945"/>
      <c r="E109" s="2945"/>
      <c r="F109" s="2945"/>
      <c r="G109" s="2945"/>
      <c r="H109" s="2945"/>
      <c r="I109" s="2945"/>
      <c r="J109" s="2945"/>
      <c r="K109" s="2945"/>
      <c r="L109" s="2945"/>
    </row>
    <row r="110" spans="1:12" ht="15.75">
      <c r="A110" s="2942"/>
      <c r="B110" s="2945"/>
      <c r="C110" s="2945"/>
      <c r="D110" s="2945"/>
      <c r="E110" s="2945"/>
      <c r="F110" s="2945"/>
      <c r="G110" s="2945"/>
      <c r="H110" s="2945"/>
      <c r="I110" s="2945"/>
      <c r="J110" s="2945"/>
      <c r="K110" s="2945"/>
      <c r="L110" s="2945"/>
    </row>
    <row r="111" spans="1:12" ht="15.75">
      <c r="A111" s="2942"/>
      <c r="B111" s="2945"/>
      <c r="C111" s="2945"/>
      <c r="D111" s="2945"/>
      <c r="E111" s="2945"/>
      <c r="F111" s="2945"/>
      <c r="G111" s="2945"/>
      <c r="H111" s="2945"/>
      <c r="I111" s="2945"/>
      <c r="J111" s="2945"/>
      <c r="K111" s="2945"/>
      <c r="L111" s="2945"/>
    </row>
    <row r="112" spans="1:12" ht="15.75">
      <c r="A112" s="2942"/>
      <c r="B112" s="2945"/>
      <c r="C112" s="2945"/>
      <c r="D112" s="2945"/>
      <c r="E112" s="2945"/>
      <c r="F112" s="2945"/>
      <c r="G112" s="2945"/>
      <c r="H112" s="2945"/>
      <c r="I112" s="2945"/>
      <c r="J112" s="2945"/>
      <c r="K112" s="2945"/>
      <c r="L112" s="2945"/>
    </row>
    <row r="113" spans="1:12" ht="15.75">
      <c r="A113" s="2942"/>
      <c r="B113" s="2945"/>
      <c r="C113" s="2945"/>
      <c r="D113" s="2945"/>
      <c r="E113" s="2945"/>
      <c r="F113" s="2945"/>
      <c r="G113" s="2945"/>
      <c r="H113" s="2945"/>
      <c r="I113" s="2945"/>
      <c r="J113" s="2945"/>
      <c r="K113" s="2945"/>
      <c r="L113" s="2945"/>
    </row>
    <row r="114" spans="1:12" ht="15.75">
      <c r="A114" s="2942"/>
      <c r="B114" s="2945"/>
      <c r="C114" s="2945"/>
      <c r="D114" s="2945"/>
      <c r="E114" s="2945"/>
      <c r="F114" s="2945"/>
      <c r="G114" s="2945"/>
      <c r="H114" s="2945"/>
      <c r="I114" s="2945"/>
      <c r="J114" s="2945"/>
      <c r="K114" s="2945"/>
      <c r="L114" s="2945"/>
    </row>
    <row r="115" spans="1:12" ht="15.75">
      <c r="A115" s="2942"/>
      <c r="B115" s="2945"/>
      <c r="C115" s="2945"/>
      <c r="D115" s="2945"/>
      <c r="E115" s="2945"/>
      <c r="F115" s="2945"/>
      <c r="G115" s="2945"/>
      <c r="H115" s="2945"/>
      <c r="I115" s="2945"/>
      <c r="J115" s="2945"/>
      <c r="K115" s="2945"/>
      <c r="L115" s="2945"/>
    </row>
    <row r="116" spans="1:12" ht="15.75">
      <c r="A116" s="2942"/>
      <c r="B116" s="2945"/>
      <c r="C116" s="2945"/>
      <c r="D116" s="2945"/>
      <c r="E116" s="2945"/>
      <c r="F116" s="2945"/>
      <c r="G116" s="2945"/>
      <c r="H116" s="2945"/>
      <c r="I116" s="2945"/>
      <c r="J116" s="2945"/>
      <c r="K116" s="2945"/>
      <c r="L116" s="2945"/>
    </row>
    <row r="117" spans="1:12" ht="15.75">
      <c r="A117" s="2942"/>
      <c r="B117" s="2945"/>
      <c r="C117" s="2945"/>
      <c r="D117" s="2945"/>
      <c r="E117" s="2945"/>
      <c r="F117" s="2945"/>
      <c r="G117" s="2945"/>
      <c r="H117" s="2945"/>
      <c r="I117" s="2945"/>
      <c r="J117" s="2945"/>
      <c r="K117" s="2945"/>
      <c r="L117" s="2945"/>
    </row>
    <row r="118" spans="1:12" ht="15.75">
      <c r="A118" s="2942"/>
      <c r="B118" s="2945"/>
      <c r="C118" s="2945"/>
      <c r="D118" s="2945"/>
      <c r="E118" s="2945"/>
      <c r="F118" s="2945"/>
      <c r="G118" s="2945"/>
      <c r="H118" s="2945"/>
      <c r="I118" s="2945"/>
      <c r="J118" s="2945"/>
      <c r="K118" s="2945"/>
      <c r="L118" s="2945"/>
    </row>
    <row r="119" spans="1:12" ht="15.75">
      <c r="A119" s="2942"/>
      <c r="B119" s="2945"/>
      <c r="C119" s="2945"/>
      <c r="D119" s="2945"/>
      <c r="E119" s="2945"/>
      <c r="F119" s="2945"/>
      <c r="G119" s="2945"/>
      <c r="H119" s="2945"/>
      <c r="I119" s="2945"/>
      <c r="J119" s="2945"/>
      <c r="K119" s="2945"/>
      <c r="L119" s="2945"/>
    </row>
    <row r="120" spans="1:12" ht="15.75">
      <c r="A120" s="2942"/>
      <c r="B120" s="2945"/>
      <c r="C120" s="2945"/>
      <c r="D120" s="2945"/>
      <c r="E120" s="2945"/>
      <c r="F120" s="2945"/>
      <c r="G120" s="2945"/>
      <c r="H120" s="2945"/>
      <c r="I120" s="2945"/>
      <c r="J120" s="2945"/>
      <c r="K120" s="2945"/>
      <c r="L120" s="2945"/>
    </row>
    <row r="121" spans="1:12" ht="15.75">
      <c r="A121" s="2942"/>
      <c r="B121" s="2945"/>
      <c r="C121" s="2945"/>
      <c r="D121" s="2945"/>
      <c r="E121" s="2945"/>
      <c r="F121" s="2945"/>
      <c r="G121" s="2945"/>
      <c r="H121" s="2945"/>
      <c r="I121" s="2945"/>
      <c r="J121" s="2945"/>
      <c r="K121" s="2945"/>
      <c r="L121" s="2945"/>
    </row>
    <row r="122" spans="1:12" ht="15.75">
      <c r="B122" s="2945"/>
      <c r="C122" s="2945"/>
      <c r="D122" s="2945"/>
      <c r="E122" s="2945"/>
      <c r="F122" s="2945"/>
      <c r="G122" s="2945"/>
      <c r="H122" s="2945"/>
      <c r="I122" s="2945"/>
      <c r="J122" s="2945"/>
      <c r="K122" s="2945"/>
      <c r="L122" s="2945"/>
    </row>
    <row r="123" spans="1:12" ht="15.75">
      <c r="B123" s="2945"/>
      <c r="C123" s="2945"/>
      <c r="D123" s="2945"/>
      <c r="E123" s="2945"/>
      <c r="F123" s="2945"/>
      <c r="G123" s="2945"/>
      <c r="H123" s="2945"/>
      <c r="I123" s="2945"/>
      <c r="J123" s="2945"/>
      <c r="K123" s="2945"/>
      <c r="L123" s="2945"/>
    </row>
  </sheetData>
  <mergeCells count="1">
    <mergeCell ref="A2:M2"/>
  </mergeCells>
  <pageMargins left="0.7" right="0.7" top="0.75" bottom="0.75" header="0.3" footer="0.3"/>
  <pageSetup orientation="portrait" verticalDpi="0" r:id="rId1"/>
  <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O49"/>
  <sheetViews>
    <sheetView topLeftCell="B1" workbookViewId="0">
      <selection activeCell="Q21" sqref="Q21"/>
    </sheetView>
  </sheetViews>
  <sheetFormatPr defaultColWidth="13.33203125" defaultRowHeight="12.75" customHeight="1"/>
  <cols>
    <col min="1" max="1" width="34.83203125" style="2757" customWidth="1"/>
    <col min="2" max="2" width="14.1640625" style="2757" customWidth="1"/>
    <col min="3" max="3" width="15.5" style="2757" customWidth="1"/>
    <col min="4" max="4" width="22.5" style="2757" customWidth="1"/>
    <col min="5" max="5" width="25.83203125" style="2757" customWidth="1"/>
    <col min="6" max="6" width="67.1640625" style="2757" customWidth="1"/>
    <col min="7" max="7" width="17.83203125" style="2757" customWidth="1"/>
    <col min="8" max="8" width="13.1640625" style="2757" customWidth="1"/>
    <col min="9" max="19" width="5.33203125" style="2757" customWidth="1"/>
    <col min="20" max="20" width="7.33203125" style="2757" customWidth="1"/>
    <col min="21" max="23" width="8.33203125" style="2757" customWidth="1"/>
    <col min="24" max="24" width="6.5" style="2757" customWidth="1"/>
    <col min="25" max="25" width="21.1640625" style="2757" customWidth="1"/>
    <col min="26" max="36" width="8.33203125" style="2757" customWidth="1"/>
    <col min="37" max="39" width="9.33203125" style="2757" customWidth="1"/>
    <col min="40" max="40" width="8.33203125" style="2757" customWidth="1"/>
    <col min="41" max="41" width="29.33203125" style="2757" customWidth="1"/>
    <col min="42" max="16384" width="13.33203125" style="2757"/>
  </cols>
  <sheetData>
    <row r="1" spans="1:41" ht="12.75" customHeight="1">
      <c r="A1" s="2756" t="s">
        <v>3042</v>
      </c>
      <c r="B1" s="3292" t="s">
        <v>3043</v>
      </c>
      <c r="C1" s="3292"/>
      <c r="D1" s="3292"/>
      <c r="E1" s="3292"/>
      <c r="F1" s="3292"/>
      <c r="G1" s="3292"/>
      <c r="H1" s="3292"/>
      <c r="I1" s="3292"/>
      <c r="J1" s="3292"/>
      <c r="K1" s="3292"/>
      <c r="L1" s="3292"/>
      <c r="M1" s="3292"/>
      <c r="N1" s="3292"/>
      <c r="O1" s="3292"/>
      <c r="P1" s="3292"/>
      <c r="Q1" s="3292"/>
      <c r="R1" s="3292"/>
      <c r="S1" s="3292"/>
      <c r="T1" s="3292"/>
      <c r="U1" s="3292"/>
      <c r="V1" s="3292"/>
      <c r="W1" s="3292"/>
      <c r="X1" s="3292"/>
      <c r="Y1" s="3292"/>
      <c r="Z1" s="3292"/>
      <c r="AA1" s="3292"/>
      <c r="AB1" s="3292"/>
      <c r="AC1" s="3292"/>
      <c r="AD1" s="3292"/>
      <c r="AE1" s="3292"/>
      <c r="AF1" s="3292"/>
      <c r="AG1" s="3292"/>
      <c r="AH1" s="3292"/>
      <c r="AI1" s="3292"/>
      <c r="AJ1" s="3292"/>
      <c r="AK1" s="3292"/>
      <c r="AL1" s="3292"/>
      <c r="AM1" s="3292"/>
      <c r="AN1" s="3292"/>
      <c r="AO1" s="3292"/>
    </row>
    <row r="2" spans="1:41" ht="12.75" customHeight="1">
      <c r="A2" s="2756" t="s">
        <v>3044</v>
      </c>
      <c r="B2" s="3293" t="s">
        <v>3045</v>
      </c>
      <c r="C2" s="3293"/>
      <c r="D2" s="3293"/>
      <c r="E2" s="3293"/>
      <c r="F2" s="3293"/>
      <c r="G2" s="3293"/>
      <c r="H2" s="3293"/>
      <c r="I2" s="3293"/>
      <c r="J2" s="3293"/>
      <c r="K2" s="3293"/>
      <c r="L2" s="3293"/>
      <c r="M2" s="3293"/>
      <c r="N2" s="3293"/>
      <c r="O2" s="3293"/>
      <c r="P2" s="3293"/>
      <c r="Q2" s="3293"/>
      <c r="R2" s="3293"/>
      <c r="S2" s="3293"/>
      <c r="T2" s="3293"/>
      <c r="U2" s="3293"/>
      <c r="V2" s="3293"/>
      <c r="W2" s="3293"/>
      <c r="X2" s="3293"/>
      <c r="Y2" s="3293"/>
      <c r="Z2" s="3293"/>
      <c r="AA2" s="3293"/>
      <c r="AB2" s="3293"/>
      <c r="AC2" s="3293"/>
      <c r="AD2" s="3293"/>
      <c r="AE2" s="3293"/>
      <c r="AF2" s="3293"/>
      <c r="AG2" s="3293"/>
      <c r="AH2" s="3293"/>
      <c r="AI2" s="3293"/>
      <c r="AJ2" s="3293"/>
      <c r="AK2" s="3293"/>
      <c r="AL2" s="3293"/>
      <c r="AM2" s="3293"/>
      <c r="AN2" s="3293"/>
      <c r="AO2" s="3293"/>
    </row>
    <row r="3" spans="1:41" ht="12.75" customHeight="1">
      <c r="A3" s="2756" t="s">
        <v>3046</v>
      </c>
      <c r="B3" s="3294">
        <v>43325</v>
      </c>
      <c r="C3" s="3293"/>
      <c r="D3" s="3293"/>
      <c r="E3" s="3293"/>
      <c r="F3" s="3293"/>
      <c r="G3" s="3293"/>
      <c r="H3" s="3293"/>
      <c r="I3" s="3293"/>
      <c r="J3" s="3293"/>
      <c r="K3" s="3293"/>
      <c r="L3" s="3293"/>
      <c r="M3" s="3293"/>
      <c r="N3" s="3293"/>
      <c r="O3" s="3293"/>
      <c r="P3" s="3293"/>
      <c r="Q3" s="3293"/>
      <c r="R3" s="3293"/>
      <c r="S3" s="3293"/>
      <c r="T3" s="3293"/>
      <c r="U3" s="3293"/>
      <c r="V3" s="3293"/>
      <c r="W3" s="3293"/>
      <c r="X3" s="3293"/>
      <c r="Y3" s="3293"/>
      <c r="Z3" s="3293"/>
      <c r="AA3" s="3293"/>
      <c r="AB3" s="3293"/>
      <c r="AC3" s="3293"/>
      <c r="AD3" s="3293"/>
      <c r="AE3" s="3293"/>
      <c r="AF3" s="3293"/>
      <c r="AG3" s="3293"/>
      <c r="AH3" s="3293"/>
      <c r="AI3" s="3293"/>
      <c r="AJ3" s="3293"/>
      <c r="AK3" s="3293"/>
      <c r="AL3" s="3293"/>
      <c r="AM3" s="3293"/>
      <c r="AN3" s="3293"/>
      <c r="AO3" s="3293"/>
    </row>
    <row r="4" spans="1:41" ht="12.75" customHeight="1">
      <c r="A4" s="2758" t="s">
        <v>3047</v>
      </c>
    </row>
    <row r="5" spans="1:41" ht="12.75" customHeight="1">
      <c r="A5" s="2759"/>
      <c r="B5" s="2760"/>
      <c r="C5" s="2760"/>
      <c r="D5" s="2760"/>
      <c r="E5" s="2760"/>
      <c r="F5" s="2760"/>
      <c r="G5" s="2760"/>
      <c r="H5" s="2760"/>
      <c r="I5" s="2885" t="s">
        <v>3048</v>
      </c>
      <c r="J5" s="2760"/>
      <c r="K5" s="2760"/>
      <c r="L5" s="2760"/>
      <c r="M5" s="2760"/>
      <c r="N5" s="2760"/>
      <c r="O5" s="2760"/>
      <c r="P5" s="2760"/>
      <c r="Q5" s="2760"/>
      <c r="R5" s="2760"/>
      <c r="S5" s="2760"/>
      <c r="T5" s="2760"/>
      <c r="U5" s="2760"/>
      <c r="V5" s="2760"/>
      <c r="W5" s="2760"/>
      <c r="X5" s="2760"/>
      <c r="Y5" s="2760"/>
      <c r="Z5" s="2885" t="s">
        <v>3049</v>
      </c>
      <c r="AA5" s="2760"/>
      <c r="AB5" s="2760"/>
      <c r="AC5" s="2760"/>
      <c r="AD5" s="2760"/>
      <c r="AE5" s="2760"/>
      <c r="AF5" s="2760"/>
      <c r="AG5" s="2760"/>
      <c r="AH5" s="2760"/>
      <c r="AI5" s="2760"/>
      <c r="AJ5" s="2760"/>
      <c r="AK5" s="2760"/>
      <c r="AL5" s="2760"/>
      <c r="AM5" s="2760"/>
      <c r="AN5" s="2760"/>
      <c r="AO5" s="2760"/>
    </row>
    <row r="6" spans="1:41" ht="12.75" customHeight="1">
      <c r="A6" s="2759"/>
      <c r="B6" s="2762" t="s">
        <v>3050</v>
      </c>
      <c r="C6" s="2762" t="s">
        <v>3051</v>
      </c>
      <c r="D6" s="2762" t="s">
        <v>3052</v>
      </c>
      <c r="E6" s="2762" t="s">
        <v>3053</v>
      </c>
      <c r="F6" s="2762" t="s">
        <v>3054</v>
      </c>
      <c r="G6" s="2762" t="s">
        <v>3055</v>
      </c>
      <c r="H6" s="2762" t="s">
        <v>3056</v>
      </c>
      <c r="I6" s="2762" t="s">
        <v>3228</v>
      </c>
      <c r="J6" s="2762" t="s">
        <v>3229</v>
      </c>
      <c r="K6" s="2762" t="s">
        <v>3230</v>
      </c>
      <c r="L6" s="2762" t="s">
        <v>3231</v>
      </c>
      <c r="M6" s="2762" t="s">
        <v>3232</v>
      </c>
      <c r="N6" s="2762" t="s">
        <v>3233</v>
      </c>
      <c r="O6" s="2762" t="s">
        <v>3234</v>
      </c>
      <c r="P6" s="2762" t="s">
        <v>3057</v>
      </c>
      <c r="Q6" s="2762" t="s">
        <v>3058</v>
      </c>
      <c r="R6" s="2762" t="s">
        <v>3059</v>
      </c>
      <c r="S6" s="2762" t="s">
        <v>3060</v>
      </c>
      <c r="T6" s="2762" t="s">
        <v>3061</v>
      </c>
      <c r="U6" s="2762" t="s">
        <v>3062</v>
      </c>
      <c r="V6" s="2762" t="s">
        <v>3063</v>
      </c>
      <c r="W6" s="2762" t="s">
        <v>3064</v>
      </c>
      <c r="X6" s="2762" t="s">
        <v>2966</v>
      </c>
      <c r="Y6" s="2762" t="s">
        <v>3065</v>
      </c>
      <c r="Z6" s="2762" t="s">
        <v>3228</v>
      </c>
      <c r="AA6" s="2762" t="s">
        <v>3229</v>
      </c>
      <c r="AB6" s="2762" t="s">
        <v>3230</v>
      </c>
      <c r="AC6" s="2762" t="s">
        <v>3231</v>
      </c>
      <c r="AD6" s="2762" t="s">
        <v>3232</v>
      </c>
      <c r="AE6" s="2762" t="s">
        <v>3233</v>
      </c>
      <c r="AF6" s="2762" t="s">
        <v>3234</v>
      </c>
      <c r="AG6" s="2762" t="s">
        <v>3057</v>
      </c>
      <c r="AH6" s="2762" t="s">
        <v>3058</v>
      </c>
      <c r="AI6" s="2762" t="s">
        <v>3059</v>
      </c>
      <c r="AJ6" s="2762" t="s">
        <v>3060</v>
      </c>
      <c r="AK6" s="2762" t="s">
        <v>3061</v>
      </c>
      <c r="AL6" s="2762" t="s">
        <v>3062</v>
      </c>
      <c r="AM6" s="2762" t="s">
        <v>3063</v>
      </c>
      <c r="AN6" s="2762" t="s">
        <v>3064</v>
      </c>
      <c r="AO6" s="2762" t="s">
        <v>3066</v>
      </c>
    </row>
    <row r="7" spans="1:41" ht="12.75" customHeight="1">
      <c r="A7" s="2763" t="s">
        <v>3585</v>
      </c>
    </row>
    <row r="8" spans="1:41" ht="12.75" customHeight="1">
      <c r="A8" s="2764" t="s">
        <v>3586</v>
      </c>
      <c r="B8" s="2765" t="s">
        <v>3069</v>
      </c>
      <c r="C8" s="2766" t="s">
        <v>3587</v>
      </c>
      <c r="D8" s="2766" t="s">
        <v>3588</v>
      </c>
      <c r="E8" s="2766" t="s">
        <v>3589</v>
      </c>
      <c r="F8" s="2766" t="s">
        <v>3590</v>
      </c>
      <c r="G8" s="2767">
        <v>42536</v>
      </c>
      <c r="H8" s="2767">
        <v>46707</v>
      </c>
      <c r="I8" s="2765" t="s">
        <v>3079</v>
      </c>
      <c r="J8" s="2765" t="s">
        <v>3079</v>
      </c>
      <c r="K8" s="2765" t="s">
        <v>3079</v>
      </c>
      <c r="L8" s="2765" t="s">
        <v>3079</v>
      </c>
      <c r="M8" s="2765" t="s">
        <v>3079</v>
      </c>
      <c r="N8" s="2765" t="s">
        <v>3079</v>
      </c>
      <c r="O8" s="2765" t="s">
        <v>3079</v>
      </c>
      <c r="P8" s="2765">
        <v>0</v>
      </c>
      <c r="Q8" s="2765">
        <v>0</v>
      </c>
      <c r="R8" s="2765">
        <v>0</v>
      </c>
      <c r="S8" s="2768">
        <v>94.234161028050707</v>
      </c>
      <c r="T8" s="2768">
        <v>276.13700338539297</v>
      </c>
      <c r="U8" s="2768">
        <v>538.485376029083</v>
      </c>
      <c r="V8" s="2768">
        <v>907.33261726155695</v>
      </c>
      <c r="W8" s="2768">
        <v>1335.4003385242499</v>
      </c>
      <c r="X8" s="2770" t="s">
        <v>13</v>
      </c>
      <c r="Y8" s="2767">
        <v>44196</v>
      </c>
      <c r="Z8" s="2765" t="s">
        <v>3079</v>
      </c>
      <c r="AA8" s="2765" t="s">
        <v>3079</v>
      </c>
      <c r="AB8" s="2765" t="s">
        <v>3079</v>
      </c>
      <c r="AC8" s="2765" t="s">
        <v>3079</v>
      </c>
      <c r="AD8" s="2765" t="s">
        <v>3079</v>
      </c>
      <c r="AE8" s="2765" t="s">
        <v>3079</v>
      </c>
      <c r="AF8" s="2768">
        <v>18.169</v>
      </c>
      <c r="AG8" s="2768">
        <v>129.17500000000001</v>
      </c>
      <c r="AH8" s="2768">
        <v>189.08150779424</v>
      </c>
      <c r="AI8" s="2768">
        <v>262.43398084613699</v>
      </c>
      <c r="AJ8" s="2768">
        <v>367.68145126975099</v>
      </c>
      <c r="AK8" s="2768">
        <v>653.86304039814399</v>
      </c>
      <c r="AL8" s="2768">
        <v>996.26756770192196</v>
      </c>
      <c r="AM8" s="2768">
        <v>1433.47232744598</v>
      </c>
      <c r="AN8" s="2768">
        <v>1943.716335973</v>
      </c>
      <c r="AO8" s="2766" t="s">
        <v>518</v>
      </c>
    </row>
    <row r="9" spans="1:41" ht="22.5" customHeight="1">
      <c r="A9" s="2759"/>
      <c r="B9" s="2765" t="s">
        <v>3074</v>
      </c>
      <c r="C9" s="2766" t="s">
        <v>3591</v>
      </c>
      <c r="D9" s="2766" t="s">
        <v>3592</v>
      </c>
      <c r="E9" s="2766" t="s">
        <v>3593</v>
      </c>
      <c r="F9" s="2766" t="s">
        <v>3594</v>
      </c>
      <c r="G9" s="2767">
        <v>44561</v>
      </c>
      <c r="H9" s="2767">
        <v>49674</v>
      </c>
      <c r="I9" s="2765" t="s">
        <v>3079</v>
      </c>
      <c r="J9" s="2765" t="s">
        <v>3079</v>
      </c>
      <c r="K9" s="2765" t="s">
        <v>3079</v>
      </c>
      <c r="L9" s="2765" t="s">
        <v>3079</v>
      </c>
      <c r="M9" s="2765" t="s">
        <v>3079</v>
      </c>
      <c r="N9" s="2765" t="s">
        <v>3079</v>
      </c>
      <c r="O9" s="2765" t="s">
        <v>3079</v>
      </c>
      <c r="P9" s="2765">
        <v>0</v>
      </c>
      <c r="Q9" s="2765">
        <v>0</v>
      </c>
      <c r="R9" s="2765">
        <v>0</v>
      </c>
      <c r="S9" s="2765">
        <v>0</v>
      </c>
      <c r="T9" s="2768">
        <v>102.503810660396</v>
      </c>
      <c r="U9" s="2768">
        <v>239.909134950549</v>
      </c>
      <c r="V9" s="2768">
        <v>545.204475901264</v>
      </c>
      <c r="W9" s="2768">
        <v>1071.6811806548401</v>
      </c>
      <c r="X9" s="2770" t="s">
        <v>13</v>
      </c>
      <c r="Y9" s="2767">
        <v>44561</v>
      </c>
      <c r="Z9" s="2765" t="s">
        <v>3079</v>
      </c>
      <c r="AA9" s="2765" t="s">
        <v>3079</v>
      </c>
      <c r="AB9" s="2765" t="s">
        <v>3079</v>
      </c>
      <c r="AC9" s="2765" t="s">
        <v>3079</v>
      </c>
      <c r="AD9" s="2765" t="s">
        <v>3079</v>
      </c>
      <c r="AE9" s="2765" t="s">
        <v>3079</v>
      </c>
      <c r="AF9" s="2765" t="s">
        <v>3079</v>
      </c>
      <c r="AG9" s="2765">
        <v>0</v>
      </c>
      <c r="AH9" s="2765">
        <v>0</v>
      </c>
      <c r="AI9" s="2765">
        <v>0</v>
      </c>
      <c r="AJ9" s="2765">
        <v>0</v>
      </c>
      <c r="AK9" s="2768">
        <v>102.503810660396</v>
      </c>
      <c r="AL9" s="2768">
        <v>251.02562890666499</v>
      </c>
      <c r="AM9" s="2768">
        <v>588.89709444529603</v>
      </c>
      <c r="AN9" s="2768">
        <v>1175.8280062861099</v>
      </c>
      <c r="AO9" s="2766" t="s">
        <v>518</v>
      </c>
    </row>
    <row r="10" spans="1:41" ht="12.75" customHeight="1">
      <c r="A10" s="2759"/>
      <c r="B10" s="2765" t="s">
        <v>3080</v>
      </c>
      <c r="C10" s="2766" t="s">
        <v>3595</v>
      </c>
      <c r="D10" s="2766" t="s">
        <v>3596</v>
      </c>
      <c r="E10" s="2766" t="s">
        <v>3079</v>
      </c>
      <c r="F10" s="2766" t="s">
        <v>3597</v>
      </c>
      <c r="G10" s="2767">
        <v>44561</v>
      </c>
      <c r="H10" s="2767">
        <v>49385</v>
      </c>
      <c r="I10" s="2765" t="s">
        <v>3079</v>
      </c>
      <c r="J10" s="2765" t="s">
        <v>3079</v>
      </c>
      <c r="K10" s="2765" t="s">
        <v>3079</v>
      </c>
      <c r="L10" s="2765" t="s">
        <v>3079</v>
      </c>
      <c r="M10" s="2765" t="s">
        <v>3079</v>
      </c>
      <c r="N10" s="2765" t="s">
        <v>3079</v>
      </c>
      <c r="O10" s="2765" t="s">
        <v>3079</v>
      </c>
      <c r="P10" s="2765">
        <v>0</v>
      </c>
      <c r="Q10" s="2765">
        <v>0</v>
      </c>
      <c r="R10" s="2765">
        <v>0</v>
      </c>
      <c r="S10" s="2765">
        <v>0</v>
      </c>
      <c r="T10" s="2765" t="s">
        <v>3079</v>
      </c>
      <c r="U10" s="2768">
        <v>140.435043583073</v>
      </c>
      <c r="V10" s="2768">
        <v>491.38355611446201</v>
      </c>
      <c r="W10" s="2768">
        <v>988.85425714709595</v>
      </c>
      <c r="X10" s="2770" t="s">
        <v>13</v>
      </c>
      <c r="Y10" s="2767">
        <v>44926</v>
      </c>
      <c r="Z10" s="2765" t="s">
        <v>3079</v>
      </c>
      <c r="AA10" s="2765" t="s">
        <v>3079</v>
      </c>
      <c r="AB10" s="2765" t="s">
        <v>3079</v>
      </c>
      <c r="AC10" s="2765" t="s">
        <v>3079</v>
      </c>
      <c r="AD10" s="2765" t="s">
        <v>3079</v>
      </c>
      <c r="AE10" s="2765" t="s">
        <v>3079</v>
      </c>
      <c r="AF10" s="2765" t="s">
        <v>3079</v>
      </c>
      <c r="AG10" s="2765">
        <v>0</v>
      </c>
      <c r="AH10" s="2765">
        <v>0</v>
      </c>
      <c r="AI10" s="2765">
        <v>0</v>
      </c>
      <c r="AJ10" s="2765">
        <v>0</v>
      </c>
      <c r="AK10" s="2768">
        <v>2.5505</v>
      </c>
      <c r="AL10" s="2768">
        <v>167.422</v>
      </c>
      <c r="AM10" s="2768">
        <v>569.1925</v>
      </c>
      <c r="AN10" s="2768">
        <v>1135.8454999999999</v>
      </c>
      <c r="AO10" s="2766" t="s">
        <v>510</v>
      </c>
    </row>
    <row r="11" spans="1:41" ht="22.5" customHeight="1">
      <c r="A11" s="2759"/>
      <c r="B11" s="2765" t="s">
        <v>3085</v>
      </c>
      <c r="C11" s="2766" t="s">
        <v>3591</v>
      </c>
      <c r="D11" s="2766" t="s">
        <v>3425</v>
      </c>
      <c r="E11" s="2766" t="s">
        <v>3593</v>
      </c>
      <c r="F11" s="2766" t="s">
        <v>3594</v>
      </c>
      <c r="G11" s="2767">
        <v>44561</v>
      </c>
      <c r="H11" s="2767">
        <v>49674</v>
      </c>
      <c r="I11" s="2765" t="s">
        <v>3079</v>
      </c>
      <c r="J11" s="2765" t="s">
        <v>3079</v>
      </c>
      <c r="K11" s="2765" t="s">
        <v>3079</v>
      </c>
      <c r="L11" s="2765" t="s">
        <v>3079</v>
      </c>
      <c r="M11" s="2765" t="s">
        <v>3079</v>
      </c>
      <c r="N11" s="2765" t="s">
        <v>3079</v>
      </c>
      <c r="O11" s="2765" t="s">
        <v>3079</v>
      </c>
      <c r="P11" s="2765">
        <v>0</v>
      </c>
      <c r="Q11" s="2765">
        <v>0</v>
      </c>
      <c r="R11" s="2765">
        <v>0</v>
      </c>
      <c r="S11" s="2765">
        <v>0</v>
      </c>
      <c r="T11" s="2768">
        <v>21.556000000000001</v>
      </c>
      <c r="U11" s="2768">
        <v>80.805999999999997</v>
      </c>
      <c r="V11" s="2768">
        <v>207.12100000000001</v>
      </c>
      <c r="W11" s="2768">
        <v>444.85</v>
      </c>
      <c r="X11" s="2770" t="s">
        <v>13</v>
      </c>
      <c r="Y11" s="2767">
        <v>44561</v>
      </c>
      <c r="Z11" s="2765" t="s">
        <v>3079</v>
      </c>
      <c r="AA11" s="2765" t="s">
        <v>3079</v>
      </c>
      <c r="AB11" s="2765" t="s">
        <v>3079</v>
      </c>
      <c r="AC11" s="2765" t="s">
        <v>3079</v>
      </c>
      <c r="AD11" s="2765" t="s">
        <v>3079</v>
      </c>
      <c r="AE11" s="2765" t="s">
        <v>3079</v>
      </c>
      <c r="AF11" s="2765" t="s">
        <v>3079</v>
      </c>
      <c r="AG11" s="2765">
        <v>0</v>
      </c>
      <c r="AH11" s="2765">
        <v>0</v>
      </c>
      <c r="AI11" s="2765">
        <v>0</v>
      </c>
      <c r="AJ11" s="2765">
        <v>0</v>
      </c>
      <c r="AK11" s="2768">
        <v>21.556000000000001</v>
      </c>
      <c r="AL11" s="2768">
        <v>85.893500000000003</v>
      </c>
      <c r="AM11" s="2768">
        <v>225.19049999999999</v>
      </c>
      <c r="AN11" s="2768">
        <v>481.24900000000002</v>
      </c>
      <c r="AO11" s="2766" t="s">
        <v>518</v>
      </c>
    </row>
    <row r="12" spans="1:41" ht="12.75" customHeight="1">
      <c r="A12" s="2759"/>
      <c r="B12" s="2765" t="s">
        <v>3090</v>
      </c>
      <c r="C12" s="2766" t="s">
        <v>3598</v>
      </c>
      <c r="D12" s="2766" t="s">
        <v>3599</v>
      </c>
      <c r="E12" s="2766" t="s">
        <v>3079</v>
      </c>
      <c r="F12" s="2766" t="s">
        <v>3600</v>
      </c>
      <c r="G12" s="2767">
        <v>44561</v>
      </c>
      <c r="H12" s="2767">
        <v>48213</v>
      </c>
      <c r="I12" s="2765" t="s">
        <v>3079</v>
      </c>
      <c r="J12" s="2765" t="s">
        <v>3079</v>
      </c>
      <c r="K12" s="2765" t="s">
        <v>3079</v>
      </c>
      <c r="L12" s="2765" t="s">
        <v>3079</v>
      </c>
      <c r="M12" s="2765" t="s">
        <v>3079</v>
      </c>
      <c r="N12" s="2765" t="s">
        <v>3079</v>
      </c>
      <c r="O12" s="2765" t="s">
        <v>3079</v>
      </c>
      <c r="P12" s="2765">
        <v>0</v>
      </c>
      <c r="Q12" s="2765">
        <v>0</v>
      </c>
      <c r="R12" s="2765">
        <v>0</v>
      </c>
      <c r="S12" s="2765">
        <v>0</v>
      </c>
      <c r="T12" s="2768">
        <v>28.8273333333333</v>
      </c>
      <c r="U12" s="2768">
        <v>98.010999999999996</v>
      </c>
      <c r="V12" s="2768">
        <v>214.30033333333299</v>
      </c>
      <c r="W12" s="2768">
        <v>370.51566666666702</v>
      </c>
      <c r="X12" s="2770" t="s">
        <v>13</v>
      </c>
      <c r="Y12" s="2767">
        <v>44561</v>
      </c>
      <c r="Z12" s="2765" t="s">
        <v>3079</v>
      </c>
      <c r="AA12" s="2765" t="s">
        <v>3079</v>
      </c>
      <c r="AB12" s="2765" t="s">
        <v>3079</v>
      </c>
      <c r="AC12" s="2765" t="s">
        <v>3079</v>
      </c>
      <c r="AD12" s="2765" t="s">
        <v>3079</v>
      </c>
      <c r="AE12" s="2765" t="s">
        <v>3079</v>
      </c>
      <c r="AF12" s="2765" t="s">
        <v>3079</v>
      </c>
      <c r="AG12" s="2765" t="s">
        <v>3079</v>
      </c>
      <c r="AH12" s="2765" t="s">
        <v>3079</v>
      </c>
      <c r="AI12" s="2765" t="s">
        <v>3079</v>
      </c>
      <c r="AJ12" s="2765" t="s">
        <v>3079</v>
      </c>
      <c r="AK12" s="2768">
        <v>28.8273333333333</v>
      </c>
      <c r="AL12" s="2768">
        <v>101.386</v>
      </c>
      <c r="AM12" s="2768">
        <v>226.542</v>
      </c>
      <c r="AN12" s="2768">
        <v>399.06</v>
      </c>
      <c r="AO12" s="2766" t="s">
        <v>510</v>
      </c>
    </row>
    <row r="13" spans="1:41" ht="22.5" customHeight="1">
      <c r="A13" s="2759"/>
      <c r="B13" s="2765" t="s">
        <v>3093</v>
      </c>
      <c r="C13" s="2766" t="s">
        <v>3601</v>
      </c>
      <c r="D13" s="2766" t="s">
        <v>3425</v>
      </c>
      <c r="E13" s="2766" t="s">
        <v>3602</v>
      </c>
      <c r="F13" s="2766" t="s">
        <v>3603</v>
      </c>
      <c r="G13" s="2767">
        <v>44561</v>
      </c>
      <c r="H13" s="2767">
        <v>49217</v>
      </c>
      <c r="I13" s="2765" t="s">
        <v>3079</v>
      </c>
      <c r="J13" s="2765" t="s">
        <v>3079</v>
      </c>
      <c r="K13" s="2765" t="s">
        <v>3079</v>
      </c>
      <c r="L13" s="2765" t="s">
        <v>3079</v>
      </c>
      <c r="M13" s="2765" t="s">
        <v>3079</v>
      </c>
      <c r="N13" s="2765" t="s">
        <v>3079</v>
      </c>
      <c r="O13" s="2765" t="s">
        <v>3079</v>
      </c>
      <c r="P13" s="2765">
        <v>0</v>
      </c>
      <c r="Q13" s="2765">
        <v>0</v>
      </c>
      <c r="R13" s="2765">
        <v>0</v>
      </c>
      <c r="S13" s="2765">
        <v>0</v>
      </c>
      <c r="T13" s="2768">
        <v>74.403999999999996</v>
      </c>
      <c r="U13" s="2768">
        <v>113.73650000000001</v>
      </c>
      <c r="V13" s="2768">
        <v>185.45224999999999</v>
      </c>
      <c r="W13" s="2768">
        <v>267.73950000000002</v>
      </c>
      <c r="X13" s="2770" t="s">
        <v>13</v>
      </c>
      <c r="Y13" s="2767">
        <v>44561</v>
      </c>
      <c r="Z13" s="2765" t="s">
        <v>3079</v>
      </c>
      <c r="AA13" s="2765" t="s">
        <v>3079</v>
      </c>
      <c r="AB13" s="2765" t="s">
        <v>3079</v>
      </c>
      <c r="AC13" s="2765" t="s">
        <v>3079</v>
      </c>
      <c r="AD13" s="2765" t="s">
        <v>3079</v>
      </c>
      <c r="AE13" s="2765" t="s">
        <v>3079</v>
      </c>
      <c r="AF13" s="2765" t="s">
        <v>3079</v>
      </c>
      <c r="AG13" s="2765" t="s">
        <v>3079</v>
      </c>
      <c r="AH13" s="2765" t="s">
        <v>3079</v>
      </c>
      <c r="AI13" s="2765" t="s">
        <v>3079</v>
      </c>
      <c r="AJ13" s="2765" t="s">
        <v>3079</v>
      </c>
      <c r="AK13" s="2768">
        <v>104.04925</v>
      </c>
      <c r="AL13" s="2768">
        <v>162.0745</v>
      </c>
      <c r="AM13" s="2768">
        <v>259.34350000000001</v>
      </c>
      <c r="AN13" s="2768">
        <v>361.86675000000002</v>
      </c>
      <c r="AO13" s="2766" t="s">
        <v>510</v>
      </c>
    </row>
    <row r="14" spans="1:41" ht="12.75" customHeight="1">
      <c r="A14" s="2759"/>
      <c r="B14" s="2765" t="s">
        <v>3098</v>
      </c>
      <c r="C14" s="2766" t="s">
        <v>3604</v>
      </c>
      <c r="D14" s="2766" t="s">
        <v>3425</v>
      </c>
      <c r="E14" s="2766" t="s">
        <v>3605</v>
      </c>
      <c r="F14" s="2766" t="s">
        <v>3606</v>
      </c>
      <c r="G14" s="2767">
        <v>44926</v>
      </c>
      <c r="H14" s="2767">
        <v>47600</v>
      </c>
      <c r="I14" s="2765" t="s">
        <v>3079</v>
      </c>
      <c r="J14" s="2765" t="s">
        <v>3079</v>
      </c>
      <c r="K14" s="2765" t="s">
        <v>3079</v>
      </c>
      <c r="L14" s="2765" t="s">
        <v>3079</v>
      </c>
      <c r="M14" s="2765" t="s">
        <v>3079</v>
      </c>
      <c r="N14" s="2765" t="s">
        <v>3079</v>
      </c>
      <c r="O14" s="2765" t="s">
        <v>3079</v>
      </c>
      <c r="P14" s="2765">
        <v>0</v>
      </c>
      <c r="Q14" s="2765">
        <v>0</v>
      </c>
      <c r="R14" s="2765">
        <v>0</v>
      </c>
      <c r="S14" s="2765">
        <v>0</v>
      </c>
      <c r="T14" s="2765">
        <v>0</v>
      </c>
      <c r="U14" s="2768">
        <v>26.6</v>
      </c>
      <c r="V14" s="2768">
        <v>64.2</v>
      </c>
      <c r="W14" s="2768">
        <v>124.2</v>
      </c>
      <c r="X14" s="2770" t="s">
        <v>13</v>
      </c>
      <c r="Y14" s="2767">
        <v>44926</v>
      </c>
      <c r="Z14" s="2765" t="s">
        <v>3079</v>
      </c>
      <c r="AA14" s="2765" t="s">
        <v>3079</v>
      </c>
      <c r="AB14" s="2765" t="s">
        <v>3079</v>
      </c>
      <c r="AC14" s="2765" t="s">
        <v>3079</v>
      </c>
      <c r="AD14" s="2765" t="s">
        <v>3079</v>
      </c>
      <c r="AE14" s="2765" t="s">
        <v>3079</v>
      </c>
      <c r="AF14" s="2765" t="s">
        <v>3079</v>
      </c>
      <c r="AG14" s="2765" t="s">
        <v>3079</v>
      </c>
      <c r="AH14" s="2765" t="s">
        <v>3079</v>
      </c>
      <c r="AI14" s="2765" t="s">
        <v>3079</v>
      </c>
      <c r="AJ14" s="2765" t="s">
        <v>3079</v>
      </c>
      <c r="AK14" s="2765" t="s">
        <v>3079</v>
      </c>
      <c r="AL14" s="2768">
        <v>26.6</v>
      </c>
      <c r="AM14" s="2768">
        <v>64.2</v>
      </c>
      <c r="AN14" s="2768">
        <v>124.2</v>
      </c>
      <c r="AO14" s="2766" t="s">
        <v>510</v>
      </c>
    </row>
    <row r="15" spans="1:41" ht="12.75" customHeight="1">
      <c r="A15" s="2759"/>
      <c r="B15" s="2765" t="s">
        <v>3103</v>
      </c>
      <c r="C15" s="2766" t="s">
        <v>3607</v>
      </c>
      <c r="D15" s="2766" t="s">
        <v>3608</v>
      </c>
      <c r="E15" s="2766" t="s">
        <v>3609</v>
      </c>
      <c r="F15" s="2766" t="s">
        <v>3610</v>
      </c>
      <c r="G15" s="2767">
        <v>44196</v>
      </c>
      <c r="H15" s="2765" t="s">
        <v>3079</v>
      </c>
      <c r="I15" s="2765" t="s">
        <v>3079</v>
      </c>
      <c r="J15" s="2765" t="s">
        <v>3079</v>
      </c>
      <c r="K15" s="2765" t="s">
        <v>3079</v>
      </c>
      <c r="L15" s="2765" t="s">
        <v>3079</v>
      </c>
      <c r="M15" s="2765" t="s">
        <v>3079</v>
      </c>
      <c r="N15" s="2765" t="s">
        <v>3079</v>
      </c>
      <c r="O15" s="2765" t="s">
        <v>3079</v>
      </c>
      <c r="P15" s="2765">
        <v>0</v>
      </c>
      <c r="Q15" s="2765">
        <v>0</v>
      </c>
      <c r="R15" s="2765">
        <v>0</v>
      </c>
      <c r="S15" s="2768">
        <v>4.5</v>
      </c>
      <c r="T15" s="2768">
        <v>23</v>
      </c>
      <c r="U15" s="2768">
        <v>45.5</v>
      </c>
      <c r="V15" s="2768">
        <v>68</v>
      </c>
      <c r="W15" s="2768">
        <v>90.5</v>
      </c>
      <c r="X15" s="2770" t="s">
        <v>13</v>
      </c>
      <c r="Y15" s="2767">
        <v>44196</v>
      </c>
      <c r="Z15" s="2765" t="s">
        <v>3079</v>
      </c>
      <c r="AA15" s="2765" t="s">
        <v>3079</v>
      </c>
      <c r="AB15" s="2765" t="s">
        <v>3079</v>
      </c>
      <c r="AC15" s="2765" t="s">
        <v>3079</v>
      </c>
      <c r="AD15" s="2765" t="s">
        <v>3079</v>
      </c>
      <c r="AE15" s="2765" t="s">
        <v>3079</v>
      </c>
      <c r="AF15" s="2765" t="s">
        <v>3079</v>
      </c>
      <c r="AG15" s="2765" t="s">
        <v>3079</v>
      </c>
      <c r="AH15" s="2765" t="s">
        <v>3079</v>
      </c>
      <c r="AI15" s="2765" t="s">
        <v>3079</v>
      </c>
      <c r="AJ15" s="2768">
        <v>4.5</v>
      </c>
      <c r="AK15" s="2768">
        <v>23</v>
      </c>
      <c r="AL15" s="2768">
        <v>45.5</v>
      </c>
      <c r="AM15" s="2768">
        <v>68</v>
      </c>
      <c r="AN15" s="2768">
        <v>90.5</v>
      </c>
      <c r="AO15" s="2766" t="s">
        <v>510</v>
      </c>
    </row>
    <row r="16" spans="1:41" ht="12.75" customHeight="1">
      <c r="A16" s="2759"/>
      <c r="B16" s="2765" t="s">
        <v>3108</v>
      </c>
      <c r="C16" s="2766" t="s">
        <v>3611</v>
      </c>
      <c r="D16" s="2766" t="s">
        <v>3612</v>
      </c>
      <c r="E16" s="2766" t="s">
        <v>3613</v>
      </c>
      <c r="F16" s="2766" t="s">
        <v>3112</v>
      </c>
      <c r="G16" s="2767">
        <v>44561</v>
      </c>
      <c r="H16" s="2767">
        <v>47299</v>
      </c>
      <c r="I16" s="2765" t="s">
        <v>3079</v>
      </c>
      <c r="J16" s="2765" t="s">
        <v>3079</v>
      </c>
      <c r="K16" s="2765" t="s">
        <v>3079</v>
      </c>
      <c r="L16" s="2765" t="s">
        <v>3079</v>
      </c>
      <c r="M16" s="2765" t="s">
        <v>3079</v>
      </c>
      <c r="N16" s="2765" t="s">
        <v>3079</v>
      </c>
      <c r="O16" s="2765" t="s">
        <v>3079</v>
      </c>
      <c r="P16" s="2765">
        <v>0</v>
      </c>
      <c r="Q16" s="2765">
        <v>0</v>
      </c>
      <c r="R16" s="2765">
        <v>0</v>
      </c>
      <c r="S16" s="2765">
        <v>0</v>
      </c>
      <c r="T16" s="2768">
        <v>3.8923865504081099</v>
      </c>
      <c r="U16" s="2768">
        <v>18.917458283422</v>
      </c>
      <c r="V16" s="2768">
        <v>50.045361265100901</v>
      </c>
      <c r="W16" s="2768">
        <v>88.632894113714102</v>
      </c>
      <c r="X16" s="2770" t="s">
        <v>13</v>
      </c>
      <c r="Y16" s="2767">
        <v>44561</v>
      </c>
      <c r="Z16" s="2765" t="s">
        <v>3079</v>
      </c>
      <c r="AA16" s="2765" t="s">
        <v>3079</v>
      </c>
      <c r="AB16" s="2765" t="s">
        <v>3079</v>
      </c>
      <c r="AC16" s="2765" t="s">
        <v>3079</v>
      </c>
      <c r="AD16" s="2765" t="s">
        <v>3079</v>
      </c>
      <c r="AE16" s="2765" t="s">
        <v>3079</v>
      </c>
      <c r="AF16" s="2765" t="s">
        <v>3079</v>
      </c>
      <c r="AG16" s="2765">
        <v>0</v>
      </c>
      <c r="AH16" s="2765">
        <v>0</v>
      </c>
      <c r="AI16" s="2765">
        <v>0</v>
      </c>
      <c r="AJ16" s="2765">
        <v>0</v>
      </c>
      <c r="AK16" s="2768">
        <v>3.8923865504081099</v>
      </c>
      <c r="AL16" s="2768">
        <v>18.917458283422</v>
      </c>
      <c r="AM16" s="2768">
        <v>50.045361265100901</v>
      </c>
      <c r="AN16" s="2768">
        <v>88.632894113714102</v>
      </c>
      <c r="AO16" s="2766" t="s">
        <v>510</v>
      </c>
    </row>
    <row r="17" spans="1:41" ht="12.75" customHeight="1">
      <c r="A17" s="2759"/>
      <c r="B17" s="2765" t="s">
        <v>3113</v>
      </c>
      <c r="C17" s="2766" t="s">
        <v>3614</v>
      </c>
      <c r="D17" s="2766" t="s">
        <v>3615</v>
      </c>
      <c r="E17" s="2766" t="s">
        <v>3616</v>
      </c>
      <c r="F17" s="2766" t="s">
        <v>3617</v>
      </c>
      <c r="G17" s="2767">
        <v>44561</v>
      </c>
      <c r="H17" s="2767">
        <v>49409</v>
      </c>
      <c r="I17" s="2765" t="s">
        <v>3079</v>
      </c>
      <c r="J17" s="2765" t="s">
        <v>3079</v>
      </c>
      <c r="K17" s="2765" t="s">
        <v>3079</v>
      </c>
      <c r="L17" s="2765" t="s">
        <v>3079</v>
      </c>
      <c r="M17" s="2765" t="s">
        <v>3079</v>
      </c>
      <c r="N17" s="2765" t="s">
        <v>3079</v>
      </c>
      <c r="O17" s="2765" t="s">
        <v>3079</v>
      </c>
      <c r="P17" s="2765">
        <v>0</v>
      </c>
      <c r="Q17" s="2765">
        <v>0</v>
      </c>
      <c r="R17" s="2765">
        <v>0</v>
      </c>
      <c r="S17" s="2765">
        <v>0</v>
      </c>
      <c r="T17" s="2765">
        <v>0</v>
      </c>
      <c r="U17" s="2768">
        <v>25.054915282938499</v>
      </c>
      <c r="V17" s="2768">
        <v>39.833598278583899</v>
      </c>
      <c r="W17" s="2768">
        <v>50.0328455729871</v>
      </c>
      <c r="X17" s="2770" t="s">
        <v>13</v>
      </c>
      <c r="Y17" s="2767">
        <v>44926</v>
      </c>
      <c r="Z17" s="2765" t="s">
        <v>3079</v>
      </c>
      <c r="AA17" s="2765" t="s">
        <v>3079</v>
      </c>
      <c r="AB17" s="2765" t="s">
        <v>3079</v>
      </c>
      <c r="AC17" s="2765" t="s">
        <v>3079</v>
      </c>
      <c r="AD17" s="2765" t="s">
        <v>3079</v>
      </c>
      <c r="AE17" s="2765" t="s">
        <v>3079</v>
      </c>
      <c r="AF17" s="2765" t="s">
        <v>3079</v>
      </c>
      <c r="AG17" s="2765" t="s">
        <v>3079</v>
      </c>
      <c r="AH17" s="2765" t="s">
        <v>3079</v>
      </c>
      <c r="AI17" s="2765" t="s">
        <v>3079</v>
      </c>
      <c r="AJ17" s="2765" t="s">
        <v>3079</v>
      </c>
      <c r="AK17" s="2768">
        <v>24.381618656153801</v>
      </c>
      <c r="AL17" s="2768">
        <v>122.106649792402</v>
      </c>
      <c r="AM17" s="2768">
        <v>279.707892089712</v>
      </c>
      <c r="AN17" s="2768">
        <v>340.62058549502598</v>
      </c>
      <c r="AO17" s="2766" t="s">
        <v>510</v>
      </c>
    </row>
    <row r="18" spans="1:41" ht="12.75" customHeight="1">
      <c r="A18" s="2759"/>
      <c r="B18" s="2765" t="s">
        <v>3118</v>
      </c>
      <c r="C18" s="2766" t="s">
        <v>3618</v>
      </c>
      <c r="D18" s="2766" t="s">
        <v>3619</v>
      </c>
      <c r="E18" s="2766" t="s">
        <v>3079</v>
      </c>
      <c r="F18" s="2766" t="s">
        <v>3590</v>
      </c>
      <c r="G18" s="2767">
        <v>44926</v>
      </c>
      <c r="H18" s="2765" t="s">
        <v>3079</v>
      </c>
      <c r="I18" s="2765" t="s">
        <v>3079</v>
      </c>
      <c r="J18" s="2765" t="s">
        <v>3079</v>
      </c>
      <c r="K18" s="2765" t="s">
        <v>3079</v>
      </c>
      <c r="L18" s="2765" t="s">
        <v>3079</v>
      </c>
      <c r="M18" s="2765" t="s">
        <v>3079</v>
      </c>
      <c r="N18" s="2765" t="s">
        <v>3079</v>
      </c>
      <c r="O18" s="2765" t="s">
        <v>3079</v>
      </c>
      <c r="P18" s="2765">
        <v>0</v>
      </c>
      <c r="Q18" s="2765">
        <v>0</v>
      </c>
      <c r="R18" s="2765">
        <v>0</v>
      </c>
      <c r="S18" s="2765">
        <v>0</v>
      </c>
      <c r="T18" s="2765">
        <v>0</v>
      </c>
      <c r="U18" s="2765">
        <v>0</v>
      </c>
      <c r="V18" s="2765">
        <v>0</v>
      </c>
      <c r="W18" s="2768">
        <v>36.863342814625597</v>
      </c>
      <c r="X18" s="2770" t="s">
        <v>13</v>
      </c>
      <c r="Y18" s="2767">
        <v>45657</v>
      </c>
      <c r="Z18" s="2765" t="s">
        <v>3079</v>
      </c>
      <c r="AA18" s="2765" t="s">
        <v>3079</v>
      </c>
      <c r="AB18" s="2765" t="s">
        <v>3079</v>
      </c>
      <c r="AC18" s="2765" t="s">
        <v>3079</v>
      </c>
      <c r="AD18" s="2765" t="s">
        <v>3079</v>
      </c>
      <c r="AE18" s="2765" t="s">
        <v>3079</v>
      </c>
      <c r="AF18" s="2765" t="s">
        <v>3079</v>
      </c>
      <c r="AG18" s="2765" t="s">
        <v>3079</v>
      </c>
      <c r="AH18" s="2765" t="s">
        <v>3079</v>
      </c>
      <c r="AI18" s="2765" t="s">
        <v>3079</v>
      </c>
      <c r="AJ18" s="2765" t="s">
        <v>3079</v>
      </c>
      <c r="AK18" s="2765" t="s">
        <v>3079</v>
      </c>
      <c r="AL18" s="2768">
        <v>30.006499999999999</v>
      </c>
      <c r="AM18" s="2768">
        <v>73.247500000000002</v>
      </c>
      <c r="AN18" s="2768">
        <v>111.32299999999999</v>
      </c>
      <c r="AO18" s="2766" t="s">
        <v>510</v>
      </c>
    </row>
    <row r="19" spans="1:41" ht="12.75" customHeight="1">
      <c r="A19" s="2759"/>
      <c r="B19" s="2765" t="s">
        <v>3121</v>
      </c>
      <c r="C19" s="2766" t="s">
        <v>3611</v>
      </c>
      <c r="D19" s="2766" t="s">
        <v>3425</v>
      </c>
      <c r="E19" s="2766" t="s">
        <v>3613</v>
      </c>
      <c r="F19" s="2766" t="s">
        <v>3112</v>
      </c>
      <c r="G19" s="2767">
        <v>44926</v>
      </c>
      <c r="H19" s="2767">
        <v>47299</v>
      </c>
      <c r="I19" s="2765" t="s">
        <v>3079</v>
      </c>
      <c r="J19" s="2765" t="s">
        <v>3079</v>
      </c>
      <c r="K19" s="2765" t="s">
        <v>3079</v>
      </c>
      <c r="L19" s="2765" t="s">
        <v>3079</v>
      </c>
      <c r="M19" s="2765" t="s">
        <v>3079</v>
      </c>
      <c r="N19" s="2765" t="s">
        <v>3079</v>
      </c>
      <c r="O19" s="2765" t="s">
        <v>3079</v>
      </c>
      <c r="P19" s="2765">
        <v>0</v>
      </c>
      <c r="Q19" s="2765">
        <v>0</v>
      </c>
      <c r="R19" s="2765">
        <v>0</v>
      </c>
      <c r="S19" s="2765">
        <v>0</v>
      </c>
      <c r="T19" s="2765">
        <v>0</v>
      </c>
      <c r="U19" s="2768">
        <v>0.133333333333333</v>
      </c>
      <c r="V19" s="2768">
        <v>6.31666666666667</v>
      </c>
      <c r="W19" s="2768">
        <v>36.299999999999997</v>
      </c>
      <c r="X19" s="2770" t="s">
        <v>13</v>
      </c>
      <c r="Y19" s="2767">
        <v>44561</v>
      </c>
      <c r="Z19" s="2765" t="s">
        <v>3079</v>
      </c>
      <c r="AA19" s="2765" t="s">
        <v>3079</v>
      </c>
      <c r="AB19" s="2765" t="s">
        <v>3079</v>
      </c>
      <c r="AC19" s="2765" t="s">
        <v>3079</v>
      </c>
      <c r="AD19" s="2765" t="s">
        <v>3079</v>
      </c>
      <c r="AE19" s="2765" t="s">
        <v>3079</v>
      </c>
      <c r="AF19" s="2765" t="s">
        <v>3079</v>
      </c>
      <c r="AG19" s="2765">
        <v>0</v>
      </c>
      <c r="AH19" s="2765">
        <v>0</v>
      </c>
      <c r="AI19" s="2765">
        <v>0</v>
      </c>
      <c r="AJ19" s="2765">
        <v>0</v>
      </c>
      <c r="AK19" s="2765">
        <v>0</v>
      </c>
      <c r="AL19" s="2768">
        <v>0.133333333333333</v>
      </c>
      <c r="AM19" s="2768">
        <v>6.31666666666667</v>
      </c>
      <c r="AN19" s="2768">
        <v>36.299999999999997</v>
      </c>
      <c r="AO19" s="2766" t="s">
        <v>510</v>
      </c>
    </row>
    <row r="20" spans="1:41" ht="12.75" customHeight="1">
      <c r="A20" s="2759"/>
      <c r="B20" s="2765" t="s">
        <v>3125</v>
      </c>
      <c r="C20" s="2766" t="s">
        <v>3620</v>
      </c>
      <c r="D20" s="2766" t="s">
        <v>3621</v>
      </c>
      <c r="E20" s="2766" t="s">
        <v>3079</v>
      </c>
      <c r="F20" s="2766" t="s">
        <v>3622</v>
      </c>
      <c r="G20" s="2767">
        <v>44561</v>
      </c>
      <c r="H20" s="2767">
        <v>47483</v>
      </c>
      <c r="I20" s="2765" t="s">
        <v>3079</v>
      </c>
      <c r="J20" s="2765" t="s">
        <v>3079</v>
      </c>
      <c r="K20" s="2765" t="s">
        <v>3079</v>
      </c>
      <c r="L20" s="2765" t="s">
        <v>3079</v>
      </c>
      <c r="M20" s="2765" t="s">
        <v>3079</v>
      </c>
      <c r="N20" s="2765" t="s">
        <v>3079</v>
      </c>
      <c r="O20" s="2765" t="s">
        <v>3079</v>
      </c>
      <c r="P20" s="2765">
        <v>0</v>
      </c>
      <c r="Q20" s="2765">
        <v>0</v>
      </c>
      <c r="R20" s="2765">
        <v>0</v>
      </c>
      <c r="S20" s="2765">
        <v>0</v>
      </c>
      <c r="T20" s="2765">
        <v>0</v>
      </c>
      <c r="U20" s="2765">
        <v>0</v>
      </c>
      <c r="V20" s="2765">
        <v>0</v>
      </c>
      <c r="W20" s="2768">
        <v>36.106876354007902</v>
      </c>
      <c r="X20" s="2770" t="s">
        <v>13</v>
      </c>
      <c r="Y20" s="2767">
        <v>45657</v>
      </c>
      <c r="Z20" s="2765" t="s">
        <v>3079</v>
      </c>
      <c r="AA20" s="2765" t="s">
        <v>3079</v>
      </c>
      <c r="AB20" s="2765" t="s">
        <v>3079</v>
      </c>
      <c r="AC20" s="2765" t="s">
        <v>3079</v>
      </c>
      <c r="AD20" s="2765" t="s">
        <v>3079</v>
      </c>
      <c r="AE20" s="2765" t="s">
        <v>3079</v>
      </c>
      <c r="AF20" s="2765" t="s">
        <v>3079</v>
      </c>
      <c r="AG20" s="2765" t="s">
        <v>3079</v>
      </c>
      <c r="AH20" s="2765" t="s">
        <v>3079</v>
      </c>
      <c r="AI20" s="2765" t="s">
        <v>3079</v>
      </c>
      <c r="AJ20" s="2765" t="s">
        <v>3079</v>
      </c>
      <c r="AK20" s="2768">
        <v>2.8083126053117198</v>
      </c>
      <c r="AL20" s="2768">
        <v>11.5107384524861</v>
      </c>
      <c r="AM20" s="2768">
        <v>42.414580705555203</v>
      </c>
      <c r="AN20" s="2768">
        <v>165.328929899169</v>
      </c>
      <c r="AO20" s="2766" t="s">
        <v>3623</v>
      </c>
    </row>
    <row r="21" spans="1:41" ht="12.75" customHeight="1">
      <c r="A21" s="2759"/>
      <c r="B21" s="2765" t="s">
        <v>3127</v>
      </c>
      <c r="C21" s="2766" t="s">
        <v>3624</v>
      </c>
      <c r="D21" s="2766" t="s">
        <v>3425</v>
      </c>
      <c r="E21" s="2766" t="s">
        <v>3625</v>
      </c>
      <c r="F21" s="2766" t="s">
        <v>3626</v>
      </c>
      <c r="G21" s="2767">
        <v>44196</v>
      </c>
      <c r="H21" s="2767">
        <v>48487</v>
      </c>
      <c r="I21" s="2765" t="s">
        <v>3079</v>
      </c>
      <c r="J21" s="2765" t="s">
        <v>3079</v>
      </c>
      <c r="K21" s="2765" t="s">
        <v>3079</v>
      </c>
      <c r="L21" s="2765" t="s">
        <v>3079</v>
      </c>
      <c r="M21" s="2765" t="s">
        <v>3079</v>
      </c>
      <c r="N21" s="2765" t="s">
        <v>3079</v>
      </c>
      <c r="O21" s="2765" t="s">
        <v>3079</v>
      </c>
      <c r="P21" s="2765">
        <v>0</v>
      </c>
      <c r="Q21" s="2765">
        <v>0</v>
      </c>
      <c r="R21" s="2765">
        <v>0</v>
      </c>
      <c r="S21" s="2765">
        <v>0</v>
      </c>
      <c r="T21" s="2765">
        <v>0</v>
      </c>
      <c r="U21" s="2768">
        <v>6.7398148148148103</v>
      </c>
      <c r="V21" s="2768">
        <v>16.9711711711712</v>
      </c>
      <c r="W21" s="2768">
        <v>33.907407407407398</v>
      </c>
      <c r="X21" s="2770" t="s">
        <v>13</v>
      </c>
      <c r="Y21" s="2767">
        <v>44926</v>
      </c>
      <c r="Z21" s="2765" t="s">
        <v>3079</v>
      </c>
      <c r="AA21" s="2765" t="s">
        <v>3079</v>
      </c>
      <c r="AB21" s="2765" t="s">
        <v>3079</v>
      </c>
      <c r="AC21" s="2765" t="s">
        <v>3079</v>
      </c>
      <c r="AD21" s="2765" t="s">
        <v>3079</v>
      </c>
      <c r="AE21" s="2765" t="s">
        <v>3079</v>
      </c>
      <c r="AF21" s="2765" t="s">
        <v>3079</v>
      </c>
      <c r="AG21" s="2765" t="s">
        <v>3079</v>
      </c>
      <c r="AH21" s="2765" t="s">
        <v>3079</v>
      </c>
      <c r="AI21" s="2765" t="s">
        <v>3079</v>
      </c>
      <c r="AJ21" s="2765" t="s">
        <v>3079</v>
      </c>
      <c r="AK21" s="2768">
        <v>49.506592896174901</v>
      </c>
      <c r="AL21" s="2768">
        <v>121.322250235007</v>
      </c>
      <c r="AM21" s="2768">
        <v>207.30377959843901</v>
      </c>
      <c r="AN21" s="2768">
        <v>306.43491245791301</v>
      </c>
      <c r="AO21" s="2766" t="s">
        <v>510</v>
      </c>
    </row>
    <row r="22" spans="1:41" ht="12.75" customHeight="1">
      <c r="A22" s="2771" t="s">
        <v>3131</v>
      </c>
      <c r="B22" s="2771"/>
      <c r="C22" s="2771"/>
      <c r="D22" s="2771"/>
      <c r="E22" s="2771"/>
      <c r="F22" s="2771"/>
      <c r="G22" s="2771"/>
      <c r="H22" s="2771"/>
      <c r="I22" s="2772" t="s">
        <v>3079</v>
      </c>
      <c r="J22" s="2772" t="s">
        <v>3079</v>
      </c>
      <c r="K22" s="2772" t="s">
        <v>3079</v>
      </c>
      <c r="L22" s="2772" t="s">
        <v>3079</v>
      </c>
      <c r="M22" s="2772" t="s">
        <v>3079</v>
      </c>
      <c r="N22" s="2772" t="s">
        <v>3079</v>
      </c>
      <c r="O22" s="2772" t="s">
        <v>3079</v>
      </c>
      <c r="P22" s="2765">
        <v>0</v>
      </c>
      <c r="Q22" s="2765">
        <v>0</v>
      </c>
      <c r="R22" s="2765">
        <v>0</v>
      </c>
      <c r="S22" s="2765">
        <v>0</v>
      </c>
      <c r="T22" s="2765">
        <v>0</v>
      </c>
      <c r="U22" s="2765">
        <v>0</v>
      </c>
      <c r="V22" s="2765">
        <v>0</v>
      </c>
      <c r="W22" s="2765">
        <v>0</v>
      </c>
      <c r="X22" s="2773" t="s">
        <v>3079</v>
      </c>
      <c r="Y22" s="2771"/>
      <c r="Z22" s="2774">
        <v>6078.2470605059998</v>
      </c>
      <c r="AA22" s="2774">
        <v>5510.9436532072204</v>
      </c>
      <c r="AB22" s="2774">
        <v>3400.6312253196302</v>
      </c>
      <c r="AC22" s="2774">
        <v>2625.33813206576</v>
      </c>
      <c r="AD22" s="2774">
        <v>2945.4756032994001</v>
      </c>
      <c r="AE22" s="2774">
        <v>3170.08490196816</v>
      </c>
      <c r="AF22" s="2774">
        <v>3611.5729041801901</v>
      </c>
      <c r="AG22" s="2774">
        <v>4197.4827009176097</v>
      </c>
      <c r="AH22" s="2774">
        <v>4907.6500768381802</v>
      </c>
      <c r="AI22" s="2774">
        <v>5891.5681652170897</v>
      </c>
      <c r="AJ22" s="2774">
        <v>7318.4729307612597</v>
      </c>
      <c r="AK22" s="2774">
        <v>9004.9693881409094</v>
      </c>
      <c r="AL22" s="2774">
        <v>10467.307888077101</v>
      </c>
      <c r="AM22" s="2774">
        <v>11748.164106185201</v>
      </c>
      <c r="AN22" s="2774">
        <v>12914.4079552042</v>
      </c>
      <c r="AO22" s="2771"/>
    </row>
    <row r="23" spans="1:41" ht="12.75" customHeight="1">
      <c r="A23" s="2771" t="s">
        <v>3132</v>
      </c>
      <c r="B23" s="2771"/>
      <c r="C23" s="2771"/>
      <c r="D23" s="2771"/>
      <c r="E23" s="2771"/>
      <c r="F23" s="2771"/>
      <c r="G23" s="2771"/>
      <c r="H23" s="2771"/>
      <c r="I23" s="2772" t="s">
        <v>3079</v>
      </c>
      <c r="J23" s="2772" t="s">
        <v>3079</v>
      </c>
      <c r="K23" s="2772" t="s">
        <v>3079</v>
      </c>
      <c r="L23" s="2772" t="s">
        <v>3079</v>
      </c>
      <c r="M23" s="2772" t="s">
        <v>3079</v>
      </c>
      <c r="N23" s="2772" t="s">
        <v>3079</v>
      </c>
      <c r="O23" s="2772" t="s">
        <v>3079</v>
      </c>
      <c r="P23" s="2772" t="s">
        <v>3079</v>
      </c>
      <c r="Q23" s="2772" t="s">
        <v>3079</v>
      </c>
      <c r="R23" s="2772" t="s">
        <v>3079</v>
      </c>
      <c r="S23" s="2774">
        <v>98.734161028050707</v>
      </c>
      <c r="T23" s="2774">
        <v>530.32053392953003</v>
      </c>
      <c r="U23" s="2774">
        <v>1334.32857627721</v>
      </c>
      <c r="V23" s="2774">
        <v>2796.1610299921399</v>
      </c>
      <c r="W23" s="2774">
        <v>4975.5843092555897</v>
      </c>
      <c r="X23" s="2950" t="s">
        <v>13</v>
      </c>
      <c r="Y23" s="2771"/>
      <c r="Z23" s="2774">
        <v>6078.2470605059998</v>
      </c>
      <c r="AA23" s="2774">
        <v>5510.9436532072204</v>
      </c>
      <c r="AB23" s="2774">
        <v>3400.6312253196302</v>
      </c>
      <c r="AC23" s="2774">
        <v>2625.33813206576</v>
      </c>
      <c r="AD23" s="2774">
        <v>2945.4756032994001</v>
      </c>
      <c r="AE23" s="2774">
        <v>3170.08490196816</v>
      </c>
      <c r="AF23" s="2774">
        <v>3629.74190418019</v>
      </c>
      <c r="AG23" s="2774">
        <v>4326.6577009176099</v>
      </c>
      <c r="AH23" s="2774">
        <v>5096.73158463242</v>
      </c>
      <c r="AI23" s="2774">
        <v>6154.0021460632297</v>
      </c>
      <c r="AJ23" s="2774">
        <v>7690.6543820310098</v>
      </c>
      <c r="AK23" s="2774">
        <v>10021.9082332408</v>
      </c>
      <c r="AL23" s="2774">
        <v>12607.474014782299</v>
      </c>
      <c r="AM23" s="2774">
        <v>15842.037808401899</v>
      </c>
      <c r="AN23" s="2774">
        <v>19675.313869429101</v>
      </c>
      <c r="AO23" s="2771"/>
    </row>
    <row r="26" spans="1:41" ht="12.75" customHeight="1">
      <c r="A26" s="3295" t="s">
        <v>3133</v>
      </c>
      <c r="B26" s="3295"/>
    </row>
    <row r="27" spans="1:41" ht="12.75" customHeight="1">
      <c r="A27" s="2762" t="s">
        <v>3134</v>
      </c>
      <c r="B27" s="2766" t="s">
        <v>3627</v>
      </c>
      <c r="C27" s="2766" t="s">
        <v>3585</v>
      </c>
      <c r="D27" s="2759" t="s">
        <v>3628</v>
      </c>
    </row>
    <row r="28" spans="1:41" ht="12.75" customHeight="1">
      <c r="A28" s="2762" t="s">
        <v>3136</v>
      </c>
      <c r="B28" s="2759" t="s">
        <v>3137</v>
      </c>
    </row>
    <row r="29" spans="1:41" ht="12.75" customHeight="1">
      <c r="A29" s="2759"/>
      <c r="B29" s="3296" t="s">
        <v>3138</v>
      </c>
      <c r="C29" s="3296"/>
      <c r="D29" s="3296"/>
      <c r="E29" s="3296"/>
      <c r="F29" s="3296"/>
      <c r="G29" s="3296"/>
      <c r="H29" s="3296"/>
      <c r="I29" s="3296"/>
      <c r="J29" s="3296"/>
      <c r="K29" s="3296"/>
      <c r="L29" s="3296"/>
      <c r="M29" s="3296"/>
      <c r="N29" s="3296"/>
      <c r="O29" s="3296"/>
      <c r="P29" s="3296"/>
      <c r="Q29" s="3296"/>
      <c r="R29" s="3296"/>
      <c r="S29" s="3296"/>
      <c r="T29" s="3296"/>
      <c r="U29" s="3296"/>
      <c r="V29" s="3296"/>
      <c r="W29" s="3296"/>
      <c r="X29" s="3296"/>
      <c r="Y29" s="3296"/>
      <c r="Z29" s="3296"/>
      <c r="AA29" s="3296"/>
      <c r="AB29" s="3296"/>
      <c r="AC29" s="3296"/>
      <c r="AD29" s="3296"/>
      <c r="AE29" s="3296"/>
      <c r="AF29" s="3296"/>
      <c r="AG29" s="3296"/>
      <c r="AH29" s="3296"/>
      <c r="AI29" s="3296"/>
      <c r="AJ29" s="3296"/>
      <c r="AK29" s="3296"/>
      <c r="AL29" s="3296"/>
      <c r="AM29" s="3296"/>
      <c r="AN29" s="3296"/>
    </row>
    <row r="36" spans="3:3" ht="12.75" customHeight="1">
      <c r="C36" s="2766" t="s">
        <v>3587</v>
      </c>
    </row>
    <row r="37" spans="3:3" ht="12.75" customHeight="1">
      <c r="C37" s="2766" t="s">
        <v>3591</v>
      </c>
    </row>
    <row r="38" spans="3:3" ht="12.75" customHeight="1">
      <c r="C38" s="2766" t="s">
        <v>3595</v>
      </c>
    </row>
    <row r="39" spans="3:3" ht="12.75" customHeight="1">
      <c r="C39" s="2766" t="s">
        <v>3591</v>
      </c>
    </row>
    <row r="40" spans="3:3" ht="12.75" customHeight="1">
      <c r="C40" s="2766" t="s">
        <v>3598</v>
      </c>
    </row>
    <row r="41" spans="3:3" ht="12.75" customHeight="1">
      <c r="C41" s="2766" t="s">
        <v>3601</v>
      </c>
    </row>
    <row r="42" spans="3:3" ht="12.75" customHeight="1">
      <c r="C42" s="2766" t="s">
        <v>3604</v>
      </c>
    </row>
    <row r="43" spans="3:3" ht="12.75" customHeight="1">
      <c r="C43" s="2766" t="s">
        <v>3607</v>
      </c>
    </row>
    <row r="44" spans="3:3" ht="12.75" customHeight="1">
      <c r="C44" s="2766" t="s">
        <v>3611</v>
      </c>
    </row>
    <row r="45" spans="3:3" ht="12.75" customHeight="1">
      <c r="C45" s="2766" t="s">
        <v>3614</v>
      </c>
    </row>
    <row r="46" spans="3:3" ht="12.75" customHeight="1">
      <c r="C46" s="2766" t="s">
        <v>3618</v>
      </c>
    </row>
    <row r="47" spans="3:3" ht="12.75" customHeight="1">
      <c r="C47" s="2766" t="s">
        <v>3611</v>
      </c>
    </row>
    <row r="48" spans="3:3" ht="12.75" customHeight="1">
      <c r="C48" s="2766" t="s">
        <v>3620</v>
      </c>
    </row>
    <row r="49" spans="3:3" ht="12.75" customHeight="1">
      <c r="C49" s="2766" t="s">
        <v>3624</v>
      </c>
    </row>
  </sheetData>
  <mergeCells count="5">
    <mergeCell ref="B1:AO1"/>
    <mergeCell ref="B2:AO2"/>
    <mergeCell ref="B3:AO3"/>
    <mergeCell ref="A26:B26"/>
    <mergeCell ref="B29:AN29"/>
  </mergeCells>
  <conditionalFormatting sqref="C36:C49">
    <cfRule type="duplicateValues" dxfId="149" priority="1"/>
  </conditionalFormatting>
  <pageMargins left="0.78740157480314998" right="0.78740157480314998" top="0.78740157480314998" bottom="0.78740157480314998" header="0.39370078740157499" footer="0.39370078740157499"/>
  <pageSetup paperSize="9" fitToWidth="0" fitToHeight="0" orientation="portrait"/>
  <legacy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99"/>
  <sheetViews>
    <sheetView zoomScale="75" zoomScaleNormal="75" workbookViewId="0">
      <pane ySplit="3" topLeftCell="A54" activePane="bottomLeft" state="frozen"/>
      <selection activeCell="A4" sqref="A4"/>
      <selection pane="bottomLeft" activeCell="C58" sqref="C58"/>
    </sheetView>
  </sheetViews>
  <sheetFormatPr defaultRowHeight="15"/>
  <cols>
    <col min="1" max="1" width="49.83203125" style="2843" customWidth="1"/>
    <col min="2" max="13" width="24.1640625" style="2843" customWidth="1"/>
    <col min="14" max="16384" width="9.33203125" style="2843"/>
  </cols>
  <sheetData>
    <row r="1" spans="1:13" s="2779" customFormat="1" ht="159.75" customHeight="1">
      <c r="A1" s="2853" t="s">
        <v>3174</v>
      </c>
      <c r="B1" s="2777"/>
      <c r="C1" s="2777"/>
      <c r="D1" s="2777"/>
      <c r="E1" s="2777"/>
      <c r="F1" s="2777"/>
      <c r="G1" s="2777"/>
      <c r="H1" s="2777"/>
      <c r="I1" s="2777"/>
      <c r="J1" s="2777"/>
      <c r="K1" s="2777"/>
      <c r="L1" s="2777"/>
      <c r="M1" s="2777"/>
    </row>
    <row r="2" spans="1:13" s="2780" customFormat="1" ht="45" customHeight="1">
      <c r="A2" s="3297" t="s">
        <v>3140</v>
      </c>
      <c r="B2" s="3298"/>
      <c r="C2" s="3298"/>
      <c r="D2" s="3298"/>
      <c r="E2" s="3298"/>
      <c r="F2" s="3298"/>
      <c r="G2" s="3298"/>
      <c r="H2" s="3298"/>
      <c r="I2" s="3298"/>
      <c r="J2" s="3298"/>
      <c r="K2" s="3298"/>
      <c r="L2" s="3299"/>
    </row>
    <row r="3" spans="1:13" s="2782" customFormat="1" ht="27" customHeight="1">
      <c r="A3" s="2781"/>
      <c r="B3" s="2781">
        <v>2012</v>
      </c>
      <c r="C3" s="2781">
        <v>2013</v>
      </c>
      <c r="D3" s="2781">
        <v>2014</v>
      </c>
      <c r="E3" s="2781">
        <v>2015</v>
      </c>
      <c r="F3" s="2781">
        <v>2016</v>
      </c>
      <c r="G3" s="2781">
        <v>2017</v>
      </c>
      <c r="H3" s="2781">
        <v>2018</v>
      </c>
      <c r="I3" s="2781">
        <v>2019</v>
      </c>
      <c r="J3" s="2781">
        <v>2020</v>
      </c>
      <c r="K3" s="2781">
        <v>2021</v>
      </c>
      <c r="L3" s="2782">
        <v>2022</v>
      </c>
      <c r="M3" s="2782" t="s">
        <v>3141</v>
      </c>
    </row>
    <row r="4" spans="1:13" s="2786" customFormat="1" ht="21">
      <c r="A4" s="2783" t="s">
        <v>3143</v>
      </c>
      <c r="B4" s="2784">
        <v>28045580767.160305</v>
      </c>
      <c r="C4" s="2784">
        <v>31108489066.697113</v>
      </c>
      <c r="D4" s="2784">
        <v>34774320273.064064</v>
      </c>
      <c r="E4" s="2784">
        <v>38256224579.862305</v>
      </c>
      <c r="F4" s="2784">
        <v>42329059415.661835</v>
      </c>
      <c r="G4" s="2784">
        <v>46221236021.006554</v>
      </c>
      <c r="H4" s="2784">
        <v>50432153216.370293</v>
      </c>
      <c r="I4" s="2784">
        <v>54596512632.372841</v>
      </c>
      <c r="J4" s="2784">
        <v>58811038150.227821</v>
      </c>
      <c r="K4" s="2784">
        <v>63117902101.817032</v>
      </c>
      <c r="L4" s="2784">
        <v>67724885872.656143</v>
      </c>
      <c r="M4" s="2785">
        <v>9.2165325854839608E-2</v>
      </c>
    </row>
    <row r="5" spans="1:13" s="2790" customFormat="1" ht="15" customHeight="1">
      <c r="A5" s="2787" t="s">
        <v>3175</v>
      </c>
      <c r="B5" s="2854"/>
      <c r="C5" s="2854"/>
      <c r="D5" s="2854"/>
      <c r="E5" s="2854"/>
      <c r="F5" s="2854"/>
      <c r="G5" s="2854"/>
      <c r="H5" s="2854"/>
      <c r="I5" s="2854"/>
      <c r="J5" s="2854"/>
      <c r="K5" s="2854"/>
      <c r="L5" s="2854"/>
      <c r="M5" s="2854"/>
    </row>
    <row r="6" spans="1:13" s="2790" customFormat="1" ht="15" customHeight="1">
      <c r="A6" s="2793" t="s">
        <v>3146</v>
      </c>
      <c r="B6" s="2788"/>
      <c r="C6" s="2788"/>
      <c r="D6" s="2788"/>
      <c r="E6" s="2788"/>
      <c r="F6" s="2788"/>
      <c r="G6" s="2788"/>
      <c r="H6" s="2788"/>
      <c r="I6" s="2788"/>
      <c r="J6" s="2788"/>
      <c r="K6" s="2788"/>
      <c r="L6" s="2788"/>
      <c r="M6" s="2789"/>
    </row>
    <row r="7" spans="1:13" s="2790" customFormat="1" ht="15" customHeight="1">
      <c r="A7" s="2794" t="s">
        <v>3176</v>
      </c>
      <c r="B7" s="2795">
        <v>23869089441.850777</v>
      </c>
      <c r="C7" s="2795">
        <v>26129726797.135384</v>
      </c>
      <c r="D7" s="2795">
        <v>29137189245.999767</v>
      </c>
      <c r="E7" s="2795">
        <v>31775904815.522293</v>
      </c>
      <c r="F7" s="2795">
        <v>34763760876.780899</v>
      </c>
      <c r="G7" s="2795">
        <v>37611852792.468651</v>
      </c>
      <c r="H7" s="2795">
        <v>40594005667.408089</v>
      </c>
      <c r="I7" s="2795">
        <v>43503173116.468048</v>
      </c>
      <c r="J7" s="2795">
        <v>46405965418.797928</v>
      </c>
      <c r="K7" s="2795">
        <v>49320751233.147652</v>
      </c>
      <c r="L7" s="2795">
        <v>52306437973.880684</v>
      </c>
      <c r="M7" s="2855">
        <v>8.1613077095848308E-2</v>
      </c>
    </row>
    <row r="8" spans="1:13" s="2790" customFormat="1" ht="15" customHeight="1">
      <c r="A8" s="2794" t="s">
        <v>2942</v>
      </c>
      <c r="B8" s="2795">
        <v>16384251936.863697</v>
      </c>
      <c r="C8" s="2795">
        <v>18104852096.287029</v>
      </c>
      <c r="D8" s="2795">
        <v>20388898625.862068</v>
      </c>
      <c r="E8" s="2795">
        <v>22335137313.03701</v>
      </c>
      <c r="F8" s="2795">
        <v>24637078394.806534</v>
      </c>
      <c r="G8" s="2795">
        <v>26869104443.148354</v>
      </c>
      <c r="H8" s="2795">
        <v>29250879925.131039</v>
      </c>
      <c r="I8" s="2795">
        <v>31587696719.334869</v>
      </c>
      <c r="J8" s="2795">
        <v>33945291800.843475</v>
      </c>
      <c r="K8" s="2795">
        <v>36307969934.736031</v>
      </c>
      <c r="L8" s="2795">
        <v>38750812815.544563</v>
      </c>
      <c r="M8" s="2855">
        <v>8.9896906496358175E-2</v>
      </c>
    </row>
    <row r="9" spans="1:13" s="2790" customFormat="1" ht="15" customHeight="1">
      <c r="A9" s="2794" t="s">
        <v>3148</v>
      </c>
      <c r="B9" s="2795">
        <v>5036653052.4598198</v>
      </c>
      <c r="C9" s="2795">
        <v>5468816743.1268053</v>
      </c>
      <c r="D9" s="2795">
        <v>5918902237.8626041</v>
      </c>
      <c r="E9" s="2795">
        <v>6384785359.04737</v>
      </c>
      <c r="F9" s="2795">
        <v>6825130528.3119707</v>
      </c>
      <c r="G9" s="2795">
        <v>7214023867.2315302</v>
      </c>
      <c r="H9" s="2795">
        <v>7610469708.8294029</v>
      </c>
      <c r="I9" s="2795">
        <v>8011991350.0557785</v>
      </c>
      <c r="J9" s="2795">
        <v>8406106072.1571436</v>
      </c>
      <c r="K9" s="2795">
        <v>8815980565.2947235</v>
      </c>
      <c r="L9" s="2795">
        <v>9221138418.7048721</v>
      </c>
      <c r="M9" s="2855">
        <v>6.234175240365647E-2</v>
      </c>
    </row>
    <row r="10" spans="1:13" s="2790" customFormat="1" ht="15" customHeight="1">
      <c r="A10" s="2794" t="s">
        <v>3149</v>
      </c>
      <c r="B10" s="2795">
        <v>2448184452.5272646</v>
      </c>
      <c r="C10" s="2795">
        <v>2556057957.7215509</v>
      </c>
      <c r="D10" s="2795">
        <v>2829388382.2750983</v>
      </c>
      <c r="E10" s="2795">
        <v>3055982143.437912</v>
      </c>
      <c r="F10" s="2795">
        <v>3301551953.6623945</v>
      </c>
      <c r="G10" s="2795">
        <v>3528724482.0887637</v>
      </c>
      <c r="H10" s="2795">
        <v>3732656033.4476366</v>
      </c>
      <c r="I10" s="2795">
        <v>3903485047.0773973</v>
      </c>
      <c r="J10" s="2795">
        <v>4054567545.7973108</v>
      </c>
      <c r="K10" s="2795">
        <v>4196800733.116888</v>
      </c>
      <c r="L10" s="2795">
        <v>4334486739.631258</v>
      </c>
      <c r="M10" s="2855">
        <v>5.8788838219536066E-2</v>
      </c>
    </row>
    <row r="11" spans="1:13" s="2790" customFormat="1" ht="15" customHeight="1">
      <c r="A11" s="2794" t="s">
        <v>3177</v>
      </c>
      <c r="B11" s="2795">
        <v>2396460190.0151191</v>
      </c>
      <c r="C11" s="2795">
        <v>2872697194.8761797</v>
      </c>
      <c r="D11" s="2795">
        <v>3350351888.6763735</v>
      </c>
      <c r="E11" s="2795">
        <v>3896248961.0908518</v>
      </c>
      <c r="F11" s="2795">
        <v>4628357554.7557421</v>
      </c>
      <c r="G11" s="2795">
        <v>5263777941.9512444</v>
      </c>
      <c r="H11" s="2795">
        <v>5985696392.4732265</v>
      </c>
      <c r="I11" s="2795">
        <v>6736607662.4498901</v>
      </c>
      <c r="J11" s="2795">
        <v>7459169730.3637867</v>
      </c>
      <c r="K11" s="2795">
        <v>8201121742.0581226</v>
      </c>
      <c r="L11" s="2795">
        <v>9154011546.9647465</v>
      </c>
      <c r="M11" s="2855">
        <v>0.14341562780126194</v>
      </c>
    </row>
    <row r="12" spans="1:13" s="2790" customFormat="1" ht="15" customHeight="1">
      <c r="A12" s="2794" t="s">
        <v>3178</v>
      </c>
      <c r="B12" s="2795">
        <v>1459614943.3561354</v>
      </c>
      <c r="C12" s="2795">
        <v>1722949255.6405213</v>
      </c>
      <c r="D12" s="2795">
        <v>1831925829.1184926</v>
      </c>
      <c r="E12" s="2795">
        <v>2058893637.081744</v>
      </c>
      <c r="F12" s="2795">
        <v>2333243103.5792966</v>
      </c>
      <c r="G12" s="2795">
        <v>2659355577.3855491</v>
      </c>
      <c r="H12" s="2795">
        <v>3051799278.8748102</v>
      </c>
      <c r="I12" s="2795">
        <v>3454736127.9064999</v>
      </c>
      <c r="J12" s="2795">
        <v>3934590166.1724672</v>
      </c>
      <c r="K12" s="2795">
        <v>4440862142.5337915</v>
      </c>
      <c r="L12" s="2795">
        <v>4986966441.6164913</v>
      </c>
      <c r="M12" s="2855">
        <v>0.13073234235746467</v>
      </c>
    </row>
    <row r="13" spans="1:13" s="2790" customFormat="1" ht="15" customHeight="1">
      <c r="A13" s="2794" t="s">
        <v>3151</v>
      </c>
      <c r="B13" s="2795">
        <v>320416191.93826938</v>
      </c>
      <c r="C13" s="2795">
        <v>383115819.04502869</v>
      </c>
      <c r="D13" s="2795">
        <v>454853309.26943159</v>
      </c>
      <c r="E13" s="2795">
        <v>525177166.1674211</v>
      </c>
      <c r="F13" s="2795">
        <v>603697880.54589415</v>
      </c>
      <c r="G13" s="2795">
        <v>686249709.2011137</v>
      </c>
      <c r="H13" s="2795">
        <v>800651877.61417031</v>
      </c>
      <c r="I13" s="2795">
        <v>901995725.54839933</v>
      </c>
      <c r="J13" s="2795">
        <v>1011312834.8936353</v>
      </c>
      <c r="K13" s="2795">
        <v>1155166984.077477</v>
      </c>
      <c r="L13" s="2795">
        <v>1277469910.1942148</v>
      </c>
      <c r="M13" s="2855">
        <v>0.14832183393586873</v>
      </c>
    </row>
    <row r="14" spans="1:13" s="2790" customFormat="1" ht="15" customHeight="1">
      <c r="A14" s="2796"/>
      <c r="B14" s="2797"/>
      <c r="C14" s="2797"/>
      <c r="D14" s="2797"/>
      <c r="E14" s="2797"/>
      <c r="F14" s="2797"/>
      <c r="G14" s="2797"/>
      <c r="H14" s="2797"/>
      <c r="I14" s="2797"/>
      <c r="J14" s="2797"/>
      <c r="K14" s="2797"/>
      <c r="L14" s="2797"/>
      <c r="M14" s="2856"/>
    </row>
    <row r="15" spans="1:13" s="2790" customFormat="1" ht="15" customHeight="1">
      <c r="A15" s="2798" t="s">
        <v>3152</v>
      </c>
      <c r="B15" s="2799"/>
      <c r="C15" s="2799"/>
      <c r="D15" s="2799"/>
      <c r="E15" s="2799"/>
      <c r="F15" s="2799"/>
      <c r="G15" s="2799"/>
      <c r="H15" s="2799"/>
      <c r="I15" s="2799"/>
      <c r="J15" s="2799"/>
      <c r="K15" s="2799"/>
      <c r="L15" s="2799"/>
      <c r="M15" s="2856"/>
    </row>
    <row r="16" spans="1:13" s="2790" customFormat="1" ht="15" customHeight="1">
      <c r="A16" s="2794" t="s">
        <v>3153</v>
      </c>
      <c r="B16" s="2800">
        <v>16384251936.863697</v>
      </c>
      <c r="C16" s="2800">
        <v>18104852096.287029</v>
      </c>
      <c r="D16" s="2800">
        <v>20388898625.862068</v>
      </c>
      <c r="E16" s="2800">
        <v>22335137313.03701</v>
      </c>
      <c r="F16" s="2800">
        <v>24637078394.806534</v>
      </c>
      <c r="G16" s="2800">
        <v>26869104443.148354</v>
      </c>
      <c r="H16" s="2800">
        <v>29250879925.131039</v>
      </c>
      <c r="I16" s="2800">
        <v>31587696719.334869</v>
      </c>
      <c r="J16" s="2800">
        <v>33945291800.843475</v>
      </c>
      <c r="K16" s="2800">
        <v>36307969934.736031</v>
      </c>
      <c r="L16" s="2800">
        <v>38750812815.544563</v>
      </c>
      <c r="M16" s="2855">
        <v>8.9896906496358175E-2</v>
      </c>
    </row>
    <row r="17" spans="1:13" s="2790" customFormat="1" ht="15" customHeight="1">
      <c r="A17" s="2794" t="s">
        <v>3154</v>
      </c>
      <c r="B17" s="2800">
        <v>987261755.53363585</v>
      </c>
      <c r="C17" s="2800">
        <v>1084146005.1197891</v>
      </c>
      <c r="D17" s="2800">
        <v>1195737217.2769084</v>
      </c>
      <c r="E17" s="2800">
        <v>1306460708.0742791</v>
      </c>
      <c r="F17" s="2800">
        <v>1412552767.0622849</v>
      </c>
      <c r="G17" s="2800">
        <v>1510749815.4447494</v>
      </c>
      <c r="H17" s="2800">
        <v>1611832701.8978198</v>
      </c>
      <c r="I17" s="2800">
        <v>1715227774.6434059</v>
      </c>
      <c r="J17" s="2800">
        <v>1819883506.3387024</v>
      </c>
      <c r="K17" s="2800">
        <v>1928320685.6153321</v>
      </c>
      <c r="L17" s="2800">
        <v>2037595493.4643998</v>
      </c>
      <c r="M17" s="2855">
        <v>7.5148778332895239E-2</v>
      </c>
    </row>
    <row r="18" spans="1:13" s="2790" customFormat="1" ht="15" customHeight="1">
      <c r="A18" s="2794" t="s">
        <v>3155</v>
      </c>
      <c r="B18" s="2800">
        <v>1186417808.2220993</v>
      </c>
      <c r="C18" s="2800">
        <v>1272307059.9850926</v>
      </c>
      <c r="D18" s="2800">
        <v>1350764964.0205524</v>
      </c>
      <c r="E18" s="2800">
        <v>1425834640.6385126</v>
      </c>
      <c r="F18" s="2800">
        <v>1503327269.7517743</v>
      </c>
      <c r="G18" s="2800">
        <v>1560658153.9252272</v>
      </c>
      <c r="H18" s="2800">
        <v>1618421889.0901856</v>
      </c>
      <c r="I18" s="2800">
        <v>1676799840.7471595</v>
      </c>
      <c r="J18" s="2800">
        <v>1726390229.4601121</v>
      </c>
      <c r="K18" s="2800">
        <v>1779033119.725225</v>
      </c>
      <c r="L18" s="2800">
        <v>1825472445.4226534</v>
      </c>
      <c r="M18" s="2855">
        <v>4.4031885405877436E-2</v>
      </c>
    </row>
    <row r="19" spans="1:13" s="2790" customFormat="1" ht="15" customHeight="1">
      <c r="A19" s="2794" t="s">
        <v>3156</v>
      </c>
      <c r="B19" s="2800">
        <v>885837489.77195859</v>
      </c>
      <c r="C19" s="2800">
        <v>942162312.96645498</v>
      </c>
      <c r="D19" s="2800">
        <v>1020494249.4516995</v>
      </c>
      <c r="E19" s="2800">
        <v>1102714386.4881237</v>
      </c>
      <c r="F19" s="2800">
        <v>1188812369.0239477</v>
      </c>
      <c r="G19" s="2800">
        <v>1262945885.1416657</v>
      </c>
      <c r="H19" s="2800">
        <v>1335921524.5799041</v>
      </c>
      <c r="I19" s="2800">
        <v>1412302370.627821</v>
      </c>
      <c r="J19" s="2800">
        <v>1485629500.5526557</v>
      </c>
      <c r="K19" s="2800">
        <v>1564510735.6697779</v>
      </c>
      <c r="L19" s="2800">
        <v>1641795188.3885379</v>
      </c>
      <c r="M19" s="2855">
        <v>6.3644484052792105E-2</v>
      </c>
    </row>
    <row r="20" spans="1:13" s="2790" customFormat="1" ht="15" customHeight="1">
      <c r="A20" s="2794" t="s">
        <v>3157</v>
      </c>
      <c r="B20" s="2800">
        <v>1352880098.5833583</v>
      </c>
      <c r="C20" s="2800">
        <v>1479770781.600518</v>
      </c>
      <c r="D20" s="2800">
        <v>1602480040.9960492</v>
      </c>
      <c r="E20" s="2800">
        <v>1733391964.1380043</v>
      </c>
      <c r="F20" s="2800">
        <v>1843823519.7119622</v>
      </c>
      <c r="G20" s="2800">
        <v>1947557384.1231065</v>
      </c>
      <c r="H20" s="2800">
        <v>2054655411.6059194</v>
      </c>
      <c r="I20" s="2800">
        <v>2161088238.443182</v>
      </c>
      <c r="J20" s="2800">
        <v>2269963314.924253</v>
      </c>
      <c r="K20" s="2800">
        <v>2383063729.2327118</v>
      </c>
      <c r="L20" s="2800">
        <v>2497341188.0719395</v>
      </c>
      <c r="M20" s="2855">
        <v>6.32168657457155E-2</v>
      </c>
    </row>
    <row r="21" spans="1:13" s="2790" customFormat="1" ht="15" customHeight="1">
      <c r="A21" s="2794" t="s">
        <v>3158</v>
      </c>
      <c r="B21" s="2800">
        <v>624255900.348768</v>
      </c>
      <c r="C21" s="2800">
        <v>690430583.45495045</v>
      </c>
      <c r="D21" s="2800">
        <v>749425766.1173954</v>
      </c>
      <c r="E21" s="2800">
        <v>816383659.7084502</v>
      </c>
      <c r="F21" s="2800">
        <v>876614602.76200223</v>
      </c>
      <c r="G21" s="2800">
        <v>932112628.59678197</v>
      </c>
      <c r="H21" s="2800">
        <v>989638181.65557504</v>
      </c>
      <c r="I21" s="2800">
        <v>1046573125.5942093</v>
      </c>
      <c r="J21" s="2800">
        <v>1104239520.8814194</v>
      </c>
      <c r="K21" s="2800">
        <v>1161052295.0516777</v>
      </c>
      <c r="L21" s="2800">
        <v>1218934103.3573413</v>
      </c>
      <c r="M21" s="2855">
        <v>6.9206910927723131E-2</v>
      </c>
    </row>
    <row r="22" spans="1:13" s="2790" customFormat="1" ht="15" customHeight="1">
      <c r="A22" s="2794" t="s">
        <v>3149</v>
      </c>
      <c r="B22" s="2800">
        <v>2448184452.5272646</v>
      </c>
      <c r="C22" s="2800">
        <v>2556057957.7215509</v>
      </c>
      <c r="D22" s="2800">
        <v>2829388382.2750983</v>
      </c>
      <c r="E22" s="2800">
        <v>3055982143.437912</v>
      </c>
      <c r="F22" s="2800">
        <v>3301551953.6623945</v>
      </c>
      <c r="G22" s="2800">
        <v>3528724482.0887637</v>
      </c>
      <c r="H22" s="2800">
        <v>3732656033.4476366</v>
      </c>
      <c r="I22" s="2800">
        <v>3903485047.0773973</v>
      </c>
      <c r="J22" s="2800">
        <v>4054567545.7973108</v>
      </c>
      <c r="K22" s="2800">
        <v>4196800733.116888</v>
      </c>
      <c r="L22" s="2800">
        <v>4334486739.631258</v>
      </c>
      <c r="M22" s="2855">
        <v>5.8788838219536066E-2</v>
      </c>
    </row>
    <row r="23" spans="1:13" s="2790" customFormat="1" ht="15" customHeight="1">
      <c r="A23" s="2794" t="s">
        <v>3177</v>
      </c>
      <c r="B23" s="2800">
        <v>2396460190.0151191</v>
      </c>
      <c r="C23" s="2800">
        <v>2872697194.8761797</v>
      </c>
      <c r="D23" s="2800">
        <v>3350351888.6763735</v>
      </c>
      <c r="E23" s="2800">
        <v>3896248961.0908518</v>
      </c>
      <c r="F23" s="2800">
        <v>4628357554.7557421</v>
      </c>
      <c r="G23" s="2800">
        <v>5263777941.9512444</v>
      </c>
      <c r="H23" s="2800">
        <v>5985696392.4732265</v>
      </c>
      <c r="I23" s="2800">
        <v>6736607662.4498901</v>
      </c>
      <c r="J23" s="2800">
        <v>7459169730.3637867</v>
      </c>
      <c r="K23" s="2800">
        <v>8201121742.0581226</v>
      </c>
      <c r="L23" s="2800">
        <v>9154011546.9647465</v>
      </c>
      <c r="M23" s="2855">
        <v>0.14341562780126194</v>
      </c>
    </row>
    <row r="24" spans="1:13" s="2790" customFormat="1" ht="15" customHeight="1">
      <c r="A24" s="2794" t="s">
        <v>3178</v>
      </c>
      <c r="B24" s="2800">
        <v>1459614943.3561354</v>
      </c>
      <c r="C24" s="2800">
        <v>1722949255.6405213</v>
      </c>
      <c r="D24" s="2800">
        <v>1831925829.1184926</v>
      </c>
      <c r="E24" s="2800">
        <v>2058893637.081744</v>
      </c>
      <c r="F24" s="2800">
        <v>2333243103.5792966</v>
      </c>
      <c r="G24" s="2800">
        <v>2659355577.3855491</v>
      </c>
      <c r="H24" s="2800">
        <v>3051799278.8748102</v>
      </c>
      <c r="I24" s="2800">
        <v>3454736127.9064999</v>
      </c>
      <c r="J24" s="2800">
        <v>3934590166.1724672</v>
      </c>
      <c r="K24" s="2800">
        <v>4440862142.5337915</v>
      </c>
      <c r="L24" s="2800">
        <v>4986966441.6164913</v>
      </c>
      <c r="M24" s="2855">
        <v>0.13073234235746467</v>
      </c>
    </row>
    <row r="25" spans="1:13" s="2790" customFormat="1" ht="15" customHeight="1">
      <c r="A25" s="2794" t="s">
        <v>3151</v>
      </c>
      <c r="B25" s="2800">
        <v>320416191.93826938</v>
      </c>
      <c r="C25" s="2800">
        <v>383115819.04502869</v>
      </c>
      <c r="D25" s="2800">
        <v>454853309.26943159</v>
      </c>
      <c r="E25" s="2800">
        <v>525177166.1674211</v>
      </c>
      <c r="F25" s="2800">
        <v>603697880.54589415</v>
      </c>
      <c r="G25" s="2800">
        <v>686249709.2011137</v>
      </c>
      <c r="H25" s="2800">
        <v>800651877.61417031</v>
      </c>
      <c r="I25" s="2800">
        <v>901995725.54839933</v>
      </c>
      <c r="J25" s="2800">
        <v>1011312834.8936353</v>
      </c>
      <c r="K25" s="2800">
        <v>1155166984.077477</v>
      </c>
      <c r="L25" s="2800">
        <v>1277469910.1942148</v>
      </c>
      <c r="M25" s="2855">
        <v>0.14832183393586873</v>
      </c>
    </row>
    <row r="26" spans="1:13" s="2786" customFormat="1" ht="15" customHeight="1">
      <c r="A26" s="2801"/>
      <c r="B26" s="2799"/>
      <c r="C26" s="2799"/>
      <c r="D26" s="2799"/>
      <c r="E26" s="2799"/>
      <c r="F26" s="2799"/>
      <c r="G26" s="2799"/>
      <c r="H26" s="2799"/>
      <c r="I26" s="2799"/>
      <c r="J26" s="2799"/>
      <c r="K26" s="2799"/>
      <c r="L26" s="2802"/>
      <c r="M26" s="2820"/>
    </row>
    <row r="27" spans="1:13" ht="15" customHeight="1">
      <c r="A27" s="2857"/>
      <c r="B27" s="2858"/>
      <c r="C27" s="2799"/>
      <c r="D27" s="2799"/>
      <c r="E27" s="2799"/>
      <c r="F27" s="2799"/>
      <c r="G27" s="2799"/>
      <c r="H27" s="2799"/>
      <c r="I27" s="2799"/>
      <c r="J27" s="2799"/>
      <c r="K27" s="2799"/>
      <c r="L27" s="2799"/>
      <c r="M27" s="2820"/>
    </row>
    <row r="28" spans="1:13" s="2786" customFormat="1" ht="15" customHeight="1">
      <c r="A28" s="2793" t="s">
        <v>3159</v>
      </c>
      <c r="B28" s="2804"/>
      <c r="C28" s="2804"/>
      <c r="D28" s="2804"/>
      <c r="E28" s="2804"/>
      <c r="F28" s="2804"/>
      <c r="G28" s="2804"/>
      <c r="H28" s="2804"/>
      <c r="I28" s="2804"/>
      <c r="J28" s="2804"/>
      <c r="K28" s="2804"/>
      <c r="L28" s="2804"/>
      <c r="M28" s="2820"/>
    </row>
    <row r="29" spans="1:13" s="2862" customFormat="1" ht="15" customHeight="1">
      <c r="A29" s="2859" t="s">
        <v>3179</v>
      </c>
      <c r="B29" s="2860">
        <v>2547856350.703773</v>
      </c>
      <c r="C29" s="2860">
        <v>2711168492.0779982</v>
      </c>
      <c r="D29" s="2860">
        <v>2880042364.3345613</v>
      </c>
      <c r="E29" s="2860">
        <v>3055057079.3827219</v>
      </c>
      <c r="F29" s="2860">
        <v>3235578589.2410469</v>
      </c>
      <c r="G29" s="2860">
        <v>3422375873.1876106</v>
      </c>
      <c r="H29" s="2860">
        <v>3616485624.9768486</v>
      </c>
      <c r="I29" s="2860">
        <v>3816852906.1256371</v>
      </c>
      <c r="J29" s="2860">
        <v>4024853601.2621584</v>
      </c>
      <c r="K29" s="2860">
        <v>4236195256.9419131</v>
      </c>
      <c r="L29" s="2860">
        <v>4458664023.1897507</v>
      </c>
      <c r="M29" s="2861">
        <v>5.7555043943736006E-2</v>
      </c>
    </row>
    <row r="30" spans="1:13" s="2862" customFormat="1" ht="15" customHeight="1">
      <c r="A30" s="2863" t="s">
        <v>3180</v>
      </c>
      <c r="B30" s="2860">
        <v>1299224527.8924353</v>
      </c>
      <c r="C30" s="2860">
        <v>1336052604.6850193</v>
      </c>
      <c r="D30" s="2860">
        <v>1370160735.368736</v>
      </c>
      <c r="E30" s="2860">
        <v>1401831041.1497829</v>
      </c>
      <c r="F30" s="2860">
        <v>1430426823.2271156</v>
      </c>
      <c r="G30" s="2860">
        <v>1455514777.6582417</v>
      </c>
      <c r="H30" s="2860">
        <v>1477674310.9038644</v>
      </c>
      <c r="I30" s="2860">
        <v>1496417693.6690187</v>
      </c>
      <c r="J30" s="2860">
        <v>1511849145.4703579</v>
      </c>
      <c r="K30" s="2860">
        <v>1522217779.8130748</v>
      </c>
      <c r="L30" s="2860">
        <v>1530191497.2618887</v>
      </c>
      <c r="M30" s="2861">
        <v>1.6497131323550684E-2</v>
      </c>
    </row>
    <row r="31" spans="1:13" s="2862" customFormat="1" ht="15" customHeight="1">
      <c r="A31" s="2863" t="s">
        <v>3181</v>
      </c>
      <c r="B31" s="2860">
        <v>221032332.14826697</v>
      </c>
      <c r="C31" s="2860">
        <v>225485214.30779466</v>
      </c>
      <c r="D31" s="2860">
        <v>229599497.11353388</v>
      </c>
      <c r="E31" s="2860">
        <v>233477143.67590064</v>
      </c>
      <c r="F31" s="2860">
        <v>236945391.41496024</v>
      </c>
      <c r="G31" s="2860">
        <v>239872979.3306886</v>
      </c>
      <c r="H31" s="2860">
        <v>242370806.39872485</v>
      </c>
      <c r="I31" s="2860">
        <v>244515623.13120347</v>
      </c>
      <c r="J31" s="2860">
        <v>246226394.54628769</v>
      </c>
      <c r="K31" s="2860">
        <v>247417111.35552365</v>
      </c>
      <c r="L31" s="2860">
        <v>248177611.74107736</v>
      </c>
      <c r="M31" s="2861">
        <v>1.1650916924287547E-2</v>
      </c>
    </row>
    <row r="32" spans="1:13" s="2862" customFormat="1" ht="15.75">
      <c r="A32" s="2863" t="s">
        <v>3182</v>
      </c>
      <c r="B32" s="2860">
        <v>2787617907.2921443</v>
      </c>
      <c r="C32" s="2860">
        <v>2882762531.9036498</v>
      </c>
      <c r="D32" s="2860">
        <v>2990119064.7209253</v>
      </c>
      <c r="E32" s="2860">
        <v>3164745403.5673351</v>
      </c>
      <c r="F32" s="2860">
        <v>3352458010.2043357</v>
      </c>
      <c r="G32" s="2860">
        <v>3558479742.2640128</v>
      </c>
      <c r="H32" s="2860">
        <v>3782638177.2697043</v>
      </c>
      <c r="I32" s="2860">
        <v>4033311018.9293795</v>
      </c>
      <c r="J32" s="2860">
        <v>4300592292.3112621</v>
      </c>
      <c r="K32" s="2860">
        <v>4573245895.4969072</v>
      </c>
      <c r="L32" s="2860">
        <v>4870035599.1409845</v>
      </c>
      <c r="M32" s="2861">
        <v>5.7377072040504684E-2</v>
      </c>
    </row>
    <row r="33" spans="1:13" s="2862" customFormat="1" ht="15.75">
      <c r="A33" s="2864" t="s">
        <v>3183</v>
      </c>
      <c r="B33" s="2860">
        <v>626254481.36500096</v>
      </c>
      <c r="C33" s="2860">
        <v>419925904.83379889</v>
      </c>
      <c r="D33" s="2860">
        <v>295769738.6906057</v>
      </c>
      <c r="E33" s="2860">
        <v>243742860.22700876</v>
      </c>
      <c r="F33" s="2860">
        <v>202633557.65127993</v>
      </c>
      <c r="G33" s="2860">
        <v>175402956.82261899</v>
      </c>
      <c r="H33" s="2860">
        <v>156974513.04657125</v>
      </c>
      <c r="I33" s="2860">
        <v>152913489.80484962</v>
      </c>
      <c r="J33" s="2860">
        <v>150283229.88206607</v>
      </c>
      <c r="K33" s="2860">
        <v>148134080.70870969</v>
      </c>
      <c r="L33" s="2860">
        <v>146582744.18636557</v>
      </c>
      <c r="M33" s="2861">
        <v>-0.13516511377698226</v>
      </c>
    </row>
    <row r="34" spans="1:13" s="2862" customFormat="1" ht="15.75">
      <c r="A34" s="2865" t="s">
        <v>3184</v>
      </c>
      <c r="B34" s="2860">
        <v>2161363425.9271431</v>
      </c>
      <c r="C34" s="2860">
        <v>2462836627.0698504</v>
      </c>
      <c r="D34" s="2860">
        <v>2694349326.0303202</v>
      </c>
      <c r="E34" s="2860">
        <v>2921002543.3403268</v>
      </c>
      <c r="F34" s="2860">
        <v>3149824452.5530558</v>
      </c>
      <c r="G34" s="2860">
        <v>3383076785.4413939</v>
      </c>
      <c r="H34" s="2860">
        <v>3625663664.2231331</v>
      </c>
      <c r="I34" s="2860">
        <v>3880397529.1245298</v>
      </c>
      <c r="J34" s="2860">
        <v>4150309062.4291968</v>
      </c>
      <c r="K34" s="2860">
        <v>4425111814.7881975</v>
      </c>
      <c r="L34" s="2860">
        <v>4723452854.9546185</v>
      </c>
      <c r="M34" s="2861">
        <v>8.1317368116059274E-2</v>
      </c>
    </row>
    <row r="35" spans="1:13" s="2862" customFormat="1" ht="15.75">
      <c r="A35" s="2866" t="s">
        <v>3185</v>
      </c>
      <c r="B35" s="2860">
        <v>2585550571.264492</v>
      </c>
      <c r="C35" s="2860">
        <v>3078863479.5787778</v>
      </c>
      <c r="D35" s="2860">
        <v>3915673491.6759491</v>
      </c>
      <c r="E35" s="2860">
        <v>4694863160.3491268</v>
      </c>
      <c r="F35" s="2860">
        <v>5413026192.4581575</v>
      </c>
      <c r="G35" s="2860">
        <v>5942227887.6263695</v>
      </c>
      <c r="H35" s="2860">
        <v>6482690012.0288763</v>
      </c>
      <c r="I35" s="2860">
        <v>7036751378.8963346</v>
      </c>
      <c r="J35" s="2860">
        <v>7639001556.4063206</v>
      </c>
      <c r="K35" s="2860">
        <v>8319753200.260848</v>
      </c>
      <c r="L35" s="2860">
        <v>9001230938.9680099</v>
      </c>
      <c r="M35" s="2861">
        <v>0.13285646323760081</v>
      </c>
    </row>
    <row r="36" spans="1:13" s="2862" customFormat="1" ht="15.75">
      <c r="A36" s="2867" t="s">
        <v>3186</v>
      </c>
      <c r="B36" s="2860">
        <v>829088233.17195451</v>
      </c>
      <c r="C36" s="2860">
        <v>746291342.48073125</v>
      </c>
      <c r="D36" s="2860">
        <v>650226328.79486263</v>
      </c>
      <c r="E36" s="2860">
        <v>550623501.72216737</v>
      </c>
      <c r="F36" s="2860">
        <v>518801003.0358327</v>
      </c>
      <c r="G36" s="2860">
        <v>488358511.34760141</v>
      </c>
      <c r="H36" s="2860">
        <v>459280805.65932119</v>
      </c>
      <c r="I36" s="2860">
        <v>431628992.00826782</v>
      </c>
      <c r="J36" s="2860">
        <v>405559730.38090807</v>
      </c>
      <c r="K36" s="2860">
        <v>380696074.7331267</v>
      </c>
      <c r="L36" s="2860">
        <v>357054176.95666271</v>
      </c>
      <c r="M36" s="2861">
        <v>-8.0792971016925619E-2</v>
      </c>
    </row>
    <row r="37" spans="1:13" s="2862" customFormat="1" ht="15.75">
      <c r="A37" s="2868" t="s">
        <v>3187</v>
      </c>
      <c r="B37" s="2860">
        <v>0</v>
      </c>
      <c r="C37" s="2860">
        <v>0</v>
      </c>
      <c r="D37" s="2860">
        <v>0</v>
      </c>
      <c r="E37" s="2860">
        <v>0</v>
      </c>
      <c r="F37" s="2860">
        <v>34877961.130207308</v>
      </c>
      <c r="G37" s="2860">
        <v>64472592.286226451</v>
      </c>
      <c r="H37" s="2860">
        <v>95667268.991996065</v>
      </c>
      <c r="I37" s="2860">
        <v>126271165.96539649</v>
      </c>
      <c r="J37" s="2860">
        <v>156401176.00817752</v>
      </c>
      <c r="K37" s="2860">
        <v>185994792.7555694</v>
      </c>
      <c r="L37" s="2860">
        <v>215062343.89057076</v>
      </c>
      <c r="M37" s="2861">
        <v>0.12802551781655214</v>
      </c>
    </row>
    <row r="38" spans="1:13" s="2862" customFormat="1" ht="15.75">
      <c r="A38" s="2867" t="s">
        <v>3164</v>
      </c>
      <c r="B38" s="2860">
        <v>1634951348.4437952</v>
      </c>
      <c r="C38" s="2860">
        <v>2057094650.4712164</v>
      </c>
      <c r="D38" s="2860">
        <v>2369288346.2582893</v>
      </c>
      <c r="E38" s="2860">
        <v>2597820245.8782992</v>
      </c>
      <c r="F38" s="2860">
        <v>2769575149.411653</v>
      </c>
      <c r="G38" s="2860">
        <v>2824053566.0847144</v>
      </c>
      <c r="H38" s="2860">
        <v>2886161219.232913</v>
      </c>
      <c r="I38" s="2860">
        <v>2960010016.9667454</v>
      </c>
      <c r="J38" s="2860">
        <v>3020442885.330863</v>
      </c>
      <c r="K38" s="2860">
        <v>3093902728.0962105</v>
      </c>
      <c r="L38" s="2860">
        <v>3169711620.6199822</v>
      </c>
      <c r="M38" s="2861">
        <v>6.8443329007025877E-2</v>
      </c>
    </row>
    <row r="39" spans="1:13" s="2862" customFormat="1" ht="15.75">
      <c r="A39" s="2867" t="s">
        <v>3188</v>
      </c>
      <c r="B39" s="2860">
        <v>121510989.6487422</v>
      </c>
      <c r="C39" s="2860">
        <v>273935874.86031145</v>
      </c>
      <c r="D39" s="2860">
        <v>703155259.42770374</v>
      </c>
      <c r="E39" s="2860">
        <v>1107134696.0051019</v>
      </c>
      <c r="F39" s="2860">
        <v>1448887722.4368021</v>
      </c>
      <c r="G39" s="2860">
        <v>1714712086.5882156</v>
      </c>
      <c r="H39" s="2860">
        <v>2000588495.8543208</v>
      </c>
      <c r="I39" s="2860">
        <v>2291442144.3536258</v>
      </c>
      <c r="J39" s="2860">
        <v>2625914692.4729691</v>
      </c>
      <c r="K39" s="2860">
        <v>2989994389.2516799</v>
      </c>
      <c r="L39" s="2860">
        <v>3366638718.1019526</v>
      </c>
      <c r="M39" s="2861">
        <v>0.28515278060629723</v>
      </c>
    </row>
    <row r="40" spans="1:13" s="2862" customFormat="1" ht="15.75">
      <c r="A40" s="2867" t="s">
        <v>3189</v>
      </c>
      <c r="B40" s="2860">
        <v>0</v>
      </c>
      <c r="C40" s="2860">
        <v>1541611.7665191754</v>
      </c>
      <c r="D40" s="2860">
        <v>3550132.6702043968</v>
      </c>
      <c r="E40" s="2860">
        <v>6317396.0228234706</v>
      </c>
      <c r="F40" s="2860">
        <v>26952464.368213128</v>
      </c>
      <c r="G40" s="2860">
        <v>44170416.334510349</v>
      </c>
      <c r="H40" s="2860">
        <v>62604306.960574113</v>
      </c>
      <c r="I40" s="2860">
        <v>82890359.398194343</v>
      </c>
      <c r="J40" s="2860">
        <v>105908362.84187393</v>
      </c>
      <c r="K40" s="2860">
        <v>119805181.74357417</v>
      </c>
      <c r="L40" s="2860">
        <v>134980615.39886886</v>
      </c>
      <c r="M40" s="2861">
        <v>0.35823003556222277</v>
      </c>
    </row>
    <row r="41" spans="1:13" s="2870" customFormat="1" ht="15.75">
      <c r="A41" s="2868" t="s">
        <v>3190</v>
      </c>
      <c r="B41" s="2860">
        <v>0</v>
      </c>
      <c r="C41" s="2860">
        <v>0</v>
      </c>
      <c r="D41" s="2860">
        <v>189453424.52488792</v>
      </c>
      <c r="E41" s="2860">
        <v>275982318.6535843</v>
      </c>
      <c r="F41" s="2860">
        <v>355172926.02204388</v>
      </c>
      <c r="G41" s="2860">
        <v>475813891.47495693</v>
      </c>
      <c r="H41" s="2860">
        <v>578484981.97207856</v>
      </c>
      <c r="I41" s="2860">
        <v>687262381.91626024</v>
      </c>
      <c r="J41" s="2860">
        <v>818856409.44034624</v>
      </c>
      <c r="K41" s="2860">
        <v>996451127.87267864</v>
      </c>
      <c r="L41" s="2860">
        <v>1156809774.680198</v>
      </c>
      <c r="M41" s="2869">
        <v>0.1540857245486309</v>
      </c>
    </row>
    <row r="42" spans="1:13" s="2870" customFormat="1" ht="15.75">
      <c r="A42" s="2868" t="s">
        <v>3191</v>
      </c>
      <c r="B42" s="2860">
        <v>0</v>
      </c>
      <c r="C42" s="2860">
        <v>0</v>
      </c>
      <c r="D42" s="2860">
        <v>0</v>
      </c>
      <c r="E42" s="2860">
        <v>156985002.06715101</v>
      </c>
      <c r="F42" s="2860">
        <v>239724226.30232191</v>
      </c>
      <c r="G42" s="2860">
        <v>300616762.34110093</v>
      </c>
      <c r="H42" s="2860">
        <v>360364627.81554073</v>
      </c>
      <c r="I42" s="2860">
        <v>409259112.73773366</v>
      </c>
      <c r="J42" s="2860">
        <v>455056254.27136421</v>
      </c>
      <c r="K42" s="2860">
        <v>499520552.37309271</v>
      </c>
      <c r="L42" s="2860">
        <v>545599964.63180304</v>
      </c>
      <c r="M42" s="2869">
        <v>0.13266535541751523</v>
      </c>
    </row>
    <row r="43" spans="1:13" s="2870" customFormat="1" ht="15.75">
      <c r="A43" s="2868" t="s">
        <v>3192</v>
      </c>
      <c r="B43" s="2860">
        <v>0</v>
      </c>
      <c r="C43" s="2860">
        <v>0</v>
      </c>
      <c r="D43" s="2860">
        <v>0</v>
      </c>
      <c r="E43" s="2860">
        <v>0</v>
      </c>
      <c r="F43" s="2860">
        <v>19034739.751082666</v>
      </c>
      <c r="G43" s="2860">
        <v>30030061.169044606</v>
      </c>
      <c r="H43" s="2860">
        <v>39538305.542132176</v>
      </c>
      <c r="I43" s="2860">
        <v>47987205.55011107</v>
      </c>
      <c r="J43" s="2860">
        <v>50862045.659819193</v>
      </c>
      <c r="K43" s="2860">
        <v>53388353.434915453</v>
      </c>
      <c r="L43" s="2860">
        <v>55373724.687972024</v>
      </c>
      <c r="M43" s="2869">
        <v>0.11269382878311118</v>
      </c>
    </row>
    <row r="44" spans="1:13" s="2862" customFormat="1" ht="15.75">
      <c r="A44" s="2866" t="s">
        <v>3193</v>
      </c>
      <c r="B44" s="2860">
        <v>7213492023.1185141</v>
      </c>
      <c r="C44" s="2860">
        <v>8302859452.0935221</v>
      </c>
      <c r="D44" s="2860">
        <v>9237893840.6256371</v>
      </c>
      <c r="E44" s="2860">
        <v>10191378910.341099</v>
      </c>
      <c r="F44" s="2860">
        <v>11210007727.739992</v>
      </c>
      <c r="G44" s="2860">
        <v>12184803929.686255</v>
      </c>
      <c r="H44" s="2860">
        <v>13221932965.892849</v>
      </c>
      <c r="I44" s="2860">
        <v>14186366817.869543</v>
      </c>
      <c r="J44" s="2860">
        <v>15101477019.535162</v>
      </c>
      <c r="K44" s="2860">
        <v>16005792556.048904</v>
      </c>
      <c r="L44" s="2860">
        <v>16925584682.252306</v>
      </c>
      <c r="M44" s="2861">
        <v>8.9029921731210493E-2</v>
      </c>
    </row>
    <row r="45" spans="1:13" s="2862" customFormat="1" ht="15.75">
      <c r="A45" s="2867" t="s">
        <v>3194</v>
      </c>
      <c r="B45" s="2860">
        <v>5377051069.1433659</v>
      </c>
      <c r="C45" s="2860">
        <v>5773815660.7600346</v>
      </c>
      <c r="D45" s="2860">
        <v>6078890826.5077753</v>
      </c>
      <c r="E45" s="2860">
        <v>6510092393.9234591</v>
      </c>
      <c r="F45" s="2860">
        <v>6966250194.6226349</v>
      </c>
      <c r="G45" s="2860">
        <v>7402173498.4214439</v>
      </c>
      <c r="H45" s="2860">
        <v>7864736009.2722607</v>
      </c>
      <c r="I45" s="2860">
        <v>8314669230.8801527</v>
      </c>
      <c r="J45" s="2860">
        <v>8766950133.1166153</v>
      </c>
      <c r="K45" s="2860">
        <v>9228144673.1620979</v>
      </c>
      <c r="L45" s="2860">
        <v>9709896184.3914909</v>
      </c>
      <c r="M45" s="2861">
        <v>6.0881906538002406E-2</v>
      </c>
    </row>
    <row r="46" spans="1:13" s="2862" customFormat="1" ht="15.75">
      <c r="A46" s="2867" t="s">
        <v>3195</v>
      </c>
      <c r="B46" s="2860">
        <v>681076780.85870028</v>
      </c>
      <c r="C46" s="2860">
        <v>886729016.86786509</v>
      </c>
      <c r="D46" s="2860">
        <v>1056553817.6769303</v>
      </c>
      <c r="E46" s="2860">
        <v>1190021813.2658789</v>
      </c>
      <c r="F46" s="2860">
        <v>1297851118.2439432</v>
      </c>
      <c r="G46" s="2860">
        <v>1407656139.1834695</v>
      </c>
      <c r="H46" s="2860">
        <v>1523867129.9685817</v>
      </c>
      <c r="I46" s="2860">
        <v>1645547734.422008</v>
      </c>
      <c r="J46" s="2860">
        <v>1775384028.2048717</v>
      </c>
      <c r="K46" s="2860">
        <v>1911382586.0557199</v>
      </c>
      <c r="L46" s="2860">
        <v>2052708592.3267581</v>
      </c>
      <c r="M46" s="2861">
        <v>0.11663984977802433</v>
      </c>
    </row>
    <row r="47" spans="1:13" s="2862" customFormat="1" ht="15.75">
      <c r="A47" s="2864" t="s">
        <v>3196</v>
      </c>
      <c r="B47" s="2860">
        <v>291672781.70410264</v>
      </c>
      <c r="C47" s="2860">
        <v>356526898.23940277</v>
      </c>
      <c r="D47" s="2860">
        <v>430136462.88498878</v>
      </c>
      <c r="E47" s="2860">
        <v>480301726.41489953</v>
      </c>
      <c r="F47" s="2860">
        <v>531271323.26415128</v>
      </c>
      <c r="G47" s="2860">
        <v>562918313.55995047</v>
      </c>
      <c r="H47" s="2860">
        <v>595065825.06366384</v>
      </c>
      <c r="I47" s="2860">
        <v>627902514.90183413</v>
      </c>
      <c r="J47" s="2860">
        <v>662227311.41908503</v>
      </c>
      <c r="K47" s="2860">
        <v>697353868.40663445</v>
      </c>
      <c r="L47" s="2860">
        <v>733304714.4255842</v>
      </c>
      <c r="M47" s="2861">
        <v>9.6576305026610187E-2</v>
      </c>
    </row>
    <row r="48" spans="1:13" s="2862" customFormat="1" ht="15.75">
      <c r="A48" s="2864" t="s">
        <v>3197</v>
      </c>
      <c r="B48" s="2860">
        <v>720670090.27317309</v>
      </c>
      <c r="C48" s="2860">
        <v>900886645.2062186</v>
      </c>
      <c r="D48" s="2860">
        <v>1070713731.8682854</v>
      </c>
      <c r="E48" s="2860">
        <v>1233775373.1739357</v>
      </c>
      <c r="F48" s="2860">
        <v>1397605949.3126562</v>
      </c>
      <c r="G48" s="2860">
        <v>1565692470.601732</v>
      </c>
      <c r="H48" s="2860">
        <v>1727437845.5334802</v>
      </c>
      <c r="I48" s="2860">
        <v>1870975226.2261012</v>
      </c>
      <c r="J48" s="2860">
        <v>1999094568.0571165</v>
      </c>
      <c r="K48" s="2860">
        <v>2133062666.5701683</v>
      </c>
      <c r="L48" s="2860">
        <v>2264656463.3584538</v>
      </c>
      <c r="M48" s="2861">
        <v>0.12131229283783029</v>
      </c>
    </row>
    <row r="49" spans="1:13" s="2862" customFormat="1" ht="15.75">
      <c r="A49" s="2867" t="s">
        <v>3198</v>
      </c>
      <c r="B49" s="2860">
        <v>143021301.13917017</v>
      </c>
      <c r="C49" s="2860">
        <v>384901231.02000058</v>
      </c>
      <c r="D49" s="2860">
        <v>601599001.68765759</v>
      </c>
      <c r="E49" s="2860">
        <v>777187603.56292582</v>
      </c>
      <c r="F49" s="2860">
        <v>931624363.86909866</v>
      </c>
      <c r="G49" s="2860">
        <v>1046442320.7105674</v>
      </c>
      <c r="H49" s="2860">
        <v>1129860668.5154328</v>
      </c>
      <c r="I49" s="2860">
        <v>1219387682.9989681</v>
      </c>
      <c r="J49" s="2860">
        <v>1293170423.7205162</v>
      </c>
      <c r="K49" s="2860">
        <v>1377148288.2068639</v>
      </c>
      <c r="L49" s="2860">
        <v>1456104240.8281956</v>
      </c>
      <c r="M49" s="2861">
        <v>0.26118609598983378</v>
      </c>
    </row>
    <row r="50" spans="1:13" s="2870" customFormat="1" ht="15.75">
      <c r="A50" s="2868" t="s">
        <v>3199</v>
      </c>
      <c r="B50" s="2860">
        <v>0</v>
      </c>
      <c r="C50" s="2860">
        <v>0</v>
      </c>
      <c r="D50" s="2860">
        <v>0</v>
      </c>
      <c r="E50" s="2860">
        <v>0</v>
      </c>
      <c r="F50" s="2860">
        <v>17102821.953206226</v>
      </c>
      <c r="G50" s="2860">
        <v>46355497.278604835</v>
      </c>
      <c r="H50" s="2860">
        <v>70577887.167604193</v>
      </c>
      <c r="I50" s="2860">
        <v>89501162.386881113</v>
      </c>
      <c r="J50" s="2860">
        <v>102818003.80758002</v>
      </c>
      <c r="K50" s="2860">
        <v>110273361.80886604</v>
      </c>
      <c r="L50" s="2860">
        <v>117858703.99874778</v>
      </c>
      <c r="M50" s="2869">
        <v>0.21291226775935246</v>
      </c>
    </row>
    <row r="51" spans="1:13" s="2870" customFormat="1" ht="15.75">
      <c r="A51" s="2868" t="s">
        <v>3200</v>
      </c>
      <c r="B51" s="2860">
        <v>0</v>
      </c>
      <c r="C51" s="2860">
        <v>0</v>
      </c>
      <c r="D51" s="2860">
        <v>0</v>
      </c>
      <c r="E51" s="2860">
        <v>0</v>
      </c>
      <c r="F51" s="2860">
        <v>68301956.474299878</v>
      </c>
      <c r="G51" s="2860">
        <v>153565689.93048531</v>
      </c>
      <c r="H51" s="2860">
        <v>310387600.37182564</v>
      </c>
      <c r="I51" s="2860">
        <v>418383266.05359817</v>
      </c>
      <c r="J51" s="2860">
        <v>501832551.20937228</v>
      </c>
      <c r="K51" s="2860">
        <v>548427111.83854926</v>
      </c>
      <c r="L51" s="2860">
        <v>591055782.92308009</v>
      </c>
      <c r="M51" s="2869">
        <v>0.24085070757233251</v>
      </c>
    </row>
    <row r="52" spans="1:13" s="2862" customFormat="1" ht="15.75">
      <c r="A52" s="2866" t="s">
        <v>3201</v>
      </c>
      <c r="B52" s="2860">
        <v>0</v>
      </c>
      <c r="C52" s="2860">
        <v>44036506.50042215</v>
      </c>
      <c r="D52" s="2860">
        <v>392365186.39342737</v>
      </c>
      <c r="E52" s="2860">
        <v>910068787.18492711</v>
      </c>
      <c r="F52" s="2860">
        <v>1559099215.8862035</v>
      </c>
      <c r="G52" s="2860">
        <v>2177249530.5238624</v>
      </c>
      <c r="H52" s="2860">
        <v>2828146727.960495</v>
      </c>
      <c r="I52" s="2860">
        <v>3371422758.9455032</v>
      </c>
      <c r="J52" s="2860">
        <v>3873802172.2566786</v>
      </c>
      <c r="K52" s="2860">
        <v>4326275259.8002825</v>
      </c>
      <c r="L52" s="2860">
        <v>4778841259.5594521</v>
      </c>
      <c r="M52" s="2861">
        <v>0.11852291321551123</v>
      </c>
    </row>
    <row r="53" spans="1:13" s="2862" customFormat="1" ht="15.75">
      <c r="A53" s="2864" t="s">
        <v>3202</v>
      </c>
      <c r="B53" s="2860">
        <v>0</v>
      </c>
      <c r="C53" s="2860">
        <v>2742717.1354718655</v>
      </c>
      <c r="D53" s="2860">
        <v>76200088.655352265</v>
      </c>
      <c r="E53" s="2860">
        <v>213140227.04459783</v>
      </c>
      <c r="F53" s="2860">
        <v>453486001.89353019</v>
      </c>
      <c r="G53" s="2860">
        <v>666397896.37843001</v>
      </c>
      <c r="H53" s="2860">
        <v>892881662.63894773</v>
      </c>
      <c r="I53" s="2860">
        <v>1120824346.6339762</v>
      </c>
      <c r="J53" s="2860">
        <v>1311706741.4102397</v>
      </c>
      <c r="K53" s="2860">
        <v>1502748250.0779643</v>
      </c>
      <c r="L53" s="2860">
        <v>1672203601.793411</v>
      </c>
      <c r="M53" s="2861">
        <v>0.13939032365767146</v>
      </c>
    </row>
    <row r="54" spans="1:13" s="2862" customFormat="1" ht="15.75">
      <c r="A54" s="2864" t="s">
        <v>3203</v>
      </c>
      <c r="B54" s="2860">
        <v>0</v>
      </c>
      <c r="C54" s="2860">
        <v>41293789.364950292</v>
      </c>
      <c r="D54" s="2860">
        <v>241949371.58826849</v>
      </c>
      <c r="E54" s="2860">
        <v>515427074.92358887</v>
      </c>
      <c r="F54" s="2860">
        <v>821930415.0425328</v>
      </c>
      <c r="G54" s="2860">
        <v>1144738717.5967884</v>
      </c>
      <c r="H54" s="2860">
        <v>1484495112.0198913</v>
      </c>
      <c r="I54" s="2860">
        <v>1715416364.5857856</v>
      </c>
      <c r="J54" s="2860">
        <v>1960778796.82651</v>
      </c>
      <c r="K54" s="2860">
        <v>2148195497.581151</v>
      </c>
      <c r="L54" s="2860">
        <v>2363115948.5849237</v>
      </c>
      <c r="M54" s="2861">
        <v>0.25596070890880407</v>
      </c>
    </row>
    <row r="55" spans="1:13" s="2870" customFormat="1" ht="15.75">
      <c r="A55" s="2865" t="s">
        <v>3204</v>
      </c>
      <c r="B55" s="2860">
        <v>0</v>
      </c>
      <c r="C55" s="2860">
        <v>0</v>
      </c>
      <c r="D55" s="2860">
        <v>20742636.767655205</v>
      </c>
      <c r="E55" s="2860">
        <v>74542700.789612964</v>
      </c>
      <c r="F55" s="2860">
        <v>130151442.58411984</v>
      </c>
      <c r="G55" s="2860">
        <v>167355910.22313061</v>
      </c>
      <c r="H55" s="2860">
        <v>204366694.36430103</v>
      </c>
      <c r="I55" s="2860">
        <v>244639315.71643624</v>
      </c>
      <c r="J55" s="2860">
        <v>276569195.04020089</v>
      </c>
      <c r="K55" s="2860">
        <v>315701014.84623164</v>
      </c>
      <c r="L55" s="2860">
        <v>351690217.76357043</v>
      </c>
      <c r="M55" s="2869">
        <v>0.32717940160075276</v>
      </c>
    </row>
    <row r="56" spans="1:13" s="2870" customFormat="1" ht="15.75">
      <c r="A56" s="2865" t="s">
        <v>3205</v>
      </c>
      <c r="B56" s="2860">
        <v>0</v>
      </c>
      <c r="C56" s="2860">
        <v>0</v>
      </c>
      <c r="D56" s="2860">
        <v>1032194.1410309733</v>
      </c>
      <c r="E56" s="2860">
        <v>5267348.7585890591</v>
      </c>
      <c r="F56" s="2860">
        <v>17137012.217222787</v>
      </c>
      <c r="G56" s="2860">
        <v>37944771.079019144</v>
      </c>
      <c r="H56" s="2860">
        <v>66289363.66610451</v>
      </c>
      <c r="I56" s="2860">
        <v>96397751.330788568</v>
      </c>
      <c r="J56" s="2860">
        <v>122166712.5377602</v>
      </c>
      <c r="K56" s="2860">
        <v>148568305.53984368</v>
      </c>
      <c r="L56" s="2860">
        <v>172187353.12440968</v>
      </c>
      <c r="M56" s="2869">
        <v>0.1632817942733682</v>
      </c>
    </row>
    <row r="57" spans="1:13" s="2870" customFormat="1" ht="15.75">
      <c r="A57" s="2868" t="s">
        <v>3206</v>
      </c>
      <c r="B57" s="2860">
        <v>0</v>
      </c>
      <c r="C57" s="2860">
        <v>0</v>
      </c>
      <c r="D57" s="2860">
        <v>52440895.241120428</v>
      </c>
      <c r="E57" s="2860">
        <v>101691435.66853847</v>
      </c>
      <c r="F57" s="2860">
        <v>136394344.14879766</v>
      </c>
      <c r="G57" s="2860">
        <v>160812235.24649429</v>
      </c>
      <c r="H57" s="2860">
        <v>180113895.27125049</v>
      </c>
      <c r="I57" s="2860">
        <v>194144980.67851612</v>
      </c>
      <c r="J57" s="2860">
        <v>202580726.44196764</v>
      </c>
      <c r="K57" s="2860">
        <v>211062191.75509176</v>
      </c>
      <c r="L57" s="2860">
        <v>219644138.29313809</v>
      </c>
      <c r="M57" s="2869">
        <v>0.15399772340910123</v>
      </c>
    </row>
    <row r="58" spans="1:13" s="2862" customFormat="1" ht="15.75">
      <c r="A58" s="2866" t="s">
        <v>3207</v>
      </c>
      <c r="B58" s="2860">
        <v>0</v>
      </c>
      <c r="C58" s="2860">
        <v>0</v>
      </c>
      <c r="D58" s="2860">
        <v>0</v>
      </c>
      <c r="E58" s="2860">
        <v>0</v>
      </c>
      <c r="F58" s="2860">
        <v>0</v>
      </c>
      <c r="G58" s="2860">
        <v>21532957.619687501</v>
      </c>
      <c r="H58" s="2860">
        <v>218050322.57405329</v>
      </c>
      <c r="I58" s="2860">
        <v>444384305.81182766</v>
      </c>
      <c r="J58" s="2860">
        <v>661327389.26945806</v>
      </c>
      <c r="K58" s="2860">
        <v>876676431.53029454</v>
      </c>
      <c r="L58" s="2860">
        <v>1066347851.8539209</v>
      </c>
      <c r="M58" s="2861">
        <v>0.47733681760177449</v>
      </c>
    </row>
    <row r="59" spans="1:13" s="2870" customFormat="1" ht="15.75">
      <c r="A59" s="2868" t="s">
        <v>3208</v>
      </c>
      <c r="B59" s="2860">
        <v>0</v>
      </c>
      <c r="C59" s="2860">
        <v>0</v>
      </c>
      <c r="D59" s="2860">
        <v>0</v>
      </c>
      <c r="E59" s="2860">
        <v>0</v>
      </c>
      <c r="F59" s="2860">
        <v>0</v>
      </c>
      <c r="G59" s="2860">
        <v>21532957.619687501</v>
      </c>
      <c r="H59" s="2860">
        <v>218050322.57405329</v>
      </c>
      <c r="I59" s="2860">
        <v>444384305.81182766</v>
      </c>
      <c r="J59" s="2860">
        <v>661327389.26945806</v>
      </c>
      <c r="K59" s="2860">
        <v>876676431.53029454</v>
      </c>
      <c r="L59" s="2860">
        <v>1066347851.8539209</v>
      </c>
      <c r="M59" s="2869">
        <v>9.1475567568895189E-2</v>
      </c>
    </row>
    <row r="60" spans="1:13" s="2862" customFormat="1" ht="15.75">
      <c r="A60" s="2866" t="s">
        <v>3209</v>
      </c>
      <c r="B60" s="2860">
        <v>11390807054.740681</v>
      </c>
      <c r="C60" s="2860">
        <v>12527260785.549931</v>
      </c>
      <c r="D60" s="2860">
        <v>13758466092.831297</v>
      </c>
      <c r="E60" s="2860">
        <v>14604803054.211416</v>
      </c>
      <c r="F60" s="2860">
        <v>15891517465.490021</v>
      </c>
      <c r="G60" s="2860">
        <v>17219178343.109825</v>
      </c>
      <c r="H60" s="2860">
        <v>18562164268.364868</v>
      </c>
      <c r="I60" s="2860">
        <v>19966490128.994389</v>
      </c>
      <c r="J60" s="2860">
        <v>21451908579.170135</v>
      </c>
      <c r="K60" s="2860">
        <v>23010328610.569286</v>
      </c>
      <c r="L60" s="2860">
        <v>24845812408.688755</v>
      </c>
      <c r="M60" s="2861">
        <v>8.1109965523728622E-2</v>
      </c>
    </row>
    <row r="61" spans="1:13" s="2862" customFormat="1" ht="15.75">
      <c r="A61" s="2867" t="s">
        <v>3210</v>
      </c>
      <c r="B61" s="2860">
        <v>194911363.68390471</v>
      </c>
      <c r="C61" s="2860">
        <v>211070125.02197886</v>
      </c>
      <c r="D61" s="2860">
        <v>227969466.1066291</v>
      </c>
      <c r="E61" s="2860">
        <v>245659585.76393288</v>
      </c>
      <c r="F61" s="2860">
        <v>264110766.86737397</v>
      </c>
      <c r="G61" s="2860">
        <v>283360298.03248054</v>
      </c>
      <c r="H61" s="2860">
        <v>303516857.07313901</v>
      </c>
      <c r="I61" s="2860">
        <v>324508803.28177935</v>
      </c>
      <c r="J61" s="2860">
        <v>346428389.38806605</v>
      </c>
      <c r="K61" s="2860">
        <v>368951935.8821438</v>
      </c>
      <c r="L61" s="2860">
        <v>392776077.86253643</v>
      </c>
      <c r="M61" s="2861">
        <v>7.2582697746955693E-2</v>
      </c>
    </row>
    <row r="62" spans="1:13" s="2862" customFormat="1" ht="15.75">
      <c r="A62" s="2867" t="s">
        <v>3211</v>
      </c>
      <c r="B62" s="2860">
        <v>600051971.30290174</v>
      </c>
      <c r="C62" s="2860">
        <v>635794386.24385309</v>
      </c>
      <c r="D62" s="2860">
        <v>672679906.48675513</v>
      </c>
      <c r="E62" s="2860">
        <v>711026757.67983103</v>
      </c>
      <c r="F62" s="2860">
        <v>750446333.87731862</v>
      </c>
      <c r="G62" s="2860">
        <v>791176846.73382092</v>
      </c>
      <c r="H62" s="2860">
        <v>833443978.89832401</v>
      </c>
      <c r="I62" s="2860">
        <v>877079146.9082737</v>
      </c>
      <c r="J62" s="2860">
        <v>922488590.86944056</v>
      </c>
      <c r="K62" s="2860">
        <v>968747049.35135865</v>
      </c>
      <c r="L62" s="2860">
        <v>1201107763.3028655</v>
      </c>
      <c r="M62" s="2861">
        <v>7.1863076744149712E-2</v>
      </c>
    </row>
    <row r="63" spans="1:13" s="2862" customFormat="1" ht="15.75">
      <c r="A63" s="2867" t="s">
        <v>3212</v>
      </c>
      <c r="B63" s="2860">
        <v>1858208009.1981361</v>
      </c>
      <c r="C63" s="2860">
        <v>1948893324.3035147</v>
      </c>
      <c r="D63" s="2860">
        <v>2041647672.951318</v>
      </c>
      <c r="E63" s="2860">
        <v>2137522856.1543486</v>
      </c>
      <c r="F63" s="2860">
        <v>2235175983.8612671</v>
      </c>
      <c r="G63" s="2860">
        <v>2335422446.956521</v>
      </c>
      <c r="H63" s="2860">
        <v>2438700195.8497028</v>
      </c>
      <c r="I63" s="2860">
        <v>2544635169.677228</v>
      </c>
      <c r="J63" s="2860">
        <v>2654537625.0174766</v>
      </c>
      <c r="K63" s="2860">
        <v>2766024038.1139145</v>
      </c>
      <c r="L63" s="2860">
        <v>2880306509.6480055</v>
      </c>
      <c r="M63" s="2861">
        <v>4.4803064678542448E-2</v>
      </c>
    </row>
    <row r="64" spans="1:13" s="2862" customFormat="1" ht="15.75">
      <c r="A64" s="2867" t="s">
        <v>3213</v>
      </c>
      <c r="B64" s="2860">
        <v>1302999017.6914086</v>
      </c>
      <c r="C64" s="2860">
        <v>1362083305.0230091</v>
      </c>
      <c r="D64" s="2860">
        <v>1422704240.0240383</v>
      </c>
      <c r="E64" s="2860">
        <v>1414201797.9372315</v>
      </c>
      <c r="F64" s="2860">
        <v>1403828524.1411531</v>
      </c>
      <c r="G64" s="2860">
        <v>1392552389.6279585</v>
      </c>
      <c r="H64" s="2860">
        <v>1380589310.6779907</v>
      </c>
      <c r="I64" s="2860">
        <v>1394547774.422549</v>
      </c>
      <c r="J64" s="2860">
        <v>1408677363.5251024</v>
      </c>
      <c r="K64" s="2860">
        <v>1421367653.0284994</v>
      </c>
      <c r="L64" s="2860">
        <v>1432704342.946306</v>
      </c>
      <c r="M64" s="2861">
        <v>9.534694612348682E-3</v>
      </c>
    </row>
    <row r="65" spans="1:13" s="2862" customFormat="1" ht="15.75">
      <c r="A65" s="2868" t="s">
        <v>3214</v>
      </c>
      <c r="B65" s="2860">
        <v>0</v>
      </c>
      <c r="C65" s="2860">
        <v>0</v>
      </c>
      <c r="D65" s="2860">
        <v>0</v>
      </c>
      <c r="E65" s="2860">
        <v>61406130.699906163</v>
      </c>
      <c r="F65" s="2860">
        <v>166476174.84344283</v>
      </c>
      <c r="G65" s="2860">
        <v>279728225.29882264</v>
      </c>
      <c r="H65" s="2860">
        <v>401692560.56160259</v>
      </c>
      <c r="I65" s="2860">
        <v>512690828.16494089</v>
      </c>
      <c r="J65" s="2860">
        <v>633750861.30874217</v>
      </c>
      <c r="K65" s="2860">
        <v>764862697.21283805</v>
      </c>
      <c r="L65" s="2860">
        <v>906548766.37585044</v>
      </c>
      <c r="M65" s="2869">
        <v>0.12477456816158705</v>
      </c>
    </row>
    <row r="66" spans="1:13" s="2862" customFormat="1" ht="15.75">
      <c r="A66" s="2867" t="s">
        <v>3215</v>
      </c>
      <c r="B66" s="2860">
        <v>4211473033.9126406</v>
      </c>
      <c r="C66" s="2860">
        <v>4715950555.0237827</v>
      </c>
      <c r="D66" s="2860">
        <v>5289752209.4941101</v>
      </c>
      <c r="E66" s="2860">
        <v>5255842650.3412619</v>
      </c>
      <c r="F66" s="2860">
        <v>5215521722.960659</v>
      </c>
      <c r="G66" s="2860">
        <v>5171758270.073041</v>
      </c>
      <c r="H66" s="2860">
        <v>5125454463.8546963</v>
      </c>
      <c r="I66" s="2860">
        <v>5182776305.787365</v>
      </c>
      <c r="J66" s="2860">
        <v>5240193682.6103525</v>
      </c>
      <c r="K66" s="2860">
        <v>5292335328.13237</v>
      </c>
      <c r="L66" s="2860">
        <v>5340026104.3745012</v>
      </c>
      <c r="M66" s="2861">
        <v>2.4025886991802858E-2</v>
      </c>
    </row>
    <row r="67" spans="1:13" s="2862" customFormat="1" ht="15.75">
      <c r="A67" s="2868" t="s">
        <v>3216</v>
      </c>
      <c r="B67" s="2860">
        <v>0</v>
      </c>
      <c r="C67" s="2860">
        <v>0</v>
      </c>
      <c r="D67" s="2860">
        <v>0</v>
      </c>
      <c r="E67" s="2860">
        <v>234140581.21580186</v>
      </c>
      <c r="F67" s="2860">
        <v>634168241.68620002</v>
      </c>
      <c r="G67" s="2860">
        <v>1064510194.6575515</v>
      </c>
      <c r="H67" s="2860">
        <v>1527094351.1743226</v>
      </c>
      <c r="I67" s="2860">
        <v>1941632418.3269603</v>
      </c>
      <c r="J67" s="2860">
        <v>2393552370.6233311</v>
      </c>
      <c r="K67" s="2860">
        <v>2883028180.9127517</v>
      </c>
      <c r="L67" s="2860">
        <v>3412382262.9007416</v>
      </c>
      <c r="M67" s="2869">
        <v>0.12354581159245659</v>
      </c>
    </row>
    <row r="68" spans="1:13" s="2862" customFormat="1" ht="15.75">
      <c r="A68" s="2867" t="s">
        <v>3217</v>
      </c>
      <c r="B68" s="2860">
        <v>1092446906.2777052</v>
      </c>
      <c r="C68" s="2860">
        <v>1245116809.5664787</v>
      </c>
      <c r="D68" s="2860">
        <v>1394356772.6274366</v>
      </c>
      <c r="E68" s="2860">
        <v>1549086853.4516265</v>
      </c>
      <c r="F68" s="2860">
        <v>1673932890.0856507</v>
      </c>
      <c r="G68" s="2860">
        <v>1803658574.1136672</v>
      </c>
      <c r="H68" s="2860">
        <v>1921878503.111274</v>
      </c>
      <c r="I68" s="2860">
        <v>1908083623.8517728</v>
      </c>
      <c r="J68" s="2860">
        <v>1894184057.332233</v>
      </c>
      <c r="K68" s="2860">
        <v>1878427073.5115547</v>
      </c>
      <c r="L68" s="2860">
        <v>1869578799.2050824</v>
      </c>
      <c r="M68" s="2861">
        <v>5.5198933381753301E-2</v>
      </c>
    </row>
    <row r="69" spans="1:13" s="2862" customFormat="1" ht="15.75">
      <c r="A69" s="2868" t="s">
        <v>3218</v>
      </c>
      <c r="B69" s="2860">
        <v>0</v>
      </c>
      <c r="C69" s="2860">
        <v>0</v>
      </c>
      <c r="D69" s="2860">
        <v>0</v>
      </c>
      <c r="E69" s="2860">
        <v>3539694.1284756456</v>
      </c>
      <c r="F69" s="2860">
        <v>9924916.5502857938</v>
      </c>
      <c r="G69" s="2860">
        <v>17202115.785809487</v>
      </c>
      <c r="H69" s="2860">
        <v>38142792.706794702</v>
      </c>
      <c r="I69" s="2860">
        <v>169287318.11381686</v>
      </c>
      <c r="J69" s="2860">
        <v>320502776.85933751</v>
      </c>
      <c r="K69" s="2860">
        <v>482805561.5786491</v>
      </c>
      <c r="L69" s="2860">
        <v>650054480.56029117</v>
      </c>
      <c r="M69" s="2869">
        <v>0.32786439754935981</v>
      </c>
    </row>
    <row r="70" spans="1:13" s="2862" customFormat="1" ht="15.75">
      <c r="A70" s="2867" t="s">
        <v>3219</v>
      </c>
      <c r="B70" s="2860">
        <v>1988012649.8256454</v>
      </c>
      <c r="C70" s="2860">
        <v>2235090330.7891822</v>
      </c>
      <c r="D70" s="2860">
        <v>2493049393.6730137</v>
      </c>
      <c r="E70" s="2860">
        <v>2475515749.1536441</v>
      </c>
      <c r="F70" s="2860">
        <v>2455050766.5044575</v>
      </c>
      <c r="G70" s="2860">
        <v>2433008149.1487823</v>
      </c>
      <c r="H70" s="2860">
        <v>2409797183.6816111</v>
      </c>
      <c r="I70" s="2860">
        <v>2435342441.7083302</v>
      </c>
      <c r="J70" s="2860">
        <v>2460871232.2314806</v>
      </c>
      <c r="K70" s="2860">
        <v>2484011715.4595327</v>
      </c>
      <c r="L70" s="2860">
        <v>2505057260.3564105</v>
      </c>
      <c r="M70" s="2861">
        <v>2.3386895191796153E-2</v>
      </c>
    </row>
    <row r="71" spans="1:13" s="2862" customFormat="1" ht="15.75">
      <c r="A71" s="2868" t="s">
        <v>3220</v>
      </c>
      <c r="B71" s="2860">
        <v>0</v>
      </c>
      <c r="C71" s="2860">
        <v>0</v>
      </c>
      <c r="D71" s="2860">
        <v>0</v>
      </c>
      <c r="E71" s="2860">
        <v>107646621.43228079</v>
      </c>
      <c r="F71" s="2860">
        <v>291559439.07991832</v>
      </c>
      <c r="G71" s="2860">
        <v>489430167.76414102</v>
      </c>
      <c r="H71" s="2860">
        <v>702143683.43103361</v>
      </c>
      <c r="I71" s="2860">
        <v>892779313.12372851</v>
      </c>
      <c r="J71" s="2860">
        <v>1100604464.112062</v>
      </c>
      <c r="K71" s="2860">
        <v>1325741993.3067636</v>
      </c>
      <c r="L71" s="2860">
        <v>1569211434.3697689</v>
      </c>
      <c r="M71" s="2869">
        <v>0.12356725283224979</v>
      </c>
    </row>
    <row r="72" spans="1:13" s="2862" customFormat="1" ht="15.75">
      <c r="A72" s="2867" t="s">
        <v>3221</v>
      </c>
      <c r="B72" s="2860">
        <v>142704102.84833941</v>
      </c>
      <c r="C72" s="2860">
        <v>165936393.47614628</v>
      </c>
      <c r="D72" s="2860">
        <v>191702414.46361208</v>
      </c>
      <c r="E72" s="2860">
        <v>209574997.61717036</v>
      </c>
      <c r="F72" s="2860">
        <v>227598911.78266254</v>
      </c>
      <c r="G72" s="2860">
        <v>247164111.16766256</v>
      </c>
      <c r="H72" s="2860">
        <v>264595626.30901888</v>
      </c>
      <c r="I72" s="2860">
        <v>283143727.51735967</v>
      </c>
      <c r="J72" s="2860">
        <v>302981631.63253504</v>
      </c>
      <c r="K72" s="2860">
        <v>323910247.07216066</v>
      </c>
      <c r="L72" s="2860">
        <v>346212901.13066655</v>
      </c>
      <c r="M72" s="2861">
        <v>9.26741749342328E-2</v>
      </c>
    </row>
    <row r="73" spans="1:13" s="2862" customFormat="1" ht="15.75">
      <c r="A73" s="2871" t="s">
        <v>3222</v>
      </c>
      <c r="B73" s="2860">
        <v>0</v>
      </c>
      <c r="C73" s="2860">
        <v>7325556.1019868571</v>
      </c>
      <c r="D73" s="2860">
        <v>24604017.004383929</v>
      </c>
      <c r="E73" s="2860">
        <v>40047010.599664867</v>
      </c>
      <c r="F73" s="2860">
        <v>148444552.73523197</v>
      </c>
      <c r="G73" s="2860">
        <v>269911799.39295983</v>
      </c>
      <c r="H73" s="2860">
        <v>362932277.01303566</v>
      </c>
      <c r="I73" s="2860">
        <v>451762123.36808181</v>
      </c>
      <c r="J73" s="2860">
        <v>541107306.28349197</v>
      </c>
      <c r="K73" s="2860">
        <v>625646402.4112941</v>
      </c>
      <c r="L73" s="2860">
        <v>718957562.8544786</v>
      </c>
      <c r="M73" s="2869">
        <v>0.17088407452578336</v>
      </c>
    </row>
    <row r="74" spans="1:13" s="2862" customFormat="1" ht="15.75">
      <c r="A74" s="2872" t="s">
        <v>3223</v>
      </c>
      <c r="B74" s="2860">
        <v>0</v>
      </c>
      <c r="C74" s="2860">
        <v>0</v>
      </c>
      <c r="D74" s="2860">
        <v>0</v>
      </c>
      <c r="E74" s="2860">
        <v>51165696.241369881</v>
      </c>
      <c r="F74" s="2860">
        <v>208939402.28905407</v>
      </c>
      <c r="G74" s="2860">
        <v>323834850.98758304</v>
      </c>
      <c r="H74" s="2860">
        <v>410636990.1180324</v>
      </c>
      <c r="I74" s="2860">
        <v>479387593.03530115</v>
      </c>
      <c r="J74" s="2860">
        <v>552994882.1669817</v>
      </c>
      <c r="K74" s="2860">
        <v>631114566.86814964</v>
      </c>
      <c r="L74" s="2860">
        <v>709728979.12395418</v>
      </c>
      <c r="M74" s="2869">
        <v>0.13007487420723662</v>
      </c>
    </row>
    <row r="75" spans="1:13" s="2870" customFormat="1" ht="15.75">
      <c r="A75" s="2873" t="s">
        <v>3224</v>
      </c>
      <c r="B75" s="2860">
        <v>0</v>
      </c>
      <c r="C75" s="2860">
        <v>0</v>
      </c>
      <c r="D75" s="2860">
        <v>0</v>
      </c>
      <c r="E75" s="2860">
        <v>108426071.79487199</v>
      </c>
      <c r="F75" s="2860">
        <v>206338838.22534347</v>
      </c>
      <c r="G75" s="2860">
        <v>316459903.3690235</v>
      </c>
      <c r="H75" s="2860">
        <v>441545493.90429276</v>
      </c>
      <c r="I75" s="2860">
        <v>568833541.70690405</v>
      </c>
      <c r="J75" s="2860">
        <v>679033345.20950222</v>
      </c>
      <c r="K75" s="2860">
        <v>793354167.72730887</v>
      </c>
      <c r="L75" s="2860">
        <v>911159163.67729795</v>
      </c>
      <c r="M75" s="2869">
        <v>0.16011575993655836</v>
      </c>
    </row>
    <row r="76" spans="1:13" s="2786" customFormat="1" ht="15" customHeight="1">
      <c r="D76" s="2874"/>
      <c r="E76" s="2874"/>
      <c r="F76" s="2874"/>
      <c r="G76" s="2874"/>
      <c r="H76" s="2874"/>
      <c r="I76" s="2874"/>
      <c r="J76" s="2874"/>
      <c r="K76" s="2874"/>
      <c r="L76" s="2874"/>
      <c r="M76" s="2799"/>
    </row>
    <row r="77" spans="1:13" s="2834" customFormat="1" ht="15" customHeight="1">
      <c r="A77" s="2793" t="s">
        <v>3225</v>
      </c>
      <c r="B77" s="2875">
        <v>2470476596</v>
      </c>
      <c r="C77" s="2875">
        <v>2501613889</v>
      </c>
      <c r="D77" s="2875">
        <v>2532419307</v>
      </c>
      <c r="E77" s="2875">
        <v>2562719330</v>
      </c>
      <c r="F77" s="2875">
        <v>2591876610</v>
      </c>
      <c r="G77" s="2875">
        <v>2619613339</v>
      </c>
      <c r="H77" s="2875">
        <v>2646275924</v>
      </c>
      <c r="I77" s="2875">
        <v>2671855702</v>
      </c>
      <c r="J77" s="2875">
        <v>2696362252</v>
      </c>
      <c r="K77" s="2875">
        <v>2720060370</v>
      </c>
      <c r="L77" s="2875">
        <v>2742901507</v>
      </c>
      <c r="M77" s="2876">
        <v>1.0515424368141568E-2</v>
      </c>
    </row>
    <row r="78" spans="1:13" s="2786" customFormat="1" ht="15" customHeight="1">
      <c r="A78" s="2877" t="s">
        <v>3226</v>
      </c>
      <c r="B78" s="2875">
        <v>189064763.15321469</v>
      </c>
      <c r="C78" s="2875">
        <v>201641212.66862631</v>
      </c>
      <c r="D78" s="2875">
        <v>214551724.07540637</v>
      </c>
      <c r="E78" s="2875">
        <v>227819305.50603309</v>
      </c>
      <c r="F78" s="2875">
        <v>241415968.41631222</v>
      </c>
      <c r="G78" s="2875">
        <v>255350653.17782679</v>
      </c>
      <c r="H78" s="2875">
        <v>269683316.36114639</v>
      </c>
      <c r="I78" s="2875">
        <v>284358839.33697575</v>
      </c>
      <c r="J78" s="2875">
        <v>299424987.95215636</v>
      </c>
      <c r="K78" s="2875">
        <v>314678142.00382769</v>
      </c>
      <c r="L78" s="2875">
        <v>330523916.14423633</v>
      </c>
      <c r="M78" s="2876">
        <v>5.7448509702860751E-2</v>
      </c>
    </row>
    <row r="79" spans="1:13" s="2786" customFormat="1" ht="15" customHeight="1">
      <c r="A79" s="2878" t="s">
        <v>3227</v>
      </c>
      <c r="B79" s="2875">
        <v>119639815.45107368</v>
      </c>
      <c r="C79" s="2875">
        <v>128848107.29474285</v>
      </c>
      <c r="D79" s="2875">
        <v>138467421.66520247</v>
      </c>
      <c r="E79" s="2875">
        <v>148526378.65152583</v>
      </c>
      <c r="F79" s="2875">
        <v>159011695.21576312</v>
      </c>
      <c r="G79" s="2875">
        <v>169939299.61964008</v>
      </c>
      <c r="H79" s="2875">
        <v>181366324.6511257</v>
      </c>
      <c r="I79" s="2875">
        <v>193262298.49164787</v>
      </c>
      <c r="J79" s="2875">
        <v>205673786.82553345</v>
      </c>
      <c r="K79" s="2875">
        <v>218449066.52853301</v>
      </c>
      <c r="L79" s="2875">
        <v>231918992.62440675</v>
      </c>
      <c r="M79" s="2879">
        <v>6.8429961263005268E-2</v>
      </c>
    </row>
    <row r="80" spans="1:13" s="2786" customFormat="1" ht="15" customHeight="1">
      <c r="A80" s="2840"/>
      <c r="B80" s="2880"/>
      <c r="C80" s="2880"/>
      <c r="D80" s="2880"/>
      <c r="E80" s="2880"/>
      <c r="F80" s="2880"/>
      <c r="G80" s="2880"/>
      <c r="H80" s="2880"/>
      <c r="I80" s="2880"/>
      <c r="J80" s="2880"/>
      <c r="K80" s="2880"/>
      <c r="L80" s="2880"/>
      <c r="M80" s="2820"/>
    </row>
    <row r="81" spans="1:12" s="2786" customFormat="1">
      <c r="A81" s="2843"/>
      <c r="B81" s="2880"/>
      <c r="C81" s="2880"/>
      <c r="D81" s="2880"/>
      <c r="E81" s="2880"/>
      <c r="F81" s="2880"/>
      <c r="G81" s="2880"/>
      <c r="H81" s="2880"/>
      <c r="I81" s="2880"/>
      <c r="J81" s="2880"/>
      <c r="K81" s="2880"/>
      <c r="L81" s="2880"/>
    </row>
    <row r="82" spans="1:12" s="2786" customFormat="1" ht="15.75">
      <c r="A82" s="2847"/>
      <c r="B82" s="2854"/>
    </row>
    <row r="83" spans="1:12">
      <c r="A83" s="2847"/>
      <c r="B83" s="2881"/>
      <c r="C83" s="2881"/>
      <c r="D83" s="2881"/>
      <c r="E83" s="2881"/>
      <c r="F83" s="2881"/>
      <c r="G83" s="2881"/>
      <c r="H83" s="2881"/>
      <c r="I83" s="2881"/>
      <c r="J83" s="2881"/>
      <c r="K83" s="2881"/>
      <c r="L83" s="2881"/>
    </row>
    <row r="84" spans="1:12" ht="15.75">
      <c r="A84" s="2848"/>
      <c r="B84" s="2854"/>
    </row>
    <row r="85" spans="1:12">
      <c r="B85" s="2881"/>
    </row>
    <row r="86" spans="1:12">
      <c r="B86" s="2880"/>
    </row>
    <row r="88" spans="1:12">
      <c r="B88" s="2882"/>
    </row>
    <row r="98" spans="2:12">
      <c r="B98" s="2849"/>
      <c r="C98" s="2849"/>
      <c r="D98" s="2849"/>
      <c r="E98" s="2850"/>
      <c r="F98" s="2850"/>
      <c r="G98" s="2850"/>
      <c r="H98" s="2850"/>
      <c r="I98" s="2850"/>
      <c r="J98" s="2850"/>
      <c r="K98" s="2850"/>
      <c r="L98" s="2850"/>
    </row>
    <row r="99" spans="2:12">
      <c r="B99" s="2850"/>
      <c r="C99" s="2850"/>
      <c r="D99" s="2850"/>
      <c r="E99" s="2850"/>
      <c r="F99" s="2850"/>
      <c r="G99" s="2850"/>
      <c r="H99" s="2850"/>
      <c r="I99" s="2850"/>
      <c r="J99" s="2850"/>
      <c r="K99" s="2850"/>
      <c r="L99" s="2850"/>
    </row>
  </sheetData>
  <mergeCells count="1">
    <mergeCell ref="A2:L2"/>
  </mergeCells>
  <pageMargins left="0.7" right="0.7" top="0.75" bottom="0.75" header="0.3" footer="0.3"/>
  <pageSetup scale="26" fitToWidth="0" fitToHeight="0"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W90"/>
  <sheetViews>
    <sheetView zoomScale="75" zoomScaleNormal="75" workbookViewId="0">
      <pane ySplit="3" topLeftCell="A29" activePane="bottomLeft" state="frozen"/>
      <selection pane="bottomLeft" activeCell="C35" sqref="C35"/>
    </sheetView>
  </sheetViews>
  <sheetFormatPr defaultRowHeight="15"/>
  <cols>
    <col min="1" max="1" width="41.6640625" style="2843" customWidth="1"/>
    <col min="2" max="12" width="20.6640625" style="2843" customWidth="1"/>
    <col min="13" max="13" width="24.1640625" style="2843" customWidth="1"/>
    <col min="14" max="14" width="14.5" style="2843" customWidth="1"/>
    <col min="15" max="16384" width="9.33203125" style="2843"/>
  </cols>
  <sheetData>
    <row r="1" spans="1:25" s="2779" customFormat="1" ht="150" customHeight="1">
      <c r="A1" s="2776" t="s">
        <v>3139</v>
      </c>
      <c r="B1" s="2777"/>
      <c r="C1" s="2777"/>
      <c r="D1" s="2777"/>
      <c r="E1" s="2777"/>
      <c r="F1" s="2777"/>
      <c r="G1" s="2777"/>
      <c r="H1" s="2777"/>
      <c r="I1" s="2777"/>
      <c r="J1" s="2777"/>
      <c r="K1" s="2777"/>
      <c r="L1" s="2777"/>
      <c r="M1" s="2777"/>
      <c r="N1" s="2777"/>
      <c r="O1" s="2777"/>
      <c r="P1" s="2777"/>
      <c r="Q1" s="2777"/>
      <c r="R1" s="2777"/>
      <c r="S1" s="2777"/>
      <c r="T1" s="2777"/>
      <c r="U1" s="2777"/>
      <c r="V1" s="2777"/>
      <c r="W1" s="2778"/>
      <c r="X1" s="2778"/>
      <c r="Y1" s="2778"/>
    </row>
    <row r="2" spans="1:25" s="2780" customFormat="1" ht="45" customHeight="1">
      <c r="A2" s="3300" t="s">
        <v>3140</v>
      </c>
      <c r="B2" s="3301"/>
      <c r="C2" s="3301"/>
      <c r="D2" s="3301"/>
      <c r="E2" s="3301"/>
      <c r="F2" s="3301"/>
      <c r="G2" s="3301"/>
      <c r="H2" s="3301"/>
      <c r="I2" s="3301"/>
      <c r="J2" s="3301"/>
      <c r="K2" s="3301"/>
      <c r="L2" s="3302"/>
    </row>
    <row r="3" spans="1:25" s="2782" customFormat="1" ht="27" customHeight="1">
      <c r="A3" s="2781"/>
      <c r="B3" s="2781">
        <v>2012</v>
      </c>
      <c r="C3" s="2781">
        <v>2013</v>
      </c>
      <c r="D3" s="2781">
        <v>2014</v>
      </c>
      <c r="E3" s="2781">
        <v>2015</v>
      </c>
      <c r="F3" s="2781">
        <v>2016</v>
      </c>
      <c r="G3" s="2781">
        <v>2017</v>
      </c>
      <c r="H3" s="2781">
        <v>2018</v>
      </c>
      <c r="I3" s="2781">
        <v>2019</v>
      </c>
      <c r="J3" s="2781">
        <v>2020</v>
      </c>
      <c r="K3" s="2781">
        <v>2021</v>
      </c>
      <c r="L3" s="2782">
        <v>2022</v>
      </c>
      <c r="M3" s="2782" t="s">
        <v>3141</v>
      </c>
      <c r="N3" s="2782" t="s">
        <v>3142</v>
      </c>
    </row>
    <row r="4" spans="1:25" s="2786" customFormat="1" ht="21">
      <c r="A4" s="2783" t="s">
        <v>3143</v>
      </c>
      <c r="B4" s="2784">
        <v>407512360.91357827</v>
      </c>
      <c r="C4" s="2784">
        <v>518716820.6950748</v>
      </c>
      <c r="D4" s="2784">
        <v>743616405.00821805</v>
      </c>
      <c r="E4" s="2784">
        <v>2537698879.6748939</v>
      </c>
      <c r="F4" s="2784">
        <v>3666139461.5907102</v>
      </c>
      <c r="G4" s="2784">
        <v>4345764070.3444643</v>
      </c>
      <c r="H4" s="2784">
        <v>5106673204.2333813</v>
      </c>
      <c r="I4" s="2784">
        <v>6012376403.667984</v>
      </c>
      <c r="J4" s="2784">
        <v>6803473582.5625353</v>
      </c>
      <c r="K4" s="2784">
        <v>7454549439.5601377</v>
      </c>
      <c r="L4" s="2784">
        <v>8359193938.9576359</v>
      </c>
      <c r="M4" s="2785">
        <v>0.35270271429861344</v>
      </c>
    </row>
    <row r="5" spans="1:25" s="2790" customFormat="1" ht="15" customHeight="1">
      <c r="A5" s="2787"/>
      <c r="B5" s="2788"/>
      <c r="C5" s="2788"/>
      <c r="D5" s="2788"/>
      <c r="E5" s="2788"/>
      <c r="F5" s="2788"/>
      <c r="G5" s="2788"/>
      <c r="H5" s="2788"/>
      <c r="I5" s="2788"/>
      <c r="J5" s="2788"/>
      <c r="K5" s="2788"/>
      <c r="L5" s="2788"/>
      <c r="M5" s="2789"/>
    </row>
    <row r="6" spans="1:25" s="2790" customFormat="1" ht="15" customHeight="1">
      <c r="A6" s="2787" t="s">
        <v>3144</v>
      </c>
      <c r="B6" s="2791">
        <v>417445586.99932265</v>
      </c>
      <c r="C6" s="2791">
        <v>424008295.73488104</v>
      </c>
      <c r="D6" s="2791">
        <v>430718199.22939777</v>
      </c>
      <c r="E6" s="2791">
        <v>437453271.19100362</v>
      </c>
      <c r="F6" s="2791">
        <v>444204296.17391509</v>
      </c>
      <c r="G6" s="2791">
        <v>450969077.55690998</v>
      </c>
      <c r="H6" s="2791">
        <v>457739024.36328387</v>
      </c>
      <c r="I6" s="2791">
        <v>464600247.92515075</v>
      </c>
      <c r="J6" s="2791">
        <v>471465307.21098262</v>
      </c>
      <c r="K6" s="2791">
        <v>478335260.58944005</v>
      </c>
      <c r="L6" s="2791">
        <v>485203796.43167979</v>
      </c>
      <c r="M6" s="2785">
        <v>1.5155171998293637E-2</v>
      </c>
    </row>
    <row r="7" spans="1:25" s="2790" customFormat="1" ht="15" customHeight="1">
      <c r="A7" s="2787" t="s">
        <v>3145</v>
      </c>
      <c r="B7" s="2792">
        <v>5724551.9164353982</v>
      </c>
      <c r="C7" s="2792">
        <v>6506190.5581753794</v>
      </c>
      <c r="D7" s="2792">
        <v>7317118.7290398367</v>
      </c>
      <c r="E7" s="2792">
        <v>8188813.3004837381</v>
      </c>
      <c r="F7" s="2792">
        <v>9230852.9574300461</v>
      </c>
      <c r="G7" s="2792">
        <v>10063309.011233348</v>
      </c>
      <c r="H7" s="2792">
        <v>10923478.44434296</v>
      </c>
      <c r="I7" s="2792">
        <v>11814611.675137483</v>
      </c>
      <c r="J7" s="2792">
        <v>12733749.659884593</v>
      </c>
      <c r="K7" s="2792">
        <v>13304747.319130039</v>
      </c>
      <c r="L7" s="2792">
        <v>13889957.134045104</v>
      </c>
      <c r="M7" s="2785">
        <v>9.268741393957014E-2</v>
      </c>
    </row>
    <row r="8" spans="1:25" s="2790" customFormat="1" ht="15" customHeight="1">
      <c r="A8" s="2787"/>
      <c r="B8" s="2788"/>
      <c r="C8" s="2788"/>
      <c r="D8" s="2788"/>
      <c r="E8" s="2788"/>
      <c r="F8" s="2788"/>
      <c r="G8" s="2788"/>
      <c r="H8" s="2788"/>
      <c r="I8" s="2788"/>
      <c r="J8" s="2788"/>
      <c r="K8" s="2788"/>
      <c r="L8" s="2788"/>
      <c r="M8" s="2789"/>
    </row>
    <row r="9" spans="1:25" s="2790" customFormat="1" ht="15" customHeight="1">
      <c r="A9" s="2793" t="s">
        <v>3146</v>
      </c>
      <c r="B9" s="2788"/>
      <c r="C9" s="2788"/>
      <c r="D9" s="2788"/>
      <c r="E9" s="2788"/>
      <c r="F9" s="2788"/>
      <c r="G9" s="2788"/>
      <c r="H9" s="2788"/>
      <c r="I9" s="2788"/>
      <c r="J9" s="2788"/>
      <c r="K9" s="2788"/>
      <c r="L9" s="2788"/>
      <c r="M9" s="2789"/>
    </row>
    <row r="10" spans="1:25" s="2790" customFormat="1" ht="15" customHeight="1">
      <c r="A10" s="2794" t="s">
        <v>3147</v>
      </c>
      <c r="B10" s="2795">
        <v>407512360.91357827</v>
      </c>
      <c r="C10" s="2795">
        <v>518716820.6950748</v>
      </c>
      <c r="D10" s="2795">
        <v>743616405.00821793</v>
      </c>
      <c r="E10" s="2795">
        <v>2537698879.6748939</v>
      </c>
      <c r="F10" s="2795">
        <v>3666139461.5907097</v>
      </c>
      <c r="G10" s="2795">
        <v>4345764070.3444653</v>
      </c>
      <c r="H10" s="2795">
        <v>5106673204.2333813</v>
      </c>
      <c r="I10" s="2795">
        <v>6012376403.667984</v>
      </c>
      <c r="J10" s="2795">
        <v>6803473582.5625353</v>
      </c>
      <c r="K10" s="2795">
        <v>7454549439.5601377</v>
      </c>
      <c r="L10" s="2795">
        <v>8359193938.957634</v>
      </c>
      <c r="M10" s="2785">
        <v>0.35270271429861344</v>
      </c>
    </row>
    <row r="11" spans="1:25" s="2790" customFormat="1" ht="15" customHeight="1">
      <c r="A11" s="2794" t="s">
        <v>2942</v>
      </c>
      <c r="B11" s="2795">
        <v>83809147.637888059</v>
      </c>
      <c r="C11" s="2795">
        <v>169552837.40653005</v>
      </c>
      <c r="D11" s="2795">
        <v>352918097.71746403</v>
      </c>
      <c r="E11" s="2795">
        <v>1538155405.7586586</v>
      </c>
      <c r="F11" s="2795">
        <v>2449017524.9538827</v>
      </c>
      <c r="G11" s="2795">
        <v>2903266332.560338</v>
      </c>
      <c r="H11" s="2795">
        <v>3382513054.1481996</v>
      </c>
      <c r="I11" s="2795">
        <v>3956774587.4745135</v>
      </c>
      <c r="J11" s="2795">
        <v>4421474344.0980844</v>
      </c>
      <c r="K11" s="2795">
        <v>4723604702.2801123</v>
      </c>
      <c r="L11" s="2795">
        <v>5273660880.5932627</v>
      </c>
      <c r="M11" s="2785">
        <v>0.51315033228927409</v>
      </c>
    </row>
    <row r="12" spans="1:25" s="2790" customFormat="1" ht="15" customHeight="1">
      <c r="A12" s="2794" t="s">
        <v>3148</v>
      </c>
      <c r="B12" s="2795">
        <v>181051859.80993813</v>
      </c>
      <c r="C12" s="2795">
        <v>198333118.33633688</v>
      </c>
      <c r="D12" s="2795">
        <v>216388848.45590311</v>
      </c>
      <c r="E12" s="2795">
        <v>757757351.64335501</v>
      </c>
      <c r="F12" s="2795">
        <v>892350424.27011526</v>
      </c>
      <c r="G12" s="2795">
        <v>1021116944.1377813</v>
      </c>
      <c r="H12" s="2795">
        <v>1170807775.7002208</v>
      </c>
      <c r="I12" s="2795">
        <v>1346512163.8562338</v>
      </c>
      <c r="J12" s="2795">
        <v>1515874921.78706</v>
      </c>
      <c r="K12" s="2795">
        <v>1699090120.4231818</v>
      </c>
      <c r="L12" s="2795">
        <v>1866096705.629847</v>
      </c>
      <c r="M12" s="2785">
        <v>0.26273760907213894</v>
      </c>
    </row>
    <row r="13" spans="1:25" s="2790" customFormat="1" ht="15" customHeight="1">
      <c r="A13" s="2794" t="s">
        <v>3149</v>
      </c>
      <c r="B13" s="2795">
        <v>55009319.335938044</v>
      </c>
      <c r="C13" s="2795">
        <v>60613956.869712897</v>
      </c>
      <c r="D13" s="2795">
        <v>81072416.325163811</v>
      </c>
      <c r="E13" s="2795">
        <v>89900026.310944289</v>
      </c>
      <c r="F13" s="2795">
        <v>99910102.03568992</v>
      </c>
      <c r="G13" s="2795">
        <v>109417726.81711288</v>
      </c>
      <c r="H13" s="2795">
        <v>119789475.57114829</v>
      </c>
      <c r="I13" s="2795">
        <v>131289560.80497329</v>
      </c>
      <c r="J13" s="2795">
        <v>142318516.60985661</v>
      </c>
      <c r="K13" s="2795">
        <v>153797344.18496999</v>
      </c>
      <c r="L13" s="2795">
        <v>165731704.00990385</v>
      </c>
      <c r="M13" s="2785">
        <v>0.11659822322667401</v>
      </c>
    </row>
    <row r="14" spans="1:25" s="2790" customFormat="1" ht="15" customHeight="1">
      <c r="A14" s="2794" t="s">
        <v>3150</v>
      </c>
      <c r="B14" s="2795">
        <v>12424379.916118037</v>
      </c>
      <c r="C14" s="2795">
        <v>12778664.406825552</v>
      </c>
      <c r="D14" s="2795">
        <v>13135100.093929328</v>
      </c>
      <c r="E14" s="2795">
        <v>69288788.754436463</v>
      </c>
      <c r="F14" s="2795">
        <v>110007590.28213216</v>
      </c>
      <c r="G14" s="2795">
        <v>169607304.00170478</v>
      </c>
      <c r="H14" s="2795">
        <v>258217151.64071947</v>
      </c>
      <c r="I14" s="2795">
        <v>366187822.05554348</v>
      </c>
      <c r="J14" s="2795">
        <v>468729811.45154262</v>
      </c>
      <c r="K14" s="2795">
        <v>576488228.43298531</v>
      </c>
      <c r="L14" s="2795">
        <v>699425896.55866539</v>
      </c>
      <c r="M14" s="2785">
        <v>0.49639655098998925</v>
      </c>
    </row>
    <row r="15" spans="1:25" s="2790" customFormat="1" ht="15" customHeight="1">
      <c r="A15" s="2794" t="s">
        <v>3151</v>
      </c>
      <c r="B15" s="2795">
        <v>75217654.213696033</v>
      </c>
      <c r="C15" s="2795">
        <v>77438243.675669417</v>
      </c>
      <c r="D15" s="2795">
        <v>80101942.415757805</v>
      </c>
      <c r="E15" s="2795">
        <v>82597307.20749943</v>
      </c>
      <c r="F15" s="2795">
        <v>114853820.04889011</v>
      </c>
      <c r="G15" s="2795">
        <v>142355762.82752779</v>
      </c>
      <c r="H15" s="2795">
        <v>175345747.17309356</v>
      </c>
      <c r="I15" s="2795">
        <v>211612269.47671935</v>
      </c>
      <c r="J15" s="2795">
        <v>255075988.61599123</v>
      </c>
      <c r="K15" s="2795">
        <v>301569044.23888886</v>
      </c>
      <c r="L15" s="2795">
        <v>354278752.16595632</v>
      </c>
      <c r="M15" s="2785">
        <v>0.16762270676039082</v>
      </c>
    </row>
    <row r="16" spans="1:25" s="2790" customFormat="1" ht="15" customHeight="1">
      <c r="A16" s="2796"/>
      <c r="B16" s="2797"/>
      <c r="C16" s="2797"/>
      <c r="D16" s="2797"/>
      <c r="E16" s="2797"/>
      <c r="F16" s="2797"/>
      <c r="G16" s="2797"/>
      <c r="H16" s="2797"/>
      <c r="I16" s="2797"/>
      <c r="J16" s="2797"/>
      <c r="K16" s="2797"/>
      <c r="L16" s="2797"/>
      <c r="M16" s="2789"/>
    </row>
    <row r="17" spans="1:49" s="2790" customFormat="1" ht="15" customHeight="1">
      <c r="A17" s="2798" t="s">
        <v>3152</v>
      </c>
      <c r="B17" s="2799"/>
      <c r="C17" s="2799"/>
      <c r="D17" s="2799"/>
      <c r="E17" s="2799"/>
      <c r="F17" s="2799"/>
      <c r="G17" s="2799"/>
      <c r="H17" s="2799"/>
      <c r="I17" s="2799"/>
      <c r="J17" s="2799"/>
      <c r="K17" s="2799"/>
      <c r="L17" s="2799"/>
      <c r="M17" s="2789"/>
    </row>
    <row r="18" spans="1:49" s="2790" customFormat="1" ht="15" customHeight="1">
      <c r="A18" s="2794" t="s">
        <v>3153</v>
      </c>
      <c r="B18" s="2800">
        <v>83809147.637888059</v>
      </c>
      <c r="C18" s="2800">
        <v>169552837.40653005</v>
      </c>
      <c r="D18" s="2800">
        <v>352918097.71746403</v>
      </c>
      <c r="E18" s="2800">
        <v>1538155405.7586586</v>
      </c>
      <c r="F18" s="2800">
        <v>2449017524.9538827</v>
      </c>
      <c r="G18" s="2800">
        <v>2903266332.560338</v>
      </c>
      <c r="H18" s="2800">
        <v>3382513054.1481996</v>
      </c>
      <c r="I18" s="2800">
        <v>3956774587.4745135</v>
      </c>
      <c r="J18" s="2800">
        <v>4421474344.0980844</v>
      </c>
      <c r="K18" s="2800">
        <v>4723604702.2801123</v>
      </c>
      <c r="L18" s="2800">
        <v>5273660880.5932627</v>
      </c>
      <c r="M18" s="2785">
        <v>0.51315033228927409</v>
      </c>
    </row>
    <row r="19" spans="1:49" s="2790" customFormat="1" ht="15" customHeight="1">
      <c r="A19" s="2794" t="s">
        <v>3154</v>
      </c>
      <c r="B19" s="2800">
        <v>41045843.992488071</v>
      </c>
      <c r="C19" s="2800">
        <v>45466915.350505151</v>
      </c>
      <c r="D19" s="2800">
        <v>50029779.713783629</v>
      </c>
      <c r="E19" s="2800">
        <v>208846796.17630553</v>
      </c>
      <c r="F19" s="2800">
        <v>260966014.56631908</v>
      </c>
      <c r="G19" s="2800">
        <v>300995182.70571268</v>
      </c>
      <c r="H19" s="2800">
        <v>345281388.0284878</v>
      </c>
      <c r="I19" s="2800">
        <v>396594948.7804451</v>
      </c>
      <c r="J19" s="2800">
        <v>448864084.02876663</v>
      </c>
      <c r="K19" s="2800">
        <v>505326644.14293712</v>
      </c>
      <c r="L19" s="2800">
        <v>540809551.19985783</v>
      </c>
      <c r="M19" s="2785">
        <v>0.29412884181907217</v>
      </c>
    </row>
    <row r="20" spans="1:49" s="2790" customFormat="1" ht="15" customHeight="1">
      <c r="A20" s="2794" t="s">
        <v>3155</v>
      </c>
      <c r="B20" s="2800">
        <v>58517259.399091378</v>
      </c>
      <c r="C20" s="2800">
        <v>63436413.404092655</v>
      </c>
      <c r="D20" s="2800">
        <v>68378727.517799586</v>
      </c>
      <c r="E20" s="2800">
        <v>184049817.742567</v>
      </c>
      <c r="F20" s="2800">
        <v>208296164.16683573</v>
      </c>
      <c r="G20" s="2800">
        <v>233967640.56877428</v>
      </c>
      <c r="H20" s="2800">
        <v>262903042.27842379</v>
      </c>
      <c r="I20" s="2800">
        <v>295920410.52692467</v>
      </c>
      <c r="J20" s="2800">
        <v>327899726.63403076</v>
      </c>
      <c r="K20" s="2800">
        <v>360926122.34018123</v>
      </c>
      <c r="L20" s="2800">
        <v>396826360.79257333</v>
      </c>
      <c r="M20" s="2785">
        <v>0.21096517429104034</v>
      </c>
    </row>
    <row r="21" spans="1:49" s="2790" customFormat="1" ht="15" customHeight="1">
      <c r="A21" s="2794" t="s">
        <v>3156</v>
      </c>
      <c r="B21" s="2800">
        <v>30707751.865097173</v>
      </c>
      <c r="C21" s="2800">
        <v>33580429.58402203</v>
      </c>
      <c r="D21" s="2800">
        <v>36484199.995627664</v>
      </c>
      <c r="E21" s="2800">
        <v>107362397.09139867</v>
      </c>
      <c r="F21" s="2800">
        <v>122631857.17714888</v>
      </c>
      <c r="G21" s="2800">
        <v>138981018.12238261</v>
      </c>
      <c r="H21" s="2800">
        <v>157172877.51915693</v>
      </c>
      <c r="I21" s="2800">
        <v>180658480.78121284</v>
      </c>
      <c r="J21" s="2800">
        <v>202009994.50937259</v>
      </c>
      <c r="K21" s="2800">
        <v>223640498.76257697</v>
      </c>
      <c r="L21" s="2800">
        <v>247499712.5982393</v>
      </c>
      <c r="M21" s="2785">
        <v>0.23206229681808943</v>
      </c>
    </row>
    <row r="22" spans="1:49" s="2790" customFormat="1" ht="15" customHeight="1">
      <c r="A22" s="2794" t="s">
        <v>3157</v>
      </c>
      <c r="B22" s="2800">
        <v>36672842.121865951</v>
      </c>
      <c r="C22" s="2800">
        <v>40455126.992101096</v>
      </c>
      <c r="D22" s="2800">
        <v>44756844.63794446</v>
      </c>
      <c r="E22" s="2800">
        <v>81065934.94459188</v>
      </c>
      <c r="F22" s="2800">
        <v>92158186.106699139</v>
      </c>
      <c r="G22" s="2800">
        <v>104166572.96281412</v>
      </c>
      <c r="H22" s="2800">
        <v>118067281.1630604</v>
      </c>
      <c r="I22" s="2800">
        <v>134029233.19478355</v>
      </c>
      <c r="J22" s="2800">
        <v>150102490.15725431</v>
      </c>
      <c r="K22" s="2800">
        <v>166088775.55019289</v>
      </c>
      <c r="L22" s="2800">
        <v>184802078.85390699</v>
      </c>
      <c r="M22" s="2785">
        <v>0.17553679771388175</v>
      </c>
    </row>
    <row r="23" spans="1:49" s="2790" customFormat="1" ht="15" customHeight="1">
      <c r="A23" s="2794" t="s">
        <v>3158</v>
      </c>
      <c r="B23" s="2800">
        <v>14108162.431395574</v>
      </c>
      <c r="C23" s="2800">
        <v>15394233.00561594</v>
      </c>
      <c r="D23" s="2800">
        <v>16739296.590747768</v>
      </c>
      <c r="E23" s="2800">
        <v>176432405.68849194</v>
      </c>
      <c r="F23" s="2800">
        <v>208298202.25311252</v>
      </c>
      <c r="G23" s="2800">
        <v>243006529.77809766</v>
      </c>
      <c r="H23" s="2800">
        <v>287383186.71109188</v>
      </c>
      <c r="I23" s="2800">
        <v>339309090.57286781</v>
      </c>
      <c r="J23" s="2800">
        <v>386998626.45763558</v>
      </c>
      <c r="K23" s="2800">
        <v>443108079.62729359</v>
      </c>
      <c r="L23" s="2800">
        <v>496159002.18526924</v>
      </c>
      <c r="M23" s="2785">
        <v>0.42762795156877709</v>
      </c>
    </row>
    <row r="24" spans="1:49" s="2790" customFormat="1" ht="15" customHeight="1">
      <c r="A24" s="2794" t="s">
        <v>3150</v>
      </c>
      <c r="B24" s="2800">
        <v>12424379.916118037</v>
      </c>
      <c r="C24" s="2800">
        <v>12778664.406825552</v>
      </c>
      <c r="D24" s="2800">
        <v>13135100.093929328</v>
      </c>
      <c r="E24" s="2800">
        <v>69288788.754436463</v>
      </c>
      <c r="F24" s="2800">
        <v>110007590.28213216</v>
      </c>
      <c r="G24" s="2800">
        <v>169607304.00170478</v>
      </c>
      <c r="H24" s="2800">
        <v>258217151.64071947</v>
      </c>
      <c r="I24" s="2800">
        <v>366187822.05554348</v>
      </c>
      <c r="J24" s="2800">
        <v>468729811.45154262</v>
      </c>
      <c r="K24" s="2800">
        <v>576488228.43298531</v>
      </c>
      <c r="L24" s="2800">
        <v>699425896.55866539</v>
      </c>
      <c r="M24" s="2785">
        <v>0.49639655098998925</v>
      </c>
    </row>
    <row r="25" spans="1:49" s="2790" customFormat="1" ht="15" customHeight="1">
      <c r="A25" s="2794" t="s">
        <v>3151</v>
      </c>
      <c r="B25" s="2800">
        <v>75217654.213696033</v>
      </c>
      <c r="C25" s="2800">
        <v>77438243.675669417</v>
      </c>
      <c r="D25" s="2800">
        <v>80101942.415757805</v>
      </c>
      <c r="E25" s="2800">
        <v>82597307.20749943</v>
      </c>
      <c r="F25" s="2800">
        <v>114853820.04889011</v>
      </c>
      <c r="G25" s="2800">
        <v>142355762.82752779</v>
      </c>
      <c r="H25" s="2800">
        <v>175345747.17309356</v>
      </c>
      <c r="I25" s="2800">
        <v>211612269.47671935</v>
      </c>
      <c r="J25" s="2800">
        <v>255075988.61599123</v>
      </c>
      <c r="K25" s="2800">
        <v>301569044.23888886</v>
      </c>
      <c r="L25" s="2800">
        <v>354278752.16595632</v>
      </c>
      <c r="M25" s="2785">
        <v>0.16762270676039082</v>
      </c>
    </row>
    <row r="26" spans="1:49" s="2790" customFormat="1" ht="15" customHeight="1">
      <c r="A26" s="2794" t="s">
        <v>3149</v>
      </c>
      <c r="B26" s="2800">
        <v>55009319.335938044</v>
      </c>
      <c r="C26" s="2800">
        <v>60613956.869712897</v>
      </c>
      <c r="D26" s="2800">
        <v>81072416.325163811</v>
      </c>
      <c r="E26" s="2800">
        <v>89900026.310944289</v>
      </c>
      <c r="F26" s="2800">
        <v>99910102.03568992</v>
      </c>
      <c r="G26" s="2800">
        <v>109417726.81711288</v>
      </c>
      <c r="H26" s="2800">
        <v>119789475.57114829</v>
      </c>
      <c r="I26" s="2800">
        <v>131289560.80497329</v>
      </c>
      <c r="J26" s="2800">
        <v>142318516.60985661</v>
      </c>
      <c r="K26" s="2800">
        <v>153797344.18496999</v>
      </c>
      <c r="L26" s="2800">
        <v>165731704.00990385</v>
      </c>
      <c r="M26" s="2785">
        <v>0.11659822322667401</v>
      </c>
    </row>
    <row r="27" spans="1:49" s="2786" customFormat="1" ht="15" customHeight="1">
      <c r="A27" s="2801"/>
      <c r="B27" s="2799"/>
      <c r="C27" s="2799"/>
      <c r="D27" s="2799"/>
      <c r="E27" s="2799"/>
      <c r="F27" s="2799"/>
      <c r="G27" s="2799"/>
      <c r="H27" s="2799"/>
      <c r="I27" s="2799"/>
      <c r="J27" s="2799"/>
      <c r="K27" s="2799"/>
      <c r="L27" s="2802"/>
      <c r="M27" s="2789"/>
    </row>
    <row r="28" spans="1:49" s="2786" customFormat="1" ht="15" customHeight="1">
      <c r="A28" s="2803" t="s">
        <v>3159</v>
      </c>
      <c r="B28" s="2804"/>
      <c r="C28" s="2804"/>
      <c r="D28" s="2804"/>
      <c r="E28" s="2804"/>
      <c r="F28" s="2804"/>
      <c r="G28" s="2804"/>
      <c r="H28" s="2804"/>
      <c r="I28" s="2804"/>
      <c r="J28" s="2804"/>
      <c r="K28" s="2804"/>
      <c r="L28" s="2804"/>
      <c r="M28" s="2789"/>
    </row>
    <row r="29" spans="1:49" s="2807" customFormat="1" ht="15" customHeight="1">
      <c r="A29" s="2805" t="s">
        <v>3160</v>
      </c>
      <c r="B29" s="2806"/>
      <c r="C29" s="2806"/>
      <c r="D29" s="2806"/>
      <c r="E29" s="2806"/>
      <c r="F29" s="2806"/>
      <c r="G29" s="2806"/>
      <c r="H29" s="2806"/>
      <c r="I29" s="2806"/>
      <c r="J29" s="2806"/>
      <c r="K29" s="2806"/>
      <c r="L29" s="2806"/>
      <c r="M29" s="2789"/>
      <c r="N29" s="2786"/>
      <c r="O29" s="2786"/>
      <c r="P29" s="2786"/>
      <c r="Q29" s="2786"/>
      <c r="R29" s="2786"/>
      <c r="S29" s="2786"/>
      <c r="T29" s="2786"/>
      <c r="U29" s="2786"/>
      <c r="V29" s="2786"/>
      <c r="W29" s="2786"/>
      <c r="X29" s="2786"/>
      <c r="Y29" s="2786"/>
      <c r="Z29" s="2786"/>
      <c r="AA29" s="2786"/>
      <c r="AB29" s="2786"/>
      <c r="AC29" s="2786"/>
      <c r="AD29" s="2786"/>
      <c r="AE29" s="2786"/>
      <c r="AF29" s="2786"/>
      <c r="AG29" s="2786"/>
      <c r="AH29" s="2786"/>
      <c r="AI29" s="2786"/>
      <c r="AJ29" s="2786"/>
      <c r="AK29" s="2786"/>
      <c r="AL29" s="2786"/>
      <c r="AM29" s="2786"/>
      <c r="AN29" s="2786"/>
      <c r="AO29" s="2786"/>
      <c r="AP29" s="2786"/>
      <c r="AQ29" s="2786"/>
      <c r="AR29" s="2786"/>
      <c r="AS29" s="2786"/>
      <c r="AT29" s="2786"/>
      <c r="AU29" s="2786"/>
      <c r="AV29" s="2786"/>
      <c r="AW29" s="2786"/>
    </row>
    <row r="30" spans="1:49" s="2807" customFormat="1" ht="15" customHeight="1">
      <c r="A30" s="2808" t="s">
        <v>3161</v>
      </c>
      <c r="B30" s="2809">
        <v>70853252.323688909</v>
      </c>
      <c r="C30" s="2809">
        <v>61359643.642008133</v>
      </c>
      <c r="D30" s="2809">
        <v>57579352.444639333</v>
      </c>
      <c r="E30" s="2809">
        <v>45258244.675524704</v>
      </c>
      <c r="F30" s="2809">
        <v>41589459.665425994</v>
      </c>
      <c r="G30" s="2809">
        <v>39840027.00789085</v>
      </c>
      <c r="H30" s="2809">
        <v>31384712.210929919</v>
      </c>
      <c r="I30" s="2809">
        <v>16341496.469195688</v>
      </c>
      <c r="J30" s="2809">
        <v>8328106.4744472094</v>
      </c>
      <c r="K30" s="2809">
        <v>3836009.7959841392</v>
      </c>
      <c r="L30" s="2809">
        <v>1048312.4176932456</v>
      </c>
      <c r="M30" s="2785">
        <v>-0.34383495057326607</v>
      </c>
      <c r="N30" s="2786"/>
      <c r="O30" s="2786"/>
      <c r="P30" s="2786"/>
      <c r="Q30" s="2786"/>
      <c r="R30" s="2786"/>
      <c r="S30" s="2786"/>
      <c r="T30" s="2786"/>
      <c r="U30" s="2786"/>
      <c r="V30" s="2786"/>
      <c r="W30" s="2786"/>
      <c r="X30" s="2786"/>
      <c r="Y30" s="2786"/>
      <c r="Z30" s="2786"/>
      <c r="AA30" s="2786"/>
      <c r="AB30" s="2786"/>
      <c r="AC30" s="2786"/>
      <c r="AD30" s="2786"/>
      <c r="AE30" s="2786"/>
      <c r="AF30" s="2786"/>
      <c r="AG30" s="2786"/>
      <c r="AH30" s="2786"/>
      <c r="AI30" s="2786"/>
      <c r="AJ30" s="2786"/>
      <c r="AK30" s="2786"/>
      <c r="AL30" s="2786"/>
      <c r="AM30" s="2786"/>
      <c r="AN30" s="2786"/>
      <c r="AO30" s="2786"/>
      <c r="AP30" s="2786"/>
      <c r="AQ30" s="2786"/>
      <c r="AR30" s="2786"/>
      <c r="AS30" s="2786"/>
      <c r="AT30" s="2786"/>
      <c r="AU30" s="2786"/>
      <c r="AV30" s="2786"/>
      <c r="AW30" s="2786"/>
    </row>
    <row r="31" spans="1:49" s="2807" customFormat="1" ht="15" customHeight="1">
      <c r="A31" s="2810" t="s">
        <v>3088</v>
      </c>
      <c r="B31" s="2809">
        <v>155962546.5490995</v>
      </c>
      <c r="C31" s="2809">
        <v>170108743.8721714</v>
      </c>
      <c r="D31" s="2809">
        <v>184772354.71622515</v>
      </c>
      <c r="E31" s="2809">
        <v>155341625.75627643</v>
      </c>
      <c r="F31" s="2809">
        <v>162321688.5811266</v>
      </c>
      <c r="G31" s="2809">
        <v>167411093.84592471</v>
      </c>
      <c r="H31" s="2809">
        <v>156348228.76303619</v>
      </c>
      <c r="I31" s="2809">
        <v>131921582.54707101</v>
      </c>
      <c r="J31" s="2809">
        <v>126120656.50582953</v>
      </c>
      <c r="K31" s="2809">
        <v>93634250.909263283</v>
      </c>
      <c r="L31" s="2809">
        <v>88334390.587161779</v>
      </c>
      <c r="M31" s="2785">
        <v>-5.5262944735744557E-2</v>
      </c>
      <c r="N31" s="2786"/>
      <c r="O31" s="2786"/>
      <c r="P31" s="2786"/>
      <c r="Q31" s="2786"/>
      <c r="R31" s="2786"/>
      <c r="S31" s="2786"/>
      <c r="T31" s="2786"/>
      <c r="U31" s="2786"/>
      <c r="V31" s="2786"/>
      <c r="W31" s="2786"/>
      <c r="X31" s="2786"/>
      <c r="Y31" s="2786"/>
      <c r="Z31" s="2786"/>
      <c r="AA31" s="2786"/>
      <c r="AB31" s="2786"/>
      <c r="AC31" s="2786"/>
      <c r="AD31" s="2786"/>
      <c r="AE31" s="2786"/>
      <c r="AF31" s="2786"/>
      <c r="AG31" s="2786"/>
      <c r="AH31" s="2786"/>
      <c r="AI31" s="2786"/>
      <c r="AJ31" s="2786"/>
      <c r="AK31" s="2786"/>
      <c r="AL31" s="2786"/>
      <c r="AM31" s="2786"/>
      <c r="AN31" s="2786"/>
      <c r="AO31" s="2786"/>
      <c r="AP31" s="2786"/>
      <c r="AQ31" s="2786"/>
      <c r="AR31" s="2786"/>
      <c r="AS31" s="2786"/>
      <c r="AT31" s="2786"/>
      <c r="AU31" s="2786"/>
      <c r="AV31" s="2786"/>
      <c r="AW31" s="2786"/>
    </row>
    <row r="32" spans="1:49" s="2807" customFormat="1" ht="15" customHeight="1">
      <c r="A32" s="2811" t="s">
        <v>3162</v>
      </c>
      <c r="B32" s="2809">
        <v>0</v>
      </c>
      <c r="C32" s="2809">
        <v>0</v>
      </c>
      <c r="D32" s="2809">
        <v>18093097.036320116</v>
      </c>
      <c r="E32" s="2809">
        <v>22134589.278998062</v>
      </c>
      <c r="F32" s="2809">
        <v>26604624.8786093</v>
      </c>
      <c r="G32" s="2809">
        <v>31457871.26285148</v>
      </c>
      <c r="H32" s="2809">
        <v>36699331.775996745</v>
      </c>
      <c r="I32" s="2809">
        <v>95448022.977271497</v>
      </c>
      <c r="J32" s="2809">
        <v>158115326.86830229</v>
      </c>
      <c r="K32" s="2809">
        <v>177347278.6052458</v>
      </c>
      <c r="L32" s="2809">
        <v>194002018.90167761</v>
      </c>
      <c r="M32" s="2785"/>
      <c r="N32" s="2786"/>
      <c r="O32" s="2786"/>
      <c r="P32" s="2786"/>
      <c r="Q32" s="2786"/>
      <c r="R32" s="2786"/>
      <c r="S32" s="2786"/>
      <c r="T32" s="2786"/>
      <c r="U32" s="2786"/>
      <c r="V32" s="2786"/>
      <c r="W32" s="2786"/>
      <c r="X32" s="2786"/>
      <c r="Y32" s="2786"/>
      <c r="Z32" s="2786"/>
      <c r="AA32" s="2786"/>
      <c r="AB32" s="2786"/>
      <c r="AC32" s="2786"/>
      <c r="AD32" s="2786"/>
      <c r="AE32" s="2786"/>
      <c r="AF32" s="2786"/>
      <c r="AG32" s="2786"/>
      <c r="AH32" s="2786"/>
      <c r="AI32" s="2786"/>
      <c r="AJ32" s="2786"/>
      <c r="AK32" s="2786"/>
      <c r="AL32" s="2786"/>
      <c r="AM32" s="2786"/>
      <c r="AN32" s="2786"/>
      <c r="AO32" s="2786"/>
      <c r="AP32" s="2786"/>
      <c r="AQ32" s="2786"/>
      <c r="AR32" s="2786"/>
      <c r="AS32" s="2786"/>
      <c r="AT32" s="2786"/>
      <c r="AU32" s="2786"/>
      <c r="AV32" s="2786"/>
      <c r="AW32" s="2786"/>
    </row>
    <row r="33" spans="1:49" s="2807" customFormat="1" ht="15" customHeight="1">
      <c r="A33" s="2811"/>
      <c r="B33" s="2812"/>
      <c r="C33" s="2812"/>
      <c r="D33" s="2812"/>
      <c r="E33" s="2812"/>
      <c r="F33" s="2812"/>
      <c r="G33" s="2812"/>
      <c r="H33" s="2812"/>
      <c r="I33" s="2812"/>
      <c r="J33" s="2812"/>
      <c r="K33" s="2812"/>
      <c r="L33" s="2812"/>
      <c r="M33" s="2789"/>
      <c r="N33" s="2786"/>
      <c r="O33" s="2786"/>
      <c r="P33" s="2786"/>
      <c r="Q33" s="2786"/>
      <c r="R33" s="2786"/>
      <c r="S33" s="2786"/>
      <c r="T33" s="2786"/>
      <c r="U33" s="2786"/>
      <c r="V33" s="2786"/>
      <c r="W33" s="2786"/>
      <c r="X33" s="2786"/>
      <c r="Y33" s="2786"/>
      <c r="Z33" s="2786"/>
      <c r="AA33" s="2786"/>
      <c r="AB33" s="2786"/>
      <c r="AC33" s="2786"/>
      <c r="AD33" s="2786"/>
      <c r="AE33" s="2786"/>
      <c r="AF33" s="2786"/>
      <c r="AG33" s="2786"/>
      <c r="AH33" s="2786"/>
      <c r="AI33" s="2786"/>
      <c r="AJ33" s="2786"/>
      <c r="AK33" s="2786"/>
      <c r="AL33" s="2786"/>
      <c r="AM33" s="2786"/>
      <c r="AN33" s="2786"/>
      <c r="AO33" s="2786"/>
      <c r="AP33" s="2786"/>
      <c r="AQ33" s="2786"/>
      <c r="AR33" s="2786"/>
      <c r="AS33" s="2786"/>
      <c r="AT33" s="2786"/>
      <c r="AU33" s="2786"/>
      <c r="AV33" s="2786"/>
      <c r="AW33" s="2786"/>
    </row>
    <row r="34" spans="1:49" s="2807" customFormat="1" ht="15" customHeight="1">
      <c r="A34" s="2813" t="s">
        <v>3163</v>
      </c>
      <c r="B34" s="2812"/>
      <c r="C34" s="2812"/>
      <c r="D34" s="2812"/>
      <c r="E34" s="2812"/>
      <c r="F34" s="2812"/>
      <c r="G34" s="2812"/>
      <c r="H34" s="2812"/>
      <c r="I34" s="2812"/>
      <c r="J34" s="2812"/>
      <c r="K34" s="2812"/>
      <c r="L34" s="2812"/>
      <c r="M34" s="2789"/>
      <c r="N34" s="2786"/>
      <c r="O34" s="2786"/>
      <c r="P34" s="2786"/>
      <c r="Q34" s="2786"/>
      <c r="R34" s="2786"/>
      <c r="S34" s="2786"/>
      <c r="T34" s="2786"/>
      <c r="U34" s="2786"/>
      <c r="V34" s="2786"/>
      <c r="W34" s="2786"/>
      <c r="X34" s="2786"/>
      <c r="Y34" s="2786"/>
      <c r="Z34" s="2786"/>
      <c r="AA34" s="2786"/>
      <c r="AB34" s="2786"/>
      <c r="AC34" s="2786"/>
      <c r="AD34" s="2786"/>
      <c r="AE34" s="2786"/>
      <c r="AF34" s="2786"/>
      <c r="AG34" s="2786"/>
      <c r="AH34" s="2786"/>
      <c r="AI34" s="2786"/>
      <c r="AJ34" s="2786"/>
      <c r="AK34" s="2786"/>
      <c r="AL34" s="2786"/>
      <c r="AM34" s="2786"/>
      <c r="AN34" s="2786"/>
      <c r="AO34" s="2786"/>
      <c r="AP34" s="2786"/>
      <c r="AQ34" s="2786"/>
      <c r="AR34" s="2786"/>
      <c r="AS34" s="2786"/>
      <c r="AT34" s="2786"/>
      <c r="AU34" s="2786"/>
      <c r="AV34" s="2786"/>
      <c r="AW34" s="2786"/>
    </row>
    <row r="35" spans="1:49" s="2807" customFormat="1" ht="15" customHeight="1">
      <c r="A35" s="2808" t="s">
        <v>3164</v>
      </c>
      <c r="B35" s="2809">
        <v>0</v>
      </c>
      <c r="C35" s="2809">
        <v>0</v>
      </c>
      <c r="D35" s="2809">
        <v>29862963.388950575</v>
      </c>
      <c r="E35" s="2809">
        <v>1728253211.3308206</v>
      </c>
      <c r="F35" s="2809">
        <v>2658623197.5310149</v>
      </c>
      <c r="G35" s="2809">
        <v>3138907201.2323608</v>
      </c>
      <c r="H35" s="2809">
        <v>3670212414.5012426</v>
      </c>
      <c r="I35" s="2809">
        <v>4255572220.0261178</v>
      </c>
      <c r="J35" s="2809">
        <v>4896007925.3098307</v>
      </c>
      <c r="K35" s="2809">
        <v>5428333627.7519722</v>
      </c>
      <c r="L35" s="2809">
        <v>6181952060.191205</v>
      </c>
      <c r="M35" s="2785" t="s">
        <v>3079</v>
      </c>
      <c r="N35" s="2786"/>
      <c r="O35" s="2786"/>
      <c r="P35" s="2786"/>
      <c r="Q35" s="2786"/>
      <c r="R35" s="2786"/>
      <c r="S35" s="2786"/>
      <c r="T35" s="2786"/>
      <c r="U35" s="2786"/>
      <c r="V35" s="2786"/>
      <c r="W35" s="2786"/>
      <c r="X35" s="2786"/>
      <c r="Y35" s="2786"/>
      <c r="Z35" s="2786"/>
      <c r="AA35" s="2786"/>
      <c r="AB35" s="2786"/>
      <c r="AC35" s="2786"/>
      <c r="AD35" s="2786"/>
      <c r="AE35" s="2786"/>
      <c r="AF35" s="2786"/>
      <c r="AG35" s="2786"/>
      <c r="AH35" s="2786"/>
      <c r="AI35" s="2786"/>
      <c r="AJ35" s="2786"/>
      <c r="AK35" s="2786"/>
      <c r="AL35" s="2786"/>
      <c r="AM35" s="2786"/>
      <c r="AN35" s="2814"/>
      <c r="AO35" s="2815"/>
      <c r="AP35" s="2786"/>
      <c r="AQ35" s="2786"/>
      <c r="AR35" s="2786"/>
      <c r="AS35" s="2786"/>
      <c r="AT35" s="2786"/>
      <c r="AU35" s="2786"/>
      <c r="AV35" s="2786"/>
      <c r="AW35" s="2786"/>
    </row>
    <row r="36" spans="1:49" s="2807" customFormat="1" ht="15" customHeight="1">
      <c r="A36" s="2811"/>
      <c r="M36" s="2789"/>
      <c r="N36" s="2786"/>
      <c r="O36" s="2786"/>
      <c r="P36" s="2786"/>
      <c r="Q36" s="2786"/>
      <c r="R36" s="2786"/>
      <c r="S36" s="2786"/>
      <c r="T36" s="2786"/>
      <c r="U36" s="2786"/>
      <c r="V36" s="2786"/>
      <c r="W36" s="2786"/>
      <c r="X36" s="2786"/>
      <c r="Y36" s="2786"/>
      <c r="Z36" s="2786"/>
      <c r="AA36" s="2786"/>
      <c r="AB36" s="2786"/>
      <c r="AC36" s="2786"/>
      <c r="AD36" s="2786"/>
      <c r="AE36" s="2786"/>
      <c r="AF36" s="2786"/>
      <c r="AG36" s="2786"/>
      <c r="AH36" s="2786"/>
      <c r="AI36" s="2786"/>
      <c r="AJ36" s="2786"/>
      <c r="AK36" s="2786"/>
      <c r="AL36" s="2786"/>
      <c r="AM36" s="2786"/>
      <c r="AN36" s="2786"/>
      <c r="AO36" s="2786"/>
      <c r="AP36" s="2786"/>
      <c r="AQ36" s="2786"/>
      <c r="AR36" s="2786"/>
      <c r="AS36" s="2786"/>
      <c r="AT36" s="2786"/>
      <c r="AU36" s="2786"/>
      <c r="AV36" s="2786"/>
      <c r="AW36" s="2786"/>
    </row>
    <row r="37" spans="1:49" s="2807" customFormat="1" ht="15" customHeight="1">
      <c r="A37" s="2813" t="s">
        <v>3630</v>
      </c>
      <c r="B37" s="2812"/>
      <c r="C37" s="2812"/>
      <c r="D37" s="2812"/>
      <c r="E37" s="2812"/>
      <c r="F37" s="2812"/>
      <c r="G37" s="2812"/>
      <c r="H37" s="2812"/>
      <c r="I37" s="2812"/>
      <c r="J37" s="2812"/>
      <c r="K37" s="2812"/>
      <c r="L37" s="2812"/>
      <c r="M37" s="2789"/>
      <c r="N37" s="2786"/>
      <c r="O37" s="2786"/>
      <c r="P37" s="2786"/>
      <c r="Q37" s="2786"/>
      <c r="R37" s="2786"/>
      <c r="S37" s="2786"/>
      <c r="T37" s="2786"/>
      <c r="U37" s="2786"/>
      <c r="V37" s="2786"/>
      <c r="W37" s="2786"/>
      <c r="X37" s="2786"/>
      <c r="Y37" s="2786"/>
      <c r="Z37" s="2786"/>
      <c r="AA37" s="2786"/>
      <c r="AB37" s="2786"/>
      <c r="AC37" s="2786"/>
      <c r="AD37" s="2786"/>
      <c r="AE37" s="2786"/>
      <c r="AF37" s="2786"/>
      <c r="AG37" s="2786"/>
      <c r="AH37" s="2786"/>
      <c r="AI37" s="2786"/>
      <c r="AJ37" s="2786"/>
      <c r="AK37" s="2786"/>
      <c r="AL37" s="2786"/>
      <c r="AM37" s="2786"/>
      <c r="AN37" s="2786"/>
      <c r="AO37" s="2786"/>
      <c r="AP37" s="2786"/>
      <c r="AQ37" s="2786"/>
      <c r="AR37" s="2786"/>
      <c r="AS37" s="2786"/>
      <c r="AT37" s="2786"/>
      <c r="AU37" s="2786"/>
      <c r="AV37" s="2786"/>
      <c r="AW37" s="2786"/>
    </row>
    <row r="38" spans="1:49" s="2818" customFormat="1" ht="15" customHeight="1">
      <c r="A38" s="2816" t="s">
        <v>3104</v>
      </c>
      <c r="B38" s="2817">
        <v>0</v>
      </c>
      <c r="C38" s="2817">
        <v>67828362.11076352</v>
      </c>
      <c r="D38" s="2817">
        <v>205229883.60357499</v>
      </c>
      <c r="E38" s="2817">
        <v>293238646.22312909</v>
      </c>
      <c r="F38" s="2817">
        <v>404203852.30410415</v>
      </c>
      <c r="G38" s="2817">
        <v>514038431.36975992</v>
      </c>
      <c r="H38" s="2817">
        <v>635590916.90009165</v>
      </c>
      <c r="I38" s="2817">
        <v>748953297.66779602</v>
      </c>
      <c r="J38" s="2817">
        <v>876179375.60299397</v>
      </c>
      <c r="K38" s="2817">
        <v>986324746.63013124</v>
      </c>
      <c r="L38" s="2817">
        <v>1107611131.3825998</v>
      </c>
      <c r="M38" s="2785" t="s">
        <v>3079</v>
      </c>
      <c r="N38" s="2786"/>
      <c r="O38" s="2786"/>
      <c r="P38" s="2786"/>
      <c r="Q38" s="2786"/>
      <c r="R38" s="2786"/>
      <c r="S38" s="2786"/>
      <c r="T38" s="2786"/>
      <c r="U38" s="2786"/>
      <c r="V38" s="2786"/>
      <c r="W38" s="2786"/>
      <c r="X38" s="2786"/>
      <c r="Y38" s="2786"/>
      <c r="Z38" s="2786"/>
      <c r="AA38" s="2786"/>
      <c r="AB38" s="2786"/>
      <c r="AC38" s="2786"/>
      <c r="AD38" s="2786"/>
      <c r="AE38" s="2786"/>
      <c r="AF38" s="2786"/>
      <c r="AG38" s="2786"/>
      <c r="AH38" s="2786"/>
      <c r="AI38" s="2786"/>
      <c r="AJ38" s="2786"/>
      <c r="AK38" s="2786"/>
      <c r="AL38" s="2786"/>
      <c r="AM38" s="2786"/>
      <c r="AN38" s="2786"/>
      <c r="AO38" s="2786"/>
      <c r="AP38" s="2786"/>
      <c r="AQ38" s="2786"/>
      <c r="AR38" s="2786"/>
      <c r="AS38" s="2786"/>
      <c r="AT38" s="2786"/>
      <c r="AU38" s="2786"/>
      <c r="AV38" s="2786"/>
      <c r="AW38" s="2786"/>
    </row>
    <row r="39" spans="1:49" s="2807" customFormat="1" ht="15" customHeight="1">
      <c r="A39" s="2816" t="s">
        <v>3165</v>
      </c>
      <c r="B39" s="2809">
        <v>12869693.047279894</v>
      </c>
      <c r="C39" s="2809">
        <v>14061089.37700993</v>
      </c>
      <c r="D39" s="2809">
        <v>15909503.986534538</v>
      </c>
      <c r="E39" s="2809">
        <v>17044228.630861569</v>
      </c>
      <c r="F39" s="2809">
        <v>18269511.776959408</v>
      </c>
      <c r="G39" s="2809">
        <v>18819720.941224426</v>
      </c>
      <c r="H39" s="2809">
        <v>18885839.991530936</v>
      </c>
      <c r="I39" s="2809">
        <v>18703800.828925677</v>
      </c>
      <c r="J39" s="2809">
        <v>20862707.223355673</v>
      </c>
      <c r="K39" s="2809">
        <v>19536491.527387694</v>
      </c>
      <c r="L39" s="2809">
        <v>18740552.81925327</v>
      </c>
      <c r="M39" s="2785">
        <v>3.8296573766786857E-2</v>
      </c>
      <c r="N39" s="2786"/>
      <c r="O39" s="2786"/>
      <c r="P39" s="2786"/>
      <c r="Q39" s="2786"/>
      <c r="R39" s="2786"/>
      <c r="S39" s="2786"/>
      <c r="T39" s="2786"/>
      <c r="U39" s="2786"/>
      <c r="V39" s="2786"/>
      <c r="W39" s="2786"/>
      <c r="X39" s="2786"/>
      <c r="Y39" s="2786"/>
      <c r="Z39" s="2786"/>
      <c r="AA39" s="2786"/>
      <c r="AB39" s="2786"/>
      <c r="AC39" s="2786"/>
      <c r="AD39" s="2786"/>
      <c r="AE39" s="2786"/>
      <c r="AF39" s="2786"/>
      <c r="AG39" s="2786"/>
      <c r="AH39" s="2786"/>
      <c r="AI39" s="2786"/>
      <c r="AJ39" s="2786"/>
      <c r="AK39" s="2786"/>
      <c r="AL39" s="2786"/>
      <c r="AM39" s="2786"/>
      <c r="AN39" s="2786"/>
      <c r="AO39" s="2786"/>
      <c r="AP39" s="2786"/>
      <c r="AQ39" s="2786"/>
      <c r="AR39" s="2786"/>
      <c r="AS39" s="2786"/>
      <c r="AT39" s="2786"/>
      <c r="AU39" s="2786"/>
      <c r="AV39" s="2786"/>
      <c r="AW39" s="2786"/>
    </row>
    <row r="40" spans="1:49" s="2807" customFormat="1" ht="15" customHeight="1">
      <c r="A40" s="2816" t="s">
        <v>3166</v>
      </c>
      <c r="B40" s="2809">
        <v>0</v>
      </c>
      <c r="C40" s="2809">
        <v>0</v>
      </c>
      <c r="D40" s="2809">
        <v>0</v>
      </c>
      <c r="E40" s="2809">
        <v>0</v>
      </c>
      <c r="F40" s="2809">
        <v>0</v>
      </c>
      <c r="G40" s="2809">
        <v>0</v>
      </c>
      <c r="H40" s="2809">
        <v>5098586.0319344513</v>
      </c>
      <c r="I40" s="2809">
        <v>77708329.823599741</v>
      </c>
      <c r="J40" s="2809">
        <v>138150945.75161698</v>
      </c>
      <c r="K40" s="2809">
        <v>157952728.68392241</v>
      </c>
      <c r="L40" s="2809">
        <v>212068097.52583012</v>
      </c>
      <c r="M40" s="2785" t="s">
        <v>3079</v>
      </c>
      <c r="N40" s="2786"/>
      <c r="O40" s="2786"/>
      <c r="P40" s="2786"/>
      <c r="Q40" s="2786"/>
      <c r="R40" s="2786"/>
      <c r="S40" s="2786"/>
      <c r="T40" s="2786"/>
      <c r="U40" s="2786"/>
      <c r="V40" s="2786"/>
      <c r="W40" s="2786"/>
      <c r="X40" s="2786"/>
      <c r="Y40" s="2786"/>
      <c r="Z40" s="2786"/>
      <c r="AA40" s="2786"/>
      <c r="AB40" s="2786"/>
      <c r="AC40" s="2786"/>
      <c r="AD40" s="2786"/>
      <c r="AE40" s="2786"/>
      <c r="AF40" s="2786"/>
      <c r="AG40" s="2786"/>
      <c r="AH40" s="2786"/>
      <c r="AI40" s="2786"/>
      <c r="AJ40" s="2786"/>
      <c r="AK40" s="2786"/>
      <c r="AL40" s="2786"/>
      <c r="AM40" s="2786"/>
      <c r="AN40" s="2786"/>
      <c r="AO40" s="2786"/>
      <c r="AP40" s="2786"/>
      <c r="AQ40" s="2786"/>
      <c r="AR40" s="2786"/>
      <c r="AS40" s="2786"/>
      <c r="AT40" s="2786"/>
      <c r="AU40" s="2786"/>
      <c r="AV40" s="2786"/>
      <c r="AW40" s="2786"/>
    </row>
    <row r="41" spans="1:49" s="2807" customFormat="1" ht="15" customHeight="1">
      <c r="A41" s="2816" t="s">
        <v>3167</v>
      </c>
      <c r="B41" s="2809">
        <v>73274762.776441887</v>
      </c>
      <c r="C41" s="2809">
        <v>75633356.753151044</v>
      </c>
      <c r="D41" s="2809">
        <v>78032888.552620143</v>
      </c>
      <c r="E41" s="2809">
        <v>80463797.427231923</v>
      </c>
      <c r="F41" s="2809">
        <v>86156540.041890517</v>
      </c>
      <c r="G41" s="2809">
        <v>83209871.537188277</v>
      </c>
      <c r="H41" s="2809">
        <v>87588187.963668436</v>
      </c>
      <c r="I41" s="2809">
        <v>86224836.41476357</v>
      </c>
      <c r="J41" s="2809">
        <v>83837829.554040954</v>
      </c>
      <c r="K41" s="2809">
        <v>71790492.469417512</v>
      </c>
      <c r="L41" s="2809">
        <v>63509551.85093715</v>
      </c>
      <c r="M41" s="2785">
        <v>-1.4200796980089248E-2</v>
      </c>
      <c r="N41" s="2786"/>
      <c r="O41" s="2786"/>
      <c r="P41" s="2786"/>
      <c r="Q41" s="2786"/>
      <c r="R41" s="2786"/>
      <c r="S41" s="2786"/>
      <c r="T41" s="2786"/>
      <c r="U41" s="2786"/>
      <c r="V41" s="2786"/>
      <c r="W41" s="2786"/>
      <c r="X41" s="2786"/>
      <c r="Y41" s="2786"/>
      <c r="Z41" s="2786"/>
      <c r="AA41" s="2786"/>
      <c r="AB41" s="2786"/>
      <c r="AC41" s="2786"/>
      <c r="AD41" s="2786"/>
      <c r="AE41" s="2786"/>
      <c r="AF41" s="2786"/>
      <c r="AG41" s="2786"/>
      <c r="AH41" s="2786"/>
      <c r="AI41" s="2786"/>
      <c r="AJ41" s="2786"/>
      <c r="AK41" s="2786"/>
      <c r="AL41" s="2786"/>
      <c r="AM41" s="2786"/>
      <c r="AN41" s="2786"/>
      <c r="AO41" s="2786"/>
      <c r="AP41" s="2786"/>
      <c r="AQ41" s="2786"/>
      <c r="AR41" s="2786"/>
      <c r="AS41" s="2786"/>
      <c r="AT41" s="2786"/>
      <c r="AU41" s="2786"/>
      <c r="AV41" s="2786"/>
      <c r="AW41" s="2786"/>
    </row>
    <row r="42" spans="1:49" s="2807" customFormat="1" ht="15" customHeight="1">
      <c r="A42" s="2816" t="s">
        <v>3168</v>
      </c>
      <c r="B42" s="2809">
        <v>55009319.335938044</v>
      </c>
      <c r="C42" s="2809">
        <v>60613956.869712897</v>
      </c>
      <c r="D42" s="2809">
        <v>62979319.288843691</v>
      </c>
      <c r="E42" s="2809">
        <v>67765437.031946227</v>
      </c>
      <c r="F42" s="2809">
        <v>73305477.157080621</v>
      </c>
      <c r="G42" s="2809">
        <v>77959855.554261401</v>
      </c>
      <c r="H42" s="2809">
        <v>77991557.763217092</v>
      </c>
      <c r="I42" s="2809">
        <v>82140025.136731893</v>
      </c>
      <c r="J42" s="2809">
        <v>85213014.080575764</v>
      </c>
      <c r="K42" s="2809">
        <v>88113844.561984554</v>
      </c>
      <c r="L42" s="2809">
        <v>90837152.001196459</v>
      </c>
      <c r="M42" s="2785">
        <v>5.1435712201219452E-2</v>
      </c>
      <c r="N42" s="2786"/>
      <c r="O42" s="2786"/>
      <c r="P42" s="2786"/>
      <c r="Q42" s="2786"/>
      <c r="R42" s="2786"/>
      <c r="S42" s="2786"/>
      <c r="T42" s="2786"/>
      <c r="U42" s="2786"/>
      <c r="V42" s="2786"/>
      <c r="W42" s="2786"/>
      <c r="X42" s="2786"/>
      <c r="Y42" s="2786"/>
      <c r="Z42" s="2786"/>
      <c r="AA42" s="2786"/>
      <c r="AB42" s="2786"/>
      <c r="AC42" s="2786"/>
      <c r="AD42" s="2786"/>
      <c r="AE42" s="2786"/>
      <c r="AF42" s="2786"/>
      <c r="AG42" s="2786"/>
      <c r="AH42" s="2786"/>
      <c r="AI42" s="2786"/>
      <c r="AJ42" s="2786"/>
      <c r="AK42" s="2786"/>
      <c r="AL42" s="2786"/>
      <c r="AM42" s="2786"/>
      <c r="AN42" s="2786"/>
      <c r="AO42" s="2786"/>
      <c r="AP42" s="2786"/>
      <c r="AQ42" s="2786"/>
      <c r="AR42" s="2786"/>
      <c r="AS42" s="2786"/>
      <c r="AT42" s="2786"/>
      <c r="AU42" s="2786"/>
      <c r="AV42" s="2786"/>
      <c r="AW42" s="2786"/>
    </row>
    <row r="43" spans="1:49" s="2807" customFormat="1" ht="15" customHeight="1">
      <c r="A43" s="2816"/>
      <c r="B43" s="2812"/>
      <c r="C43" s="2812"/>
      <c r="D43" s="2812"/>
      <c r="E43" s="2812"/>
      <c r="F43" s="2812"/>
      <c r="G43" s="2812"/>
      <c r="H43" s="2812"/>
      <c r="I43" s="2812"/>
      <c r="J43" s="2812"/>
      <c r="K43" s="2812"/>
      <c r="L43" s="2812"/>
      <c r="M43" s="2789"/>
      <c r="N43" s="2786"/>
      <c r="O43" s="2786"/>
      <c r="P43" s="2786"/>
      <c r="Q43" s="2786"/>
      <c r="R43" s="2786"/>
      <c r="S43" s="2786"/>
      <c r="T43" s="2786"/>
      <c r="U43" s="2786"/>
      <c r="V43" s="2786"/>
      <c r="W43" s="2786"/>
      <c r="X43" s="2786"/>
      <c r="Y43" s="2786"/>
      <c r="Z43" s="2786"/>
      <c r="AA43" s="2786"/>
      <c r="AB43" s="2786"/>
      <c r="AC43" s="2786"/>
      <c r="AD43" s="2786"/>
      <c r="AE43" s="2786"/>
      <c r="AF43" s="2786"/>
      <c r="AG43" s="2786"/>
      <c r="AH43" s="2786"/>
      <c r="AI43" s="2786"/>
      <c r="AJ43" s="2786"/>
      <c r="AK43" s="2786"/>
      <c r="AL43" s="2786"/>
      <c r="AM43" s="2786"/>
      <c r="AN43" s="2786"/>
      <c r="AO43" s="2786"/>
      <c r="AP43" s="2786"/>
      <c r="AQ43" s="2786"/>
      <c r="AR43" s="2786"/>
      <c r="AS43" s="2786"/>
      <c r="AT43" s="2786"/>
      <c r="AU43" s="2786"/>
      <c r="AV43" s="2786"/>
      <c r="AW43" s="2786"/>
    </row>
    <row r="44" spans="1:49" s="2807" customFormat="1" ht="15" customHeight="1">
      <c r="A44" s="2813" t="s">
        <v>3629</v>
      </c>
      <c r="B44" s="2812"/>
      <c r="C44" s="2812"/>
      <c r="D44" s="2812"/>
      <c r="E44" s="2812"/>
      <c r="F44" s="2812"/>
      <c r="G44" s="2812"/>
      <c r="H44" s="2812"/>
      <c r="I44" s="2812"/>
      <c r="J44" s="2812"/>
      <c r="K44" s="2812"/>
      <c r="L44" s="2812"/>
      <c r="M44" s="2789"/>
      <c r="N44" s="2786"/>
      <c r="O44" s="2786"/>
      <c r="P44" s="2786"/>
      <c r="Q44" s="2786"/>
      <c r="R44" s="2786"/>
      <c r="S44" s="2786"/>
      <c r="T44" s="2786"/>
      <c r="U44" s="2786"/>
      <c r="V44" s="2786"/>
      <c r="W44" s="2786"/>
      <c r="X44" s="2786"/>
      <c r="Y44" s="2786"/>
      <c r="Z44" s="2786"/>
      <c r="AA44" s="2786"/>
      <c r="AB44" s="2786"/>
      <c r="AC44" s="2786"/>
      <c r="AD44" s="2786"/>
      <c r="AE44" s="2786"/>
      <c r="AF44" s="2786"/>
      <c r="AG44" s="2786"/>
      <c r="AH44" s="2786"/>
      <c r="AI44" s="2786"/>
      <c r="AJ44" s="2786"/>
      <c r="AK44" s="2786"/>
      <c r="AL44" s="2786"/>
      <c r="AM44" s="2786"/>
      <c r="AN44" s="2786"/>
      <c r="AO44" s="2786"/>
      <c r="AP44" s="2786"/>
      <c r="AQ44" s="2786"/>
      <c r="AR44" s="2786"/>
      <c r="AS44" s="2786"/>
      <c r="AT44" s="2786"/>
      <c r="AU44" s="2786"/>
      <c r="AV44" s="2786"/>
      <c r="AW44" s="2786"/>
    </row>
    <row r="45" spans="1:49" s="2807" customFormat="1" ht="15" customHeight="1">
      <c r="A45" s="2811" t="s">
        <v>3169</v>
      </c>
      <c r="B45" s="2809">
        <v>35459833.499210663</v>
      </c>
      <c r="C45" s="2809">
        <v>41627005.254576653</v>
      </c>
      <c r="D45" s="2809">
        <v>46238436.111492403</v>
      </c>
      <c r="E45" s="2809">
        <v>50395195.230672419</v>
      </c>
      <c r="F45" s="2809">
        <v>54163729.032867894</v>
      </c>
      <c r="G45" s="2809">
        <v>56908439.981421344</v>
      </c>
      <c r="H45" s="2809">
        <v>61176782.274169631</v>
      </c>
      <c r="I45" s="2809">
        <v>63880673.600330785</v>
      </c>
      <c r="J45" s="2809">
        <v>63709299.824325331</v>
      </c>
      <c r="K45" s="2809">
        <v>67828186.428037181</v>
      </c>
      <c r="L45" s="2809">
        <v>69195887.33262746</v>
      </c>
      <c r="M45" s="2785">
        <v>6.9139460535008856E-2</v>
      </c>
      <c r="N45" s="2786"/>
      <c r="O45" s="2786"/>
      <c r="P45" s="2786"/>
      <c r="Q45" s="2786"/>
      <c r="R45" s="2786"/>
      <c r="S45" s="2786"/>
      <c r="T45" s="2786"/>
      <c r="U45" s="2786"/>
      <c r="V45" s="2786"/>
      <c r="W45" s="2786"/>
      <c r="X45" s="2786"/>
      <c r="Y45" s="2786"/>
      <c r="Z45" s="2786"/>
      <c r="AA45" s="2786"/>
      <c r="AB45" s="2786"/>
      <c r="AC45" s="2786"/>
      <c r="AD45" s="2786"/>
      <c r="AE45" s="2786"/>
      <c r="AF45" s="2786"/>
      <c r="AG45" s="2786"/>
      <c r="AH45" s="2786"/>
      <c r="AI45" s="2786"/>
      <c r="AJ45" s="2786"/>
      <c r="AK45" s="2786"/>
      <c r="AL45" s="2786"/>
      <c r="AM45" s="2786"/>
      <c r="AN45" s="2786"/>
      <c r="AO45" s="2786"/>
      <c r="AP45" s="2786"/>
      <c r="AQ45" s="2786"/>
      <c r="AR45" s="2786"/>
      <c r="AS45" s="2786"/>
      <c r="AT45" s="2786"/>
      <c r="AU45" s="2786"/>
      <c r="AV45" s="2786"/>
      <c r="AW45" s="2786"/>
    </row>
    <row r="46" spans="1:49" s="2818" customFormat="1" ht="15" customHeight="1">
      <c r="A46" s="2811" t="s">
        <v>3094</v>
      </c>
      <c r="B46" s="2817">
        <v>4082953.3819194031</v>
      </c>
      <c r="C46" s="2817">
        <v>27484662.815681182</v>
      </c>
      <c r="D46" s="2817">
        <v>38254058.162482128</v>
      </c>
      <c r="E46" s="2817">
        <v>51014648.366008803</v>
      </c>
      <c r="F46" s="2817">
        <v>102930846.6253062</v>
      </c>
      <c r="G46" s="2817">
        <v>155389874.10340589</v>
      </c>
      <c r="H46" s="2817">
        <v>237075836.92739451</v>
      </c>
      <c r="I46" s="2817">
        <v>308231038.96349603</v>
      </c>
      <c r="J46" s="2817">
        <v>174504465.42111278</v>
      </c>
      <c r="K46" s="2817">
        <v>113681770.7704213</v>
      </c>
      <c r="L46" s="2817">
        <v>52433560.618775636</v>
      </c>
      <c r="M46" s="2785">
        <v>0.29081348241362526</v>
      </c>
      <c r="N46" s="2786"/>
      <c r="O46" s="2786"/>
      <c r="P46" s="2786"/>
      <c r="Q46" s="2786"/>
      <c r="R46" s="2786"/>
      <c r="S46" s="2786"/>
      <c r="T46" s="2786"/>
      <c r="U46" s="2786"/>
      <c r="V46" s="2786"/>
      <c r="W46" s="2786"/>
      <c r="X46" s="2786"/>
      <c r="Y46" s="2786"/>
      <c r="Z46" s="2786"/>
      <c r="AA46" s="2786"/>
      <c r="AB46" s="2786"/>
      <c r="AC46" s="2786"/>
      <c r="AD46" s="2786"/>
      <c r="AE46" s="2786"/>
      <c r="AF46" s="2786"/>
      <c r="AG46" s="2786"/>
      <c r="AH46" s="2786"/>
      <c r="AI46" s="2786"/>
      <c r="AJ46" s="2786"/>
      <c r="AK46" s="2786"/>
      <c r="AL46" s="2786"/>
      <c r="AM46" s="2786"/>
      <c r="AN46" s="2786"/>
      <c r="AO46" s="2786"/>
      <c r="AP46" s="2786"/>
      <c r="AQ46" s="2786"/>
      <c r="AR46" s="2786"/>
      <c r="AS46" s="2786"/>
      <c r="AT46" s="2786"/>
      <c r="AU46" s="2786"/>
      <c r="AV46" s="2786"/>
      <c r="AW46" s="2786"/>
    </row>
    <row r="47" spans="1:49" s="2807" customFormat="1" ht="15" customHeight="1">
      <c r="A47" s="2808" t="s">
        <v>3170</v>
      </c>
      <c r="B47" s="2809">
        <v>0</v>
      </c>
      <c r="C47" s="2809">
        <v>0</v>
      </c>
      <c r="D47" s="2809">
        <v>6664547.7165350011</v>
      </c>
      <c r="E47" s="2809">
        <v>26789255.723424166</v>
      </c>
      <c r="F47" s="2809">
        <v>37970533.996324681</v>
      </c>
      <c r="G47" s="2809">
        <v>61821683.508175284</v>
      </c>
      <c r="H47" s="2809">
        <v>88620809.130170554</v>
      </c>
      <c r="I47" s="2809">
        <v>127251079.21268342</v>
      </c>
      <c r="J47" s="2809">
        <v>164268855.77034706</v>
      </c>
      <c r="K47" s="2809">
        <v>197806045.65042546</v>
      </c>
      <c r="L47" s="2809">
        <v>217745974.64951667</v>
      </c>
      <c r="M47" s="2785" t="s">
        <v>3079</v>
      </c>
      <c r="N47" s="2786"/>
      <c r="O47" s="2786"/>
      <c r="P47" s="2786"/>
      <c r="Q47" s="2786"/>
      <c r="R47" s="2786"/>
      <c r="S47" s="2786"/>
      <c r="T47" s="2786"/>
      <c r="U47" s="2786"/>
      <c r="V47" s="2786"/>
      <c r="W47" s="2786"/>
      <c r="X47" s="2786"/>
      <c r="Y47" s="2786"/>
      <c r="Z47" s="2786"/>
      <c r="AA47" s="2786"/>
      <c r="AB47" s="2786"/>
      <c r="AC47" s="2786"/>
      <c r="AD47" s="2786"/>
      <c r="AE47" s="2786"/>
      <c r="AF47" s="2786"/>
      <c r="AG47" s="2786"/>
      <c r="AH47" s="2786"/>
      <c r="AI47" s="2786"/>
      <c r="AJ47" s="2786"/>
      <c r="AK47" s="2786"/>
      <c r="AL47" s="2786"/>
      <c r="AM47" s="2786"/>
      <c r="AN47" s="2786"/>
      <c r="AO47" s="2786"/>
      <c r="AP47" s="2786"/>
      <c r="AQ47" s="2786"/>
      <c r="AR47" s="2786"/>
      <c r="AS47" s="2786"/>
      <c r="AT47" s="2786"/>
      <c r="AU47" s="2786"/>
      <c r="AV47" s="2786"/>
      <c r="AW47" s="2786"/>
    </row>
    <row r="48" spans="1:49" s="2807" customFormat="1" ht="15" customHeight="1">
      <c r="A48" s="2808" t="s">
        <v>3171</v>
      </c>
      <c r="B48" s="2809">
        <v>0</v>
      </c>
      <c r="C48" s="2809">
        <v>0</v>
      </c>
      <c r="D48" s="2809">
        <v>0</v>
      </c>
      <c r="E48" s="2809">
        <v>0</v>
      </c>
      <c r="F48" s="2809">
        <v>0</v>
      </c>
      <c r="G48" s="2809">
        <v>0</v>
      </c>
      <c r="H48" s="2809">
        <v>0</v>
      </c>
      <c r="I48" s="2809">
        <v>0</v>
      </c>
      <c r="J48" s="2809">
        <v>8175074.1757553872</v>
      </c>
      <c r="K48" s="2809">
        <v>48363965.775945127</v>
      </c>
      <c r="L48" s="2809">
        <v>61715248.679162249</v>
      </c>
      <c r="M48" s="2785" t="s">
        <v>3079</v>
      </c>
      <c r="N48" s="2786"/>
      <c r="O48" s="2786"/>
      <c r="P48" s="2786"/>
      <c r="Q48" s="2786"/>
      <c r="R48" s="2786"/>
      <c r="S48" s="2786"/>
      <c r="T48" s="2786"/>
      <c r="U48" s="2786"/>
      <c r="V48" s="2786"/>
      <c r="W48" s="2786"/>
      <c r="X48" s="2786"/>
      <c r="Y48" s="2786"/>
      <c r="Z48" s="2786"/>
      <c r="AA48" s="2786"/>
      <c r="AB48" s="2786"/>
      <c r="AC48" s="2786"/>
      <c r="AD48" s="2786"/>
      <c r="AE48" s="2786"/>
      <c r="AF48" s="2786"/>
      <c r="AG48" s="2786"/>
      <c r="AH48" s="2786"/>
      <c r="AI48" s="2786"/>
      <c r="AJ48" s="2786"/>
      <c r="AK48" s="2786"/>
      <c r="AL48" s="2786"/>
      <c r="AM48" s="2786"/>
      <c r="AN48" s="2786"/>
      <c r="AO48" s="2786"/>
      <c r="AP48" s="2786"/>
      <c r="AQ48" s="2786"/>
      <c r="AR48" s="2786"/>
      <c r="AS48" s="2786"/>
      <c r="AT48" s="2786"/>
      <c r="AU48" s="2786"/>
      <c r="AV48" s="2786"/>
      <c r="AW48" s="2786"/>
    </row>
    <row r="49" spans="1:49" s="2807" customFormat="1" ht="15" customHeight="1">
      <c r="A49" s="2819"/>
      <c r="B49" s="2806"/>
      <c r="C49" s="2806"/>
      <c r="D49" s="2806"/>
      <c r="E49" s="2806"/>
      <c r="F49" s="2806"/>
      <c r="G49" s="2806"/>
      <c r="H49" s="2806"/>
      <c r="I49" s="2806"/>
      <c r="J49" s="2806"/>
      <c r="K49" s="2806"/>
      <c r="L49" s="2806"/>
      <c r="M49" s="2820"/>
      <c r="N49" s="2786"/>
      <c r="O49" s="2786"/>
      <c r="P49" s="2786"/>
      <c r="Q49" s="2786"/>
      <c r="R49" s="2786"/>
      <c r="S49" s="2786"/>
      <c r="T49" s="2786"/>
      <c r="U49" s="2786"/>
      <c r="V49" s="2786"/>
      <c r="W49" s="2786"/>
      <c r="X49" s="2786"/>
      <c r="Y49" s="2786"/>
      <c r="Z49" s="2786"/>
      <c r="AA49" s="2786"/>
      <c r="AB49" s="2786"/>
      <c r="AC49" s="2786"/>
      <c r="AD49" s="2786"/>
      <c r="AE49" s="2786"/>
      <c r="AF49" s="2786"/>
      <c r="AG49" s="2786"/>
      <c r="AH49" s="2786"/>
      <c r="AI49" s="2786"/>
      <c r="AJ49" s="2786"/>
      <c r="AK49" s="2786"/>
      <c r="AL49" s="2786"/>
      <c r="AM49" s="2786"/>
      <c r="AN49" s="2786"/>
      <c r="AO49" s="2786"/>
      <c r="AP49" s="2786"/>
      <c r="AQ49" s="2786"/>
      <c r="AR49" s="2786"/>
      <c r="AS49" s="2786"/>
      <c r="AT49" s="2786"/>
      <c r="AU49" s="2786"/>
      <c r="AV49" s="2786"/>
      <c r="AW49" s="2786"/>
    </row>
    <row r="50" spans="1:49" s="2807" customFormat="1" ht="15" customHeight="1">
      <c r="A50" s="2819"/>
      <c r="B50" s="2821"/>
      <c r="C50" s="2822"/>
      <c r="D50" s="2822"/>
      <c r="E50" s="2822"/>
      <c r="F50" s="2822"/>
      <c r="G50" s="2822"/>
      <c r="H50" s="2822"/>
      <c r="I50" s="2822"/>
      <c r="J50" s="2822"/>
      <c r="K50" s="2822"/>
      <c r="L50" s="2822"/>
      <c r="M50" s="2823"/>
      <c r="N50" s="2786"/>
      <c r="O50" s="2786"/>
      <c r="P50" s="2786"/>
      <c r="Q50" s="2786"/>
      <c r="R50" s="2786"/>
      <c r="S50" s="2786"/>
      <c r="T50" s="2786"/>
      <c r="U50" s="2786"/>
      <c r="V50" s="2786"/>
      <c r="W50" s="2786"/>
      <c r="X50" s="2786"/>
      <c r="Y50" s="2786"/>
      <c r="Z50" s="2786"/>
      <c r="AA50" s="2786"/>
      <c r="AB50" s="2786"/>
      <c r="AC50" s="2786"/>
      <c r="AD50" s="2786"/>
      <c r="AE50" s="2786"/>
      <c r="AF50" s="2786"/>
      <c r="AG50" s="2786"/>
      <c r="AH50" s="2786"/>
      <c r="AI50" s="2786"/>
      <c r="AJ50" s="2786"/>
      <c r="AK50" s="2786"/>
      <c r="AL50" s="2786"/>
      <c r="AM50" s="2786"/>
      <c r="AN50" s="2786"/>
      <c r="AO50" s="2786"/>
      <c r="AP50" s="2786"/>
      <c r="AQ50" s="2786"/>
      <c r="AR50" s="2786"/>
      <c r="AS50" s="2786"/>
      <c r="AT50" s="2786"/>
      <c r="AU50" s="2786"/>
      <c r="AV50" s="2786"/>
      <c r="AW50" s="2786"/>
    </row>
    <row r="51" spans="1:49" s="2807" customFormat="1" ht="15" customHeight="1">
      <c r="A51" s="2824"/>
      <c r="B51" s="2806"/>
      <c r="C51" s="2806"/>
      <c r="D51" s="2806"/>
      <c r="E51" s="2806"/>
      <c r="F51" s="2806"/>
      <c r="G51" s="2806"/>
      <c r="H51" s="2806"/>
      <c r="I51" s="2806"/>
      <c r="J51" s="2806"/>
      <c r="K51" s="2806"/>
      <c r="L51" s="2806"/>
      <c r="M51" s="2820"/>
      <c r="N51" s="2786"/>
      <c r="O51" s="2786"/>
      <c r="P51" s="2786"/>
      <c r="Q51" s="2786"/>
      <c r="R51" s="2786"/>
      <c r="S51" s="2786"/>
      <c r="T51" s="2786"/>
      <c r="U51" s="2786"/>
      <c r="V51" s="2786"/>
      <c r="W51" s="2786"/>
      <c r="X51" s="2786"/>
      <c r="Y51" s="2786"/>
      <c r="Z51" s="2786"/>
      <c r="AA51" s="2786"/>
      <c r="AB51" s="2786"/>
      <c r="AC51" s="2786"/>
      <c r="AD51" s="2786"/>
      <c r="AE51" s="2786"/>
      <c r="AF51" s="2786"/>
      <c r="AG51" s="2786"/>
      <c r="AH51" s="2786"/>
      <c r="AI51" s="2786"/>
      <c r="AJ51" s="2786"/>
      <c r="AK51" s="2786"/>
      <c r="AL51" s="2786"/>
      <c r="AM51" s="2786"/>
      <c r="AN51" s="2786"/>
      <c r="AO51" s="2786"/>
      <c r="AP51" s="2786"/>
      <c r="AQ51" s="2786"/>
      <c r="AR51" s="2786"/>
      <c r="AS51" s="2786"/>
      <c r="AT51" s="2786"/>
      <c r="AU51" s="2786"/>
      <c r="AV51" s="2786"/>
      <c r="AW51" s="2786"/>
    </row>
    <row r="52" spans="1:49" s="2807" customFormat="1" ht="15" customHeight="1">
      <c r="A52" s="2825"/>
      <c r="B52" s="2806"/>
      <c r="C52" s="2806"/>
      <c r="D52" s="2806"/>
      <c r="E52" s="2806"/>
      <c r="F52" s="2806"/>
      <c r="G52" s="2806"/>
      <c r="H52" s="2806"/>
      <c r="I52" s="2806"/>
      <c r="J52" s="2806"/>
      <c r="K52" s="2806"/>
      <c r="L52" s="2806"/>
      <c r="M52" s="2820"/>
      <c r="N52" s="2786"/>
      <c r="O52" s="2786"/>
      <c r="P52" s="2786"/>
      <c r="Q52" s="2786"/>
      <c r="R52" s="2786"/>
      <c r="S52" s="2786"/>
      <c r="T52" s="2786"/>
      <c r="U52" s="2786"/>
      <c r="V52" s="2786"/>
      <c r="W52" s="2786"/>
      <c r="X52" s="2786"/>
      <c r="Y52" s="2786"/>
      <c r="Z52" s="2786"/>
      <c r="AA52" s="2786"/>
      <c r="AB52" s="2786"/>
      <c r="AC52" s="2786"/>
      <c r="AD52" s="2786"/>
      <c r="AE52" s="2786"/>
      <c r="AF52" s="2786"/>
      <c r="AG52" s="2786"/>
      <c r="AH52" s="2786"/>
      <c r="AI52" s="2786"/>
      <c r="AJ52" s="2786"/>
      <c r="AK52" s="2786"/>
      <c r="AL52" s="2786"/>
      <c r="AM52" s="2786"/>
      <c r="AN52" s="2786"/>
      <c r="AO52" s="2786"/>
      <c r="AP52" s="2786"/>
      <c r="AQ52" s="2786"/>
      <c r="AR52" s="2786"/>
      <c r="AS52" s="2786"/>
      <c r="AT52" s="2786"/>
      <c r="AU52" s="2786"/>
      <c r="AV52" s="2786"/>
      <c r="AW52" s="2786"/>
    </row>
    <row r="53" spans="1:49" s="2807" customFormat="1" ht="15" customHeight="1">
      <c r="A53" s="2819"/>
      <c r="B53" s="2806"/>
      <c r="C53" s="2806"/>
      <c r="D53" s="2806"/>
      <c r="E53" s="2806"/>
      <c r="F53" s="2806"/>
      <c r="G53" s="2806"/>
      <c r="H53" s="2806"/>
      <c r="I53" s="2806"/>
      <c r="J53" s="2806"/>
      <c r="K53" s="2806"/>
      <c r="L53" s="2806"/>
      <c r="M53" s="2820"/>
      <c r="N53" s="2786"/>
      <c r="O53" s="2786"/>
      <c r="P53" s="2786"/>
      <c r="Q53" s="2786"/>
      <c r="R53" s="2786"/>
      <c r="S53" s="2786"/>
      <c r="T53" s="2786"/>
      <c r="U53" s="2786"/>
      <c r="V53" s="2786"/>
      <c r="W53" s="2786"/>
      <c r="X53" s="2786"/>
      <c r="Y53" s="2786"/>
      <c r="Z53" s="2786"/>
      <c r="AA53" s="2786"/>
      <c r="AB53" s="2786"/>
      <c r="AC53" s="2786"/>
      <c r="AD53" s="2786"/>
      <c r="AE53" s="2786"/>
      <c r="AF53" s="2786"/>
      <c r="AG53" s="2786"/>
      <c r="AH53" s="2786"/>
      <c r="AI53" s="2786"/>
      <c r="AJ53" s="2786"/>
      <c r="AK53" s="2786"/>
      <c r="AL53" s="2786"/>
      <c r="AM53" s="2786"/>
      <c r="AN53" s="2786"/>
      <c r="AO53" s="2786"/>
      <c r="AP53" s="2786"/>
      <c r="AQ53" s="2786"/>
      <c r="AR53" s="2786"/>
      <c r="AS53" s="2786"/>
      <c r="AT53" s="2786"/>
      <c r="AU53" s="2786"/>
      <c r="AV53" s="2786"/>
      <c r="AW53" s="2786"/>
    </row>
    <row r="54" spans="1:49" s="2786" customFormat="1" ht="15" customHeight="1">
      <c r="A54" s="2819"/>
      <c r="B54" s="2806"/>
      <c r="C54" s="2806"/>
      <c r="D54" s="2806"/>
      <c r="E54" s="2806"/>
      <c r="F54" s="2806"/>
      <c r="G54" s="2806"/>
      <c r="H54" s="2806"/>
      <c r="I54" s="2806"/>
      <c r="J54" s="2806"/>
      <c r="K54" s="2806"/>
      <c r="L54" s="2806"/>
      <c r="M54" s="2820"/>
    </row>
    <row r="55" spans="1:49" s="2807" customFormat="1" ht="15" customHeight="1">
      <c r="A55" s="2825"/>
      <c r="B55" s="2806"/>
      <c r="C55" s="2806"/>
      <c r="D55" s="2806"/>
      <c r="E55" s="2806"/>
      <c r="F55" s="2806"/>
      <c r="G55" s="2806"/>
      <c r="H55" s="2806"/>
      <c r="I55" s="2806"/>
      <c r="J55" s="2806"/>
      <c r="K55" s="2806"/>
      <c r="L55" s="2806"/>
      <c r="M55" s="2820"/>
      <c r="N55" s="2786"/>
      <c r="O55" s="2786"/>
      <c r="P55" s="2786"/>
      <c r="Q55" s="2786"/>
      <c r="R55" s="2786"/>
      <c r="S55" s="2786"/>
      <c r="T55" s="2786"/>
      <c r="U55" s="2786"/>
      <c r="V55" s="2786"/>
      <c r="W55" s="2786"/>
      <c r="X55" s="2786"/>
      <c r="Y55" s="2786"/>
      <c r="Z55" s="2786"/>
      <c r="AA55" s="2786"/>
      <c r="AB55" s="2786"/>
      <c r="AC55" s="2786"/>
      <c r="AD55" s="2786"/>
      <c r="AE55" s="2786"/>
      <c r="AF55" s="2786"/>
      <c r="AG55" s="2786"/>
      <c r="AH55" s="2786"/>
      <c r="AI55" s="2786"/>
      <c r="AJ55" s="2786"/>
      <c r="AK55" s="2786"/>
      <c r="AL55" s="2786"/>
      <c r="AM55" s="2786"/>
      <c r="AN55" s="2786"/>
      <c r="AO55" s="2786"/>
      <c r="AP55" s="2786"/>
      <c r="AQ55" s="2786"/>
      <c r="AR55" s="2786"/>
      <c r="AS55" s="2786"/>
      <c r="AT55" s="2786"/>
      <c r="AU55" s="2786"/>
      <c r="AV55" s="2786"/>
      <c r="AW55" s="2786"/>
    </row>
    <row r="56" spans="1:49" s="2807" customFormat="1" ht="15" customHeight="1">
      <c r="A56" s="2819"/>
      <c r="B56" s="2806"/>
      <c r="C56" s="2806"/>
      <c r="D56" s="2806"/>
      <c r="E56" s="2806"/>
      <c r="F56" s="2806"/>
      <c r="G56" s="2806"/>
      <c r="H56" s="2806"/>
      <c r="I56" s="2806"/>
      <c r="J56" s="2806"/>
      <c r="K56" s="2806"/>
      <c r="L56" s="2806"/>
      <c r="M56" s="2820"/>
      <c r="N56" s="2786"/>
      <c r="O56" s="2786"/>
      <c r="P56" s="2786"/>
      <c r="Q56" s="2786"/>
      <c r="R56" s="2786"/>
      <c r="S56" s="2786"/>
      <c r="T56" s="2786"/>
      <c r="U56" s="2786"/>
      <c r="V56" s="2786"/>
      <c r="W56" s="2786"/>
      <c r="X56" s="2786"/>
      <c r="Y56" s="2786"/>
      <c r="Z56" s="2786"/>
      <c r="AA56" s="2786"/>
      <c r="AB56" s="2786"/>
      <c r="AC56" s="2786"/>
      <c r="AD56" s="2786"/>
      <c r="AE56" s="2786"/>
      <c r="AF56" s="2786"/>
      <c r="AG56" s="2786"/>
      <c r="AH56" s="2786"/>
      <c r="AI56" s="2786"/>
      <c r="AJ56" s="2786"/>
      <c r="AK56" s="2786"/>
      <c r="AL56" s="2786"/>
      <c r="AM56" s="2786"/>
      <c r="AN56" s="2786"/>
      <c r="AO56" s="2786"/>
      <c r="AP56" s="2786"/>
      <c r="AQ56" s="2786"/>
      <c r="AR56" s="2786"/>
      <c r="AS56" s="2786"/>
      <c r="AT56" s="2786"/>
      <c r="AU56" s="2786"/>
      <c r="AV56" s="2786"/>
      <c r="AW56" s="2786"/>
    </row>
    <row r="57" spans="1:49" s="2807" customFormat="1" ht="15" customHeight="1">
      <c r="A57" s="2819"/>
      <c r="B57" s="2806"/>
      <c r="C57" s="2806"/>
      <c r="D57" s="2806"/>
      <c r="E57" s="2806"/>
      <c r="F57" s="2806"/>
      <c r="G57" s="2806"/>
      <c r="H57" s="2806"/>
      <c r="I57" s="2806"/>
      <c r="J57" s="2806"/>
      <c r="K57" s="2806"/>
      <c r="L57" s="2806"/>
      <c r="M57" s="2820"/>
      <c r="N57" s="2786"/>
      <c r="O57" s="2786"/>
      <c r="P57" s="2786"/>
      <c r="Q57" s="2786"/>
      <c r="R57" s="2786"/>
      <c r="S57" s="2786"/>
      <c r="T57" s="2786"/>
      <c r="U57" s="2786"/>
      <c r="V57" s="2786"/>
      <c r="W57" s="2786"/>
      <c r="X57" s="2786"/>
      <c r="Y57" s="2786"/>
      <c r="Z57" s="2786"/>
      <c r="AA57" s="2786"/>
      <c r="AB57" s="2786"/>
      <c r="AC57" s="2786"/>
      <c r="AD57" s="2786"/>
      <c r="AE57" s="2786"/>
      <c r="AF57" s="2786"/>
      <c r="AG57" s="2786"/>
      <c r="AH57" s="2786"/>
      <c r="AI57" s="2786"/>
      <c r="AJ57" s="2786"/>
      <c r="AK57" s="2786"/>
      <c r="AL57" s="2786"/>
      <c r="AM57" s="2786"/>
      <c r="AN57" s="2786"/>
      <c r="AO57" s="2786"/>
      <c r="AP57" s="2786"/>
      <c r="AQ57" s="2786"/>
      <c r="AR57" s="2786"/>
      <c r="AS57" s="2786"/>
      <c r="AT57" s="2786"/>
      <c r="AU57" s="2786"/>
      <c r="AV57" s="2786"/>
      <c r="AW57" s="2786"/>
    </row>
    <row r="58" spans="1:49" s="2807" customFormat="1" ht="15" customHeight="1">
      <c r="A58" s="2825"/>
      <c r="B58" s="2806"/>
      <c r="C58" s="2806"/>
      <c r="D58" s="2806"/>
      <c r="E58" s="2806"/>
      <c r="F58" s="2806"/>
      <c r="G58" s="2806"/>
      <c r="H58" s="2806"/>
      <c r="I58" s="2806"/>
      <c r="J58" s="2806"/>
      <c r="K58" s="2806"/>
      <c r="L58" s="2806"/>
      <c r="M58" s="2820"/>
      <c r="N58" s="2786"/>
      <c r="O58" s="2786"/>
      <c r="P58" s="2786"/>
      <c r="Q58" s="2786"/>
      <c r="R58" s="2786"/>
      <c r="S58" s="2786"/>
      <c r="T58" s="2786"/>
      <c r="U58" s="2786"/>
      <c r="V58" s="2786"/>
      <c r="W58" s="2786"/>
      <c r="X58" s="2786"/>
      <c r="Y58" s="2786"/>
      <c r="Z58" s="2786"/>
      <c r="AA58" s="2786"/>
      <c r="AB58" s="2786"/>
      <c r="AC58" s="2786"/>
      <c r="AD58" s="2786"/>
      <c r="AE58" s="2786"/>
      <c r="AF58" s="2786"/>
      <c r="AG58" s="2786"/>
      <c r="AH58" s="2786"/>
      <c r="AI58" s="2786"/>
      <c r="AJ58" s="2786"/>
      <c r="AK58" s="2786"/>
      <c r="AL58" s="2786"/>
      <c r="AM58" s="2786"/>
      <c r="AN58" s="2786"/>
      <c r="AO58" s="2786"/>
      <c r="AP58" s="2786"/>
      <c r="AQ58" s="2786"/>
      <c r="AR58" s="2786"/>
      <c r="AS58" s="2786"/>
      <c r="AT58" s="2786"/>
      <c r="AU58" s="2786"/>
      <c r="AV58" s="2786"/>
      <c r="AW58" s="2786"/>
    </row>
    <row r="59" spans="1:49" s="2807" customFormat="1" ht="15" customHeight="1">
      <c r="A59" s="2819"/>
      <c r="B59" s="2806"/>
      <c r="C59" s="2806"/>
      <c r="D59" s="2806"/>
      <c r="E59" s="2806"/>
      <c r="F59" s="2806"/>
      <c r="G59" s="2806"/>
      <c r="H59" s="2806"/>
      <c r="I59" s="2806"/>
      <c r="J59" s="2806"/>
      <c r="K59" s="2806"/>
      <c r="L59" s="2806"/>
      <c r="M59" s="2820"/>
      <c r="N59" s="2786"/>
      <c r="O59" s="2786"/>
      <c r="P59" s="2786"/>
      <c r="Q59" s="2786"/>
      <c r="R59" s="2786"/>
      <c r="S59" s="2786"/>
      <c r="T59" s="2786"/>
      <c r="U59" s="2786"/>
      <c r="V59" s="2786"/>
      <c r="W59" s="2786"/>
      <c r="X59" s="2786"/>
      <c r="Y59" s="2786"/>
      <c r="Z59" s="2786"/>
      <c r="AA59" s="2786"/>
      <c r="AB59" s="2786"/>
      <c r="AC59" s="2786"/>
      <c r="AD59" s="2786"/>
      <c r="AE59" s="2786"/>
      <c r="AF59" s="2786"/>
      <c r="AG59" s="2786"/>
      <c r="AH59" s="2786"/>
      <c r="AI59" s="2786"/>
      <c r="AJ59" s="2786"/>
      <c r="AK59" s="2786"/>
      <c r="AL59" s="2786"/>
      <c r="AM59" s="2786"/>
      <c r="AN59" s="2786"/>
      <c r="AO59" s="2786"/>
      <c r="AP59" s="2786"/>
      <c r="AQ59" s="2786"/>
      <c r="AR59" s="2786"/>
      <c r="AS59" s="2786"/>
      <c r="AT59" s="2786"/>
      <c r="AU59" s="2786"/>
      <c r="AV59" s="2786"/>
      <c r="AW59" s="2786"/>
    </row>
    <row r="60" spans="1:49" s="2807" customFormat="1" ht="15" customHeight="1">
      <c r="A60" s="2825"/>
      <c r="B60" s="2806"/>
      <c r="C60" s="2806"/>
      <c r="D60" s="2806"/>
      <c r="E60" s="2806"/>
      <c r="F60" s="2806"/>
      <c r="G60" s="2806"/>
      <c r="H60" s="2806"/>
      <c r="I60" s="2806"/>
      <c r="J60" s="2806"/>
      <c r="K60" s="2806"/>
      <c r="L60" s="2806"/>
      <c r="M60" s="2820"/>
      <c r="N60" s="2786"/>
      <c r="O60" s="2786"/>
      <c r="P60" s="2786"/>
      <c r="Q60" s="2786"/>
      <c r="R60" s="2786"/>
      <c r="S60" s="2786"/>
      <c r="T60" s="2786"/>
      <c r="U60" s="2786"/>
      <c r="V60" s="2786"/>
      <c r="W60" s="2786"/>
      <c r="X60" s="2786"/>
      <c r="Y60" s="2786"/>
      <c r="Z60" s="2786"/>
      <c r="AA60" s="2786"/>
      <c r="AB60" s="2786"/>
      <c r="AC60" s="2786"/>
      <c r="AD60" s="2786"/>
      <c r="AE60" s="2786"/>
      <c r="AF60" s="2786"/>
      <c r="AG60" s="2786"/>
      <c r="AH60" s="2786"/>
      <c r="AI60" s="2786"/>
      <c r="AJ60" s="2786"/>
      <c r="AK60" s="2786"/>
      <c r="AL60" s="2786"/>
      <c r="AM60" s="2786"/>
      <c r="AN60" s="2786"/>
      <c r="AO60" s="2786"/>
      <c r="AP60" s="2786"/>
      <c r="AQ60" s="2786"/>
      <c r="AR60" s="2786"/>
      <c r="AS60" s="2786"/>
      <c r="AT60" s="2786"/>
      <c r="AU60" s="2786"/>
      <c r="AV60" s="2786"/>
      <c r="AW60" s="2786"/>
    </row>
    <row r="61" spans="1:49" s="2786" customFormat="1" ht="15" customHeight="1">
      <c r="A61" s="2819"/>
      <c r="B61" s="2826"/>
      <c r="C61" s="2826"/>
      <c r="D61" s="2826"/>
      <c r="E61" s="2826"/>
      <c r="F61" s="2826"/>
      <c r="G61" s="2826"/>
      <c r="H61" s="2826"/>
      <c r="I61" s="2826"/>
      <c r="J61" s="2826"/>
      <c r="K61" s="2826"/>
      <c r="L61" s="2826"/>
      <c r="M61" s="2827"/>
    </row>
    <row r="62" spans="1:49" s="2786" customFormat="1" ht="15" customHeight="1">
      <c r="A62" s="2828"/>
      <c r="B62" s="2829"/>
      <c r="C62" s="2829"/>
      <c r="D62" s="2829"/>
      <c r="E62" s="2829"/>
      <c r="F62" s="2829"/>
      <c r="G62" s="2829"/>
      <c r="H62" s="2829"/>
      <c r="I62" s="2829"/>
      <c r="J62" s="2829"/>
      <c r="K62" s="2829"/>
      <c r="L62" s="2829"/>
      <c r="M62" s="2830"/>
      <c r="N62" s="2831"/>
    </row>
    <row r="63" spans="1:49" s="2834" customFormat="1" ht="15" customHeight="1">
      <c r="A63" s="2832"/>
      <c r="B63" s="2833"/>
      <c r="C63" s="2833"/>
      <c r="D63" s="2833"/>
      <c r="E63" s="2833"/>
      <c r="F63" s="2833"/>
      <c r="G63" s="2833"/>
      <c r="H63" s="2833"/>
      <c r="I63" s="2833"/>
      <c r="J63" s="2833"/>
      <c r="K63" s="2833"/>
      <c r="L63" s="2833"/>
      <c r="M63" s="2830"/>
      <c r="N63" s="2831"/>
    </row>
    <row r="64" spans="1:49" s="2786" customFormat="1" ht="15" customHeight="1">
      <c r="A64" s="2835"/>
      <c r="B64" s="2836"/>
      <c r="C64" s="2836"/>
      <c r="D64" s="2836"/>
      <c r="E64" s="2836"/>
      <c r="F64" s="2836"/>
      <c r="G64" s="2836"/>
      <c r="H64" s="2836"/>
      <c r="I64" s="2836"/>
      <c r="J64" s="2836"/>
      <c r="K64" s="2836"/>
      <c r="L64" s="2836"/>
      <c r="M64" s="2837"/>
      <c r="N64" s="2831"/>
    </row>
    <row r="65" spans="1:14" s="2786" customFormat="1" ht="15" customHeight="1">
      <c r="A65" s="2835"/>
      <c r="B65" s="2836"/>
      <c r="C65" s="2836"/>
      <c r="D65" s="2836"/>
      <c r="E65" s="2836"/>
      <c r="F65" s="2836"/>
      <c r="G65" s="2836"/>
      <c r="H65" s="2836"/>
      <c r="I65" s="2836"/>
      <c r="J65" s="2836"/>
      <c r="K65" s="2836"/>
      <c r="L65" s="2836"/>
      <c r="M65" s="2837"/>
      <c r="N65" s="2831"/>
    </row>
    <row r="66" spans="1:14" s="2786" customFormat="1" ht="15" customHeight="1">
      <c r="A66" s="2835"/>
      <c r="B66" s="2836"/>
      <c r="C66" s="2836"/>
      <c r="D66" s="2836"/>
      <c r="E66" s="2836"/>
      <c r="F66" s="2836"/>
      <c r="G66" s="2836"/>
      <c r="H66" s="2836"/>
      <c r="I66" s="2836"/>
      <c r="J66" s="2836"/>
      <c r="K66" s="2836"/>
      <c r="L66" s="2836"/>
      <c r="M66" s="2837"/>
      <c r="N66" s="2831"/>
    </row>
    <row r="67" spans="1:14" s="2786" customFormat="1" ht="15" customHeight="1">
      <c r="A67" s="2835"/>
      <c r="B67" s="2838"/>
      <c r="C67" s="2838"/>
      <c r="D67" s="2838"/>
      <c r="E67" s="2838"/>
      <c r="F67" s="2838"/>
      <c r="G67" s="2838"/>
      <c r="H67" s="2838"/>
      <c r="I67" s="2838"/>
      <c r="J67" s="2838"/>
      <c r="K67" s="2838"/>
      <c r="L67" s="2839"/>
      <c r="M67" s="2830"/>
      <c r="N67" s="2831"/>
    </row>
    <row r="68" spans="1:14" s="2786" customFormat="1" ht="15" customHeight="1">
      <c r="A68" s="2840"/>
      <c r="B68" s="2841"/>
      <c r="C68" s="2841"/>
      <c r="D68" s="2841"/>
      <c r="E68" s="2841"/>
      <c r="F68" s="2841"/>
      <c r="G68" s="2841"/>
      <c r="H68" s="2841"/>
      <c r="I68" s="2841"/>
      <c r="J68" s="2841"/>
      <c r="K68" s="2841"/>
      <c r="L68" s="2839"/>
      <c r="M68" s="2830"/>
      <c r="N68" s="2831"/>
    </row>
    <row r="69" spans="1:14" s="2786" customFormat="1" ht="15" customHeight="1">
      <c r="A69" s="2835"/>
      <c r="B69" s="2842"/>
      <c r="C69" s="2842"/>
      <c r="D69" s="2842"/>
      <c r="E69" s="2842"/>
      <c r="F69" s="2842"/>
      <c r="G69" s="2842"/>
      <c r="H69" s="2842"/>
      <c r="I69" s="2842"/>
      <c r="J69" s="2842"/>
      <c r="K69" s="2842"/>
      <c r="L69" s="2842"/>
      <c r="M69" s="2837"/>
      <c r="N69" s="2831"/>
    </row>
    <row r="70" spans="1:14" s="2786" customFormat="1" ht="15" customHeight="1">
      <c r="A70" s="2835"/>
      <c r="B70" s="2842"/>
      <c r="C70" s="2842"/>
      <c r="D70" s="2842"/>
      <c r="E70" s="2842"/>
      <c r="F70" s="2842"/>
      <c r="G70" s="2842"/>
      <c r="H70" s="2842"/>
      <c r="I70" s="2842"/>
      <c r="J70" s="2842"/>
      <c r="K70" s="2842"/>
      <c r="L70" s="2842"/>
      <c r="M70" s="2837"/>
      <c r="N70" s="2831"/>
    </row>
    <row r="71" spans="1:14" s="2786" customFormat="1" ht="15" customHeight="1">
      <c r="A71" s="2835"/>
      <c r="B71" s="2842"/>
      <c r="C71" s="2842"/>
      <c r="D71" s="2842"/>
      <c r="E71" s="2842"/>
      <c r="F71" s="2842"/>
      <c r="G71" s="2842"/>
      <c r="H71" s="2842"/>
      <c r="I71" s="2842"/>
      <c r="J71" s="2842"/>
      <c r="K71" s="2842"/>
      <c r="L71" s="2842"/>
      <c r="M71" s="2837"/>
      <c r="N71" s="2831"/>
    </row>
    <row r="72" spans="1:14" s="2786" customFormat="1">
      <c r="A72" s="2843"/>
      <c r="B72" s="2844"/>
      <c r="C72" s="2844"/>
      <c r="D72" s="2845"/>
      <c r="E72" s="2845"/>
      <c r="F72" s="2845"/>
      <c r="G72" s="2845"/>
      <c r="H72" s="2845"/>
      <c r="I72" s="2845"/>
      <c r="J72" s="2845"/>
      <c r="K72" s="2845"/>
      <c r="L72" s="2845"/>
      <c r="M72" s="2846"/>
    </row>
    <row r="73" spans="1:14" s="2786" customFormat="1">
      <c r="A73" s="2843"/>
      <c r="B73" s="2831"/>
    </row>
    <row r="74" spans="1:14">
      <c r="A74" s="2847"/>
    </row>
    <row r="75" spans="1:14">
      <c r="A75" s="2848"/>
    </row>
    <row r="89" spans="2:12">
      <c r="B89" s="2849"/>
      <c r="C89" s="2849"/>
      <c r="D89" s="2849"/>
      <c r="E89" s="2850"/>
      <c r="F89" s="2850"/>
      <c r="G89" s="2850"/>
      <c r="H89" s="2850"/>
      <c r="I89" s="2850"/>
      <c r="J89" s="2850"/>
      <c r="K89" s="2850"/>
      <c r="L89" s="2850"/>
    </row>
    <row r="90" spans="2:12">
      <c r="B90" s="2850"/>
      <c r="C90" s="2850"/>
      <c r="D90" s="2850"/>
      <c r="E90" s="2850"/>
      <c r="F90" s="2850"/>
      <c r="G90" s="2850"/>
      <c r="H90" s="2850"/>
      <c r="I90" s="2850"/>
      <c r="J90" s="2850"/>
      <c r="K90" s="2850"/>
      <c r="L90" s="2850"/>
    </row>
  </sheetData>
  <mergeCells count="1">
    <mergeCell ref="A2:L2"/>
  </mergeCells>
  <pageMargins left="0.7" right="0.7" top="0.75" bottom="0.75" header="0.3" footer="0.3"/>
  <pageSetup scale="26" fitToWidth="0" fitToHeight="0" orientation="portrait" r:id="rId1"/>
  <drawing r:id="rId2"/>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dimension ref="A1:AO323"/>
  <sheetViews>
    <sheetView workbookViewId="0">
      <selection activeCell="AG19" sqref="A1:AO323"/>
    </sheetView>
  </sheetViews>
  <sheetFormatPr defaultColWidth="13.33203125" defaultRowHeight="12.75" customHeight="1"/>
  <cols>
    <col min="1" max="1" width="32.1640625" style="2757" customWidth="1"/>
    <col min="2" max="2" width="8.33203125" style="2757" customWidth="1"/>
    <col min="3" max="3" width="43" style="2757" customWidth="1"/>
    <col min="4" max="4" width="26.6640625" style="2757" customWidth="1"/>
    <col min="5" max="5" width="42.6640625" style="2757" customWidth="1"/>
    <col min="6" max="6" width="69.83203125" style="2757" customWidth="1"/>
    <col min="7" max="7" width="17.83203125" style="2757" customWidth="1"/>
    <col min="8" max="8" width="13.1640625" style="2757" customWidth="1"/>
    <col min="9" max="23" width="9.33203125" style="2757" customWidth="1"/>
    <col min="24" max="24" width="8.33203125" style="2757" customWidth="1"/>
    <col min="25" max="25" width="21.1640625" style="2757" customWidth="1"/>
    <col min="26" max="39" width="9.33203125" style="2757" customWidth="1"/>
    <col min="40" max="40" width="8.33203125" style="2757" customWidth="1"/>
    <col min="41" max="41" width="29.33203125" style="2757" customWidth="1"/>
    <col min="42" max="16384" width="13.33203125" style="2757"/>
  </cols>
  <sheetData>
    <row r="1" spans="1:41" ht="12.75" customHeight="1">
      <c r="A1" s="2756" t="s">
        <v>3042</v>
      </c>
      <c r="B1" s="3292" t="s">
        <v>3043</v>
      </c>
      <c r="C1" s="3292"/>
      <c r="D1" s="3292"/>
      <c r="E1" s="3292"/>
      <c r="F1" s="3292"/>
      <c r="G1" s="3292"/>
      <c r="H1" s="3292"/>
      <c r="I1" s="3292"/>
      <c r="J1" s="3292"/>
      <c r="K1" s="3292"/>
      <c r="L1" s="3292"/>
      <c r="M1" s="3292"/>
      <c r="N1" s="3292"/>
      <c r="O1" s="3292"/>
      <c r="P1" s="3292"/>
      <c r="Q1" s="3292"/>
      <c r="R1" s="3292"/>
      <c r="S1" s="3292"/>
      <c r="T1" s="3292"/>
      <c r="U1" s="3292"/>
      <c r="V1" s="3292"/>
      <c r="W1" s="3292"/>
      <c r="X1" s="3292"/>
      <c r="Y1" s="3292"/>
      <c r="Z1" s="3292"/>
      <c r="AA1" s="3292"/>
      <c r="AB1" s="3292"/>
      <c r="AC1" s="3292"/>
      <c r="AD1" s="3292"/>
      <c r="AE1" s="3292"/>
      <c r="AF1" s="3292"/>
      <c r="AG1" s="3292"/>
      <c r="AH1" s="3292"/>
      <c r="AI1" s="3292"/>
      <c r="AJ1" s="3292"/>
      <c r="AK1" s="3292"/>
      <c r="AL1" s="3292"/>
      <c r="AM1" s="3292"/>
      <c r="AN1" s="3292"/>
      <c r="AO1" s="3292"/>
    </row>
    <row r="2" spans="1:41" ht="12.75" customHeight="1">
      <c r="A2" s="2756" t="s">
        <v>3044</v>
      </c>
      <c r="B2" s="3293" t="s">
        <v>3045</v>
      </c>
      <c r="C2" s="3293"/>
      <c r="D2" s="3293"/>
      <c r="E2" s="3293"/>
      <c r="F2" s="3293"/>
      <c r="G2" s="3293"/>
      <c r="H2" s="3293"/>
      <c r="I2" s="3293"/>
      <c r="J2" s="3293"/>
      <c r="K2" s="3293"/>
      <c r="L2" s="3293"/>
      <c r="M2" s="3293"/>
      <c r="N2" s="3293"/>
      <c r="O2" s="3293"/>
      <c r="P2" s="3293"/>
      <c r="Q2" s="3293"/>
      <c r="R2" s="3293"/>
      <c r="S2" s="3293"/>
      <c r="T2" s="3293"/>
      <c r="U2" s="3293"/>
      <c r="V2" s="3293"/>
      <c r="W2" s="3293"/>
      <c r="X2" s="3293"/>
      <c r="Y2" s="3293"/>
      <c r="Z2" s="3293"/>
      <c r="AA2" s="3293"/>
      <c r="AB2" s="3293"/>
      <c r="AC2" s="3293"/>
      <c r="AD2" s="3293"/>
      <c r="AE2" s="3293"/>
      <c r="AF2" s="3293"/>
      <c r="AG2" s="3293"/>
      <c r="AH2" s="3293"/>
      <c r="AI2" s="3293"/>
      <c r="AJ2" s="3293"/>
      <c r="AK2" s="3293"/>
      <c r="AL2" s="3293"/>
      <c r="AM2" s="3293"/>
      <c r="AN2" s="3293"/>
      <c r="AO2" s="3293"/>
    </row>
    <row r="3" spans="1:41" ht="12.75" customHeight="1">
      <c r="A3" s="2756" t="s">
        <v>3046</v>
      </c>
      <c r="B3" s="3294">
        <v>43322</v>
      </c>
      <c r="C3" s="3293"/>
      <c r="D3" s="3293"/>
      <c r="E3" s="3293"/>
      <c r="F3" s="3293"/>
      <c r="G3" s="3293"/>
      <c r="H3" s="3293"/>
      <c r="I3" s="3293"/>
      <c r="J3" s="3293"/>
      <c r="K3" s="3293"/>
      <c r="L3" s="3293"/>
      <c r="M3" s="3293"/>
      <c r="N3" s="3293"/>
      <c r="O3" s="3293"/>
      <c r="P3" s="3293"/>
      <c r="Q3" s="3293"/>
      <c r="R3" s="3293"/>
      <c r="S3" s="3293"/>
      <c r="T3" s="3293"/>
      <c r="U3" s="3293"/>
      <c r="V3" s="3293"/>
      <c r="W3" s="3293"/>
      <c r="X3" s="3293"/>
      <c r="Y3" s="3293"/>
      <c r="Z3" s="3293"/>
      <c r="AA3" s="3293"/>
      <c r="AB3" s="3293"/>
      <c r="AC3" s="3293"/>
      <c r="AD3" s="3293"/>
      <c r="AE3" s="3293"/>
      <c r="AF3" s="3293"/>
      <c r="AG3" s="3293"/>
      <c r="AH3" s="3293"/>
      <c r="AI3" s="3293"/>
      <c r="AJ3" s="3293"/>
      <c r="AK3" s="3293"/>
      <c r="AL3" s="3293"/>
      <c r="AM3" s="3293"/>
      <c r="AN3" s="3293"/>
      <c r="AO3" s="3293"/>
    </row>
    <row r="4" spans="1:41" ht="12.75" customHeight="1">
      <c r="A4" s="2758" t="s">
        <v>3047</v>
      </c>
    </row>
    <row r="5" spans="1:41" ht="12.75" customHeight="1">
      <c r="A5" s="2759"/>
      <c r="B5" s="2760"/>
      <c r="C5" s="2760"/>
      <c r="D5" s="2760"/>
      <c r="E5" s="2760"/>
      <c r="F5" s="2760"/>
      <c r="G5" s="2760"/>
      <c r="H5" s="2760"/>
      <c r="I5" s="2761" t="s">
        <v>3048</v>
      </c>
      <c r="J5" s="2760"/>
      <c r="K5" s="2760"/>
      <c r="L5" s="2760"/>
      <c r="M5" s="2760"/>
      <c r="N5" s="2760"/>
      <c r="O5" s="2760"/>
      <c r="P5" s="2760"/>
      <c r="Q5" s="2760"/>
      <c r="R5" s="2760"/>
      <c r="S5" s="2760"/>
      <c r="T5" s="2760"/>
      <c r="U5" s="2760"/>
      <c r="V5" s="2760"/>
      <c r="W5" s="2760"/>
      <c r="X5" s="2760"/>
      <c r="Y5" s="2760"/>
      <c r="Z5" s="2761" t="s">
        <v>3049</v>
      </c>
      <c r="AA5" s="2760"/>
      <c r="AB5" s="2760"/>
      <c r="AC5" s="2760"/>
      <c r="AD5" s="2760"/>
      <c r="AE5" s="2760"/>
      <c r="AF5" s="2760"/>
      <c r="AG5" s="2760"/>
      <c r="AH5" s="2760"/>
      <c r="AI5" s="2760"/>
      <c r="AJ5" s="2760"/>
      <c r="AK5" s="2760"/>
      <c r="AL5" s="2760"/>
      <c r="AM5" s="2760"/>
      <c r="AN5" s="2760"/>
      <c r="AO5" s="2760"/>
    </row>
    <row r="6" spans="1:41" ht="12.75" customHeight="1">
      <c r="A6" s="2759"/>
      <c r="B6" s="2762" t="s">
        <v>3050</v>
      </c>
      <c r="C6" s="2762" t="s">
        <v>3051</v>
      </c>
      <c r="D6" s="2762" t="s">
        <v>3052</v>
      </c>
      <c r="E6" s="2762" t="s">
        <v>3053</v>
      </c>
      <c r="F6" s="2762" t="s">
        <v>3054</v>
      </c>
      <c r="G6" s="2762" t="s">
        <v>3055</v>
      </c>
      <c r="H6" s="2762" t="s">
        <v>3056</v>
      </c>
      <c r="I6" s="2762" t="s">
        <v>3228</v>
      </c>
      <c r="J6" s="2762" t="s">
        <v>3229</v>
      </c>
      <c r="K6" s="2762" t="s">
        <v>3230</v>
      </c>
      <c r="L6" s="2762" t="s">
        <v>3231</v>
      </c>
      <c r="M6" s="2762" t="s">
        <v>3232</v>
      </c>
      <c r="N6" s="2762" t="s">
        <v>3233</v>
      </c>
      <c r="O6" s="2762" t="s">
        <v>3234</v>
      </c>
      <c r="P6" s="2762" t="s">
        <v>3057</v>
      </c>
      <c r="Q6" s="2762" t="s">
        <v>3058</v>
      </c>
      <c r="R6" s="2762" t="s">
        <v>3059</v>
      </c>
      <c r="S6" s="2762" t="s">
        <v>3060</v>
      </c>
      <c r="T6" s="2762" t="s">
        <v>3061</v>
      </c>
      <c r="U6" s="2762" t="s">
        <v>3062</v>
      </c>
      <c r="V6" s="2762" t="s">
        <v>3063</v>
      </c>
      <c r="W6" s="2762" t="s">
        <v>3064</v>
      </c>
      <c r="X6" s="2762" t="s">
        <v>2966</v>
      </c>
      <c r="Y6" s="2762" t="s">
        <v>3065</v>
      </c>
      <c r="Z6" s="2762" t="s">
        <v>3228</v>
      </c>
      <c r="AA6" s="2762" t="s">
        <v>3229</v>
      </c>
      <c r="AB6" s="2762" t="s">
        <v>3230</v>
      </c>
      <c r="AC6" s="2762" t="s">
        <v>3231</v>
      </c>
      <c r="AD6" s="2762" t="s">
        <v>3232</v>
      </c>
      <c r="AE6" s="2762" t="s">
        <v>3233</v>
      </c>
      <c r="AF6" s="2762" t="s">
        <v>3234</v>
      </c>
      <c r="AG6" s="2762" t="s">
        <v>3057</v>
      </c>
      <c r="AH6" s="2762">
        <v>2018</v>
      </c>
      <c r="AI6" s="2762" t="s">
        <v>3059</v>
      </c>
      <c r="AJ6" s="2762" t="s">
        <v>3060</v>
      </c>
      <c r="AK6" s="2762" t="s">
        <v>3061</v>
      </c>
      <c r="AL6" s="2762" t="s">
        <v>3062</v>
      </c>
      <c r="AM6" s="2762" t="s">
        <v>3063</v>
      </c>
      <c r="AN6" s="2762" t="s">
        <v>3064</v>
      </c>
      <c r="AO6" s="2762" t="s">
        <v>3066</v>
      </c>
    </row>
    <row r="7" spans="1:41" ht="12.75" hidden="1" customHeight="1">
      <c r="A7" s="2763" t="s">
        <v>3235</v>
      </c>
    </row>
    <row r="8" spans="1:41" ht="12.75" customHeight="1">
      <c r="A8" s="2764" t="s">
        <v>3236</v>
      </c>
      <c r="B8" s="2765" t="s">
        <v>3069</v>
      </c>
      <c r="C8" s="2766" t="s">
        <v>3237</v>
      </c>
      <c r="D8" s="2766" t="s">
        <v>3238</v>
      </c>
      <c r="E8" s="2766" t="s">
        <v>3239</v>
      </c>
      <c r="F8" s="2766" t="s">
        <v>3073</v>
      </c>
      <c r="G8" s="2767">
        <v>41953</v>
      </c>
      <c r="H8" s="2767">
        <v>45657</v>
      </c>
      <c r="I8" s="2765" t="s">
        <v>3079</v>
      </c>
      <c r="J8" s="2765" t="s">
        <v>3079</v>
      </c>
      <c r="K8" s="2765" t="s">
        <v>3079</v>
      </c>
      <c r="L8" s="2765" t="s">
        <v>3079</v>
      </c>
      <c r="M8" s="2768">
        <v>10.199999999999999</v>
      </c>
      <c r="N8" s="2768">
        <v>248.7</v>
      </c>
      <c r="O8" s="2768">
        <v>925.5</v>
      </c>
      <c r="P8" s="2768">
        <v>2029.8</v>
      </c>
      <c r="Q8" s="2768">
        <v>2872.39314492944</v>
      </c>
      <c r="R8" s="2768">
        <v>3397.0548113713799</v>
      </c>
      <c r="S8" s="2768">
        <v>3858.4359272104198</v>
      </c>
      <c r="T8" s="2768">
        <v>4174.8157549587904</v>
      </c>
      <c r="U8" s="2768">
        <v>4406.8895510298698</v>
      </c>
      <c r="V8" s="2768">
        <v>4571.7423902816299</v>
      </c>
      <c r="W8" s="2768">
        <v>4725.8168121402095</v>
      </c>
      <c r="X8" s="2770" t="s">
        <v>13</v>
      </c>
      <c r="Y8" s="2767">
        <v>41953</v>
      </c>
      <c r="Z8" s="2765" t="s">
        <v>3079</v>
      </c>
      <c r="AA8" s="2765" t="s">
        <v>3079</v>
      </c>
      <c r="AB8" s="2765" t="s">
        <v>3079</v>
      </c>
      <c r="AC8" s="2765" t="s">
        <v>3079</v>
      </c>
      <c r="AD8" s="2768">
        <v>10.199999999999999</v>
      </c>
      <c r="AE8" s="2768">
        <v>248.7</v>
      </c>
      <c r="AF8" s="2768">
        <v>925.5</v>
      </c>
      <c r="AG8" s="2768">
        <v>2029.8</v>
      </c>
      <c r="AH8" s="2768">
        <v>2872.39314492944</v>
      </c>
      <c r="AI8" s="2768">
        <v>3397.0548113713799</v>
      </c>
      <c r="AJ8" s="2768">
        <v>3858.4359272104198</v>
      </c>
      <c r="AK8" s="2768">
        <v>4174.8157549587904</v>
      </c>
      <c r="AL8" s="2768">
        <v>4406.8895510298698</v>
      </c>
      <c r="AM8" s="2768">
        <v>4571.7423902816299</v>
      </c>
      <c r="AN8" s="2768">
        <v>4725.8168121402095</v>
      </c>
      <c r="AO8" s="2766" t="s">
        <v>861</v>
      </c>
    </row>
    <row r="9" spans="1:41" ht="12.75" hidden="1" customHeight="1">
      <c r="A9" s="2759"/>
      <c r="B9" s="2765" t="s">
        <v>3074</v>
      </c>
      <c r="C9" s="2766" t="s">
        <v>3091</v>
      </c>
      <c r="D9" s="2766" t="s">
        <v>3071</v>
      </c>
      <c r="E9" s="2766" t="s">
        <v>3092</v>
      </c>
      <c r="F9" s="2766" t="s">
        <v>3073</v>
      </c>
      <c r="G9" s="2767">
        <v>43136</v>
      </c>
      <c r="H9" s="2767">
        <v>47147</v>
      </c>
      <c r="I9" s="2765" t="s">
        <v>3079</v>
      </c>
      <c r="J9" s="2765" t="s">
        <v>3079</v>
      </c>
      <c r="K9" s="2765" t="s">
        <v>3079</v>
      </c>
      <c r="L9" s="2765" t="s">
        <v>3079</v>
      </c>
      <c r="M9" s="2765" t="s">
        <v>3079</v>
      </c>
      <c r="N9" s="2765" t="s">
        <v>3079</v>
      </c>
      <c r="O9" s="2765" t="s">
        <v>3079</v>
      </c>
      <c r="P9" s="2765" t="s">
        <v>3079</v>
      </c>
      <c r="Q9" s="2768">
        <v>208.82710759690701</v>
      </c>
      <c r="R9" s="2768">
        <v>884.43252804688598</v>
      </c>
      <c r="S9" s="2768">
        <v>1819.4210249978901</v>
      </c>
      <c r="T9" s="2768">
        <v>2715.8737302618401</v>
      </c>
      <c r="U9" s="2768">
        <v>3344.7712458368201</v>
      </c>
      <c r="V9" s="2768">
        <v>3923.3253807617002</v>
      </c>
      <c r="W9" s="2768">
        <v>4465.6095795893198</v>
      </c>
      <c r="X9" s="2770" t="s">
        <v>13</v>
      </c>
      <c r="Y9" s="2767">
        <v>43136</v>
      </c>
      <c r="Z9" s="2765" t="s">
        <v>3079</v>
      </c>
      <c r="AA9" s="2765" t="s">
        <v>3079</v>
      </c>
      <c r="AB9" s="2765" t="s">
        <v>3079</v>
      </c>
      <c r="AC9" s="2765" t="s">
        <v>3079</v>
      </c>
      <c r="AD9" s="2765" t="s">
        <v>3079</v>
      </c>
      <c r="AE9" s="2765" t="s">
        <v>3079</v>
      </c>
      <c r="AF9" s="2765" t="s">
        <v>3079</v>
      </c>
      <c r="AG9" s="2765" t="s">
        <v>3079</v>
      </c>
      <c r="AH9" s="2768">
        <v>208.82710759690701</v>
      </c>
      <c r="AI9" s="2768">
        <v>884.43252804688598</v>
      </c>
      <c r="AJ9" s="2768">
        <v>1819.4210249978901</v>
      </c>
      <c r="AK9" s="2768">
        <v>2715.8737302618401</v>
      </c>
      <c r="AL9" s="2768">
        <v>3407.4643825001199</v>
      </c>
      <c r="AM9" s="2768">
        <v>4048.7844125941001</v>
      </c>
      <c r="AN9" s="2768">
        <v>4652.3624779940501</v>
      </c>
      <c r="AO9" s="2766" t="s">
        <v>861</v>
      </c>
    </row>
    <row r="10" spans="1:41" ht="12.75" customHeight="1">
      <c r="A10" s="2759"/>
      <c r="B10" s="2765" t="s">
        <v>3080</v>
      </c>
      <c r="C10" s="2766" t="s">
        <v>3240</v>
      </c>
      <c r="D10" s="2766" t="s">
        <v>3241</v>
      </c>
      <c r="E10" s="2766" t="s">
        <v>3242</v>
      </c>
      <c r="F10" s="2766" t="s">
        <v>3243</v>
      </c>
      <c r="G10" s="2767">
        <v>41852</v>
      </c>
      <c r="H10" s="2767">
        <v>46966</v>
      </c>
      <c r="I10" s="2765" t="s">
        <v>3079</v>
      </c>
      <c r="J10" s="2765" t="s">
        <v>3079</v>
      </c>
      <c r="K10" s="2765" t="s">
        <v>3079</v>
      </c>
      <c r="L10" s="2765" t="s">
        <v>3079</v>
      </c>
      <c r="M10" s="2768">
        <v>34.083538293961603</v>
      </c>
      <c r="N10" s="2768">
        <v>123.716950347159</v>
      </c>
      <c r="O10" s="2768">
        <v>479.04815547232801</v>
      </c>
      <c r="P10" s="2768">
        <v>1139.0809373070899</v>
      </c>
      <c r="Q10" s="2768">
        <v>1548.5873075310899</v>
      </c>
      <c r="R10" s="2768">
        <v>1979.6644693267499</v>
      </c>
      <c r="S10" s="2768">
        <v>2185.00889879541</v>
      </c>
      <c r="T10" s="2768">
        <v>2553.1259110420701</v>
      </c>
      <c r="U10" s="2768">
        <v>2826.5259708953699</v>
      </c>
      <c r="V10" s="2768">
        <v>3040.48628411653</v>
      </c>
      <c r="W10" s="2768">
        <v>3246.26582404084</v>
      </c>
      <c r="X10" s="2770" t="s">
        <v>13</v>
      </c>
      <c r="Y10" s="2767">
        <v>41852</v>
      </c>
      <c r="Z10" s="2765" t="s">
        <v>3079</v>
      </c>
      <c r="AA10" s="2765" t="s">
        <v>3079</v>
      </c>
      <c r="AB10" s="2765" t="s">
        <v>3079</v>
      </c>
      <c r="AC10" s="2765" t="s">
        <v>3079</v>
      </c>
      <c r="AD10" s="2768">
        <v>34.083538293961603</v>
      </c>
      <c r="AE10" s="2768">
        <v>123.716950347159</v>
      </c>
      <c r="AF10" s="2768">
        <v>479.04815547232801</v>
      </c>
      <c r="AG10" s="2768">
        <v>1139.0809373070899</v>
      </c>
      <c r="AH10" s="2768">
        <v>1548.5873075310899</v>
      </c>
      <c r="AI10" s="2768">
        <v>1979.6644693267499</v>
      </c>
      <c r="AJ10" s="2768">
        <v>2185.00889879541</v>
      </c>
      <c r="AK10" s="2768">
        <v>2553.1259110420701</v>
      </c>
      <c r="AL10" s="2768">
        <v>2826.5259708953699</v>
      </c>
      <c r="AM10" s="2768">
        <v>3040.48628411653</v>
      </c>
      <c r="AN10" s="2768">
        <v>3246.26582404084</v>
      </c>
      <c r="AO10" s="2766" t="s">
        <v>861</v>
      </c>
    </row>
    <row r="11" spans="1:41" ht="12.75" customHeight="1">
      <c r="A11" s="2759"/>
      <c r="B11" s="2765" t="s">
        <v>3085</v>
      </c>
      <c r="C11" s="2766" t="s">
        <v>3222</v>
      </c>
      <c r="D11" s="2766" t="s">
        <v>3071</v>
      </c>
      <c r="E11" s="2766" t="s">
        <v>3244</v>
      </c>
      <c r="F11" s="2766" t="s">
        <v>3245</v>
      </c>
      <c r="G11" s="2767">
        <v>41309</v>
      </c>
      <c r="H11" s="2767">
        <v>47386</v>
      </c>
      <c r="I11" s="2765" t="s">
        <v>3079</v>
      </c>
      <c r="J11" s="2765" t="s">
        <v>3079</v>
      </c>
      <c r="K11" s="2765" t="s">
        <v>3079</v>
      </c>
      <c r="L11" s="2768">
        <v>20.104737539401199</v>
      </c>
      <c r="M11" s="2768">
        <v>92.549257730885898</v>
      </c>
      <c r="N11" s="2768">
        <v>149.108946499702</v>
      </c>
      <c r="O11" s="2768">
        <v>475.72248992149798</v>
      </c>
      <c r="P11" s="2768">
        <v>878.70636973785497</v>
      </c>
      <c r="Q11" s="2768">
        <v>1117.93825856528</v>
      </c>
      <c r="R11" s="2768">
        <v>1385.6701426654599</v>
      </c>
      <c r="S11" s="2768">
        <v>1645.2702957786901</v>
      </c>
      <c r="T11" s="2768">
        <v>1889.47015153655</v>
      </c>
      <c r="U11" s="2768">
        <v>2122.1188288765802</v>
      </c>
      <c r="V11" s="2768">
        <v>2359.4495777429102</v>
      </c>
      <c r="W11" s="2768">
        <v>2521.53763092184</v>
      </c>
      <c r="X11" s="2770" t="s">
        <v>13</v>
      </c>
      <c r="Y11" s="2767">
        <v>41309</v>
      </c>
      <c r="Z11" s="2765" t="s">
        <v>3079</v>
      </c>
      <c r="AA11" s="2765" t="s">
        <v>3079</v>
      </c>
      <c r="AB11" s="2765" t="s">
        <v>3079</v>
      </c>
      <c r="AC11" s="2768">
        <v>25.471786859874701</v>
      </c>
      <c r="AD11" s="2768">
        <v>117.25569470084901</v>
      </c>
      <c r="AE11" s="2768">
        <v>188.91424455044</v>
      </c>
      <c r="AF11" s="2768">
        <v>602.71872955224399</v>
      </c>
      <c r="AG11" s="2768">
        <v>1113.2809527362499</v>
      </c>
      <c r="AH11" s="2768">
        <v>1416.3768608701</v>
      </c>
      <c r="AI11" s="2768">
        <v>1755.5809650782401</v>
      </c>
      <c r="AJ11" s="2768">
        <v>2084.4825364582098</v>
      </c>
      <c r="AK11" s="2768">
        <v>2393.8726324435902</v>
      </c>
      <c r="AL11" s="2768">
        <v>2688.6279114331001</v>
      </c>
      <c r="AM11" s="2768">
        <v>2989.3151618172301</v>
      </c>
      <c r="AN11" s="2768">
        <v>3194.6733434405801</v>
      </c>
      <c r="AO11" s="2766" t="s">
        <v>861</v>
      </c>
    </row>
    <row r="12" spans="1:41" ht="12.75" customHeight="1">
      <c r="A12" s="2759"/>
      <c r="B12" s="2765" t="s">
        <v>3090</v>
      </c>
      <c r="C12" s="2766" t="s">
        <v>3246</v>
      </c>
      <c r="D12" s="2766" t="s">
        <v>2791</v>
      </c>
      <c r="E12" s="2766" t="s">
        <v>3247</v>
      </c>
      <c r="F12" s="2766" t="s">
        <v>3243</v>
      </c>
      <c r="G12" s="2767">
        <v>41243</v>
      </c>
      <c r="H12" s="2767">
        <v>45933</v>
      </c>
      <c r="I12" s="2765" t="s">
        <v>3079</v>
      </c>
      <c r="J12" s="2765" t="s">
        <v>3079</v>
      </c>
      <c r="K12" s="2765" t="s">
        <v>3079</v>
      </c>
      <c r="L12" s="2765" t="s">
        <v>3079</v>
      </c>
      <c r="M12" s="2768">
        <v>225</v>
      </c>
      <c r="N12" s="2768">
        <v>492</v>
      </c>
      <c r="O12" s="2768">
        <v>835</v>
      </c>
      <c r="P12" s="2768">
        <v>1021</v>
      </c>
      <c r="Q12" s="2768">
        <v>1346.80510971084</v>
      </c>
      <c r="R12" s="2768">
        <v>1576.2737127523901</v>
      </c>
      <c r="S12" s="2768">
        <v>1728.34684411383</v>
      </c>
      <c r="T12" s="2768">
        <v>1849.2760366889599</v>
      </c>
      <c r="U12" s="2768">
        <v>1940.75258587096</v>
      </c>
      <c r="V12" s="2768">
        <v>2016.93959339197</v>
      </c>
      <c r="W12" s="2768">
        <v>2114.8108528309399</v>
      </c>
      <c r="X12" s="2770" t="s">
        <v>13</v>
      </c>
      <c r="Y12" s="2767">
        <v>41243</v>
      </c>
      <c r="Z12" s="2765" t="s">
        <v>3079</v>
      </c>
      <c r="AA12" s="2765" t="s">
        <v>3079</v>
      </c>
      <c r="AB12" s="2765" t="s">
        <v>3079</v>
      </c>
      <c r="AC12" s="2765" t="s">
        <v>3079</v>
      </c>
      <c r="AD12" s="2768">
        <v>225</v>
      </c>
      <c r="AE12" s="2768">
        <v>492</v>
      </c>
      <c r="AF12" s="2768">
        <v>835</v>
      </c>
      <c r="AG12" s="2768">
        <v>1021</v>
      </c>
      <c r="AH12" s="2768">
        <v>1346.80510971084</v>
      </c>
      <c r="AI12" s="2768">
        <v>1576.2737127523901</v>
      </c>
      <c r="AJ12" s="2768">
        <v>1728.34684411383</v>
      </c>
      <c r="AK12" s="2768">
        <v>1849.2760366889599</v>
      </c>
      <c r="AL12" s="2768">
        <v>1940.75258587096</v>
      </c>
      <c r="AM12" s="2768">
        <v>2016.93959339197</v>
      </c>
      <c r="AN12" s="2768">
        <v>2114.8108528309399</v>
      </c>
      <c r="AO12" s="2766" t="s">
        <v>861</v>
      </c>
    </row>
    <row r="13" spans="1:41" ht="12.75" hidden="1" customHeight="1">
      <c r="A13" s="2759"/>
      <c r="B13" s="2765" t="s">
        <v>3093</v>
      </c>
      <c r="C13" s="2766" t="s">
        <v>3248</v>
      </c>
      <c r="D13" s="2766" t="s">
        <v>3071</v>
      </c>
      <c r="E13" s="2766" t="s">
        <v>3092</v>
      </c>
      <c r="F13" s="2766" t="s">
        <v>3073</v>
      </c>
      <c r="G13" s="2767">
        <v>44196</v>
      </c>
      <c r="H13" s="2767">
        <v>48213</v>
      </c>
      <c r="I13" s="2765" t="s">
        <v>3079</v>
      </c>
      <c r="J13" s="2765" t="s">
        <v>3079</v>
      </c>
      <c r="K13" s="2765" t="s">
        <v>3079</v>
      </c>
      <c r="L13" s="2765" t="s">
        <v>3079</v>
      </c>
      <c r="M13" s="2765" t="s">
        <v>3079</v>
      </c>
      <c r="N13" s="2765" t="s">
        <v>3079</v>
      </c>
      <c r="O13" s="2765" t="s">
        <v>3079</v>
      </c>
      <c r="P13" s="2765" t="s">
        <v>3079</v>
      </c>
      <c r="Q13" s="2765" t="s">
        <v>3079</v>
      </c>
      <c r="R13" s="2765" t="s">
        <v>3079</v>
      </c>
      <c r="S13" s="2768">
        <v>170.508656568996</v>
      </c>
      <c r="T13" s="2768">
        <v>652.01289209057995</v>
      </c>
      <c r="U13" s="2768">
        <v>1211.09093795782</v>
      </c>
      <c r="V13" s="2768">
        <v>1654.21601717358</v>
      </c>
      <c r="W13" s="2768">
        <v>2087.0070806511799</v>
      </c>
      <c r="X13" s="2770" t="s">
        <v>13</v>
      </c>
      <c r="Y13" s="2767">
        <v>44196</v>
      </c>
      <c r="Z13" s="2765" t="s">
        <v>3079</v>
      </c>
      <c r="AA13" s="2765" t="s">
        <v>3079</v>
      </c>
      <c r="AB13" s="2765" t="s">
        <v>3079</v>
      </c>
      <c r="AC13" s="2765" t="s">
        <v>3079</v>
      </c>
      <c r="AD13" s="2765" t="s">
        <v>3079</v>
      </c>
      <c r="AE13" s="2765" t="s">
        <v>3079</v>
      </c>
      <c r="AF13" s="2765" t="s">
        <v>3079</v>
      </c>
      <c r="AG13" s="2765" t="s">
        <v>3079</v>
      </c>
      <c r="AH13" s="2765" t="s">
        <v>3079</v>
      </c>
      <c r="AI13" s="2765" t="s">
        <v>3079</v>
      </c>
      <c r="AJ13" s="2768">
        <v>170.508656568996</v>
      </c>
      <c r="AK13" s="2768">
        <v>652.01289209057995</v>
      </c>
      <c r="AL13" s="2768">
        <v>1211.09093795782</v>
      </c>
      <c r="AM13" s="2768">
        <v>1654.21601717358</v>
      </c>
      <c r="AN13" s="2768">
        <v>2087.0070806511799</v>
      </c>
      <c r="AO13" s="2766" t="s">
        <v>518</v>
      </c>
    </row>
    <row r="14" spans="1:41" ht="12.75" customHeight="1">
      <c r="A14" s="2759"/>
      <c r="B14" s="2765" t="s">
        <v>3098</v>
      </c>
      <c r="C14" s="2766" t="s">
        <v>3249</v>
      </c>
      <c r="D14" s="2766" t="s">
        <v>3071</v>
      </c>
      <c r="E14" s="2766" t="s">
        <v>3250</v>
      </c>
      <c r="F14" s="2766" t="s">
        <v>3245</v>
      </c>
      <c r="G14" s="2767">
        <v>36433</v>
      </c>
      <c r="H14" s="2767">
        <v>41980</v>
      </c>
      <c r="I14" s="2768">
        <v>1711.5629643458799</v>
      </c>
      <c r="J14" s="2768">
        <v>1930.8174944324201</v>
      </c>
      <c r="K14" s="2768">
        <v>2139.5255958842399</v>
      </c>
      <c r="L14" s="2768">
        <v>2368.7036228239999</v>
      </c>
      <c r="M14" s="2768">
        <v>2454.24315827694</v>
      </c>
      <c r="N14" s="2768">
        <v>2432.7065917116702</v>
      </c>
      <c r="O14" s="2768">
        <v>2339.32077452768</v>
      </c>
      <c r="P14" s="2768">
        <v>2401.5415659888799</v>
      </c>
      <c r="Q14" s="2768">
        <v>2384.3978962552801</v>
      </c>
      <c r="R14" s="2768">
        <v>2289.74690789338</v>
      </c>
      <c r="S14" s="2768">
        <v>2195.23888359689</v>
      </c>
      <c r="T14" s="2768">
        <v>2107.8242375559198</v>
      </c>
      <c r="U14" s="2768">
        <v>2045.0121162528301</v>
      </c>
      <c r="V14" s="2768">
        <v>1977.29814746733</v>
      </c>
      <c r="W14" s="2768">
        <v>1920.8978436662001</v>
      </c>
      <c r="X14" s="2769">
        <v>8.2758957611566205E-3</v>
      </c>
      <c r="Y14" s="2767">
        <v>36433</v>
      </c>
      <c r="Z14" s="2768">
        <v>2120.3104947062302</v>
      </c>
      <c r="AA14" s="2768">
        <v>2391.9263749505399</v>
      </c>
      <c r="AB14" s="2768">
        <v>2710.68149249924</v>
      </c>
      <c r="AC14" s="2768">
        <v>3001.0396154906898</v>
      </c>
      <c r="AD14" s="2768">
        <v>3109.4143112995598</v>
      </c>
      <c r="AE14" s="2768">
        <v>3082.1284622717399</v>
      </c>
      <c r="AF14" s="2768">
        <v>2963.8128848420902</v>
      </c>
      <c r="AG14" s="2768">
        <v>3042.6437939870798</v>
      </c>
      <c r="AH14" s="2768">
        <v>3020.9235451853001</v>
      </c>
      <c r="AI14" s="2768">
        <v>2901.0050534911902</v>
      </c>
      <c r="AJ14" s="2768">
        <v>2781.2676907571499</v>
      </c>
      <c r="AK14" s="2768">
        <v>2670.5173152288298</v>
      </c>
      <c r="AL14" s="2768">
        <v>2590.93721810429</v>
      </c>
      <c r="AM14" s="2768">
        <v>2505.1467034576699</v>
      </c>
      <c r="AN14" s="2768">
        <v>2433.69008710349</v>
      </c>
      <c r="AO14" s="2766" t="s">
        <v>861</v>
      </c>
    </row>
    <row r="15" spans="1:41" ht="22.5" hidden="1" customHeight="1">
      <c r="A15" s="2759"/>
      <c r="B15" s="2765" t="s">
        <v>3103</v>
      </c>
      <c r="C15" s="2766" t="s">
        <v>3251</v>
      </c>
      <c r="D15" s="2766" t="s">
        <v>3241</v>
      </c>
      <c r="E15" s="2766" t="s">
        <v>3252</v>
      </c>
      <c r="F15" s="2766" t="s">
        <v>3253</v>
      </c>
      <c r="G15" s="2767">
        <v>42086</v>
      </c>
      <c r="H15" s="2767">
        <v>46492</v>
      </c>
      <c r="I15" s="2765" t="s">
        <v>3079</v>
      </c>
      <c r="J15" s="2765" t="s">
        <v>3079</v>
      </c>
      <c r="K15" s="2765" t="s">
        <v>3079</v>
      </c>
      <c r="L15" s="2765" t="s">
        <v>3079</v>
      </c>
      <c r="M15" s="2765" t="s">
        <v>3079</v>
      </c>
      <c r="N15" s="2768">
        <v>47.1967502321111</v>
      </c>
      <c r="O15" s="2768">
        <v>139.38132909115399</v>
      </c>
      <c r="P15" s="2768">
        <v>202.94432354044901</v>
      </c>
      <c r="Q15" s="2768">
        <v>563.34279979767996</v>
      </c>
      <c r="R15" s="2768">
        <v>902.99024287367195</v>
      </c>
      <c r="S15" s="2768">
        <v>1346.9862928852599</v>
      </c>
      <c r="T15" s="2768">
        <v>1541.5323971928101</v>
      </c>
      <c r="U15" s="2768">
        <v>1676.48158377195</v>
      </c>
      <c r="V15" s="2768">
        <v>1772.12643415859</v>
      </c>
      <c r="W15" s="2768">
        <v>1862.6994472895601</v>
      </c>
      <c r="X15" s="2770" t="s">
        <v>13</v>
      </c>
      <c r="Y15" s="2767">
        <v>42086</v>
      </c>
      <c r="Z15" s="2765" t="s">
        <v>3079</v>
      </c>
      <c r="AA15" s="2765" t="s">
        <v>3079</v>
      </c>
      <c r="AB15" s="2765" t="s">
        <v>3079</v>
      </c>
      <c r="AC15" s="2765" t="s">
        <v>3079</v>
      </c>
      <c r="AD15" s="2765" t="s">
        <v>3079</v>
      </c>
      <c r="AE15" s="2768">
        <v>47.1967502321111</v>
      </c>
      <c r="AF15" s="2768">
        <v>139.38132909115399</v>
      </c>
      <c r="AG15" s="2768">
        <v>202.94432354044901</v>
      </c>
      <c r="AH15" s="2768">
        <v>563.34279979767996</v>
      </c>
      <c r="AI15" s="2768">
        <v>902.99024287367195</v>
      </c>
      <c r="AJ15" s="2768">
        <v>1346.9862928852599</v>
      </c>
      <c r="AK15" s="2768">
        <v>1541.5323971928101</v>
      </c>
      <c r="AL15" s="2768">
        <v>1676.48158377195</v>
      </c>
      <c r="AM15" s="2768">
        <v>1772.12643415859</v>
      </c>
      <c r="AN15" s="2768">
        <v>1862.6994472895601</v>
      </c>
      <c r="AO15" s="2766" t="s">
        <v>861</v>
      </c>
    </row>
    <row r="16" spans="1:41" ht="12.75" customHeight="1">
      <c r="A16" s="2759"/>
      <c r="B16" s="2765" t="s">
        <v>3108</v>
      </c>
      <c r="C16" s="2766" t="s">
        <v>3215</v>
      </c>
      <c r="D16" s="2766" t="s">
        <v>3254</v>
      </c>
      <c r="E16" s="2766" t="s">
        <v>3255</v>
      </c>
      <c r="F16" s="2766" t="s">
        <v>3245</v>
      </c>
      <c r="G16" s="2767">
        <v>36707</v>
      </c>
      <c r="H16" s="2767">
        <v>42047</v>
      </c>
      <c r="I16" s="2768">
        <v>3759.9461689683399</v>
      </c>
      <c r="J16" s="2768">
        <v>4399.8438745388603</v>
      </c>
      <c r="K16" s="2768">
        <v>5033.7279855706101</v>
      </c>
      <c r="L16" s="2768">
        <v>5992.2648848364697</v>
      </c>
      <c r="M16" s="2768">
        <v>6652.2497859230598</v>
      </c>
      <c r="N16" s="2768">
        <v>5595.5781840691598</v>
      </c>
      <c r="O16" s="2768">
        <v>4989.6548811454004</v>
      </c>
      <c r="P16" s="2768">
        <v>4122.5220654533396</v>
      </c>
      <c r="Q16" s="2768">
        <v>3396.1177594998999</v>
      </c>
      <c r="R16" s="2768">
        <v>2935.2690337828399</v>
      </c>
      <c r="S16" s="2768">
        <v>2605.6235710001101</v>
      </c>
      <c r="T16" s="2768">
        <v>2326.6675034854402</v>
      </c>
      <c r="U16" s="2768">
        <v>2115.2952049165401</v>
      </c>
      <c r="V16" s="2768">
        <v>1924.89821752442</v>
      </c>
      <c r="W16" s="2768">
        <v>1730.81111091964</v>
      </c>
      <c r="X16" s="2769">
        <v>-5.3907865427429397E-2</v>
      </c>
      <c r="Y16" s="2767">
        <v>36707</v>
      </c>
      <c r="Z16" s="2768">
        <v>4657.8790775838297</v>
      </c>
      <c r="AA16" s="2768">
        <v>5450.5941858931301</v>
      </c>
      <c r="AB16" s="2768">
        <v>6377.5041135333804</v>
      </c>
      <c r="AC16" s="2768">
        <v>7591.92671156905</v>
      </c>
      <c r="AD16" s="2768">
        <v>8428.0975244566598</v>
      </c>
      <c r="AE16" s="2768">
        <v>7089.3427274563801</v>
      </c>
      <c r="AF16" s="2768">
        <v>6321.6654973877203</v>
      </c>
      <c r="AG16" s="2768">
        <v>5223.0477105489599</v>
      </c>
      <c r="AH16" s="2768">
        <v>4302.7265365431103</v>
      </c>
      <c r="AI16" s="2768">
        <v>3718.85218886241</v>
      </c>
      <c r="AJ16" s="2768">
        <v>3301.2064001088502</v>
      </c>
      <c r="AK16" s="2768">
        <v>2947.7817666821802</v>
      </c>
      <c r="AL16" s="2768">
        <v>2679.9826906346898</v>
      </c>
      <c r="AM16" s="2768">
        <v>2438.7583785983102</v>
      </c>
      <c r="AN16" s="2768">
        <v>2192.8588535735198</v>
      </c>
      <c r="AO16" s="2766" t="s">
        <v>861</v>
      </c>
    </row>
    <row r="17" spans="1:41" ht="12.75" customHeight="1">
      <c r="A17" s="2759"/>
      <c r="B17" s="2765" t="s">
        <v>3113</v>
      </c>
      <c r="C17" s="2766" t="s">
        <v>3256</v>
      </c>
      <c r="D17" s="2766" t="s">
        <v>3241</v>
      </c>
      <c r="E17" s="2766" t="s">
        <v>3257</v>
      </c>
      <c r="F17" s="2766" t="s">
        <v>3258</v>
      </c>
      <c r="G17" s="2767">
        <v>40709</v>
      </c>
      <c r="H17" s="2767">
        <v>45779</v>
      </c>
      <c r="I17" s="2765" t="s">
        <v>3079</v>
      </c>
      <c r="J17" s="2768">
        <v>22.547518226827901</v>
      </c>
      <c r="K17" s="2768">
        <v>177.801453504189</v>
      </c>
      <c r="L17" s="2768">
        <v>498.30182705933697</v>
      </c>
      <c r="M17" s="2768">
        <v>844.93537603316997</v>
      </c>
      <c r="N17" s="2768">
        <v>1008.48396545506</v>
      </c>
      <c r="O17" s="2768">
        <v>1247.9591671426899</v>
      </c>
      <c r="P17" s="2768">
        <v>1506.34413633963</v>
      </c>
      <c r="Q17" s="2768">
        <v>1765.1251570434899</v>
      </c>
      <c r="R17" s="2768">
        <v>1878.3217904719099</v>
      </c>
      <c r="S17" s="2768">
        <v>1969.25161947789</v>
      </c>
      <c r="T17" s="2768">
        <v>1985.6454308012501</v>
      </c>
      <c r="U17" s="2768">
        <v>1953.10999778927</v>
      </c>
      <c r="V17" s="2768">
        <v>1834.8770340016299</v>
      </c>
      <c r="W17" s="2768">
        <v>1716.7035480347699</v>
      </c>
      <c r="X17" s="2770" t="s">
        <v>13</v>
      </c>
      <c r="Y17" s="2767">
        <v>40709</v>
      </c>
      <c r="Z17" s="2765" t="s">
        <v>3079</v>
      </c>
      <c r="AA17" s="2768">
        <v>22.547518226827901</v>
      </c>
      <c r="AB17" s="2768">
        <v>177.801453504189</v>
      </c>
      <c r="AC17" s="2768">
        <v>498.30182705933697</v>
      </c>
      <c r="AD17" s="2768">
        <v>844.93537603316997</v>
      </c>
      <c r="AE17" s="2768">
        <v>1008.48396545506</v>
      </c>
      <c r="AF17" s="2768">
        <v>1247.9591671426899</v>
      </c>
      <c r="AG17" s="2768">
        <v>1506.34413633963</v>
      </c>
      <c r="AH17" s="2768">
        <v>1765.1251570434899</v>
      </c>
      <c r="AI17" s="2768">
        <v>1878.3217904719099</v>
      </c>
      <c r="AJ17" s="2768">
        <v>1969.25161947789</v>
      </c>
      <c r="AK17" s="2768">
        <v>1985.6454308012501</v>
      </c>
      <c r="AL17" s="2768">
        <v>1953.10999778927</v>
      </c>
      <c r="AM17" s="2768">
        <v>1834.8770340016299</v>
      </c>
      <c r="AN17" s="2768">
        <v>1716.7035480347699</v>
      </c>
      <c r="AO17" s="2766" t="s">
        <v>861</v>
      </c>
    </row>
    <row r="18" spans="1:41" ht="12.75" customHeight="1">
      <c r="A18" s="2759"/>
      <c r="B18" s="2765" t="s">
        <v>3118</v>
      </c>
      <c r="C18" s="2766" t="s">
        <v>3213</v>
      </c>
      <c r="D18" s="2766" t="s">
        <v>3238</v>
      </c>
      <c r="E18" s="2766" t="s">
        <v>3259</v>
      </c>
      <c r="F18" s="2766" t="s">
        <v>3245</v>
      </c>
      <c r="G18" s="2767">
        <v>35230</v>
      </c>
      <c r="H18" s="2767">
        <v>41401</v>
      </c>
      <c r="I18" s="2768">
        <v>1658.19706601341</v>
      </c>
      <c r="J18" s="2768">
        <v>1911.1806900464201</v>
      </c>
      <c r="K18" s="2768">
        <v>1890.7546235597199</v>
      </c>
      <c r="L18" s="2768">
        <v>2061.0054155871999</v>
      </c>
      <c r="M18" s="2768">
        <v>2198.3426330780799</v>
      </c>
      <c r="N18" s="2768">
        <v>2243.09562291562</v>
      </c>
      <c r="O18" s="2768">
        <v>2185.3982056823902</v>
      </c>
      <c r="P18" s="2768">
        <v>2261.48618134975</v>
      </c>
      <c r="Q18" s="2768">
        <v>2308.2165502755101</v>
      </c>
      <c r="R18" s="2768">
        <v>2153.3842745637698</v>
      </c>
      <c r="S18" s="2768">
        <v>1972.54961700221</v>
      </c>
      <c r="T18" s="2768">
        <v>1806.00724408616</v>
      </c>
      <c r="U18" s="2768">
        <v>1672.9613605955201</v>
      </c>
      <c r="V18" s="2768">
        <v>1555.8151138557</v>
      </c>
      <c r="W18" s="2768">
        <v>1445.6521547350301</v>
      </c>
      <c r="X18" s="2769">
        <v>-9.7500406490356201E-3</v>
      </c>
      <c r="Y18" s="2767">
        <v>35230</v>
      </c>
      <c r="Z18" s="2768">
        <v>2054.1999999999998</v>
      </c>
      <c r="AA18" s="2768">
        <v>2367.6</v>
      </c>
      <c r="AB18" s="2768">
        <v>2395.5</v>
      </c>
      <c r="AC18" s="2768">
        <v>2611.1999999999998</v>
      </c>
      <c r="AD18" s="2768">
        <v>2785.2</v>
      </c>
      <c r="AE18" s="2768">
        <v>2841.9</v>
      </c>
      <c r="AF18" s="2768">
        <v>2768.8</v>
      </c>
      <c r="AG18" s="2768">
        <v>2865.2</v>
      </c>
      <c r="AH18" s="2768">
        <v>2924.4052492516998</v>
      </c>
      <c r="AI18" s="2768">
        <v>2728.2398072393598</v>
      </c>
      <c r="AJ18" s="2768">
        <v>2499.1305316141902</v>
      </c>
      <c r="AK18" s="2768">
        <v>2288.1289297409098</v>
      </c>
      <c r="AL18" s="2768">
        <v>2119.5658544848602</v>
      </c>
      <c r="AM18" s="2768">
        <v>1971.1468948966999</v>
      </c>
      <c r="AN18" s="2768">
        <v>1831.5754426916899</v>
      </c>
      <c r="AO18" s="2766" t="s">
        <v>861</v>
      </c>
    </row>
    <row r="19" spans="1:41" ht="12.75" customHeight="1">
      <c r="A19" s="2759"/>
      <c r="B19" s="2765" t="s">
        <v>3121</v>
      </c>
      <c r="C19" s="2766" t="s">
        <v>3260</v>
      </c>
      <c r="D19" s="2766" t="s">
        <v>3254</v>
      </c>
      <c r="E19" s="2766" t="s">
        <v>3255</v>
      </c>
      <c r="F19" s="2766" t="s">
        <v>3245</v>
      </c>
      <c r="G19" s="2767">
        <v>42093</v>
      </c>
      <c r="H19" s="2767">
        <v>46835</v>
      </c>
      <c r="I19" s="2765" t="s">
        <v>3079</v>
      </c>
      <c r="J19" s="2765" t="s">
        <v>3079</v>
      </c>
      <c r="K19" s="2765" t="s">
        <v>3079</v>
      </c>
      <c r="L19" s="2765" t="s">
        <v>3079</v>
      </c>
      <c r="M19" s="2765" t="s">
        <v>3079</v>
      </c>
      <c r="N19" s="2768">
        <v>143.611083284404</v>
      </c>
      <c r="O19" s="2768">
        <v>566.72838954556596</v>
      </c>
      <c r="P19" s="2768">
        <v>727.81869437687601</v>
      </c>
      <c r="Q19" s="2768">
        <v>857.06675957081995</v>
      </c>
      <c r="R19" s="2768">
        <v>941.61027174316905</v>
      </c>
      <c r="S19" s="2768">
        <v>1026.4276978369701</v>
      </c>
      <c r="T19" s="2768">
        <v>1096.5192115188199</v>
      </c>
      <c r="U19" s="2768">
        <v>1147.7285758262401</v>
      </c>
      <c r="V19" s="2768">
        <v>1193.82901635196</v>
      </c>
      <c r="W19" s="2768">
        <v>1237.3969868315601</v>
      </c>
      <c r="X19" s="2770" t="s">
        <v>13</v>
      </c>
      <c r="Y19" s="2767">
        <v>42093</v>
      </c>
      <c r="Z19" s="2765" t="s">
        <v>3079</v>
      </c>
      <c r="AA19" s="2765" t="s">
        <v>3079</v>
      </c>
      <c r="AB19" s="2765" t="s">
        <v>3079</v>
      </c>
      <c r="AC19" s="2765" t="s">
        <v>3079</v>
      </c>
      <c r="AD19" s="2765" t="s">
        <v>3079</v>
      </c>
      <c r="AE19" s="2768">
        <v>181.948702238317</v>
      </c>
      <c r="AF19" s="2768">
        <v>718.019059818801</v>
      </c>
      <c r="AG19" s="2768">
        <v>922.11313972478399</v>
      </c>
      <c r="AH19" s="2768">
        <v>1085.86455215776</v>
      </c>
      <c r="AI19" s="2768">
        <v>1192.97733183066</v>
      </c>
      <c r="AJ19" s="2768">
        <v>1300.4371479675499</v>
      </c>
      <c r="AK19" s="2768">
        <v>1389.2399037205701</v>
      </c>
      <c r="AL19" s="2768">
        <v>1454.11983614008</v>
      </c>
      <c r="AM19" s="2768">
        <v>1512.5269947969</v>
      </c>
      <c r="AN19" s="2768">
        <v>1567.7256292380901</v>
      </c>
      <c r="AO19" s="2766" t="s">
        <v>861</v>
      </c>
    </row>
    <row r="20" spans="1:41" ht="12.75" customHeight="1">
      <c r="A20" s="2759"/>
      <c r="B20" s="2765" t="s">
        <v>3125</v>
      </c>
      <c r="C20" s="2766" t="s">
        <v>3261</v>
      </c>
      <c r="D20" s="2766" t="s">
        <v>3071</v>
      </c>
      <c r="E20" s="2766" t="s">
        <v>3262</v>
      </c>
      <c r="F20" s="2766" t="s">
        <v>3245</v>
      </c>
      <c r="G20" s="2767">
        <v>36707</v>
      </c>
      <c r="H20" s="2767">
        <v>41980</v>
      </c>
      <c r="I20" s="2768">
        <v>1124.8852053906801</v>
      </c>
      <c r="J20" s="2768">
        <v>1248.3057809209299</v>
      </c>
      <c r="K20" s="2768">
        <v>1273.65373840251</v>
      </c>
      <c r="L20" s="2768">
        <v>1372.04289263648</v>
      </c>
      <c r="M20" s="2768">
        <v>1388.3795183306599</v>
      </c>
      <c r="N20" s="2768">
        <v>1308.40165338006</v>
      </c>
      <c r="O20" s="2768">
        <v>1229.41891995985</v>
      </c>
      <c r="P20" s="2768">
        <v>1230.0929758975301</v>
      </c>
      <c r="Q20" s="2768">
        <v>1232.35521388186</v>
      </c>
      <c r="R20" s="2768">
        <v>1211.5057248447899</v>
      </c>
      <c r="S20" s="2768">
        <v>1191.9250102293699</v>
      </c>
      <c r="T20" s="2768">
        <v>1202.0492737413899</v>
      </c>
      <c r="U20" s="2768">
        <v>1210.15453769748</v>
      </c>
      <c r="V20" s="2768">
        <v>1215.1408134429</v>
      </c>
      <c r="W20" s="2768">
        <v>1215.1952281598401</v>
      </c>
      <c r="X20" s="2769">
        <v>5.5312235201707702E-3</v>
      </c>
      <c r="Y20" s="2767">
        <v>36707</v>
      </c>
      <c r="Z20" s="2768">
        <v>1393.52507387373</v>
      </c>
      <c r="AA20" s="2768">
        <v>1546.42037893163</v>
      </c>
      <c r="AB20" s="2768">
        <v>1613.6612822868699</v>
      </c>
      <c r="AC20" s="2768">
        <v>1738.31585989872</v>
      </c>
      <c r="AD20" s="2768">
        <v>1759.0136206566599</v>
      </c>
      <c r="AE20" s="2768">
        <v>1657.6853080866899</v>
      </c>
      <c r="AF20" s="2768">
        <v>1557.61778184581</v>
      </c>
      <c r="AG20" s="2768">
        <v>1558.47178002125</v>
      </c>
      <c r="AH20" s="2768">
        <v>1561.33793252139</v>
      </c>
      <c r="AI20" s="2768">
        <v>1534.9225794311601</v>
      </c>
      <c r="AJ20" s="2768">
        <v>1510.11470575112</v>
      </c>
      <c r="AK20" s="2768">
        <v>1522.94168654537</v>
      </c>
      <c r="AL20" s="2768">
        <v>1533.2106868507899</v>
      </c>
      <c r="AM20" s="2768">
        <v>1539.5280711371099</v>
      </c>
      <c r="AN20" s="2768">
        <v>1539.5970121053299</v>
      </c>
      <c r="AO20" s="2766" t="s">
        <v>861</v>
      </c>
    </row>
    <row r="21" spans="1:41" ht="12.75" customHeight="1">
      <c r="A21" s="2759"/>
      <c r="B21" s="2765" t="s">
        <v>3127</v>
      </c>
      <c r="C21" s="2766" t="s">
        <v>3164</v>
      </c>
      <c r="D21" s="2766" t="s">
        <v>3071</v>
      </c>
      <c r="E21" s="2766" t="s">
        <v>3072</v>
      </c>
      <c r="F21" s="2766" t="s">
        <v>3073</v>
      </c>
      <c r="G21" s="2767">
        <v>40003</v>
      </c>
      <c r="H21" s="2767">
        <v>44795</v>
      </c>
      <c r="I21" s="2768">
        <v>412.83692573397798</v>
      </c>
      <c r="J21" s="2768">
        <v>1119.1839200506599</v>
      </c>
      <c r="K21" s="2768">
        <v>1640.08926089851</v>
      </c>
      <c r="L21" s="2768">
        <v>2072.1209548316201</v>
      </c>
      <c r="M21" s="2768">
        <v>2392.5151323003001</v>
      </c>
      <c r="N21" s="2768">
        <v>2681.5410130006098</v>
      </c>
      <c r="O21" s="2768">
        <v>2978.8214133639799</v>
      </c>
      <c r="P21" s="2768">
        <v>3520.9580343601801</v>
      </c>
      <c r="Q21" s="2768">
        <v>3974.8513720835399</v>
      </c>
      <c r="R21" s="2768">
        <v>3870.1200448527402</v>
      </c>
      <c r="S21" s="2768">
        <v>3573.0600885866402</v>
      </c>
      <c r="T21" s="2768">
        <v>3211.0540493237399</v>
      </c>
      <c r="U21" s="2768">
        <v>2793.0886774711198</v>
      </c>
      <c r="V21" s="2768">
        <v>1727.5004319055599</v>
      </c>
      <c r="W21" s="2768">
        <v>1195.4286358578499</v>
      </c>
      <c r="X21" s="2769">
        <v>7.8901493433822106E-2</v>
      </c>
      <c r="Y21" s="2767">
        <v>40003</v>
      </c>
      <c r="Z21" s="2768">
        <v>412.83692573397798</v>
      </c>
      <c r="AA21" s="2768">
        <v>1119.1839200506599</v>
      </c>
      <c r="AB21" s="2768">
        <v>1640.08926089851</v>
      </c>
      <c r="AC21" s="2768">
        <v>2072.1209548316201</v>
      </c>
      <c r="AD21" s="2768">
        <v>2392.5151323003001</v>
      </c>
      <c r="AE21" s="2768">
        <v>2681.5410130006098</v>
      </c>
      <c r="AF21" s="2768">
        <v>2978.8214133639799</v>
      </c>
      <c r="AG21" s="2768">
        <v>3520.9580343601801</v>
      </c>
      <c r="AH21" s="2768">
        <v>3974.8513720835399</v>
      </c>
      <c r="AI21" s="2768">
        <v>3870.1200448527402</v>
      </c>
      <c r="AJ21" s="2768">
        <v>3573.0600885866402</v>
      </c>
      <c r="AK21" s="2768">
        <v>3211.0540493237399</v>
      </c>
      <c r="AL21" s="2768">
        <v>2793.0886774711198</v>
      </c>
      <c r="AM21" s="2768">
        <v>1727.5004319055599</v>
      </c>
      <c r="AN21" s="2768">
        <v>1195.4286358578499</v>
      </c>
      <c r="AO21" s="2766" t="s">
        <v>861</v>
      </c>
    </row>
    <row r="22" spans="1:41" ht="12.75" hidden="1" customHeight="1">
      <c r="A22" s="2759"/>
      <c r="B22" s="2765" t="s">
        <v>3263</v>
      </c>
      <c r="C22" s="2766" t="s">
        <v>3264</v>
      </c>
      <c r="D22" s="2766" t="s">
        <v>3071</v>
      </c>
      <c r="E22" s="2766" t="s">
        <v>3265</v>
      </c>
      <c r="F22" s="2766" t="s">
        <v>3266</v>
      </c>
      <c r="G22" s="2767">
        <v>41973</v>
      </c>
      <c r="H22" s="2767">
        <v>47483</v>
      </c>
      <c r="I22" s="2765" t="s">
        <v>3079</v>
      </c>
      <c r="J22" s="2765" t="s">
        <v>3079</v>
      </c>
      <c r="K22" s="2765" t="s">
        <v>3079</v>
      </c>
      <c r="L22" s="2765" t="s">
        <v>3079</v>
      </c>
      <c r="M22" s="2765" t="s">
        <v>3079</v>
      </c>
      <c r="N22" s="2768">
        <v>28.8951576651125</v>
      </c>
      <c r="O22" s="2768">
        <v>26.976715523401001</v>
      </c>
      <c r="P22" s="2768">
        <v>110.76590890469799</v>
      </c>
      <c r="Q22" s="2768">
        <v>290.11898039684701</v>
      </c>
      <c r="R22" s="2768">
        <v>496.60784197471702</v>
      </c>
      <c r="S22" s="2768">
        <v>680.57555922603603</v>
      </c>
      <c r="T22" s="2768">
        <v>864.56613771805496</v>
      </c>
      <c r="U22" s="2768">
        <v>1031.58184200354</v>
      </c>
      <c r="V22" s="2768">
        <v>1214.09972136036</v>
      </c>
      <c r="W22" s="2768">
        <v>1108.8311217836999</v>
      </c>
      <c r="X22" s="2770" t="s">
        <v>13</v>
      </c>
      <c r="Y22" s="2767">
        <v>41973</v>
      </c>
      <c r="Z22" s="2765" t="s">
        <v>3079</v>
      </c>
      <c r="AA22" s="2765" t="s">
        <v>3079</v>
      </c>
      <c r="AB22" s="2765" t="s">
        <v>3079</v>
      </c>
      <c r="AC22" s="2765" t="s">
        <v>3079</v>
      </c>
      <c r="AD22" s="2765" t="s">
        <v>3079</v>
      </c>
      <c r="AE22" s="2768">
        <v>28.8951576651125</v>
      </c>
      <c r="AF22" s="2768">
        <v>26.976715523401001</v>
      </c>
      <c r="AG22" s="2768">
        <v>110.76590890469799</v>
      </c>
      <c r="AH22" s="2768">
        <v>290.11898039684701</v>
      </c>
      <c r="AI22" s="2768">
        <v>496.60784197471702</v>
      </c>
      <c r="AJ22" s="2768">
        <v>680.57555922603603</v>
      </c>
      <c r="AK22" s="2768">
        <v>864.56613771805496</v>
      </c>
      <c r="AL22" s="2768">
        <v>1031.58184200354</v>
      </c>
      <c r="AM22" s="2768">
        <v>1214.09972136036</v>
      </c>
      <c r="AN22" s="2768">
        <v>1108.8311217836999</v>
      </c>
      <c r="AO22" s="2766" t="s">
        <v>861</v>
      </c>
    </row>
    <row r="23" spans="1:41" ht="12.75" hidden="1" customHeight="1">
      <c r="A23" s="2759"/>
      <c r="B23" s="2765" t="s">
        <v>3267</v>
      </c>
      <c r="C23" s="2766" t="s">
        <v>3268</v>
      </c>
      <c r="D23" s="2766" t="s">
        <v>3238</v>
      </c>
      <c r="E23" s="2766" t="s">
        <v>3255</v>
      </c>
      <c r="F23" s="2766" t="s">
        <v>3245</v>
      </c>
      <c r="G23" s="2767">
        <v>42219</v>
      </c>
      <c r="H23" s="2765" t="s">
        <v>3079</v>
      </c>
      <c r="I23" s="2765" t="s">
        <v>3079</v>
      </c>
      <c r="J23" s="2765" t="s">
        <v>3079</v>
      </c>
      <c r="K23" s="2765" t="s">
        <v>3079</v>
      </c>
      <c r="L23" s="2765" t="s">
        <v>3079</v>
      </c>
      <c r="M23" s="2765" t="s">
        <v>3079</v>
      </c>
      <c r="N23" s="2768">
        <v>8.7611673226937707</v>
      </c>
      <c r="O23" s="2768">
        <v>67.958243827381395</v>
      </c>
      <c r="P23" s="2768">
        <v>341.05409010234001</v>
      </c>
      <c r="Q23" s="2768">
        <v>626.27105607952706</v>
      </c>
      <c r="R23" s="2768">
        <v>764.91559309051399</v>
      </c>
      <c r="S23" s="2768">
        <v>854.95343798660497</v>
      </c>
      <c r="T23" s="2768">
        <v>922.70355308013598</v>
      </c>
      <c r="U23" s="2768">
        <v>968.69536059412201</v>
      </c>
      <c r="V23" s="2768">
        <v>987.69627827324996</v>
      </c>
      <c r="W23" s="2768">
        <v>1017.11202241968</v>
      </c>
      <c r="X23" s="2770" t="s">
        <v>13</v>
      </c>
      <c r="Y23" s="2767">
        <v>42219</v>
      </c>
      <c r="Z23" s="2765" t="s">
        <v>3079</v>
      </c>
      <c r="AA23" s="2765" t="s">
        <v>3079</v>
      </c>
      <c r="AB23" s="2765" t="s">
        <v>3079</v>
      </c>
      <c r="AC23" s="2765" t="s">
        <v>3079</v>
      </c>
      <c r="AD23" s="2765" t="s">
        <v>3079</v>
      </c>
      <c r="AE23" s="2768">
        <v>11.1</v>
      </c>
      <c r="AF23" s="2768">
        <v>86.1</v>
      </c>
      <c r="AG23" s="2768">
        <v>432.1</v>
      </c>
      <c r="AH23" s="2768">
        <v>793.45690664715698</v>
      </c>
      <c r="AI23" s="2768">
        <v>969.11322094167394</v>
      </c>
      <c r="AJ23" s="2768">
        <v>1083.1870699546801</v>
      </c>
      <c r="AK23" s="2768">
        <v>1169.02338032741</v>
      </c>
      <c r="AL23" s="2768">
        <v>1227.2929059056801</v>
      </c>
      <c r="AM23" s="2768">
        <v>1251.36620327235</v>
      </c>
      <c r="AN23" s="2768">
        <v>1288.6346114649</v>
      </c>
      <c r="AO23" s="2766" t="s">
        <v>861</v>
      </c>
    </row>
    <row r="24" spans="1:41" ht="12.75" customHeight="1">
      <c r="A24" s="2759"/>
      <c r="B24" s="2765" t="s">
        <v>3269</v>
      </c>
      <c r="C24" s="2766" t="s">
        <v>3270</v>
      </c>
      <c r="D24" s="2766" t="s">
        <v>3238</v>
      </c>
      <c r="E24" s="2766" t="s">
        <v>3271</v>
      </c>
      <c r="F24" s="2766" t="s">
        <v>3245</v>
      </c>
      <c r="G24" s="2767">
        <v>30317</v>
      </c>
      <c r="H24" s="2767">
        <v>36645</v>
      </c>
      <c r="I24" s="2768">
        <v>878.98490175348104</v>
      </c>
      <c r="J24" s="2768">
        <v>1008.0598267148</v>
      </c>
      <c r="K24" s="2768">
        <v>978.01463329277897</v>
      </c>
      <c r="L24" s="2768">
        <v>1038.55351019824</v>
      </c>
      <c r="M24" s="2768">
        <v>1105.0910241895101</v>
      </c>
      <c r="N24" s="2768">
        <v>1031.92343762971</v>
      </c>
      <c r="O24" s="2768">
        <v>1078.0971573033701</v>
      </c>
      <c r="P24" s="2768">
        <v>1054.0236795247999</v>
      </c>
      <c r="Q24" s="2768">
        <v>1050.8305608626199</v>
      </c>
      <c r="R24" s="2768">
        <v>1036.7058670854999</v>
      </c>
      <c r="S24" s="2768">
        <v>1020.51061409539</v>
      </c>
      <c r="T24" s="2768">
        <v>1005.26447272541</v>
      </c>
      <c r="U24" s="2768">
        <v>989.49735136598099</v>
      </c>
      <c r="V24" s="2768">
        <v>971.91916185998298</v>
      </c>
      <c r="W24" s="2768">
        <v>956.31288925792103</v>
      </c>
      <c r="X24" s="2769">
        <v>6.04084623399737E-3</v>
      </c>
      <c r="Y24" s="2767">
        <v>30317</v>
      </c>
      <c r="Z24" s="2768">
        <v>1088.9000000000001</v>
      </c>
      <c r="AA24" s="2768">
        <v>1248.8</v>
      </c>
      <c r="AB24" s="2768">
        <v>1239.0999999999999</v>
      </c>
      <c r="AC24" s="2768">
        <v>1315.8</v>
      </c>
      <c r="AD24" s="2768">
        <v>1400.1</v>
      </c>
      <c r="AE24" s="2768">
        <v>1307.4000000000001</v>
      </c>
      <c r="AF24" s="2768">
        <v>1365.9</v>
      </c>
      <c r="AG24" s="2768">
        <v>1335.4</v>
      </c>
      <c r="AH24" s="2768">
        <v>1331.3544640748501</v>
      </c>
      <c r="AI24" s="2768">
        <v>1313.4591203208399</v>
      </c>
      <c r="AJ24" s="2768">
        <v>1292.9404723406201</v>
      </c>
      <c r="AK24" s="2768">
        <v>1273.624305559</v>
      </c>
      <c r="AL24" s="2768">
        <v>1253.64808085703</v>
      </c>
      <c r="AM24" s="2768">
        <v>1231.37731529236</v>
      </c>
      <c r="AN24" s="2768">
        <v>1211.60487864066</v>
      </c>
      <c r="AO24" s="2766" t="s">
        <v>861</v>
      </c>
    </row>
    <row r="25" spans="1:41" ht="12.75" customHeight="1">
      <c r="A25" s="2759"/>
      <c r="B25" s="2765" t="s">
        <v>3272</v>
      </c>
      <c r="C25" s="2766" t="s">
        <v>3634</v>
      </c>
      <c r="D25" s="2766" t="s">
        <v>3071</v>
      </c>
      <c r="E25" s="2766" t="s">
        <v>3271</v>
      </c>
      <c r="F25" s="2766" t="s">
        <v>3245</v>
      </c>
      <c r="G25" s="2767">
        <v>31047</v>
      </c>
      <c r="H25" s="2765" t="s">
        <v>3079</v>
      </c>
      <c r="I25" s="2768">
        <v>1701.0634604469501</v>
      </c>
      <c r="J25" s="2768">
        <v>1626.3563478173701</v>
      </c>
      <c r="K25" s="2768">
        <v>1540.8728913964001</v>
      </c>
      <c r="L25" s="2768">
        <v>1528.1006455647</v>
      </c>
      <c r="M25" s="2768">
        <v>1448.43807919858</v>
      </c>
      <c r="N25" s="2768">
        <v>1318.61620325839</v>
      </c>
      <c r="O25" s="2768">
        <v>1300.7303780151401</v>
      </c>
      <c r="P25" s="2768">
        <v>1207.90644957004</v>
      </c>
      <c r="Q25" s="2768">
        <v>1159.53840853068</v>
      </c>
      <c r="R25" s="2768">
        <v>1100.06083380417</v>
      </c>
      <c r="S25" s="2768">
        <v>1056.6802137658999</v>
      </c>
      <c r="T25" s="2768">
        <v>1020.31388426166</v>
      </c>
      <c r="U25" s="2768">
        <v>988.94504289042504</v>
      </c>
      <c r="V25" s="2768">
        <v>960.02078400267101</v>
      </c>
      <c r="W25" s="2768">
        <v>922.72839981055904</v>
      </c>
      <c r="X25" s="2769">
        <v>-4.2750295758905502E-2</v>
      </c>
      <c r="Y25" s="2767">
        <v>31047</v>
      </c>
      <c r="Z25" s="2768">
        <v>2107.3035479740001</v>
      </c>
      <c r="AA25" s="2768">
        <v>2014.7552291347699</v>
      </c>
      <c r="AB25" s="2768">
        <v>1952.2157795339599</v>
      </c>
      <c r="AC25" s="2768">
        <v>1936.03392573411</v>
      </c>
      <c r="AD25" s="2768">
        <v>1835.10508211146</v>
      </c>
      <c r="AE25" s="2768">
        <v>1670.6266775952599</v>
      </c>
      <c r="AF25" s="2768">
        <v>1647.9661515617299</v>
      </c>
      <c r="AG25" s="2768">
        <v>1530.36246157493</v>
      </c>
      <c r="AH25" s="2768">
        <v>1469.08235633756</v>
      </c>
      <c r="AI25" s="2768">
        <v>1393.7269778648499</v>
      </c>
      <c r="AJ25" s="2768">
        <v>1338.7657079005701</v>
      </c>
      <c r="AK25" s="2768">
        <v>1292.69122460068</v>
      </c>
      <c r="AL25" s="2768">
        <v>1252.9483311715301</v>
      </c>
      <c r="AM25" s="2768">
        <v>1216.3026124186899</v>
      </c>
      <c r="AN25" s="2768">
        <v>1169.0548600033001</v>
      </c>
      <c r="AO25" s="2766" t="s">
        <v>861</v>
      </c>
    </row>
    <row r="26" spans="1:41" ht="12.75" customHeight="1">
      <c r="A26" s="2759"/>
      <c r="B26" s="2765" t="s">
        <v>3274</v>
      </c>
      <c r="C26" s="2766" t="s">
        <v>3217</v>
      </c>
      <c r="D26" s="2766" t="s">
        <v>3071</v>
      </c>
      <c r="E26" s="2766" t="s">
        <v>3275</v>
      </c>
      <c r="F26" s="2766" t="s">
        <v>3245</v>
      </c>
      <c r="G26" s="2767">
        <v>38168</v>
      </c>
      <c r="H26" s="2767">
        <v>43632</v>
      </c>
      <c r="I26" s="2768">
        <v>989.54228526888005</v>
      </c>
      <c r="J26" s="2768">
        <v>1158.58097545488</v>
      </c>
      <c r="K26" s="2768">
        <v>1334.1870567337801</v>
      </c>
      <c r="L26" s="2768">
        <v>1623.2818155939001</v>
      </c>
      <c r="M26" s="2768">
        <v>1999.6547069301</v>
      </c>
      <c r="N26" s="2768">
        <v>2148.5777330271999</v>
      </c>
      <c r="O26" s="2768">
        <v>2003.6408519055699</v>
      </c>
      <c r="P26" s="2768">
        <v>1693.13177671067</v>
      </c>
      <c r="Q26" s="2768">
        <v>1406.3536441701799</v>
      </c>
      <c r="R26" s="2768">
        <v>1228.09765180511</v>
      </c>
      <c r="S26" s="2768">
        <v>1112.28164795012</v>
      </c>
      <c r="T26" s="2768">
        <v>1027.2087753967101</v>
      </c>
      <c r="U26" s="2768">
        <v>963.79962941820997</v>
      </c>
      <c r="V26" s="2768">
        <v>915.73992248324305</v>
      </c>
      <c r="W26" s="2768">
        <v>873.62485629858998</v>
      </c>
      <c r="X26" s="2769">
        <v>-8.8599062790786203E-3</v>
      </c>
      <c r="Y26" s="2767">
        <v>38168</v>
      </c>
      <c r="Z26" s="2768">
        <v>1225.8601851746901</v>
      </c>
      <c r="AA26" s="2768">
        <v>1435.26791149211</v>
      </c>
      <c r="AB26" s="2768">
        <v>1690.3542398265199</v>
      </c>
      <c r="AC26" s="2768">
        <v>2056.6241334553301</v>
      </c>
      <c r="AD26" s="2768">
        <v>2533.4714461428098</v>
      </c>
      <c r="AE26" s="2768">
        <v>2722.15013801027</v>
      </c>
      <c r="AF26" s="2768">
        <v>2538.5217102911702</v>
      </c>
      <c r="AG26" s="2768">
        <v>2145.1208531091002</v>
      </c>
      <c r="AH26" s="2768">
        <v>1781.7860195243099</v>
      </c>
      <c r="AI26" s="2768">
        <v>1555.94379526647</v>
      </c>
      <c r="AJ26" s="2768">
        <v>1409.2101928319501</v>
      </c>
      <c r="AK26" s="2768">
        <v>1301.4267376641899</v>
      </c>
      <c r="AL26" s="2768">
        <v>1221.0902374653899</v>
      </c>
      <c r="AM26" s="2768">
        <v>1160.2007774962401</v>
      </c>
      <c r="AN26" s="2768">
        <v>1106.8429066291101</v>
      </c>
      <c r="AO26" s="2766" t="s">
        <v>861</v>
      </c>
    </row>
    <row r="27" spans="1:41" ht="12.75" hidden="1" customHeight="1">
      <c r="A27" s="2759"/>
      <c r="B27" s="2765" t="s">
        <v>3276</v>
      </c>
      <c r="C27" s="2766" t="s">
        <v>3277</v>
      </c>
      <c r="D27" s="2766" t="s">
        <v>2452</v>
      </c>
      <c r="E27" s="2766" t="s">
        <v>3278</v>
      </c>
      <c r="F27" s="2766" t="s">
        <v>3279</v>
      </c>
      <c r="G27" s="2767">
        <v>34334</v>
      </c>
      <c r="H27" s="2767">
        <v>37287</v>
      </c>
      <c r="I27" s="2768">
        <v>418.91289642892201</v>
      </c>
      <c r="J27" s="2768">
        <v>481.03303131886298</v>
      </c>
      <c r="K27" s="2768">
        <v>513.28621816986401</v>
      </c>
      <c r="L27" s="2768">
        <v>522.80171066859396</v>
      </c>
      <c r="M27" s="2768">
        <v>502.08920178037698</v>
      </c>
      <c r="N27" s="2768">
        <v>484.82672486673499</v>
      </c>
      <c r="O27" s="2768">
        <v>429.04128104427002</v>
      </c>
      <c r="P27" s="2768">
        <v>748.65190572018298</v>
      </c>
      <c r="Q27" s="2768">
        <v>796.146010226214</v>
      </c>
      <c r="R27" s="2768">
        <v>807.470658631991</v>
      </c>
      <c r="S27" s="2768">
        <v>824.50176717732597</v>
      </c>
      <c r="T27" s="2768">
        <v>847.370099680674</v>
      </c>
      <c r="U27" s="2768">
        <v>850.76831401616505</v>
      </c>
      <c r="V27" s="2768">
        <v>853.60762687579404</v>
      </c>
      <c r="W27" s="2768">
        <v>856.917042956096</v>
      </c>
      <c r="X27" s="2769">
        <v>5.2449036825261898E-2</v>
      </c>
      <c r="Y27" s="2767">
        <v>34334</v>
      </c>
      <c r="Z27" s="2768">
        <v>418.91289642892201</v>
      </c>
      <c r="AA27" s="2768">
        <v>481.03303131886298</v>
      </c>
      <c r="AB27" s="2768">
        <v>513.28621816986401</v>
      </c>
      <c r="AC27" s="2768">
        <v>522.80171066859396</v>
      </c>
      <c r="AD27" s="2768">
        <v>502.08920178037698</v>
      </c>
      <c r="AE27" s="2768">
        <v>484.82672486673499</v>
      </c>
      <c r="AF27" s="2768">
        <v>429.04128104427002</v>
      </c>
      <c r="AG27" s="2768">
        <v>748.65190572018298</v>
      </c>
      <c r="AH27" s="2768">
        <v>796.146010226214</v>
      </c>
      <c r="AI27" s="2768">
        <v>807.470658631991</v>
      </c>
      <c r="AJ27" s="2768">
        <v>824.50176717732597</v>
      </c>
      <c r="AK27" s="2768">
        <v>847.370099680674</v>
      </c>
      <c r="AL27" s="2768">
        <v>850.76831401616505</v>
      </c>
      <c r="AM27" s="2768">
        <v>853.60762687579404</v>
      </c>
      <c r="AN27" s="2768">
        <v>856.917042956096</v>
      </c>
      <c r="AO27" s="2766" t="s">
        <v>861</v>
      </c>
    </row>
    <row r="28" spans="1:41" ht="12.75" hidden="1" customHeight="1">
      <c r="A28" s="2759"/>
      <c r="B28" s="2765" t="s">
        <v>3280</v>
      </c>
      <c r="C28" s="2766" t="s">
        <v>3203</v>
      </c>
      <c r="D28" s="2766" t="s">
        <v>850</v>
      </c>
      <c r="E28" s="2766" t="s">
        <v>3281</v>
      </c>
      <c r="F28" s="2766" t="s">
        <v>3243</v>
      </c>
      <c r="G28" s="2767">
        <v>41365</v>
      </c>
      <c r="H28" s="2767">
        <v>47175</v>
      </c>
      <c r="I28" s="2765" t="s">
        <v>3079</v>
      </c>
      <c r="J28" s="2765" t="s">
        <v>3079</v>
      </c>
      <c r="K28" s="2765" t="s">
        <v>3079</v>
      </c>
      <c r="L28" s="2768">
        <v>101.666666666667</v>
      </c>
      <c r="M28" s="2768">
        <v>586</v>
      </c>
      <c r="N28" s="2768">
        <v>1308</v>
      </c>
      <c r="O28" s="2768">
        <v>1407</v>
      </c>
      <c r="P28" s="2768">
        <v>1111</v>
      </c>
      <c r="Q28" s="2768">
        <v>951.34520198140797</v>
      </c>
      <c r="R28" s="2768">
        <v>859.58146654160998</v>
      </c>
      <c r="S28" s="2768">
        <v>821.29767442150501</v>
      </c>
      <c r="T28" s="2768">
        <v>792.37732463755594</v>
      </c>
      <c r="U28" s="2768">
        <v>773.28755113922796</v>
      </c>
      <c r="V28" s="2768">
        <v>743.39777764090002</v>
      </c>
      <c r="W28" s="2768">
        <v>698.70800414257201</v>
      </c>
      <c r="X28" s="2770" t="s">
        <v>13</v>
      </c>
      <c r="Y28" s="2767">
        <v>41365</v>
      </c>
      <c r="Z28" s="2765" t="s">
        <v>3079</v>
      </c>
      <c r="AA28" s="2765" t="s">
        <v>3079</v>
      </c>
      <c r="AB28" s="2765" t="s">
        <v>3079</v>
      </c>
      <c r="AC28" s="2768">
        <v>101.666666666667</v>
      </c>
      <c r="AD28" s="2768">
        <v>586</v>
      </c>
      <c r="AE28" s="2768">
        <v>1308</v>
      </c>
      <c r="AF28" s="2768">
        <v>1407</v>
      </c>
      <c r="AG28" s="2768">
        <v>1111</v>
      </c>
      <c r="AH28" s="2768">
        <v>951.34520198140797</v>
      </c>
      <c r="AI28" s="2768">
        <v>859.58146654160998</v>
      </c>
      <c r="AJ28" s="2768">
        <v>821.29767442150501</v>
      </c>
      <c r="AK28" s="2768">
        <v>792.37732463755594</v>
      </c>
      <c r="AL28" s="2768">
        <v>773.28755113922796</v>
      </c>
      <c r="AM28" s="2768">
        <v>743.39777764090002</v>
      </c>
      <c r="AN28" s="2768">
        <v>698.70800414257201</v>
      </c>
      <c r="AO28" s="2766" t="s">
        <v>861</v>
      </c>
    </row>
    <row r="29" spans="1:41" ht="12.75" hidden="1" customHeight="1">
      <c r="A29" s="2759"/>
      <c r="B29" s="2765" t="s">
        <v>3282</v>
      </c>
      <c r="C29" s="2766" t="s">
        <v>3283</v>
      </c>
      <c r="D29" s="2766" t="s">
        <v>3284</v>
      </c>
      <c r="E29" s="2766" t="s">
        <v>3285</v>
      </c>
      <c r="F29" s="2766" t="s">
        <v>3286</v>
      </c>
      <c r="G29" s="2767">
        <v>34316</v>
      </c>
      <c r="H29" s="2767">
        <v>39140</v>
      </c>
      <c r="I29" s="2768">
        <v>460.47978345344399</v>
      </c>
      <c r="J29" s="2768">
        <v>503.85983025876197</v>
      </c>
      <c r="K29" s="2768">
        <v>524.60114482290703</v>
      </c>
      <c r="L29" s="2768">
        <v>561.92213455707997</v>
      </c>
      <c r="M29" s="2768">
        <v>588.53203079039997</v>
      </c>
      <c r="N29" s="2768">
        <v>578.01996259855605</v>
      </c>
      <c r="O29" s="2768">
        <v>566.44955104349197</v>
      </c>
      <c r="P29" s="2768">
        <v>633.95278356078904</v>
      </c>
      <c r="Q29" s="2768">
        <v>688.05477830489997</v>
      </c>
      <c r="R29" s="2768">
        <v>691.62993859617802</v>
      </c>
      <c r="S29" s="2768">
        <v>698.32567262586804</v>
      </c>
      <c r="T29" s="2768">
        <v>700.68887287164102</v>
      </c>
      <c r="U29" s="2768">
        <v>698.32567262586804</v>
      </c>
      <c r="V29" s="2768">
        <v>691.62993859617802</v>
      </c>
      <c r="W29" s="2768">
        <v>685.32807127411797</v>
      </c>
      <c r="X29" s="2769">
        <v>2.8809234500437798E-2</v>
      </c>
      <c r="Y29" s="2767">
        <v>34316</v>
      </c>
      <c r="Z29" s="2768">
        <v>460.47978345344399</v>
      </c>
      <c r="AA29" s="2768">
        <v>503.85983025876197</v>
      </c>
      <c r="AB29" s="2768">
        <v>524.60114482290703</v>
      </c>
      <c r="AC29" s="2768">
        <v>561.92213455707997</v>
      </c>
      <c r="AD29" s="2768">
        <v>588.53203079039997</v>
      </c>
      <c r="AE29" s="2768">
        <v>578.01996259855605</v>
      </c>
      <c r="AF29" s="2768">
        <v>566.44955104349197</v>
      </c>
      <c r="AG29" s="2768">
        <v>633.95278356078904</v>
      </c>
      <c r="AH29" s="2768">
        <v>688.05477830489997</v>
      </c>
      <c r="AI29" s="2768">
        <v>691.62993859617802</v>
      </c>
      <c r="AJ29" s="2768">
        <v>698.32567262586804</v>
      </c>
      <c r="AK29" s="2768">
        <v>700.68887287164102</v>
      </c>
      <c r="AL29" s="2768">
        <v>698.32567262586804</v>
      </c>
      <c r="AM29" s="2768">
        <v>691.62993859617802</v>
      </c>
      <c r="AN29" s="2768">
        <v>685.32807127411797</v>
      </c>
      <c r="AO29" s="2766" t="s">
        <v>861</v>
      </c>
    </row>
    <row r="30" spans="1:41" ht="12.75" customHeight="1">
      <c r="A30" s="2759"/>
      <c r="B30" s="2765" t="s">
        <v>3287</v>
      </c>
      <c r="C30" s="2766" t="s">
        <v>3288</v>
      </c>
      <c r="D30" s="2766" t="s">
        <v>3289</v>
      </c>
      <c r="E30" s="2766" t="s">
        <v>3290</v>
      </c>
      <c r="F30" s="2766" t="s">
        <v>3258</v>
      </c>
      <c r="G30" s="2767">
        <v>38960</v>
      </c>
      <c r="H30" s="2767">
        <v>44768</v>
      </c>
      <c r="I30" s="2768">
        <v>2385</v>
      </c>
      <c r="J30" s="2768">
        <v>3324</v>
      </c>
      <c r="K30" s="2768">
        <v>4086</v>
      </c>
      <c r="L30" s="2768">
        <v>4004</v>
      </c>
      <c r="M30" s="2768">
        <v>3931</v>
      </c>
      <c r="N30" s="2768">
        <v>3863</v>
      </c>
      <c r="O30" s="2768">
        <v>3908</v>
      </c>
      <c r="P30" s="2768">
        <v>3737</v>
      </c>
      <c r="Q30" s="2768">
        <v>3693.94108986535</v>
      </c>
      <c r="R30" s="2768">
        <v>3593.2614371979998</v>
      </c>
      <c r="S30" s="2768">
        <v>3501.62156612646</v>
      </c>
      <c r="T30" s="2768">
        <v>3403.0041833938499</v>
      </c>
      <c r="U30" s="2768">
        <v>2508.2003998964601</v>
      </c>
      <c r="V30" s="2768">
        <v>1117.3553385549801</v>
      </c>
      <c r="W30" s="2768">
        <v>677.60986338442103</v>
      </c>
      <c r="X30" s="2769">
        <v>-8.5963230238154498E-2</v>
      </c>
      <c r="Y30" s="2767">
        <v>38960</v>
      </c>
      <c r="Z30" s="2768">
        <v>2385</v>
      </c>
      <c r="AA30" s="2768">
        <v>3324</v>
      </c>
      <c r="AB30" s="2768">
        <v>4086</v>
      </c>
      <c r="AC30" s="2768">
        <v>4004</v>
      </c>
      <c r="AD30" s="2768">
        <v>3931</v>
      </c>
      <c r="AE30" s="2768">
        <v>3863</v>
      </c>
      <c r="AF30" s="2768">
        <v>3908</v>
      </c>
      <c r="AG30" s="2768">
        <v>3737</v>
      </c>
      <c r="AH30" s="2768">
        <v>3693.94108986535</v>
      </c>
      <c r="AI30" s="2768">
        <v>3593.2614371979998</v>
      </c>
      <c r="AJ30" s="2768">
        <v>3501.62156612646</v>
      </c>
      <c r="AK30" s="2768">
        <v>3403.0041833938499</v>
      </c>
      <c r="AL30" s="2768">
        <v>2508.2003998964601</v>
      </c>
      <c r="AM30" s="2768">
        <v>1117.3553385549801</v>
      </c>
      <c r="AN30" s="2768">
        <v>677.60986338442103</v>
      </c>
      <c r="AO30" s="2766" t="s">
        <v>861</v>
      </c>
    </row>
    <row r="31" spans="1:41" ht="12.75" hidden="1" customHeight="1">
      <c r="A31" s="2759"/>
      <c r="B31" s="2765" t="s">
        <v>3291</v>
      </c>
      <c r="C31" s="2766" t="s">
        <v>3292</v>
      </c>
      <c r="D31" s="2766" t="s">
        <v>3254</v>
      </c>
      <c r="E31" s="2766" t="s">
        <v>3293</v>
      </c>
      <c r="F31" s="2766" t="s">
        <v>3266</v>
      </c>
      <c r="G31" s="2767">
        <v>42739</v>
      </c>
      <c r="H31" s="2767">
        <v>45869</v>
      </c>
      <c r="I31" s="2765" t="s">
        <v>3079</v>
      </c>
      <c r="J31" s="2765" t="s">
        <v>3079</v>
      </c>
      <c r="K31" s="2765" t="s">
        <v>3079</v>
      </c>
      <c r="L31" s="2765" t="s">
        <v>3079</v>
      </c>
      <c r="M31" s="2765" t="s">
        <v>3079</v>
      </c>
      <c r="N31" s="2765" t="s">
        <v>3079</v>
      </c>
      <c r="O31" s="2765" t="s">
        <v>3079</v>
      </c>
      <c r="P31" s="2768">
        <v>29.381055922603402</v>
      </c>
      <c r="Q31" s="2768">
        <v>113.38255508291699</v>
      </c>
      <c r="R31" s="2768">
        <v>237.848899090668</v>
      </c>
      <c r="S31" s="2768">
        <v>340.66176992496099</v>
      </c>
      <c r="T31" s="2768">
        <v>440.73584739189101</v>
      </c>
      <c r="U31" s="2768">
        <v>508.054404126789</v>
      </c>
      <c r="V31" s="2768">
        <v>574.58857734679896</v>
      </c>
      <c r="W31" s="2768">
        <v>640.17747046850104</v>
      </c>
      <c r="X31" s="2770" t="s">
        <v>13</v>
      </c>
      <c r="Y31" s="2767">
        <v>42739</v>
      </c>
      <c r="Z31" s="2765" t="s">
        <v>3079</v>
      </c>
      <c r="AA31" s="2765" t="s">
        <v>3079</v>
      </c>
      <c r="AB31" s="2765" t="s">
        <v>3079</v>
      </c>
      <c r="AC31" s="2765" t="s">
        <v>3079</v>
      </c>
      <c r="AD31" s="2765" t="s">
        <v>3079</v>
      </c>
      <c r="AE31" s="2765" t="s">
        <v>3079</v>
      </c>
      <c r="AF31" s="2765" t="s">
        <v>3079</v>
      </c>
      <c r="AG31" s="2768">
        <v>29.381055922603402</v>
      </c>
      <c r="AH31" s="2768">
        <v>113.38255508291699</v>
      </c>
      <c r="AI31" s="2768">
        <v>237.848899090668</v>
      </c>
      <c r="AJ31" s="2768">
        <v>340.66176992496099</v>
      </c>
      <c r="AK31" s="2768">
        <v>440.73584739189101</v>
      </c>
      <c r="AL31" s="2768">
        <v>508.054404126789</v>
      </c>
      <c r="AM31" s="2768">
        <v>574.58857734679896</v>
      </c>
      <c r="AN31" s="2768">
        <v>640.17747046850104</v>
      </c>
      <c r="AO31" s="2766" t="s">
        <v>861</v>
      </c>
    </row>
    <row r="32" spans="1:41" ht="22.5" customHeight="1">
      <c r="A32" s="2759"/>
      <c r="B32" s="2765" t="s">
        <v>3294</v>
      </c>
      <c r="C32" s="2766" t="s">
        <v>3295</v>
      </c>
      <c r="D32" s="2766" t="s">
        <v>3289</v>
      </c>
      <c r="E32" s="2766" t="s">
        <v>3296</v>
      </c>
      <c r="F32" s="2766" t="s">
        <v>3297</v>
      </c>
      <c r="G32" s="2767">
        <v>39202</v>
      </c>
      <c r="H32" s="2767">
        <v>44768</v>
      </c>
      <c r="I32" s="2768">
        <v>954</v>
      </c>
      <c r="J32" s="2768">
        <v>1363</v>
      </c>
      <c r="K32" s="2768">
        <v>1659</v>
      </c>
      <c r="L32" s="2768">
        <v>1829</v>
      </c>
      <c r="M32" s="2768">
        <v>2071</v>
      </c>
      <c r="N32" s="2768">
        <v>2151</v>
      </c>
      <c r="O32" s="2768">
        <v>2201</v>
      </c>
      <c r="P32" s="2768">
        <v>2158</v>
      </c>
      <c r="Q32" s="2768">
        <v>2240.3749064623698</v>
      </c>
      <c r="R32" s="2768">
        <v>2239.2067113199901</v>
      </c>
      <c r="S32" s="2768">
        <v>2228.3231913353802</v>
      </c>
      <c r="T32" s="2768">
        <v>2199.3362612036199</v>
      </c>
      <c r="U32" s="2768">
        <v>1714.9816771494</v>
      </c>
      <c r="V32" s="2768">
        <v>963.97388491117795</v>
      </c>
      <c r="W32" s="2768">
        <v>608.51472838956704</v>
      </c>
      <c r="X32" s="2769">
        <v>-3.16070416284807E-2</v>
      </c>
      <c r="Y32" s="2767">
        <v>39202</v>
      </c>
      <c r="Z32" s="2768">
        <v>954</v>
      </c>
      <c r="AA32" s="2768">
        <v>1363</v>
      </c>
      <c r="AB32" s="2768">
        <v>1659</v>
      </c>
      <c r="AC32" s="2768">
        <v>1829</v>
      </c>
      <c r="AD32" s="2768">
        <v>2071</v>
      </c>
      <c r="AE32" s="2768">
        <v>2151</v>
      </c>
      <c r="AF32" s="2768">
        <v>2201</v>
      </c>
      <c r="AG32" s="2768">
        <v>2158</v>
      </c>
      <c r="AH32" s="2768">
        <v>2240.3749064623698</v>
      </c>
      <c r="AI32" s="2768">
        <v>2239.2067113199901</v>
      </c>
      <c r="AJ32" s="2768">
        <v>2228.3231913353802</v>
      </c>
      <c r="AK32" s="2768">
        <v>2199.3362612036199</v>
      </c>
      <c r="AL32" s="2768">
        <v>1714.9816771494</v>
      </c>
      <c r="AM32" s="2768">
        <v>963.97388491117795</v>
      </c>
      <c r="AN32" s="2768">
        <v>608.51472838956704</v>
      </c>
      <c r="AO32" s="2766" t="s">
        <v>861</v>
      </c>
    </row>
    <row r="33" spans="1:41" ht="12.75" hidden="1" customHeight="1">
      <c r="A33" s="2759"/>
      <c r="B33" s="2765" t="s">
        <v>3298</v>
      </c>
      <c r="C33" s="2766" t="s">
        <v>3299</v>
      </c>
      <c r="D33" s="2766" t="s">
        <v>3071</v>
      </c>
      <c r="E33" s="2766" t="s">
        <v>3250</v>
      </c>
      <c r="F33" s="2766" t="s">
        <v>3245</v>
      </c>
      <c r="G33" s="2767">
        <v>42766</v>
      </c>
      <c r="H33" s="2767">
        <v>47483</v>
      </c>
      <c r="I33" s="2765" t="s">
        <v>3079</v>
      </c>
      <c r="J33" s="2765" t="s">
        <v>3079</v>
      </c>
      <c r="K33" s="2765" t="s">
        <v>3079</v>
      </c>
      <c r="L33" s="2765" t="s">
        <v>3079</v>
      </c>
      <c r="M33" s="2765" t="s">
        <v>3079</v>
      </c>
      <c r="N33" s="2765" t="s">
        <v>3079</v>
      </c>
      <c r="O33" s="2765" t="s">
        <v>3079</v>
      </c>
      <c r="P33" s="2768">
        <v>10.121853092107999</v>
      </c>
      <c r="Q33" s="2768">
        <v>74.122362922611501</v>
      </c>
      <c r="R33" s="2768">
        <v>169.38333864034001</v>
      </c>
      <c r="S33" s="2768">
        <v>271.15454261148199</v>
      </c>
      <c r="T33" s="2768">
        <v>366.89707213698199</v>
      </c>
      <c r="U33" s="2768">
        <v>453.89032081018098</v>
      </c>
      <c r="V33" s="2768">
        <v>531.77906404816895</v>
      </c>
      <c r="W33" s="2768">
        <v>597.88561840378395</v>
      </c>
      <c r="X33" s="2770" t="s">
        <v>13</v>
      </c>
      <c r="Y33" s="2767">
        <v>42766</v>
      </c>
      <c r="Z33" s="2765" t="s">
        <v>3079</v>
      </c>
      <c r="AA33" s="2765" t="s">
        <v>3079</v>
      </c>
      <c r="AB33" s="2765" t="s">
        <v>3079</v>
      </c>
      <c r="AC33" s="2765" t="s">
        <v>3079</v>
      </c>
      <c r="AD33" s="2765" t="s">
        <v>3079</v>
      </c>
      <c r="AE33" s="2765" t="s">
        <v>3079</v>
      </c>
      <c r="AF33" s="2765" t="s">
        <v>3079</v>
      </c>
      <c r="AG33" s="2768">
        <v>12.823926901998</v>
      </c>
      <c r="AH33" s="2768">
        <v>93.909658169616606</v>
      </c>
      <c r="AI33" s="2768">
        <v>214.60097606373299</v>
      </c>
      <c r="AJ33" s="2768">
        <v>343.54045666850902</v>
      </c>
      <c r="AK33" s="2768">
        <v>464.84188130632901</v>
      </c>
      <c r="AL33" s="2768">
        <v>575.05836556080396</v>
      </c>
      <c r="AM33" s="2768">
        <v>673.73985606289898</v>
      </c>
      <c r="AN33" s="2768">
        <v>757.493849831131</v>
      </c>
      <c r="AO33" s="2766" t="s">
        <v>861</v>
      </c>
    </row>
    <row r="34" spans="1:41" ht="12.75" hidden="1" customHeight="1">
      <c r="A34" s="2759"/>
      <c r="B34" s="2765" t="s">
        <v>3300</v>
      </c>
      <c r="C34" s="2766" t="s">
        <v>3188</v>
      </c>
      <c r="D34" s="2766" t="s">
        <v>2791</v>
      </c>
      <c r="E34" s="2766" t="s">
        <v>3301</v>
      </c>
      <c r="F34" s="2766" t="s">
        <v>3073</v>
      </c>
      <c r="G34" s="2767">
        <v>40750</v>
      </c>
      <c r="H34" s="2767">
        <v>45933</v>
      </c>
      <c r="I34" s="2765" t="s">
        <v>3079</v>
      </c>
      <c r="J34" s="2765" t="s">
        <v>3079</v>
      </c>
      <c r="K34" s="2765" t="s">
        <v>3079</v>
      </c>
      <c r="L34" s="2765" t="s">
        <v>3079</v>
      </c>
      <c r="M34" s="2768">
        <v>440</v>
      </c>
      <c r="N34" s="2768">
        <v>580</v>
      </c>
      <c r="O34" s="2768">
        <v>578</v>
      </c>
      <c r="P34" s="2768">
        <v>574</v>
      </c>
      <c r="Q34" s="2768">
        <v>586.06052163772802</v>
      </c>
      <c r="R34" s="2768">
        <v>604.45693910298803</v>
      </c>
      <c r="S34" s="2768">
        <v>610.83682779954995</v>
      </c>
      <c r="T34" s="2768">
        <v>618.13781983908495</v>
      </c>
      <c r="U34" s="2768">
        <v>621.21533099809403</v>
      </c>
      <c r="V34" s="2768">
        <v>609.15578682112903</v>
      </c>
      <c r="W34" s="2768">
        <v>591.30763019464098</v>
      </c>
      <c r="X34" s="2770" t="s">
        <v>13</v>
      </c>
      <c r="Y34" s="2767">
        <v>40750</v>
      </c>
      <c r="Z34" s="2765" t="s">
        <v>3079</v>
      </c>
      <c r="AA34" s="2765" t="s">
        <v>3079</v>
      </c>
      <c r="AB34" s="2765" t="s">
        <v>3079</v>
      </c>
      <c r="AC34" s="2765" t="s">
        <v>3079</v>
      </c>
      <c r="AD34" s="2768">
        <v>440</v>
      </c>
      <c r="AE34" s="2768">
        <v>580</v>
      </c>
      <c r="AF34" s="2768">
        <v>578</v>
      </c>
      <c r="AG34" s="2768">
        <v>574</v>
      </c>
      <c r="AH34" s="2768">
        <v>586.06052163772802</v>
      </c>
      <c r="AI34" s="2768">
        <v>604.45693910298803</v>
      </c>
      <c r="AJ34" s="2768">
        <v>610.83682779954995</v>
      </c>
      <c r="AK34" s="2768">
        <v>618.13781983908495</v>
      </c>
      <c r="AL34" s="2768">
        <v>621.21533099809403</v>
      </c>
      <c r="AM34" s="2768">
        <v>609.15578682112903</v>
      </c>
      <c r="AN34" s="2768">
        <v>591.30763019464098</v>
      </c>
      <c r="AO34" s="2766" t="s">
        <v>861</v>
      </c>
    </row>
    <row r="35" spans="1:41" ht="22.5" hidden="1" customHeight="1">
      <c r="A35" s="2759"/>
      <c r="B35" s="2765" t="s">
        <v>3302</v>
      </c>
      <c r="C35" s="2766" t="s">
        <v>3303</v>
      </c>
      <c r="D35" s="2766" t="s">
        <v>3289</v>
      </c>
      <c r="E35" s="2766" t="s">
        <v>3304</v>
      </c>
      <c r="F35" s="2766" t="s">
        <v>3253</v>
      </c>
      <c r="G35" s="2767">
        <v>43131</v>
      </c>
      <c r="H35" s="2767">
        <v>47848</v>
      </c>
      <c r="I35" s="2765" t="s">
        <v>3079</v>
      </c>
      <c r="J35" s="2765" t="s">
        <v>3079</v>
      </c>
      <c r="K35" s="2765" t="s">
        <v>3079</v>
      </c>
      <c r="L35" s="2765" t="s">
        <v>3079</v>
      </c>
      <c r="M35" s="2765" t="s">
        <v>3079</v>
      </c>
      <c r="N35" s="2765" t="s">
        <v>3079</v>
      </c>
      <c r="O35" s="2765" t="s">
        <v>3079</v>
      </c>
      <c r="P35" s="2765" t="s">
        <v>3079</v>
      </c>
      <c r="Q35" s="2768">
        <v>54.481625792912503</v>
      </c>
      <c r="R35" s="2768">
        <v>155.786438613889</v>
      </c>
      <c r="S35" s="2768">
        <v>241.35375722543401</v>
      </c>
      <c r="T35" s="2768">
        <v>344.184920268307</v>
      </c>
      <c r="U35" s="2768">
        <v>432.446155435977</v>
      </c>
      <c r="V35" s="2768">
        <v>511.67061984347703</v>
      </c>
      <c r="W35" s="2768">
        <v>583.86404928790398</v>
      </c>
      <c r="X35" s="2770" t="s">
        <v>13</v>
      </c>
      <c r="Y35" s="2767">
        <v>43131</v>
      </c>
      <c r="Z35" s="2765" t="s">
        <v>3079</v>
      </c>
      <c r="AA35" s="2765" t="s">
        <v>3079</v>
      </c>
      <c r="AB35" s="2765" t="s">
        <v>3079</v>
      </c>
      <c r="AC35" s="2765" t="s">
        <v>3079</v>
      </c>
      <c r="AD35" s="2765" t="s">
        <v>3079</v>
      </c>
      <c r="AE35" s="2765" t="s">
        <v>3079</v>
      </c>
      <c r="AF35" s="2765" t="s">
        <v>3079</v>
      </c>
      <c r="AG35" s="2765" t="s">
        <v>3079</v>
      </c>
      <c r="AH35" s="2768">
        <v>54.481625792912503</v>
      </c>
      <c r="AI35" s="2768">
        <v>155.786438613889</v>
      </c>
      <c r="AJ35" s="2768">
        <v>241.35375722543401</v>
      </c>
      <c r="AK35" s="2768">
        <v>344.184920268307</v>
      </c>
      <c r="AL35" s="2768">
        <v>432.446155435977</v>
      </c>
      <c r="AM35" s="2768">
        <v>511.67061984347703</v>
      </c>
      <c r="AN35" s="2768">
        <v>583.86404928790398</v>
      </c>
      <c r="AO35" s="2766" t="s">
        <v>861</v>
      </c>
    </row>
    <row r="36" spans="1:41" ht="12.75" hidden="1" customHeight="1">
      <c r="A36" s="2759"/>
      <c r="B36" s="2765" t="s">
        <v>3305</v>
      </c>
      <c r="C36" s="2766" t="s">
        <v>3306</v>
      </c>
      <c r="D36" s="2766" t="s">
        <v>3289</v>
      </c>
      <c r="E36" s="2766" t="s">
        <v>3307</v>
      </c>
      <c r="F36" s="2766" t="s">
        <v>3243</v>
      </c>
      <c r="G36" s="2767">
        <v>43131</v>
      </c>
      <c r="H36" s="2767">
        <v>47647</v>
      </c>
      <c r="I36" s="2765" t="s">
        <v>3079</v>
      </c>
      <c r="J36" s="2765" t="s">
        <v>3079</v>
      </c>
      <c r="K36" s="2765" t="s">
        <v>3079</v>
      </c>
      <c r="L36" s="2765" t="s">
        <v>3079</v>
      </c>
      <c r="M36" s="2765" t="s">
        <v>3079</v>
      </c>
      <c r="N36" s="2765" t="s">
        <v>3079</v>
      </c>
      <c r="O36" s="2765" t="s">
        <v>3079</v>
      </c>
      <c r="P36" s="2765" t="s">
        <v>3079</v>
      </c>
      <c r="Q36" s="2768">
        <v>47.5831240553726</v>
      </c>
      <c r="R36" s="2768">
        <v>128.906511665849</v>
      </c>
      <c r="S36" s="2768">
        <v>238.12774566473999</v>
      </c>
      <c r="T36" s="2768">
        <v>325.27404783901602</v>
      </c>
      <c r="U36" s="2768">
        <v>413.738306738414</v>
      </c>
      <c r="V36" s="2768">
        <v>501.48180309391398</v>
      </c>
      <c r="W36" s="2768">
        <v>572.10185167725797</v>
      </c>
      <c r="X36" s="2770" t="s">
        <v>13</v>
      </c>
      <c r="Y36" s="2767">
        <v>43131</v>
      </c>
      <c r="Z36" s="2765" t="s">
        <v>3079</v>
      </c>
      <c r="AA36" s="2765" t="s">
        <v>3079</v>
      </c>
      <c r="AB36" s="2765" t="s">
        <v>3079</v>
      </c>
      <c r="AC36" s="2765" t="s">
        <v>3079</v>
      </c>
      <c r="AD36" s="2765" t="s">
        <v>3079</v>
      </c>
      <c r="AE36" s="2765" t="s">
        <v>3079</v>
      </c>
      <c r="AF36" s="2765" t="s">
        <v>3079</v>
      </c>
      <c r="AG36" s="2765" t="s">
        <v>3079</v>
      </c>
      <c r="AH36" s="2768">
        <v>47.5831240553726</v>
      </c>
      <c r="AI36" s="2768">
        <v>128.906511665849</v>
      </c>
      <c r="AJ36" s="2768">
        <v>238.12774566473999</v>
      </c>
      <c r="AK36" s="2768">
        <v>325.27404783901602</v>
      </c>
      <c r="AL36" s="2768">
        <v>413.738306738414</v>
      </c>
      <c r="AM36" s="2768">
        <v>501.48180309391398</v>
      </c>
      <c r="AN36" s="2768">
        <v>572.10185167725797</v>
      </c>
      <c r="AO36" s="2766" t="s">
        <v>861</v>
      </c>
    </row>
    <row r="37" spans="1:41" ht="12.75" hidden="1" customHeight="1">
      <c r="A37" s="2759"/>
      <c r="B37" s="2765" t="s">
        <v>3308</v>
      </c>
      <c r="C37" s="2766" t="s">
        <v>3309</v>
      </c>
      <c r="D37" s="2766" t="s">
        <v>3123</v>
      </c>
      <c r="E37" s="2766" t="s">
        <v>3310</v>
      </c>
      <c r="F37" s="2766" t="s">
        <v>3258</v>
      </c>
      <c r="G37" s="2767">
        <v>40344</v>
      </c>
      <c r="H37" s="2767">
        <v>46931</v>
      </c>
      <c r="I37" s="2768">
        <v>18.716594834393799</v>
      </c>
      <c r="J37" s="2768">
        <v>196.416624849958</v>
      </c>
      <c r="K37" s="2768">
        <v>457.27308099383202</v>
      </c>
      <c r="L37" s="2768">
        <v>403.44700258489001</v>
      </c>
      <c r="M37" s="2768">
        <v>404.902756791424</v>
      </c>
      <c r="N37" s="2768">
        <v>407.56930150891799</v>
      </c>
      <c r="O37" s="2768">
        <v>454.13689784319899</v>
      </c>
      <c r="P37" s="2768">
        <v>484.62613553326099</v>
      </c>
      <c r="Q37" s="2768">
        <v>512.33522861701294</v>
      </c>
      <c r="R37" s="2768">
        <v>528.90110564861197</v>
      </c>
      <c r="S37" s="2768">
        <v>536.60536422291295</v>
      </c>
      <c r="T37" s="2768">
        <v>547.36966389533097</v>
      </c>
      <c r="U37" s="2768">
        <v>554.64584571175601</v>
      </c>
      <c r="V37" s="2768">
        <v>560.06599142606296</v>
      </c>
      <c r="W37" s="2768">
        <v>564.21910692686504</v>
      </c>
      <c r="X37" s="2769">
        <v>0.27543590668652201</v>
      </c>
      <c r="Y37" s="2767">
        <v>40344</v>
      </c>
      <c r="Z37" s="2768">
        <v>18.716594834393799</v>
      </c>
      <c r="AA37" s="2768">
        <v>196.416624849958</v>
      </c>
      <c r="AB37" s="2768">
        <v>457.27308099383202</v>
      </c>
      <c r="AC37" s="2768">
        <v>403.44700258489001</v>
      </c>
      <c r="AD37" s="2768">
        <v>404.902756791424</v>
      </c>
      <c r="AE37" s="2768">
        <v>407.56930150891799</v>
      </c>
      <c r="AF37" s="2768">
        <v>454.13689784319899</v>
      </c>
      <c r="AG37" s="2768">
        <v>484.62613553326099</v>
      </c>
      <c r="AH37" s="2768">
        <v>512.33522861701294</v>
      </c>
      <c r="AI37" s="2768">
        <v>528.90110564861197</v>
      </c>
      <c r="AJ37" s="2768">
        <v>536.60536422291295</v>
      </c>
      <c r="AK37" s="2768">
        <v>547.36966389533097</v>
      </c>
      <c r="AL37" s="2768">
        <v>554.64584571175601</v>
      </c>
      <c r="AM37" s="2768">
        <v>560.06599142606296</v>
      </c>
      <c r="AN37" s="2768">
        <v>564.21910692686504</v>
      </c>
      <c r="AO37" s="2766" t="s">
        <v>861</v>
      </c>
    </row>
    <row r="38" spans="1:41" ht="12.75" customHeight="1">
      <c r="A38" s="2759"/>
      <c r="B38" s="2765" t="s">
        <v>3311</v>
      </c>
      <c r="C38" s="2766" t="s">
        <v>3312</v>
      </c>
      <c r="D38" s="2766" t="s">
        <v>3313</v>
      </c>
      <c r="E38" s="2766" t="s">
        <v>3314</v>
      </c>
      <c r="F38" s="2766" t="s">
        <v>3258</v>
      </c>
      <c r="G38" s="2767">
        <v>39263</v>
      </c>
      <c r="H38" s="2767">
        <v>44926</v>
      </c>
      <c r="I38" s="2768">
        <v>391</v>
      </c>
      <c r="J38" s="2768">
        <v>677</v>
      </c>
      <c r="K38" s="2768">
        <v>910</v>
      </c>
      <c r="L38" s="2768">
        <v>1200</v>
      </c>
      <c r="M38" s="2768">
        <v>1224</v>
      </c>
      <c r="N38" s="2768">
        <v>1140</v>
      </c>
      <c r="O38" s="2768">
        <v>1193</v>
      </c>
      <c r="P38" s="2768">
        <v>1233</v>
      </c>
      <c r="Q38" s="2768">
        <v>1311.5615228673801</v>
      </c>
      <c r="R38" s="2768">
        <v>1346.1599190107499</v>
      </c>
      <c r="S38" s="2768">
        <v>1381.73884136128</v>
      </c>
      <c r="T38" s="2768">
        <v>1415.9341283573499</v>
      </c>
      <c r="U38" s="2768">
        <v>1118.2989299306801</v>
      </c>
      <c r="V38" s="2768">
        <v>694.49439400597998</v>
      </c>
      <c r="W38" s="2768">
        <v>554.26110090453994</v>
      </c>
      <c r="X38" s="2769">
        <v>2.5236636901375498E-2</v>
      </c>
      <c r="Y38" s="2767">
        <v>39263</v>
      </c>
      <c r="Z38" s="2768">
        <v>391</v>
      </c>
      <c r="AA38" s="2768">
        <v>677</v>
      </c>
      <c r="AB38" s="2768">
        <v>910</v>
      </c>
      <c r="AC38" s="2768">
        <v>1200</v>
      </c>
      <c r="AD38" s="2768">
        <v>1224</v>
      </c>
      <c r="AE38" s="2768">
        <v>1140</v>
      </c>
      <c r="AF38" s="2768">
        <v>1193</v>
      </c>
      <c r="AG38" s="2768">
        <v>1233</v>
      </c>
      <c r="AH38" s="2768">
        <v>1311.5615228673801</v>
      </c>
      <c r="AI38" s="2768">
        <v>1346.1599190107499</v>
      </c>
      <c r="AJ38" s="2768">
        <v>1381.73884136128</v>
      </c>
      <c r="AK38" s="2768">
        <v>1415.9341283573499</v>
      </c>
      <c r="AL38" s="2768">
        <v>1118.2989299306801</v>
      </c>
      <c r="AM38" s="2768">
        <v>694.49439400597998</v>
      </c>
      <c r="AN38" s="2768">
        <v>554.26110090453994</v>
      </c>
      <c r="AO38" s="2766" t="s">
        <v>861</v>
      </c>
    </row>
    <row r="39" spans="1:41" ht="12.75" hidden="1" customHeight="1">
      <c r="A39" s="2759"/>
      <c r="B39" s="2765" t="s">
        <v>3315</v>
      </c>
      <c r="C39" s="2766" t="s">
        <v>3316</v>
      </c>
      <c r="D39" s="2766" t="s">
        <v>3317</v>
      </c>
      <c r="E39" s="2766" t="s">
        <v>3318</v>
      </c>
      <c r="F39" s="2766" t="s">
        <v>3319</v>
      </c>
      <c r="G39" s="2767">
        <v>26313</v>
      </c>
      <c r="H39" s="2765" t="s">
        <v>3079</v>
      </c>
      <c r="I39" s="2768">
        <v>624.12827272963398</v>
      </c>
      <c r="J39" s="2768">
        <v>641.55338059340102</v>
      </c>
      <c r="K39" s="2768">
        <v>597.250424754454</v>
      </c>
      <c r="L39" s="2768">
        <v>603.63672428591701</v>
      </c>
      <c r="M39" s="2768">
        <v>624.16208003137206</v>
      </c>
      <c r="N39" s="2768">
        <v>528.28991444155804</v>
      </c>
      <c r="O39" s="2768">
        <v>510.83509280076601</v>
      </c>
      <c r="P39" s="2768">
        <v>508.23069870600602</v>
      </c>
      <c r="Q39" s="2768">
        <v>549.68717960383594</v>
      </c>
      <c r="R39" s="2768">
        <v>543.536056527749</v>
      </c>
      <c r="S39" s="2768">
        <v>543.536056527749</v>
      </c>
      <c r="T39" s="2768">
        <v>543.536056527749</v>
      </c>
      <c r="U39" s="2768">
        <v>543.536056527749</v>
      </c>
      <c r="V39" s="2768">
        <v>543.536056527749</v>
      </c>
      <c r="W39" s="2768">
        <v>543.536056527749</v>
      </c>
      <c r="X39" s="2769">
        <v>-9.8271001321617001E-3</v>
      </c>
      <c r="Y39" s="2767">
        <v>26313</v>
      </c>
      <c r="Z39" s="2768">
        <v>624.12827272963398</v>
      </c>
      <c r="AA39" s="2768">
        <v>641.55338059340102</v>
      </c>
      <c r="AB39" s="2768">
        <v>597.250424754454</v>
      </c>
      <c r="AC39" s="2768">
        <v>603.63672428591701</v>
      </c>
      <c r="AD39" s="2768">
        <v>624.16208003137206</v>
      </c>
      <c r="AE39" s="2768">
        <v>528.28991444155804</v>
      </c>
      <c r="AF39" s="2768">
        <v>510.83509280076601</v>
      </c>
      <c r="AG39" s="2768">
        <v>508.23069870600602</v>
      </c>
      <c r="AH39" s="2768">
        <v>549.68717960383594</v>
      </c>
      <c r="AI39" s="2768">
        <v>543.536056527749</v>
      </c>
      <c r="AJ39" s="2768">
        <v>543.536056527749</v>
      </c>
      <c r="AK39" s="2768">
        <v>543.536056527749</v>
      </c>
      <c r="AL39" s="2768">
        <v>543.536056527749</v>
      </c>
      <c r="AM39" s="2768">
        <v>543.536056527749</v>
      </c>
      <c r="AN39" s="2768">
        <v>543.536056527749</v>
      </c>
      <c r="AO39" s="2766" t="s">
        <v>861</v>
      </c>
    </row>
    <row r="40" spans="1:41" ht="12.75" hidden="1" customHeight="1">
      <c r="A40" s="2759"/>
      <c r="B40" s="2765" t="s">
        <v>3320</v>
      </c>
      <c r="C40" s="2766" t="s">
        <v>3321</v>
      </c>
      <c r="D40" s="2766" t="s">
        <v>3071</v>
      </c>
      <c r="E40" s="2766" t="s">
        <v>3322</v>
      </c>
      <c r="F40" s="2766" t="s">
        <v>3245</v>
      </c>
      <c r="G40" s="2767">
        <v>36433</v>
      </c>
      <c r="H40" s="2767">
        <v>41920</v>
      </c>
      <c r="I40" s="2768">
        <v>318.43700866065302</v>
      </c>
      <c r="J40" s="2768">
        <v>348.19256440522298</v>
      </c>
      <c r="K40" s="2768">
        <v>342.34045569778402</v>
      </c>
      <c r="L40" s="2768">
        <v>339.10927933591501</v>
      </c>
      <c r="M40" s="2768">
        <v>328.14197307926497</v>
      </c>
      <c r="N40" s="2768">
        <v>339.76991388223098</v>
      </c>
      <c r="O40" s="2768">
        <v>321.657661123249</v>
      </c>
      <c r="P40" s="2768">
        <v>387.49189534183898</v>
      </c>
      <c r="Q40" s="2768">
        <v>522.13841198091905</v>
      </c>
      <c r="R40" s="2768">
        <v>511.32430067771003</v>
      </c>
      <c r="S40" s="2768">
        <v>501.65601102167301</v>
      </c>
      <c r="T40" s="2768">
        <v>497.002234628564</v>
      </c>
      <c r="U40" s="2768">
        <v>494.41562049543199</v>
      </c>
      <c r="V40" s="2768">
        <v>485.99935465243198</v>
      </c>
      <c r="W40" s="2768">
        <v>477.89935687398003</v>
      </c>
      <c r="X40" s="2769">
        <v>2.94227914691934E-2</v>
      </c>
      <c r="Y40" s="2767">
        <v>36433</v>
      </c>
      <c r="Z40" s="2768">
        <v>394.48465842685698</v>
      </c>
      <c r="AA40" s="2768">
        <v>431.34629801318403</v>
      </c>
      <c r="AB40" s="2768">
        <v>433.72976662624001</v>
      </c>
      <c r="AC40" s="2768">
        <v>429.636013328795</v>
      </c>
      <c r="AD40" s="2768">
        <v>415.740935770639</v>
      </c>
      <c r="AE40" s="2768">
        <v>430.473007212602</v>
      </c>
      <c r="AF40" s="2768">
        <v>407.52560782851202</v>
      </c>
      <c r="AG40" s="2768">
        <v>490.93458438503399</v>
      </c>
      <c r="AH40" s="2768">
        <v>661.52558894471497</v>
      </c>
      <c r="AI40" s="2768">
        <v>647.82460241582305</v>
      </c>
      <c r="AJ40" s="2768">
        <v>635.57531973130699</v>
      </c>
      <c r="AK40" s="2768">
        <v>629.67919698180901</v>
      </c>
      <c r="AL40" s="2768">
        <v>626.40207467375603</v>
      </c>
      <c r="AM40" s="2768">
        <v>615.73904914115303</v>
      </c>
      <c r="AN40" s="2768">
        <v>605.47672084296596</v>
      </c>
      <c r="AO40" s="2766" t="s">
        <v>861</v>
      </c>
    </row>
    <row r="41" spans="1:41" ht="12.75" hidden="1" customHeight="1">
      <c r="A41" s="2759"/>
      <c r="B41" s="2765" t="s">
        <v>3323</v>
      </c>
      <c r="C41" s="2766" t="s">
        <v>3324</v>
      </c>
      <c r="D41" s="2766" t="s">
        <v>3071</v>
      </c>
      <c r="E41" s="2766" t="s">
        <v>3325</v>
      </c>
      <c r="F41" s="2766" t="s">
        <v>3245</v>
      </c>
      <c r="G41" s="2767">
        <v>41883</v>
      </c>
      <c r="H41" s="2767">
        <v>47386</v>
      </c>
      <c r="I41" s="2765" t="s">
        <v>3079</v>
      </c>
      <c r="J41" s="2765" t="s">
        <v>3079</v>
      </c>
      <c r="K41" s="2765" t="s">
        <v>3079</v>
      </c>
      <c r="L41" s="2765" t="s">
        <v>3079</v>
      </c>
      <c r="M41" s="2765" t="s">
        <v>3079</v>
      </c>
      <c r="N41" s="2768">
        <v>19.535414841747698</v>
      </c>
      <c r="O41" s="2768">
        <v>22.988562136245999</v>
      </c>
      <c r="P41" s="2768">
        <v>59.004167314183903</v>
      </c>
      <c r="Q41" s="2768">
        <v>95.343126124994399</v>
      </c>
      <c r="R41" s="2768">
        <v>131.88608579745099</v>
      </c>
      <c r="S41" s="2768">
        <v>174.05440428044801</v>
      </c>
      <c r="T41" s="2768">
        <v>219.66333316695801</v>
      </c>
      <c r="U41" s="2768">
        <v>261.52654086329602</v>
      </c>
      <c r="V41" s="2768">
        <v>324.916364942901</v>
      </c>
      <c r="W41" s="2768">
        <v>388.094721001072</v>
      </c>
      <c r="X41" s="2770" t="s">
        <v>13</v>
      </c>
      <c r="Y41" s="2767">
        <v>41883</v>
      </c>
      <c r="Z41" s="2765" t="s">
        <v>3079</v>
      </c>
      <c r="AA41" s="2765" t="s">
        <v>3079</v>
      </c>
      <c r="AB41" s="2765" t="s">
        <v>3079</v>
      </c>
      <c r="AC41" s="2765" t="s">
        <v>3079</v>
      </c>
      <c r="AD41" s="2765" t="s">
        <v>3079</v>
      </c>
      <c r="AE41" s="2768">
        <v>24.750480929832001</v>
      </c>
      <c r="AF41" s="2768">
        <v>29.125461290000001</v>
      </c>
      <c r="AG41" s="2768">
        <v>74.755592841030904</v>
      </c>
      <c r="AH41" s="2768">
        <v>120.79539871886</v>
      </c>
      <c r="AI41" s="2768">
        <v>167.093664397862</v>
      </c>
      <c r="AJ41" s="2768">
        <v>220.5190035018</v>
      </c>
      <c r="AK41" s="2768">
        <v>278.30343929598098</v>
      </c>
      <c r="AL41" s="2768">
        <v>331.34221692846597</v>
      </c>
      <c r="AM41" s="2768">
        <v>411.65423716132199</v>
      </c>
      <c r="AN41" s="2768">
        <v>491.69833704161999</v>
      </c>
      <c r="AO41" s="2766" t="s">
        <v>861</v>
      </c>
    </row>
    <row r="42" spans="1:41" ht="12.75" hidden="1" customHeight="1">
      <c r="A42" s="2759"/>
      <c r="B42" s="2765" t="s">
        <v>3326</v>
      </c>
      <c r="C42" s="2766" t="s">
        <v>3327</v>
      </c>
      <c r="D42" s="2766" t="s">
        <v>3254</v>
      </c>
      <c r="E42" s="2766" t="s">
        <v>3328</v>
      </c>
      <c r="F42" s="2766" t="s">
        <v>3319</v>
      </c>
      <c r="G42" s="2767">
        <v>35155</v>
      </c>
      <c r="H42" s="2767">
        <v>38631</v>
      </c>
      <c r="I42" s="2768">
        <v>634.32085444019106</v>
      </c>
      <c r="J42" s="2768">
        <v>606.85880108513902</v>
      </c>
      <c r="K42" s="2768">
        <v>541.31637737853896</v>
      </c>
      <c r="L42" s="2768">
        <v>498.15792070663099</v>
      </c>
      <c r="M42" s="2768">
        <v>478.26530718858697</v>
      </c>
      <c r="N42" s="2768">
        <v>436.01121938816198</v>
      </c>
      <c r="O42" s="2768">
        <v>400.49753413621897</v>
      </c>
      <c r="P42" s="2768">
        <v>380.823686381436</v>
      </c>
      <c r="Q42" s="2768">
        <v>383.30477965992299</v>
      </c>
      <c r="R42" s="2768">
        <v>379.54584908580301</v>
      </c>
      <c r="S42" s="2768">
        <v>379.41053322099998</v>
      </c>
      <c r="T42" s="2768">
        <v>379.98311989525001</v>
      </c>
      <c r="U42" s="2768">
        <v>379.48138143078199</v>
      </c>
      <c r="V42" s="2768">
        <v>379.05277473874099</v>
      </c>
      <c r="W42" s="2768">
        <v>378.05384343743299</v>
      </c>
      <c r="X42" s="2769">
        <v>-3.6290705192618997E-2</v>
      </c>
      <c r="Y42" s="2767">
        <v>35155</v>
      </c>
      <c r="Z42" s="2768">
        <v>634.32085444019106</v>
      </c>
      <c r="AA42" s="2768">
        <v>606.85880108513902</v>
      </c>
      <c r="AB42" s="2768">
        <v>541.31637737853896</v>
      </c>
      <c r="AC42" s="2768">
        <v>498.15792070663099</v>
      </c>
      <c r="AD42" s="2768">
        <v>478.26530718858697</v>
      </c>
      <c r="AE42" s="2768">
        <v>436.01121938816198</v>
      </c>
      <c r="AF42" s="2768">
        <v>400.49753413621897</v>
      </c>
      <c r="AG42" s="2768">
        <v>380.823686381436</v>
      </c>
      <c r="AH42" s="2768">
        <v>383.30477965992299</v>
      </c>
      <c r="AI42" s="2768">
        <v>379.54584908580301</v>
      </c>
      <c r="AJ42" s="2768">
        <v>379.41053322099998</v>
      </c>
      <c r="AK42" s="2768">
        <v>379.98311989525001</v>
      </c>
      <c r="AL42" s="2768">
        <v>379.48138143078199</v>
      </c>
      <c r="AM42" s="2768">
        <v>379.05277473874099</v>
      </c>
      <c r="AN42" s="2768">
        <v>378.05384343743299</v>
      </c>
      <c r="AO42" s="2766" t="s">
        <v>861</v>
      </c>
    </row>
    <row r="43" spans="1:41" ht="12.75" hidden="1" customHeight="1">
      <c r="A43" s="2759"/>
      <c r="B43" s="2765" t="s">
        <v>3329</v>
      </c>
      <c r="C43" s="2766" t="s">
        <v>3330</v>
      </c>
      <c r="D43" s="2766" t="s">
        <v>2791</v>
      </c>
      <c r="E43" s="2766" t="s">
        <v>3331</v>
      </c>
      <c r="F43" s="2766" t="s">
        <v>3258</v>
      </c>
      <c r="G43" s="2767">
        <v>40026</v>
      </c>
      <c r="H43" s="2767">
        <v>45138</v>
      </c>
      <c r="I43" s="2765" t="s">
        <v>3079</v>
      </c>
      <c r="J43" s="2765" t="s">
        <v>3079</v>
      </c>
      <c r="K43" s="2765" t="s">
        <v>3079</v>
      </c>
      <c r="L43" s="2765" t="s">
        <v>3079</v>
      </c>
      <c r="M43" s="2768">
        <v>820</v>
      </c>
      <c r="N43" s="2768">
        <v>786</v>
      </c>
      <c r="O43" s="2768">
        <v>720</v>
      </c>
      <c r="P43" s="2768">
        <v>611</v>
      </c>
      <c r="Q43" s="2768">
        <v>532.27150082058597</v>
      </c>
      <c r="R43" s="2768">
        <v>500.82698841859002</v>
      </c>
      <c r="S43" s="2768">
        <v>473.53240166632997</v>
      </c>
      <c r="T43" s="2768">
        <v>445.94828874262498</v>
      </c>
      <c r="U43" s="2768">
        <v>420.80483479125297</v>
      </c>
      <c r="V43" s="2768">
        <v>380.727306690945</v>
      </c>
      <c r="W43" s="2768">
        <v>345.55472579821901</v>
      </c>
      <c r="X43" s="2770" t="s">
        <v>13</v>
      </c>
      <c r="Y43" s="2767">
        <v>40026</v>
      </c>
      <c r="Z43" s="2765" t="s">
        <v>3079</v>
      </c>
      <c r="AA43" s="2765" t="s">
        <v>3079</v>
      </c>
      <c r="AB43" s="2765" t="s">
        <v>3079</v>
      </c>
      <c r="AC43" s="2765" t="s">
        <v>3079</v>
      </c>
      <c r="AD43" s="2768">
        <v>820</v>
      </c>
      <c r="AE43" s="2768">
        <v>786</v>
      </c>
      <c r="AF43" s="2768">
        <v>720</v>
      </c>
      <c r="AG43" s="2768">
        <v>611</v>
      </c>
      <c r="AH43" s="2768">
        <v>532.27150082058597</v>
      </c>
      <c r="AI43" s="2768">
        <v>500.82698841859002</v>
      </c>
      <c r="AJ43" s="2768">
        <v>473.53240166632997</v>
      </c>
      <c r="AK43" s="2768">
        <v>445.94828874262498</v>
      </c>
      <c r="AL43" s="2768">
        <v>420.80483479125297</v>
      </c>
      <c r="AM43" s="2768">
        <v>380.727306690945</v>
      </c>
      <c r="AN43" s="2768">
        <v>345.55472579821901</v>
      </c>
      <c r="AO43" s="2766" t="s">
        <v>861</v>
      </c>
    </row>
    <row r="44" spans="1:41" ht="12.75" hidden="1" customHeight="1">
      <c r="A44" s="2759"/>
      <c r="B44" s="2765" t="s">
        <v>3332</v>
      </c>
      <c r="C44" s="2766" t="s">
        <v>3221</v>
      </c>
      <c r="D44" s="2766" t="s">
        <v>3254</v>
      </c>
      <c r="E44" s="2766" t="s">
        <v>3333</v>
      </c>
      <c r="F44" s="2766" t="s">
        <v>3245</v>
      </c>
      <c r="G44" s="2767">
        <v>38352</v>
      </c>
      <c r="H44" s="2767">
        <v>44951</v>
      </c>
      <c r="I44" s="2768">
        <v>189.60412305054001</v>
      </c>
      <c r="J44" s="2768">
        <v>213.475571032273</v>
      </c>
      <c r="K44" s="2768">
        <v>233.41883804057301</v>
      </c>
      <c r="L44" s="2768">
        <v>301.97240364530199</v>
      </c>
      <c r="M44" s="2768">
        <v>352.325965963138</v>
      </c>
      <c r="N44" s="2768">
        <v>329.25467874960901</v>
      </c>
      <c r="O44" s="2768">
        <v>320.47660857199099</v>
      </c>
      <c r="P44" s="2768">
        <v>336.259372279513</v>
      </c>
      <c r="Q44" s="2768">
        <v>343.39588440408602</v>
      </c>
      <c r="R44" s="2768">
        <v>335.42089409290099</v>
      </c>
      <c r="S44" s="2768">
        <v>326.44530040495403</v>
      </c>
      <c r="T44" s="2768">
        <v>319.28237557828101</v>
      </c>
      <c r="U44" s="2768">
        <v>313.861131896838</v>
      </c>
      <c r="V44" s="2768">
        <v>308.41330600230202</v>
      </c>
      <c r="W44" s="2768">
        <v>293.71775770509697</v>
      </c>
      <c r="X44" s="2769">
        <v>3.1756743812043603E-2</v>
      </c>
      <c r="Y44" s="2767">
        <v>38352</v>
      </c>
      <c r="Z44" s="2768">
        <v>234.88450049354401</v>
      </c>
      <c r="AA44" s="2768">
        <v>264.45681698664299</v>
      </c>
      <c r="AB44" s="2768">
        <v>295.73103752271697</v>
      </c>
      <c r="AC44" s="2768">
        <v>382.58528310269202</v>
      </c>
      <c r="AD44" s="2768">
        <v>446.38095337601499</v>
      </c>
      <c r="AE44" s="2768">
        <v>417.15068318053198</v>
      </c>
      <c r="AF44" s="2768">
        <v>406.02926803312801</v>
      </c>
      <c r="AG44" s="2768">
        <v>426.02531087774901</v>
      </c>
      <c r="AH44" s="2768">
        <v>435.06694673117801</v>
      </c>
      <c r="AI44" s="2768">
        <v>424.96299720097699</v>
      </c>
      <c r="AJ44" s="2768">
        <v>413.591328761527</v>
      </c>
      <c r="AK44" s="2768">
        <v>404.51622921741603</v>
      </c>
      <c r="AL44" s="2768">
        <v>397.64776036530799</v>
      </c>
      <c r="AM44" s="2768">
        <v>390.74561305981001</v>
      </c>
      <c r="AN44" s="2768">
        <v>372.12702262649498</v>
      </c>
      <c r="AO44" s="2766" t="s">
        <v>861</v>
      </c>
    </row>
    <row r="45" spans="1:41" ht="12.75" hidden="1" customHeight="1">
      <c r="A45" s="2759"/>
      <c r="B45" s="2765" t="s">
        <v>3334</v>
      </c>
      <c r="C45" s="2766" t="s">
        <v>3335</v>
      </c>
      <c r="D45" s="2766" t="s">
        <v>3123</v>
      </c>
      <c r="E45" s="2766" t="s">
        <v>3336</v>
      </c>
      <c r="F45" s="2766" t="s">
        <v>3258</v>
      </c>
      <c r="G45" s="2767">
        <v>42152</v>
      </c>
      <c r="H45" s="2765" t="s">
        <v>3079</v>
      </c>
      <c r="I45" s="2765" t="s">
        <v>3079</v>
      </c>
      <c r="J45" s="2765" t="s">
        <v>3079</v>
      </c>
      <c r="K45" s="2765" t="s">
        <v>3079</v>
      </c>
      <c r="L45" s="2765" t="s">
        <v>3079</v>
      </c>
      <c r="M45" s="2765" t="s">
        <v>3079</v>
      </c>
      <c r="N45" s="2768">
        <v>34.728127258769398</v>
      </c>
      <c r="O45" s="2768">
        <v>79.543326302474796</v>
      </c>
      <c r="P45" s="2768">
        <v>119.727623800272</v>
      </c>
      <c r="Q45" s="2768">
        <v>156.78578890313199</v>
      </c>
      <c r="R45" s="2768">
        <v>177.583166088913</v>
      </c>
      <c r="S45" s="2768">
        <v>196.13209268381701</v>
      </c>
      <c r="T45" s="2768">
        <v>213.768776987167</v>
      </c>
      <c r="U45" s="2768">
        <v>231.40546129051901</v>
      </c>
      <c r="V45" s="2768">
        <v>249.04214559387</v>
      </c>
      <c r="W45" s="2768">
        <v>266.67882989722</v>
      </c>
      <c r="X45" s="2770" t="s">
        <v>13</v>
      </c>
      <c r="Y45" s="2767">
        <v>42152</v>
      </c>
      <c r="Z45" s="2765" t="s">
        <v>3079</v>
      </c>
      <c r="AA45" s="2765" t="s">
        <v>3079</v>
      </c>
      <c r="AB45" s="2765" t="s">
        <v>3079</v>
      </c>
      <c r="AC45" s="2765" t="s">
        <v>3079</v>
      </c>
      <c r="AD45" s="2765" t="s">
        <v>3079</v>
      </c>
      <c r="AE45" s="2768">
        <v>34.728127258769398</v>
      </c>
      <c r="AF45" s="2768">
        <v>79.543326302474796</v>
      </c>
      <c r="AG45" s="2768">
        <v>119.727623800272</v>
      </c>
      <c r="AH45" s="2768">
        <v>156.78578890313199</v>
      </c>
      <c r="AI45" s="2768">
        <v>177.583166088913</v>
      </c>
      <c r="AJ45" s="2768">
        <v>196.13209268381701</v>
      </c>
      <c r="AK45" s="2768">
        <v>213.768776987167</v>
      </c>
      <c r="AL45" s="2768">
        <v>231.40546129051901</v>
      </c>
      <c r="AM45" s="2768">
        <v>249.04214559387</v>
      </c>
      <c r="AN45" s="2768">
        <v>266.67882989722</v>
      </c>
      <c r="AO45" s="2766" t="s">
        <v>861</v>
      </c>
    </row>
    <row r="46" spans="1:41" ht="22.5" hidden="1" customHeight="1">
      <c r="A46" s="2759"/>
      <c r="B46" s="2765" t="s">
        <v>3337</v>
      </c>
      <c r="C46" s="2766" t="s">
        <v>3338</v>
      </c>
      <c r="D46" s="2766" t="s">
        <v>2791</v>
      </c>
      <c r="E46" s="2766" t="s">
        <v>3339</v>
      </c>
      <c r="F46" s="2766" t="s">
        <v>3253</v>
      </c>
      <c r="G46" s="2767">
        <v>42766</v>
      </c>
      <c r="H46" s="2767">
        <v>45138</v>
      </c>
      <c r="I46" s="2765" t="s">
        <v>3079</v>
      </c>
      <c r="J46" s="2765" t="s">
        <v>3079</v>
      </c>
      <c r="K46" s="2765" t="s">
        <v>3079</v>
      </c>
      <c r="L46" s="2765" t="s">
        <v>3079</v>
      </c>
      <c r="M46" s="2765" t="s">
        <v>3079</v>
      </c>
      <c r="N46" s="2765" t="s">
        <v>3079</v>
      </c>
      <c r="O46" s="2765" t="s">
        <v>3079</v>
      </c>
      <c r="P46" s="2768">
        <v>5</v>
      </c>
      <c r="Q46" s="2768">
        <v>74.900900900900893</v>
      </c>
      <c r="R46" s="2768">
        <v>129.178808904308</v>
      </c>
      <c r="S46" s="2768">
        <v>169.11753926701601</v>
      </c>
      <c r="T46" s="2768">
        <v>210.91693596216999</v>
      </c>
      <c r="U46" s="2768">
        <v>258.64314484574902</v>
      </c>
      <c r="V46" s="2768">
        <v>323.72880753025697</v>
      </c>
      <c r="W46" s="2768">
        <v>259.81689370294401</v>
      </c>
      <c r="X46" s="2770" t="s">
        <v>13</v>
      </c>
      <c r="Y46" s="2767">
        <v>42766</v>
      </c>
      <c r="Z46" s="2765" t="s">
        <v>3079</v>
      </c>
      <c r="AA46" s="2765" t="s">
        <v>3079</v>
      </c>
      <c r="AB46" s="2765" t="s">
        <v>3079</v>
      </c>
      <c r="AC46" s="2765" t="s">
        <v>3079</v>
      </c>
      <c r="AD46" s="2765" t="s">
        <v>3079</v>
      </c>
      <c r="AE46" s="2765" t="s">
        <v>3079</v>
      </c>
      <c r="AF46" s="2765" t="s">
        <v>3079</v>
      </c>
      <c r="AG46" s="2768">
        <v>5</v>
      </c>
      <c r="AH46" s="2768">
        <v>74.900900900900893</v>
      </c>
      <c r="AI46" s="2768">
        <v>129.178808904308</v>
      </c>
      <c r="AJ46" s="2768">
        <v>169.11753926701601</v>
      </c>
      <c r="AK46" s="2768">
        <v>210.91693596216999</v>
      </c>
      <c r="AL46" s="2768">
        <v>258.64314484574902</v>
      </c>
      <c r="AM46" s="2768">
        <v>323.72880753025697</v>
      </c>
      <c r="AN46" s="2768">
        <v>259.81689370294401</v>
      </c>
      <c r="AO46" s="2766" t="s">
        <v>861</v>
      </c>
    </row>
    <row r="47" spans="1:41" ht="22.5" hidden="1" customHeight="1">
      <c r="A47" s="2759"/>
      <c r="B47" s="2765" t="s">
        <v>3340</v>
      </c>
      <c r="C47" s="2766" t="s">
        <v>3341</v>
      </c>
      <c r="D47" s="2766" t="s">
        <v>3342</v>
      </c>
      <c r="E47" s="2766" t="s">
        <v>3343</v>
      </c>
      <c r="F47" s="2766" t="s">
        <v>3253</v>
      </c>
      <c r="G47" s="2767">
        <v>42985</v>
      </c>
      <c r="H47" s="2765" t="s">
        <v>3079</v>
      </c>
      <c r="I47" s="2765" t="s">
        <v>3079</v>
      </c>
      <c r="J47" s="2765" t="s">
        <v>3079</v>
      </c>
      <c r="K47" s="2765" t="s">
        <v>3079</v>
      </c>
      <c r="L47" s="2765" t="s">
        <v>3079</v>
      </c>
      <c r="M47" s="2765" t="s">
        <v>3079</v>
      </c>
      <c r="N47" s="2765" t="s">
        <v>3079</v>
      </c>
      <c r="O47" s="2765" t="s">
        <v>3079</v>
      </c>
      <c r="P47" s="2768">
        <v>36.098781045308101</v>
      </c>
      <c r="Q47" s="2768">
        <v>63.171006631563102</v>
      </c>
      <c r="R47" s="2768">
        <v>121.695418483742</v>
      </c>
      <c r="S47" s="2768">
        <v>176.51606815768599</v>
      </c>
      <c r="T47" s="2768">
        <v>199.59647819211401</v>
      </c>
      <c r="U47" s="2768">
        <v>219.02791906033201</v>
      </c>
      <c r="V47" s="2768">
        <v>238.45935992854999</v>
      </c>
      <c r="W47" s="2768">
        <v>257.89080079676802</v>
      </c>
      <c r="X47" s="2770" t="s">
        <v>13</v>
      </c>
      <c r="Y47" s="2767">
        <v>42985</v>
      </c>
      <c r="Z47" s="2765" t="s">
        <v>3079</v>
      </c>
      <c r="AA47" s="2765" t="s">
        <v>3079</v>
      </c>
      <c r="AB47" s="2765" t="s">
        <v>3079</v>
      </c>
      <c r="AC47" s="2765" t="s">
        <v>3079</v>
      </c>
      <c r="AD47" s="2765" t="s">
        <v>3079</v>
      </c>
      <c r="AE47" s="2765" t="s">
        <v>3079</v>
      </c>
      <c r="AF47" s="2765" t="s">
        <v>3079</v>
      </c>
      <c r="AG47" s="2768">
        <v>36.098781045308101</v>
      </c>
      <c r="AH47" s="2768">
        <v>63.171006631563102</v>
      </c>
      <c r="AI47" s="2768">
        <v>121.695418483742</v>
      </c>
      <c r="AJ47" s="2768">
        <v>176.51606815768599</v>
      </c>
      <c r="AK47" s="2768">
        <v>199.59647819211401</v>
      </c>
      <c r="AL47" s="2768">
        <v>219.02791906033201</v>
      </c>
      <c r="AM47" s="2768">
        <v>238.45935992854999</v>
      </c>
      <c r="AN47" s="2768">
        <v>257.89080079676802</v>
      </c>
      <c r="AO47" s="2766" t="s">
        <v>861</v>
      </c>
    </row>
    <row r="48" spans="1:41" ht="12.75" hidden="1" customHeight="1">
      <c r="A48" s="2759"/>
      <c r="B48" s="2765" t="s">
        <v>3344</v>
      </c>
      <c r="C48" s="2766" t="s">
        <v>3345</v>
      </c>
      <c r="D48" s="2766" t="s">
        <v>3346</v>
      </c>
      <c r="E48" s="2766" t="s">
        <v>3347</v>
      </c>
      <c r="F48" s="2766" t="s">
        <v>3243</v>
      </c>
      <c r="G48" s="2767">
        <v>41746</v>
      </c>
      <c r="H48" s="2765" t="s">
        <v>3079</v>
      </c>
      <c r="I48" s="2765" t="s">
        <v>3079</v>
      </c>
      <c r="J48" s="2765" t="s">
        <v>3079</v>
      </c>
      <c r="K48" s="2765" t="s">
        <v>3079</v>
      </c>
      <c r="L48" s="2765" t="s">
        <v>3079</v>
      </c>
      <c r="M48" s="2768">
        <v>37.474070041644197</v>
      </c>
      <c r="N48" s="2768">
        <v>60.843678957363998</v>
      </c>
      <c r="O48" s="2768">
        <v>87.8676278922687</v>
      </c>
      <c r="P48" s="2768">
        <v>104.686465031393</v>
      </c>
      <c r="Q48" s="2768">
        <v>135.39898954304499</v>
      </c>
      <c r="R48" s="2768">
        <v>159.64240102171101</v>
      </c>
      <c r="S48" s="2768">
        <v>142.875943747538</v>
      </c>
      <c r="T48" s="2768">
        <v>163.444251724537</v>
      </c>
      <c r="U48" s="2768">
        <v>183.346911961042</v>
      </c>
      <c r="V48" s="2768">
        <v>203.439803329445</v>
      </c>
      <c r="W48" s="2768">
        <v>223.69348485317099</v>
      </c>
      <c r="X48" s="2770" t="s">
        <v>13</v>
      </c>
      <c r="Y48" s="2767">
        <v>41746</v>
      </c>
      <c r="Z48" s="2765" t="s">
        <v>3079</v>
      </c>
      <c r="AA48" s="2765" t="s">
        <v>3079</v>
      </c>
      <c r="AB48" s="2765" t="s">
        <v>3079</v>
      </c>
      <c r="AC48" s="2765" t="s">
        <v>3079</v>
      </c>
      <c r="AD48" s="2768">
        <v>37.474070041644197</v>
      </c>
      <c r="AE48" s="2768">
        <v>60.843678957363998</v>
      </c>
      <c r="AF48" s="2768">
        <v>87.8676278922687</v>
      </c>
      <c r="AG48" s="2768">
        <v>104.686465031393</v>
      </c>
      <c r="AH48" s="2768">
        <v>135.39898954304499</v>
      </c>
      <c r="AI48" s="2768">
        <v>159.64240102171101</v>
      </c>
      <c r="AJ48" s="2768">
        <v>182.448458310527</v>
      </c>
      <c r="AK48" s="2768">
        <v>205.25451559934299</v>
      </c>
      <c r="AL48" s="2768">
        <v>226.92027002371799</v>
      </c>
      <c r="AM48" s="2768">
        <v>248.58602444809301</v>
      </c>
      <c r="AN48" s="2768">
        <v>270.25177887246798</v>
      </c>
      <c r="AO48" s="2766" t="s">
        <v>861</v>
      </c>
    </row>
    <row r="49" spans="1:41" ht="22.5" hidden="1" customHeight="1">
      <c r="A49" s="2759"/>
      <c r="B49" s="2765" t="s">
        <v>3348</v>
      </c>
      <c r="C49" s="2766" t="s">
        <v>3349</v>
      </c>
      <c r="D49" s="2766" t="s">
        <v>3254</v>
      </c>
      <c r="E49" s="2766" t="s">
        <v>3350</v>
      </c>
      <c r="F49" s="2766" t="s">
        <v>3351</v>
      </c>
      <c r="G49" s="2767">
        <v>43555</v>
      </c>
      <c r="H49" s="2767">
        <v>46387</v>
      </c>
      <c r="I49" s="2765" t="s">
        <v>3079</v>
      </c>
      <c r="J49" s="2765" t="s">
        <v>3079</v>
      </c>
      <c r="K49" s="2765" t="s">
        <v>3079</v>
      </c>
      <c r="L49" s="2765" t="s">
        <v>3079</v>
      </c>
      <c r="M49" s="2765" t="s">
        <v>3079</v>
      </c>
      <c r="N49" s="2765" t="s">
        <v>3079</v>
      </c>
      <c r="O49" s="2765" t="s">
        <v>3079</v>
      </c>
      <c r="P49" s="2765" t="s">
        <v>3079</v>
      </c>
      <c r="Q49" s="2765" t="s">
        <v>3079</v>
      </c>
      <c r="R49" s="2765" t="s">
        <v>3079</v>
      </c>
      <c r="S49" s="2768">
        <v>39.403346832709097</v>
      </c>
      <c r="T49" s="2768">
        <v>75.778707901706497</v>
      </c>
      <c r="U49" s="2768">
        <v>114.20700493011201</v>
      </c>
      <c r="V49" s="2768">
        <v>160.789492748469</v>
      </c>
      <c r="W49" s="2768">
        <v>209.61429928957301</v>
      </c>
      <c r="X49" s="2770" t="s">
        <v>13</v>
      </c>
      <c r="Y49" s="2767">
        <v>44196</v>
      </c>
      <c r="Z49" s="2765" t="s">
        <v>3079</v>
      </c>
      <c r="AA49" s="2765" t="s">
        <v>3079</v>
      </c>
      <c r="AB49" s="2765" t="s">
        <v>3079</v>
      </c>
      <c r="AC49" s="2765" t="s">
        <v>3079</v>
      </c>
      <c r="AD49" s="2765" t="s">
        <v>3079</v>
      </c>
      <c r="AE49" s="2765" t="s">
        <v>3079</v>
      </c>
      <c r="AF49" s="2765" t="s">
        <v>3079</v>
      </c>
      <c r="AG49" s="2765" t="s">
        <v>3079</v>
      </c>
      <c r="AH49" s="2765" t="s">
        <v>3079</v>
      </c>
      <c r="AI49" s="2768">
        <v>56.126005837104501</v>
      </c>
      <c r="AJ49" s="2768">
        <v>111.661211612766</v>
      </c>
      <c r="AK49" s="2768">
        <v>188.169819569661</v>
      </c>
      <c r="AL49" s="2768">
        <v>256.11182663562897</v>
      </c>
      <c r="AM49" s="2768">
        <v>345.02723588283197</v>
      </c>
      <c r="AN49" s="2768">
        <v>428.034644515602</v>
      </c>
      <c r="AO49" s="2766" t="s">
        <v>518</v>
      </c>
    </row>
    <row r="50" spans="1:41" ht="12.75" hidden="1" customHeight="1">
      <c r="A50" s="2759"/>
      <c r="B50" s="2765" t="s">
        <v>3352</v>
      </c>
      <c r="C50" s="2766" t="s">
        <v>3246</v>
      </c>
      <c r="D50" s="2766" t="s">
        <v>3353</v>
      </c>
      <c r="E50" s="2766" t="s">
        <v>3247</v>
      </c>
      <c r="F50" s="2766" t="s">
        <v>3243</v>
      </c>
      <c r="G50" s="2767">
        <v>41782</v>
      </c>
      <c r="H50" s="2765" t="s">
        <v>3079</v>
      </c>
      <c r="I50" s="2765" t="s">
        <v>3079</v>
      </c>
      <c r="J50" s="2765" t="s">
        <v>3079</v>
      </c>
      <c r="K50" s="2765" t="s">
        <v>3079</v>
      </c>
      <c r="L50" s="2765" t="s">
        <v>3079</v>
      </c>
      <c r="M50" s="2768">
        <v>13.7100256249918</v>
      </c>
      <c r="N50" s="2768">
        <v>35.839427331049997</v>
      </c>
      <c r="O50" s="2768">
        <v>72.143947111546893</v>
      </c>
      <c r="P50" s="2768">
        <v>100.17411740073</v>
      </c>
      <c r="Q50" s="2768">
        <v>119.003258959086</v>
      </c>
      <c r="R50" s="2768">
        <v>138.167790944464</v>
      </c>
      <c r="S50" s="2768">
        <v>152.173856499469</v>
      </c>
      <c r="T50" s="2768">
        <v>162.792579973139</v>
      </c>
      <c r="U50" s="2768">
        <v>172.27344813551699</v>
      </c>
      <c r="V50" s="2768">
        <v>181.754316297895</v>
      </c>
      <c r="W50" s="2768">
        <v>191.23518446027299</v>
      </c>
      <c r="X50" s="2770" t="s">
        <v>13</v>
      </c>
      <c r="Y50" s="2767">
        <v>41782</v>
      </c>
      <c r="Z50" s="2765" t="s">
        <v>3079</v>
      </c>
      <c r="AA50" s="2765" t="s">
        <v>3079</v>
      </c>
      <c r="AB50" s="2765" t="s">
        <v>3079</v>
      </c>
      <c r="AC50" s="2765" t="s">
        <v>3079</v>
      </c>
      <c r="AD50" s="2768">
        <v>13.7100256249918</v>
      </c>
      <c r="AE50" s="2768">
        <v>35.839427331049997</v>
      </c>
      <c r="AF50" s="2768">
        <v>72.143947111546893</v>
      </c>
      <c r="AG50" s="2768">
        <v>100.17411740073</v>
      </c>
      <c r="AH50" s="2768">
        <v>119.003258959086</v>
      </c>
      <c r="AI50" s="2768">
        <v>138.167790944464</v>
      </c>
      <c r="AJ50" s="2768">
        <v>152.173856499469</v>
      </c>
      <c r="AK50" s="2768">
        <v>162.792579973139</v>
      </c>
      <c r="AL50" s="2768">
        <v>172.27344813551699</v>
      </c>
      <c r="AM50" s="2768">
        <v>181.754316297895</v>
      </c>
      <c r="AN50" s="2768">
        <v>191.23518446027299</v>
      </c>
      <c r="AO50" s="2766" t="s">
        <v>861</v>
      </c>
    </row>
    <row r="51" spans="1:41" ht="12.75" hidden="1" customHeight="1">
      <c r="A51" s="2759"/>
      <c r="B51" s="2765" t="s">
        <v>3354</v>
      </c>
      <c r="C51" s="2766" t="s">
        <v>3288</v>
      </c>
      <c r="D51" s="2766" t="s">
        <v>3353</v>
      </c>
      <c r="E51" s="2766" t="s">
        <v>3290</v>
      </c>
      <c r="F51" s="2766" t="s">
        <v>3258</v>
      </c>
      <c r="G51" s="2767">
        <v>40158</v>
      </c>
      <c r="H51" s="2765" t="s">
        <v>3079</v>
      </c>
      <c r="I51" s="2768">
        <v>129.846376663607</v>
      </c>
      <c r="J51" s="2768">
        <v>353.54992472992501</v>
      </c>
      <c r="K51" s="2768">
        <v>419.82327935792898</v>
      </c>
      <c r="L51" s="2768">
        <v>350.74985859472099</v>
      </c>
      <c r="M51" s="2768">
        <v>281.51252616649799</v>
      </c>
      <c r="N51" s="2768">
        <v>261.71116702208599</v>
      </c>
      <c r="O51" s="2768">
        <v>271.92718526660002</v>
      </c>
      <c r="P51" s="2768">
        <v>247.27665016035999</v>
      </c>
      <c r="Q51" s="2768">
        <v>238.52750603029901</v>
      </c>
      <c r="R51" s="2768">
        <v>231.40546129051901</v>
      </c>
      <c r="S51" s="2768">
        <v>217.873867299154</v>
      </c>
      <c r="T51" s="2768">
        <v>208.75144438362801</v>
      </c>
      <c r="U51" s="2768">
        <v>199.32494070425099</v>
      </c>
      <c r="V51" s="2768">
        <v>189.898437024874</v>
      </c>
      <c r="W51" s="2768">
        <v>180.47193334549601</v>
      </c>
      <c r="X51" s="2769">
        <v>2.3794625610289701E-2</v>
      </c>
      <c r="Y51" s="2767">
        <v>40158</v>
      </c>
      <c r="Z51" s="2768">
        <v>129.846376663607</v>
      </c>
      <c r="AA51" s="2768">
        <v>353.54992472992501</v>
      </c>
      <c r="AB51" s="2768">
        <v>419.82327935792898</v>
      </c>
      <c r="AC51" s="2768">
        <v>350.74985859472099</v>
      </c>
      <c r="AD51" s="2768">
        <v>281.51252616649799</v>
      </c>
      <c r="AE51" s="2768">
        <v>261.71116702208599</v>
      </c>
      <c r="AF51" s="2768">
        <v>271.92718526660002</v>
      </c>
      <c r="AG51" s="2768">
        <v>247.27665016035999</v>
      </c>
      <c r="AH51" s="2768">
        <v>238.52750603029901</v>
      </c>
      <c r="AI51" s="2768">
        <v>231.40546129051901</v>
      </c>
      <c r="AJ51" s="2768">
        <v>217.873867299154</v>
      </c>
      <c r="AK51" s="2768">
        <v>208.75144438362801</v>
      </c>
      <c r="AL51" s="2768">
        <v>199.32494070425099</v>
      </c>
      <c r="AM51" s="2768">
        <v>189.898437024874</v>
      </c>
      <c r="AN51" s="2768">
        <v>180.47193334549601</v>
      </c>
      <c r="AO51" s="2766" t="s">
        <v>861</v>
      </c>
    </row>
    <row r="52" spans="1:41" ht="12.75" hidden="1" customHeight="1">
      <c r="A52" s="2759"/>
      <c r="B52" s="2765" t="s">
        <v>3355</v>
      </c>
      <c r="C52" s="2766" t="s">
        <v>3356</v>
      </c>
      <c r="D52" s="2766" t="s">
        <v>3357</v>
      </c>
      <c r="E52" s="2766" t="s">
        <v>3322</v>
      </c>
      <c r="F52" s="2766" t="s">
        <v>3245</v>
      </c>
      <c r="G52" s="2767">
        <v>44074</v>
      </c>
      <c r="H52" s="2767">
        <v>46814</v>
      </c>
      <c r="I52" s="2765" t="s">
        <v>3079</v>
      </c>
      <c r="J52" s="2765" t="s">
        <v>3079</v>
      </c>
      <c r="K52" s="2765" t="s">
        <v>3079</v>
      </c>
      <c r="L52" s="2765" t="s">
        <v>3079</v>
      </c>
      <c r="M52" s="2765" t="s">
        <v>3079</v>
      </c>
      <c r="N52" s="2765" t="s">
        <v>3079</v>
      </c>
      <c r="O52" s="2765" t="s">
        <v>3079</v>
      </c>
      <c r="P52" s="2765" t="s">
        <v>3079</v>
      </c>
      <c r="Q52" s="2765" t="s">
        <v>3079</v>
      </c>
      <c r="R52" s="2765" t="s">
        <v>3079</v>
      </c>
      <c r="S52" s="2768">
        <v>18.75</v>
      </c>
      <c r="T52" s="2768">
        <v>52.5</v>
      </c>
      <c r="U52" s="2768">
        <v>103.427419354839</v>
      </c>
      <c r="V52" s="2768">
        <v>125.982142857143</v>
      </c>
      <c r="W52" s="2768">
        <v>176.78571428571399</v>
      </c>
      <c r="X52" s="2770" t="s">
        <v>13</v>
      </c>
      <c r="Y52" s="2767">
        <v>44074</v>
      </c>
      <c r="Z52" s="2765" t="s">
        <v>3079</v>
      </c>
      <c r="AA52" s="2765" t="s">
        <v>3079</v>
      </c>
      <c r="AB52" s="2765" t="s">
        <v>3079</v>
      </c>
      <c r="AC52" s="2765" t="s">
        <v>3079</v>
      </c>
      <c r="AD52" s="2765" t="s">
        <v>3079</v>
      </c>
      <c r="AE52" s="2765" t="s">
        <v>3079</v>
      </c>
      <c r="AF52" s="2765" t="s">
        <v>3079</v>
      </c>
      <c r="AG52" s="2765" t="s">
        <v>3079</v>
      </c>
      <c r="AH52" s="2765" t="s">
        <v>3079</v>
      </c>
      <c r="AI52" s="2765" t="s">
        <v>3079</v>
      </c>
      <c r="AJ52" s="2768">
        <v>18.75</v>
      </c>
      <c r="AK52" s="2768">
        <v>65.625</v>
      </c>
      <c r="AL52" s="2768">
        <v>112.5</v>
      </c>
      <c r="AM52" s="2768">
        <v>159.375</v>
      </c>
      <c r="AN52" s="2768">
        <v>206.25</v>
      </c>
      <c r="AO52" s="2766" t="s">
        <v>510</v>
      </c>
    </row>
    <row r="53" spans="1:41" ht="12.75" hidden="1" customHeight="1">
      <c r="A53" s="2759"/>
      <c r="B53" s="2765" t="s">
        <v>3358</v>
      </c>
      <c r="C53" s="2766" t="s">
        <v>3359</v>
      </c>
      <c r="D53" s="2766" t="s">
        <v>3360</v>
      </c>
      <c r="E53" s="2766" t="s">
        <v>3361</v>
      </c>
      <c r="F53" s="2766" t="s">
        <v>3243</v>
      </c>
      <c r="G53" s="2767">
        <v>41782</v>
      </c>
      <c r="H53" s="2765" t="s">
        <v>3079</v>
      </c>
      <c r="I53" s="2765" t="s">
        <v>3079</v>
      </c>
      <c r="J53" s="2765" t="s">
        <v>3079</v>
      </c>
      <c r="K53" s="2765" t="s">
        <v>3079</v>
      </c>
      <c r="L53" s="2765" t="s">
        <v>3079</v>
      </c>
      <c r="M53" s="2768">
        <v>21.936040999986901</v>
      </c>
      <c r="N53" s="2768">
        <v>7.5012754878941896</v>
      </c>
      <c r="O53" s="2768">
        <v>26.8227495671136</v>
      </c>
      <c r="P53" s="2768">
        <v>45.123476306635098</v>
      </c>
      <c r="Q53" s="2768">
        <v>58.147739185433402</v>
      </c>
      <c r="R53" s="2768">
        <v>76.628352490421406</v>
      </c>
      <c r="S53" s="2768">
        <v>93.656875266070898</v>
      </c>
      <c r="T53" s="2768">
        <v>107.644590403211</v>
      </c>
      <c r="U53" s="2768">
        <v>121.632305540351</v>
      </c>
      <c r="V53" s="2768">
        <v>135.62002067749199</v>
      </c>
      <c r="W53" s="2768">
        <v>149.60773581463201</v>
      </c>
      <c r="X53" s="2770" t="s">
        <v>13</v>
      </c>
      <c r="Y53" s="2767">
        <v>41782</v>
      </c>
      <c r="Z53" s="2765" t="s">
        <v>3079</v>
      </c>
      <c r="AA53" s="2765" t="s">
        <v>3079</v>
      </c>
      <c r="AB53" s="2765" t="s">
        <v>3079</v>
      </c>
      <c r="AC53" s="2765" t="s">
        <v>3079</v>
      </c>
      <c r="AD53" s="2768">
        <v>21.936040999986901</v>
      </c>
      <c r="AE53" s="2768">
        <v>7.5012754878941896</v>
      </c>
      <c r="AF53" s="2768">
        <v>26.8227495671136</v>
      </c>
      <c r="AG53" s="2768">
        <v>45.123476306635098</v>
      </c>
      <c r="AH53" s="2768">
        <v>58.147739185433402</v>
      </c>
      <c r="AI53" s="2768">
        <v>76.628352490421406</v>
      </c>
      <c r="AJ53" s="2768">
        <v>93.656875266070898</v>
      </c>
      <c r="AK53" s="2768">
        <v>107.644590403211</v>
      </c>
      <c r="AL53" s="2768">
        <v>121.632305540351</v>
      </c>
      <c r="AM53" s="2768">
        <v>135.62002067749199</v>
      </c>
      <c r="AN53" s="2768">
        <v>149.60773581463201</v>
      </c>
      <c r="AO53" s="2766" t="s">
        <v>861</v>
      </c>
    </row>
    <row r="54" spans="1:41" ht="12.75" hidden="1" customHeight="1">
      <c r="A54" s="2759"/>
      <c r="B54" s="2765" t="s">
        <v>3362</v>
      </c>
      <c r="C54" s="2766" t="s">
        <v>3363</v>
      </c>
      <c r="D54" s="2766" t="s">
        <v>3254</v>
      </c>
      <c r="E54" s="2766" t="s">
        <v>3364</v>
      </c>
      <c r="F54" s="2766" t="s">
        <v>3073</v>
      </c>
      <c r="G54" s="2767">
        <v>41341</v>
      </c>
      <c r="H54" s="2767">
        <v>44024</v>
      </c>
      <c r="I54" s="2765" t="s">
        <v>3079</v>
      </c>
      <c r="J54" s="2765" t="s">
        <v>3079</v>
      </c>
      <c r="K54" s="2765" t="s">
        <v>3079</v>
      </c>
      <c r="L54" s="2768">
        <v>11.955790096959101</v>
      </c>
      <c r="M54" s="2768">
        <v>35.869898039143997</v>
      </c>
      <c r="N54" s="2768">
        <v>42.158845640585703</v>
      </c>
      <c r="O54" s="2768">
        <v>36.5094437196001</v>
      </c>
      <c r="P54" s="2768">
        <v>29.381055922603402</v>
      </c>
      <c r="Q54" s="2768">
        <v>66.576629380025096</v>
      </c>
      <c r="R54" s="2768">
        <v>89.441702885768905</v>
      </c>
      <c r="S54" s="2768">
        <v>104.81022875387001</v>
      </c>
      <c r="T54" s="2768">
        <v>122.453565914178</v>
      </c>
      <c r="U54" s="2768">
        <v>135.90055939611099</v>
      </c>
      <c r="V54" s="2768">
        <v>140.96269365554801</v>
      </c>
      <c r="W54" s="2768">
        <v>144.919026497868</v>
      </c>
      <c r="X54" s="2770" t="s">
        <v>13</v>
      </c>
      <c r="Y54" s="2767">
        <v>41341</v>
      </c>
      <c r="Z54" s="2765" t="s">
        <v>3079</v>
      </c>
      <c r="AA54" s="2765" t="s">
        <v>3079</v>
      </c>
      <c r="AB54" s="2765" t="s">
        <v>3079</v>
      </c>
      <c r="AC54" s="2768">
        <v>11.955790096959101</v>
      </c>
      <c r="AD54" s="2768">
        <v>35.869898039143997</v>
      </c>
      <c r="AE54" s="2768">
        <v>42.158845640585703</v>
      </c>
      <c r="AF54" s="2768">
        <v>36.5094437196001</v>
      </c>
      <c r="AG54" s="2768">
        <v>29.381055922603402</v>
      </c>
      <c r="AH54" s="2768">
        <v>66.576629380025096</v>
      </c>
      <c r="AI54" s="2768">
        <v>89.441702885768905</v>
      </c>
      <c r="AJ54" s="2768">
        <v>104.81022875387001</v>
      </c>
      <c r="AK54" s="2768">
        <v>122.453565914178</v>
      </c>
      <c r="AL54" s="2768">
        <v>135.90055939611099</v>
      </c>
      <c r="AM54" s="2768">
        <v>140.96269365554801</v>
      </c>
      <c r="AN54" s="2768">
        <v>144.919026497868</v>
      </c>
      <c r="AO54" s="2766" t="s">
        <v>861</v>
      </c>
    </row>
    <row r="55" spans="1:41" ht="12.75" hidden="1" customHeight="1">
      <c r="A55" s="2759"/>
      <c r="B55" s="2765" t="s">
        <v>3365</v>
      </c>
      <c r="C55" s="2766" t="s">
        <v>3366</v>
      </c>
      <c r="D55" s="2766" t="s">
        <v>2515</v>
      </c>
      <c r="E55" s="2766" t="s">
        <v>3367</v>
      </c>
      <c r="F55" s="2766" t="s">
        <v>3258</v>
      </c>
      <c r="G55" s="2767">
        <v>41162</v>
      </c>
      <c r="H55" s="2765" t="s">
        <v>3079</v>
      </c>
      <c r="I55" s="2765" t="s">
        <v>3079</v>
      </c>
      <c r="J55" s="2765" t="s">
        <v>3079</v>
      </c>
      <c r="K55" s="2768">
        <v>14.5166057458359</v>
      </c>
      <c r="L55" s="2768">
        <v>7.9890495561364299</v>
      </c>
      <c r="M55" s="2768">
        <v>56.668105916632797</v>
      </c>
      <c r="N55" s="2768">
        <v>117.519982643676</v>
      </c>
      <c r="O55" s="2768">
        <v>152.61219581288799</v>
      </c>
      <c r="P55" s="2768">
        <v>157.93216707322301</v>
      </c>
      <c r="Q55" s="2768">
        <v>154.350281502695</v>
      </c>
      <c r="R55" s="2768">
        <v>156.14547223742599</v>
      </c>
      <c r="S55" s="2768">
        <v>154.01690689047001</v>
      </c>
      <c r="T55" s="2768">
        <v>155.08118956394799</v>
      </c>
      <c r="U55" s="2768">
        <v>150.824058870035</v>
      </c>
      <c r="V55" s="2768">
        <v>146.56692817612401</v>
      </c>
      <c r="W55" s="2768">
        <v>142.309797482211</v>
      </c>
      <c r="X55" s="2770" t="s">
        <v>13</v>
      </c>
      <c r="Y55" s="2767">
        <v>41162</v>
      </c>
      <c r="Z55" s="2765" t="s">
        <v>3079</v>
      </c>
      <c r="AA55" s="2765" t="s">
        <v>3079</v>
      </c>
      <c r="AB55" s="2768">
        <v>14.5166057458359</v>
      </c>
      <c r="AC55" s="2768">
        <v>7.9890495561364299</v>
      </c>
      <c r="AD55" s="2768">
        <v>56.668105916632797</v>
      </c>
      <c r="AE55" s="2768">
        <v>117.519982643676</v>
      </c>
      <c r="AF55" s="2768">
        <v>152.61219581288799</v>
      </c>
      <c r="AG55" s="2768">
        <v>157.93216707322301</v>
      </c>
      <c r="AH55" s="2768">
        <v>154.350281502695</v>
      </c>
      <c r="AI55" s="2768">
        <v>156.14547223742599</v>
      </c>
      <c r="AJ55" s="2768">
        <v>154.01690689047001</v>
      </c>
      <c r="AK55" s="2768">
        <v>155.08118956394799</v>
      </c>
      <c r="AL55" s="2768">
        <v>150.824058870035</v>
      </c>
      <c r="AM55" s="2768">
        <v>146.56692817612401</v>
      </c>
      <c r="AN55" s="2768">
        <v>142.309797482211</v>
      </c>
      <c r="AO55" s="2766" t="s">
        <v>861</v>
      </c>
    </row>
    <row r="56" spans="1:41" ht="12.75" hidden="1" customHeight="1">
      <c r="A56" s="2759"/>
      <c r="B56" s="2765" t="s">
        <v>3368</v>
      </c>
      <c r="C56" s="2766" t="s">
        <v>3327</v>
      </c>
      <c r="D56" s="2766" t="s">
        <v>3369</v>
      </c>
      <c r="E56" s="2766" t="s">
        <v>3328</v>
      </c>
      <c r="F56" s="2766" t="s">
        <v>3319</v>
      </c>
      <c r="G56" s="2767">
        <v>39082</v>
      </c>
      <c r="H56" s="2765" t="s">
        <v>3079</v>
      </c>
      <c r="I56" s="2768">
        <v>61.283395485784503</v>
      </c>
      <c r="J56" s="2768">
        <v>67.168726966229301</v>
      </c>
      <c r="K56" s="2768">
        <v>69.396909078468994</v>
      </c>
      <c r="L56" s="2768">
        <v>75.017756523767105</v>
      </c>
      <c r="M56" s="2768">
        <v>81.899060673050201</v>
      </c>
      <c r="N56" s="2768">
        <v>80.068331436441099</v>
      </c>
      <c r="O56" s="2768">
        <v>82.028268882894494</v>
      </c>
      <c r="P56" s="2768">
        <v>88.465443591362799</v>
      </c>
      <c r="Q56" s="2768">
        <v>97.509330729475494</v>
      </c>
      <c r="R56" s="2768">
        <v>102.391286538369</v>
      </c>
      <c r="S56" s="2768">
        <v>107.56183317831</v>
      </c>
      <c r="T56" s="2768">
        <v>112.993481650836</v>
      </c>
      <c r="U56" s="2768">
        <v>118.69941705449</v>
      </c>
      <c r="V56" s="2768">
        <v>124.693490307825</v>
      </c>
      <c r="W56" s="2768">
        <v>130.990251771918</v>
      </c>
      <c r="X56" s="2769">
        <v>5.5757101116778597E-2</v>
      </c>
      <c r="Y56" s="2767">
        <v>39082</v>
      </c>
      <c r="Z56" s="2768">
        <v>61.283395485784503</v>
      </c>
      <c r="AA56" s="2768">
        <v>67.168726966229301</v>
      </c>
      <c r="AB56" s="2768">
        <v>69.396909078468994</v>
      </c>
      <c r="AC56" s="2768">
        <v>75.017756523767105</v>
      </c>
      <c r="AD56" s="2768">
        <v>81.899060673050201</v>
      </c>
      <c r="AE56" s="2768">
        <v>80.068331436441099</v>
      </c>
      <c r="AF56" s="2768">
        <v>82.028268882894494</v>
      </c>
      <c r="AG56" s="2768">
        <v>88.465443591362799</v>
      </c>
      <c r="AH56" s="2768">
        <v>97.509330729475494</v>
      </c>
      <c r="AI56" s="2768">
        <v>102.391286538369</v>
      </c>
      <c r="AJ56" s="2768">
        <v>107.56183317831</v>
      </c>
      <c r="AK56" s="2768">
        <v>112.993481650836</v>
      </c>
      <c r="AL56" s="2768">
        <v>118.69941705449</v>
      </c>
      <c r="AM56" s="2768">
        <v>124.693490307825</v>
      </c>
      <c r="AN56" s="2768">
        <v>130.990251771918</v>
      </c>
      <c r="AO56" s="2766" t="s">
        <v>861</v>
      </c>
    </row>
    <row r="57" spans="1:41" ht="12.75" hidden="1" customHeight="1">
      <c r="A57" s="2759"/>
      <c r="B57" s="2765" t="s">
        <v>3370</v>
      </c>
      <c r="C57" s="2766" t="s">
        <v>3203</v>
      </c>
      <c r="D57" s="2766" t="s">
        <v>2515</v>
      </c>
      <c r="E57" s="2766" t="s">
        <v>3281</v>
      </c>
      <c r="F57" s="2766" t="s">
        <v>3243</v>
      </c>
      <c r="G57" s="2767">
        <v>41365</v>
      </c>
      <c r="H57" s="2767">
        <v>47175</v>
      </c>
      <c r="I57" s="2765" t="s">
        <v>3079</v>
      </c>
      <c r="J57" s="2765" t="s">
        <v>3079</v>
      </c>
      <c r="K57" s="2765" t="s">
        <v>3079</v>
      </c>
      <c r="L57" s="2765" t="s">
        <v>3079</v>
      </c>
      <c r="M57" s="2768">
        <v>10.968020499993401</v>
      </c>
      <c r="N57" s="2768">
        <v>4.1673752710523297</v>
      </c>
      <c r="O57" s="2768">
        <v>31.4473615614435</v>
      </c>
      <c r="P57" s="2768">
        <v>50.538293463431302</v>
      </c>
      <c r="Q57" s="2768">
        <v>66.215357449381003</v>
      </c>
      <c r="R57" s="2768">
        <v>78.300796691601207</v>
      </c>
      <c r="S57" s="2768">
        <v>89.399744572158298</v>
      </c>
      <c r="T57" s="2768">
        <v>100.650732834641</v>
      </c>
      <c r="U57" s="2768">
        <v>109.77315575016701</v>
      </c>
      <c r="V57" s="2768">
        <v>118.89557866569299</v>
      </c>
      <c r="W57" s="2768">
        <v>128.01800158122001</v>
      </c>
      <c r="X57" s="2770" t="s">
        <v>13</v>
      </c>
      <c r="Y57" s="2767">
        <v>41365</v>
      </c>
      <c r="Z57" s="2765" t="s">
        <v>3079</v>
      </c>
      <c r="AA57" s="2765" t="s">
        <v>3079</v>
      </c>
      <c r="AB57" s="2765" t="s">
        <v>3079</v>
      </c>
      <c r="AC57" s="2765" t="s">
        <v>3079</v>
      </c>
      <c r="AD57" s="2768">
        <v>10.968020499993401</v>
      </c>
      <c r="AE57" s="2768">
        <v>4.1673752710523297</v>
      </c>
      <c r="AF57" s="2768">
        <v>31.4473615614435</v>
      </c>
      <c r="AG57" s="2768">
        <v>50.538293463431302</v>
      </c>
      <c r="AH57" s="2768">
        <v>66.215357449381003</v>
      </c>
      <c r="AI57" s="2768">
        <v>78.300796691601207</v>
      </c>
      <c r="AJ57" s="2768">
        <v>89.399744572158298</v>
      </c>
      <c r="AK57" s="2768">
        <v>100.650732834641</v>
      </c>
      <c r="AL57" s="2768">
        <v>109.77315575016701</v>
      </c>
      <c r="AM57" s="2768">
        <v>118.89557866569299</v>
      </c>
      <c r="AN57" s="2768">
        <v>128.01800158122001</v>
      </c>
      <c r="AO57" s="2766" t="s">
        <v>861</v>
      </c>
    </row>
    <row r="58" spans="1:41" ht="12.75" hidden="1" customHeight="1">
      <c r="A58" s="2759"/>
      <c r="B58" s="2765" t="s">
        <v>3371</v>
      </c>
      <c r="C58" s="2766" t="s">
        <v>3188</v>
      </c>
      <c r="D58" s="2766" t="s">
        <v>3372</v>
      </c>
      <c r="E58" s="2766" t="s">
        <v>3301</v>
      </c>
      <c r="F58" s="2766" t="s">
        <v>3073</v>
      </c>
      <c r="G58" s="2767">
        <v>43104</v>
      </c>
      <c r="H58" s="2767">
        <v>47118</v>
      </c>
      <c r="I58" s="2765" t="s">
        <v>3079</v>
      </c>
      <c r="J58" s="2765" t="s">
        <v>3079</v>
      </c>
      <c r="K58" s="2765" t="s">
        <v>3079</v>
      </c>
      <c r="L58" s="2765" t="s">
        <v>3079</v>
      </c>
      <c r="M58" s="2765" t="s">
        <v>3079</v>
      </c>
      <c r="N58" s="2765" t="s">
        <v>3079</v>
      </c>
      <c r="O58" s="2765" t="s">
        <v>3079</v>
      </c>
      <c r="P58" s="2765" t="s">
        <v>3079</v>
      </c>
      <c r="Q58" s="2768">
        <v>4.5908314937480901</v>
      </c>
      <c r="R58" s="2768">
        <v>14.843055627943</v>
      </c>
      <c r="S58" s="2768">
        <v>37.882892315120102</v>
      </c>
      <c r="T58" s="2768">
        <v>59.942029174900199</v>
      </c>
      <c r="U58" s="2768">
        <v>82.981865862077399</v>
      </c>
      <c r="V58" s="2768">
        <v>104.25644285993999</v>
      </c>
      <c r="W58" s="2768">
        <v>125.11912593029599</v>
      </c>
      <c r="X58" s="2770" t="s">
        <v>13</v>
      </c>
      <c r="Y58" s="2767">
        <v>43104</v>
      </c>
      <c r="Z58" s="2765" t="s">
        <v>3079</v>
      </c>
      <c r="AA58" s="2765" t="s">
        <v>3079</v>
      </c>
      <c r="AB58" s="2765" t="s">
        <v>3079</v>
      </c>
      <c r="AC58" s="2765" t="s">
        <v>3079</v>
      </c>
      <c r="AD58" s="2765" t="s">
        <v>3079</v>
      </c>
      <c r="AE58" s="2765" t="s">
        <v>3079</v>
      </c>
      <c r="AF58" s="2765" t="s">
        <v>3079</v>
      </c>
      <c r="AG58" s="2765" t="s">
        <v>3079</v>
      </c>
      <c r="AH58" s="2768">
        <v>4.5908314937480901</v>
      </c>
      <c r="AI58" s="2768">
        <v>14.843055627943</v>
      </c>
      <c r="AJ58" s="2768">
        <v>37.882892315120102</v>
      </c>
      <c r="AK58" s="2768">
        <v>59.942029174900199</v>
      </c>
      <c r="AL58" s="2768">
        <v>82.981865862077399</v>
      </c>
      <c r="AM58" s="2768">
        <v>104.25644285993999</v>
      </c>
      <c r="AN58" s="2768">
        <v>125.11912593029599</v>
      </c>
      <c r="AO58" s="2766" t="s">
        <v>861</v>
      </c>
    </row>
    <row r="59" spans="1:41" ht="12.75" hidden="1" customHeight="1">
      <c r="A59" s="2759"/>
      <c r="B59" s="2765" t="s">
        <v>3373</v>
      </c>
      <c r="C59" s="2766" t="s">
        <v>3374</v>
      </c>
      <c r="D59" s="2766" t="s">
        <v>3071</v>
      </c>
      <c r="E59" s="2766" t="s">
        <v>3375</v>
      </c>
      <c r="F59" s="2766" t="s">
        <v>3376</v>
      </c>
      <c r="G59" s="2767">
        <v>35786</v>
      </c>
      <c r="H59" s="2767">
        <v>41466</v>
      </c>
      <c r="I59" s="2768">
        <v>490.165896717382</v>
      </c>
      <c r="J59" s="2768">
        <v>481.03798933908502</v>
      </c>
      <c r="K59" s="2768">
        <v>476.39454255482701</v>
      </c>
      <c r="L59" s="2768">
        <v>400.06736564530399</v>
      </c>
      <c r="M59" s="2768">
        <v>307.92984869767002</v>
      </c>
      <c r="N59" s="2768">
        <v>251.092318741057</v>
      </c>
      <c r="O59" s="2768">
        <v>237.313069796581</v>
      </c>
      <c r="P59" s="2768">
        <v>166.85145592475899</v>
      </c>
      <c r="Q59" s="2768">
        <v>164.745351238567</v>
      </c>
      <c r="R59" s="2768">
        <v>151.23342528222699</v>
      </c>
      <c r="S59" s="2768">
        <v>141.26596572285499</v>
      </c>
      <c r="T59" s="2768">
        <v>133.562783475076</v>
      </c>
      <c r="U59" s="2768">
        <v>129.320663354213</v>
      </c>
      <c r="V59" s="2768">
        <v>123.809006710289</v>
      </c>
      <c r="W59" s="2768">
        <v>117.617187649877</v>
      </c>
      <c r="X59" s="2769">
        <v>-9.6925858228080905E-2</v>
      </c>
      <c r="Y59" s="2767">
        <v>35786</v>
      </c>
      <c r="Z59" s="2768">
        <v>490.165896717382</v>
      </c>
      <c r="AA59" s="2768">
        <v>481.03798933908502</v>
      </c>
      <c r="AB59" s="2768">
        <v>476.39454255482701</v>
      </c>
      <c r="AC59" s="2768">
        <v>400.06736564530399</v>
      </c>
      <c r="AD59" s="2768">
        <v>307.92984869767002</v>
      </c>
      <c r="AE59" s="2768">
        <v>251.092318741057</v>
      </c>
      <c r="AF59" s="2768">
        <v>237.313069796581</v>
      </c>
      <c r="AG59" s="2768">
        <v>166.85145592475899</v>
      </c>
      <c r="AH59" s="2768">
        <v>164.745351238567</v>
      </c>
      <c r="AI59" s="2768">
        <v>151.23342528222699</v>
      </c>
      <c r="AJ59" s="2768">
        <v>141.26596572285499</v>
      </c>
      <c r="AK59" s="2768">
        <v>133.562783475076</v>
      </c>
      <c r="AL59" s="2768">
        <v>129.320663354213</v>
      </c>
      <c r="AM59" s="2768">
        <v>123.809006710289</v>
      </c>
      <c r="AN59" s="2768">
        <v>117.617187649877</v>
      </c>
      <c r="AO59" s="2766" t="s">
        <v>861</v>
      </c>
    </row>
    <row r="60" spans="1:41" ht="12.75" hidden="1" customHeight="1">
      <c r="A60" s="2759"/>
      <c r="B60" s="2765" t="s">
        <v>3377</v>
      </c>
      <c r="C60" s="2766" t="s">
        <v>3330</v>
      </c>
      <c r="D60" s="2766" t="s">
        <v>3378</v>
      </c>
      <c r="E60" s="2766" t="s">
        <v>3331</v>
      </c>
      <c r="F60" s="2766" t="s">
        <v>3258</v>
      </c>
      <c r="G60" s="2767">
        <v>41464</v>
      </c>
      <c r="H60" s="2765" t="s">
        <v>3079</v>
      </c>
      <c r="I60" s="2765" t="s">
        <v>3079</v>
      </c>
      <c r="J60" s="2765" t="s">
        <v>3079</v>
      </c>
      <c r="K60" s="2765" t="s">
        <v>3079</v>
      </c>
      <c r="L60" s="2768">
        <v>11.287120303162499</v>
      </c>
      <c r="M60" s="2768">
        <v>11.363387133396101</v>
      </c>
      <c r="N60" s="2768">
        <v>39.664500495751597</v>
      </c>
      <c r="O60" s="2768">
        <v>58.066098734883802</v>
      </c>
      <c r="P60" s="2768">
        <v>65.106607542983994</v>
      </c>
      <c r="Q60" s="2768">
        <v>75.118720195508104</v>
      </c>
      <c r="R60" s="2768">
        <v>83.622210058991698</v>
      </c>
      <c r="S60" s="2768">
        <v>90.920148391412695</v>
      </c>
      <c r="T60" s="2768">
        <v>98.218086723834105</v>
      </c>
      <c r="U60" s="2768">
        <v>98.028036246426694</v>
      </c>
      <c r="V60" s="2768">
        <v>96.787175028118</v>
      </c>
      <c r="W60" s="2768">
        <v>95.546313809808396</v>
      </c>
      <c r="X60" s="2770" t="s">
        <v>13</v>
      </c>
      <c r="Y60" s="2767">
        <v>41464</v>
      </c>
      <c r="Z60" s="2765" t="s">
        <v>3079</v>
      </c>
      <c r="AA60" s="2765" t="s">
        <v>3079</v>
      </c>
      <c r="AB60" s="2765" t="s">
        <v>3079</v>
      </c>
      <c r="AC60" s="2768">
        <v>11.287120303162499</v>
      </c>
      <c r="AD60" s="2768">
        <v>11.363387133396101</v>
      </c>
      <c r="AE60" s="2768">
        <v>39.664500495751597</v>
      </c>
      <c r="AF60" s="2768">
        <v>58.066098734883802</v>
      </c>
      <c r="AG60" s="2768">
        <v>65.106607542983994</v>
      </c>
      <c r="AH60" s="2768">
        <v>75.118720195508104</v>
      </c>
      <c r="AI60" s="2768">
        <v>83.622210058991698</v>
      </c>
      <c r="AJ60" s="2768">
        <v>90.920148391412695</v>
      </c>
      <c r="AK60" s="2768">
        <v>98.218086723834105</v>
      </c>
      <c r="AL60" s="2768">
        <v>98.028036246426694</v>
      </c>
      <c r="AM60" s="2768">
        <v>96.787175028118</v>
      </c>
      <c r="AN60" s="2768">
        <v>95.546313809808396</v>
      </c>
      <c r="AO60" s="2766" t="s">
        <v>861</v>
      </c>
    </row>
    <row r="61" spans="1:41" ht="12.75" hidden="1" customHeight="1">
      <c r="A61" s="2759"/>
      <c r="B61" s="2765" t="s">
        <v>3379</v>
      </c>
      <c r="C61" s="2766" t="s">
        <v>3380</v>
      </c>
      <c r="D61" s="2766" t="s">
        <v>3313</v>
      </c>
      <c r="E61" s="2766" t="s">
        <v>3381</v>
      </c>
      <c r="F61" s="2766" t="s">
        <v>3376</v>
      </c>
      <c r="G61" s="2767">
        <v>36891</v>
      </c>
      <c r="H61" s="2767">
        <v>40065</v>
      </c>
      <c r="I61" s="2768">
        <v>108.9</v>
      </c>
      <c r="J61" s="2768">
        <v>98.01</v>
      </c>
      <c r="K61" s="2768">
        <v>88.209000000000003</v>
      </c>
      <c r="L61" s="2768">
        <v>80</v>
      </c>
      <c r="M61" s="2768">
        <v>80</v>
      </c>
      <c r="N61" s="2768">
        <v>80</v>
      </c>
      <c r="O61" s="2768">
        <v>80</v>
      </c>
      <c r="P61" s="2768">
        <v>80</v>
      </c>
      <c r="Q61" s="2768">
        <v>80</v>
      </c>
      <c r="R61" s="2768">
        <v>80</v>
      </c>
      <c r="S61" s="2768">
        <v>80</v>
      </c>
      <c r="T61" s="2768">
        <v>80</v>
      </c>
      <c r="U61" s="2768">
        <v>80</v>
      </c>
      <c r="V61" s="2768">
        <v>80</v>
      </c>
      <c r="W61" s="2768">
        <v>80</v>
      </c>
      <c r="X61" s="2769">
        <v>-2.1787951505482499E-2</v>
      </c>
      <c r="Y61" s="2767">
        <v>36934</v>
      </c>
      <c r="Z61" s="2768">
        <v>108.9</v>
      </c>
      <c r="AA61" s="2768">
        <v>98.01</v>
      </c>
      <c r="AB61" s="2768">
        <v>88.209000000000003</v>
      </c>
      <c r="AC61" s="2768">
        <v>80</v>
      </c>
      <c r="AD61" s="2768">
        <v>80</v>
      </c>
      <c r="AE61" s="2768">
        <v>80</v>
      </c>
      <c r="AF61" s="2768">
        <v>80</v>
      </c>
      <c r="AG61" s="2768">
        <v>80</v>
      </c>
      <c r="AH61" s="2768">
        <v>80</v>
      </c>
      <c r="AI61" s="2768">
        <v>80</v>
      </c>
      <c r="AJ61" s="2768">
        <v>80</v>
      </c>
      <c r="AK61" s="2768">
        <v>80</v>
      </c>
      <c r="AL61" s="2768">
        <v>80</v>
      </c>
      <c r="AM61" s="2768">
        <v>80</v>
      </c>
      <c r="AN61" s="2768">
        <v>80</v>
      </c>
      <c r="AO61" s="2766" t="s">
        <v>861</v>
      </c>
    </row>
    <row r="62" spans="1:41" ht="12.75" hidden="1" customHeight="1">
      <c r="A62" s="2759"/>
      <c r="B62" s="2765" t="s">
        <v>3382</v>
      </c>
      <c r="C62" s="2766" t="s">
        <v>3383</v>
      </c>
      <c r="D62" s="2766" t="s">
        <v>3384</v>
      </c>
      <c r="E62" s="2766" t="s">
        <v>3278</v>
      </c>
      <c r="F62" s="2766" t="s">
        <v>3279</v>
      </c>
      <c r="G62" s="2767">
        <v>38685</v>
      </c>
      <c r="H62" s="2767">
        <v>42402</v>
      </c>
      <c r="I62" s="2765" t="s">
        <v>3079</v>
      </c>
      <c r="J62" s="2765" t="s">
        <v>3079</v>
      </c>
      <c r="K62" s="2765" t="s">
        <v>3079</v>
      </c>
      <c r="L62" s="2765" t="s">
        <v>3079</v>
      </c>
      <c r="M62" s="2768">
        <v>349</v>
      </c>
      <c r="N62" s="2768">
        <v>160</v>
      </c>
      <c r="O62" s="2768">
        <v>67</v>
      </c>
      <c r="P62" s="2768">
        <v>172</v>
      </c>
      <c r="Q62" s="2768">
        <v>131.36500000000001</v>
      </c>
      <c r="R62" s="2768">
        <v>115.958</v>
      </c>
      <c r="S62" s="2768">
        <v>103.8081</v>
      </c>
      <c r="T62" s="2768">
        <v>97.308099999999996</v>
      </c>
      <c r="U62" s="2768">
        <v>91.508099999999999</v>
      </c>
      <c r="V62" s="2768">
        <v>85.708100000000002</v>
      </c>
      <c r="W62" s="2768">
        <v>79.858099999999993</v>
      </c>
      <c r="X62" s="2770" t="s">
        <v>13</v>
      </c>
      <c r="Y62" s="2767">
        <v>38685</v>
      </c>
      <c r="Z62" s="2765" t="s">
        <v>3079</v>
      </c>
      <c r="AA62" s="2765" t="s">
        <v>3079</v>
      </c>
      <c r="AB62" s="2765" t="s">
        <v>3079</v>
      </c>
      <c r="AC62" s="2765" t="s">
        <v>3079</v>
      </c>
      <c r="AD62" s="2768">
        <v>349</v>
      </c>
      <c r="AE62" s="2768">
        <v>160</v>
      </c>
      <c r="AF62" s="2768">
        <v>67</v>
      </c>
      <c r="AG62" s="2768">
        <v>172</v>
      </c>
      <c r="AH62" s="2768">
        <v>131.36500000000001</v>
      </c>
      <c r="AI62" s="2768">
        <v>115.958</v>
      </c>
      <c r="AJ62" s="2768">
        <v>103.8081</v>
      </c>
      <c r="AK62" s="2768">
        <v>97.308099999999996</v>
      </c>
      <c r="AL62" s="2768">
        <v>91.508099999999999</v>
      </c>
      <c r="AM62" s="2768">
        <v>85.708100000000002</v>
      </c>
      <c r="AN62" s="2768">
        <v>79.858099999999993</v>
      </c>
      <c r="AO62" s="2766" t="s">
        <v>861</v>
      </c>
    </row>
    <row r="63" spans="1:41" ht="12.75" hidden="1" customHeight="1">
      <c r="A63" s="2759"/>
      <c r="B63" s="2765" t="s">
        <v>3385</v>
      </c>
      <c r="C63" s="2766" t="s">
        <v>3386</v>
      </c>
      <c r="D63" s="2766" t="s">
        <v>3254</v>
      </c>
      <c r="E63" s="2766" t="s">
        <v>3271</v>
      </c>
      <c r="F63" s="2766" t="s">
        <v>3245</v>
      </c>
      <c r="G63" s="2767">
        <v>36280</v>
      </c>
      <c r="H63" s="2765" t="s">
        <v>3079</v>
      </c>
      <c r="I63" s="2768">
        <v>142.470894721592</v>
      </c>
      <c r="J63" s="2768">
        <v>148.30934408557999</v>
      </c>
      <c r="K63" s="2768">
        <v>137.00670928468401</v>
      </c>
      <c r="L63" s="2768">
        <v>138.40401833742999</v>
      </c>
      <c r="M63" s="2768">
        <v>143.65671826473101</v>
      </c>
      <c r="N63" s="2768">
        <v>123.470504531104</v>
      </c>
      <c r="O63" s="2768">
        <v>112.647091296423</v>
      </c>
      <c r="P63" s="2768">
        <v>95.437010169516796</v>
      </c>
      <c r="Q63" s="2768">
        <v>94.234923781465497</v>
      </c>
      <c r="R63" s="2768">
        <v>89.750938288892897</v>
      </c>
      <c r="S63" s="2768">
        <v>86.855829579093296</v>
      </c>
      <c r="T63" s="2768">
        <v>83.731663247866194</v>
      </c>
      <c r="U63" s="2768">
        <v>80.942839223750397</v>
      </c>
      <c r="V63" s="2768">
        <v>78.440653463231797</v>
      </c>
      <c r="W63" s="2768">
        <v>75.938467702713396</v>
      </c>
      <c r="X63" s="2769">
        <v>-4.3948868432980299E-2</v>
      </c>
      <c r="Y63" s="2767">
        <v>36280</v>
      </c>
      <c r="Z63" s="2768">
        <v>176.49513313921599</v>
      </c>
      <c r="AA63" s="2768">
        <v>183.72789390650999</v>
      </c>
      <c r="AB63" s="2768">
        <v>173.58126115463801</v>
      </c>
      <c r="AC63" s="2768">
        <v>175.35158808873399</v>
      </c>
      <c r="AD63" s="2768">
        <v>182.00651968010101</v>
      </c>
      <c r="AE63" s="2768">
        <v>156.4315061927</v>
      </c>
      <c r="AF63" s="2768">
        <v>142.71873454025501</v>
      </c>
      <c r="AG63" s="2768">
        <v>120.914345527637</v>
      </c>
      <c r="AH63" s="2768">
        <v>119.391356818951</v>
      </c>
      <c r="AI63" s="2768">
        <v>113.710351407876</v>
      </c>
      <c r="AJ63" s="2768">
        <v>110.042380520534</v>
      </c>
      <c r="AK63" s="2768">
        <v>106.084204058501</v>
      </c>
      <c r="AL63" s="2768">
        <v>102.55089102754199</v>
      </c>
      <c r="AM63" s="2768">
        <v>99.380735622586499</v>
      </c>
      <c r="AN63" s="2768">
        <v>96.210580217631204</v>
      </c>
      <c r="AO63" s="2766" t="s">
        <v>861</v>
      </c>
    </row>
    <row r="64" spans="1:41" ht="12.75" hidden="1" customHeight="1">
      <c r="A64" s="2759"/>
      <c r="B64" s="2765" t="s">
        <v>3387</v>
      </c>
      <c r="C64" s="2766" t="s">
        <v>3186</v>
      </c>
      <c r="D64" s="2766" t="s">
        <v>2791</v>
      </c>
      <c r="E64" s="2766" t="s">
        <v>3301</v>
      </c>
      <c r="F64" s="2766" t="s">
        <v>3073</v>
      </c>
      <c r="G64" s="2767">
        <v>38512</v>
      </c>
      <c r="H64" s="2767">
        <v>43023</v>
      </c>
      <c r="I64" s="2765" t="s">
        <v>3079</v>
      </c>
      <c r="J64" s="2765" t="s">
        <v>3079</v>
      </c>
      <c r="K64" s="2765" t="s">
        <v>3079</v>
      </c>
      <c r="L64" s="2765" t="s">
        <v>3079</v>
      </c>
      <c r="M64" s="2768">
        <v>327</v>
      </c>
      <c r="N64" s="2768">
        <v>316</v>
      </c>
      <c r="O64" s="2768">
        <v>254</v>
      </c>
      <c r="P64" s="2768">
        <v>176</v>
      </c>
      <c r="Q64" s="2768">
        <v>132.93464090846501</v>
      </c>
      <c r="R64" s="2768">
        <v>105.17678597138899</v>
      </c>
      <c r="S64" s="2768">
        <v>89.801705680328695</v>
      </c>
      <c r="T64" s="2768">
        <v>80.186674983418598</v>
      </c>
      <c r="U64" s="2768">
        <v>71.529657039808299</v>
      </c>
      <c r="V64" s="2768">
        <v>67.666627712036004</v>
      </c>
      <c r="W64" s="2768">
        <v>63.939666732959701</v>
      </c>
      <c r="X64" s="2770" t="s">
        <v>13</v>
      </c>
      <c r="Y64" s="2767">
        <v>38512</v>
      </c>
      <c r="Z64" s="2765" t="s">
        <v>3079</v>
      </c>
      <c r="AA64" s="2765" t="s">
        <v>3079</v>
      </c>
      <c r="AB64" s="2765" t="s">
        <v>3079</v>
      </c>
      <c r="AC64" s="2765" t="s">
        <v>3079</v>
      </c>
      <c r="AD64" s="2768">
        <v>327</v>
      </c>
      <c r="AE64" s="2768">
        <v>316</v>
      </c>
      <c r="AF64" s="2768">
        <v>254</v>
      </c>
      <c r="AG64" s="2768">
        <v>176</v>
      </c>
      <c r="AH64" s="2768">
        <v>132.93464090846501</v>
      </c>
      <c r="AI64" s="2768">
        <v>105.17678597138899</v>
      </c>
      <c r="AJ64" s="2768">
        <v>89.801705680328695</v>
      </c>
      <c r="AK64" s="2768">
        <v>80.186674983418598</v>
      </c>
      <c r="AL64" s="2768">
        <v>71.529657039808299</v>
      </c>
      <c r="AM64" s="2768">
        <v>67.666627712036004</v>
      </c>
      <c r="AN64" s="2768">
        <v>63.939666732959701</v>
      </c>
      <c r="AO64" s="2766" t="s">
        <v>861</v>
      </c>
    </row>
    <row r="65" spans="1:41" ht="12.75" hidden="1" customHeight="1">
      <c r="A65" s="2759"/>
      <c r="B65" s="2765" t="s">
        <v>3388</v>
      </c>
      <c r="C65" s="2766" t="s">
        <v>3389</v>
      </c>
      <c r="D65" s="2766" t="s">
        <v>2791</v>
      </c>
      <c r="E65" s="2766" t="s">
        <v>3390</v>
      </c>
      <c r="F65" s="2766" t="s">
        <v>3391</v>
      </c>
      <c r="G65" s="2767">
        <v>38472</v>
      </c>
      <c r="H65" s="2767">
        <v>43540</v>
      </c>
      <c r="I65" s="2765" t="s">
        <v>3079</v>
      </c>
      <c r="J65" s="2765" t="s">
        <v>3079</v>
      </c>
      <c r="K65" s="2765" t="s">
        <v>3079</v>
      </c>
      <c r="L65" s="2765" t="s">
        <v>3079</v>
      </c>
      <c r="M65" s="2768">
        <v>61.64</v>
      </c>
      <c r="N65" s="2768">
        <v>44.16</v>
      </c>
      <c r="O65" s="2768">
        <v>36.799999999999997</v>
      </c>
      <c r="P65" s="2768">
        <v>44.16</v>
      </c>
      <c r="Q65" s="2768">
        <v>49.093333333333298</v>
      </c>
      <c r="R65" s="2768">
        <v>51.406666666666702</v>
      </c>
      <c r="S65" s="2768">
        <v>53.72</v>
      </c>
      <c r="T65" s="2768">
        <v>56.033333333333303</v>
      </c>
      <c r="U65" s="2768">
        <v>58.3466666666667</v>
      </c>
      <c r="V65" s="2768">
        <v>60.66</v>
      </c>
      <c r="W65" s="2768">
        <v>63.433333333333302</v>
      </c>
      <c r="X65" s="2770" t="s">
        <v>13</v>
      </c>
      <c r="Y65" s="2767">
        <v>38472</v>
      </c>
      <c r="Z65" s="2765" t="s">
        <v>3079</v>
      </c>
      <c r="AA65" s="2765" t="s">
        <v>3079</v>
      </c>
      <c r="AB65" s="2765" t="s">
        <v>3079</v>
      </c>
      <c r="AC65" s="2765" t="s">
        <v>3079</v>
      </c>
      <c r="AD65" s="2768">
        <v>67</v>
      </c>
      <c r="AE65" s="2768">
        <v>48</v>
      </c>
      <c r="AF65" s="2768">
        <v>40</v>
      </c>
      <c r="AG65" s="2768">
        <v>48</v>
      </c>
      <c r="AH65" s="2768">
        <v>53.362318840579697</v>
      </c>
      <c r="AI65" s="2768">
        <v>55.876811594202898</v>
      </c>
      <c r="AJ65" s="2768">
        <v>58.3913043478261</v>
      </c>
      <c r="AK65" s="2768">
        <v>60.905797101449302</v>
      </c>
      <c r="AL65" s="2768">
        <v>63.420289855072497</v>
      </c>
      <c r="AM65" s="2768">
        <v>65.934782608695699</v>
      </c>
      <c r="AN65" s="2768">
        <v>68.949275362318801</v>
      </c>
      <c r="AO65" s="2766" t="s">
        <v>861</v>
      </c>
    </row>
    <row r="66" spans="1:41" ht="12.75" hidden="1" customHeight="1">
      <c r="A66" s="2759"/>
      <c r="B66" s="2765" t="s">
        <v>3392</v>
      </c>
      <c r="C66" s="2766" t="s">
        <v>3393</v>
      </c>
      <c r="D66" s="2766" t="s">
        <v>3394</v>
      </c>
      <c r="E66" s="2766" t="s">
        <v>3395</v>
      </c>
      <c r="F66" s="2766" t="s">
        <v>3319</v>
      </c>
      <c r="G66" s="2767">
        <v>34450</v>
      </c>
      <c r="H66" s="2767">
        <v>37873</v>
      </c>
      <c r="I66" s="2768">
        <v>180</v>
      </c>
      <c r="J66" s="2768">
        <v>150</v>
      </c>
      <c r="K66" s="2768">
        <v>120</v>
      </c>
      <c r="L66" s="2768">
        <v>90</v>
      </c>
      <c r="M66" s="2768">
        <v>60</v>
      </c>
      <c r="N66" s="2768">
        <v>60</v>
      </c>
      <c r="O66" s="2768">
        <v>60</v>
      </c>
      <c r="P66" s="2768">
        <v>60</v>
      </c>
      <c r="Q66" s="2768">
        <v>60</v>
      </c>
      <c r="R66" s="2768">
        <v>60</v>
      </c>
      <c r="S66" s="2768">
        <v>60</v>
      </c>
      <c r="T66" s="2768">
        <v>60</v>
      </c>
      <c r="U66" s="2768">
        <v>60</v>
      </c>
      <c r="V66" s="2768">
        <v>60</v>
      </c>
      <c r="W66" s="2768">
        <v>60</v>
      </c>
      <c r="X66" s="2769">
        <v>-7.5472336862140096E-2</v>
      </c>
      <c r="Y66" s="2767">
        <v>34450</v>
      </c>
      <c r="Z66" s="2768">
        <v>180</v>
      </c>
      <c r="AA66" s="2768">
        <v>150</v>
      </c>
      <c r="AB66" s="2768">
        <v>120</v>
      </c>
      <c r="AC66" s="2768">
        <v>90</v>
      </c>
      <c r="AD66" s="2768">
        <v>60</v>
      </c>
      <c r="AE66" s="2768">
        <v>60</v>
      </c>
      <c r="AF66" s="2768">
        <v>60</v>
      </c>
      <c r="AG66" s="2768">
        <v>60</v>
      </c>
      <c r="AH66" s="2768">
        <v>60</v>
      </c>
      <c r="AI66" s="2768">
        <v>60</v>
      </c>
      <c r="AJ66" s="2768">
        <v>60</v>
      </c>
      <c r="AK66" s="2768">
        <v>60</v>
      </c>
      <c r="AL66" s="2768">
        <v>60</v>
      </c>
      <c r="AM66" s="2768">
        <v>60</v>
      </c>
      <c r="AN66" s="2768">
        <v>60</v>
      </c>
      <c r="AO66" s="2766" t="s">
        <v>861</v>
      </c>
    </row>
    <row r="67" spans="1:41" ht="12.75" hidden="1" customHeight="1">
      <c r="A67" s="2759"/>
      <c r="B67" s="2765" t="s">
        <v>3396</v>
      </c>
      <c r="C67" s="2766" t="s">
        <v>3397</v>
      </c>
      <c r="D67" s="2766" t="s">
        <v>3398</v>
      </c>
      <c r="E67" s="2766" t="s">
        <v>3399</v>
      </c>
      <c r="F67" s="2766" t="s">
        <v>3400</v>
      </c>
      <c r="G67" s="2767">
        <v>40746</v>
      </c>
      <c r="H67" s="2765" t="s">
        <v>3079</v>
      </c>
      <c r="I67" s="2765" t="s">
        <v>3079</v>
      </c>
      <c r="J67" s="2768">
        <v>8.3887371644194602</v>
      </c>
      <c r="K67" s="2768">
        <v>21.245177061997101</v>
      </c>
      <c r="L67" s="2768">
        <v>26.175858084879501</v>
      </c>
      <c r="M67" s="2768">
        <v>31.334540020339801</v>
      </c>
      <c r="N67" s="2768">
        <v>32.433992592880202</v>
      </c>
      <c r="O67" s="2768">
        <v>38.747599854198697</v>
      </c>
      <c r="P67" s="2768">
        <v>39.929079721909503</v>
      </c>
      <c r="Q67" s="2768">
        <v>43.063638515982198</v>
      </c>
      <c r="R67" s="2768">
        <v>45.027298850574702</v>
      </c>
      <c r="S67" s="2768">
        <v>47.278663793103398</v>
      </c>
      <c r="T67" s="2768">
        <v>49.642596982758597</v>
      </c>
      <c r="U67" s="2768">
        <v>52.124726831896503</v>
      </c>
      <c r="V67" s="2768">
        <v>54.730963173491403</v>
      </c>
      <c r="W67" s="2768">
        <v>57.467511332165898</v>
      </c>
      <c r="X67" s="2770" t="s">
        <v>13</v>
      </c>
      <c r="Y67" s="2767">
        <v>40746</v>
      </c>
      <c r="Z67" s="2765" t="s">
        <v>3079</v>
      </c>
      <c r="AA67" s="2768">
        <v>8.3887371644194602</v>
      </c>
      <c r="AB67" s="2768">
        <v>21.245177061997101</v>
      </c>
      <c r="AC67" s="2768">
        <v>26.175858084879501</v>
      </c>
      <c r="AD67" s="2768">
        <v>31.334540020339801</v>
      </c>
      <c r="AE67" s="2768">
        <v>32.433992592880202</v>
      </c>
      <c r="AF67" s="2768">
        <v>38.747599854198697</v>
      </c>
      <c r="AG67" s="2768">
        <v>39.929079721909503</v>
      </c>
      <c r="AH67" s="2768">
        <v>43.063638515982198</v>
      </c>
      <c r="AI67" s="2768">
        <v>45.027298850574702</v>
      </c>
      <c r="AJ67" s="2768">
        <v>47.278663793103398</v>
      </c>
      <c r="AK67" s="2768">
        <v>49.642596982758597</v>
      </c>
      <c r="AL67" s="2768">
        <v>52.124726831896503</v>
      </c>
      <c r="AM67" s="2768">
        <v>54.730963173491403</v>
      </c>
      <c r="AN67" s="2768">
        <v>57.467511332165898</v>
      </c>
      <c r="AO67" s="2766" t="s">
        <v>861</v>
      </c>
    </row>
    <row r="68" spans="1:41" ht="12.75" hidden="1" customHeight="1">
      <c r="A68" s="2759"/>
      <c r="B68" s="2765" t="s">
        <v>3401</v>
      </c>
      <c r="C68" s="2766" t="s">
        <v>3288</v>
      </c>
      <c r="D68" s="2766" t="s">
        <v>3402</v>
      </c>
      <c r="E68" s="2766" t="s">
        <v>3290</v>
      </c>
      <c r="F68" s="2766" t="s">
        <v>3258</v>
      </c>
      <c r="G68" s="2767">
        <v>39263</v>
      </c>
      <c r="H68" s="2765" t="s">
        <v>3079</v>
      </c>
      <c r="I68" s="2768">
        <v>32.644964475373897</v>
      </c>
      <c r="J68" s="2768">
        <v>51.221109816360403</v>
      </c>
      <c r="K68" s="2768">
        <v>56.446054553249098</v>
      </c>
      <c r="L68" s="2768">
        <v>61.6387400554338</v>
      </c>
      <c r="M68" s="2768">
        <v>61.470377121155302</v>
      </c>
      <c r="N68" s="2768">
        <v>48.9641708816213</v>
      </c>
      <c r="O68" s="2768">
        <v>52.301437648496197</v>
      </c>
      <c r="P68" s="2768">
        <v>54.784368889531301</v>
      </c>
      <c r="Q68" s="2768">
        <v>57.377125089723002</v>
      </c>
      <c r="R68" s="2768">
        <v>56.210408607783002</v>
      </c>
      <c r="S68" s="2768">
        <v>55.367475918825903</v>
      </c>
      <c r="T68" s="2768">
        <v>53.844575352356301</v>
      </c>
      <c r="U68" s="2768">
        <v>52.892100255431401</v>
      </c>
      <c r="V68" s="2768">
        <v>52.029853957844601</v>
      </c>
      <c r="W68" s="2768">
        <v>51.239777469699199</v>
      </c>
      <c r="X68" s="2769">
        <v>3.2725911797550203E-2</v>
      </c>
      <c r="Y68" s="2767">
        <v>39263</v>
      </c>
      <c r="Z68" s="2768">
        <v>32.644964475373897</v>
      </c>
      <c r="AA68" s="2768">
        <v>51.221109816360403</v>
      </c>
      <c r="AB68" s="2768">
        <v>56.446054553249098</v>
      </c>
      <c r="AC68" s="2768">
        <v>61.6387400554338</v>
      </c>
      <c r="AD68" s="2768">
        <v>61.470377121155302</v>
      </c>
      <c r="AE68" s="2768">
        <v>48.9641708816213</v>
      </c>
      <c r="AF68" s="2768">
        <v>52.301437648496197</v>
      </c>
      <c r="AG68" s="2768">
        <v>54.784368889531301</v>
      </c>
      <c r="AH68" s="2768">
        <v>57.377125089723002</v>
      </c>
      <c r="AI68" s="2768">
        <v>56.210408607783002</v>
      </c>
      <c r="AJ68" s="2768">
        <v>55.367475918825903</v>
      </c>
      <c r="AK68" s="2768">
        <v>53.844575352356301</v>
      </c>
      <c r="AL68" s="2768">
        <v>52.892100255431401</v>
      </c>
      <c r="AM68" s="2768">
        <v>52.029853957844601</v>
      </c>
      <c r="AN68" s="2768">
        <v>51.239777469699199</v>
      </c>
      <c r="AO68" s="2766" t="s">
        <v>861</v>
      </c>
    </row>
    <row r="69" spans="1:41" ht="12.75" hidden="1" customHeight="1">
      <c r="A69" s="2759"/>
      <c r="B69" s="2765" t="s">
        <v>3403</v>
      </c>
      <c r="C69" s="2766" t="s">
        <v>3277</v>
      </c>
      <c r="D69" s="2766" t="s">
        <v>2392</v>
      </c>
      <c r="E69" s="2766" t="s">
        <v>3278</v>
      </c>
      <c r="F69" s="2766" t="s">
        <v>3279</v>
      </c>
      <c r="G69" s="2767">
        <v>40329</v>
      </c>
      <c r="H69" s="2765" t="s">
        <v>3079</v>
      </c>
      <c r="I69" s="2768">
        <v>3.50936153144883</v>
      </c>
      <c r="J69" s="2768">
        <v>98.841914440624194</v>
      </c>
      <c r="K69" s="2768">
        <v>145.16605745835901</v>
      </c>
      <c r="L69" s="2768">
        <v>157.78372873369401</v>
      </c>
      <c r="M69" s="2768">
        <v>156.29429212490601</v>
      </c>
      <c r="N69" s="2768">
        <v>122.520832968938</v>
      </c>
      <c r="O69" s="2768">
        <v>103.59130867299</v>
      </c>
      <c r="P69" s="2768">
        <v>98.369178348464501</v>
      </c>
      <c r="Q69" s="2768">
        <v>90.874869878805598</v>
      </c>
      <c r="R69" s="2768">
        <v>87.8793407529039</v>
      </c>
      <c r="S69" s="2768">
        <v>80.885483184333694</v>
      </c>
      <c r="T69" s="2768">
        <v>75.081200826198696</v>
      </c>
      <c r="U69" s="2768">
        <v>66.899275095138506</v>
      </c>
      <c r="V69" s="2768">
        <v>58.717349364078402</v>
      </c>
      <c r="W69" s="2768">
        <v>50.535423633018297</v>
      </c>
      <c r="X69" s="2769">
        <v>0.209875151111209</v>
      </c>
      <c r="Y69" s="2767">
        <v>40329</v>
      </c>
      <c r="Z69" s="2768">
        <v>3.50936153144883</v>
      </c>
      <c r="AA69" s="2768">
        <v>98.841914440624194</v>
      </c>
      <c r="AB69" s="2768">
        <v>145.16605745835901</v>
      </c>
      <c r="AC69" s="2768">
        <v>157.78372873369401</v>
      </c>
      <c r="AD69" s="2768">
        <v>156.29429212490601</v>
      </c>
      <c r="AE69" s="2768">
        <v>122.520832968938</v>
      </c>
      <c r="AF69" s="2768">
        <v>103.59130867299</v>
      </c>
      <c r="AG69" s="2768">
        <v>98.369178348464501</v>
      </c>
      <c r="AH69" s="2768">
        <v>90.874869878805598</v>
      </c>
      <c r="AI69" s="2768">
        <v>87.8793407529039</v>
      </c>
      <c r="AJ69" s="2768">
        <v>80.885483184333694</v>
      </c>
      <c r="AK69" s="2768">
        <v>75.081200826198696</v>
      </c>
      <c r="AL69" s="2768">
        <v>66.899275095138506</v>
      </c>
      <c r="AM69" s="2768">
        <v>58.717349364078402</v>
      </c>
      <c r="AN69" s="2768">
        <v>50.535423633018297</v>
      </c>
      <c r="AO69" s="2766" t="s">
        <v>861</v>
      </c>
    </row>
    <row r="70" spans="1:41" ht="12.75" hidden="1" customHeight="1">
      <c r="A70" s="2759"/>
      <c r="B70" s="2765" t="s">
        <v>3404</v>
      </c>
      <c r="C70" s="2766" t="s">
        <v>3405</v>
      </c>
      <c r="D70" s="2766" t="s">
        <v>3406</v>
      </c>
      <c r="E70" s="2766" t="s">
        <v>3278</v>
      </c>
      <c r="F70" s="2766" t="s">
        <v>3279</v>
      </c>
      <c r="G70" s="2767">
        <v>37284</v>
      </c>
      <c r="H70" s="2765" t="s">
        <v>3079</v>
      </c>
      <c r="I70" s="2768">
        <v>31.604048070841198</v>
      </c>
      <c r="J70" s="2768">
        <v>29.181598656120901</v>
      </c>
      <c r="K70" s="2768">
        <v>27.437956204379599</v>
      </c>
      <c r="L70" s="2768">
        <v>28.311111111111099</v>
      </c>
      <c r="M70" s="2768">
        <v>28.825664062644002</v>
      </c>
      <c r="N70" s="2768">
        <v>31.3816258280828</v>
      </c>
      <c r="O70" s="2768">
        <v>32.513600672165701</v>
      </c>
      <c r="P70" s="2768">
        <v>36.302739944208199</v>
      </c>
      <c r="Q70" s="2768">
        <v>39.299855589088899</v>
      </c>
      <c r="R70" s="2768">
        <v>39.068369463284597</v>
      </c>
      <c r="S70" s="2768">
        <v>40.1024403277993</v>
      </c>
      <c r="T70" s="2768">
        <v>40.878893343973097</v>
      </c>
      <c r="U70" s="2768">
        <v>41.7095818746213</v>
      </c>
      <c r="V70" s="2768">
        <v>42.531316517523699</v>
      </c>
      <c r="W70" s="2768">
        <v>43.281001159998603</v>
      </c>
      <c r="X70" s="2769">
        <v>2.27132883868175E-2</v>
      </c>
      <c r="Y70" s="2767">
        <v>37284</v>
      </c>
      <c r="Z70" s="2768">
        <v>31.604048070841198</v>
      </c>
      <c r="AA70" s="2768">
        <v>29.181598656120901</v>
      </c>
      <c r="AB70" s="2768">
        <v>27.437956204379599</v>
      </c>
      <c r="AC70" s="2768">
        <v>28.311111111111099</v>
      </c>
      <c r="AD70" s="2768">
        <v>28.825664062644002</v>
      </c>
      <c r="AE70" s="2768">
        <v>31.3816258280828</v>
      </c>
      <c r="AF70" s="2768">
        <v>32.513600672165701</v>
      </c>
      <c r="AG70" s="2768">
        <v>36.302739944208199</v>
      </c>
      <c r="AH70" s="2768">
        <v>39.299855589088899</v>
      </c>
      <c r="AI70" s="2768">
        <v>39.068369463284597</v>
      </c>
      <c r="AJ70" s="2768">
        <v>40.1024403277993</v>
      </c>
      <c r="AK70" s="2768">
        <v>40.878893343973097</v>
      </c>
      <c r="AL70" s="2768">
        <v>41.7095818746213</v>
      </c>
      <c r="AM70" s="2768">
        <v>42.531316517523699</v>
      </c>
      <c r="AN70" s="2768">
        <v>43.281001159998603</v>
      </c>
      <c r="AO70" s="2766" t="s">
        <v>861</v>
      </c>
    </row>
    <row r="71" spans="1:41" ht="12.75" hidden="1" customHeight="1">
      <c r="A71" s="2759"/>
      <c r="B71" s="2765" t="s">
        <v>3407</v>
      </c>
      <c r="C71" s="2766" t="s">
        <v>3408</v>
      </c>
      <c r="D71" s="2766" t="s">
        <v>2392</v>
      </c>
      <c r="E71" s="2766" t="s">
        <v>3409</v>
      </c>
      <c r="F71" s="2766" t="s">
        <v>3410</v>
      </c>
      <c r="G71" s="2767">
        <v>44561</v>
      </c>
      <c r="H71" s="2765" t="s">
        <v>3079</v>
      </c>
      <c r="I71" s="2765" t="s">
        <v>3079</v>
      </c>
      <c r="J71" s="2765" t="s">
        <v>3079</v>
      </c>
      <c r="K71" s="2765" t="s">
        <v>3079</v>
      </c>
      <c r="L71" s="2765" t="s">
        <v>3079</v>
      </c>
      <c r="M71" s="2765" t="s">
        <v>3079</v>
      </c>
      <c r="N71" s="2765" t="s">
        <v>3079</v>
      </c>
      <c r="O71" s="2765" t="s">
        <v>3079</v>
      </c>
      <c r="P71" s="2765" t="s">
        <v>3079</v>
      </c>
      <c r="Q71" s="2765" t="s">
        <v>3079</v>
      </c>
      <c r="R71" s="2765" t="s">
        <v>3079</v>
      </c>
      <c r="S71" s="2765" t="s">
        <v>3079</v>
      </c>
      <c r="T71" s="2768">
        <v>6.0816152770175798</v>
      </c>
      <c r="U71" s="2768">
        <v>18.2448458310527</v>
      </c>
      <c r="V71" s="2768">
        <v>30.408076385087799</v>
      </c>
      <c r="W71" s="2768">
        <v>42.571306939122998</v>
      </c>
      <c r="X71" s="2770" t="s">
        <v>13</v>
      </c>
      <c r="Y71" s="2767">
        <v>44561</v>
      </c>
      <c r="Z71" s="2765" t="s">
        <v>3079</v>
      </c>
      <c r="AA71" s="2765" t="s">
        <v>3079</v>
      </c>
      <c r="AB71" s="2765" t="s">
        <v>3079</v>
      </c>
      <c r="AC71" s="2765" t="s">
        <v>3079</v>
      </c>
      <c r="AD71" s="2765" t="s">
        <v>3079</v>
      </c>
      <c r="AE71" s="2765" t="s">
        <v>3079</v>
      </c>
      <c r="AF71" s="2765" t="s">
        <v>3079</v>
      </c>
      <c r="AG71" s="2765" t="s">
        <v>3079</v>
      </c>
      <c r="AH71" s="2765" t="s">
        <v>3079</v>
      </c>
      <c r="AI71" s="2765" t="s">
        <v>3079</v>
      </c>
      <c r="AJ71" s="2765" t="s">
        <v>3079</v>
      </c>
      <c r="AK71" s="2768">
        <v>6.0816152770175798</v>
      </c>
      <c r="AL71" s="2768">
        <v>18.2448458310527</v>
      </c>
      <c r="AM71" s="2768">
        <v>30.408076385087799</v>
      </c>
      <c r="AN71" s="2768">
        <v>42.571306939122998</v>
      </c>
      <c r="AO71" s="2766" t="s">
        <v>518</v>
      </c>
    </row>
    <row r="72" spans="1:41" ht="12.75" hidden="1" customHeight="1">
      <c r="A72" s="2759"/>
      <c r="B72" s="2765" t="s">
        <v>3411</v>
      </c>
      <c r="C72" s="2766" t="s">
        <v>3412</v>
      </c>
      <c r="D72" s="2766" t="s">
        <v>3413</v>
      </c>
      <c r="E72" s="2766" t="s">
        <v>3414</v>
      </c>
      <c r="F72" s="2766" t="s">
        <v>3286</v>
      </c>
      <c r="G72" s="2767">
        <v>38728</v>
      </c>
      <c r="H72" s="2767">
        <v>42287</v>
      </c>
      <c r="I72" s="2765" t="s">
        <v>3079</v>
      </c>
      <c r="J72" s="2765" t="s">
        <v>3079</v>
      </c>
      <c r="K72" s="2765" t="s">
        <v>3079</v>
      </c>
      <c r="L72" s="2765" t="s">
        <v>3079</v>
      </c>
      <c r="M72" s="2768">
        <v>166.66301128980999</v>
      </c>
      <c r="N72" s="2768">
        <v>150.98953188716101</v>
      </c>
      <c r="O72" s="2768">
        <v>161.294718708011</v>
      </c>
      <c r="P72" s="2768">
        <v>108.80830301704199</v>
      </c>
      <c r="Q72" s="2768">
        <v>100.860118582871</v>
      </c>
      <c r="R72" s="2768">
        <v>86.842377019375604</v>
      </c>
      <c r="S72" s="2768">
        <v>75.113658078368104</v>
      </c>
      <c r="T72" s="2768">
        <v>64.984751788949197</v>
      </c>
      <c r="U72" s="2768">
        <v>56.238743554782602</v>
      </c>
      <c r="V72" s="2768">
        <v>48.6763112694901</v>
      </c>
      <c r="W72" s="2768">
        <v>42.136205394153301</v>
      </c>
      <c r="X72" s="2770" t="s">
        <v>13</v>
      </c>
      <c r="Y72" s="2767">
        <v>38728</v>
      </c>
      <c r="Z72" s="2765" t="s">
        <v>3079</v>
      </c>
      <c r="AA72" s="2765" t="s">
        <v>3079</v>
      </c>
      <c r="AB72" s="2765" t="s">
        <v>3079</v>
      </c>
      <c r="AC72" s="2765" t="s">
        <v>3079</v>
      </c>
      <c r="AD72" s="2768">
        <v>166.66301128980999</v>
      </c>
      <c r="AE72" s="2768">
        <v>150.98953188716101</v>
      </c>
      <c r="AF72" s="2768">
        <v>161.294718708011</v>
      </c>
      <c r="AG72" s="2768">
        <v>108.80830301704199</v>
      </c>
      <c r="AH72" s="2768">
        <v>100.860118582871</v>
      </c>
      <c r="AI72" s="2768">
        <v>86.842377019375604</v>
      </c>
      <c r="AJ72" s="2768">
        <v>75.113658078368104</v>
      </c>
      <c r="AK72" s="2768">
        <v>64.984751788949197</v>
      </c>
      <c r="AL72" s="2768">
        <v>56.238743554782602</v>
      </c>
      <c r="AM72" s="2768">
        <v>48.6763112694901</v>
      </c>
      <c r="AN72" s="2768">
        <v>42.136205394153301</v>
      </c>
      <c r="AO72" s="2766" t="s">
        <v>861</v>
      </c>
    </row>
    <row r="73" spans="1:41" ht="12.75" hidden="1" customHeight="1">
      <c r="A73" s="2759"/>
      <c r="B73" s="2765" t="s">
        <v>3415</v>
      </c>
      <c r="C73" s="2766" t="s">
        <v>3416</v>
      </c>
      <c r="D73" s="2766" t="s">
        <v>3417</v>
      </c>
      <c r="E73" s="2766" t="s">
        <v>3418</v>
      </c>
      <c r="F73" s="2766" t="s">
        <v>3258</v>
      </c>
      <c r="G73" s="2767">
        <v>41261</v>
      </c>
      <c r="H73" s="2765" t="s">
        <v>3079</v>
      </c>
      <c r="I73" s="2765" t="s">
        <v>3079</v>
      </c>
      <c r="J73" s="2765" t="s">
        <v>3079</v>
      </c>
      <c r="K73" s="2765" t="s">
        <v>3079</v>
      </c>
      <c r="L73" s="2768">
        <v>4.2960938256753396</v>
      </c>
      <c r="M73" s="2768">
        <v>9.7843679812070299</v>
      </c>
      <c r="N73" s="2768">
        <v>12.200041319670801</v>
      </c>
      <c r="O73" s="2768">
        <v>14.915433872608199</v>
      </c>
      <c r="P73" s="2768">
        <v>18.410604166182701</v>
      </c>
      <c r="Q73" s="2768">
        <v>22.5677519632012</v>
      </c>
      <c r="R73" s="2768">
        <v>25.807649461566999</v>
      </c>
      <c r="S73" s="2768">
        <v>29.056813962124</v>
      </c>
      <c r="T73" s="2768">
        <v>32.305978462680997</v>
      </c>
      <c r="U73" s="2768">
        <v>35.555142963237998</v>
      </c>
      <c r="V73" s="2768">
        <v>38.804307463794999</v>
      </c>
      <c r="W73" s="2768">
        <v>42.053471964351999</v>
      </c>
      <c r="X73" s="2770" t="s">
        <v>13</v>
      </c>
      <c r="Y73" s="2767">
        <v>41261</v>
      </c>
      <c r="Z73" s="2765" t="s">
        <v>3079</v>
      </c>
      <c r="AA73" s="2765" t="s">
        <v>3079</v>
      </c>
      <c r="AB73" s="2765" t="s">
        <v>3079</v>
      </c>
      <c r="AC73" s="2768">
        <v>4.2960938256753396</v>
      </c>
      <c r="AD73" s="2768">
        <v>9.7843679812070299</v>
      </c>
      <c r="AE73" s="2768">
        <v>12.200041319670801</v>
      </c>
      <c r="AF73" s="2768">
        <v>14.915433872608199</v>
      </c>
      <c r="AG73" s="2768">
        <v>18.410604166182701</v>
      </c>
      <c r="AH73" s="2768">
        <v>22.5677519632012</v>
      </c>
      <c r="AI73" s="2768">
        <v>25.807649461566999</v>
      </c>
      <c r="AJ73" s="2768">
        <v>29.056813962124</v>
      </c>
      <c r="AK73" s="2768">
        <v>32.305978462680997</v>
      </c>
      <c r="AL73" s="2768">
        <v>35.555142963237998</v>
      </c>
      <c r="AM73" s="2768">
        <v>38.804307463794999</v>
      </c>
      <c r="AN73" s="2768">
        <v>42.053471964351999</v>
      </c>
      <c r="AO73" s="2766" t="s">
        <v>861</v>
      </c>
    </row>
    <row r="74" spans="1:41" ht="12.75" hidden="1" customHeight="1">
      <c r="A74" s="2759"/>
      <c r="B74" s="2765" t="s">
        <v>3419</v>
      </c>
      <c r="C74" s="2766" t="s">
        <v>3420</v>
      </c>
      <c r="D74" s="2766" t="s">
        <v>3421</v>
      </c>
      <c r="E74" s="2766" t="s">
        <v>3301</v>
      </c>
      <c r="F74" s="2766" t="s">
        <v>3073</v>
      </c>
      <c r="G74" s="2767">
        <v>43465</v>
      </c>
      <c r="H74" s="2765" t="s">
        <v>3079</v>
      </c>
      <c r="I74" s="2765" t="s">
        <v>3079</v>
      </c>
      <c r="J74" s="2765" t="s">
        <v>3079</v>
      </c>
      <c r="K74" s="2765" t="s">
        <v>3079</v>
      </c>
      <c r="L74" s="2765" t="s">
        <v>3079</v>
      </c>
      <c r="M74" s="2765" t="s">
        <v>3079</v>
      </c>
      <c r="N74" s="2765" t="s">
        <v>3079</v>
      </c>
      <c r="O74" s="2765" t="s">
        <v>3079</v>
      </c>
      <c r="P74" s="2765" t="s">
        <v>3079</v>
      </c>
      <c r="Q74" s="2768">
        <v>12.958125000000001</v>
      </c>
      <c r="R74" s="2768">
        <v>19.31625</v>
      </c>
      <c r="S74" s="2768">
        <v>19.252749999999999</v>
      </c>
      <c r="T74" s="2768">
        <v>24.252749999999999</v>
      </c>
      <c r="U74" s="2768">
        <v>29.252749999999999</v>
      </c>
      <c r="V74" s="2768">
        <v>34.252749999999999</v>
      </c>
      <c r="W74" s="2768">
        <v>39.252749999999999</v>
      </c>
      <c r="X74" s="2770" t="s">
        <v>13</v>
      </c>
      <c r="Y74" s="2767">
        <v>43465</v>
      </c>
      <c r="Z74" s="2765" t="s">
        <v>3079</v>
      </c>
      <c r="AA74" s="2765" t="s">
        <v>3079</v>
      </c>
      <c r="AB74" s="2765" t="s">
        <v>3079</v>
      </c>
      <c r="AC74" s="2765" t="s">
        <v>3079</v>
      </c>
      <c r="AD74" s="2765" t="s">
        <v>3079</v>
      </c>
      <c r="AE74" s="2765" t="s">
        <v>3079</v>
      </c>
      <c r="AF74" s="2765" t="s">
        <v>3079</v>
      </c>
      <c r="AG74" s="2765" t="s">
        <v>3079</v>
      </c>
      <c r="AH74" s="2768">
        <v>12.958125000000001</v>
      </c>
      <c r="AI74" s="2768">
        <v>19.31625</v>
      </c>
      <c r="AJ74" s="2768">
        <v>19.252749999999999</v>
      </c>
      <c r="AK74" s="2768">
        <v>24.252749999999999</v>
      </c>
      <c r="AL74" s="2768">
        <v>29.252749999999999</v>
      </c>
      <c r="AM74" s="2768">
        <v>34.252749999999999</v>
      </c>
      <c r="AN74" s="2768">
        <v>39.252749999999999</v>
      </c>
      <c r="AO74" s="2766" t="s">
        <v>3422</v>
      </c>
    </row>
    <row r="75" spans="1:41" ht="12.75" hidden="1" customHeight="1">
      <c r="A75" s="2759"/>
      <c r="B75" s="2765" t="s">
        <v>3423</v>
      </c>
      <c r="C75" s="2766" t="s">
        <v>3424</v>
      </c>
      <c r="D75" s="2766" t="s">
        <v>3425</v>
      </c>
      <c r="E75" s="2766" t="s">
        <v>3079</v>
      </c>
      <c r="F75" s="2766" t="s">
        <v>3426</v>
      </c>
      <c r="G75" s="2767">
        <v>44926</v>
      </c>
      <c r="H75" s="2765" t="s">
        <v>3079</v>
      </c>
      <c r="I75" s="2765" t="s">
        <v>3079</v>
      </c>
      <c r="J75" s="2765" t="s">
        <v>3079</v>
      </c>
      <c r="K75" s="2765" t="s">
        <v>3079</v>
      </c>
      <c r="L75" s="2765" t="s">
        <v>3079</v>
      </c>
      <c r="M75" s="2765" t="s">
        <v>3079</v>
      </c>
      <c r="N75" s="2765" t="s">
        <v>3079</v>
      </c>
      <c r="O75" s="2765" t="s">
        <v>3079</v>
      </c>
      <c r="P75" s="2765" t="s">
        <v>3079</v>
      </c>
      <c r="Q75" s="2765" t="s">
        <v>3079</v>
      </c>
      <c r="R75" s="2765" t="s">
        <v>3079</v>
      </c>
      <c r="S75" s="2765" t="s">
        <v>3079</v>
      </c>
      <c r="T75" s="2765" t="s">
        <v>3079</v>
      </c>
      <c r="U75" s="2768">
        <v>13.9439034984453</v>
      </c>
      <c r="V75" s="2768">
        <v>25.982499632491201</v>
      </c>
      <c r="W75" s="2768">
        <v>37.663888335689002</v>
      </c>
      <c r="X75" s="2770" t="s">
        <v>13</v>
      </c>
      <c r="Y75" s="2767">
        <v>44926</v>
      </c>
      <c r="Z75" s="2765" t="s">
        <v>3079</v>
      </c>
      <c r="AA75" s="2765" t="s">
        <v>3079</v>
      </c>
      <c r="AB75" s="2765" t="s">
        <v>3079</v>
      </c>
      <c r="AC75" s="2765" t="s">
        <v>3079</v>
      </c>
      <c r="AD75" s="2765" t="s">
        <v>3079</v>
      </c>
      <c r="AE75" s="2765" t="s">
        <v>3079</v>
      </c>
      <c r="AF75" s="2765" t="s">
        <v>3079</v>
      </c>
      <c r="AG75" s="2765" t="s">
        <v>3079</v>
      </c>
      <c r="AH75" s="2765" t="s">
        <v>3079</v>
      </c>
      <c r="AI75" s="2765" t="s">
        <v>3079</v>
      </c>
      <c r="AJ75" s="2765" t="s">
        <v>3079</v>
      </c>
      <c r="AK75" s="2765" t="s">
        <v>3079</v>
      </c>
      <c r="AL75" s="2768">
        <v>13.9439034984453</v>
      </c>
      <c r="AM75" s="2768">
        <v>25.982499632491201</v>
      </c>
      <c r="AN75" s="2768">
        <v>37.663888335689002</v>
      </c>
      <c r="AO75" s="2766" t="s">
        <v>510</v>
      </c>
    </row>
    <row r="76" spans="1:41" ht="12.75" hidden="1" customHeight="1">
      <c r="A76" s="2759"/>
      <c r="B76" s="2765" t="s">
        <v>3427</v>
      </c>
      <c r="C76" s="2766" t="s">
        <v>3428</v>
      </c>
      <c r="D76" s="2766" t="s">
        <v>3425</v>
      </c>
      <c r="E76" s="2766" t="s">
        <v>3079</v>
      </c>
      <c r="F76" s="2766" t="s">
        <v>3429</v>
      </c>
      <c r="G76" s="2767">
        <v>44926</v>
      </c>
      <c r="H76" s="2765" t="s">
        <v>3079</v>
      </c>
      <c r="I76" s="2765" t="s">
        <v>3079</v>
      </c>
      <c r="J76" s="2765" t="s">
        <v>3079</v>
      </c>
      <c r="K76" s="2765" t="s">
        <v>3079</v>
      </c>
      <c r="L76" s="2765" t="s">
        <v>3079</v>
      </c>
      <c r="M76" s="2765" t="s">
        <v>3079</v>
      </c>
      <c r="N76" s="2765" t="s">
        <v>3079</v>
      </c>
      <c r="O76" s="2765" t="s">
        <v>3079</v>
      </c>
      <c r="P76" s="2765" t="s">
        <v>3079</v>
      </c>
      <c r="Q76" s="2765" t="s">
        <v>3079</v>
      </c>
      <c r="R76" s="2765" t="s">
        <v>3079</v>
      </c>
      <c r="S76" s="2765" t="s">
        <v>3079</v>
      </c>
      <c r="T76" s="2765" t="s">
        <v>3079</v>
      </c>
      <c r="U76" s="2768">
        <v>13.9439034984453</v>
      </c>
      <c r="V76" s="2768">
        <v>25.982499632491201</v>
      </c>
      <c r="W76" s="2768">
        <v>37.663888335689002</v>
      </c>
      <c r="X76" s="2770" t="s">
        <v>13</v>
      </c>
      <c r="Y76" s="2767">
        <v>44926</v>
      </c>
      <c r="Z76" s="2765" t="s">
        <v>3079</v>
      </c>
      <c r="AA76" s="2765" t="s">
        <v>3079</v>
      </c>
      <c r="AB76" s="2765" t="s">
        <v>3079</v>
      </c>
      <c r="AC76" s="2765" t="s">
        <v>3079</v>
      </c>
      <c r="AD76" s="2765" t="s">
        <v>3079</v>
      </c>
      <c r="AE76" s="2765" t="s">
        <v>3079</v>
      </c>
      <c r="AF76" s="2765" t="s">
        <v>3079</v>
      </c>
      <c r="AG76" s="2765" t="s">
        <v>3079</v>
      </c>
      <c r="AH76" s="2765" t="s">
        <v>3079</v>
      </c>
      <c r="AI76" s="2765" t="s">
        <v>3079</v>
      </c>
      <c r="AJ76" s="2765" t="s">
        <v>3079</v>
      </c>
      <c r="AK76" s="2765" t="s">
        <v>3079</v>
      </c>
      <c r="AL76" s="2768">
        <v>13.9439034984453</v>
      </c>
      <c r="AM76" s="2768">
        <v>25.982499632491201</v>
      </c>
      <c r="AN76" s="2768">
        <v>37.663888335689002</v>
      </c>
      <c r="AO76" s="2766" t="s">
        <v>510</v>
      </c>
    </row>
    <row r="77" spans="1:41" ht="12.75" hidden="1" customHeight="1">
      <c r="A77" s="2759"/>
      <c r="B77" s="2765" t="s">
        <v>3430</v>
      </c>
      <c r="C77" s="2766" t="s">
        <v>3431</v>
      </c>
      <c r="D77" s="2766" t="s">
        <v>3432</v>
      </c>
      <c r="E77" s="2766" t="s">
        <v>3328</v>
      </c>
      <c r="F77" s="2766" t="s">
        <v>3319</v>
      </c>
      <c r="G77" s="2767">
        <v>39447</v>
      </c>
      <c r="H77" s="2765" t="s">
        <v>3079</v>
      </c>
      <c r="I77" s="2765" t="s">
        <v>3079</v>
      </c>
      <c r="J77" s="2768">
        <v>9.6972006648926108</v>
      </c>
      <c r="K77" s="2768">
        <v>11.276841842598101</v>
      </c>
      <c r="L77" s="2768">
        <v>13.730354976982699</v>
      </c>
      <c r="M77" s="2768">
        <v>17.496898881388901</v>
      </c>
      <c r="N77" s="2768">
        <v>22.195047785621298</v>
      </c>
      <c r="O77" s="2768">
        <v>25.440721583726599</v>
      </c>
      <c r="P77" s="2768">
        <v>27.573117182388401</v>
      </c>
      <c r="Q77" s="2768">
        <v>28.302373670965999</v>
      </c>
      <c r="R77" s="2768">
        <v>29.311086953301</v>
      </c>
      <c r="S77" s="2768">
        <v>30.776641300965998</v>
      </c>
      <c r="T77" s="2768">
        <v>32.315473366014302</v>
      </c>
      <c r="U77" s="2768">
        <v>33.931247034315099</v>
      </c>
      <c r="V77" s="2768">
        <v>35.627809386030798</v>
      </c>
      <c r="W77" s="2768">
        <v>37.409199855332403</v>
      </c>
      <c r="X77" s="2770" t="s">
        <v>13</v>
      </c>
      <c r="Y77" s="2767">
        <v>39447</v>
      </c>
      <c r="Z77" s="2765" t="s">
        <v>3079</v>
      </c>
      <c r="AA77" s="2768">
        <v>9.6972006648926108</v>
      </c>
      <c r="AB77" s="2768">
        <v>11.276841842598101</v>
      </c>
      <c r="AC77" s="2768">
        <v>13.730354976982699</v>
      </c>
      <c r="AD77" s="2768">
        <v>17.496898881388901</v>
      </c>
      <c r="AE77" s="2768">
        <v>22.195047785621298</v>
      </c>
      <c r="AF77" s="2768">
        <v>25.440721583726599</v>
      </c>
      <c r="AG77" s="2768">
        <v>27.573117182388401</v>
      </c>
      <c r="AH77" s="2768">
        <v>28.302373670965999</v>
      </c>
      <c r="AI77" s="2768">
        <v>29.311086953301</v>
      </c>
      <c r="AJ77" s="2768">
        <v>30.776641300965998</v>
      </c>
      <c r="AK77" s="2768">
        <v>32.315473366014302</v>
      </c>
      <c r="AL77" s="2768">
        <v>33.931247034315099</v>
      </c>
      <c r="AM77" s="2768">
        <v>35.627809386030798</v>
      </c>
      <c r="AN77" s="2768">
        <v>37.409199855332403</v>
      </c>
      <c r="AO77" s="2766" t="s">
        <v>861</v>
      </c>
    </row>
    <row r="78" spans="1:41" ht="12.75" hidden="1" customHeight="1">
      <c r="A78" s="2759"/>
      <c r="B78" s="2765" t="s">
        <v>3433</v>
      </c>
      <c r="C78" s="2766" t="s">
        <v>3277</v>
      </c>
      <c r="D78" s="2766" t="s">
        <v>3434</v>
      </c>
      <c r="E78" s="2766" t="s">
        <v>3278</v>
      </c>
      <c r="F78" s="2766" t="s">
        <v>3279</v>
      </c>
      <c r="G78" s="2767">
        <v>34819</v>
      </c>
      <c r="H78" s="2767">
        <v>37287</v>
      </c>
      <c r="I78" s="2768">
        <v>70</v>
      </c>
      <c r="J78" s="2768">
        <v>93</v>
      </c>
      <c r="K78" s="2768">
        <v>71</v>
      </c>
      <c r="L78" s="2768">
        <v>57</v>
      </c>
      <c r="M78" s="2768">
        <v>46</v>
      </c>
      <c r="N78" s="2768">
        <v>37</v>
      </c>
      <c r="O78" s="2768">
        <v>37</v>
      </c>
      <c r="P78" s="2768">
        <v>37</v>
      </c>
      <c r="Q78" s="2768">
        <v>37</v>
      </c>
      <c r="R78" s="2768">
        <v>37</v>
      </c>
      <c r="S78" s="2768">
        <v>37</v>
      </c>
      <c r="T78" s="2768">
        <v>37</v>
      </c>
      <c r="U78" s="2768">
        <v>37</v>
      </c>
      <c r="V78" s="2768">
        <v>37</v>
      </c>
      <c r="W78" s="2768">
        <v>37</v>
      </c>
      <c r="X78" s="2769">
        <v>-4.4519800155866401E-2</v>
      </c>
      <c r="Y78" s="2767">
        <v>34819</v>
      </c>
      <c r="Z78" s="2768">
        <v>70</v>
      </c>
      <c r="AA78" s="2768">
        <v>93</v>
      </c>
      <c r="AB78" s="2768">
        <v>71</v>
      </c>
      <c r="AC78" s="2768">
        <v>57</v>
      </c>
      <c r="AD78" s="2768">
        <v>46</v>
      </c>
      <c r="AE78" s="2768">
        <v>37</v>
      </c>
      <c r="AF78" s="2768">
        <v>37</v>
      </c>
      <c r="AG78" s="2768">
        <v>37</v>
      </c>
      <c r="AH78" s="2768">
        <v>37</v>
      </c>
      <c r="AI78" s="2768">
        <v>37</v>
      </c>
      <c r="AJ78" s="2768">
        <v>37</v>
      </c>
      <c r="AK78" s="2768">
        <v>37</v>
      </c>
      <c r="AL78" s="2768">
        <v>37</v>
      </c>
      <c r="AM78" s="2768">
        <v>37</v>
      </c>
      <c r="AN78" s="2768">
        <v>37</v>
      </c>
      <c r="AO78" s="2766" t="s">
        <v>861</v>
      </c>
    </row>
    <row r="79" spans="1:41" ht="12.75" hidden="1" customHeight="1">
      <c r="A79" s="2759"/>
      <c r="B79" s="2765" t="s">
        <v>3435</v>
      </c>
      <c r="C79" s="2766" t="s">
        <v>3436</v>
      </c>
      <c r="D79" s="2766" t="s">
        <v>3123</v>
      </c>
      <c r="E79" s="2766" t="s">
        <v>3437</v>
      </c>
      <c r="F79" s="2766" t="s">
        <v>3438</v>
      </c>
      <c r="G79" s="2767">
        <v>36373</v>
      </c>
      <c r="H79" s="2767">
        <v>41138</v>
      </c>
      <c r="I79" s="2768">
        <v>4537.6044601633403</v>
      </c>
      <c r="J79" s="2768">
        <v>3753.4583406811398</v>
      </c>
      <c r="K79" s="2768">
        <v>1486.7423718027001</v>
      </c>
      <c r="L79" s="2768">
        <v>367.49627958227597</v>
      </c>
      <c r="M79" s="2768">
        <v>283.34052958316403</v>
      </c>
      <c r="N79" s="2768">
        <v>227.12195227235199</v>
      </c>
      <c r="O79" s="2768">
        <v>134.11374783556801</v>
      </c>
      <c r="P79" s="2768">
        <v>88.442013561004799</v>
      </c>
      <c r="Q79" s="2768">
        <v>74.891852563437794</v>
      </c>
      <c r="R79" s="2768">
        <v>67.049808429118698</v>
      </c>
      <c r="S79" s="2768">
        <v>60.664112388250302</v>
      </c>
      <c r="T79" s="2768">
        <v>54.2784163473818</v>
      </c>
      <c r="U79" s="2768">
        <v>47.892720306513397</v>
      </c>
      <c r="V79" s="2768">
        <v>41.507024265644901</v>
      </c>
      <c r="W79" s="2768">
        <v>35.121328224776498</v>
      </c>
      <c r="X79" s="2769">
        <v>-0.29336357359735599</v>
      </c>
      <c r="Y79" s="2767">
        <v>36373</v>
      </c>
      <c r="Z79" s="2768">
        <v>4537.6044601633403</v>
      </c>
      <c r="AA79" s="2768">
        <v>3753.4583406811398</v>
      </c>
      <c r="AB79" s="2768">
        <v>1486.7423718027001</v>
      </c>
      <c r="AC79" s="2768">
        <v>367.49627958227597</v>
      </c>
      <c r="AD79" s="2768">
        <v>283.34052958316403</v>
      </c>
      <c r="AE79" s="2768">
        <v>227.12195227235199</v>
      </c>
      <c r="AF79" s="2768">
        <v>134.11374783556801</v>
      </c>
      <c r="AG79" s="2768">
        <v>88.442013561004799</v>
      </c>
      <c r="AH79" s="2768">
        <v>74.891852563437794</v>
      </c>
      <c r="AI79" s="2768">
        <v>67.049808429118698</v>
      </c>
      <c r="AJ79" s="2768">
        <v>60.664112388250302</v>
      </c>
      <c r="AK79" s="2768">
        <v>54.2784163473818</v>
      </c>
      <c r="AL79" s="2768">
        <v>47.892720306513397</v>
      </c>
      <c r="AM79" s="2768">
        <v>41.507024265644901</v>
      </c>
      <c r="AN79" s="2768">
        <v>35.121328224776498</v>
      </c>
      <c r="AO79" s="2766" t="s">
        <v>861</v>
      </c>
    </row>
    <row r="80" spans="1:41" ht="12.75" hidden="1" customHeight="1">
      <c r="A80" s="2759"/>
      <c r="B80" s="2765" t="s">
        <v>3439</v>
      </c>
      <c r="C80" s="2766" t="s">
        <v>3440</v>
      </c>
      <c r="D80" s="2766" t="s">
        <v>3357</v>
      </c>
      <c r="E80" s="2766" t="s">
        <v>3441</v>
      </c>
      <c r="F80" s="2766" t="s">
        <v>3073</v>
      </c>
      <c r="G80" s="2767">
        <v>44196</v>
      </c>
      <c r="H80" s="2765" t="s">
        <v>3079</v>
      </c>
      <c r="I80" s="2765" t="s">
        <v>3079</v>
      </c>
      <c r="J80" s="2765" t="s">
        <v>3079</v>
      </c>
      <c r="K80" s="2765" t="s">
        <v>3079</v>
      </c>
      <c r="L80" s="2765" t="s">
        <v>3079</v>
      </c>
      <c r="M80" s="2765" t="s">
        <v>3079</v>
      </c>
      <c r="N80" s="2765" t="s">
        <v>3079</v>
      </c>
      <c r="O80" s="2765" t="s">
        <v>3079</v>
      </c>
      <c r="P80" s="2765" t="s">
        <v>3079</v>
      </c>
      <c r="Q80" s="2765" t="s">
        <v>3079</v>
      </c>
      <c r="R80" s="2765" t="s">
        <v>3079</v>
      </c>
      <c r="S80" s="2768">
        <v>18.75</v>
      </c>
      <c r="T80" s="2768">
        <v>21.875</v>
      </c>
      <c r="U80" s="2768">
        <v>25</v>
      </c>
      <c r="V80" s="2768">
        <v>28.125</v>
      </c>
      <c r="W80" s="2768">
        <v>31.25</v>
      </c>
      <c r="X80" s="2770" t="s">
        <v>13</v>
      </c>
      <c r="Y80" s="2767">
        <v>44196</v>
      </c>
      <c r="Z80" s="2765" t="s">
        <v>3079</v>
      </c>
      <c r="AA80" s="2765" t="s">
        <v>3079</v>
      </c>
      <c r="AB80" s="2765" t="s">
        <v>3079</v>
      </c>
      <c r="AC80" s="2765" t="s">
        <v>3079</v>
      </c>
      <c r="AD80" s="2765" t="s">
        <v>3079</v>
      </c>
      <c r="AE80" s="2765" t="s">
        <v>3079</v>
      </c>
      <c r="AF80" s="2765" t="s">
        <v>3079</v>
      </c>
      <c r="AG80" s="2765" t="s">
        <v>3079</v>
      </c>
      <c r="AH80" s="2765" t="s">
        <v>3079</v>
      </c>
      <c r="AI80" s="2765" t="s">
        <v>3079</v>
      </c>
      <c r="AJ80" s="2768">
        <v>18.75</v>
      </c>
      <c r="AK80" s="2768">
        <v>21.875</v>
      </c>
      <c r="AL80" s="2768">
        <v>25</v>
      </c>
      <c r="AM80" s="2768">
        <v>28.125</v>
      </c>
      <c r="AN80" s="2768">
        <v>31.25</v>
      </c>
      <c r="AO80" s="2766" t="s">
        <v>517</v>
      </c>
    </row>
    <row r="81" spans="1:41" ht="12.75" hidden="1" customHeight="1">
      <c r="A81" s="2759"/>
      <c r="B81" s="2765" t="s">
        <v>3442</v>
      </c>
      <c r="C81" s="2766" t="s">
        <v>3443</v>
      </c>
      <c r="D81" s="2766" t="s">
        <v>3406</v>
      </c>
      <c r="E81" s="2766" t="s">
        <v>3437</v>
      </c>
      <c r="F81" s="2766" t="s">
        <v>3438</v>
      </c>
      <c r="G81" s="2767">
        <v>41082</v>
      </c>
      <c r="H81" s="2765" t="s">
        <v>3079</v>
      </c>
      <c r="I81" s="2765" t="s">
        <v>3079</v>
      </c>
      <c r="J81" s="2765" t="s">
        <v>3079</v>
      </c>
      <c r="K81" s="2768">
        <v>127.229672564399</v>
      </c>
      <c r="L81" s="2768">
        <v>68.664616542485803</v>
      </c>
      <c r="M81" s="2768">
        <v>53.9372627574541</v>
      </c>
      <c r="N81" s="2768">
        <v>47.806906763234103</v>
      </c>
      <c r="O81" s="2768">
        <v>45.877399985510003</v>
      </c>
      <c r="P81" s="2768">
        <v>46.033310590924799</v>
      </c>
      <c r="Q81" s="2768">
        <v>45.650451014518303</v>
      </c>
      <c r="R81" s="2768">
        <v>42.6329177127459</v>
      </c>
      <c r="S81" s="2768">
        <v>40.728646773477799</v>
      </c>
      <c r="T81" s="2768">
        <v>38.503811066533302</v>
      </c>
      <c r="U81" s="2768">
        <v>36.192663692115197</v>
      </c>
      <c r="V81" s="2768">
        <v>33.752117292637799</v>
      </c>
      <c r="W81" s="2768">
        <v>31.149859569948699</v>
      </c>
      <c r="X81" s="2770" t="s">
        <v>13</v>
      </c>
      <c r="Y81" s="2767">
        <v>40718</v>
      </c>
      <c r="Z81" s="2765" t="s">
        <v>3079</v>
      </c>
      <c r="AA81" s="2765" t="s">
        <v>3079</v>
      </c>
      <c r="AB81" s="2768">
        <v>127.229672564399</v>
      </c>
      <c r="AC81" s="2768">
        <v>68.664616542485803</v>
      </c>
      <c r="AD81" s="2768">
        <v>53.9372627574541</v>
      </c>
      <c r="AE81" s="2768">
        <v>47.806906763234103</v>
      </c>
      <c r="AF81" s="2768">
        <v>45.877399985510003</v>
      </c>
      <c r="AG81" s="2768">
        <v>46.033310590924799</v>
      </c>
      <c r="AH81" s="2768">
        <v>45.650451014518303</v>
      </c>
      <c r="AI81" s="2768">
        <v>42.6329177127459</v>
      </c>
      <c r="AJ81" s="2768">
        <v>40.728646773477799</v>
      </c>
      <c r="AK81" s="2768">
        <v>38.503811066533302</v>
      </c>
      <c r="AL81" s="2768">
        <v>36.192663692115197</v>
      </c>
      <c r="AM81" s="2768">
        <v>33.752117292637799</v>
      </c>
      <c r="AN81" s="2768">
        <v>31.149859569948699</v>
      </c>
      <c r="AO81" s="2766" t="s">
        <v>861</v>
      </c>
    </row>
    <row r="82" spans="1:41" ht="12.75" hidden="1" customHeight="1">
      <c r="A82" s="2759"/>
      <c r="B82" s="2765" t="s">
        <v>3444</v>
      </c>
      <c r="C82" s="2766" t="s">
        <v>3283</v>
      </c>
      <c r="D82" s="2766" t="s">
        <v>3289</v>
      </c>
      <c r="E82" s="2766" t="s">
        <v>3285</v>
      </c>
      <c r="F82" s="2766" t="s">
        <v>3286</v>
      </c>
      <c r="G82" s="2767">
        <v>34948</v>
      </c>
      <c r="H82" s="2767">
        <v>39140</v>
      </c>
      <c r="I82" s="2768">
        <v>30</v>
      </c>
      <c r="J82" s="2768">
        <v>30</v>
      </c>
      <c r="K82" s="2768">
        <v>30</v>
      </c>
      <c r="L82" s="2768">
        <v>30</v>
      </c>
      <c r="M82" s="2768">
        <v>30</v>
      </c>
      <c r="N82" s="2768">
        <v>30</v>
      </c>
      <c r="O82" s="2768">
        <v>30</v>
      </c>
      <c r="P82" s="2768">
        <v>30</v>
      </c>
      <c r="Q82" s="2768">
        <v>30</v>
      </c>
      <c r="R82" s="2768">
        <v>30</v>
      </c>
      <c r="S82" s="2768">
        <v>30</v>
      </c>
      <c r="T82" s="2768">
        <v>30</v>
      </c>
      <c r="U82" s="2768">
        <v>30</v>
      </c>
      <c r="V82" s="2768">
        <v>30</v>
      </c>
      <c r="W82" s="2768">
        <v>30</v>
      </c>
      <c r="X82" s="2883">
        <v>0</v>
      </c>
      <c r="Y82" s="2767">
        <v>34948</v>
      </c>
      <c r="Z82" s="2768">
        <v>30</v>
      </c>
      <c r="AA82" s="2768">
        <v>30</v>
      </c>
      <c r="AB82" s="2768">
        <v>30</v>
      </c>
      <c r="AC82" s="2768">
        <v>30</v>
      </c>
      <c r="AD82" s="2768">
        <v>30</v>
      </c>
      <c r="AE82" s="2768">
        <v>30</v>
      </c>
      <c r="AF82" s="2768">
        <v>30</v>
      </c>
      <c r="AG82" s="2768">
        <v>30</v>
      </c>
      <c r="AH82" s="2768">
        <v>30</v>
      </c>
      <c r="AI82" s="2768">
        <v>30</v>
      </c>
      <c r="AJ82" s="2768">
        <v>30</v>
      </c>
      <c r="AK82" s="2768">
        <v>30</v>
      </c>
      <c r="AL82" s="2768">
        <v>30</v>
      </c>
      <c r="AM82" s="2768">
        <v>30</v>
      </c>
      <c r="AN82" s="2768">
        <v>30</v>
      </c>
      <c r="AO82" s="2766" t="s">
        <v>861</v>
      </c>
    </row>
    <row r="83" spans="1:41" ht="12.75" hidden="1" customHeight="1">
      <c r="A83" s="2759"/>
      <c r="B83" s="2765" t="s">
        <v>3445</v>
      </c>
      <c r="C83" s="2766" t="s">
        <v>3443</v>
      </c>
      <c r="D83" s="2766" t="s">
        <v>3446</v>
      </c>
      <c r="E83" s="2766" t="s">
        <v>3437</v>
      </c>
      <c r="F83" s="2766" t="s">
        <v>3438</v>
      </c>
      <c r="G83" s="2767">
        <v>40999</v>
      </c>
      <c r="H83" s="2765" t="s">
        <v>3079</v>
      </c>
      <c r="I83" s="2765" t="s">
        <v>3079</v>
      </c>
      <c r="J83" s="2765" t="s">
        <v>3079</v>
      </c>
      <c r="K83" s="2765" t="s">
        <v>3079</v>
      </c>
      <c r="L83" s="2765" t="s">
        <v>3079</v>
      </c>
      <c r="M83" s="2765" t="s">
        <v>3079</v>
      </c>
      <c r="N83" s="2765" t="s">
        <v>3079</v>
      </c>
      <c r="O83" s="2768">
        <v>12.0693703042602</v>
      </c>
      <c r="P83" s="2768">
        <v>29.368801073699899</v>
      </c>
      <c r="Q83" s="2768">
        <v>29.368801073699899</v>
      </c>
      <c r="R83" s="2768">
        <v>29.368801073699899</v>
      </c>
      <c r="S83" s="2768">
        <v>29.368801073699899</v>
      </c>
      <c r="T83" s="2768">
        <v>29.368801073699899</v>
      </c>
      <c r="U83" s="2768">
        <v>29.368801073699899</v>
      </c>
      <c r="V83" s="2768">
        <v>29.368801073699899</v>
      </c>
      <c r="W83" s="2768">
        <v>29.368801073699899</v>
      </c>
      <c r="X83" s="2770" t="s">
        <v>13</v>
      </c>
      <c r="Y83" s="2767">
        <v>40999</v>
      </c>
      <c r="Z83" s="2765" t="s">
        <v>3079</v>
      </c>
      <c r="AA83" s="2765" t="s">
        <v>3079</v>
      </c>
      <c r="AB83" s="2765" t="s">
        <v>3079</v>
      </c>
      <c r="AC83" s="2765" t="s">
        <v>3079</v>
      </c>
      <c r="AD83" s="2765" t="s">
        <v>3079</v>
      </c>
      <c r="AE83" s="2765" t="s">
        <v>3079</v>
      </c>
      <c r="AF83" s="2768">
        <v>12.0693703042602</v>
      </c>
      <c r="AG83" s="2768">
        <v>29.368801073699899</v>
      </c>
      <c r="AH83" s="2768">
        <v>29.368801073699899</v>
      </c>
      <c r="AI83" s="2768">
        <v>29.368801073699899</v>
      </c>
      <c r="AJ83" s="2768">
        <v>29.368801073699899</v>
      </c>
      <c r="AK83" s="2768">
        <v>29.368801073699899</v>
      </c>
      <c r="AL83" s="2768">
        <v>29.368801073699899</v>
      </c>
      <c r="AM83" s="2768">
        <v>29.368801073699899</v>
      </c>
      <c r="AN83" s="2768">
        <v>29.368801073699899</v>
      </c>
      <c r="AO83" s="2766" t="s">
        <v>861</v>
      </c>
    </row>
    <row r="84" spans="1:41" ht="12.75" hidden="1" customHeight="1">
      <c r="A84" s="2759"/>
      <c r="B84" s="2765" t="s">
        <v>3447</v>
      </c>
      <c r="C84" s="2766" t="s">
        <v>3277</v>
      </c>
      <c r="D84" s="2766" t="s">
        <v>3448</v>
      </c>
      <c r="E84" s="2766" t="s">
        <v>3278</v>
      </c>
      <c r="F84" s="2766" t="s">
        <v>3279</v>
      </c>
      <c r="G84" s="2767">
        <v>38352</v>
      </c>
      <c r="H84" s="2765" t="s">
        <v>3079</v>
      </c>
      <c r="I84" s="2768">
        <v>23.6367485600165</v>
      </c>
      <c r="J84" s="2768">
        <v>25.984190867532799</v>
      </c>
      <c r="K84" s="2768">
        <v>26.833437501332401</v>
      </c>
      <c r="L84" s="2768">
        <v>28.993080393523201</v>
      </c>
      <c r="M84" s="2768">
        <v>31.637584065701201</v>
      </c>
      <c r="N84" s="2768">
        <v>30.9157134540675</v>
      </c>
      <c r="O84" s="2768">
        <v>23.531518133321399</v>
      </c>
      <c r="P84" s="2768">
        <v>25.4227626974264</v>
      </c>
      <c r="Q84" s="2768">
        <v>26.8452262900576</v>
      </c>
      <c r="R84" s="2768">
        <v>27.3263097482265</v>
      </c>
      <c r="S84" s="2768">
        <v>27.400077622437799</v>
      </c>
      <c r="T84" s="2768">
        <v>27.473845496649101</v>
      </c>
      <c r="U84" s="2768">
        <v>27.5476133708604</v>
      </c>
      <c r="V84" s="2768">
        <v>27.621381245071799</v>
      </c>
      <c r="W84" s="2768">
        <v>27.695149119282998</v>
      </c>
      <c r="X84" s="2769">
        <v>1.13824810567096E-2</v>
      </c>
      <c r="Y84" s="2767">
        <v>38352</v>
      </c>
      <c r="Z84" s="2768">
        <v>23.6367485600165</v>
      </c>
      <c r="AA84" s="2768">
        <v>25.984190867532799</v>
      </c>
      <c r="AB84" s="2768">
        <v>26.833437501332401</v>
      </c>
      <c r="AC84" s="2768">
        <v>28.993080393523201</v>
      </c>
      <c r="AD84" s="2768">
        <v>31.637584065701201</v>
      </c>
      <c r="AE84" s="2768">
        <v>30.9157134540675</v>
      </c>
      <c r="AF84" s="2768">
        <v>23.531518133321399</v>
      </c>
      <c r="AG84" s="2768">
        <v>25.4227626974264</v>
      </c>
      <c r="AH84" s="2768">
        <v>26.8452262900576</v>
      </c>
      <c r="AI84" s="2768">
        <v>27.3263097482265</v>
      </c>
      <c r="AJ84" s="2768">
        <v>27.400077622437799</v>
      </c>
      <c r="AK84" s="2768">
        <v>27.473845496649101</v>
      </c>
      <c r="AL84" s="2768">
        <v>27.5476133708604</v>
      </c>
      <c r="AM84" s="2768">
        <v>27.621381245071799</v>
      </c>
      <c r="AN84" s="2768">
        <v>27.695149119282998</v>
      </c>
      <c r="AO84" s="2766" t="s">
        <v>861</v>
      </c>
    </row>
    <row r="85" spans="1:41" ht="12.75" hidden="1" customHeight="1">
      <c r="A85" s="2759"/>
      <c r="B85" s="2765" t="s">
        <v>3449</v>
      </c>
      <c r="C85" s="2766" t="s">
        <v>3443</v>
      </c>
      <c r="D85" s="2766" t="s">
        <v>3446</v>
      </c>
      <c r="E85" s="2766" t="s">
        <v>3437</v>
      </c>
      <c r="F85" s="2766" t="s">
        <v>3438</v>
      </c>
      <c r="G85" s="2767">
        <v>40994</v>
      </c>
      <c r="H85" s="2765" t="s">
        <v>3079</v>
      </c>
      <c r="I85" s="2765" t="s">
        <v>3079</v>
      </c>
      <c r="J85" s="2765" t="s">
        <v>3079</v>
      </c>
      <c r="K85" s="2768">
        <v>91.464758354166605</v>
      </c>
      <c r="L85" s="2768">
        <v>47.475567787499998</v>
      </c>
      <c r="M85" s="2768">
        <v>40.692016513124997</v>
      </c>
      <c r="N85" s="2768">
        <v>38.657415687468799</v>
      </c>
      <c r="O85" s="2768">
        <v>38.657415687468799</v>
      </c>
      <c r="P85" s="2768">
        <v>34.7916741187219</v>
      </c>
      <c r="Q85" s="2768">
        <v>33.052090412785802</v>
      </c>
      <c r="R85" s="2768">
        <v>31.399485892146501</v>
      </c>
      <c r="S85" s="2768">
        <v>29.829511597539199</v>
      </c>
      <c r="T85" s="2768">
        <v>28.2595373029318</v>
      </c>
      <c r="U85" s="2768">
        <v>26.689563008324502</v>
      </c>
      <c r="V85" s="2768">
        <v>25.119588713717199</v>
      </c>
      <c r="W85" s="2768">
        <v>23.549614419109901</v>
      </c>
      <c r="X85" s="2770" t="s">
        <v>13</v>
      </c>
      <c r="Y85" s="2767">
        <v>40994</v>
      </c>
      <c r="Z85" s="2765" t="s">
        <v>3079</v>
      </c>
      <c r="AA85" s="2765" t="s">
        <v>3079</v>
      </c>
      <c r="AB85" s="2768">
        <v>91.464758354166605</v>
      </c>
      <c r="AC85" s="2768">
        <v>47.475567787499998</v>
      </c>
      <c r="AD85" s="2768">
        <v>40.692016513124997</v>
      </c>
      <c r="AE85" s="2768">
        <v>38.657415687468799</v>
      </c>
      <c r="AF85" s="2768">
        <v>38.657415687468799</v>
      </c>
      <c r="AG85" s="2768">
        <v>34.7916741187219</v>
      </c>
      <c r="AH85" s="2768">
        <v>33.052090412785802</v>
      </c>
      <c r="AI85" s="2768">
        <v>31.399485892146501</v>
      </c>
      <c r="AJ85" s="2768">
        <v>29.829511597539199</v>
      </c>
      <c r="AK85" s="2768">
        <v>28.2595373029318</v>
      </c>
      <c r="AL85" s="2768">
        <v>26.689563008324502</v>
      </c>
      <c r="AM85" s="2768">
        <v>25.119588713717199</v>
      </c>
      <c r="AN85" s="2768">
        <v>23.549614419109901</v>
      </c>
      <c r="AO85" s="2766" t="s">
        <v>861</v>
      </c>
    </row>
    <row r="86" spans="1:41" ht="12.75" hidden="1" customHeight="1">
      <c r="A86" s="2759"/>
      <c r="B86" s="2765" t="s">
        <v>3450</v>
      </c>
      <c r="C86" s="2766" t="s">
        <v>3451</v>
      </c>
      <c r="D86" s="2766" t="s">
        <v>3452</v>
      </c>
      <c r="E86" s="2766" t="s">
        <v>3453</v>
      </c>
      <c r="F86" s="2766" t="s">
        <v>3243</v>
      </c>
      <c r="G86" s="2767">
        <v>44196</v>
      </c>
      <c r="H86" s="2765" t="s">
        <v>3079</v>
      </c>
      <c r="I86" s="2765" t="s">
        <v>3079</v>
      </c>
      <c r="J86" s="2765" t="s">
        <v>3079</v>
      </c>
      <c r="K86" s="2765" t="s">
        <v>3079</v>
      </c>
      <c r="L86" s="2765" t="s">
        <v>3079</v>
      </c>
      <c r="M86" s="2765" t="s">
        <v>3079</v>
      </c>
      <c r="N86" s="2765" t="s">
        <v>3079</v>
      </c>
      <c r="O86" s="2765" t="s">
        <v>3079</v>
      </c>
      <c r="P86" s="2765" t="s">
        <v>3079</v>
      </c>
      <c r="Q86" s="2765" t="s">
        <v>3079</v>
      </c>
      <c r="R86" s="2765" t="s">
        <v>3079</v>
      </c>
      <c r="S86" s="2768">
        <v>0.38089927618198199</v>
      </c>
      <c r="T86" s="2768">
        <v>1.96325438333866</v>
      </c>
      <c r="U86" s="2768">
        <v>5.8585476187204204</v>
      </c>
      <c r="V86" s="2768">
        <v>11.1483436589563</v>
      </c>
      <c r="W86" s="2768">
        <v>21.230958866431401</v>
      </c>
      <c r="X86" s="2770" t="s">
        <v>13</v>
      </c>
      <c r="Y86" s="2767">
        <v>44196</v>
      </c>
      <c r="Z86" s="2765" t="s">
        <v>3079</v>
      </c>
      <c r="AA86" s="2765" t="s">
        <v>3079</v>
      </c>
      <c r="AB86" s="2765" t="s">
        <v>3079</v>
      </c>
      <c r="AC86" s="2765" t="s">
        <v>3079</v>
      </c>
      <c r="AD86" s="2765" t="s">
        <v>3079</v>
      </c>
      <c r="AE86" s="2765" t="s">
        <v>3079</v>
      </c>
      <c r="AF86" s="2765" t="s">
        <v>3079</v>
      </c>
      <c r="AG86" s="2765" t="s">
        <v>3079</v>
      </c>
      <c r="AH86" s="2765" t="s">
        <v>3079</v>
      </c>
      <c r="AI86" s="2765" t="s">
        <v>3079</v>
      </c>
      <c r="AJ86" s="2768">
        <v>0.38089927618198199</v>
      </c>
      <c r="AK86" s="2768">
        <v>1.96325438333866</v>
      </c>
      <c r="AL86" s="2768">
        <v>5.8585476187204204</v>
      </c>
      <c r="AM86" s="2768">
        <v>11.1483436589563</v>
      </c>
      <c r="AN86" s="2768">
        <v>21.230958866431401</v>
      </c>
      <c r="AO86" s="2766" t="s">
        <v>518</v>
      </c>
    </row>
    <row r="87" spans="1:41" ht="12.75" hidden="1" customHeight="1">
      <c r="A87" s="2759"/>
      <c r="B87" s="2765" t="s">
        <v>3454</v>
      </c>
      <c r="C87" s="2766" t="s">
        <v>3455</v>
      </c>
      <c r="D87" s="2766" t="s">
        <v>3456</v>
      </c>
      <c r="E87" s="2766" t="s">
        <v>3278</v>
      </c>
      <c r="F87" s="2766" t="s">
        <v>3279</v>
      </c>
      <c r="G87" s="2767">
        <v>38138</v>
      </c>
      <c r="H87" s="2765" t="s">
        <v>3079</v>
      </c>
      <c r="I87" s="2768">
        <v>4.7369097281038304</v>
      </c>
      <c r="J87" s="2768">
        <v>6.0827239128828996</v>
      </c>
      <c r="K87" s="2768">
        <v>5.2933242170822901</v>
      </c>
      <c r="L87" s="2768">
        <v>6.5273457410268598</v>
      </c>
      <c r="M87" s="2768">
        <v>7.3749079291805204</v>
      </c>
      <c r="N87" s="2768">
        <v>9.6818921561841407</v>
      </c>
      <c r="O87" s="2768">
        <v>11.160098536742501</v>
      </c>
      <c r="P87" s="2768">
        <v>13.2321268418639</v>
      </c>
      <c r="Q87" s="2768">
        <v>14.879592884844101</v>
      </c>
      <c r="R87" s="2768">
        <v>15.854246750610899</v>
      </c>
      <c r="S87" s="2768">
        <v>16.836803478730602</v>
      </c>
      <c r="T87" s="2768">
        <v>17.822362373744401</v>
      </c>
      <c r="U87" s="2768">
        <v>18.810984315827898</v>
      </c>
      <c r="V87" s="2768">
        <v>19.802731419730002</v>
      </c>
      <c r="W87" s="2768">
        <v>20.7976670598092</v>
      </c>
      <c r="X87" s="2769">
        <v>0.111461057765374</v>
      </c>
      <c r="Y87" s="2767">
        <v>38138</v>
      </c>
      <c r="Z87" s="2768">
        <v>4.7369097281038304</v>
      </c>
      <c r="AA87" s="2768">
        <v>6.0827239128828996</v>
      </c>
      <c r="AB87" s="2768">
        <v>5.2933242170822901</v>
      </c>
      <c r="AC87" s="2768">
        <v>6.5273457410268598</v>
      </c>
      <c r="AD87" s="2768">
        <v>7.3749079291805204</v>
      </c>
      <c r="AE87" s="2768">
        <v>9.6818921561841407</v>
      </c>
      <c r="AF87" s="2768">
        <v>11.160098536742501</v>
      </c>
      <c r="AG87" s="2768">
        <v>13.2321268418639</v>
      </c>
      <c r="AH87" s="2768">
        <v>14.879592884844101</v>
      </c>
      <c r="AI87" s="2768">
        <v>15.854246750610899</v>
      </c>
      <c r="AJ87" s="2768">
        <v>16.836803478730602</v>
      </c>
      <c r="AK87" s="2768">
        <v>17.822362373744401</v>
      </c>
      <c r="AL87" s="2768">
        <v>18.810984315827898</v>
      </c>
      <c r="AM87" s="2768">
        <v>19.802731419730002</v>
      </c>
      <c r="AN87" s="2768">
        <v>20.7976670598092</v>
      </c>
      <c r="AO87" s="2766" t="s">
        <v>861</v>
      </c>
    </row>
    <row r="88" spans="1:41" ht="12.75" hidden="1" customHeight="1">
      <c r="A88" s="2759"/>
      <c r="B88" s="2765" t="s">
        <v>3457</v>
      </c>
      <c r="C88" s="2766" t="s">
        <v>3458</v>
      </c>
      <c r="D88" s="2766" t="s">
        <v>3398</v>
      </c>
      <c r="E88" s="2766" t="s">
        <v>3459</v>
      </c>
      <c r="F88" s="2766" t="s">
        <v>3376</v>
      </c>
      <c r="G88" s="2767">
        <v>38121</v>
      </c>
      <c r="H88" s="2765" t="s">
        <v>3079</v>
      </c>
      <c r="I88" s="2768">
        <v>58.944296453632099</v>
      </c>
      <c r="J88" s="2768">
        <v>53.999355998508499</v>
      </c>
      <c r="K88" s="2768">
        <v>43.204793706610097</v>
      </c>
      <c r="L88" s="2768">
        <v>34.990072939803603</v>
      </c>
      <c r="M88" s="2768">
        <v>32.234141501733703</v>
      </c>
      <c r="N88" s="2768">
        <v>29.938434436689199</v>
      </c>
      <c r="O88" s="2768">
        <v>33.927191975096399</v>
      </c>
      <c r="P88" s="2768">
        <v>24.633486305989301</v>
      </c>
      <c r="Q88" s="2768">
        <v>24.382150554323101</v>
      </c>
      <c r="R88" s="2768">
        <v>23.3970923684901</v>
      </c>
      <c r="S88" s="2768">
        <v>22.5463319140881</v>
      </c>
      <c r="T88" s="2768">
        <v>21.726506643399301</v>
      </c>
      <c r="U88" s="2768">
        <v>20.936491697379701</v>
      </c>
      <c r="V88" s="2768">
        <v>20.175203118888</v>
      </c>
      <c r="W88" s="2768">
        <v>19.441596365418299</v>
      </c>
      <c r="X88" s="2769">
        <v>-7.6169805962002402E-2</v>
      </c>
      <c r="Y88" s="2767">
        <v>38121</v>
      </c>
      <c r="Z88" s="2768">
        <v>58.944296453632099</v>
      </c>
      <c r="AA88" s="2768">
        <v>53.999355998508499</v>
      </c>
      <c r="AB88" s="2768">
        <v>43.204793706610097</v>
      </c>
      <c r="AC88" s="2768">
        <v>34.990072939803603</v>
      </c>
      <c r="AD88" s="2768">
        <v>32.234141501733703</v>
      </c>
      <c r="AE88" s="2768">
        <v>29.938434436689199</v>
      </c>
      <c r="AF88" s="2768">
        <v>33.927191975096399</v>
      </c>
      <c r="AG88" s="2768">
        <v>24.633486305989301</v>
      </c>
      <c r="AH88" s="2768">
        <v>24.382150554323101</v>
      </c>
      <c r="AI88" s="2768">
        <v>23.3970923684901</v>
      </c>
      <c r="AJ88" s="2768">
        <v>22.5463319140881</v>
      </c>
      <c r="AK88" s="2768">
        <v>21.726506643399301</v>
      </c>
      <c r="AL88" s="2768">
        <v>20.936491697379701</v>
      </c>
      <c r="AM88" s="2768">
        <v>20.175203118888</v>
      </c>
      <c r="AN88" s="2768">
        <v>19.441596365418299</v>
      </c>
      <c r="AO88" s="2766" t="s">
        <v>861</v>
      </c>
    </row>
    <row r="89" spans="1:41" ht="12.75" hidden="1" customHeight="1">
      <c r="A89" s="2759"/>
      <c r="B89" s="2765" t="s">
        <v>3460</v>
      </c>
      <c r="C89" s="2766" t="s">
        <v>3405</v>
      </c>
      <c r="D89" s="2766" t="s">
        <v>3461</v>
      </c>
      <c r="E89" s="2766" t="s">
        <v>3278</v>
      </c>
      <c r="F89" s="2766" t="s">
        <v>3279</v>
      </c>
      <c r="G89" s="2767">
        <v>42402</v>
      </c>
      <c r="H89" s="2765" t="s">
        <v>3079</v>
      </c>
      <c r="I89" s="2765" t="s">
        <v>3079</v>
      </c>
      <c r="J89" s="2765" t="s">
        <v>3079</v>
      </c>
      <c r="K89" s="2765" t="s">
        <v>3079</v>
      </c>
      <c r="L89" s="2765" t="s">
        <v>3079</v>
      </c>
      <c r="M89" s="2765" t="s">
        <v>3079</v>
      </c>
      <c r="N89" s="2765" t="s">
        <v>3079</v>
      </c>
      <c r="O89" s="2768">
        <v>30.198883366385399</v>
      </c>
      <c r="P89" s="2768">
        <v>128.72826913775</v>
      </c>
      <c r="Q89" s="2768">
        <v>59.745681202585303</v>
      </c>
      <c r="R89" s="2768">
        <v>39.2526141460201</v>
      </c>
      <c r="S89" s="2768">
        <v>29.146793847949301</v>
      </c>
      <c r="T89" s="2768">
        <v>19.275286717114501</v>
      </c>
      <c r="U89" s="2768">
        <v>19.147843321199101</v>
      </c>
      <c r="V89" s="2768">
        <v>19.041721966872402</v>
      </c>
      <c r="W89" s="2768">
        <v>18.951984765814</v>
      </c>
      <c r="X89" s="2770" t="s">
        <v>13</v>
      </c>
      <c r="Y89" s="2767">
        <v>42402</v>
      </c>
      <c r="Z89" s="2765" t="s">
        <v>3079</v>
      </c>
      <c r="AA89" s="2765" t="s">
        <v>3079</v>
      </c>
      <c r="AB89" s="2765" t="s">
        <v>3079</v>
      </c>
      <c r="AC89" s="2765" t="s">
        <v>3079</v>
      </c>
      <c r="AD89" s="2765" t="s">
        <v>3079</v>
      </c>
      <c r="AE89" s="2765" t="s">
        <v>3079</v>
      </c>
      <c r="AF89" s="2768">
        <v>30.198883366385399</v>
      </c>
      <c r="AG89" s="2768">
        <v>128.72826913775</v>
      </c>
      <c r="AH89" s="2768">
        <v>59.745681202585303</v>
      </c>
      <c r="AI89" s="2768">
        <v>39.2526141460201</v>
      </c>
      <c r="AJ89" s="2768">
        <v>29.146793847949301</v>
      </c>
      <c r="AK89" s="2768">
        <v>19.275286717114501</v>
      </c>
      <c r="AL89" s="2768">
        <v>19.147843321199101</v>
      </c>
      <c r="AM89" s="2768">
        <v>19.041721966872402</v>
      </c>
      <c r="AN89" s="2768">
        <v>18.951984765814</v>
      </c>
      <c r="AO89" s="2766" t="s">
        <v>861</v>
      </c>
    </row>
    <row r="90" spans="1:41" ht="12.75" hidden="1" customHeight="1">
      <c r="A90" s="2759"/>
      <c r="B90" s="2765" t="s">
        <v>3462</v>
      </c>
      <c r="C90" s="2766" t="s">
        <v>3463</v>
      </c>
      <c r="D90" s="2766" t="s">
        <v>3464</v>
      </c>
      <c r="E90" s="2766" t="s">
        <v>3465</v>
      </c>
      <c r="F90" s="2766" t="s">
        <v>3286</v>
      </c>
      <c r="G90" s="2767">
        <v>38541</v>
      </c>
      <c r="H90" s="2765" t="s">
        <v>3079</v>
      </c>
      <c r="I90" s="2768">
        <v>11.6978717714961</v>
      </c>
      <c r="J90" s="2768">
        <v>13.9392443441906</v>
      </c>
      <c r="K90" s="2768">
        <v>13.9722330303671</v>
      </c>
      <c r="L90" s="2768">
        <v>12.1108998115056</v>
      </c>
      <c r="M90" s="2768">
        <v>11.6387835036962</v>
      </c>
      <c r="N90" s="2768">
        <v>11.144035513731</v>
      </c>
      <c r="O90" s="2768">
        <v>12.9850754485752</v>
      </c>
      <c r="P90" s="2768">
        <v>13.303350255440799</v>
      </c>
      <c r="Q90" s="2768">
        <v>14.1363894067165</v>
      </c>
      <c r="R90" s="2768">
        <v>14.825770736799599</v>
      </c>
      <c r="S90" s="2768">
        <v>15.5670592736396</v>
      </c>
      <c r="T90" s="2768">
        <v>16.3454122373216</v>
      </c>
      <c r="U90" s="2768">
        <v>17.1626828491876</v>
      </c>
      <c r="V90" s="2768">
        <v>18.020816991646999</v>
      </c>
      <c r="W90" s="2768">
        <v>18.921857841229301</v>
      </c>
      <c r="X90" s="2769">
        <v>3.4947575172802801E-2</v>
      </c>
      <c r="Y90" s="2767">
        <v>38541</v>
      </c>
      <c r="Z90" s="2768">
        <v>11.6978717714961</v>
      </c>
      <c r="AA90" s="2768">
        <v>13.9392443441906</v>
      </c>
      <c r="AB90" s="2768">
        <v>13.9722330303671</v>
      </c>
      <c r="AC90" s="2768">
        <v>12.1108998115056</v>
      </c>
      <c r="AD90" s="2768">
        <v>11.6387835036962</v>
      </c>
      <c r="AE90" s="2768">
        <v>11.144035513731</v>
      </c>
      <c r="AF90" s="2768">
        <v>12.9850754485752</v>
      </c>
      <c r="AG90" s="2768">
        <v>13.303350255440799</v>
      </c>
      <c r="AH90" s="2768">
        <v>14.1363894067165</v>
      </c>
      <c r="AI90" s="2768">
        <v>14.825770736799599</v>
      </c>
      <c r="AJ90" s="2768">
        <v>15.5670592736396</v>
      </c>
      <c r="AK90" s="2768">
        <v>16.3454122373216</v>
      </c>
      <c r="AL90" s="2768">
        <v>17.1626828491876</v>
      </c>
      <c r="AM90" s="2768">
        <v>18.020816991646999</v>
      </c>
      <c r="AN90" s="2768">
        <v>18.921857841229301</v>
      </c>
      <c r="AO90" s="2766" t="s">
        <v>861</v>
      </c>
    </row>
    <row r="91" spans="1:41" ht="12.75" hidden="1" customHeight="1">
      <c r="A91" s="2759"/>
      <c r="B91" s="2765" t="s">
        <v>3466</v>
      </c>
      <c r="C91" s="2766" t="s">
        <v>3380</v>
      </c>
      <c r="D91" s="2766" t="s">
        <v>3342</v>
      </c>
      <c r="E91" s="2766" t="s">
        <v>3381</v>
      </c>
      <c r="F91" s="2766" t="s">
        <v>3376</v>
      </c>
      <c r="G91" s="2767">
        <v>36390</v>
      </c>
      <c r="H91" s="2765" t="s">
        <v>3079</v>
      </c>
      <c r="I91" s="2768">
        <v>54.9799973260317</v>
      </c>
      <c r="J91" s="2768">
        <v>48.787355204667101</v>
      </c>
      <c r="K91" s="2768">
        <v>27.218635773442401</v>
      </c>
      <c r="L91" s="2768">
        <v>22.469201876633701</v>
      </c>
      <c r="M91" s="2768">
        <v>18.2800341666557</v>
      </c>
      <c r="N91" s="2768">
        <v>16.669501084209301</v>
      </c>
      <c r="O91" s="2768">
        <v>18.498447977319699</v>
      </c>
      <c r="P91" s="2768">
        <v>18.049390522654001</v>
      </c>
      <c r="Q91" s="2768">
        <v>18.266305503277501</v>
      </c>
      <c r="R91" s="2768">
        <v>18.2448458310527</v>
      </c>
      <c r="S91" s="2768">
        <v>18.2448458310527</v>
      </c>
      <c r="T91" s="2768">
        <v>18.2448458310527</v>
      </c>
      <c r="U91" s="2768">
        <v>18.2448458310527</v>
      </c>
      <c r="V91" s="2768">
        <v>18.2448458310527</v>
      </c>
      <c r="W91" s="2768">
        <v>18.2448458310527</v>
      </c>
      <c r="X91" s="2769">
        <v>-7.5767776976472495E-2</v>
      </c>
      <c r="Y91" s="2767">
        <v>36390</v>
      </c>
      <c r="Z91" s="2768">
        <v>54.9799973260317</v>
      </c>
      <c r="AA91" s="2768">
        <v>48.787355204667101</v>
      </c>
      <c r="AB91" s="2768">
        <v>27.218635773442401</v>
      </c>
      <c r="AC91" s="2768">
        <v>22.469201876633701</v>
      </c>
      <c r="AD91" s="2768">
        <v>18.2800341666557</v>
      </c>
      <c r="AE91" s="2768">
        <v>16.669501084209301</v>
      </c>
      <c r="AF91" s="2768">
        <v>18.498447977319699</v>
      </c>
      <c r="AG91" s="2768">
        <v>18.049390522654001</v>
      </c>
      <c r="AH91" s="2768">
        <v>18.266305503277501</v>
      </c>
      <c r="AI91" s="2768">
        <v>18.2448458310527</v>
      </c>
      <c r="AJ91" s="2768">
        <v>18.2448458310527</v>
      </c>
      <c r="AK91" s="2768">
        <v>18.2448458310527</v>
      </c>
      <c r="AL91" s="2768">
        <v>18.2448458310527</v>
      </c>
      <c r="AM91" s="2768">
        <v>18.2448458310527</v>
      </c>
      <c r="AN91" s="2768">
        <v>18.2448458310527</v>
      </c>
      <c r="AO91" s="2766" t="s">
        <v>861</v>
      </c>
    </row>
    <row r="92" spans="1:41" ht="12.75" hidden="1" customHeight="1">
      <c r="A92" s="2759"/>
      <c r="B92" s="2765" t="s">
        <v>3467</v>
      </c>
      <c r="C92" s="2766" t="s">
        <v>3374</v>
      </c>
      <c r="D92" s="2766" t="s">
        <v>2392</v>
      </c>
      <c r="E92" s="2766" t="s">
        <v>3375</v>
      </c>
      <c r="F92" s="2766" t="s">
        <v>3376</v>
      </c>
      <c r="G92" s="2767">
        <v>40679</v>
      </c>
      <c r="H92" s="2765" t="s">
        <v>3079</v>
      </c>
      <c r="I92" s="2765" t="s">
        <v>3079</v>
      </c>
      <c r="J92" s="2768">
        <v>1.2672040312900501</v>
      </c>
      <c r="K92" s="2768">
        <v>8.4680200184042906</v>
      </c>
      <c r="L92" s="2768">
        <v>16.9767303067899</v>
      </c>
      <c r="M92" s="2768">
        <v>21.936040999986901</v>
      </c>
      <c r="N92" s="2768">
        <v>30.005101951576702</v>
      </c>
      <c r="O92" s="2768">
        <v>39.771663151237398</v>
      </c>
      <c r="P92" s="2768">
        <v>45.123476306635098</v>
      </c>
      <c r="Q92" s="2768">
        <v>54.113930053459598</v>
      </c>
      <c r="R92" s="2768">
        <v>57.471264367816097</v>
      </c>
      <c r="S92" s="2768">
        <v>53.594234628717402</v>
      </c>
      <c r="T92" s="2768">
        <v>50.173326035395</v>
      </c>
      <c r="U92" s="2768">
        <v>33.448884023596698</v>
      </c>
      <c r="V92" s="2768">
        <v>16.724442011798299</v>
      </c>
      <c r="W92" s="2768">
        <v>16.724442011798299</v>
      </c>
      <c r="X92" s="2770" t="s">
        <v>13</v>
      </c>
      <c r="Y92" s="2767">
        <v>40679</v>
      </c>
      <c r="Z92" s="2765" t="s">
        <v>3079</v>
      </c>
      <c r="AA92" s="2768">
        <v>1.2672040312900501</v>
      </c>
      <c r="AB92" s="2768">
        <v>8.4680200184042906</v>
      </c>
      <c r="AC92" s="2768">
        <v>16.9767303067899</v>
      </c>
      <c r="AD92" s="2768">
        <v>21.936040999986901</v>
      </c>
      <c r="AE92" s="2768">
        <v>30.005101951576702</v>
      </c>
      <c r="AF92" s="2768">
        <v>39.771663151237398</v>
      </c>
      <c r="AG92" s="2768">
        <v>45.123476306635098</v>
      </c>
      <c r="AH92" s="2768">
        <v>54.113930053459598</v>
      </c>
      <c r="AI92" s="2768">
        <v>57.471264367816097</v>
      </c>
      <c r="AJ92" s="2768">
        <v>53.594234628717402</v>
      </c>
      <c r="AK92" s="2768">
        <v>50.173326035395</v>
      </c>
      <c r="AL92" s="2768">
        <v>33.448884023596698</v>
      </c>
      <c r="AM92" s="2768">
        <v>16.724442011798299</v>
      </c>
      <c r="AN92" s="2768">
        <v>16.724442011798299</v>
      </c>
      <c r="AO92" s="2766" t="s">
        <v>861</v>
      </c>
    </row>
    <row r="93" spans="1:41" ht="12.75" hidden="1" customHeight="1">
      <c r="A93" s="2759"/>
      <c r="B93" s="2765" t="s">
        <v>3468</v>
      </c>
      <c r="C93" s="2766" t="s">
        <v>3405</v>
      </c>
      <c r="D93" s="2766" t="s">
        <v>3115</v>
      </c>
      <c r="E93" s="2766" t="s">
        <v>3278</v>
      </c>
      <c r="F93" s="2766" t="s">
        <v>3279</v>
      </c>
      <c r="G93" s="2767">
        <v>39629</v>
      </c>
      <c r="H93" s="2765" t="s">
        <v>3079</v>
      </c>
      <c r="I93" s="2768">
        <v>0.04</v>
      </c>
      <c r="J93" s="2768">
        <v>4.0198374966722197</v>
      </c>
      <c r="K93" s="2768">
        <v>4.0198374966722197</v>
      </c>
      <c r="L93" s="2768">
        <v>7.1189582338061497</v>
      </c>
      <c r="M93" s="2768">
        <v>7.47490614549646</v>
      </c>
      <c r="N93" s="2768">
        <v>7.8486514527712803</v>
      </c>
      <c r="O93" s="2768">
        <v>8.2410840254098492</v>
      </c>
      <c r="P93" s="2768">
        <v>8.6531382266803405</v>
      </c>
      <c r="Q93" s="2768">
        <v>9.08579513801436</v>
      </c>
      <c r="R93" s="2768">
        <v>9.5400848949150703</v>
      </c>
      <c r="S93" s="2768">
        <v>10.017089139660801</v>
      </c>
      <c r="T93" s="2768">
        <v>10.517943596643899</v>
      </c>
      <c r="U93" s="2768">
        <v>11.043840776476101</v>
      </c>
      <c r="V93" s="2768">
        <v>11.5960328152999</v>
      </c>
      <c r="W93" s="2768">
        <v>12.1758344560649</v>
      </c>
      <c r="X93" s="2769">
        <v>0.50448714633149006</v>
      </c>
      <c r="Y93" s="2767">
        <v>39629</v>
      </c>
      <c r="Z93" s="2768">
        <v>0.04</v>
      </c>
      <c r="AA93" s="2768">
        <v>4.0198374966722197</v>
      </c>
      <c r="AB93" s="2768">
        <v>4.0198374966722197</v>
      </c>
      <c r="AC93" s="2768">
        <v>7.1189582338061497</v>
      </c>
      <c r="AD93" s="2768">
        <v>7.47490614549646</v>
      </c>
      <c r="AE93" s="2768">
        <v>7.8486514527712803</v>
      </c>
      <c r="AF93" s="2768">
        <v>8.2410840254098492</v>
      </c>
      <c r="AG93" s="2768">
        <v>8.6531382266803405</v>
      </c>
      <c r="AH93" s="2768">
        <v>9.08579513801436</v>
      </c>
      <c r="AI93" s="2768">
        <v>9.5400848949150703</v>
      </c>
      <c r="AJ93" s="2768">
        <v>10.017089139660801</v>
      </c>
      <c r="AK93" s="2768">
        <v>10.517943596643899</v>
      </c>
      <c r="AL93" s="2768">
        <v>11.043840776476101</v>
      </c>
      <c r="AM93" s="2768">
        <v>11.5960328152999</v>
      </c>
      <c r="AN93" s="2768">
        <v>12.1758344560649</v>
      </c>
      <c r="AO93" s="2766" t="s">
        <v>861</v>
      </c>
    </row>
    <row r="94" spans="1:41" ht="12.75" hidden="1" customHeight="1">
      <c r="A94" s="2759"/>
      <c r="B94" s="2765" t="s">
        <v>3469</v>
      </c>
      <c r="C94" s="2766" t="s">
        <v>3431</v>
      </c>
      <c r="D94" s="2766" t="s">
        <v>3470</v>
      </c>
      <c r="E94" s="2766" t="s">
        <v>3328</v>
      </c>
      <c r="F94" s="2766" t="s">
        <v>3319</v>
      </c>
      <c r="G94" s="2767">
        <v>38352</v>
      </c>
      <c r="H94" s="2765" t="s">
        <v>3079</v>
      </c>
      <c r="I94" s="2768">
        <v>9.4363484002604991</v>
      </c>
      <c r="J94" s="2768">
        <v>9.9374063041514695</v>
      </c>
      <c r="K94" s="2768">
        <v>9.8648580308051308</v>
      </c>
      <c r="L94" s="2768">
        <v>10.2461230322013</v>
      </c>
      <c r="M94" s="2768">
        <v>10.747790627110501</v>
      </c>
      <c r="N94" s="2768">
        <v>10.0959185330168</v>
      </c>
      <c r="O94" s="2768">
        <v>9.9378717540003496</v>
      </c>
      <c r="P94" s="2768">
        <v>10.297890832377799</v>
      </c>
      <c r="Q94" s="2768">
        <v>10.9060022274238</v>
      </c>
      <c r="R94" s="2768">
        <v>11.0034072935983</v>
      </c>
      <c r="S94" s="2768">
        <v>11.106242875781501</v>
      </c>
      <c r="T94" s="2768">
        <v>11.210039538171999</v>
      </c>
      <c r="U94" s="2768">
        <v>11.314806262827799</v>
      </c>
      <c r="V94" s="2768">
        <v>11.4205521157514</v>
      </c>
      <c r="W94" s="2768">
        <v>11.527286247674301</v>
      </c>
      <c r="X94" s="2769">
        <v>1.43989561091651E-2</v>
      </c>
      <c r="Y94" s="2767">
        <v>38352</v>
      </c>
      <c r="Z94" s="2768">
        <v>9.4363484002604991</v>
      </c>
      <c r="AA94" s="2768">
        <v>9.9374063041514695</v>
      </c>
      <c r="AB94" s="2768">
        <v>9.8648580308051308</v>
      </c>
      <c r="AC94" s="2768">
        <v>10.2461230322013</v>
      </c>
      <c r="AD94" s="2768">
        <v>10.747790627110501</v>
      </c>
      <c r="AE94" s="2768">
        <v>10.0959185330168</v>
      </c>
      <c r="AF94" s="2768">
        <v>9.9378717540003496</v>
      </c>
      <c r="AG94" s="2768">
        <v>10.297890832377799</v>
      </c>
      <c r="AH94" s="2768">
        <v>10.9060022274238</v>
      </c>
      <c r="AI94" s="2768">
        <v>11.0034072935983</v>
      </c>
      <c r="AJ94" s="2768">
        <v>11.106242875781501</v>
      </c>
      <c r="AK94" s="2768">
        <v>11.210039538171999</v>
      </c>
      <c r="AL94" s="2768">
        <v>11.314806262827799</v>
      </c>
      <c r="AM94" s="2768">
        <v>11.4205521157514</v>
      </c>
      <c r="AN94" s="2768">
        <v>11.527286247674301</v>
      </c>
      <c r="AO94" s="2766" t="s">
        <v>861</v>
      </c>
    </row>
    <row r="95" spans="1:41" ht="12.75" hidden="1" customHeight="1">
      <c r="A95" s="2759"/>
      <c r="B95" s="2765" t="s">
        <v>3471</v>
      </c>
      <c r="C95" s="2766" t="s">
        <v>3186</v>
      </c>
      <c r="D95" s="2766" t="s">
        <v>3372</v>
      </c>
      <c r="E95" s="2766" t="s">
        <v>3301</v>
      </c>
      <c r="F95" s="2766" t="s">
        <v>3073</v>
      </c>
      <c r="G95" s="2767">
        <v>40178</v>
      </c>
      <c r="H95" s="2767">
        <v>44196</v>
      </c>
      <c r="I95" s="2765" t="s">
        <v>3079</v>
      </c>
      <c r="J95" s="2765" t="s">
        <v>3079</v>
      </c>
      <c r="K95" s="2765" t="s">
        <v>3079</v>
      </c>
      <c r="L95" s="2765" t="s">
        <v>3079</v>
      </c>
      <c r="M95" s="2765" t="s">
        <v>3079</v>
      </c>
      <c r="N95" s="2765" t="s">
        <v>3079</v>
      </c>
      <c r="O95" s="2768">
        <v>2.2584070943036099</v>
      </c>
      <c r="P95" s="2768">
        <v>19.375424710875201</v>
      </c>
      <c r="Q95" s="2768">
        <v>24.037593701265099</v>
      </c>
      <c r="R95" s="2768">
        <v>27.978566136447501</v>
      </c>
      <c r="S95" s="2768">
        <v>33.133189828015198</v>
      </c>
      <c r="T95" s="2768">
        <v>22.204157062992198</v>
      </c>
      <c r="U95" s="2768">
        <v>13.382215465340099</v>
      </c>
      <c r="V95" s="2768">
        <v>12.002153331660001</v>
      </c>
      <c r="W95" s="2768">
        <v>11.4275338783177</v>
      </c>
      <c r="X95" s="2770" t="s">
        <v>13</v>
      </c>
      <c r="Y95" s="2767">
        <v>40178</v>
      </c>
      <c r="Z95" s="2765" t="s">
        <v>3079</v>
      </c>
      <c r="AA95" s="2765" t="s">
        <v>3079</v>
      </c>
      <c r="AB95" s="2765" t="s">
        <v>3079</v>
      </c>
      <c r="AC95" s="2765" t="s">
        <v>3079</v>
      </c>
      <c r="AD95" s="2765" t="s">
        <v>3079</v>
      </c>
      <c r="AE95" s="2765" t="s">
        <v>3079</v>
      </c>
      <c r="AF95" s="2768">
        <v>2.2584070943036099</v>
      </c>
      <c r="AG95" s="2768">
        <v>19.375424710875201</v>
      </c>
      <c r="AH95" s="2768">
        <v>24.037593701265099</v>
      </c>
      <c r="AI95" s="2768">
        <v>27.978566136447501</v>
      </c>
      <c r="AJ95" s="2768">
        <v>33.133189828015198</v>
      </c>
      <c r="AK95" s="2768">
        <v>22.204157062992198</v>
      </c>
      <c r="AL95" s="2768">
        <v>13.382215465340099</v>
      </c>
      <c r="AM95" s="2768">
        <v>12.002153331660001</v>
      </c>
      <c r="AN95" s="2768">
        <v>11.4275338783177</v>
      </c>
      <c r="AO95" s="2766" t="s">
        <v>861</v>
      </c>
    </row>
    <row r="96" spans="1:41" ht="12.75" hidden="1" customHeight="1">
      <c r="A96" s="2759"/>
      <c r="B96" s="2765" t="s">
        <v>3472</v>
      </c>
      <c r="C96" s="2766" t="s">
        <v>3473</v>
      </c>
      <c r="D96" s="2766" t="s">
        <v>3238</v>
      </c>
      <c r="E96" s="2766" t="s">
        <v>3322</v>
      </c>
      <c r="F96" s="2766" t="s">
        <v>3245</v>
      </c>
      <c r="G96" s="2767">
        <v>44561</v>
      </c>
      <c r="H96" s="2765" t="s">
        <v>3079</v>
      </c>
      <c r="I96" s="2765" t="s">
        <v>3079</v>
      </c>
      <c r="J96" s="2765" t="s">
        <v>3079</v>
      </c>
      <c r="K96" s="2765" t="s">
        <v>3079</v>
      </c>
      <c r="L96" s="2765" t="s">
        <v>3079</v>
      </c>
      <c r="M96" s="2765" t="s">
        <v>3079</v>
      </c>
      <c r="N96" s="2765" t="s">
        <v>3079</v>
      </c>
      <c r="O96" s="2765" t="s">
        <v>3079</v>
      </c>
      <c r="P96" s="2765" t="s">
        <v>3079</v>
      </c>
      <c r="Q96" s="2765" t="s">
        <v>3079</v>
      </c>
      <c r="R96" s="2765" t="s">
        <v>3079</v>
      </c>
      <c r="S96" s="2765" t="s">
        <v>3079</v>
      </c>
      <c r="T96" s="2768">
        <v>1.6666666666666701</v>
      </c>
      <c r="U96" s="2768">
        <v>3.3333333333333299</v>
      </c>
      <c r="V96" s="2768">
        <v>6.6666666666666696</v>
      </c>
      <c r="W96" s="2768">
        <v>10</v>
      </c>
      <c r="X96" s="2770" t="s">
        <v>13</v>
      </c>
      <c r="Y96" s="2767">
        <v>44561</v>
      </c>
      <c r="Z96" s="2765" t="s">
        <v>3079</v>
      </c>
      <c r="AA96" s="2765" t="s">
        <v>3079</v>
      </c>
      <c r="AB96" s="2765" t="s">
        <v>3079</v>
      </c>
      <c r="AC96" s="2765" t="s">
        <v>3079</v>
      </c>
      <c r="AD96" s="2765" t="s">
        <v>3079</v>
      </c>
      <c r="AE96" s="2765" t="s">
        <v>3079</v>
      </c>
      <c r="AF96" s="2765" t="s">
        <v>3079</v>
      </c>
      <c r="AG96" s="2765" t="s">
        <v>3079</v>
      </c>
      <c r="AH96" s="2765" t="s">
        <v>3079</v>
      </c>
      <c r="AI96" s="2765" t="s">
        <v>3079</v>
      </c>
      <c r="AJ96" s="2765" t="s">
        <v>3079</v>
      </c>
      <c r="AK96" s="2768">
        <v>1.6666666666666701</v>
      </c>
      <c r="AL96" s="2768">
        <v>3.3333333333333299</v>
      </c>
      <c r="AM96" s="2768">
        <v>6.6666666666666696</v>
      </c>
      <c r="AN96" s="2768">
        <v>10</v>
      </c>
      <c r="AO96" s="2766" t="s">
        <v>518</v>
      </c>
    </row>
    <row r="97" spans="1:41" ht="12.75" hidden="1" customHeight="1">
      <c r="A97" s="2759"/>
      <c r="B97" s="2765" t="s">
        <v>3474</v>
      </c>
      <c r="C97" s="2766" t="s">
        <v>3316</v>
      </c>
      <c r="D97" s="2766" t="s">
        <v>2392</v>
      </c>
      <c r="E97" s="2766" t="s">
        <v>3318</v>
      </c>
      <c r="F97" s="2766" t="s">
        <v>3319</v>
      </c>
      <c r="G97" s="2767">
        <v>30816</v>
      </c>
      <c r="H97" s="2765" t="s">
        <v>3079</v>
      </c>
      <c r="I97" s="2768">
        <v>32.754040960189101</v>
      </c>
      <c r="J97" s="2768">
        <v>27.8784886883812</v>
      </c>
      <c r="K97" s="2768">
        <v>21.774908618753901</v>
      </c>
      <c r="L97" s="2768">
        <v>15.978099112272901</v>
      </c>
      <c r="M97" s="2768">
        <v>11.8820222083262</v>
      </c>
      <c r="N97" s="2768">
        <v>10.001700650525599</v>
      </c>
      <c r="O97" s="2768">
        <v>8.3243015897938708</v>
      </c>
      <c r="P97" s="2768">
        <v>8.1222257351943092</v>
      </c>
      <c r="Q97" s="2768">
        <v>8.2198374764748792</v>
      </c>
      <c r="R97" s="2768">
        <v>8.2101806239737201</v>
      </c>
      <c r="S97" s="2768">
        <v>8.2101806239737201</v>
      </c>
      <c r="T97" s="2768">
        <v>8.2101806239737201</v>
      </c>
      <c r="U97" s="2768">
        <v>8.2101806239737201</v>
      </c>
      <c r="V97" s="2768">
        <v>8.2101806239737201</v>
      </c>
      <c r="W97" s="2768">
        <v>8.2101806239737201</v>
      </c>
      <c r="X97" s="2769">
        <v>-9.4105335642372806E-2</v>
      </c>
      <c r="Y97" s="2767">
        <v>30816</v>
      </c>
      <c r="Z97" s="2768">
        <v>32.754040960189101</v>
      </c>
      <c r="AA97" s="2768">
        <v>27.8784886883812</v>
      </c>
      <c r="AB97" s="2768">
        <v>21.774908618753901</v>
      </c>
      <c r="AC97" s="2768">
        <v>15.978099112272901</v>
      </c>
      <c r="AD97" s="2768">
        <v>11.8820222083262</v>
      </c>
      <c r="AE97" s="2768">
        <v>10.001700650525599</v>
      </c>
      <c r="AF97" s="2768">
        <v>8.3243015897938708</v>
      </c>
      <c r="AG97" s="2768">
        <v>8.1222257351943092</v>
      </c>
      <c r="AH97" s="2768">
        <v>8.2198374764748792</v>
      </c>
      <c r="AI97" s="2768">
        <v>8.2101806239737201</v>
      </c>
      <c r="AJ97" s="2768">
        <v>8.2101806239737201</v>
      </c>
      <c r="AK97" s="2768">
        <v>8.2101806239737201</v>
      </c>
      <c r="AL97" s="2768">
        <v>8.2101806239737201</v>
      </c>
      <c r="AM97" s="2768">
        <v>8.2101806239737201</v>
      </c>
      <c r="AN97" s="2768">
        <v>8.2101806239737201</v>
      </c>
      <c r="AO97" s="2766" t="s">
        <v>861</v>
      </c>
    </row>
    <row r="98" spans="1:41" ht="22.5" hidden="1" customHeight="1">
      <c r="A98" s="2759"/>
      <c r="B98" s="2765" t="s">
        <v>3475</v>
      </c>
      <c r="C98" s="2766" t="s">
        <v>3476</v>
      </c>
      <c r="D98" s="2766" t="s">
        <v>3406</v>
      </c>
      <c r="E98" s="2766" t="s">
        <v>3477</v>
      </c>
      <c r="F98" s="2766" t="s">
        <v>3478</v>
      </c>
      <c r="G98" s="2767">
        <v>41138</v>
      </c>
      <c r="H98" s="2765" t="s">
        <v>3079</v>
      </c>
      <c r="I98" s="2765" t="s">
        <v>3079</v>
      </c>
      <c r="J98" s="2765" t="s">
        <v>3079</v>
      </c>
      <c r="K98" s="2768">
        <v>39.125</v>
      </c>
      <c r="L98" s="2768">
        <v>32.693158683219202</v>
      </c>
      <c r="M98" s="2768">
        <v>18.7626856297945</v>
      </c>
      <c r="N98" s="2768">
        <v>17.103670779411001</v>
      </c>
      <c r="O98" s="2768">
        <v>15.838487240440401</v>
      </c>
      <c r="P98" s="2768">
        <v>14.696562878418399</v>
      </c>
      <c r="Q98" s="2768">
        <v>13.676734734497501</v>
      </c>
      <c r="R98" s="2768">
        <v>12.656906590576501</v>
      </c>
      <c r="S98" s="2768">
        <v>11.7370784466555</v>
      </c>
      <c r="T98" s="2768">
        <v>10.8172503027346</v>
      </c>
      <c r="U98" s="2768">
        <v>9.8974221588136508</v>
      </c>
      <c r="V98" s="2768">
        <v>8.9775940148927003</v>
      </c>
      <c r="W98" s="2768">
        <v>8.0577658709717497</v>
      </c>
      <c r="X98" s="2770" t="s">
        <v>13</v>
      </c>
      <c r="Y98" s="2767">
        <v>41138</v>
      </c>
      <c r="Z98" s="2765" t="s">
        <v>3079</v>
      </c>
      <c r="AA98" s="2765" t="s">
        <v>3079</v>
      </c>
      <c r="AB98" s="2768">
        <v>39.125</v>
      </c>
      <c r="AC98" s="2768">
        <v>32.693158683219202</v>
      </c>
      <c r="AD98" s="2768">
        <v>18.7626856297945</v>
      </c>
      <c r="AE98" s="2768">
        <v>17.103670779411001</v>
      </c>
      <c r="AF98" s="2768">
        <v>15.838487240440401</v>
      </c>
      <c r="AG98" s="2768">
        <v>14.696562878418399</v>
      </c>
      <c r="AH98" s="2768">
        <v>13.676734734497501</v>
      </c>
      <c r="AI98" s="2768">
        <v>12.656906590576501</v>
      </c>
      <c r="AJ98" s="2768">
        <v>11.7370784466555</v>
      </c>
      <c r="AK98" s="2768">
        <v>10.8172503027346</v>
      </c>
      <c r="AL98" s="2768">
        <v>9.8974221588136508</v>
      </c>
      <c r="AM98" s="2768">
        <v>8.9775940148927003</v>
      </c>
      <c r="AN98" s="2768">
        <v>8.0577658709717497</v>
      </c>
      <c r="AO98" s="2766" t="s">
        <v>861</v>
      </c>
    </row>
    <row r="99" spans="1:41" ht="12.75" hidden="1" customHeight="1">
      <c r="A99" s="2759"/>
      <c r="B99" s="2765" t="s">
        <v>3479</v>
      </c>
      <c r="C99" s="2766" t="s">
        <v>3405</v>
      </c>
      <c r="D99" s="2766" t="s">
        <v>3421</v>
      </c>
      <c r="E99" s="2766" t="s">
        <v>3278</v>
      </c>
      <c r="F99" s="2766" t="s">
        <v>3279</v>
      </c>
      <c r="G99" s="2767">
        <v>39450</v>
      </c>
      <c r="H99" s="2765" t="s">
        <v>3079</v>
      </c>
      <c r="I99" s="2765" t="s">
        <v>3079</v>
      </c>
      <c r="J99" s="2765" t="s">
        <v>3079</v>
      </c>
      <c r="K99" s="2765" t="s">
        <v>3079</v>
      </c>
      <c r="L99" s="2765" t="s">
        <v>3079</v>
      </c>
      <c r="M99" s="2765" t="s">
        <v>3079</v>
      </c>
      <c r="N99" s="2765" t="s">
        <v>3079</v>
      </c>
      <c r="O99" s="2768">
        <v>31.126647700781199</v>
      </c>
      <c r="P99" s="2768">
        <v>23.476056328125001</v>
      </c>
      <c r="Q99" s="2768">
        <v>14.9316061497949</v>
      </c>
      <c r="R99" s="2768">
        <v>13.485149550189901</v>
      </c>
      <c r="S99" s="2768">
        <v>12.121222469046399</v>
      </c>
      <c r="T99" s="2768">
        <v>10.9317782783144</v>
      </c>
      <c r="U99" s="2768">
        <v>9.8595548961787198</v>
      </c>
      <c r="V99" s="2768">
        <v>8.8479982938013002</v>
      </c>
      <c r="W99" s="2768">
        <v>7.8364416914238699</v>
      </c>
      <c r="X99" s="2770" t="s">
        <v>13</v>
      </c>
      <c r="Y99" s="2767">
        <v>39450</v>
      </c>
      <c r="Z99" s="2765" t="s">
        <v>3079</v>
      </c>
      <c r="AA99" s="2765" t="s">
        <v>3079</v>
      </c>
      <c r="AB99" s="2765" t="s">
        <v>3079</v>
      </c>
      <c r="AC99" s="2765" t="s">
        <v>3079</v>
      </c>
      <c r="AD99" s="2765" t="s">
        <v>3079</v>
      </c>
      <c r="AE99" s="2765" t="s">
        <v>3079</v>
      </c>
      <c r="AF99" s="2768">
        <v>31.126647700781199</v>
      </c>
      <c r="AG99" s="2768">
        <v>23.476056328125001</v>
      </c>
      <c r="AH99" s="2768">
        <v>14.9316061497949</v>
      </c>
      <c r="AI99" s="2768">
        <v>13.485149550189901</v>
      </c>
      <c r="AJ99" s="2768">
        <v>12.121222469046399</v>
      </c>
      <c r="AK99" s="2768">
        <v>10.9317782783144</v>
      </c>
      <c r="AL99" s="2768">
        <v>9.8595548961787198</v>
      </c>
      <c r="AM99" s="2768">
        <v>8.8479982938013002</v>
      </c>
      <c r="AN99" s="2768">
        <v>7.8364416914238699</v>
      </c>
      <c r="AO99" s="2766" t="s">
        <v>861</v>
      </c>
    </row>
    <row r="100" spans="1:41" ht="12.75" hidden="1" customHeight="1">
      <c r="A100" s="2759"/>
      <c r="B100" s="2765" t="s">
        <v>3480</v>
      </c>
      <c r="C100" s="2766" t="s">
        <v>3481</v>
      </c>
      <c r="D100" s="2766" t="s">
        <v>3087</v>
      </c>
      <c r="E100" s="2766" t="s">
        <v>3482</v>
      </c>
      <c r="F100" s="2766" t="s">
        <v>3073</v>
      </c>
      <c r="G100" s="2767">
        <v>41849</v>
      </c>
      <c r="H100" s="2767">
        <v>44926</v>
      </c>
      <c r="I100" s="2765" t="s">
        <v>3079</v>
      </c>
      <c r="J100" s="2765" t="s">
        <v>3079</v>
      </c>
      <c r="K100" s="2765" t="s">
        <v>3079</v>
      </c>
      <c r="L100" s="2765" t="s">
        <v>3079</v>
      </c>
      <c r="M100" s="2768">
        <v>9.8831986876703795</v>
      </c>
      <c r="N100" s="2768">
        <v>62.654080397906803</v>
      </c>
      <c r="O100" s="2768">
        <v>163.86761089211899</v>
      </c>
      <c r="P100" s="2768">
        <v>112.14841070902401</v>
      </c>
      <c r="Q100" s="2768">
        <v>43.649116693617501</v>
      </c>
      <c r="R100" s="2768">
        <v>30.3541372113378</v>
      </c>
      <c r="S100" s="2768">
        <v>22.994064049911401</v>
      </c>
      <c r="T100" s="2768">
        <v>17.651930586413599</v>
      </c>
      <c r="U100" s="2768">
        <v>13.886736265401</v>
      </c>
      <c r="V100" s="2768">
        <v>10.53441933027</v>
      </c>
      <c r="W100" s="2768">
        <v>6.9068508045512802</v>
      </c>
      <c r="X100" s="2770" t="s">
        <v>13</v>
      </c>
      <c r="Y100" s="2767">
        <v>41849</v>
      </c>
      <c r="Z100" s="2765" t="s">
        <v>3079</v>
      </c>
      <c r="AA100" s="2765" t="s">
        <v>3079</v>
      </c>
      <c r="AB100" s="2765" t="s">
        <v>3079</v>
      </c>
      <c r="AC100" s="2765" t="s">
        <v>3079</v>
      </c>
      <c r="AD100" s="2768">
        <v>9.8831986876703795</v>
      </c>
      <c r="AE100" s="2768">
        <v>62.654080397906803</v>
      </c>
      <c r="AF100" s="2768">
        <v>163.86761089211899</v>
      </c>
      <c r="AG100" s="2768">
        <v>112.14841070902401</v>
      </c>
      <c r="AH100" s="2768">
        <v>43.649116693617501</v>
      </c>
      <c r="AI100" s="2768">
        <v>30.3541372113378</v>
      </c>
      <c r="AJ100" s="2768">
        <v>22.994064049911401</v>
      </c>
      <c r="AK100" s="2768">
        <v>17.651930586413599</v>
      </c>
      <c r="AL100" s="2768">
        <v>13.886736265401</v>
      </c>
      <c r="AM100" s="2768">
        <v>10.53441933027</v>
      </c>
      <c r="AN100" s="2768">
        <v>6.9068508045512802</v>
      </c>
      <c r="AO100" s="2766" t="s">
        <v>861</v>
      </c>
    </row>
    <row r="101" spans="1:41" ht="12.75" hidden="1" customHeight="1">
      <c r="A101" s="2759"/>
      <c r="B101" s="2765" t="s">
        <v>3483</v>
      </c>
      <c r="C101" s="2766" t="s">
        <v>3484</v>
      </c>
      <c r="D101" s="2766" t="s">
        <v>3432</v>
      </c>
      <c r="E101" s="2766" t="s">
        <v>3485</v>
      </c>
      <c r="F101" s="2766" t="s">
        <v>3258</v>
      </c>
      <c r="G101" s="2767">
        <v>42277</v>
      </c>
      <c r="H101" s="2765" t="s">
        <v>3079</v>
      </c>
      <c r="I101" s="2765" t="s">
        <v>3079</v>
      </c>
      <c r="J101" s="2765" t="s">
        <v>3079</v>
      </c>
      <c r="K101" s="2765" t="s">
        <v>3079</v>
      </c>
      <c r="L101" s="2765" t="s">
        <v>3079</v>
      </c>
      <c r="M101" s="2765" t="s">
        <v>3079</v>
      </c>
      <c r="N101" s="2768">
        <v>0.78950398450083503</v>
      </c>
      <c r="O101" s="2768">
        <v>4.28726027859173</v>
      </c>
      <c r="P101" s="2768">
        <v>4.6466107364118496</v>
      </c>
      <c r="Q101" s="2768">
        <v>4.7695047497005199</v>
      </c>
      <c r="R101" s="2768">
        <v>4.9394927106791604</v>
      </c>
      <c r="S101" s="2768">
        <v>5.1864673462131199</v>
      </c>
      <c r="T101" s="2768">
        <v>5.4457907135237704</v>
      </c>
      <c r="U101" s="2768">
        <v>5.7180802491999598</v>
      </c>
      <c r="V101" s="2768">
        <v>6.0039842616599604</v>
      </c>
      <c r="W101" s="2768">
        <v>6.3041834747429597</v>
      </c>
      <c r="X101" s="2770" t="s">
        <v>13</v>
      </c>
      <c r="Y101" s="2767">
        <v>42277</v>
      </c>
      <c r="Z101" s="2765" t="s">
        <v>3079</v>
      </c>
      <c r="AA101" s="2765" t="s">
        <v>3079</v>
      </c>
      <c r="AB101" s="2765" t="s">
        <v>3079</v>
      </c>
      <c r="AC101" s="2765" t="s">
        <v>3079</v>
      </c>
      <c r="AD101" s="2765" t="s">
        <v>3079</v>
      </c>
      <c r="AE101" s="2768">
        <v>0.78950398450083503</v>
      </c>
      <c r="AF101" s="2768">
        <v>4.28726027859173</v>
      </c>
      <c r="AG101" s="2768">
        <v>4.6466107364118496</v>
      </c>
      <c r="AH101" s="2768">
        <v>4.7695047497005199</v>
      </c>
      <c r="AI101" s="2768">
        <v>4.9394927106791604</v>
      </c>
      <c r="AJ101" s="2768">
        <v>5.1864673462131199</v>
      </c>
      <c r="AK101" s="2768">
        <v>5.4457907135237704</v>
      </c>
      <c r="AL101" s="2768">
        <v>5.7180802491999598</v>
      </c>
      <c r="AM101" s="2768">
        <v>6.0039842616599604</v>
      </c>
      <c r="AN101" s="2768">
        <v>6.3041834747429597</v>
      </c>
      <c r="AO101" s="2766" t="s">
        <v>861</v>
      </c>
    </row>
    <row r="102" spans="1:41" ht="12.75" hidden="1" customHeight="1">
      <c r="A102" s="2759"/>
      <c r="B102" s="2765" t="s">
        <v>3486</v>
      </c>
      <c r="C102" s="2766" t="s">
        <v>3463</v>
      </c>
      <c r="D102" s="2766" t="s">
        <v>3487</v>
      </c>
      <c r="E102" s="2766" t="s">
        <v>3465</v>
      </c>
      <c r="F102" s="2766" t="s">
        <v>3286</v>
      </c>
      <c r="G102" s="2767">
        <v>38541</v>
      </c>
      <c r="H102" s="2765" t="s">
        <v>3079</v>
      </c>
      <c r="I102" s="2768">
        <v>13.4291567936775</v>
      </c>
      <c r="J102" s="2768">
        <v>13.761835779809999</v>
      </c>
      <c r="K102" s="2768">
        <v>13.0528479997975</v>
      </c>
      <c r="L102" s="2768">
        <v>10.8151758366197</v>
      </c>
      <c r="M102" s="2768">
        <v>9.2588373054111308</v>
      </c>
      <c r="N102" s="2768">
        <v>8.3680895442730705</v>
      </c>
      <c r="O102" s="2768">
        <v>8.85150735714749</v>
      </c>
      <c r="P102" s="2768">
        <v>7.8514848773545003</v>
      </c>
      <c r="Q102" s="2768">
        <v>7.6160356231917303</v>
      </c>
      <c r="R102" s="2768">
        <v>7.2913415186953596</v>
      </c>
      <c r="S102" s="2768">
        <v>6.98870056815396</v>
      </c>
      <c r="T102" s="2768">
        <v>6.69862130392361</v>
      </c>
      <c r="U102" s="2768">
        <v>6.4205823294031701</v>
      </c>
      <c r="V102" s="2768">
        <v>6.1540838895457499</v>
      </c>
      <c r="W102" s="2768">
        <v>5.8986469725849799</v>
      </c>
      <c r="X102" s="2769">
        <v>-5.7071347137317499E-2</v>
      </c>
      <c r="Y102" s="2767">
        <v>38541</v>
      </c>
      <c r="Z102" s="2768">
        <v>13.4291567936775</v>
      </c>
      <c r="AA102" s="2768">
        <v>13.761835779809999</v>
      </c>
      <c r="AB102" s="2768">
        <v>13.0528479997975</v>
      </c>
      <c r="AC102" s="2768">
        <v>10.8151758366197</v>
      </c>
      <c r="AD102" s="2768">
        <v>9.2588373054111308</v>
      </c>
      <c r="AE102" s="2768">
        <v>8.3680895442730705</v>
      </c>
      <c r="AF102" s="2768">
        <v>8.85150735714749</v>
      </c>
      <c r="AG102" s="2768">
        <v>7.8514848773545003</v>
      </c>
      <c r="AH102" s="2768">
        <v>7.6160356231917303</v>
      </c>
      <c r="AI102" s="2768">
        <v>7.2913415186953596</v>
      </c>
      <c r="AJ102" s="2768">
        <v>6.98870056815396</v>
      </c>
      <c r="AK102" s="2768">
        <v>6.69862130392361</v>
      </c>
      <c r="AL102" s="2768">
        <v>6.4205823294031701</v>
      </c>
      <c r="AM102" s="2768">
        <v>6.1540838895457499</v>
      </c>
      <c r="AN102" s="2768">
        <v>5.8986469725849799</v>
      </c>
      <c r="AO102" s="2766" t="s">
        <v>861</v>
      </c>
    </row>
    <row r="103" spans="1:41" ht="12.75" hidden="1" customHeight="1">
      <c r="A103" s="2759"/>
      <c r="B103" s="2765" t="s">
        <v>3488</v>
      </c>
      <c r="C103" s="2766" t="s">
        <v>3489</v>
      </c>
      <c r="D103" s="2766" t="s">
        <v>3490</v>
      </c>
      <c r="E103" s="2766" t="s">
        <v>3318</v>
      </c>
      <c r="F103" s="2766" t="s">
        <v>3319</v>
      </c>
      <c r="G103" s="2767">
        <v>36341</v>
      </c>
      <c r="H103" s="2765" t="s">
        <v>3079</v>
      </c>
      <c r="I103" s="2768">
        <v>3.7910020141351501</v>
      </c>
      <c r="J103" s="2768">
        <v>3.79685884368322</v>
      </c>
      <c r="K103" s="2768">
        <v>3.49978579524806</v>
      </c>
      <c r="L103" s="2768">
        <v>3.31163261935211</v>
      </c>
      <c r="M103" s="2768">
        <v>3.4305669648453301</v>
      </c>
      <c r="N103" s="2768">
        <v>3.3663433213303402</v>
      </c>
      <c r="O103" s="2768">
        <v>3.4478563278363601</v>
      </c>
      <c r="P103" s="2768">
        <v>3.7649984012878699</v>
      </c>
      <c r="Q103" s="2768">
        <v>3.7827995263136498</v>
      </c>
      <c r="R103" s="2768">
        <v>3.9644214853813202</v>
      </c>
      <c r="S103" s="2768">
        <v>4.16264255965039</v>
      </c>
      <c r="T103" s="2768">
        <v>4.3707746876328999</v>
      </c>
      <c r="U103" s="2768">
        <v>4.5893134220145599</v>
      </c>
      <c r="V103" s="2768">
        <v>4.8187790931152898</v>
      </c>
      <c r="W103" s="2768">
        <v>5.0597180477710504</v>
      </c>
      <c r="X103" s="2769">
        <v>2.0834089573963599E-2</v>
      </c>
      <c r="Y103" s="2767">
        <v>36341</v>
      </c>
      <c r="Z103" s="2768">
        <v>3.7910020141351501</v>
      </c>
      <c r="AA103" s="2768">
        <v>3.79685884368322</v>
      </c>
      <c r="AB103" s="2768">
        <v>3.49978579524806</v>
      </c>
      <c r="AC103" s="2768">
        <v>3.31163261935211</v>
      </c>
      <c r="AD103" s="2768">
        <v>3.4305669648453301</v>
      </c>
      <c r="AE103" s="2768">
        <v>3.3663433213303402</v>
      </c>
      <c r="AF103" s="2768">
        <v>3.4478563278363601</v>
      </c>
      <c r="AG103" s="2768">
        <v>3.7649984012878699</v>
      </c>
      <c r="AH103" s="2768">
        <v>3.7827995263136498</v>
      </c>
      <c r="AI103" s="2768">
        <v>3.9644214853813202</v>
      </c>
      <c r="AJ103" s="2768">
        <v>4.16264255965039</v>
      </c>
      <c r="AK103" s="2768">
        <v>4.3707746876328999</v>
      </c>
      <c r="AL103" s="2768">
        <v>4.5893134220145599</v>
      </c>
      <c r="AM103" s="2768">
        <v>4.8187790931152898</v>
      </c>
      <c r="AN103" s="2768">
        <v>5.0597180477710504</v>
      </c>
      <c r="AO103" s="2766" t="s">
        <v>861</v>
      </c>
    </row>
    <row r="104" spans="1:41" ht="12.75" hidden="1" customHeight="1">
      <c r="A104" s="2759"/>
      <c r="B104" s="2765" t="s">
        <v>3491</v>
      </c>
      <c r="C104" s="2766" t="s">
        <v>3489</v>
      </c>
      <c r="D104" s="2766" t="s">
        <v>3432</v>
      </c>
      <c r="E104" s="2766" t="s">
        <v>3318</v>
      </c>
      <c r="F104" s="2766" t="s">
        <v>3319</v>
      </c>
      <c r="G104" s="2767">
        <v>42004</v>
      </c>
      <c r="H104" s="2765" t="s">
        <v>3079</v>
      </c>
      <c r="I104" s="2765" t="s">
        <v>3079</v>
      </c>
      <c r="J104" s="2765" t="s">
        <v>3079</v>
      </c>
      <c r="K104" s="2765" t="s">
        <v>3079</v>
      </c>
      <c r="L104" s="2765" t="s">
        <v>3079</v>
      </c>
      <c r="M104" s="2765" t="s">
        <v>3079</v>
      </c>
      <c r="N104" s="2768">
        <v>2.4106396364699401</v>
      </c>
      <c r="O104" s="2768">
        <v>3.27499049059091</v>
      </c>
      <c r="P104" s="2768">
        <v>3.5494943125368299</v>
      </c>
      <c r="Q104" s="2768">
        <v>3.64337168379901</v>
      </c>
      <c r="R104" s="2768">
        <v>3.7732235984354698</v>
      </c>
      <c r="S104" s="2768">
        <v>3.96188477835724</v>
      </c>
      <c r="T104" s="2768">
        <v>4.1599790172751003</v>
      </c>
      <c r="U104" s="2768">
        <v>4.3679779681388604</v>
      </c>
      <c r="V104" s="2768">
        <v>4.5863768665458</v>
      </c>
      <c r="W104" s="2768">
        <v>4.8156957098730997</v>
      </c>
      <c r="X104" s="2770" t="s">
        <v>13</v>
      </c>
      <c r="Y104" s="2767">
        <v>42004</v>
      </c>
      <c r="Z104" s="2765" t="s">
        <v>3079</v>
      </c>
      <c r="AA104" s="2765" t="s">
        <v>3079</v>
      </c>
      <c r="AB104" s="2765" t="s">
        <v>3079</v>
      </c>
      <c r="AC104" s="2765" t="s">
        <v>3079</v>
      </c>
      <c r="AD104" s="2765" t="s">
        <v>3079</v>
      </c>
      <c r="AE104" s="2768">
        <v>2.4106396364699401</v>
      </c>
      <c r="AF104" s="2768">
        <v>3.27499049059091</v>
      </c>
      <c r="AG104" s="2768">
        <v>3.5494943125368299</v>
      </c>
      <c r="AH104" s="2768">
        <v>3.64337168379901</v>
      </c>
      <c r="AI104" s="2768">
        <v>3.7732235984354698</v>
      </c>
      <c r="AJ104" s="2768">
        <v>3.96188477835724</v>
      </c>
      <c r="AK104" s="2768">
        <v>4.1599790172751003</v>
      </c>
      <c r="AL104" s="2768">
        <v>4.3679779681388604</v>
      </c>
      <c r="AM104" s="2768">
        <v>4.5863768665458</v>
      </c>
      <c r="AN104" s="2768">
        <v>4.8156957098730997</v>
      </c>
      <c r="AO104" s="2766" t="s">
        <v>861</v>
      </c>
    </row>
    <row r="105" spans="1:41" ht="12.75" hidden="1" customHeight="1">
      <c r="A105" s="2759"/>
      <c r="B105" s="2765" t="s">
        <v>3492</v>
      </c>
      <c r="C105" s="2766" t="s">
        <v>3380</v>
      </c>
      <c r="D105" s="2766" t="s">
        <v>3493</v>
      </c>
      <c r="E105" s="2766" t="s">
        <v>3381</v>
      </c>
      <c r="F105" s="2766" t="s">
        <v>3376</v>
      </c>
      <c r="G105" s="2767">
        <v>36390</v>
      </c>
      <c r="H105" s="2765" t="s">
        <v>3079</v>
      </c>
      <c r="I105" s="2765" t="s">
        <v>3079</v>
      </c>
      <c r="J105" s="2768">
        <v>8.87042821903038</v>
      </c>
      <c r="K105" s="2768">
        <v>22.984625764240199</v>
      </c>
      <c r="L105" s="2768">
        <v>13.980836723238699</v>
      </c>
      <c r="M105" s="2768">
        <v>9.1400170833278604</v>
      </c>
      <c r="N105" s="2768">
        <v>6.6678004336837198</v>
      </c>
      <c r="O105" s="2768">
        <v>7.0294102313814903</v>
      </c>
      <c r="P105" s="2768">
        <v>6.5158299786781102</v>
      </c>
      <c r="Q105" s="2768">
        <v>6.2644294723490201</v>
      </c>
      <c r="R105" s="2768">
        <v>5.9442163838715496</v>
      </c>
      <c r="S105" s="2768">
        <v>5.64700556467798</v>
      </c>
      <c r="T105" s="2768">
        <v>5.36465528644408</v>
      </c>
      <c r="U105" s="2768">
        <v>5.0964225221218697</v>
      </c>
      <c r="V105" s="2768">
        <v>4.84160139601578</v>
      </c>
      <c r="W105" s="2768">
        <v>4.5995213262149903</v>
      </c>
      <c r="X105" s="2770" t="s">
        <v>13</v>
      </c>
      <c r="Y105" s="2767">
        <v>36390</v>
      </c>
      <c r="Z105" s="2765" t="s">
        <v>3079</v>
      </c>
      <c r="AA105" s="2768">
        <v>8.87042821903038</v>
      </c>
      <c r="AB105" s="2768">
        <v>22.984625764240199</v>
      </c>
      <c r="AC105" s="2768">
        <v>13.980836723238699</v>
      </c>
      <c r="AD105" s="2768">
        <v>9.1400170833278604</v>
      </c>
      <c r="AE105" s="2768">
        <v>6.6678004336837198</v>
      </c>
      <c r="AF105" s="2768">
        <v>7.0294102313814903</v>
      </c>
      <c r="AG105" s="2768">
        <v>6.5158299786781102</v>
      </c>
      <c r="AH105" s="2768">
        <v>6.2644294723490201</v>
      </c>
      <c r="AI105" s="2768">
        <v>5.9442163838715496</v>
      </c>
      <c r="AJ105" s="2768">
        <v>5.64700556467798</v>
      </c>
      <c r="AK105" s="2768">
        <v>5.36465528644408</v>
      </c>
      <c r="AL105" s="2768">
        <v>5.0964225221218697</v>
      </c>
      <c r="AM105" s="2768">
        <v>4.84160139601578</v>
      </c>
      <c r="AN105" s="2768">
        <v>4.5995213262149903</v>
      </c>
      <c r="AO105" s="2766" t="s">
        <v>861</v>
      </c>
    </row>
    <row r="106" spans="1:41" ht="12.75" hidden="1" customHeight="1">
      <c r="A106" s="2759"/>
      <c r="B106" s="2765" t="s">
        <v>3494</v>
      </c>
      <c r="C106" s="2766" t="s">
        <v>3431</v>
      </c>
      <c r="D106" s="2766" t="s">
        <v>3495</v>
      </c>
      <c r="E106" s="2766" t="s">
        <v>3328</v>
      </c>
      <c r="F106" s="2766" t="s">
        <v>3319</v>
      </c>
      <c r="G106" s="2767">
        <v>38352</v>
      </c>
      <c r="H106" s="2765" t="s">
        <v>3079</v>
      </c>
      <c r="I106" s="2765" t="s">
        <v>3079</v>
      </c>
      <c r="J106" s="2765" t="s">
        <v>3079</v>
      </c>
      <c r="K106" s="2765" t="s">
        <v>3079</v>
      </c>
      <c r="L106" s="2768">
        <v>5.4843750966068203</v>
      </c>
      <c r="M106" s="2768">
        <v>7.2195336560362504</v>
      </c>
      <c r="N106" s="2768">
        <v>6.2768328528740902</v>
      </c>
      <c r="O106" s="2768">
        <v>5.5178483690573703</v>
      </c>
      <c r="P106" s="2768">
        <v>5.3815612178072501</v>
      </c>
      <c r="Q106" s="2768">
        <v>5.3642524831049503</v>
      </c>
      <c r="R106" s="2768">
        <v>5.0939472707018201</v>
      </c>
      <c r="S106" s="2768">
        <v>4.8392499071667299</v>
      </c>
      <c r="T106" s="2768">
        <v>4.5972874118083897</v>
      </c>
      <c r="U106" s="2768">
        <v>4.36742304121797</v>
      </c>
      <c r="V106" s="2768">
        <v>4.1490518891570698</v>
      </c>
      <c r="W106" s="2768">
        <v>3.9415992946992202</v>
      </c>
      <c r="X106" s="2770" t="s">
        <v>13</v>
      </c>
      <c r="Y106" s="2767">
        <v>38352</v>
      </c>
      <c r="Z106" s="2765" t="s">
        <v>3079</v>
      </c>
      <c r="AA106" s="2765" t="s">
        <v>3079</v>
      </c>
      <c r="AB106" s="2765" t="s">
        <v>3079</v>
      </c>
      <c r="AC106" s="2768">
        <v>5.4843750966068203</v>
      </c>
      <c r="AD106" s="2768">
        <v>7.2195336560362504</v>
      </c>
      <c r="AE106" s="2768">
        <v>6.2768328528740902</v>
      </c>
      <c r="AF106" s="2768">
        <v>5.5178483690573703</v>
      </c>
      <c r="AG106" s="2768">
        <v>5.3815612178072501</v>
      </c>
      <c r="AH106" s="2768">
        <v>5.3642524831049503</v>
      </c>
      <c r="AI106" s="2768">
        <v>5.0939472707018201</v>
      </c>
      <c r="AJ106" s="2768">
        <v>4.8392499071667299</v>
      </c>
      <c r="AK106" s="2768">
        <v>4.5972874118083897</v>
      </c>
      <c r="AL106" s="2768">
        <v>4.36742304121797</v>
      </c>
      <c r="AM106" s="2768">
        <v>4.1490518891570698</v>
      </c>
      <c r="AN106" s="2768">
        <v>3.9415992946992202</v>
      </c>
      <c r="AO106" s="2766" t="s">
        <v>861</v>
      </c>
    </row>
    <row r="107" spans="1:41" ht="12.75" hidden="1" customHeight="1">
      <c r="A107" s="2759"/>
      <c r="B107" s="2765" t="s">
        <v>3496</v>
      </c>
      <c r="C107" s="2766" t="s">
        <v>3497</v>
      </c>
      <c r="D107" s="2766" t="s">
        <v>3498</v>
      </c>
      <c r="E107" s="2766" t="s">
        <v>3278</v>
      </c>
      <c r="F107" s="2766" t="s">
        <v>3279</v>
      </c>
      <c r="G107" s="2767">
        <v>38027</v>
      </c>
      <c r="H107" s="2765" t="s">
        <v>3079</v>
      </c>
      <c r="I107" s="2765" t="s">
        <v>3079</v>
      </c>
      <c r="J107" s="2765" t="s">
        <v>3079</v>
      </c>
      <c r="K107" s="2765" t="s">
        <v>3079</v>
      </c>
      <c r="L107" s="2765" t="s">
        <v>3079</v>
      </c>
      <c r="M107" s="2765" t="s">
        <v>3079</v>
      </c>
      <c r="N107" s="2768">
        <v>3.79953446920047</v>
      </c>
      <c r="O107" s="2768">
        <v>3.7066842570078902</v>
      </c>
      <c r="P107" s="2768">
        <v>3.8548894691304199</v>
      </c>
      <c r="Q107" s="2768">
        <v>3.6886815278100098</v>
      </c>
      <c r="R107" s="2768">
        <v>3.6816996562759301</v>
      </c>
      <c r="S107" s="2768">
        <v>3.6816996562759301</v>
      </c>
      <c r="T107" s="2768">
        <v>3.6816996562759301</v>
      </c>
      <c r="U107" s="2768">
        <v>3.6816996562759301</v>
      </c>
      <c r="V107" s="2768">
        <v>3.6816996562759301</v>
      </c>
      <c r="W107" s="2768">
        <v>3.6816996562759301</v>
      </c>
      <c r="X107" s="2770" t="s">
        <v>13</v>
      </c>
      <c r="Y107" s="2767">
        <v>38027</v>
      </c>
      <c r="Z107" s="2765" t="s">
        <v>3079</v>
      </c>
      <c r="AA107" s="2765" t="s">
        <v>3079</v>
      </c>
      <c r="AB107" s="2765" t="s">
        <v>3079</v>
      </c>
      <c r="AC107" s="2765" t="s">
        <v>3079</v>
      </c>
      <c r="AD107" s="2765" t="s">
        <v>3079</v>
      </c>
      <c r="AE107" s="2768">
        <v>3.79953446920047</v>
      </c>
      <c r="AF107" s="2768">
        <v>3.7066842570078902</v>
      </c>
      <c r="AG107" s="2768">
        <v>3.8548894691304199</v>
      </c>
      <c r="AH107" s="2768">
        <v>3.6886815278100098</v>
      </c>
      <c r="AI107" s="2768">
        <v>3.6816996562759301</v>
      </c>
      <c r="AJ107" s="2768">
        <v>3.6816996562759301</v>
      </c>
      <c r="AK107" s="2768">
        <v>3.6816996562759301</v>
      </c>
      <c r="AL107" s="2768">
        <v>3.6816996562759301</v>
      </c>
      <c r="AM107" s="2768">
        <v>3.6816996562759301</v>
      </c>
      <c r="AN107" s="2768">
        <v>3.6816996562759301</v>
      </c>
      <c r="AO107" s="2766" t="s">
        <v>861</v>
      </c>
    </row>
    <row r="108" spans="1:41" ht="12.75" hidden="1" customHeight="1">
      <c r="A108" s="2759"/>
      <c r="B108" s="2765" t="s">
        <v>3499</v>
      </c>
      <c r="C108" s="2766" t="s">
        <v>3500</v>
      </c>
      <c r="D108" s="2766" t="s">
        <v>3421</v>
      </c>
      <c r="E108" s="2766" t="s">
        <v>3331</v>
      </c>
      <c r="F108" s="2766" t="s">
        <v>3258</v>
      </c>
      <c r="G108" s="2767">
        <v>45291</v>
      </c>
      <c r="H108" s="2765" t="s">
        <v>3079</v>
      </c>
      <c r="I108" s="2765" t="s">
        <v>3079</v>
      </c>
      <c r="J108" s="2765" t="s">
        <v>3079</v>
      </c>
      <c r="K108" s="2765" t="s">
        <v>3079</v>
      </c>
      <c r="L108" s="2765" t="s">
        <v>3079</v>
      </c>
      <c r="M108" s="2765" t="s">
        <v>3079</v>
      </c>
      <c r="N108" s="2765" t="s">
        <v>3079</v>
      </c>
      <c r="O108" s="2765" t="s">
        <v>3079</v>
      </c>
      <c r="P108" s="2765" t="s">
        <v>3079</v>
      </c>
      <c r="Q108" s="2765" t="s">
        <v>3079</v>
      </c>
      <c r="R108" s="2765" t="s">
        <v>3079</v>
      </c>
      <c r="S108" s="2765" t="s">
        <v>3079</v>
      </c>
      <c r="T108" s="2765" t="s">
        <v>3079</v>
      </c>
      <c r="U108" s="2765" t="s">
        <v>3079</v>
      </c>
      <c r="V108" s="2768">
        <v>1.728515625</v>
      </c>
      <c r="W108" s="2768">
        <v>3.45703125</v>
      </c>
      <c r="X108" s="2770" t="s">
        <v>13</v>
      </c>
      <c r="Y108" s="2767">
        <v>45291</v>
      </c>
      <c r="Z108" s="2765" t="s">
        <v>3079</v>
      </c>
      <c r="AA108" s="2765" t="s">
        <v>3079</v>
      </c>
      <c r="AB108" s="2765" t="s">
        <v>3079</v>
      </c>
      <c r="AC108" s="2765" t="s">
        <v>3079</v>
      </c>
      <c r="AD108" s="2765" t="s">
        <v>3079</v>
      </c>
      <c r="AE108" s="2765" t="s">
        <v>3079</v>
      </c>
      <c r="AF108" s="2765" t="s">
        <v>3079</v>
      </c>
      <c r="AG108" s="2765" t="s">
        <v>3079</v>
      </c>
      <c r="AH108" s="2765" t="s">
        <v>3079</v>
      </c>
      <c r="AI108" s="2765" t="s">
        <v>3079</v>
      </c>
      <c r="AJ108" s="2765" t="s">
        <v>3079</v>
      </c>
      <c r="AK108" s="2765" t="s">
        <v>3079</v>
      </c>
      <c r="AL108" s="2765" t="s">
        <v>3079</v>
      </c>
      <c r="AM108" s="2768">
        <v>1.728515625</v>
      </c>
      <c r="AN108" s="2768">
        <v>3.45703125</v>
      </c>
      <c r="AO108" s="2766" t="s">
        <v>3422</v>
      </c>
    </row>
    <row r="109" spans="1:41" ht="12.75" hidden="1" customHeight="1">
      <c r="A109" s="2759"/>
      <c r="B109" s="2765" t="s">
        <v>3501</v>
      </c>
      <c r="C109" s="2766" t="s">
        <v>3500</v>
      </c>
      <c r="D109" s="2766" t="s">
        <v>3446</v>
      </c>
      <c r="E109" s="2766" t="s">
        <v>3331</v>
      </c>
      <c r="F109" s="2766" t="s">
        <v>3258</v>
      </c>
      <c r="G109" s="2767">
        <v>45291</v>
      </c>
      <c r="H109" s="2765" t="s">
        <v>3079</v>
      </c>
      <c r="I109" s="2765" t="s">
        <v>3079</v>
      </c>
      <c r="J109" s="2765" t="s">
        <v>3079</v>
      </c>
      <c r="K109" s="2765" t="s">
        <v>3079</v>
      </c>
      <c r="L109" s="2765" t="s">
        <v>3079</v>
      </c>
      <c r="M109" s="2765" t="s">
        <v>3079</v>
      </c>
      <c r="N109" s="2765" t="s">
        <v>3079</v>
      </c>
      <c r="O109" s="2765" t="s">
        <v>3079</v>
      </c>
      <c r="P109" s="2765" t="s">
        <v>3079</v>
      </c>
      <c r="Q109" s="2765" t="s">
        <v>3079</v>
      </c>
      <c r="R109" s="2765" t="s">
        <v>3079</v>
      </c>
      <c r="S109" s="2765" t="s">
        <v>3079</v>
      </c>
      <c r="T109" s="2765" t="s">
        <v>3079</v>
      </c>
      <c r="U109" s="2765" t="s">
        <v>3079</v>
      </c>
      <c r="V109" s="2768">
        <v>1.728515625</v>
      </c>
      <c r="W109" s="2768">
        <v>3.45703125</v>
      </c>
      <c r="X109" s="2770" t="s">
        <v>13</v>
      </c>
      <c r="Y109" s="2767">
        <v>45291</v>
      </c>
      <c r="Z109" s="2765" t="s">
        <v>3079</v>
      </c>
      <c r="AA109" s="2765" t="s">
        <v>3079</v>
      </c>
      <c r="AB109" s="2765" t="s">
        <v>3079</v>
      </c>
      <c r="AC109" s="2765" t="s">
        <v>3079</v>
      </c>
      <c r="AD109" s="2765" t="s">
        <v>3079</v>
      </c>
      <c r="AE109" s="2765" t="s">
        <v>3079</v>
      </c>
      <c r="AF109" s="2765" t="s">
        <v>3079</v>
      </c>
      <c r="AG109" s="2765" t="s">
        <v>3079</v>
      </c>
      <c r="AH109" s="2765" t="s">
        <v>3079</v>
      </c>
      <c r="AI109" s="2765" t="s">
        <v>3079</v>
      </c>
      <c r="AJ109" s="2765" t="s">
        <v>3079</v>
      </c>
      <c r="AK109" s="2765" t="s">
        <v>3079</v>
      </c>
      <c r="AL109" s="2765" t="s">
        <v>3079</v>
      </c>
      <c r="AM109" s="2768">
        <v>1.728515625</v>
      </c>
      <c r="AN109" s="2768">
        <v>3.45703125</v>
      </c>
      <c r="AO109" s="2766" t="s">
        <v>3422</v>
      </c>
    </row>
    <row r="110" spans="1:41" ht="12.75" hidden="1" customHeight="1">
      <c r="A110" s="2759"/>
      <c r="B110" s="2765" t="s">
        <v>3502</v>
      </c>
      <c r="C110" s="2766" t="s">
        <v>3420</v>
      </c>
      <c r="D110" s="2766" t="s">
        <v>3446</v>
      </c>
      <c r="E110" s="2766" t="s">
        <v>3301</v>
      </c>
      <c r="F110" s="2766" t="s">
        <v>3073</v>
      </c>
      <c r="G110" s="2767">
        <v>43039</v>
      </c>
      <c r="H110" s="2765" t="s">
        <v>3079</v>
      </c>
      <c r="I110" s="2765" t="s">
        <v>3079</v>
      </c>
      <c r="J110" s="2765" t="s">
        <v>3079</v>
      </c>
      <c r="K110" s="2765" t="s">
        <v>3079</v>
      </c>
      <c r="L110" s="2765" t="s">
        <v>3079</v>
      </c>
      <c r="M110" s="2765" t="s">
        <v>3079</v>
      </c>
      <c r="N110" s="2765" t="s">
        <v>3079</v>
      </c>
      <c r="O110" s="2765" t="s">
        <v>3079</v>
      </c>
      <c r="P110" s="2765" t="s">
        <v>3079</v>
      </c>
      <c r="Q110" s="2768">
        <v>16.4646875</v>
      </c>
      <c r="R110" s="2768">
        <v>20.985849999999999</v>
      </c>
      <c r="S110" s="2768">
        <v>10.821294</v>
      </c>
      <c r="T110" s="2768">
        <v>7.5566181600000002</v>
      </c>
      <c r="U110" s="2768">
        <v>5.4672256224</v>
      </c>
      <c r="V110" s="2768">
        <v>4.1300143983359998</v>
      </c>
      <c r="W110" s="2768">
        <v>3.2741992149350398</v>
      </c>
      <c r="X110" s="2770" t="s">
        <v>13</v>
      </c>
      <c r="Y110" s="2767">
        <v>43039</v>
      </c>
      <c r="Z110" s="2765" t="s">
        <v>3079</v>
      </c>
      <c r="AA110" s="2765" t="s">
        <v>3079</v>
      </c>
      <c r="AB110" s="2765" t="s">
        <v>3079</v>
      </c>
      <c r="AC110" s="2765" t="s">
        <v>3079</v>
      </c>
      <c r="AD110" s="2765" t="s">
        <v>3079</v>
      </c>
      <c r="AE110" s="2765" t="s">
        <v>3079</v>
      </c>
      <c r="AF110" s="2765" t="s">
        <v>3079</v>
      </c>
      <c r="AG110" s="2765" t="s">
        <v>3079</v>
      </c>
      <c r="AH110" s="2768">
        <v>16.4646875</v>
      </c>
      <c r="AI110" s="2768">
        <v>20.985849999999999</v>
      </c>
      <c r="AJ110" s="2768">
        <v>10.821294</v>
      </c>
      <c r="AK110" s="2768">
        <v>7.5566181600000002</v>
      </c>
      <c r="AL110" s="2768">
        <v>5.4672256224</v>
      </c>
      <c r="AM110" s="2768">
        <v>4.1300143983359998</v>
      </c>
      <c r="AN110" s="2768">
        <v>3.2741992149350398</v>
      </c>
      <c r="AO110" s="2766" t="s">
        <v>861</v>
      </c>
    </row>
    <row r="111" spans="1:41" ht="12.75" hidden="1" customHeight="1">
      <c r="A111" s="2759"/>
      <c r="B111" s="2765" t="s">
        <v>3503</v>
      </c>
      <c r="C111" s="2766" t="s">
        <v>3288</v>
      </c>
      <c r="D111" s="2766" t="s">
        <v>3448</v>
      </c>
      <c r="E111" s="2766" t="s">
        <v>3290</v>
      </c>
      <c r="F111" s="2766" t="s">
        <v>3258</v>
      </c>
      <c r="G111" s="2767">
        <v>39629</v>
      </c>
      <c r="H111" s="2765" t="s">
        <v>3079</v>
      </c>
      <c r="I111" s="2768">
        <v>20.531190355050899</v>
      </c>
      <c r="J111" s="2768">
        <v>27.727308294517201</v>
      </c>
      <c r="K111" s="2768">
        <v>10.043718748947001</v>
      </c>
      <c r="L111" s="2768">
        <v>9.3017743825999908</v>
      </c>
      <c r="M111" s="2768">
        <v>8.7001745144117795</v>
      </c>
      <c r="N111" s="2768">
        <v>7.2871403760801599</v>
      </c>
      <c r="O111" s="2768">
        <v>6.3959817782828301</v>
      </c>
      <c r="P111" s="2768">
        <v>5.9096892516724404</v>
      </c>
      <c r="Q111" s="2768">
        <v>5.5806460075659299</v>
      </c>
      <c r="R111" s="2768">
        <v>5.0205189828258403</v>
      </c>
      <c r="S111" s="2768">
        <v>4.5184670845432597</v>
      </c>
      <c r="T111" s="2768">
        <v>4.0666203760889301</v>
      </c>
      <c r="U111" s="2768">
        <v>3.65995833848004</v>
      </c>
      <c r="V111" s="2768">
        <v>3.2939625046320402</v>
      </c>
      <c r="W111" s="2768">
        <v>2.9645662541688398</v>
      </c>
      <c r="X111" s="2769">
        <v>-0.12910129437586401</v>
      </c>
      <c r="Y111" s="2767">
        <v>39629</v>
      </c>
      <c r="Z111" s="2768">
        <v>20.531190355050899</v>
      </c>
      <c r="AA111" s="2768">
        <v>27.727308294517201</v>
      </c>
      <c r="AB111" s="2768">
        <v>10.043718748947001</v>
      </c>
      <c r="AC111" s="2768">
        <v>9.3017743825999908</v>
      </c>
      <c r="AD111" s="2768">
        <v>8.7001745144117795</v>
      </c>
      <c r="AE111" s="2768">
        <v>7.2871403760801599</v>
      </c>
      <c r="AF111" s="2768">
        <v>6.3959817782828301</v>
      </c>
      <c r="AG111" s="2768">
        <v>5.9096892516724404</v>
      </c>
      <c r="AH111" s="2768">
        <v>5.5806460075659299</v>
      </c>
      <c r="AI111" s="2768">
        <v>5.0205189828258403</v>
      </c>
      <c r="AJ111" s="2768">
        <v>4.5184670845432597</v>
      </c>
      <c r="AK111" s="2768">
        <v>4.0666203760889301</v>
      </c>
      <c r="AL111" s="2768">
        <v>3.65995833848004</v>
      </c>
      <c r="AM111" s="2768">
        <v>3.2939625046320402</v>
      </c>
      <c r="AN111" s="2768">
        <v>2.9645662541688398</v>
      </c>
      <c r="AO111" s="2766" t="s">
        <v>861</v>
      </c>
    </row>
    <row r="112" spans="1:41" ht="22.5" hidden="1" customHeight="1">
      <c r="A112" s="2759"/>
      <c r="B112" s="2765" t="s">
        <v>3504</v>
      </c>
      <c r="C112" s="2766" t="s">
        <v>3505</v>
      </c>
      <c r="D112" s="2766" t="s">
        <v>3490</v>
      </c>
      <c r="E112" s="2766" t="s">
        <v>3506</v>
      </c>
      <c r="F112" s="2766" t="s">
        <v>3507</v>
      </c>
      <c r="G112" s="2767">
        <v>39273</v>
      </c>
      <c r="H112" s="2765" t="s">
        <v>3079</v>
      </c>
      <c r="I112" s="2765" t="s">
        <v>3079</v>
      </c>
      <c r="J112" s="2765" t="s">
        <v>3079</v>
      </c>
      <c r="K112" s="2768">
        <v>4.6929819170532001</v>
      </c>
      <c r="L112" s="2768">
        <v>6.3023669426480504</v>
      </c>
      <c r="M112" s="2768">
        <v>2.45440257752692</v>
      </c>
      <c r="N112" s="2768">
        <v>2.2937654355490902</v>
      </c>
      <c r="O112" s="2768">
        <v>2.2374351651959099</v>
      </c>
      <c r="P112" s="2768">
        <v>2.3268950517889899</v>
      </c>
      <c r="Q112" s="2768">
        <v>2.22656832664588</v>
      </c>
      <c r="R112" s="2768">
        <v>2.2223539172691802</v>
      </c>
      <c r="S112" s="2768">
        <v>2.2223539172691802</v>
      </c>
      <c r="T112" s="2768">
        <v>2.2223539172691802</v>
      </c>
      <c r="U112" s="2768">
        <v>2.2223539172691802</v>
      </c>
      <c r="V112" s="2768">
        <v>2.2223539172691802</v>
      </c>
      <c r="W112" s="2768">
        <v>2.2223539172691802</v>
      </c>
      <c r="X112" s="2770" t="s">
        <v>13</v>
      </c>
      <c r="Y112" s="2767">
        <v>39273</v>
      </c>
      <c r="Z112" s="2765" t="s">
        <v>3079</v>
      </c>
      <c r="AA112" s="2765" t="s">
        <v>3079</v>
      </c>
      <c r="AB112" s="2768">
        <v>4.6929819170532001</v>
      </c>
      <c r="AC112" s="2768">
        <v>6.3023669426480504</v>
      </c>
      <c r="AD112" s="2768">
        <v>2.45440257752692</v>
      </c>
      <c r="AE112" s="2768">
        <v>2.2937654355490902</v>
      </c>
      <c r="AF112" s="2768">
        <v>2.2374351651959099</v>
      </c>
      <c r="AG112" s="2768">
        <v>2.3268950517889899</v>
      </c>
      <c r="AH112" s="2768">
        <v>2.22656832664588</v>
      </c>
      <c r="AI112" s="2768">
        <v>2.2223539172691802</v>
      </c>
      <c r="AJ112" s="2768">
        <v>2.2223539172691802</v>
      </c>
      <c r="AK112" s="2768">
        <v>2.2223539172691802</v>
      </c>
      <c r="AL112" s="2768">
        <v>2.2223539172691802</v>
      </c>
      <c r="AM112" s="2768">
        <v>2.2223539172691802</v>
      </c>
      <c r="AN112" s="2768">
        <v>2.2223539172691802</v>
      </c>
      <c r="AO112" s="2766" t="s">
        <v>861</v>
      </c>
    </row>
    <row r="113" spans="1:41" ht="12.75" hidden="1" customHeight="1">
      <c r="A113" s="2759"/>
      <c r="B113" s="2765" t="s">
        <v>3508</v>
      </c>
      <c r="C113" s="2766" t="s">
        <v>3509</v>
      </c>
      <c r="D113" s="2766" t="s">
        <v>2392</v>
      </c>
      <c r="E113" s="2766" t="s">
        <v>3278</v>
      </c>
      <c r="F113" s="2766" t="s">
        <v>3279</v>
      </c>
      <c r="G113" s="2767">
        <v>22340</v>
      </c>
      <c r="H113" s="2765" t="s">
        <v>3079</v>
      </c>
      <c r="I113" s="2768">
        <v>51.470635794582897</v>
      </c>
      <c r="J113" s="2768">
        <v>10.137632250320401</v>
      </c>
      <c r="K113" s="2768">
        <v>8.7099634475015506</v>
      </c>
      <c r="L113" s="2768">
        <v>6.4711301404705104</v>
      </c>
      <c r="M113" s="2768">
        <v>5.3304579629968103</v>
      </c>
      <c r="N113" s="2768">
        <v>4.3747438645398899</v>
      </c>
      <c r="O113" s="2768">
        <v>4.3692594184510103</v>
      </c>
      <c r="P113" s="2768">
        <v>3.83687445949991</v>
      </c>
      <c r="Q113" s="2768">
        <v>3.4946869186682301</v>
      </c>
      <c r="R113" s="2768">
        <v>3.1415231527093601</v>
      </c>
      <c r="S113" s="2768">
        <v>2.8273708374384201</v>
      </c>
      <c r="T113" s="2768">
        <v>2.5446337536945798</v>
      </c>
      <c r="U113" s="2768">
        <v>2.2901703783251199</v>
      </c>
      <c r="V113" s="2768">
        <v>2.0611533404926101</v>
      </c>
      <c r="W113" s="2768">
        <v>1.85503800644335</v>
      </c>
      <c r="X113" s="2769">
        <v>-0.21129643178452001</v>
      </c>
      <c r="Y113" s="2767">
        <v>22340</v>
      </c>
      <c r="Z113" s="2768">
        <v>51.470635794582897</v>
      </c>
      <c r="AA113" s="2768">
        <v>10.137632250320401</v>
      </c>
      <c r="AB113" s="2768">
        <v>8.7099634475015506</v>
      </c>
      <c r="AC113" s="2768">
        <v>6.4711301404705104</v>
      </c>
      <c r="AD113" s="2768">
        <v>5.3304579629968103</v>
      </c>
      <c r="AE113" s="2768">
        <v>4.3747438645398899</v>
      </c>
      <c r="AF113" s="2768">
        <v>4.3692594184510103</v>
      </c>
      <c r="AG113" s="2768">
        <v>3.83687445949991</v>
      </c>
      <c r="AH113" s="2768">
        <v>3.4946869186682301</v>
      </c>
      <c r="AI113" s="2768">
        <v>3.1415231527093601</v>
      </c>
      <c r="AJ113" s="2768">
        <v>2.8273708374384201</v>
      </c>
      <c r="AK113" s="2768">
        <v>2.5446337536945798</v>
      </c>
      <c r="AL113" s="2768">
        <v>2.2901703783251199</v>
      </c>
      <c r="AM113" s="2768">
        <v>2.0611533404926101</v>
      </c>
      <c r="AN113" s="2768">
        <v>1.85503800644335</v>
      </c>
      <c r="AO113" s="2766" t="s">
        <v>861</v>
      </c>
    </row>
    <row r="114" spans="1:41" ht="12.75" hidden="1" customHeight="1">
      <c r="A114" s="2759"/>
      <c r="B114" s="2765" t="s">
        <v>3510</v>
      </c>
      <c r="C114" s="2766" t="s">
        <v>3511</v>
      </c>
      <c r="D114" s="2766" t="s">
        <v>3446</v>
      </c>
      <c r="E114" s="2766" t="s">
        <v>3395</v>
      </c>
      <c r="F114" s="2766" t="s">
        <v>3319</v>
      </c>
      <c r="G114" s="2767">
        <v>34942</v>
      </c>
      <c r="H114" s="2765" t="s">
        <v>3079</v>
      </c>
      <c r="I114" s="2765" t="s">
        <v>3079</v>
      </c>
      <c r="J114" s="2765" t="s">
        <v>3079</v>
      </c>
      <c r="K114" s="2765" t="s">
        <v>3079</v>
      </c>
      <c r="L114" s="2765" t="s">
        <v>3079</v>
      </c>
      <c r="M114" s="2765" t="s">
        <v>3079</v>
      </c>
      <c r="N114" s="2765" t="s">
        <v>3079</v>
      </c>
      <c r="O114" s="2768">
        <v>4.10958904109589</v>
      </c>
      <c r="P114" s="2768">
        <v>7.8</v>
      </c>
      <c r="Q114" s="2768">
        <v>6.1</v>
      </c>
      <c r="R114" s="2768">
        <v>4.4000000000000004</v>
      </c>
      <c r="S114" s="2768">
        <v>2.7</v>
      </c>
      <c r="T114" s="2768">
        <v>0.999999999999999</v>
      </c>
      <c r="U114" s="2768">
        <v>0.999999999999999</v>
      </c>
      <c r="V114" s="2768">
        <v>0.999999999999999</v>
      </c>
      <c r="W114" s="2768">
        <v>0.999999999999999</v>
      </c>
      <c r="X114" s="2770" t="s">
        <v>13</v>
      </c>
      <c r="Y114" s="2767">
        <v>34942</v>
      </c>
      <c r="Z114" s="2765" t="s">
        <v>3079</v>
      </c>
      <c r="AA114" s="2765" t="s">
        <v>3079</v>
      </c>
      <c r="AB114" s="2765" t="s">
        <v>3079</v>
      </c>
      <c r="AC114" s="2765" t="s">
        <v>3079</v>
      </c>
      <c r="AD114" s="2765" t="s">
        <v>3079</v>
      </c>
      <c r="AE114" s="2765" t="s">
        <v>3079</v>
      </c>
      <c r="AF114" s="2768">
        <v>4.10958904109589</v>
      </c>
      <c r="AG114" s="2768">
        <v>7.8</v>
      </c>
      <c r="AH114" s="2768">
        <v>6.1</v>
      </c>
      <c r="AI114" s="2768">
        <v>4.4000000000000004</v>
      </c>
      <c r="AJ114" s="2768">
        <v>2.7</v>
      </c>
      <c r="AK114" s="2768">
        <v>0.999999999999999</v>
      </c>
      <c r="AL114" s="2768">
        <v>0.999999999999999</v>
      </c>
      <c r="AM114" s="2768">
        <v>0.999999999999999</v>
      </c>
      <c r="AN114" s="2768">
        <v>0.999999999999999</v>
      </c>
      <c r="AO114" s="2766" t="s">
        <v>861</v>
      </c>
    </row>
    <row r="115" spans="1:41" ht="12.75" hidden="1" customHeight="1">
      <c r="A115" s="2759"/>
      <c r="B115" s="2765" t="s">
        <v>3512</v>
      </c>
      <c r="C115" s="2766" t="s">
        <v>3463</v>
      </c>
      <c r="D115" s="2766" t="s">
        <v>3432</v>
      </c>
      <c r="E115" s="2766" t="s">
        <v>3465</v>
      </c>
      <c r="F115" s="2766" t="s">
        <v>3286</v>
      </c>
      <c r="G115" s="2767">
        <v>40178</v>
      </c>
      <c r="H115" s="2765" t="s">
        <v>3079</v>
      </c>
      <c r="I115" s="2765" t="s">
        <v>3079</v>
      </c>
      <c r="J115" s="2765" t="s">
        <v>3079</v>
      </c>
      <c r="K115" s="2765" t="s">
        <v>3079</v>
      </c>
      <c r="L115" s="2765" t="s">
        <v>3079</v>
      </c>
      <c r="M115" s="2765" t="s">
        <v>3079</v>
      </c>
      <c r="N115" s="2768">
        <v>1.8785826034367701</v>
      </c>
      <c r="O115" s="2768">
        <v>1.6226089248836799</v>
      </c>
      <c r="P115" s="2768">
        <v>1.5162856109954601</v>
      </c>
      <c r="Q115" s="2768">
        <v>1.34192647029836</v>
      </c>
      <c r="R115" s="2768">
        <v>1.19825291698918</v>
      </c>
      <c r="S115" s="2768">
        <v>1.0847970760118</v>
      </c>
      <c r="T115" s="2768">
        <v>0.98208373160536799</v>
      </c>
      <c r="U115" s="2768">
        <v>0.88909573708459499</v>
      </c>
      <c r="V115" s="2768">
        <v>0.80491225367292996</v>
      </c>
      <c r="W115" s="2768">
        <v>0.72869963164742002</v>
      </c>
      <c r="X115" s="2770" t="s">
        <v>13</v>
      </c>
      <c r="Y115" s="2767">
        <v>40178</v>
      </c>
      <c r="Z115" s="2765" t="s">
        <v>3079</v>
      </c>
      <c r="AA115" s="2765" t="s">
        <v>3079</v>
      </c>
      <c r="AB115" s="2765" t="s">
        <v>3079</v>
      </c>
      <c r="AC115" s="2765" t="s">
        <v>3079</v>
      </c>
      <c r="AD115" s="2765" t="s">
        <v>3079</v>
      </c>
      <c r="AE115" s="2768">
        <v>1.8785826034367701</v>
      </c>
      <c r="AF115" s="2768">
        <v>1.6226089248836799</v>
      </c>
      <c r="AG115" s="2768">
        <v>1.5162856109954601</v>
      </c>
      <c r="AH115" s="2768">
        <v>1.34192647029836</v>
      </c>
      <c r="AI115" s="2768">
        <v>1.19825291698918</v>
      </c>
      <c r="AJ115" s="2768">
        <v>1.0847970760118</v>
      </c>
      <c r="AK115" s="2768">
        <v>0.98208373160536799</v>
      </c>
      <c r="AL115" s="2768">
        <v>0.88909573708459499</v>
      </c>
      <c r="AM115" s="2768">
        <v>0.80491225367292996</v>
      </c>
      <c r="AN115" s="2768">
        <v>0.72869963164742002</v>
      </c>
      <c r="AO115" s="2766" t="s">
        <v>861</v>
      </c>
    </row>
    <row r="116" spans="1:41" ht="12.75" hidden="1" customHeight="1">
      <c r="A116" s="2759"/>
      <c r="B116" s="2765" t="s">
        <v>3513</v>
      </c>
      <c r="C116" s="2766" t="s">
        <v>3405</v>
      </c>
      <c r="D116" s="2766" t="s">
        <v>3446</v>
      </c>
      <c r="E116" s="2766" t="s">
        <v>3278</v>
      </c>
      <c r="F116" s="2766" t="s">
        <v>3279</v>
      </c>
      <c r="G116" s="2767">
        <v>38154</v>
      </c>
      <c r="H116" s="2765" t="s">
        <v>3079</v>
      </c>
      <c r="I116" s="2765" t="s">
        <v>3079</v>
      </c>
      <c r="J116" s="2765" t="s">
        <v>3079</v>
      </c>
      <c r="K116" s="2765" t="s">
        <v>3079</v>
      </c>
      <c r="L116" s="2765" t="s">
        <v>3079</v>
      </c>
      <c r="M116" s="2765" t="s">
        <v>3079</v>
      </c>
      <c r="N116" s="2765" t="s">
        <v>3079</v>
      </c>
      <c r="O116" s="2768">
        <v>0.164383561643836</v>
      </c>
      <c r="P116" s="2768">
        <v>0.3</v>
      </c>
      <c r="Q116" s="2768">
        <v>0.3</v>
      </c>
      <c r="R116" s="2768">
        <v>0.3</v>
      </c>
      <c r="S116" s="2768">
        <v>0.3</v>
      </c>
      <c r="T116" s="2768">
        <v>0.3</v>
      </c>
      <c r="U116" s="2768">
        <v>0.3</v>
      </c>
      <c r="V116" s="2768">
        <v>0.3</v>
      </c>
      <c r="W116" s="2768">
        <v>0.3</v>
      </c>
      <c r="X116" s="2770" t="s">
        <v>13</v>
      </c>
      <c r="Y116" s="2767">
        <v>38154</v>
      </c>
      <c r="Z116" s="2765" t="s">
        <v>3079</v>
      </c>
      <c r="AA116" s="2765" t="s">
        <v>3079</v>
      </c>
      <c r="AB116" s="2765" t="s">
        <v>3079</v>
      </c>
      <c r="AC116" s="2765" t="s">
        <v>3079</v>
      </c>
      <c r="AD116" s="2765" t="s">
        <v>3079</v>
      </c>
      <c r="AE116" s="2765" t="s">
        <v>3079</v>
      </c>
      <c r="AF116" s="2768">
        <v>0.164383561643836</v>
      </c>
      <c r="AG116" s="2768">
        <v>0.3</v>
      </c>
      <c r="AH116" s="2768">
        <v>0.3</v>
      </c>
      <c r="AI116" s="2768">
        <v>0.3</v>
      </c>
      <c r="AJ116" s="2768">
        <v>0.3</v>
      </c>
      <c r="AK116" s="2768">
        <v>0.3</v>
      </c>
      <c r="AL116" s="2768">
        <v>0.3</v>
      </c>
      <c r="AM116" s="2768">
        <v>0.3</v>
      </c>
      <c r="AN116" s="2768">
        <v>0.3</v>
      </c>
      <c r="AO116" s="2766" t="s">
        <v>861</v>
      </c>
    </row>
    <row r="117" spans="1:41" ht="12.75" hidden="1" customHeight="1">
      <c r="A117" s="2759"/>
      <c r="B117" s="2765" t="s">
        <v>3514</v>
      </c>
      <c r="C117" s="2766" t="s">
        <v>3515</v>
      </c>
      <c r="D117" s="2766" t="s">
        <v>3516</v>
      </c>
      <c r="E117" s="2766" t="s">
        <v>3517</v>
      </c>
      <c r="F117" s="2766" t="s">
        <v>3518</v>
      </c>
      <c r="G117" s="2767">
        <v>40906</v>
      </c>
      <c r="H117" s="2765" t="s">
        <v>3079</v>
      </c>
      <c r="I117" s="2765" t="s">
        <v>3079</v>
      </c>
      <c r="J117" s="2768">
        <v>4.1120000000000002E-3</v>
      </c>
      <c r="K117" s="2768">
        <v>4.2254E-2</v>
      </c>
      <c r="L117" s="2768">
        <v>0.32341199999999998</v>
      </c>
      <c r="M117" s="2768">
        <v>0.19958200000000001</v>
      </c>
      <c r="N117" s="2768">
        <v>9.8941000000000001E-2</v>
      </c>
      <c r="O117" s="2768">
        <v>9.3993950000000007E-2</v>
      </c>
      <c r="P117" s="2768">
        <v>8.9294252500000004E-2</v>
      </c>
      <c r="Q117" s="2768">
        <v>8.4829539874999998E-2</v>
      </c>
      <c r="R117" s="2768">
        <v>8.0588062881250005E-2</v>
      </c>
      <c r="S117" s="2768">
        <v>7.6558659737187507E-2</v>
      </c>
      <c r="T117" s="2768">
        <v>7.2730726750328101E-2</v>
      </c>
      <c r="U117" s="2768">
        <v>6.9094190412811701E-2</v>
      </c>
      <c r="V117" s="2768">
        <v>6.5639480892171101E-2</v>
      </c>
      <c r="W117" s="2768">
        <v>6.2357506847562499E-2</v>
      </c>
      <c r="X117" s="2770" t="s">
        <v>13</v>
      </c>
      <c r="Y117" s="2767">
        <v>40906</v>
      </c>
      <c r="Z117" s="2765" t="s">
        <v>3079</v>
      </c>
      <c r="AA117" s="2768">
        <v>4.1120000000000002E-3</v>
      </c>
      <c r="AB117" s="2768">
        <v>4.2254E-2</v>
      </c>
      <c r="AC117" s="2768">
        <v>0.32341199999999998</v>
      </c>
      <c r="AD117" s="2768">
        <v>0.19958200000000001</v>
      </c>
      <c r="AE117" s="2768">
        <v>9.8941000000000001E-2</v>
      </c>
      <c r="AF117" s="2768">
        <v>9.3993950000000007E-2</v>
      </c>
      <c r="AG117" s="2768">
        <v>8.9294252500000004E-2</v>
      </c>
      <c r="AH117" s="2768">
        <v>8.4829539874999998E-2</v>
      </c>
      <c r="AI117" s="2768">
        <v>8.0588062881250005E-2</v>
      </c>
      <c r="AJ117" s="2768">
        <v>7.6558659737187507E-2</v>
      </c>
      <c r="AK117" s="2768">
        <v>7.2730726750328101E-2</v>
      </c>
      <c r="AL117" s="2768">
        <v>6.9094190412811701E-2</v>
      </c>
      <c r="AM117" s="2768">
        <v>6.5639480892171101E-2</v>
      </c>
      <c r="AN117" s="2768">
        <v>6.2357506847562499E-2</v>
      </c>
      <c r="AO117" s="2766" t="s">
        <v>861</v>
      </c>
    </row>
    <row r="118" spans="1:41" ht="12.75" hidden="1" customHeight="1">
      <c r="A118" s="2759"/>
      <c r="B118" s="2765" t="s">
        <v>3079</v>
      </c>
      <c r="C118" s="2766" t="s">
        <v>3436</v>
      </c>
      <c r="D118" s="2766" t="s">
        <v>3519</v>
      </c>
      <c r="E118" s="2766" t="s">
        <v>3437</v>
      </c>
      <c r="F118" s="2766" t="s">
        <v>3438</v>
      </c>
      <c r="G118" s="2767">
        <v>36891</v>
      </c>
      <c r="H118" s="2765" t="s">
        <v>3079</v>
      </c>
      <c r="I118" s="2768">
        <v>63</v>
      </c>
      <c r="J118" s="2768">
        <v>65</v>
      </c>
      <c r="K118" s="2768">
        <v>65</v>
      </c>
      <c r="L118" s="2768">
        <v>65</v>
      </c>
      <c r="M118" s="2768">
        <v>65</v>
      </c>
      <c r="N118" s="2765" t="s">
        <v>3079</v>
      </c>
      <c r="O118" s="2765" t="s">
        <v>3079</v>
      </c>
      <c r="P118" s="2765" t="s">
        <v>3079</v>
      </c>
      <c r="Q118" s="2765" t="s">
        <v>3079</v>
      </c>
      <c r="R118" s="2765" t="s">
        <v>3079</v>
      </c>
      <c r="S118" s="2765" t="s">
        <v>3079</v>
      </c>
      <c r="T118" s="2765" t="s">
        <v>3079</v>
      </c>
      <c r="U118" s="2765" t="s">
        <v>3079</v>
      </c>
      <c r="V118" s="2765" t="s">
        <v>3079</v>
      </c>
      <c r="W118" s="2765" t="s">
        <v>3079</v>
      </c>
      <c r="X118" s="2770" t="s">
        <v>13</v>
      </c>
      <c r="Y118" s="2767">
        <v>36891</v>
      </c>
      <c r="Z118" s="2768">
        <v>63</v>
      </c>
      <c r="AA118" s="2768">
        <v>65</v>
      </c>
      <c r="AB118" s="2768">
        <v>65</v>
      </c>
      <c r="AC118" s="2768">
        <v>65</v>
      </c>
      <c r="AD118" s="2768">
        <v>65</v>
      </c>
      <c r="AE118" s="2765" t="s">
        <v>3079</v>
      </c>
      <c r="AF118" s="2765" t="s">
        <v>3079</v>
      </c>
      <c r="AG118" s="2765" t="s">
        <v>3079</v>
      </c>
      <c r="AH118" s="2765" t="s">
        <v>3079</v>
      </c>
      <c r="AI118" s="2765" t="s">
        <v>3079</v>
      </c>
      <c r="AJ118" s="2765" t="s">
        <v>3079</v>
      </c>
      <c r="AK118" s="2765" t="s">
        <v>3079</v>
      </c>
      <c r="AL118" s="2765" t="s">
        <v>3079</v>
      </c>
      <c r="AM118" s="2765" t="s">
        <v>3079</v>
      </c>
      <c r="AN118" s="2765" t="s">
        <v>3079</v>
      </c>
      <c r="AO118" s="2766" t="s">
        <v>861</v>
      </c>
    </row>
    <row r="119" spans="1:41" ht="12.75" hidden="1" customHeight="1">
      <c r="A119" s="2759"/>
      <c r="B119" s="2765" t="s">
        <v>3079</v>
      </c>
      <c r="C119" s="2766" t="s">
        <v>3330</v>
      </c>
      <c r="D119" s="2766" t="s">
        <v>3434</v>
      </c>
      <c r="E119" s="2766" t="s">
        <v>3331</v>
      </c>
      <c r="F119" s="2766" t="s">
        <v>3258</v>
      </c>
      <c r="G119" s="2767">
        <v>40026</v>
      </c>
      <c r="H119" s="2767">
        <v>45138</v>
      </c>
      <c r="I119" s="2768">
        <v>153</v>
      </c>
      <c r="J119" s="2768">
        <v>405</v>
      </c>
      <c r="K119" s="2768">
        <v>545</v>
      </c>
      <c r="L119" s="2768">
        <v>638</v>
      </c>
      <c r="M119" s="2768">
        <v>56.454157124510999</v>
      </c>
      <c r="N119" s="2765" t="s">
        <v>3079</v>
      </c>
      <c r="O119" s="2765" t="s">
        <v>3079</v>
      </c>
      <c r="P119" s="2765" t="s">
        <v>3079</v>
      </c>
      <c r="Q119" s="2765" t="s">
        <v>3079</v>
      </c>
      <c r="R119" s="2765" t="s">
        <v>3079</v>
      </c>
      <c r="S119" s="2765" t="s">
        <v>3079</v>
      </c>
      <c r="T119" s="2765" t="s">
        <v>3079</v>
      </c>
      <c r="U119" s="2765" t="s">
        <v>3079</v>
      </c>
      <c r="V119" s="2765" t="s">
        <v>3079</v>
      </c>
      <c r="W119" s="2765" t="s">
        <v>3079</v>
      </c>
      <c r="X119" s="2770" t="s">
        <v>13</v>
      </c>
      <c r="Y119" s="2767">
        <v>40026</v>
      </c>
      <c r="Z119" s="2768">
        <v>153</v>
      </c>
      <c r="AA119" s="2768">
        <v>405</v>
      </c>
      <c r="AB119" s="2768">
        <v>545</v>
      </c>
      <c r="AC119" s="2768">
        <v>638</v>
      </c>
      <c r="AD119" s="2768">
        <v>56.454157124510999</v>
      </c>
      <c r="AE119" s="2765" t="s">
        <v>3079</v>
      </c>
      <c r="AF119" s="2765" t="s">
        <v>3079</v>
      </c>
      <c r="AG119" s="2765" t="s">
        <v>3079</v>
      </c>
      <c r="AH119" s="2765" t="s">
        <v>3079</v>
      </c>
      <c r="AI119" s="2765" t="s">
        <v>3079</v>
      </c>
      <c r="AJ119" s="2765" t="s">
        <v>3079</v>
      </c>
      <c r="AK119" s="2765" t="s">
        <v>3079</v>
      </c>
      <c r="AL119" s="2765" t="s">
        <v>3079</v>
      </c>
      <c r="AM119" s="2765" t="s">
        <v>3079</v>
      </c>
      <c r="AN119" s="2765" t="s">
        <v>3079</v>
      </c>
      <c r="AO119" s="2766" t="s">
        <v>861</v>
      </c>
    </row>
    <row r="120" spans="1:41" ht="12.75" hidden="1" customHeight="1">
      <c r="A120" s="2759"/>
      <c r="B120" s="2765" t="s">
        <v>3079</v>
      </c>
      <c r="C120" s="2766" t="s">
        <v>3520</v>
      </c>
      <c r="D120" s="2766" t="s">
        <v>3434</v>
      </c>
      <c r="E120" s="2766" t="s">
        <v>3278</v>
      </c>
      <c r="F120" s="2766" t="s">
        <v>3279</v>
      </c>
      <c r="G120" s="2767">
        <v>36860</v>
      </c>
      <c r="H120" s="2767">
        <v>37907</v>
      </c>
      <c r="I120" s="2768">
        <v>36</v>
      </c>
      <c r="J120" s="2768">
        <v>16.5</v>
      </c>
      <c r="K120" s="2768">
        <v>16</v>
      </c>
      <c r="L120" s="2765" t="s">
        <v>3079</v>
      </c>
      <c r="M120" s="2765" t="s">
        <v>3079</v>
      </c>
      <c r="N120" s="2765" t="s">
        <v>3079</v>
      </c>
      <c r="O120" s="2765" t="s">
        <v>3079</v>
      </c>
      <c r="P120" s="2765" t="s">
        <v>3079</v>
      </c>
      <c r="Q120" s="2765" t="s">
        <v>3079</v>
      </c>
      <c r="R120" s="2765" t="s">
        <v>3079</v>
      </c>
      <c r="S120" s="2765" t="s">
        <v>3079</v>
      </c>
      <c r="T120" s="2765" t="s">
        <v>3079</v>
      </c>
      <c r="U120" s="2765" t="s">
        <v>3079</v>
      </c>
      <c r="V120" s="2765" t="s">
        <v>3079</v>
      </c>
      <c r="W120" s="2765" t="s">
        <v>3079</v>
      </c>
      <c r="X120" s="2770" t="s">
        <v>13</v>
      </c>
      <c r="Y120" s="2767">
        <v>36860</v>
      </c>
      <c r="Z120" s="2768">
        <v>36</v>
      </c>
      <c r="AA120" s="2768">
        <v>16.5</v>
      </c>
      <c r="AB120" s="2768">
        <v>16</v>
      </c>
      <c r="AC120" s="2765" t="s">
        <v>3079</v>
      </c>
      <c r="AD120" s="2765" t="s">
        <v>3079</v>
      </c>
      <c r="AE120" s="2765" t="s">
        <v>3079</v>
      </c>
      <c r="AF120" s="2765" t="s">
        <v>3079</v>
      </c>
      <c r="AG120" s="2765" t="s">
        <v>3079</v>
      </c>
      <c r="AH120" s="2765" t="s">
        <v>3079</v>
      </c>
      <c r="AI120" s="2765" t="s">
        <v>3079</v>
      </c>
      <c r="AJ120" s="2765" t="s">
        <v>3079</v>
      </c>
      <c r="AK120" s="2765" t="s">
        <v>3079</v>
      </c>
      <c r="AL120" s="2765" t="s">
        <v>3079</v>
      </c>
      <c r="AM120" s="2765" t="s">
        <v>3079</v>
      </c>
      <c r="AN120" s="2765" t="s">
        <v>3079</v>
      </c>
      <c r="AO120" s="2766" t="s">
        <v>861</v>
      </c>
    </row>
    <row r="121" spans="1:41" ht="12.75" hidden="1" customHeight="1">
      <c r="A121" s="2759"/>
      <c r="B121" s="2765" t="s">
        <v>3079</v>
      </c>
      <c r="C121" s="2766" t="s">
        <v>3246</v>
      </c>
      <c r="D121" s="2766" t="s">
        <v>3434</v>
      </c>
      <c r="E121" s="2766" t="s">
        <v>3247</v>
      </c>
      <c r="F121" s="2766" t="s">
        <v>3243</v>
      </c>
      <c r="G121" s="2767">
        <v>41243</v>
      </c>
      <c r="H121" s="2767">
        <v>45933</v>
      </c>
      <c r="I121" s="2765" t="s">
        <v>3079</v>
      </c>
      <c r="J121" s="2765" t="s">
        <v>3079</v>
      </c>
      <c r="K121" s="2768">
        <v>1</v>
      </c>
      <c r="L121" s="2768">
        <v>23</v>
      </c>
      <c r="M121" s="2768">
        <v>8.6404625646455795</v>
      </c>
      <c r="N121" s="2765" t="s">
        <v>3079</v>
      </c>
      <c r="O121" s="2765" t="s">
        <v>3079</v>
      </c>
      <c r="P121" s="2765" t="s">
        <v>3079</v>
      </c>
      <c r="Q121" s="2765" t="s">
        <v>3079</v>
      </c>
      <c r="R121" s="2765" t="s">
        <v>3079</v>
      </c>
      <c r="S121" s="2765" t="s">
        <v>3079</v>
      </c>
      <c r="T121" s="2765" t="s">
        <v>3079</v>
      </c>
      <c r="U121" s="2765" t="s">
        <v>3079</v>
      </c>
      <c r="V121" s="2765" t="s">
        <v>3079</v>
      </c>
      <c r="W121" s="2765" t="s">
        <v>3079</v>
      </c>
      <c r="X121" s="2765" t="s">
        <v>3079</v>
      </c>
      <c r="Y121" s="2767">
        <v>41243</v>
      </c>
      <c r="Z121" s="2765" t="s">
        <v>3079</v>
      </c>
      <c r="AA121" s="2765" t="s">
        <v>3079</v>
      </c>
      <c r="AB121" s="2768">
        <v>1</v>
      </c>
      <c r="AC121" s="2768">
        <v>23</v>
      </c>
      <c r="AD121" s="2768">
        <v>8.6404625646455795</v>
      </c>
      <c r="AE121" s="2765" t="s">
        <v>3079</v>
      </c>
      <c r="AF121" s="2765" t="s">
        <v>3079</v>
      </c>
      <c r="AG121" s="2765" t="s">
        <v>3079</v>
      </c>
      <c r="AH121" s="2765" t="s">
        <v>3079</v>
      </c>
      <c r="AI121" s="2765" t="s">
        <v>3079</v>
      </c>
      <c r="AJ121" s="2765" t="s">
        <v>3079</v>
      </c>
      <c r="AK121" s="2765" t="s">
        <v>3079</v>
      </c>
      <c r="AL121" s="2765" t="s">
        <v>3079</v>
      </c>
      <c r="AM121" s="2765" t="s">
        <v>3079</v>
      </c>
      <c r="AN121" s="2765" t="s">
        <v>3079</v>
      </c>
      <c r="AO121" s="2766" t="s">
        <v>861</v>
      </c>
    </row>
    <row r="122" spans="1:41" ht="22.5" hidden="1" customHeight="1">
      <c r="A122" s="2759"/>
      <c r="B122" s="2765" t="s">
        <v>3079</v>
      </c>
      <c r="C122" s="2766" t="s">
        <v>3521</v>
      </c>
      <c r="D122" s="2766" t="s">
        <v>3434</v>
      </c>
      <c r="E122" s="2766" t="s">
        <v>3522</v>
      </c>
      <c r="F122" s="2766" t="s">
        <v>3297</v>
      </c>
      <c r="G122" s="2767">
        <v>40512</v>
      </c>
      <c r="H122" s="2767">
        <v>45138</v>
      </c>
      <c r="I122" s="2768">
        <v>5</v>
      </c>
      <c r="J122" s="2768">
        <v>68</v>
      </c>
      <c r="K122" s="2768">
        <v>164</v>
      </c>
      <c r="L122" s="2768">
        <v>239</v>
      </c>
      <c r="M122" s="2768">
        <v>37.133463314898002</v>
      </c>
      <c r="N122" s="2765" t="s">
        <v>3079</v>
      </c>
      <c r="O122" s="2765" t="s">
        <v>3079</v>
      </c>
      <c r="P122" s="2765" t="s">
        <v>3079</v>
      </c>
      <c r="Q122" s="2765" t="s">
        <v>3079</v>
      </c>
      <c r="R122" s="2765" t="s">
        <v>3079</v>
      </c>
      <c r="S122" s="2765" t="s">
        <v>3079</v>
      </c>
      <c r="T122" s="2765" t="s">
        <v>3079</v>
      </c>
      <c r="U122" s="2765" t="s">
        <v>3079</v>
      </c>
      <c r="V122" s="2765" t="s">
        <v>3079</v>
      </c>
      <c r="W122" s="2765" t="s">
        <v>3079</v>
      </c>
      <c r="X122" s="2770" t="s">
        <v>13</v>
      </c>
      <c r="Y122" s="2767">
        <v>40512</v>
      </c>
      <c r="Z122" s="2768">
        <v>5</v>
      </c>
      <c r="AA122" s="2768">
        <v>68</v>
      </c>
      <c r="AB122" s="2768">
        <v>164</v>
      </c>
      <c r="AC122" s="2768">
        <v>239</v>
      </c>
      <c r="AD122" s="2768">
        <v>37.133463314898002</v>
      </c>
      <c r="AE122" s="2765" t="s">
        <v>3079</v>
      </c>
      <c r="AF122" s="2765" t="s">
        <v>3079</v>
      </c>
      <c r="AG122" s="2765" t="s">
        <v>3079</v>
      </c>
      <c r="AH122" s="2765" t="s">
        <v>3079</v>
      </c>
      <c r="AI122" s="2765" t="s">
        <v>3079</v>
      </c>
      <c r="AJ122" s="2765" t="s">
        <v>3079</v>
      </c>
      <c r="AK122" s="2765" t="s">
        <v>3079</v>
      </c>
      <c r="AL122" s="2765" t="s">
        <v>3079</v>
      </c>
      <c r="AM122" s="2765" t="s">
        <v>3079</v>
      </c>
      <c r="AN122" s="2765" t="s">
        <v>3079</v>
      </c>
      <c r="AO122" s="2766" t="s">
        <v>861</v>
      </c>
    </row>
    <row r="123" spans="1:41" ht="12.75" hidden="1" customHeight="1">
      <c r="A123" s="2759"/>
      <c r="B123" s="2765" t="s">
        <v>3079</v>
      </c>
      <c r="C123" s="2766" t="s">
        <v>3389</v>
      </c>
      <c r="D123" s="2766" t="s">
        <v>3434</v>
      </c>
      <c r="E123" s="2766" t="s">
        <v>3390</v>
      </c>
      <c r="F123" s="2766" t="s">
        <v>3391</v>
      </c>
      <c r="G123" s="2767">
        <v>38472</v>
      </c>
      <c r="H123" s="2767">
        <v>43540</v>
      </c>
      <c r="I123" s="2765" t="s">
        <v>3079</v>
      </c>
      <c r="J123" s="2765" t="s">
        <v>3079</v>
      </c>
      <c r="K123" s="2768">
        <v>3.8938870456560299</v>
      </c>
      <c r="L123" s="2768">
        <v>9.0802120478123793</v>
      </c>
      <c r="M123" s="2768">
        <v>1.4390123050824399</v>
      </c>
      <c r="N123" s="2765" t="s">
        <v>3079</v>
      </c>
      <c r="O123" s="2765" t="s">
        <v>3079</v>
      </c>
      <c r="P123" s="2765" t="s">
        <v>3079</v>
      </c>
      <c r="Q123" s="2765" t="s">
        <v>3079</v>
      </c>
      <c r="R123" s="2765" t="s">
        <v>3079</v>
      </c>
      <c r="S123" s="2765" t="s">
        <v>3079</v>
      </c>
      <c r="T123" s="2765" t="s">
        <v>3079</v>
      </c>
      <c r="U123" s="2765" t="s">
        <v>3079</v>
      </c>
      <c r="V123" s="2765" t="s">
        <v>3079</v>
      </c>
      <c r="W123" s="2765" t="s">
        <v>3079</v>
      </c>
      <c r="X123" s="2765" t="s">
        <v>3079</v>
      </c>
      <c r="Y123" s="2767">
        <v>38472</v>
      </c>
      <c r="Z123" s="2765" t="s">
        <v>3079</v>
      </c>
      <c r="AA123" s="2765" t="s">
        <v>3079</v>
      </c>
      <c r="AB123" s="2768">
        <v>36</v>
      </c>
      <c r="AC123" s="2768">
        <v>84</v>
      </c>
      <c r="AD123" s="2768">
        <v>13.468669337048899</v>
      </c>
      <c r="AE123" s="2765" t="s">
        <v>3079</v>
      </c>
      <c r="AF123" s="2765" t="s">
        <v>3079</v>
      </c>
      <c r="AG123" s="2765" t="s">
        <v>3079</v>
      </c>
      <c r="AH123" s="2765" t="s">
        <v>3079</v>
      </c>
      <c r="AI123" s="2765" t="s">
        <v>3079</v>
      </c>
      <c r="AJ123" s="2765" t="s">
        <v>3079</v>
      </c>
      <c r="AK123" s="2765" t="s">
        <v>3079</v>
      </c>
      <c r="AL123" s="2765" t="s">
        <v>3079</v>
      </c>
      <c r="AM123" s="2765" t="s">
        <v>3079</v>
      </c>
      <c r="AN123" s="2765" t="s">
        <v>3079</v>
      </c>
      <c r="AO123" s="2766" t="s">
        <v>861</v>
      </c>
    </row>
    <row r="124" spans="1:41" ht="12.75" hidden="1" customHeight="1">
      <c r="A124" s="2759"/>
      <c r="B124" s="2765" t="s">
        <v>3079</v>
      </c>
      <c r="C124" s="2766" t="s">
        <v>3186</v>
      </c>
      <c r="D124" s="2766" t="s">
        <v>3434</v>
      </c>
      <c r="E124" s="2766" t="s">
        <v>3301</v>
      </c>
      <c r="F124" s="2766" t="s">
        <v>3073</v>
      </c>
      <c r="G124" s="2767">
        <v>38512</v>
      </c>
      <c r="H124" s="2767">
        <v>43023</v>
      </c>
      <c r="I124" s="2765" t="s">
        <v>3079</v>
      </c>
      <c r="J124" s="2765" t="s">
        <v>3079</v>
      </c>
      <c r="K124" s="2768">
        <v>147</v>
      </c>
      <c r="L124" s="2768">
        <v>400</v>
      </c>
      <c r="M124" s="2768">
        <v>30.761516229076399</v>
      </c>
      <c r="N124" s="2765" t="s">
        <v>3079</v>
      </c>
      <c r="O124" s="2765" t="s">
        <v>3079</v>
      </c>
      <c r="P124" s="2765" t="s">
        <v>3079</v>
      </c>
      <c r="Q124" s="2765" t="s">
        <v>3079</v>
      </c>
      <c r="R124" s="2765" t="s">
        <v>3079</v>
      </c>
      <c r="S124" s="2765" t="s">
        <v>3079</v>
      </c>
      <c r="T124" s="2765" t="s">
        <v>3079</v>
      </c>
      <c r="U124" s="2765" t="s">
        <v>3079</v>
      </c>
      <c r="V124" s="2765" t="s">
        <v>3079</v>
      </c>
      <c r="W124" s="2765" t="s">
        <v>3079</v>
      </c>
      <c r="X124" s="2765" t="s">
        <v>3079</v>
      </c>
      <c r="Y124" s="2767">
        <v>38512</v>
      </c>
      <c r="Z124" s="2765" t="s">
        <v>3079</v>
      </c>
      <c r="AA124" s="2765" t="s">
        <v>3079</v>
      </c>
      <c r="AB124" s="2768">
        <v>147</v>
      </c>
      <c r="AC124" s="2768">
        <v>400</v>
      </c>
      <c r="AD124" s="2768">
        <v>30.761516229076399</v>
      </c>
      <c r="AE124" s="2765" t="s">
        <v>3079</v>
      </c>
      <c r="AF124" s="2765" t="s">
        <v>3079</v>
      </c>
      <c r="AG124" s="2765" t="s">
        <v>3079</v>
      </c>
      <c r="AH124" s="2765" t="s">
        <v>3079</v>
      </c>
      <c r="AI124" s="2765" t="s">
        <v>3079</v>
      </c>
      <c r="AJ124" s="2765" t="s">
        <v>3079</v>
      </c>
      <c r="AK124" s="2765" t="s">
        <v>3079</v>
      </c>
      <c r="AL124" s="2765" t="s">
        <v>3079</v>
      </c>
      <c r="AM124" s="2765" t="s">
        <v>3079</v>
      </c>
      <c r="AN124" s="2765" t="s">
        <v>3079</v>
      </c>
      <c r="AO124" s="2766" t="s">
        <v>861</v>
      </c>
    </row>
    <row r="125" spans="1:41" ht="12.75" hidden="1" customHeight="1">
      <c r="A125" s="2759"/>
      <c r="B125" s="2765" t="s">
        <v>3079</v>
      </c>
      <c r="C125" s="2766" t="s">
        <v>3188</v>
      </c>
      <c r="D125" s="2766" t="s">
        <v>3434</v>
      </c>
      <c r="E125" s="2766" t="s">
        <v>3301</v>
      </c>
      <c r="F125" s="2766" t="s">
        <v>3073</v>
      </c>
      <c r="G125" s="2767">
        <v>40750</v>
      </c>
      <c r="H125" s="2767">
        <v>45933</v>
      </c>
      <c r="I125" s="2765" t="s">
        <v>3079</v>
      </c>
      <c r="J125" s="2765" t="s">
        <v>3079</v>
      </c>
      <c r="K125" s="2768">
        <v>75</v>
      </c>
      <c r="L125" s="2768">
        <v>298</v>
      </c>
      <c r="M125" s="2768">
        <v>47.191662650106601</v>
      </c>
      <c r="N125" s="2765" t="s">
        <v>3079</v>
      </c>
      <c r="O125" s="2765" t="s">
        <v>3079</v>
      </c>
      <c r="P125" s="2765" t="s">
        <v>3079</v>
      </c>
      <c r="Q125" s="2765" t="s">
        <v>3079</v>
      </c>
      <c r="R125" s="2765" t="s">
        <v>3079</v>
      </c>
      <c r="S125" s="2765" t="s">
        <v>3079</v>
      </c>
      <c r="T125" s="2765" t="s">
        <v>3079</v>
      </c>
      <c r="U125" s="2765" t="s">
        <v>3079</v>
      </c>
      <c r="V125" s="2765" t="s">
        <v>3079</v>
      </c>
      <c r="W125" s="2765" t="s">
        <v>3079</v>
      </c>
      <c r="X125" s="2765" t="s">
        <v>3079</v>
      </c>
      <c r="Y125" s="2767">
        <v>40750</v>
      </c>
      <c r="Z125" s="2765" t="s">
        <v>3079</v>
      </c>
      <c r="AA125" s="2765" t="s">
        <v>3079</v>
      </c>
      <c r="AB125" s="2768">
        <v>75</v>
      </c>
      <c r="AC125" s="2768">
        <v>298</v>
      </c>
      <c r="AD125" s="2768">
        <v>47.191662650106601</v>
      </c>
      <c r="AE125" s="2765" t="s">
        <v>3079</v>
      </c>
      <c r="AF125" s="2765" t="s">
        <v>3079</v>
      </c>
      <c r="AG125" s="2765" t="s">
        <v>3079</v>
      </c>
      <c r="AH125" s="2765" t="s">
        <v>3079</v>
      </c>
      <c r="AI125" s="2765" t="s">
        <v>3079</v>
      </c>
      <c r="AJ125" s="2765" t="s">
        <v>3079</v>
      </c>
      <c r="AK125" s="2765" t="s">
        <v>3079</v>
      </c>
      <c r="AL125" s="2765" t="s">
        <v>3079</v>
      </c>
      <c r="AM125" s="2765" t="s">
        <v>3079</v>
      </c>
      <c r="AN125" s="2765" t="s">
        <v>3079</v>
      </c>
      <c r="AO125" s="2766" t="s">
        <v>861</v>
      </c>
    </row>
    <row r="126" spans="1:41" ht="12.75" hidden="1" customHeight="1">
      <c r="A126" s="2759"/>
      <c r="B126" s="2765" t="s">
        <v>3079</v>
      </c>
      <c r="C126" s="2766" t="s">
        <v>3186</v>
      </c>
      <c r="D126" s="2766" t="s">
        <v>3238</v>
      </c>
      <c r="E126" s="2766" t="s">
        <v>3301</v>
      </c>
      <c r="F126" s="2766" t="s">
        <v>3073</v>
      </c>
      <c r="G126" s="2767">
        <v>38512</v>
      </c>
      <c r="H126" s="2767">
        <v>42705</v>
      </c>
      <c r="I126" s="2768">
        <v>150.9</v>
      </c>
      <c r="J126" s="2768">
        <v>162.69999999999999</v>
      </c>
      <c r="K126" s="2768">
        <v>158.6</v>
      </c>
      <c r="L126" s="2768">
        <v>24.990182688838701</v>
      </c>
      <c r="M126" s="2765" t="s">
        <v>3079</v>
      </c>
      <c r="N126" s="2765" t="s">
        <v>3079</v>
      </c>
      <c r="O126" s="2765" t="s">
        <v>3079</v>
      </c>
      <c r="P126" s="2765" t="s">
        <v>3079</v>
      </c>
      <c r="Q126" s="2765" t="s">
        <v>3079</v>
      </c>
      <c r="R126" s="2765" t="s">
        <v>3079</v>
      </c>
      <c r="S126" s="2765" t="s">
        <v>3079</v>
      </c>
      <c r="T126" s="2765" t="s">
        <v>3079</v>
      </c>
      <c r="U126" s="2765" t="s">
        <v>3079</v>
      </c>
      <c r="V126" s="2765" t="s">
        <v>3079</v>
      </c>
      <c r="W126" s="2765" t="s">
        <v>3079</v>
      </c>
      <c r="X126" s="2770" t="s">
        <v>13</v>
      </c>
      <c r="Y126" s="2767">
        <v>38512</v>
      </c>
      <c r="Z126" s="2768">
        <v>150.9</v>
      </c>
      <c r="AA126" s="2768">
        <v>162.69999999999999</v>
      </c>
      <c r="AB126" s="2768">
        <v>158.6</v>
      </c>
      <c r="AC126" s="2768">
        <v>24.990182688838701</v>
      </c>
      <c r="AD126" s="2765" t="s">
        <v>3079</v>
      </c>
      <c r="AE126" s="2765" t="s">
        <v>3079</v>
      </c>
      <c r="AF126" s="2765" t="s">
        <v>3079</v>
      </c>
      <c r="AG126" s="2765" t="s">
        <v>3079</v>
      </c>
      <c r="AH126" s="2765" t="s">
        <v>3079</v>
      </c>
      <c r="AI126" s="2765" t="s">
        <v>3079</v>
      </c>
      <c r="AJ126" s="2765" t="s">
        <v>3079</v>
      </c>
      <c r="AK126" s="2765" t="s">
        <v>3079</v>
      </c>
      <c r="AL126" s="2765" t="s">
        <v>3079</v>
      </c>
      <c r="AM126" s="2765" t="s">
        <v>3079</v>
      </c>
      <c r="AN126" s="2765" t="s">
        <v>3079</v>
      </c>
      <c r="AO126" s="2766" t="s">
        <v>3523</v>
      </c>
    </row>
    <row r="127" spans="1:41" ht="12.75" hidden="1" customHeight="1">
      <c r="A127" s="2759"/>
      <c r="B127" s="2765" t="s">
        <v>3079</v>
      </c>
      <c r="C127" s="2766" t="s">
        <v>3188</v>
      </c>
      <c r="D127" s="2766" t="s">
        <v>3238</v>
      </c>
      <c r="E127" s="2766" t="s">
        <v>3301</v>
      </c>
      <c r="F127" s="2766" t="s">
        <v>3073</v>
      </c>
      <c r="G127" s="2767">
        <v>40816</v>
      </c>
      <c r="H127" s="2767">
        <v>45657</v>
      </c>
      <c r="I127" s="2765" t="s">
        <v>3079</v>
      </c>
      <c r="J127" s="2768">
        <v>4.4000000000000004</v>
      </c>
      <c r="K127" s="2768">
        <v>29.5</v>
      </c>
      <c r="L127" s="2768">
        <v>13.034074166953999</v>
      </c>
      <c r="M127" s="2765" t="s">
        <v>3079</v>
      </c>
      <c r="N127" s="2765" t="s">
        <v>3079</v>
      </c>
      <c r="O127" s="2765" t="s">
        <v>3079</v>
      </c>
      <c r="P127" s="2765" t="s">
        <v>3079</v>
      </c>
      <c r="Q127" s="2765" t="s">
        <v>3079</v>
      </c>
      <c r="R127" s="2765" t="s">
        <v>3079</v>
      </c>
      <c r="S127" s="2765" t="s">
        <v>3079</v>
      </c>
      <c r="T127" s="2765" t="s">
        <v>3079</v>
      </c>
      <c r="U127" s="2765" t="s">
        <v>3079</v>
      </c>
      <c r="V127" s="2765" t="s">
        <v>3079</v>
      </c>
      <c r="W127" s="2765" t="s">
        <v>3079</v>
      </c>
      <c r="X127" s="2765" t="s">
        <v>3079</v>
      </c>
      <c r="Y127" s="2767">
        <v>40816</v>
      </c>
      <c r="Z127" s="2765" t="s">
        <v>3079</v>
      </c>
      <c r="AA127" s="2768">
        <v>4.4000000000000004</v>
      </c>
      <c r="AB127" s="2768">
        <v>29.5</v>
      </c>
      <c r="AC127" s="2768">
        <v>13.034074166953999</v>
      </c>
      <c r="AD127" s="2765" t="s">
        <v>3079</v>
      </c>
      <c r="AE127" s="2765" t="s">
        <v>3079</v>
      </c>
      <c r="AF127" s="2765" t="s">
        <v>3079</v>
      </c>
      <c r="AG127" s="2765" t="s">
        <v>3079</v>
      </c>
      <c r="AH127" s="2765" t="s">
        <v>3079</v>
      </c>
      <c r="AI127" s="2765" t="s">
        <v>3079</v>
      </c>
      <c r="AJ127" s="2765" t="s">
        <v>3079</v>
      </c>
      <c r="AK127" s="2765" t="s">
        <v>3079</v>
      </c>
      <c r="AL127" s="2765" t="s">
        <v>3079</v>
      </c>
      <c r="AM127" s="2765" t="s">
        <v>3079</v>
      </c>
      <c r="AN127" s="2765" t="s">
        <v>3079</v>
      </c>
      <c r="AO127" s="2766" t="s">
        <v>3523</v>
      </c>
    </row>
    <row r="128" spans="1:41" ht="12.75" hidden="1" customHeight="1">
      <c r="A128" s="2759"/>
      <c r="B128" s="2765" t="s">
        <v>3079</v>
      </c>
      <c r="C128" s="2766" t="s">
        <v>3524</v>
      </c>
      <c r="D128" s="2766" t="s">
        <v>3289</v>
      </c>
      <c r="E128" s="2766" t="s">
        <v>3525</v>
      </c>
      <c r="F128" s="2766" t="s">
        <v>3526</v>
      </c>
      <c r="G128" s="2767">
        <v>40158</v>
      </c>
      <c r="H128" s="2767">
        <v>46123</v>
      </c>
      <c r="I128" s="2765" t="s">
        <v>3079</v>
      </c>
      <c r="J128" s="2768">
        <v>2.5</v>
      </c>
      <c r="K128" s="2768">
        <v>3</v>
      </c>
      <c r="L128" s="2765" t="s">
        <v>3079</v>
      </c>
      <c r="M128" s="2765" t="s">
        <v>3079</v>
      </c>
      <c r="N128" s="2765" t="s">
        <v>3079</v>
      </c>
      <c r="O128" s="2765" t="s">
        <v>3079</v>
      </c>
      <c r="P128" s="2765" t="s">
        <v>3079</v>
      </c>
      <c r="Q128" s="2765" t="s">
        <v>3079</v>
      </c>
      <c r="R128" s="2765" t="s">
        <v>3079</v>
      </c>
      <c r="S128" s="2765" t="s">
        <v>3079</v>
      </c>
      <c r="T128" s="2765" t="s">
        <v>3079</v>
      </c>
      <c r="U128" s="2765" t="s">
        <v>3079</v>
      </c>
      <c r="V128" s="2765" t="s">
        <v>3079</v>
      </c>
      <c r="W128" s="2765" t="s">
        <v>3079</v>
      </c>
      <c r="X128" s="2765" t="s">
        <v>3079</v>
      </c>
      <c r="Y128" s="2767">
        <v>40158</v>
      </c>
      <c r="Z128" s="2765" t="s">
        <v>3079</v>
      </c>
      <c r="AA128" s="2768">
        <v>2.5</v>
      </c>
      <c r="AB128" s="2768">
        <v>3</v>
      </c>
      <c r="AC128" s="2765" t="s">
        <v>3079</v>
      </c>
      <c r="AD128" s="2765" t="s">
        <v>3079</v>
      </c>
      <c r="AE128" s="2765" t="s">
        <v>3079</v>
      </c>
      <c r="AF128" s="2765" t="s">
        <v>3079</v>
      </c>
      <c r="AG128" s="2765" t="s">
        <v>3079</v>
      </c>
      <c r="AH128" s="2765" t="s">
        <v>3079</v>
      </c>
      <c r="AI128" s="2765" t="s">
        <v>3079</v>
      </c>
      <c r="AJ128" s="2765" t="s">
        <v>3079</v>
      </c>
      <c r="AK128" s="2765" t="s">
        <v>3079</v>
      </c>
      <c r="AL128" s="2765" t="s">
        <v>3079</v>
      </c>
      <c r="AM128" s="2765" t="s">
        <v>3079</v>
      </c>
      <c r="AN128" s="2765" t="s">
        <v>3079</v>
      </c>
      <c r="AO128" s="2766" t="s">
        <v>861</v>
      </c>
    </row>
    <row r="129" spans="1:41" ht="12.75" hidden="1" customHeight="1">
      <c r="A129" s="2759"/>
      <c r="B129" s="2765" t="s">
        <v>3079</v>
      </c>
      <c r="C129" s="2766" t="s">
        <v>3458</v>
      </c>
      <c r="D129" s="2766" t="s">
        <v>3123</v>
      </c>
      <c r="E129" s="2766" t="s">
        <v>3459</v>
      </c>
      <c r="F129" s="2766" t="s">
        <v>3376</v>
      </c>
      <c r="G129" s="2767">
        <v>38121</v>
      </c>
      <c r="H129" s="2765" t="s">
        <v>3079</v>
      </c>
      <c r="I129" s="2768">
        <v>42.112338377386003</v>
      </c>
      <c r="J129" s="2768">
        <v>36.115314891766502</v>
      </c>
      <c r="K129" s="2768">
        <v>26.6137772006992</v>
      </c>
      <c r="L129" s="2768">
        <v>19.972623890341101</v>
      </c>
      <c r="M129" s="2768">
        <v>18.2800341666557</v>
      </c>
      <c r="N129" s="2765" t="s">
        <v>3079</v>
      </c>
      <c r="O129" s="2765" t="s">
        <v>3079</v>
      </c>
      <c r="P129" s="2765" t="s">
        <v>3079</v>
      </c>
      <c r="Q129" s="2765" t="s">
        <v>3079</v>
      </c>
      <c r="R129" s="2765" t="s">
        <v>3079</v>
      </c>
      <c r="S129" s="2765" t="s">
        <v>3079</v>
      </c>
      <c r="T129" s="2765" t="s">
        <v>3079</v>
      </c>
      <c r="U129" s="2765" t="s">
        <v>3079</v>
      </c>
      <c r="V129" s="2765" t="s">
        <v>3079</v>
      </c>
      <c r="W129" s="2765" t="s">
        <v>3079</v>
      </c>
      <c r="X129" s="2770" t="s">
        <v>13</v>
      </c>
      <c r="Y129" s="2767">
        <v>38121</v>
      </c>
      <c r="Z129" s="2768">
        <v>42.112338377386003</v>
      </c>
      <c r="AA129" s="2768">
        <v>36.115314891766502</v>
      </c>
      <c r="AB129" s="2768">
        <v>26.6137772006992</v>
      </c>
      <c r="AC129" s="2768">
        <v>19.972623890341101</v>
      </c>
      <c r="AD129" s="2768">
        <v>18.2800341666557</v>
      </c>
      <c r="AE129" s="2765" t="s">
        <v>3079</v>
      </c>
      <c r="AF129" s="2765" t="s">
        <v>3079</v>
      </c>
      <c r="AG129" s="2765" t="s">
        <v>3079</v>
      </c>
      <c r="AH129" s="2765" t="s">
        <v>3079</v>
      </c>
      <c r="AI129" s="2765" t="s">
        <v>3079</v>
      </c>
      <c r="AJ129" s="2765" t="s">
        <v>3079</v>
      </c>
      <c r="AK129" s="2765" t="s">
        <v>3079</v>
      </c>
      <c r="AL129" s="2765" t="s">
        <v>3079</v>
      </c>
      <c r="AM129" s="2765" t="s">
        <v>3079</v>
      </c>
      <c r="AN129" s="2765" t="s">
        <v>3079</v>
      </c>
      <c r="AO129" s="2766" t="s">
        <v>861</v>
      </c>
    </row>
    <row r="130" spans="1:41" ht="22.5" hidden="1" customHeight="1">
      <c r="A130" s="2759"/>
      <c r="B130" s="2765" t="s">
        <v>3079</v>
      </c>
      <c r="C130" s="2766" t="s">
        <v>3527</v>
      </c>
      <c r="D130" s="2766" t="s">
        <v>3123</v>
      </c>
      <c r="E130" s="2766" t="s">
        <v>3477</v>
      </c>
      <c r="F130" s="2766" t="s">
        <v>3478</v>
      </c>
      <c r="G130" s="2767">
        <v>40350</v>
      </c>
      <c r="H130" s="2767">
        <v>46234</v>
      </c>
      <c r="I130" s="2768">
        <v>140.37446125795299</v>
      </c>
      <c r="J130" s="2768">
        <v>367.48916907411598</v>
      </c>
      <c r="K130" s="2768">
        <v>241.94342909726501</v>
      </c>
      <c r="L130" s="2765" t="s">
        <v>3079</v>
      </c>
      <c r="M130" s="2765" t="s">
        <v>3079</v>
      </c>
      <c r="N130" s="2765" t="s">
        <v>3079</v>
      </c>
      <c r="O130" s="2765" t="s">
        <v>3079</v>
      </c>
      <c r="P130" s="2765" t="s">
        <v>3079</v>
      </c>
      <c r="Q130" s="2765" t="s">
        <v>3079</v>
      </c>
      <c r="R130" s="2765" t="s">
        <v>3079</v>
      </c>
      <c r="S130" s="2765" t="s">
        <v>3079</v>
      </c>
      <c r="T130" s="2765" t="s">
        <v>3079</v>
      </c>
      <c r="U130" s="2765" t="s">
        <v>3079</v>
      </c>
      <c r="V130" s="2765" t="s">
        <v>3079</v>
      </c>
      <c r="W130" s="2765" t="s">
        <v>3079</v>
      </c>
      <c r="X130" s="2770" t="s">
        <v>13</v>
      </c>
      <c r="Y130" s="2767">
        <v>40350</v>
      </c>
      <c r="Z130" s="2768">
        <v>140.37446125795299</v>
      </c>
      <c r="AA130" s="2768">
        <v>367.48916907411598</v>
      </c>
      <c r="AB130" s="2768">
        <v>241.94342909726501</v>
      </c>
      <c r="AC130" s="2765" t="s">
        <v>3079</v>
      </c>
      <c r="AD130" s="2765" t="s">
        <v>3079</v>
      </c>
      <c r="AE130" s="2765" t="s">
        <v>3079</v>
      </c>
      <c r="AF130" s="2765" t="s">
        <v>3079</v>
      </c>
      <c r="AG130" s="2765" t="s">
        <v>3079</v>
      </c>
      <c r="AH130" s="2765" t="s">
        <v>3079</v>
      </c>
      <c r="AI130" s="2765" t="s">
        <v>3079</v>
      </c>
      <c r="AJ130" s="2765" t="s">
        <v>3079</v>
      </c>
      <c r="AK130" s="2765" t="s">
        <v>3079</v>
      </c>
      <c r="AL130" s="2765" t="s">
        <v>3079</v>
      </c>
      <c r="AM130" s="2765" t="s">
        <v>3079</v>
      </c>
      <c r="AN130" s="2765" t="s">
        <v>3079</v>
      </c>
      <c r="AO130" s="2766" t="s">
        <v>861</v>
      </c>
    </row>
    <row r="131" spans="1:41" ht="22.5" hidden="1" customHeight="1">
      <c r="A131" s="2759"/>
      <c r="B131" s="2765" t="s">
        <v>3079</v>
      </c>
      <c r="C131" s="2766" t="s">
        <v>3528</v>
      </c>
      <c r="D131" s="2766" t="s">
        <v>3123</v>
      </c>
      <c r="E131" s="2766" t="s">
        <v>3477</v>
      </c>
      <c r="F131" s="2766" t="s">
        <v>3478</v>
      </c>
      <c r="G131" s="2767">
        <v>38657</v>
      </c>
      <c r="H131" s="2767">
        <v>41138</v>
      </c>
      <c r="I131" s="2768">
        <v>210.56169188692999</v>
      </c>
      <c r="J131" s="2768">
        <v>190.08060469350801</v>
      </c>
      <c r="K131" s="2765" t="s">
        <v>3079</v>
      </c>
      <c r="L131" s="2765" t="s">
        <v>3079</v>
      </c>
      <c r="M131" s="2765" t="s">
        <v>3079</v>
      </c>
      <c r="N131" s="2765" t="s">
        <v>3079</v>
      </c>
      <c r="O131" s="2765" t="s">
        <v>3079</v>
      </c>
      <c r="P131" s="2765" t="s">
        <v>3079</v>
      </c>
      <c r="Q131" s="2765" t="s">
        <v>3079</v>
      </c>
      <c r="R131" s="2765" t="s">
        <v>3079</v>
      </c>
      <c r="S131" s="2765" t="s">
        <v>3079</v>
      </c>
      <c r="T131" s="2765" t="s">
        <v>3079</v>
      </c>
      <c r="U131" s="2765" t="s">
        <v>3079</v>
      </c>
      <c r="V131" s="2765" t="s">
        <v>3079</v>
      </c>
      <c r="W131" s="2765" t="s">
        <v>3079</v>
      </c>
      <c r="X131" s="2770" t="s">
        <v>13</v>
      </c>
      <c r="Y131" s="2767">
        <v>38657</v>
      </c>
      <c r="Z131" s="2768">
        <v>210.56169188692999</v>
      </c>
      <c r="AA131" s="2768">
        <v>190.08060469350801</v>
      </c>
      <c r="AB131" s="2765" t="s">
        <v>3079</v>
      </c>
      <c r="AC131" s="2765" t="s">
        <v>3079</v>
      </c>
      <c r="AD131" s="2765" t="s">
        <v>3079</v>
      </c>
      <c r="AE131" s="2765" t="s">
        <v>3079</v>
      </c>
      <c r="AF131" s="2765" t="s">
        <v>3079</v>
      </c>
      <c r="AG131" s="2765" t="s">
        <v>3079</v>
      </c>
      <c r="AH131" s="2765" t="s">
        <v>3079</v>
      </c>
      <c r="AI131" s="2765" t="s">
        <v>3079</v>
      </c>
      <c r="AJ131" s="2765" t="s">
        <v>3079</v>
      </c>
      <c r="AK131" s="2765" t="s">
        <v>3079</v>
      </c>
      <c r="AL131" s="2765" t="s">
        <v>3079</v>
      </c>
      <c r="AM131" s="2765" t="s">
        <v>3079</v>
      </c>
      <c r="AN131" s="2765" t="s">
        <v>3079</v>
      </c>
      <c r="AO131" s="2766" t="s">
        <v>861</v>
      </c>
    </row>
    <row r="132" spans="1:41" ht="22.5" hidden="1" customHeight="1">
      <c r="A132" s="2759"/>
      <c r="B132" s="2765" t="s">
        <v>3079</v>
      </c>
      <c r="C132" s="2766" t="s">
        <v>3529</v>
      </c>
      <c r="D132" s="2766" t="s">
        <v>3123</v>
      </c>
      <c r="E132" s="2766" t="s">
        <v>3530</v>
      </c>
      <c r="F132" s="2766" t="s">
        <v>3531</v>
      </c>
      <c r="G132" s="2767">
        <v>40806</v>
      </c>
      <c r="H132" s="2767">
        <v>44366</v>
      </c>
      <c r="I132" s="2765" t="s">
        <v>3079</v>
      </c>
      <c r="J132" s="2768">
        <v>12.672040312900499</v>
      </c>
      <c r="K132" s="2768">
        <v>65.324725856261594</v>
      </c>
      <c r="L132" s="2768">
        <v>103.857644229774</v>
      </c>
      <c r="M132" s="2768">
        <v>148.06827674991101</v>
      </c>
      <c r="N132" s="2768">
        <v>147.525084595252</v>
      </c>
      <c r="O132" s="2765" t="s">
        <v>3079</v>
      </c>
      <c r="P132" s="2765" t="s">
        <v>3079</v>
      </c>
      <c r="Q132" s="2765" t="s">
        <v>3079</v>
      </c>
      <c r="R132" s="2765" t="s">
        <v>3079</v>
      </c>
      <c r="S132" s="2765" t="s">
        <v>3079</v>
      </c>
      <c r="T132" s="2765" t="s">
        <v>3079</v>
      </c>
      <c r="U132" s="2765" t="s">
        <v>3079</v>
      </c>
      <c r="V132" s="2765" t="s">
        <v>3079</v>
      </c>
      <c r="W132" s="2765" t="s">
        <v>3079</v>
      </c>
      <c r="X132" s="2765" t="s">
        <v>3079</v>
      </c>
      <c r="Y132" s="2767">
        <v>40806</v>
      </c>
      <c r="Z132" s="2765" t="s">
        <v>3079</v>
      </c>
      <c r="AA132" s="2768">
        <v>12.672040312900499</v>
      </c>
      <c r="AB132" s="2768">
        <v>65.324725856261594</v>
      </c>
      <c r="AC132" s="2768">
        <v>103.857644229774</v>
      </c>
      <c r="AD132" s="2768">
        <v>148.06827674991101</v>
      </c>
      <c r="AE132" s="2768">
        <v>147.525084595252</v>
      </c>
      <c r="AF132" s="2765" t="s">
        <v>3079</v>
      </c>
      <c r="AG132" s="2765" t="s">
        <v>3079</v>
      </c>
      <c r="AH132" s="2765" t="s">
        <v>3079</v>
      </c>
      <c r="AI132" s="2765" t="s">
        <v>3079</v>
      </c>
      <c r="AJ132" s="2765" t="s">
        <v>3079</v>
      </c>
      <c r="AK132" s="2765" t="s">
        <v>3079</v>
      </c>
      <c r="AL132" s="2765" t="s">
        <v>3079</v>
      </c>
      <c r="AM132" s="2765" t="s">
        <v>3079</v>
      </c>
      <c r="AN132" s="2765" t="s">
        <v>3079</v>
      </c>
      <c r="AO132" s="2766" t="s">
        <v>861</v>
      </c>
    </row>
    <row r="133" spans="1:41" ht="12.75" hidden="1" customHeight="1">
      <c r="A133" s="2759"/>
      <c r="B133" s="2765" t="s">
        <v>3079</v>
      </c>
      <c r="C133" s="2766" t="s">
        <v>3405</v>
      </c>
      <c r="D133" s="2766" t="s">
        <v>3446</v>
      </c>
      <c r="E133" s="2766" t="s">
        <v>3278</v>
      </c>
      <c r="F133" s="2766" t="s">
        <v>3279</v>
      </c>
      <c r="G133" s="2767">
        <v>37281</v>
      </c>
      <c r="H133" s="2765" t="s">
        <v>3079</v>
      </c>
      <c r="I133" s="2768">
        <v>27.3</v>
      </c>
      <c r="J133" s="2768">
        <v>25.9</v>
      </c>
      <c r="K133" s="2768">
        <v>24.6</v>
      </c>
      <c r="L133" s="2768">
        <v>23.4</v>
      </c>
      <c r="M133" s="2768">
        <v>22.2</v>
      </c>
      <c r="N133" s="2768">
        <v>21.1</v>
      </c>
      <c r="O133" s="2768">
        <v>20</v>
      </c>
      <c r="P133" s="2768">
        <v>4.7249999999999996</v>
      </c>
      <c r="Q133" s="2765" t="s">
        <v>3079</v>
      </c>
      <c r="R133" s="2765" t="s">
        <v>3079</v>
      </c>
      <c r="S133" s="2765" t="s">
        <v>3079</v>
      </c>
      <c r="T133" s="2765" t="s">
        <v>3079</v>
      </c>
      <c r="U133" s="2765" t="s">
        <v>3079</v>
      </c>
      <c r="V133" s="2765" t="s">
        <v>3079</v>
      </c>
      <c r="W133" s="2765" t="s">
        <v>3079</v>
      </c>
      <c r="X133" s="2770" t="s">
        <v>13</v>
      </c>
      <c r="Y133" s="2767">
        <v>37281</v>
      </c>
      <c r="Z133" s="2768">
        <v>27.3</v>
      </c>
      <c r="AA133" s="2768">
        <v>25.9</v>
      </c>
      <c r="AB133" s="2768">
        <v>24.6</v>
      </c>
      <c r="AC133" s="2768">
        <v>23.4</v>
      </c>
      <c r="AD133" s="2768">
        <v>22.2</v>
      </c>
      <c r="AE133" s="2768">
        <v>21.1</v>
      </c>
      <c r="AF133" s="2768">
        <v>20</v>
      </c>
      <c r="AG133" s="2768">
        <v>4.7249999999999996</v>
      </c>
      <c r="AH133" s="2765" t="s">
        <v>3079</v>
      </c>
      <c r="AI133" s="2765" t="s">
        <v>3079</v>
      </c>
      <c r="AJ133" s="2765" t="s">
        <v>3079</v>
      </c>
      <c r="AK133" s="2765" t="s">
        <v>3079</v>
      </c>
      <c r="AL133" s="2765" t="s">
        <v>3079</v>
      </c>
      <c r="AM133" s="2765" t="s">
        <v>3079</v>
      </c>
      <c r="AN133" s="2765" t="s">
        <v>3079</v>
      </c>
      <c r="AO133" s="2766" t="s">
        <v>861</v>
      </c>
    </row>
    <row r="134" spans="1:41" ht="12.75" hidden="1" customHeight="1">
      <c r="A134" s="2759"/>
      <c r="B134" s="2765" t="s">
        <v>3079</v>
      </c>
      <c r="C134" s="2766" t="s">
        <v>3389</v>
      </c>
      <c r="D134" s="2766" t="s">
        <v>3532</v>
      </c>
      <c r="E134" s="2766" t="s">
        <v>3390</v>
      </c>
      <c r="F134" s="2766" t="s">
        <v>3391</v>
      </c>
      <c r="G134" s="2767">
        <v>38472</v>
      </c>
      <c r="H134" s="2767">
        <v>43540</v>
      </c>
      <c r="I134" s="2768">
        <v>10.119314568884301</v>
      </c>
      <c r="J134" s="2768">
        <v>12.0895579277382</v>
      </c>
      <c r="K134" s="2768">
        <v>6.6818511002175596</v>
      </c>
      <c r="L134" s="2765" t="s">
        <v>3079</v>
      </c>
      <c r="M134" s="2765" t="s">
        <v>3079</v>
      </c>
      <c r="N134" s="2765" t="s">
        <v>3079</v>
      </c>
      <c r="O134" s="2765" t="s">
        <v>3079</v>
      </c>
      <c r="P134" s="2765" t="s">
        <v>3079</v>
      </c>
      <c r="Q134" s="2765" t="s">
        <v>3079</v>
      </c>
      <c r="R134" s="2765" t="s">
        <v>3079</v>
      </c>
      <c r="S134" s="2765" t="s">
        <v>3079</v>
      </c>
      <c r="T134" s="2765" t="s">
        <v>3079</v>
      </c>
      <c r="U134" s="2765" t="s">
        <v>3079</v>
      </c>
      <c r="V134" s="2765" t="s">
        <v>3079</v>
      </c>
      <c r="W134" s="2765" t="s">
        <v>3079</v>
      </c>
      <c r="X134" s="2770" t="s">
        <v>13</v>
      </c>
      <c r="Y134" s="2767">
        <v>38472</v>
      </c>
      <c r="Z134" s="2768">
        <v>91.813000000000002</v>
      </c>
      <c r="AA134" s="2768">
        <v>103.9</v>
      </c>
      <c r="AB134" s="2768">
        <v>61.775453881278501</v>
      </c>
      <c r="AC134" s="2765" t="s">
        <v>3079</v>
      </c>
      <c r="AD134" s="2765" t="s">
        <v>3079</v>
      </c>
      <c r="AE134" s="2765" t="s">
        <v>3079</v>
      </c>
      <c r="AF134" s="2765" t="s">
        <v>3079</v>
      </c>
      <c r="AG134" s="2765" t="s">
        <v>3079</v>
      </c>
      <c r="AH134" s="2765" t="s">
        <v>3079</v>
      </c>
      <c r="AI134" s="2765" t="s">
        <v>3079</v>
      </c>
      <c r="AJ134" s="2765" t="s">
        <v>3079</v>
      </c>
      <c r="AK134" s="2765" t="s">
        <v>3079</v>
      </c>
      <c r="AL134" s="2765" t="s">
        <v>3079</v>
      </c>
      <c r="AM134" s="2765" t="s">
        <v>3079</v>
      </c>
      <c r="AN134" s="2765" t="s">
        <v>3079</v>
      </c>
      <c r="AO134" s="2766" t="s">
        <v>3533</v>
      </c>
    </row>
    <row r="135" spans="1:41" ht="12.75" hidden="1" customHeight="1">
      <c r="A135" s="2759"/>
      <c r="B135" s="2765" t="s">
        <v>3079</v>
      </c>
      <c r="C135" s="2766" t="s">
        <v>3186</v>
      </c>
      <c r="D135" s="2766" t="s">
        <v>3532</v>
      </c>
      <c r="E135" s="2766" t="s">
        <v>3301</v>
      </c>
      <c r="F135" s="2766" t="s">
        <v>3073</v>
      </c>
      <c r="G135" s="2767">
        <v>38512</v>
      </c>
      <c r="H135" s="2767">
        <v>43023</v>
      </c>
      <c r="I135" s="2768">
        <v>559.29999999999995</v>
      </c>
      <c r="J135" s="2768">
        <v>517.70000000000005</v>
      </c>
      <c r="K135" s="2768">
        <v>281.291779221279</v>
      </c>
      <c r="L135" s="2765" t="s">
        <v>3079</v>
      </c>
      <c r="M135" s="2765" t="s">
        <v>3079</v>
      </c>
      <c r="N135" s="2765" t="s">
        <v>3079</v>
      </c>
      <c r="O135" s="2765" t="s">
        <v>3079</v>
      </c>
      <c r="P135" s="2765" t="s">
        <v>3079</v>
      </c>
      <c r="Q135" s="2765" t="s">
        <v>3079</v>
      </c>
      <c r="R135" s="2765" t="s">
        <v>3079</v>
      </c>
      <c r="S135" s="2765" t="s">
        <v>3079</v>
      </c>
      <c r="T135" s="2765" t="s">
        <v>3079</v>
      </c>
      <c r="U135" s="2765" t="s">
        <v>3079</v>
      </c>
      <c r="V135" s="2765" t="s">
        <v>3079</v>
      </c>
      <c r="W135" s="2765" t="s">
        <v>3079</v>
      </c>
      <c r="X135" s="2770" t="s">
        <v>13</v>
      </c>
      <c r="Y135" s="2767">
        <v>38512</v>
      </c>
      <c r="Z135" s="2768">
        <v>559.29999999999995</v>
      </c>
      <c r="AA135" s="2768">
        <v>517.70000000000005</v>
      </c>
      <c r="AB135" s="2768">
        <v>281.291779221279</v>
      </c>
      <c r="AC135" s="2765" t="s">
        <v>3079</v>
      </c>
      <c r="AD135" s="2765" t="s">
        <v>3079</v>
      </c>
      <c r="AE135" s="2765" t="s">
        <v>3079</v>
      </c>
      <c r="AF135" s="2765" t="s">
        <v>3079</v>
      </c>
      <c r="AG135" s="2765" t="s">
        <v>3079</v>
      </c>
      <c r="AH135" s="2765" t="s">
        <v>3079</v>
      </c>
      <c r="AI135" s="2765" t="s">
        <v>3079</v>
      </c>
      <c r="AJ135" s="2765" t="s">
        <v>3079</v>
      </c>
      <c r="AK135" s="2765" t="s">
        <v>3079</v>
      </c>
      <c r="AL135" s="2765" t="s">
        <v>3079</v>
      </c>
      <c r="AM135" s="2765" t="s">
        <v>3079</v>
      </c>
      <c r="AN135" s="2765" t="s">
        <v>3079</v>
      </c>
      <c r="AO135" s="2766" t="s">
        <v>3533</v>
      </c>
    </row>
    <row r="136" spans="1:41" ht="12.75" hidden="1" customHeight="1">
      <c r="A136" s="2759"/>
      <c r="B136" s="2765" t="s">
        <v>3079</v>
      </c>
      <c r="C136" s="2766" t="s">
        <v>3188</v>
      </c>
      <c r="D136" s="2766" t="s">
        <v>3532</v>
      </c>
      <c r="E136" s="2766" t="s">
        <v>3301</v>
      </c>
      <c r="F136" s="2766" t="s">
        <v>3073</v>
      </c>
      <c r="G136" s="2767">
        <v>40750</v>
      </c>
      <c r="H136" s="2767">
        <v>45838</v>
      </c>
      <c r="I136" s="2765" t="s">
        <v>3079</v>
      </c>
      <c r="J136" s="2765" t="s">
        <v>3079</v>
      </c>
      <c r="K136" s="2768">
        <v>74.7744336426572</v>
      </c>
      <c r="L136" s="2765" t="s">
        <v>3079</v>
      </c>
      <c r="M136" s="2765" t="s">
        <v>3079</v>
      </c>
      <c r="N136" s="2765" t="s">
        <v>3079</v>
      </c>
      <c r="O136" s="2765" t="s">
        <v>3079</v>
      </c>
      <c r="P136" s="2765" t="s">
        <v>3079</v>
      </c>
      <c r="Q136" s="2765" t="s">
        <v>3079</v>
      </c>
      <c r="R136" s="2765" t="s">
        <v>3079</v>
      </c>
      <c r="S136" s="2765" t="s">
        <v>3079</v>
      </c>
      <c r="T136" s="2765" t="s">
        <v>3079</v>
      </c>
      <c r="U136" s="2765" t="s">
        <v>3079</v>
      </c>
      <c r="V136" s="2765" t="s">
        <v>3079</v>
      </c>
      <c r="W136" s="2765" t="s">
        <v>3079</v>
      </c>
      <c r="X136" s="2765" t="s">
        <v>3079</v>
      </c>
      <c r="Y136" s="2767">
        <v>40750</v>
      </c>
      <c r="Z136" s="2765" t="s">
        <v>3079</v>
      </c>
      <c r="AA136" s="2765" t="s">
        <v>3079</v>
      </c>
      <c r="AB136" s="2768">
        <v>74.7744336426572</v>
      </c>
      <c r="AC136" s="2765" t="s">
        <v>3079</v>
      </c>
      <c r="AD136" s="2765" t="s">
        <v>3079</v>
      </c>
      <c r="AE136" s="2765" t="s">
        <v>3079</v>
      </c>
      <c r="AF136" s="2765" t="s">
        <v>3079</v>
      </c>
      <c r="AG136" s="2765" t="s">
        <v>3079</v>
      </c>
      <c r="AH136" s="2765" t="s">
        <v>3079</v>
      </c>
      <c r="AI136" s="2765" t="s">
        <v>3079</v>
      </c>
      <c r="AJ136" s="2765" t="s">
        <v>3079</v>
      </c>
      <c r="AK136" s="2765" t="s">
        <v>3079</v>
      </c>
      <c r="AL136" s="2765" t="s">
        <v>3079</v>
      </c>
      <c r="AM136" s="2765" t="s">
        <v>3079</v>
      </c>
      <c r="AN136" s="2765" t="s">
        <v>3079</v>
      </c>
      <c r="AO136" s="2766" t="s">
        <v>3533</v>
      </c>
    </row>
    <row r="137" spans="1:41" ht="12.75" hidden="1" customHeight="1">
      <c r="A137" s="2759"/>
      <c r="B137" s="2765" t="s">
        <v>3079</v>
      </c>
      <c r="C137" s="2766" t="s">
        <v>3412</v>
      </c>
      <c r="D137" s="2766" t="s">
        <v>2392</v>
      </c>
      <c r="E137" s="2766" t="s">
        <v>3414</v>
      </c>
      <c r="F137" s="2766" t="s">
        <v>3286</v>
      </c>
      <c r="G137" s="2767">
        <v>38728</v>
      </c>
      <c r="H137" s="2765" t="s">
        <v>3079</v>
      </c>
      <c r="I137" s="2768">
        <v>76.036166514724698</v>
      </c>
      <c r="J137" s="2768">
        <v>76.032241877403195</v>
      </c>
      <c r="K137" s="2768">
        <v>72.583028729179603</v>
      </c>
      <c r="L137" s="2768">
        <v>59.9178716710232</v>
      </c>
      <c r="M137" s="2765" t="s">
        <v>3079</v>
      </c>
      <c r="N137" s="2765" t="s">
        <v>3079</v>
      </c>
      <c r="O137" s="2765" t="s">
        <v>3079</v>
      </c>
      <c r="P137" s="2765" t="s">
        <v>3079</v>
      </c>
      <c r="Q137" s="2765" t="s">
        <v>3079</v>
      </c>
      <c r="R137" s="2765" t="s">
        <v>3079</v>
      </c>
      <c r="S137" s="2765" t="s">
        <v>3079</v>
      </c>
      <c r="T137" s="2765" t="s">
        <v>3079</v>
      </c>
      <c r="U137" s="2765" t="s">
        <v>3079</v>
      </c>
      <c r="V137" s="2765" t="s">
        <v>3079</v>
      </c>
      <c r="W137" s="2765" t="s">
        <v>3079</v>
      </c>
      <c r="X137" s="2770" t="s">
        <v>13</v>
      </c>
      <c r="Y137" s="2767">
        <v>38728</v>
      </c>
      <c r="Z137" s="2768">
        <v>76.036166514724698</v>
      </c>
      <c r="AA137" s="2768">
        <v>76.032241877403195</v>
      </c>
      <c r="AB137" s="2768">
        <v>72.583028729179603</v>
      </c>
      <c r="AC137" s="2768">
        <v>59.9178716710232</v>
      </c>
      <c r="AD137" s="2765" t="s">
        <v>3079</v>
      </c>
      <c r="AE137" s="2765" t="s">
        <v>3079</v>
      </c>
      <c r="AF137" s="2765" t="s">
        <v>3079</v>
      </c>
      <c r="AG137" s="2765" t="s">
        <v>3079</v>
      </c>
      <c r="AH137" s="2765" t="s">
        <v>3079</v>
      </c>
      <c r="AI137" s="2765" t="s">
        <v>3079</v>
      </c>
      <c r="AJ137" s="2765" t="s">
        <v>3079</v>
      </c>
      <c r="AK137" s="2765" t="s">
        <v>3079</v>
      </c>
      <c r="AL137" s="2765" t="s">
        <v>3079</v>
      </c>
      <c r="AM137" s="2765" t="s">
        <v>3079</v>
      </c>
      <c r="AN137" s="2765" t="s">
        <v>3079</v>
      </c>
      <c r="AO137" s="2766" t="s">
        <v>3523</v>
      </c>
    </row>
    <row r="138" spans="1:41" ht="12.75" hidden="1" customHeight="1">
      <c r="A138" s="2759"/>
      <c r="B138" s="2765" t="s">
        <v>3079</v>
      </c>
      <c r="C138" s="2766" t="s">
        <v>3511</v>
      </c>
      <c r="D138" s="2766" t="s">
        <v>3100</v>
      </c>
      <c r="E138" s="2766" t="s">
        <v>3395</v>
      </c>
      <c r="F138" s="2766" t="s">
        <v>3319</v>
      </c>
      <c r="G138" s="2767">
        <v>37944</v>
      </c>
      <c r="H138" s="2765" t="s">
        <v>3079</v>
      </c>
      <c r="I138" s="2768">
        <v>15.8</v>
      </c>
      <c r="J138" s="2768">
        <v>29.5</v>
      </c>
      <c r="K138" s="2768">
        <v>25.15</v>
      </c>
      <c r="L138" s="2768">
        <v>21.6</v>
      </c>
      <c r="M138" s="2768">
        <v>16.600000000000001</v>
      </c>
      <c r="N138" s="2768">
        <v>12.9</v>
      </c>
      <c r="O138" s="2768">
        <v>5.89041095890411</v>
      </c>
      <c r="P138" s="2765" t="s">
        <v>3079</v>
      </c>
      <c r="Q138" s="2765" t="s">
        <v>3079</v>
      </c>
      <c r="R138" s="2765" t="s">
        <v>3079</v>
      </c>
      <c r="S138" s="2765" t="s">
        <v>3079</v>
      </c>
      <c r="T138" s="2765" t="s">
        <v>3079</v>
      </c>
      <c r="U138" s="2765" t="s">
        <v>3079</v>
      </c>
      <c r="V138" s="2765" t="s">
        <v>3079</v>
      </c>
      <c r="W138" s="2765" t="s">
        <v>3079</v>
      </c>
      <c r="X138" s="2770" t="s">
        <v>13</v>
      </c>
      <c r="Y138" s="2767">
        <v>37944</v>
      </c>
      <c r="Z138" s="2768">
        <v>15.8</v>
      </c>
      <c r="AA138" s="2768">
        <v>29.5</v>
      </c>
      <c r="AB138" s="2768">
        <v>25.15</v>
      </c>
      <c r="AC138" s="2768">
        <v>21.6</v>
      </c>
      <c r="AD138" s="2768">
        <v>16.600000000000001</v>
      </c>
      <c r="AE138" s="2768">
        <v>12.9</v>
      </c>
      <c r="AF138" s="2768">
        <v>5.89041095890411</v>
      </c>
      <c r="AG138" s="2765" t="s">
        <v>3079</v>
      </c>
      <c r="AH138" s="2765" t="s">
        <v>3079</v>
      </c>
      <c r="AI138" s="2765" t="s">
        <v>3079</v>
      </c>
      <c r="AJ138" s="2765" t="s">
        <v>3079</v>
      </c>
      <c r="AK138" s="2765" t="s">
        <v>3079</v>
      </c>
      <c r="AL138" s="2765" t="s">
        <v>3079</v>
      </c>
      <c r="AM138" s="2765" t="s">
        <v>3079</v>
      </c>
      <c r="AN138" s="2765" t="s">
        <v>3079</v>
      </c>
      <c r="AO138" s="2766" t="s">
        <v>3533</v>
      </c>
    </row>
    <row r="139" spans="1:41" ht="12.75" hidden="1" customHeight="1">
      <c r="A139" s="2759"/>
      <c r="B139" s="2765" t="s">
        <v>3079</v>
      </c>
      <c r="C139" s="2766" t="s">
        <v>3443</v>
      </c>
      <c r="D139" s="2766" t="s">
        <v>3100</v>
      </c>
      <c r="E139" s="2766" t="s">
        <v>3437</v>
      </c>
      <c r="F139" s="2766" t="s">
        <v>3438</v>
      </c>
      <c r="G139" s="2767">
        <v>40918</v>
      </c>
      <c r="H139" s="2765" t="s">
        <v>3079</v>
      </c>
      <c r="I139" s="2765" t="s">
        <v>3079</v>
      </c>
      <c r="J139" s="2765" t="s">
        <v>3079</v>
      </c>
      <c r="K139" s="2768">
        <v>21.373458904109601</v>
      </c>
      <c r="L139" s="2768">
        <v>46.383595890411002</v>
      </c>
      <c r="M139" s="2768">
        <v>41.7452363013699</v>
      </c>
      <c r="N139" s="2768">
        <v>38.405617397260301</v>
      </c>
      <c r="O139" s="2768">
        <v>21.491362612028599</v>
      </c>
      <c r="P139" s="2765" t="s">
        <v>3079</v>
      </c>
      <c r="Q139" s="2765" t="s">
        <v>3079</v>
      </c>
      <c r="R139" s="2765" t="s">
        <v>3079</v>
      </c>
      <c r="S139" s="2765" t="s">
        <v>3079</v>
      </c>
      <c r="T139" s="2765" t="s">
        <v>3079</v>
      </c>
      <c r="U139" s="2765" t="s">
        <v>3079</v>
      </c>
      <c r="V139" s="2765" t="s">
        <v>3079</v>
      </c>
      <c r="W139" s="2765" t="s">
        <v>3079</v>
      </c>
      <c r="X139" s="2765" t="s">
        <v>3079</v>
      </c>
      <c r="Y139" s="2767">
        <v>40918</v>
      </c>
      <c r="Z139" s="2765" t="s">
        <v>3079</v>
      </c>
      <c r="AA139" s="2765" t="s">
        <v>3079</v>
      </c>
      <c r="AB139" s="2768">
        <v>21.373458904109601</v>
      </c>
      <c r="AC139" s="2768">
        <v>46.383595890411002</v>
      </c>
      <c r="AD139" s="2768">
        <v>41.7452363013699</v>
      </c>
      <c r="AE139" s="2768">
        <v>38.405617397260301</v>
      </c>
      <c r="AF139" s="2768">
        <v>21.491362612028599</v>
      </c>
      <c r="AG139" s="2765" t="s">
        <v>3079</v>
      </c>
      <c r="AH139" s="2765" t="s">
        <v>3079</v>
      </c>
      <c r="AI139" s="2765" t="s">
        <v>3079</v>
      </c>
      <c r="AJ139" s="2765" t="s">
        <v>3079</v>
      </c>
      <c r="AK139" s="2765" t="s">
        <v>3079</v>
      </c>
      <c r="AL139" s="2765" t="s">
        <v>3079</v>
      </c>
      <c r="AM139" s="2765" t="s">
        <v>3079</v>
      </c>
      <c r="AN139" s="2765" t="s">
        <v>3079</v>
      </c>
      <c r="AO139" s="2766" t="s">
        <v>3533</v>
      </c>
    </row>
    <row r="140" spans="1:41" ht="12.75" hidden="1" customHeight="1">
      <c r="A140" s="2759"/>
      <c r="B140" s="2765" t="s">
        <v>3079</v>
      </c>
      <c r="C140" s="2766" t="s">
        <v>3405</v>
      </c>
      <c r="D140" s="2766" t="s">
        <v>3100</v>
      </c>
      <c r="E140" s="2766" t="s">
        <v>3278</v>
      </c>
      <c r="F140" s="2766" t="s">
        <v>3279</v>
      </c>
      <c r="G140" s="2767">
        <v>38154</v>
      </c>
      <c r="H140" s="2765" t="s">
        <v>3079</v>
      </c>
      <c r="I140" s="2768">
        <v>7</v>
      </c>
      <c r="J140" s="2768">
        <v>6</v>
      </c>
      <c r="K140" s="2768">
        <v>6</v>
      </c>
      <c r="L140" s="2768">
        <v>2</v>
      </c>
      <c r="M140" s="2768">
        <v>0.6</v>
      </c>
      <c r="N140" s="2768">
        <v>0.5</v>
      </c>
      <c r="O140" s="2768">
        <v>0.235616438356164</v>
      </c>
      <c r="P140" s="2765" t="s">
        <v>3079</v>
      </c>
      <c r="Q140" s="2765" t="s">
        <v>3079</v>
      </c>
      <c r="R140" s="2765" t="s">
        <v>3079</v>
      </c>
      <c r="S140" s="2765" t="s">
        <v>3079</v>
      </c>
      <c r="T140" s="2765" t="s">
        <v>3079</v>
      </c>
      <c r="U140" s="2765" t="s">
        <v>3079</v>
      </c>
      <c r="V140" s="2765" t="s">
        <v>3079</v>
      </c>
      <c r="W140" s="2765" t="s">
        <v>3079</v>
      </c>
      <c r="X140" s="2770" t="s">
        <v>13</v>
      </c>
      <c r="Y140" s="2767">
        <v>38154</v>
      </c>
      <c r="Z140" s="2768">
        <v>7</v>
      </c>
      <c r="AA140" s="2768">
        <v>6</v>
      </c>
      <c r="AB140" s="2768">
        <v>6</v>
      </c>
      <c r="AC140" s="2768">
        <v>2</v>
      </c>
      <c r="AD140" s="2768">
        <v>0.6</v>
      </c>
      <c r="AE140" s="2768">
        <v>0.5</v>
      </c>
      <c r="AF140" s="2768">
        <v>0.235616438356164</v>
      </c>
      <c r="AG140" s="2765" t="s">
        <v>3079</v>
      </c>
      <c r="AH140" s="2765" t="s">
        <v>3079</v>
      </c>
      <c r="AI140" s="2765" t="s">
        <v>3079</v>
      </c>
      <c r="AJ140" s="2765" t="s">
        <v>3079</v>
      </c>
      <c r="AK140" s="2765" t="s">
        <v>3079</v>
      </c>
      <c r="AL140" s="2765" t="s">
        <v>3079</v>
      </c>
      <c r="AM140" s="2765" t="s">
        <v>3079</v>
      </c>
      <c r="AN140" s="2765" t="s">
        <v>3079</v>
      </c>
      <c r="AO140" s="2766" t="s">
        <v>3533</v>
      </c>
    </row>
    <row r="141" spans="1:41" ht="12.75" hidden="1" customHeight="1">
      <c r="A141" s="2759"/>
      <c r="B141" s="2765" t="s">
        <v>3079</v>
      </c>
      <c r="C141" s="2766" t="s">
        <v>3443</v>
      </c>
      <c r="D141" s="2766" t="s">
        <v>3100</v>
      </c>
      <c r="E141" s="2766" t="s">
        <v>3437</v>
      </c>
      <c r="F141" s="2766" t="s">
        <v>3438</v>
      </c>
      <c r="G141" s="2767">
        <v>40999</v>
      </c>
      <c r="H141" s="2765" t="s">
        <v>3079</v>
      </c>
      <c r="I141" s="2765" t="s">
        <v>3079</v>
      </c>
      <c r="J141" s="2765" t="s">
        <v>3079</v>
      </c>
      <c r="K141" s="2768">
        <v>208.15781813640001</v>
      </c>
      <c r="L141" s="2768">
        <v>84.628518883425002</v>
      </c>
      <c r="M141" s="2768">
        <v>58.737602147399897</v>
      </c>
      <c r="N141" s="2768">
        <v>29.368801073699899</v>
      </c>
      <c r="O141" s="2768">
        <v>17.299430769439699</v>
      </c>
      <c r="P141" s="2765" t="s">
        <v>3079</v>
      </c>
      <c r="Q141" s="2765" t="s">
        <v>3079</v>
      </c>
      <c r="R141" s="2765" t="s">
        <v>3079</v>
      </c>
      <c r="S141" s="2765" t="s">
        <v>3079</v>
      </c>
      <c r="T141" s="2765" t="s">
        <v>3079</v>
      </c>
      <c r="U141" s="2765" t="s">
        <v>3079</v>
      </c>
      <c r="V141" s="2765" t="s">
        <v>3079</v>
      </c>
      <c r="W141" s="2765" t="s">
        <v>3079</v>
      </c>
      <c r="X141" s="2765" t="s">
        <v>3079</v>
      </c>
      <c r="Y141" s="2767">
        <v>40999</v>
      </c>
      <c r="Z141" s="2765" t="s">
        <v>3079</v>
      </c>
      <c r="AA141" s="2765" t="s">
        <v>3079</v>
      </c>
      <c r="AB141" s="2768">
        <v>208.15781813640001</v>
      </c>
      <c r="AC141" s="2768">
        <v>84.628518883425002</v>
      </c>
      <c r="AD141" s="2768">
        <v>58.737602147399897</v>
      </c>
      <c r="AE141" s="2768">
        <v>29.368801073699899</v>
      </c>
      <c r="AF141" s="2768">
        <v>17.299430769439699</v>
      </c>
      <c r="AG141" s="2765" t="s">
        <v>3079</v>
      </c>
      <c r="AH141" s="2765" t="s">
        <v>3079</v>
      </c>
      <c r="AI141" s="2765" t="s">
        <v>3079</v>
      </c>
      <c r="AJ141" s="2765" t="s">
        <v>3079</v>
      </c>
      <c r="AK141" s="2765" t="s">
        <v>3079</v>
      </c>
      <c r="AL141" s="2765" t="s">
        <v>3079</v>
      </c>
      <c r="AM141" s="2765" t="s">
        <v>3079</v>
      </c>
      <c r="AN141" s="2765" t="s">
        <v>3079</v>
      </c>
      <c r="AO141" s="2766" t="s">
        <v>3533</v>
      </c>
    </row>
    <row r="142" spans="1:41" ht="12.75" hidden="1" customHeight="1">
      <c r="A142" s="2759"/>
      <c r="B142" s="2765" t="s">
        <v>3079</v>
      </c>
      <c r="C142" s="2766" t="s">
        <v>3534</v>
      </c>
      <c r="D142" s="2766" t="s">
        <v>3087</v>
      </c>
      <c r="E142" s="2766" t="s">
        <v>3535</v>
      </c>
      <c r="F142" s="2766" t="s">
        <v>3438</v>
      </c>
      <c r="G142" s="2767">
        <v>36322</v>
      </c>
      <c r="H142" s="2767">
        <v>40985</v>
      </c>
      <c r="I142" s="2768">
        <v>680.32575222816695</v>
      </c>
      <c r="J142" s="2768">
        <v>197.24070112223501</v>
      </c>
      <c r="K142" s="2768">
        <v>9.5010348667925992</v>
      </c>
      <c r="L142" s="2765" t="s">
        <v>3079</v>
      </c>
      <c r="M142" s="2765" t="s">
        <v>3079</v>
      </c>
      <c r="N142" s="2765" t="s">
        <v>3079</v>
      </c>
      <c r="O142" s="2765" t="s">
        <v>3079</v>
      </c>
      <c r="P142" s="2765" t="s">
        <v>3079</v>
      </c>
      <c r="Q142" s="2765" t="s">
        <v>3079</v>
      </c>
      <c r="R142" s="2765" t="s">
        <v>3079</v>
      </c>
      <c r="S142" s="2765" t="s">
        <v>3079</v>
      </c>
      <c r="T142" s="2765" t="s">
        <v>3079</v>
      </c>
      <c r="U142" s="2765" t="s">
        <v>3079</v>
      </c>
      <c r="V142" s="2765" t="s">
        <v>3079</v>
      </c>
      <c r="W142" s="2765" t="s">
        <v>3079</v>
      </c>
      <c r="X142" s="2770" t="s">
        <v>13</v>
      </c>
      <c r="Y142" s="2767">
        <v>36322</v>
      </c>
      <c r="Z142" s="2768">
        <v>680.32575222816695</v>
      </c>
      <c r="AA142" s="2768">
        <v>197.24070112223501</v>
      </c>
      <c r="AB142" s="2768">
        <v>9.5010348667925992</v>
      </c>
      <c r="AC142" s="2765" t="s">
        <v>3079</v>
      </c>
      <c r="AD142" s="2765" t="s">
        <v>3079</v>
      </c>
      <c r="AE142" s="2765" t="s">
        <v>3079</v>
      </c>
      <c r="AF142" s="2765" t="s">
        <v>3079</v>
      </c>
      <c r="AG142" s="2765" t="s">
        <v>3079</v>
      </c>
      <c r="AH142" s="2765" t="s">
        <v>3079</v>
      </c>
      <c r="AI142" s="2765" t="s">
        <v>3079</v>
      </c>
      <c r="AJ142" s="2765" t="s">
        <v>3079</v>
      </c>
      <c r="AK142" s="2765" t="s">
        <v>3079</v>
      </c>
      <c r="AL142" s="2765" t="s">
        <v>3079</v>
      </c>
      <c r="AM142" s="2765" t="s">
        <v>3079</v>
      </c>
      <c r="AN142" s="2765" t="s">
        <v>3079</v>
      </c>
      <c r="AO142" s="2766" t="s">
        <v>861</v>
      </c>
    </row>
    <row r="143" spans="1:41" ht="22.5" hidden="1" customHeight="1">
      <c r="A143" s="2759"/>
      <c r="B143" s="2765" t="s">
        <v>3079</v>
      </c>
      <c r="C143" s="2766" t="s">
        <v>3536</v>
      </c>
      <c r="D143" s="2766" t="s">
        <v>3087</v>
      </c>
      <c r="E143" s="2766" t="s">
        <v>3537</v>
      </c>
      <c r="F143" s="2766" t="s">
        <v>3478</v>
      </c>
      <c r="G143" s="2767">
        <v>37590</v>
      </c>
      <c r="H143" s="2767">
        <v>40985</v>
      </c>
      <c r="I143" s="2768">
        <v>285.72484560421998</v>
      </c>
      <c r="J143" s="2768">
        <v>76.180594538173295</v>
      </c>
      <c r="K143" s="2768">
        <v>4.4487831595521996</v>
      </c>
      <c r="L143" s="2765" t="s">
        <v>3079</v>
      </c>
      <c r="M143" s="2765" t="s">
        <v>3079</v>
      </c>
      <c r="N143" s="2765" t="s">
        <v>3079</v>
      </c>
      <c r="O143" s="2765" t="s">
        <v>3079</v>
      </c>
      <c r="P143" s="2765" t="s">
        <v>3079</v>
      </c>
      <c r="Q143" s="2765" t="s">
        <v>3079</v>
      </c>
      <c r="R143" s="2765" t="s">
        <v>3079</v>
      </c>
      <c r="S143" s="2765" t="s">
        <v>3079</v>
      </c>
      <c r="T143" s="2765" t="s">
        <v>3079</v>
      </c>
      <c r="U143" s="2765" t="s">
        <v>3079</v>
      </c>
      <c r="V143" s="2765" t="s">
        <v>3079</v>
      </c>
      <c r="W143" s="2765" t="s">
        <v>3079</v>
      </c>
      <c r="X143" s="2770" t="s">
        <v>13</v>
      </c>
      <c r="Y143" s="2767">
        <v>37590</v>
      </c>
      <c r="Z143" s="2768">
        <v>285.72484560421998</v>
      </c>
      <c r="AA143" s="2768">
        <v>76.180594538173295</v>
      </c>
      <c r="AB143" s="2768">
        <v>4.4487831595521996</v>
      </c>
      <c r="AC143" s="2765" t="s">
        <v>3079</v>
      </c>
      <c r="AD143" s="2765" t="s">
        <v>3079</v>
      </c>
      <c r="AE143" s="2765" t="s">
        <v>3079</v>
      </c>
      <c r="AF143" s="2765" t="s">
        <v>3079</v>
      </c>
      <c r="AG143" s="2765" t="s">
        <v>3079</v>
      </c>
      <c r="AH143" s="2765" t="s">
        <v>3079</v>
      </c>
      <c r="AI143" s="2765" t="s">
        <v>3079</v>
      </c>
      <c r="AJ143" s="2765" t="s">
        <v>3079</v>
      </c>
      <c r="AK143" s="2765" t="s">
        <v>3079</v>
      </c>
      <c r="AL143" s="2765" t="s">
        <v>3079</v>
      </c>
      <c r="AM143" s="2765" t="s">
        <v>3079</v>
      </c>
      <c r="AN143" s="2765" t="s">
        <v>3079</v>
      </c>
      <c r="AO143" s="2766" t="s">
        <v>861</v>
      </c>
    </row>
    <row r="144" spans="1:41" ht="22.5" hidden="1" customHeight="1">
      <c r="A144" s="2759"/>
      <c r="B144" s="2765" t="s">
        <v>3079</v>
      </c>
      <c r="C144" s="2766" t="s">
        <v>3538</v>
      </c>
      <c r="D144" s="2766" t="s">
        <v>3087</v>
      </c>
      <c r="E144" s="2766" t="s">
        <v>3539</v>
      </c>
      <c r="F144" s="2766" t="s">
        <v>3507</v>
      </c>
      <c r="G144" s="2767">
        <v>38749</v>
      </c>
      <c r="H144" s="2767">
        <v>40985</v>
      </c>
      <c r="I144" s="2768">
        <v>48.791925453032</v>
      </c>
      <c r="J144" s="2768">
        <v>44.8795118486481</v>
      </c>
      <c r="K144" s="2768">
        <v>0.60346853818716295</v>
      </c>
      <c r="L144" s="2765" t="s">
        <v>3079</v>
      </c>
      <c r="M144" s="2765" t="s">
        <v>3079</v>
      </c>
      <c r="N144" s="2765" t="s">
        <v>3079</v>
      </c>
      <c r="O144" s="2765" t="s">
        <v>3079</v>
      </c>
      <c r="P144" s="2765" t="s">
        <v>3079</v>
      </c>
      <c r="Q144" s="2765" t="s">
        <v>3079</v>
      </c>
      <c r="R144" s="2765" t="s">
        <v>3079</v>
      </c>
      <c r="S144" s="2765" t="s">
        <v>3079</v>
      </c>
      <c r="T144" s="2765" t="s">
        <v>3079</v>
      </c>
      <c r="U144" s="2765" t="s">
        <v>3079</v>
      </c>
      <c r="V144" s="2765" t="s">
        <v>3079</v>
      </c>
      <c r="W144" s="2765" t="s">
        <v>3079</v>
      </c>
      <c r="X144" s="2770" t="s">
        <v>13</v>
      </c>
      <c r="Y144" s="2767">
        <v>38749</v>
      </c>
      <c r="Z144" s="2768">
        <v>48.791925453032</v>
      </c>
      <c r="AA144" s="2768">
        <v>44.8795118486481</v>
      </c>
      <c r="AB144" s="2768">
        <v>0.60346853818716295</v>
      </c>
      <c r="AC144" s="2765" t="s">
        <v>3079</v>
      </c>
      <c r="AD144" s="2765" t="s">
        <v>3079</v>
      </c>
      <c r="AE144" s="2765" t="s">
        <v>3079</v>
      </c>
      <c r="AF144" s="2765" t="s">
        <v>3079</v>
      </c>
      <c r="AG144" s="2765" t="s">
        <v>3079</v>
      </c>
      <c r="AH144" s="2765" t="s">
        <v>3079</v>
      </c>
      <c r="AI144" s="2765" t="s">
        <v>3079</v>
      </c>
      <c r="AJ144" s="2765" t="s">
        <v>3079</v>
      </c>
      <c r="AK144" s="2765" t="s">
        <v>3079</v>
      </c>
      <c r="AL144" s="2765" t="s">
        <v>3079</v>
      </c>
      <c r="AM144" s="2765" t="s">
        <v>3079</v>
      </c>
      <c r="AN144" s="2765" t="s">
        <v>3079</v>
      </c>
      <c r="AO144" s="2766" t="s">
        <v>861</v>
      </c>
    </row>
    <row r="145" spans="1:41" ht="22.5" hidden="1" customHeight="1">
      <c r="A145" s="2759"/>
      <c r="B145" s="2765" t="s">
        <v>3079</v>
      </c>
      <c r="C145" s="2766" t="s">
        <v>3540</v>
      </c>
      <c r="D145" s="2766" t="s">
        <v>3541</v>
      </c>
      <c r="E145" s="2766" t="s">
        <v>3296</v>
      </c>
      <c r="F145" s="2766" t="s">
        <v>3297</v>
      </c>
      <c r="G145" s="2767">
        <v>41364</v>
      </c>
      <c r="H145" s="2765" t="s">
        <v>3079</v>
      </c>
      <c r="I145" s="2765" t="s">
        <v>3079</v>
      </c>
      <c r="J145" s="2765" t="s">
        <v>3079</v>
      </c>
      <c r="K145" s="2765" t="s">
        <v>3079</v>
      </c>
      <c r="L145" s="2768">
        <v>4.7529750159087198</v>
      </c>
      <c r="M145" s="2765" t="s">
        <v>3079</v>
      </c>
      <c r="N145" s="2765" t="s">
        <v>3079</v>
      </c>
      <c r="O145" s="2765" t="s">
        <v>3079</v>
      </c>
      <c r="P145" s="2765" t="s">
        <v>3079</v>
      </c>
      <c r="Q145" s="2765" t="s">
        <v>3079</v>
      </c>
      <c r="R145" s="2765" t="s">
        <v>3079</v>
      </c>
      <c r="S145" s="2765" t="s">
        <v>3079</v>
      </c>
      <c r="T145" s="2765" t="s">
        <v>3079</v>
      </c>
      <c r="U145" s="2765" t="s">
        <v>3079</v>
      </c>
      <c r="V145" s="2765" t="s">
        <v>3079</v>
      </c>
      <c r="W145" s="2765" t="s">
        <v>3079</v>
      </c>
      <c r="X145" s="2765" t="s">
        <v>3079</v>
      </c>
      <c r="Y145" s="2767">
        <v>41364</v>
      </c>
      <c r="Z145" s="2765" t="s">
        <v>3079</v>
      </c>
      <c r="AA145" s="2765" t="s">
        <v>3079</v>
      </c>
      <c r="AB145" s="2765" t="s">
        <v>3079</v>
      </c>
      <c r="AC145" s="2768">
        <v>4.7529750159087198</v>
      </c>
      <c r="AD145" s="2765" t="s">
        <v>3079</v>
      </c>
      <c r="AE145" s="2765" t="s">
        <v>3079</v>
      </c>
      <c r="AF145" s="2765" t="s">
        <v>3079</v>
      </c>
      <c r="AG145" s="2765" t="s">
        <v>3079</v>
      </c>
      <c r="AH145" s="2765" t="s">
        <v>3079</v>
      </c>
      <c r="AI145" s="2765" t="s">
        <v>3079</v>
      </c>
      <c r="AJ145" s="2765" t="s">
        <v>3079</v>
      </c>
      <c r="AK145" s="2765" t="s">
        <v>3079</v>
      </c>
      <c r="AL145" s="2765" t="s">
        <v>3079</v>
      </c>
      <c r="AM145" s="2765" t="s">
        <v>3079</v>
      </c>
      <c r="AN145" s="2765" t="s">
        <v>3079</v>
      </c>
      <c r="AO145" s="2766" t="s">
        <v>3533</v>
      </c>
    </row>
    <row r="146" spans="1:41" ht="22.5" hidden="1" customHeight="1">
      <c r="A146" s="2759"/>
      <c r="B146" s="2765" t="s">
        <v>3079</v>
      </c>
      <c r="C146" s="2766" t="s">
        <v>3542</v>
      </c>
      <c r="D146" s="2766" t="s">
        <v>3543</v>
      </c>
      <c r="E146" s="2766" t="s">
        <v>3544</v>
      </c>
      <c r="F146" s="2766" t="s">
        <v>3545</v>
      </c>
      <c r="G146" s="2767">
        <v>38111</v>
      </c>
      <c r="H146" s="2765" t="s">
        <v>3079</v>
      </c>
      <c r="I146" s="2768">
        <v>1</v>
      </c>
      <c r="J146" s="2768">
        <v>1</v>
      </c>
      <c r="K146" s="2768">
        <v>1</v>
      </c>
      <c r="L146" s="2768">
        <v>1</v>
      </c>
      <c r="M146" s="2768">
        <v>1</v>
      </c>
      <c r="N146" s="2768">
        <v>0.74794520547945198</v>
      </c>
      <c r="O146" s="2765" t="s">
        <v>3079</v>
      </c>
      <c r="P146" s="2765" t="s">
        <v>3079</v>
      </c>
      <c r="Q146" s="2765" t="s">
        <v>3079</v>
      </c>
      <c r="R146" s="2765" t="s">
        <v>3079</v>
      </c>
      <c r="S146" s="2765" t="s">
        <v>3079</v>
      </c>
      <c r="T146" s="2765" t="s">
        <v>3079</v>
      </c>
      <c r="U146" s="2765" t="s">
        <v>3079</v>
      </c>
      <c r="V146" s="2765" t="s">
        <v>3079</v>
      </c>
      <c r="W146" s="2765" t="s">
        <v>3079</v>
      </c>
      <c r="X146" s="2770" t="s">
        <v>13</v>
      </c>
      <c r="Y146" s="2767">
        <v>38111</v>
      </c>
      <c r="Z146" s="2768">
        <v>1</v>
      </c>
      <c r="AA146" s="2768">
        <v>1</v>
      </c>
      <c r="AB146" s="2768">
        <v>1</v>
      </c>
      <c r="AC146" s="2768">
        <v>1</v>
      </c>
      <c r="AD146" s="2768">
        <v>1</v>
      </c>
      <c r="AE146" s="2768">
        <v>0.74794520547945198</v>
      </c>
      <c r="AF146" s="2765" t="s">
        <v>3079</v>
      </c>
      <c r="AG146" s="2765" t="s">
        <v>3079</v>
      </c>
      <c r="AH146" s="2765" t="s">
        <v>3079</v>
      </c>
      <c r="AI146" s="2765" t="s">
        <v>3079</v>
      </c>
      <c r="AJ146" s="2765" t="s">
        <v>3079</v>
      </c>
      <c r="AK146" s="2765" t="s">
        <v>3079</v>
      </c>
      <c r="AL146" s="2765" t="s">
        <v>3079</v>
      </c>
      <c r="AM146" s="2765" t="s">
        <v>3079</v>
      </c>
      <c r="AN146" s="2765" t="s">
        <v>3079</v>
      </c>
      <c r="AO146" s="2766" t="s">
        <v>3533</v>
      </c>
    </row>
    <row r="147" spans="1:41" ht="12.75" hidden="1" customHeight="1">
      <c r="A147" s="2759"/>
      <c r="B147" s="2765" t="s">
        <v>3079</v>
      </c>
      <c r="C147" s="2766" t="s">
        <v>3546</v>
      </c>
      <c r="D147" s="2766" t="s">
        <v>3543</v>
      </c>
      <c r="E147" s="2766" t="s">
        <v>3381</v>
      </c>
      <c r="F147" s="2766" t="s">
        <v>3376</v>
      </c>
      <c r="G147" s="2767">
        <v>40065</v>
      </c>
      <c r="H147" s="2765" t="s">
        <v>3079</v>
      </c>
      <c r="I147" s="2768">
        <v>15.287000000000001</v>
      </c>
      <c r="J147" s="2768">
        <v>15.157</v>
      </c>
      <c r="K147" s="2768">
        <v>12</v>
      </c>
      <c r="L147" s="2768">
        <v>10</v>
      </c>
      <c r="M147" s="2768">
        <v>8</v>
      </c>
      <c r="N147" s="2768">
        <v>5.2356164383561596</v>
      </c>
      <c r="O147" s="2765" t="s">
        <v>3079</v>
      </c>
      <c r="P147" s="2765" t="s">
        <v>3079</v>
      </c>
      <c r="Q147" s="2765" t="s">
        <v>3079</v>
      </c>
      <c r="R147" s="2765" t="s">
        <v>3079</v>
      </c>
      <c r="S147" s="2765" t="s">
        <v>3079</v>
      </c>
      <c r="T147" s="2765" t="s">
        <v>3079</v>
      </c>
      <c r="U147" s="2765" t="s">
        <v>3079</v>
      </c>
      <c r="V147" s="2765" t="s">
        <v>3079</v>
      </c>
      <c r="W147" s="2765" t="s">
        <v>3079</v>
      </c>
      <c r="X147" s="2770" t="s">
        <v>13</v>
      </c>
      <c r="Y147" s="2767">
        <v>40065</v>
      </c>
      <c r="Z147" s="2768">
        <v>15.287000000000001</v>
      </c>
      <c r="AA147" s="2768">
        <v>15.157</v>
      </c>
      <c r="AB147" s="2768">
        <v>12</v>
      </c>
      <c r="AC147" s="2768">
        <v>10</v>
      </c>
      <c r="AD147" s="2768">
        <v>8</v>
      </c>
      <c r="AE147" s="2768">
        <v>5.2356164383561596</v>
      </c>
      <c r="AF147" s="2765" t="s">
        <v>3079</v>
      </c>
      <c r="AG147" s="2765" t="s">
        <v>3079</v>
      </c>
      <c r="AH147" s="2765" t="s">
        <v>3079</v>
      </c>
      <c r="AI147" s="2765" t="s">
        <v>3079</v>
      </c>
      <c r="AJ147" s="2765" t="s">
        <v>3079</v>
      </c>
      <c r="AK147" s="2765" t="s">
        <v>3079</v>
      </c>
      <c r="AL147" s="2765" t="s">
        <v>3079</v>
      </c>
      <c r="AM147" s="2765" t="s">
        <v>3079</v>
      </c>
      <c r="AN147" s="2765" t="s">
        <v>3079</v>
      </c>
      <c r="AO147" s="2766" t="s">
        <v>3533</v>
      </c>
    </row>
    <row r="148" spans="1:41" ht="12.75" hidden="1" customHeight="1">
      <c r="A148" s="2759"/>
      <c r="B148" s="2765" t="s">
        <v>3079</v>
      </c>
      <c r="C148" s="2766" t="s">
        <v>3497</v>
      </c>
      <c r="D148" s="2766" t="s">
        <v>3547</v>
      </c>
      <c r="E148" s="2766" t="s">
        <v>3278</v>
      </c>
      <c r="F148" s="2766" t="s">
        <v>3279</v>
      </c>
      <c r="G148" s="2767">
        <v>38027</v>
      </c>
      <c r="H148" s="2765" t="s">
        <v>3079</v>
      </c>
      <c r="I148" s="2768">
        <v>3.99994059892229</v>
      </c>
      <c r="J148" s="2768">
        <v>4.0002573527590801</v>
      </c>
      <c r="K148" s="2768">
        <v>4.0004853649485597</v>
      </c>
      <c r="L148" s="2768">
        <v>5.0466207182945704</v>
      </c>
      <c r="M148" s="2768">
        <v>4.0431424172550798</v>
      </c>
      <c r="N148" s="2765" t="s">
        <v>3079</v>
      </c>
      <c r="O148" s="2765" t="s">
        <v>3079</v>
      </c>
      <c r="P148" s="2765" t="s">
        <v>3079</v>
      </c>
      <c r="Q148" s="2765" t="s">
        <v>3079</v>
      </c>
      <c r="R148" s="2765" t="s">
        <v>3079</v>
      </c>
      <c r="S148" s="2765" t="s">
        <v>3079</v>
      </c>
      <c r="T148" s="2765" t="s">
        <v>3079</v>
      </c>
      <c r="U148" s="2765" t="s">
        <v>3079</v>
      </c>
      <c r="V148" s="2765" t="s">
        <v>3079</v>
      </c>
      <c r="W148" s="2765" t="s">
        <v>3079</v>
      </c>
      <c r="X148" s="2770" t="s">
        <v>13</v>
      </c>
      <c r="Y148" s="2767">
        <v>38027</v>
      </c>
      <c r="Z148" s="2768">
        <v>3.99994059892229</v>
      </c>
      <c r="AA148" s="2768">
        <v>4.0002573527590801</v>
      </c>
      <c r="AB148" s="2768">
        <v>4.0004853649485597</v>
      </c>
      <c r="AC148" s="2768">
        <v>5.0466207182945704</v>
      </c>
      <c r="AD148" s="2768">
        <v>4.0431424172550798</v>
      </c>
      <c r="AE148" s="2765" t="s">
        <v>3079</v>
      </c>
      <c r="AF148" s="2765" t="s">
        <v>3079</v>
      </c>
      <c r="AG148" s="2765" t="s">
        <v>3079</v>
      </c>
      <c r="AH148" s="2765" t="s">
        <v>3079</v>
      </c>
      <c r="AI148" s="2765" t="s">
        <v>3079</v>
      </c>
      <c r="AJ148" s="2765" t="s">
        <v>3079</v>
      </c>
      <c r="AK148" s="2765" t="s">
        <v>3079</v>
      </c>
      <c r="AL148" s="2765" t="s">
        <v>3079</v>
      </c>
      <c r="AM148" s="2765" t="s">
        <v>3079</v>
      </c>
      <c r="AN148" s="2765" t="s">
        <v>3079</v>
      </c>
      <c r="AO148" s="2766" t="s">
        <v>3533</v>
      </c>
    </row>
    <row r="149" spans="1:41" ht="12.75" hidden="1" customHeight="1">
      <c r="A149" s="2759"/>
      <c r="B149" s="2765" t="s">
        <v>3079</v>
      </c>
      <c r="C149" s="2766" t="s">
        <v>3383</v>
      </c>
      <c r="D149" s="2766" t="s">
        <v>3548</v>
      </c>
      <c r="E149" s="2766" t="s">
        <v>3278</v>
      </c>
      <c r="F149" s="2766" t="s">
        <v>3279</v>
      </c>
      <c r="G149" s="2767">
        <v>38685</v>
      </c>
      <c r="H149" s="2767">
        <v>42402</v>
      </c>
      <c r="I149" s="2768">
        <v>45.521000000000001</v>
      </c>
      <c r="J149" s="2768">
        <v>40.656999999999996</v>
      </c>
      <c r="K149" s="2765" t="s">
        <v>3079</v>
      </c>
      <c r="L149" s="2765" t="s">
        <v>3079</v>
      </c>
      <c r="M149" s="2765" t="s">
        <v>3079</v>
      </c>
      <c r="N149" s="2765" t="s">
        <v>3079</v>
      </c>
      <c r="O149" s="2765" t="s">
        <v>3079</v>
      </c>
      <c r="P149" s="2765" t="s">
        <v>3079</v>
      </c>
      <c r="Q149" s="2765" t="s">
        <v>3079</v>
      </c>
      <c r="R149" s="2765" t="s">
        <v>3079</v>
      </c>
      <c r="S149" s="2765" t="s">
        <v>3079</v>
      </c>
      <c r="T149" s="2765" t="s">
        <v>3079</v>
      </c>
      <c r="U149" s="2765" t="s">
        <v>3079</v>
      </c>
      <c r="V149" s="2765" t="s">
        <v>3079</v>
      </c>
      <c r="W149" s="2765" t="s">
        <v>3079</v>
      </c>
      <c r="X149" s="2770" t="s">
        <v>13</v>
      </c>
      <c r="Y149" s="2767">
        <v>38685</v>
      </c>
      <c r="Z149" s="2768">
        <v>45.521000000000001</v>
      </c>
      <c r="AA149" s="2768">
        <v>40.656999999999996</v>
      </c>
      <c r="AB149" s="2765" t="s">
        <v>3079</v>
      </c>
      <c r="AC149" s="2765" t="s">
        <v>3079</v>
      </c>
      <c r="AD149" s="2765" t="s">
        <v>3079</v>
      </c>
      <c r="AE149" s="2765" t="s">
        <v>3079</v>
      </c>
      <c r="AF149" s="2765" t="s">
        <v>3079</v>
      </c>
      <c r="AG149" s="2765" t="s">
        <v>3079</v>
      </c>
      <c r="AH149" s="2765" t="s">
        <v>3079</v>
      </c>
      <c r="AI149" s="2765" t="s">
        <v>3079</v>
      </c>
      <c r="AJ149" s="2765" t="s">
        <v>3079</v>
      </c>
      <c r="AK149" s="2765" t="s">
        <v>3079</v>
      </c>
      <c r="AL149" s="2765" t="s">
        <v>3079</v>
      </c>
      <c r="AM149" s="2765" t="s">
        <v>3079</v>
      </c>
      <c r="AN149" s="2765" t="s">
        <v>3079</v>
      </c>
      <c r="AO149" s="2766" t="s">
        <v>861</v>
      </c>
    </row>
    <row r="150" spans="1:41" ht="12.75" hidden="1" customHeight="1">
      <c r="A150" s="2759"/>
      <c r="B150" s="2765" t="s">
        <v>3079</v>
      </c>
      <c r="C150" s="2766" t="s">
        <v>3383</v>
      </c>
      <c r="D150" s="2766" t="s">
        <v>3549</v>
      </c>
      <c r="E150" s="2766" t="s">
        <v>3278</v>
      </c>
      <c r="F150" s="2766" t="s">
        <v>3279</v>
      </c>
      <c r="G150" s="2767">
        <v>38966</v>
      </c>
      <c r="H150" s="2767">
        <v>45739</v>
      </c>
      <c r="I150" s="2765" t="s">
        <v>3079</v>
      </c>
      <c r="J150" s="2765" t="s">
        <v>3079</v>
      </c>
      <c r="K150" s="2765" t="s">
        <v>3079</v>
      </c>
      <c r="L150" s="2765" t="s">
        <v>3079</v>
      </c>
      <c r="M150" s="2768">
        <v>278.45440000000002</v>
      </c>
      <c r="N150" s="2768">
        <v>32.267625000000002</v>
      </c>
      <c r="O150" s="2765" t="s">
        <v>3079</v>
      </c>
      <c r="P150" s="2765" t="s">
        <v>3079</v>
      </c>
      <c r="Q150" s="2765" t="s">
        <v>3079</v>
      </c>
      <c r="R150" s="2765" t="s">
        <v>3079</v>
      </c>
      <c r="S150" s="2765" t="s">
        <v>3079</v>
      </c>
      <c r="T150" s="2765" t="s">
        <v>3079</v>
      </c>
      <c r="U150" s="2765" t="s">
        <v>3079</v>
      </c>
      <c r="V150" s="2765" t="s">
        <v>3079</v>
      </c>
      <c r="W150" s="2765" t="s">
        <v>3079</v>
      </c>
      <c r="X150" s="2765" t="s">
        <v>3079</v>
      </c>
      <c r="Y150" s="2767">
        <v>38966</v>
      </c>
      <c r="Z150" s="2765" t="s">
        <v>3079</v>
      </c>
      <c r="AA150" s="2765" t="s">
        <v>3079</v>
      </c>
      <c r="AB150" s="2765" t="s">
        <v>3079</v>
      </c>
      <c r="AC150" s="2765" t="s">
        <v>3079</v>
      </c>
      <c r="AD150" s="2768">
        <v>278.45440000000002</v>
      </c>
      <c r="AE150" s="2768">
        <v>32.267625000000002</v>
      </c>
      <c r="AF150" s="2765" t="s">
        <v>3079</v>
      </c>
      <c r="AG150" s="2765" t="s">
        <v>3079</v>
      </c>
      <c r="AH150" s="2765" t="s">
        <v>3079</v>
      </c>
      <c r="AI150" s="2765" t="s">
        <v>3079</v>
      </c>
      <c r="AJ150" s="2765" t="s">
        <v>3079</v>
      </c>
      <c r="AK150" s="2765" t="s">
        <v>3079</v>
      </c>
      <c r="AL150" s="2765" t="s">
        <v>3079</v>
      </c>
      <c r="AM150" s="2765" t="s">
        <v>3079</v>
      </c>
      <c r="AN150" s="2765" t="s">
        <v>3079</v>
      </c>
      <c r="AO150" s="2766" t="s">
        <v>3533</v>
      </c>
    </row>
    <row r="151" spans="1:41" ht="12.75" hidden="1" customHeight="1">
      <c r="A151" s="2759"/>
      <c r="B151" s="2765" t="s">
        <v>3079</v>
      </c>
      <c r="C151" s="2766" t="s">
        <v>3550</v>
      </c>
      <c r="D151" s="2766" t="s">
        <v>3549</v>
      </c>
      <c r="E151" s="2766" t="s">
        <v>3551</v>
      </c>
      <c r="F151" s="2766" t="s">
        <v>3552</v>
      </c>
      <c r="G151" s="2767">
        <v>40497</v>
      </c>
      <c r="H151" s="2767">
        <v>42045</v>
      </c>
      <c r="I151" s="2765" t="s">
        <v>3079</v>
      </c>
      <c r="J151" s="2765" t="s">
        <v>3079</v>
      </c>
      <c r="K151" s="2765" t="s">
        <v>3079</v>
      </c>
      <c r="L151" s="2765" t="s">
        <v>3079</v>
      </c>
      <c r="M151" s="2768">
        <v>29.630600000000001</v>
      </c>
      <c r="N151" s="2768">
        <v>9.5539206896551701</v>
      </c>
      <c r="O151" s="2765" t="s">
        <v>3079</v>
      </c>
      <c r="P151" s="2765" t="s">
        <v>3079</v>
      </c>
      <c r="Q151" s="2765" t="s">
        <v>3079</v>
      </c>
      <c r="R151" s="2765" t="s">
        <v>3079</v>
      </c>
      <c r="S151" s="2765" t="s">
        <v>3079</v>
      </c>
      <c r="T151" s="2765" t="s">
        <v>3079</v>
      </c>
      <c r="U151" s="2765" t="s">
        <v>3079</v>
      </c>
      <c r="V151" s="2765" t="s">
        <v>3079</v>
      </c>
      <c r="W151" s="2765" t="s">
        <v>3079</v>
      </c>
      <c r="X151" s="2765" t="s">
        <v>3079</v>
      </c>
      <c r="Y151" s="2767">
        <v>40497</v>
      </c>
      <c r="Z151" s="2765" t="s">
        <v>3079</v>
      </c>
      <c r="AA151" s="2765" t="s">
        <v>3079</v>
      </c>
      <c r="AB151" s="2765" t="s">
        <v>3079</v>
      </c>
      <c r="AC151" s="2765" t="s">
        <v>3079</v>
      </c>
      <c r="AD151" s="2768">
        <v>29.630600000000001</v>
      </c>
      <c r="AE151" s="2768">
        <v>9.5539206896551701</v>
      </c>
      <c r="AF151" s="2765" t="s">
        <v>3079</v>
      </c>
      <c r="AG151" s="2765" t="s">
        <v>3079</v>
      </c>
      <c r="AH151" s="2765" t="s">
        <v>3079</v>
      </c>
      <c r="AI151" s="2765" t="s">
        <v>3079</v>
      </c>
      <c r="AJ151" s="2765" t="s">
        <v>3079</v>
      </c>
      <c r="AK151" s="2765" t="s">
        <v>3079</v>
      </c>
      <c r="AL151" s="2765" t="s">
        <v>3079</v>
      </c>
      <c r="AM151" s="2765" t="s">
        <v>3079</v>
      </c>
      <c r="AN151" s="2765" t="s">
        <v>3079</v>
      </c>
      <c r="AO151" s="2766" t="s">
        <v>3533</v>
      </c>
    </row>
    <row r="152" spans="1:41" ht="22.5" hidden="1" customHeight="1">
      <c r="A152" s="2759"/>
      <c r="B152" s="2765" t="s">
        <v>3079</v>
      </c>
      <c r="C152" s="2766" t="s">
        <v>3295</v>
      </c>
      <c r="D152" s="2766" t="s">
        <v>3553</v>
      </c>
      <c r="E152" s="2766" t="s">
        <v>3296</v>
      </c>
      <c r="F152" s="2766" t="s">
        <v>3297</v>
      </c>
      <c r="G152" s="2767">
        <v>39903</v>
      </c>
      <c r="H152" s="2765" t="s">
        <v>3079</v>
      </c>
      <c r="I152" s="2768">
        <v>1.8578435067285901</v>
      </c>
      <c r="J152" s="2768">
        <v>2.0460606366861298</v>
      </c>
      <c r="K152" s="2768">
        <v>1.9846124192013701</v>
      </c>
      <c r="L152" s="2768">
        <v>2.1529389017099199</v>
      </c>
      <c r="M152" s="2768">
        <v>2.2607451612895999</v>
      </c>
      <c r="N152" s="2768">
        <v>0.74949004233875505</v>
      </c>
      <c r="O152" s="2765" t="s">
        <v>3079</v>
      </c>
      <c r="P152" s="2765" t="s">
        <v>3079</v>
      </c>
      <c r="Q152" s="2765" t="s">
        <v>3079</v>
      </c>
      <c r="R152" s="2765" t="s">
        <v>3079</v>
      </c>
      <c r="S152" s="2765" t="s">
        <v>3079</v>
      </c>
      <c r="T152" s="2765" t="s">
        <v>3079</v>
      </c>
      <c r="U152" s="2765" t="s">
        <v>3079</v>
      </c>
      <c r="V152" s="2765" t="s">
        <v>3079</v>
      </c>
      <c r="W152" s="2765" t="s">
        <v>3079</v>
      </c>
      <c r="X152" s="2770" t="s">
        <v>13</v>
      </c>
      <c r="Y152" s="2767">
        <v>39903</v>
      </c>
      <c r="Z152" s="2768">
        <v>1.8578435067285901</v>
      </c>
      <c r="AA152" s="2768">
        <v>2.0460606366861298</v>
      </c>
      <c r="AB152" s="2768">
        <v>1.9846124192013701</v>
      </c>
      <c r="AC152" s="2768">
        <v>2.1529389017099199</v>
      </c>
      <c r="AD152" s="2768">
        <v>2.2607451612895999</v>
      </c>
      <c r="AE152" s="2768">
        <v>0.74949004233875505</v>
      </c>
      <c r="AF152" s="2765" t="s">
        <v>3079</v>
      </c>
      <c r="AG152" s="2765" t="s">
        <v>3079</v>
      </c>
      <c r="AH152" s="2765" t="s">
        <v>3079</v>
      </c>
      <c r="AI152" s="2765" t="s">
        <v>3079</v>
      </c>
      <c r="AJ152" s="2765" t="s">
        <v>3079</v>
      </c>
      <c r="AK152" s="2765" t="s">
        <v>3079</v>
      </c>
      <c r="AL152" s="2765" t="s">
        <v>3079</v>
      </c>
      <c r="AM152" s="2765" t="s">
        <v>3079</v>
      </c>
      <c r="AN152" s="2765" t="s">
        <v>3079</v>
      </c>
      <c r="AO152" s="2766" t="s">
        <v>3533</v>
      </c>
    </row>
    <row r="153" spans="1:41" ht="12.75" hidden="1" customHeight="1">
      <c r="A153" s="2759"/>
      <c r="B153" s="2765" t="s">
        <v>3079</v>
      </c>
      <c r="C153" s="2766" t="s">
        <v>3288</v>
      </c>
      <c r="D153" s="2766" t="s">
        <v>3553</v>
      </c>
      <c r="E153" s="2766" t="s">
        <v>3290</v>
      </c>
      <c r="F153" s="2766" t="s">
        <v>3258</v>
      </c>
      <c r="G153" s="2767">
        <v>39903</v>
      </c>
      <c r="H153" s="2765" t="s">
        <v>3079</v>
      </c>
      <c r="I153" s="2768">
        <v>1.3270310762347099</v>
      </c>
      <c r="J153" s="2768">
        <v>1.46147188334724</v>
      </c>
      <c r="K153" s="2768">
        <v>1.4175802994295501</v>
      </c>
      <c r="L153" s="2768">
        <v>1.5378135012213701</v>
      </c>
      <c r="M153" s="2768">
        <v>1.61481797234972</v>
      </c>
      <c r="N153" s="2768">
        <v>0.53535003024196803</v>
      </c>
      <c r="O153" s="2765" t="s">
        <v>3079</v>
      </c>
      <c r="P153" s="2765" t="s">
        <v>3079</v>
      </c>
      <c r="Q153" s="2765" t="s">
        <v>3079</v>
      </c>
      <c r="R153" s="2765" t="s">
        <v>3079</v>
      </c>
      <c r="S153" s="2765" t="s">
        <v>3079</v>
      </c>
      <c r="T153" s="2765" t="s">
        <v>3079</v>
      </c>
      <c r="U153" s="2765" t="s">
        <v>3079</v>
      </c>
      <c r="V153" s="2765" t="s">
        <v>3079</v>
      </c>
      <c r="W153" s="2765" t="s">
        <v>3079</v>
      </c>
      <c r="X153" s="2770" t="s">
        <v>13</v>
      </c>
      <c r="Y153" s="2767">
        <v>39903</v>
      </c>
      <c r="Z153" s="2768">
        <v>1.3270310762347099</v>
      </c>
      <c r="AA153" s="2768">
        <v>1.46147188334724</v>
      </c>
      <c r="AB153" s="2768">
        <v>1.4175802994295501</v>
      </c>
      <c r="AC153" s="2768">
        <v>1.5378135012213701</v>
      </c>
      <c r="AD153" s="2768">
        <v>1.61481797234972</v>
      </c>
      <c r="AE153" s="2768">
        <v>0.53535003024196803</v>
      </c>
      <c r="AF153" s="2765" t="s">
        <v>3079</v>
      </c>
      <c r="AG153" s="2765" t="s">
        <v>3079</v>
      </c>
      <c r="AH153" s="2765" t="s">
        <v>3079</v>
      </c>
      <c r="AI153" s="2765" t="s">
        <v>3079</v>
      </c>
      <c r="AJ153" s="2765" t="s">
        <v>3079</v>
      </c>
      <c r="AK153" s="2765" t="s">
        <v>3079</v>
      </c>
      <c r="AL153" s="2765" t="s">
        <v>3079</v>
      </c>
      <c r="AM153" s="2765" t="s">
        <v>3079</v>
      </c>
      <c r="AN153" s="2765" t="s">
        <v>3079</v>
      </c>
      <c r="AO153" s="2766" t="s">
        <v>3533</v>
      </c>
    </row>
    <row r="154" spans="1:41" ht="12.75" hidden="1" customHeight="1">
      <c r="A154" s="2759"/>
      <c r="B154" s="2765" t="s">
        <v>3079</v>
      </c>
      <c r="C154" s="2766" t="s">
        <v>3383</v>
      </c>
      <c r="D154" s="2766" t="s">
        <v>3554</v>
      </c>
      <c r="E154" s="2766" t="s">
        <v>3278</v>
      </c>
      <c r="F154" s="2766" t="s">
        <v>3279</v>
      </c>
      <c r="G154" s="2767">
        <v>38966</v>
      </c>
      <c r="H154" s="2767">
        <v>45739</v>
      </c>
      <c r="I154" s="2765" t="s">
        <v>3079</v>
      </c>
      <c r="J154" s="2768">
        <v>36.365000000000002</v>
      </c>
      <c r="K154" s="2768">
        <v>144.99700000000001</v>
      </c>
      <c r="L154" s="2768">
        <v>180.05250000000001</v>
      </c>
      <c r="M154" s="2765" t="s">
        <v>3079</v>
      </c>
      <c r="N154" s="2765" t="s">
        <v>3079</v>
      </c>
      <c r="O154" s="2765" t="s">
        <v>3079</v>
      </c>
      <c r="P154" s="2765" t="s">
        <v>3079</v>
      </c>
      <c r="Q154" s="2765" t="s">
        <v>3079</v>
      </c>
      <c r="R154" s="2765" t="s">
        <v>3079</v>
      </c>
      <c r="S154" s="2765" t="s">
        <v>3079</v>
      </c>
      <c r="T154" s="2765" t="s">
        <v>3079</v>
      </c>
      <c r="U154" s="2765" t="s">
        <v>3079</v>
      </c>
      <c r="V154" s="2765" t="s">
        <v>3079</v>
      </c>
      <c r="W154" s="2765" t="s">
        <v>3079</v>
      </c>
      <c r="X154" s="2765" t="s">
        <v>3079</v>
      </c>
      <c r="Y154" s="2767">
        <v>38966</v>
      </c>
      <c r="Z154" s="2765" t="s">
        <v>3079</v>
      </c>
      <c r="AA154" s="2768">
        <v>36.365000000000002</v>
      </c>
      <c r="AB154" s="2768">
        <v>144.99700000000001</v>
      </c>
      <c r="AC154" s="2768">
        <v>180.05250000000001</v>
      </c>
      <c r="AD154" s="2765" t="s">
        <v>3079</v>
      </c>
      <c r="AE154" s="2765" t="s">
        <v>3079</v>
      </c>
      <c r="AF154" s="2765" t="s">
        <v>3079</v>
      </c>
      <c r="AG154" s="2765" t="s">
        <v>3079</v>
      </c>
      <c r="AH154" s="2765" t="s">
        <v>3079</v>
      </c>
      <c r="AI154" s="2765" t="s">
        <v>3079</v>
      </c>
      <c r="AJ154" s="2765" t="s">
        <v>3079</v>
      </c>
      <c r="AK154" s="2765" t="s">
        <v>3079</v>
      </c>
      <c r="AL154" s="2765" t="s">
        <v>3079</v>
      </c>
      <c r="AM154" s="2765" t="s">
        <v>3079</v>
      </c>
      <c r="AN154" s="2765" t="s">
        <v>3079</v>
      </c>
      <c r="AO154" s="2766" t="s">
        <v>3533</v>
      </c>
    </row>
    <row r="155" spans="1:41" ht="12.75" hidden="1" customHeight="1">
      <c r="A155" s="2759"/>
      <c r="B155" s="2765" t="s">
        <v>3079</v>
      </c>
      <c r="C155" s="2766" t="s">
        <v>3550</v>
      </c>
      <c r="D155" s="2766" t="s">
        <v>3554</v>
      </c>
      <c r="E155" s="2766" t="s">
        <v>3551</v>
      </c>
      <c r="F155" s="2766" t="s">
        <v>3552</v>
      </c>
      <c r="G155" s="2767">
        <v>40497</v>
      </c>
      <c r="H155" s="2767">
        <v>42045</v>
      </c>
      <c r="I155" s="2768">
        <v>0.7</v>
      </c>
      <c r="J155" s="2768">
        <v>8.6</v>
      </c>
      <c r="K155" s="2768">
        <v>14.5</v>
      </c>
      <c r="L155" s="2768">
        <v>17.093</v>
      </c>
      <c r="M155" s="2765" t="s">
        <v>3079</v>
      </c>
      <c r="N155" s="2765" t="s">
        <v>3079</v>
      </c>
      <c r="O155" s="2765" t="s">
        <v>3079</v>
      </c>
      <c r="P155" s="2765" t="s">
        <v>3079</v>
      </c>
      <c r="Q155" s="2765" t="s">
        <v>3079</v>
      </c>
      <c r="R155" s="2765" t="s">
        <v>3079</v>
      </c>
      <c r="S155" s="2765" t="s">
        <v>3079</v>
      </c>
      <c r="T155" s="2765" t="s">
        <v>3079</v>
      </c>
      <c r="U155" s="2765" t="s">
        <v>3079</v>
      </c>
      <c r="V155" s="2765" t="s">
        <v>3079</v>
      </c>
      <c r="W155" s="2765" t="s">
        <v>3079</v>
      </c>
      <c r="X155" s="2770" t="s">
        <v>13</v>
      </c>
      <c r="Y155" s="2767">
        <v>40497</v>
      </c>
      <c r="Z155" s="2768">
        <v>0.7</v>
      </c>
      <c r="AA155" s="2768">
        <v>8.6</v>
      </c>
      <c r="AB155" s="2768">
        <v>14.5</v>
      </c>
      <c r="AC155" s="2768">
        <v>17.093</v>
      </c>
      <c r="AD155" s="2765" t="s">
        <v>3079</v>
      </c>
      <c r="AE155" s="2765" t="s">
        <v>3079</v>
      </c>
      <c r="AF155" s="2765" t="s">
        <v>3079</v>
      </c>
      <c r="AG155" s="2765" t="s">
        <v>3079</v>
      </c>
      <c r="AH155" s="2765" t="s">
        <v>3079</v>
      </c>
      <c r="AI155" s="2765" t="s">
        <v>3079</v>
      </c>
      <c r="AJ155" s="2765" t="s">
        <v>3079</v>
      </c>
      <c r="AK155" s="2765" t="s">
        <v>3079</v>
      </c>
      <c r="AL155" s="2765" t="s">
        <v>3079</v>
      </c>
      <c r="AM155" s="2765" t="s">
        <v>3079</v>
      </c>
      <c r="AN155" s="2765" t="s">
        <v>3079</v>
      </c>
      <c r="AO155" s="2766" t="s">
        <v>3533</v>
      </c>
    </row>
    <row r="156" spans="1:41" ht="12.75" hidden="1" customHeight="1">
      <c r="A156" s="2759"/>
      <c r="B156" s="2765" t="s">
        <v>3079</v>
      </c>
      <c r="C156" s="2766" t="s">
        <v>3431</v>
      </c>
      <c r="D156" s="2766" t="s">
        <v>3115</v>
      </c>
      <c r="E156" s="2766" t="s">
        <v>3328</v>
      </c>
      <c r="F156" s="2766" t="s">
        <v>3319</v>
      </c>
      <c r="G156" s="2767">
        <v>40543</v>
      </c>
      <c r="H156" s="2765" t="s">
        <v>3079</v>
      </c>
      <c r="I156" s="2765" t="s">
        <v>3079</v>
      </c>
      <c r="J156" s="2765" t="s">
        <v>3079</v>
      </c>
      <c r="K156" s="2768">
        <v>0.20308721915826</v>
      </c>
      <c r="L156" s="2765" t="s">
        <v>3079</v>
      </c>
      <c r="M156" s="2765" t="s">
        <v>3079</v>
      </c>
      <c r="N156" s="2765" t="s">
        <v>3079</v>
      </c>
      <c r="O156" s="2765" t="s">
        <v>3079</v>
      </c>
      <c r="P156" s="2765" t="s">
        <v>3079</v>
      </c>
      <c r="Q156" s="2765" t="s">
        <v>3079</v>
      </c>
      <c r="R156" s="2765" t="s">
        <v>3079</v>
      </c>
      <c r="S156" s="2765" t="s">
        <v>3079</v>
      </c>
      <c r="T156" s="2765" t="s">
        <v>3079</v>
      </c>
      <c r="U156" s="2765" t="s">
        <v>3079</v>
      </c>
      <c r="V156" s="2765" t="s">
        <v>3079</v>
      </c>
      <c r="W156" s="2765" t="s">
        <v>3079</v>
      </c>
      <c r="X156" s="2765" t="s">
        <v>3079</v>
      </c>
      <c r="Y156" s="2767">
        <v>40543</v>
      </c>
      <c r="Z156" s="2765" t="s">
        <v>3079</v>
      </c>
      <c r="AA156" s="2765" t="s">
        <v>3079</v>
      </c>
      <c r="AB156" s="2768">
        <v>0.20308721915826</v>
      </c>
      <c r="AC156" s="2765" t="s">
        <v>3079</v>
      </c>
      <c r="AD156" s="2765" t="s">
        <v>3079</v>
      </c>
      <c r="AE156" s="2765" t="s">
        <v>3079</v>
      </c>
      <c r="AF156" s="2765" t="s">
        <v>3079</v>
      </c>
      <c r="AG156" s="2765" t="s">
        <v>3079</v>
      </c>
      <c r="AH156" s="2765" t="s">
        <v>3079</v>
      </c>
      <c r="AI156" s="2765" t="s">
        <v>3079</v>
      </c>
      <c r="AJ156" s="2765" t="s">
        <v>3079</v>
      </c>
      <c r="AK156" s="2765" t="s">
        <v>3079</v>
      </c>
      <c r="AL156" s="2765" t="s">
        <v>3079</v>
      </c>
      <c r="AM156" s="2765" t="s">
        <v>3079</v>
      </c>
      <c r="AN156" s="2765" t="s">
        <v>3079</v>
      </c>
      <c r="AO156" s="2766" t="s">
        <v>861</v>
      </c>
    </row>
    <row r="157" spans="1:41" ht="22.5" hidden="1" customHeight="1">
      <c r="A157" s="2759"/>
      <c r="B157" s="2765" t="s">
        <v>3079</v>
      </c>
      <c r="C157" s="2766" t="s">
        <v>3555</v>
      </c>
      <c r="D157" s="2766" t="s">
        <v>3115</v>
      </c>
      <c r="E157" s="2766" t="s">
        <v>3556</v>
      </c>
      <c r="F157" s="2766" t="s">
        <v>3545</v>
      </c>
      <c r="G157" s="2767">
        <v>40786</v>
      </c>
      <c r="H157" s="2765" t="s">
        <v>3079</v>
      </c>
      <c r="I157" s="2765" t="s">
        <v>3079</v>
      </c>
      <c r="J157" s="2768">
        <v>0.92195150284543304</v>
      </c>
      <c r="K157" s="2768">
        <v>4.3486453753093999</v>
      </c>
      <c r="L157" s="2765" t="s">
        <v>3079</v>
      </c>
      <c r="M157" s="2765" t="s">
        <v>3079</v>
      </c>
      <c r="N157" s="2765" t="s">
        <v>3079</v>
      </c>
      <c r="O157" s="2765" t="s">
        <v>3079</v>
      </c>
      <c r="P157" s="2765" t="s">
        <v>3079</v>
      </c>
      <c r="Q157" s="2765" t="s">
        <v>3079</v>
      </c>
      <c r="R157" s="2765" t="s">
        <v>3079</v>
      </c>
      <c r="S157" s="2765" t="s">
        <v>3079</v>
      </c>
      <c r="T157" s="2765" t="s">
        <v>3079</v>
      </c>
      <c r="U157" s="2765" t="s">
        <v>3079</v>
      </c>
      <c r="V157" s="2765" t="s">
        <v>3079</v>
      </c>
      <c r="W157" s="2765" t="s">
        <v>3079</v>
      </c>
      <c r="X157" s="2765" t="s">
        <v>3079</v>
      </c>
      <c r="Y157" s="2767">
        <v>40786</v>
      </c>
      <c r="Z157" s="2765" t="s">
        <v>3079</v>
      </c>
      <c r="AA157" s="2768">
        <v>0.92195150284543304</v>
      </c>
      <c r="AB157" s="2768">
        <v>4.3486453753093999</v>
      </c>
      <c r="AC157" s="2765" t="s">
        <v>3079</v>
      </c>
      <c r="AD157" s="2765" t="s">
        <v>3079</v>
      </c>
      <c r="AE157" s="2765" t="s">
        <v>3079</v>
      </c>
      <c r="AF157" s="2765" t="s">
        <v>3079</v>
      </c>
      <c r="AG157" s="2765" t="s">
        <v>3079</v>
      </c>
      <c r="AH157" s="2765" t="s">
        <v>3079</v>
      </c>
      <c r="AI157" s="2765" t="s">
        <v>3079</v>
      </c>
      <c r="AJ157" s="2765" t="s">
        <v>3079</v>
      </c>
      <c r="AK157" s="2765" t="s">
        <v>3079</v>
      </c>
      <c r="AL157" s="2765" t="s">
        <v>3079</v>
      </c>
      <c r="AM157" s="2765" t="s">
        <v>3079</v>
      </c>
      <c r="AN157" s="2765" t="s">
        <v>3079</v>
      </c>
      <c r="AO157" s="2766" t="s">
        <v>861</v>
      </c>
    </row>
    <row r="158" spans="1:41" ht="12.75" hidden="1" customHeight="1">
      <c r="A158" s="2759"/>
      <c r="B158" s="2765" t="s">
        <v>3079</v>
      </c>
      <c r="C158" s="2766" t="s">
        <v>3431</v>
      </c>
      <c r="D158" s="2766" t="s">
        <v>3557</v>
      </c>
      <c r="E158" s="2766" t="s">
        <v>3328</v>
      </c>
      <c r="F158" s="2766" t="s">
        <v>3319</v>
      </c>
      <c r="G158" s="2767">
        <v>38352</v>
      </c>
      <c r="H158" s="2765" t="s">
        <v>3079</v>
      </c>
      <c r="I158" s="2768">
        <v>13.417510135315499</v>
      </c>
      <c r="J158" s="2768">
        <v>13.9991295949517</v>
      </c>
      <c r="K158" s="2768">
        <v>8.5274343318202206</v>
      </c>
      <c r="L158" s="2768">
        <v>1.4479751967388399</v>
      </c>
      <c r="M158" s="2765" t="s">
        <v>3079</v>
      </c>
      <c r="N158" s="2765" t="s">
        <v>3079</v>
      </c>
      <c r="O158" s="2765" t="s">
        <v>3079</v>
      </c>
      <c r="P158" s="2765" t="s">
        <v>3079</v>
      </c>
      <c r="Q158" s="2765" t="s">
        <v>3079</v>
      </c>
      <c r="R158" s="2765" t="s">
        <v>3079</v>
      </c>
      <c r="S158" s="2765" t="s">
        <v>3079</v>
      </c>
      <c r="T158" s="2765" t="s">
        <v>3079</v>
      </c>
      <c r="U158" s="2765" t="s">
        <v>3079</v>
      </c>
      <c r="V158" s="2765" t="s">
        <v>3079</v>
      </c>
      <c r="W158" s="2765" t="s">
        <v>3079</v>
      </c>
      <c r="X158" s="2770" t="s">
        <v>13</v>
      </c>
      <c r="Y158" s="2767">
        <v>38352</v>
      </c>
      <c r="Z158" s="2768">
        <v>13.417510135315499</v>
      </c>
      <c r="AA158" s="2768">
        <v>13.9991295949517</v>
      </c>
      <c r="AB158" s="2768">
        <v>8.5274343318202206</v>
      </c>
      <c r="AC158" s="2768">
        <v>1.4479751967388399</v>
      </c>
      <c r="AD158" s="2765" t="s">
        <v>3079</v>
      </c>
      <c r="AE158" s="2765" t="s">
        <v>3079</v>
      </c>
      <c r="AF158" s="2765" t="s">
        <v>3079</v>
      </c>
      <c r="AG158" s="2765" t="s">
        <v>3079</v>
      </c>
      <c r="AH158" s="2765" t="s">
        <v>3079</v>
      </c>
      <c r="AI158" s="2765" t="s">
        <v>3079</v>
      </c>
      <c r="AJ158" s="2765" t="s">
        <v>3079</v>
      </c>
      <c r="AK158" s="2765" t="s">
        <v>3079</v>
      </c>
      <c r="AL158" s="2765" t="s">
        <v>3079</v>
      </c>
      <c r="AM158" s="2765" t="s">
        <v>3079</v>
      </c>
      <c r="AN158" s="2765" t="s">
        <v>3079</v>
      </c>
      <c r="AO158" s="2766" t="s">
        <v>3523</v>
      </c>
    </row>
    <row r="159" spans="1:41" ht="12.75" hidden="1" customHeight="1">
      <c r="A159" s="2759"/>
      <c r="B159" s="2765" t="s">
        <v>3079</v>
      </c>
      <c r="C159" s="2766" t="s">
        <v>3431</v>
      </c>
      <c r="D159" s="2766" t="s">
        <v>3464</v>
      </c>
      <c r="E159" s="2766" t="s">
        <v>3328</v>
      </c>
      <c r="F159" s="2766" t="s">
        <v>3319</v>
      </c>
      <c r="G159" s="2767">
        <v>40359</v>
      </c>
      <c r="H159" s="2765" t="s">
        <v>3079</v>
      </c>
      <c r="I159" s="2768">
        <v>4.67914870859844</v>
      </c>
      <c r="J159" s="2768">
        <v>11.4048362816105</v>
      </c>
      <c r="K159" s="2768">
        <v>15.7263228913222</v>
      </c>
      <c r="L159" s="2768">
        <v>16.9767303067899</v>
      </c>
      <c r="M159" s="2765" t="s">
        <v>3079</v>
      </c>
      <c r="N159" s="2765" t="s">
        <v>3079</v>
      </c>
      <c r="O159" s="2765" t="s">
        <v>3079</v>
      </c>
      <c r="P159" s="2765" t="s">
        <v>3079</v>
      </c>
      <c r="Q159" s="2765" t="s">
        <v>3079</v>
      </c>
      <c r="R159" s="2765" t="s">
        <v>3079</v>
      </c>
      <c r="S159" s="2765" t="s">
        <v>3079</v>
      </c>
      <c r="T159" s="2765" t="s">
        <v>3079</v>
      </c>
      <c r="U159" s="2765" t="s">
        <v>3079</v>
      </c>
      <c r="V159" s="2765" t="s">
        <v>3079</v>
      </c>
      <c r="W159" s="2765" t="s">
        <v>3079</v>
      </c>
      <c r="X159" s="2770" t="s">
        <v>13</v>
      </c>
      <c r="Y159" s="2767">
        <v>40359</v>
      </c>
      <c r="Z159" s="2768">
        <v>4.67914870859844</v>
      </c>
      <c r="AA159" s="2768">
        <v>11.4048362816105</v>
      </c>
      <c r="AB159" s="2768">
        <v>15.7263228913222</v>
      </c>
      <c r="AC159" s="2768">
        <v>16.9767303067899</v>
      </c>
      <c r="AD159" s="2765" t="s">
        <v>3079</v>
      </c>
      <c r="AE159" s="2765" t="s">
        <v>3079</v>
      </c>
      <c r="AF159" s="2765" t="s">
        <v>3079</v>
      </c>
      <c r="AG159" s="2765" t="s">
        <v>3079</v>
      </c>
      <c r="AH159" s="2765" t="s">
        <v>3079</v>
      </c>
      <c r="AI159" s="2765" t="s">
        <v>3079</v>
      </c>
      <c r="AJ159" s="2765" t="s">
        <v>3079</v>
      </c>
      <c r="AK159" s="2765" t="s">
        <v>3079</v>
      </c>
      <c r="AL159" s="2765" t="s">
        <v>3079</v>
      </c>
      <c r="AM159" s="2765" t="s">
        <v>3079</v>
      </c>
      <c r="AN159" s="2765" t="s">
        <v>3079</v>
      </c>
      <c r="AO159" s="2766" t="s">
        <v>861</v>
      </c>
    </row>
    <row r="160" spans="1:41" ht="12.75" hidden="1" customHeight="1">
      <c r="A160" s="2759"/>
      <c r="B160" s="2765" t="s">
        <v>3079</v>
      </c>
      <c r="C160" s="2766" t="s">
        <v>3558</v>
      </c>
      <c r="D160" s="2766" t="s">
        <v>3254</v>
      </c>
      <c r="E160" s="2766" t="s">
        <v>3271</v>
      </c>
      <c r="F160" s="2766" t="s">
        <v>3245</v>
      </c>
      <c r="G160" s="2767">
        <v>42038</v>
      </c>
      <c r="H160" s="2767">
        <v>44011</v>
      </c>
      <c r="I160" s="2765" t="s">
        <v>3079</v>
      </c>
      <c r="J160" s="2765" t="s">
        <v>3079</v>
      </c>
      <c r="K160" s="2765" t="s">
        <v>3079</v>
      </c>
      <c r="L160" s="2765" t="s">
        <v>3079</v>
      </c>
      <c r="M160" s="2765" t="s">
        <v>3079</v>
      </c>
      <c r="N160" s="2768">
        <v>5.6721494021430496</v>
      </c>
      <c r="O160" s="2765" t="s">
        <v>3079</v>
      </c>
      <c r="P160" s="2765" t="s">
        <v>3079</v>
      </c>
      <c r="Q160" s="2765" t="s">
        <v>3079</v>
      </c>
      <c r="R160" s="2765" t="s">
        <v>3079</v>
      </c>
      <c r="S160" s="2765" t="s">
        <v>3079</v>
      </c>
      <c r="T160" s="2765" t="s">
        <v>3079</v>
      </c>
      <c r="U160" s="2765" t="s">
        <v>3079</v>
      </c>
      <c r="V160" s="2765" t="s">
        <v>3079</v>
      </c>
      <c r="W160" s="2765" t="s">
        <v>3079</v>
      </c>
      <c r="X160" s="2765" t="s">
        <v>3079</v>
      </c>
      <c r="Y160" s="2767">
        <v>42038</v>
      </c>
      <c r="Z160" s="2765" t="s">
        <v>3079</v>
      </c>
      <c r="AA160" s="2765" t="s">
        <v>3079</v>
      </c>
      <c r="AB160" s="2765" t="s">
        <v>3079</v>
      </c>
      <c r="AC160" s="2765" t="s">
        <v>3079</v>
      </c>
      <c r="AD160" s="2765" t="s">
        <v>3079</v>
      </c>
      <c r="AE160" s="2768">
        <v>7.7661031443184196</v>
      </c>
      <c r="AF160" s="2765" t="s">
        <v>3079</v>
      </c>
      <c r="AG160" s="2765" t="s">
        <v>3079</v>
      </c>
      <c r="AH160" s="2765" t="s">
        <v>3079</v>
      </c>
      <c r="AI160" s="2765" t="s">
        <v>3079</v>
      </c>
      <c r="AJ160" s="2765" t="s">
        <v>3079</v>
      </c>
      <c r="AK160" s="2765" t="s">
        <v>3079</v>
      </c>
      <c r="AL160" s="2765" t="s">
        <v>3079</v>
      </c>
      <c r="AM160" s="2765" t="s">
        <v>3079</v>
      </c>
      <c r="AN160" s="2765" t="s">
        <v>3079</v>
      </c>
      <c r="AO160" s="2766" t="s">
        <v>3523</v>
      </c>
    </row>
    <row r="161" spans="1:41" ht="12.75" customHeight="1">
      <c r="A161" s="2771" t="s">
        <v>3131</v>
      </c>
      <c r="B161" s="2771"/>
      <c r="C161" s="2771"/>
      <c r="D161" s="2771"/>
      <c r="E161" s="2771"/>
      <c r="F161" s="2771"/>
      <c r="G161" s="2771"/>
      <c r="H161" s="2771"/>
      <c r="I161" s="2772" t="s">
        <v>3079</v>
      </c>
      <c r="J161" s="2772" t="s">
        <v>3079</v>
      </c>
      <c r="K161" s="2772" t="s">
        <v>3079</v>
      </c>
      <c r="L161" s="2772" t="s">
        <v>3079</v>
      </c>
      <c r="M161" s="2772" t="s">
        <v>3079</v>
      </c>
      <c r="N161" s="2772" t="s">
        <v>3079</v>
      </c>
      <c r="O161" s="2772" t="s">
        <v>3079</v>
      </c>
      <c r="P161" s="2772" t="s">
        <v>3079</v>
      </c>
      <c r="Q161" s="2772" t="s">
        <v>3079</v>
      </c>
      <c r="R161" s="2772" t="s">
        <v>3079</v>
      </c>
      <c r="S161" s="2772" t="s">
        <v>3079</v>
      </c>
      <c r="T161" s="2772" t="s">
        <v>3079</v>
      </c>
      <c r="U161" s="2772" t="s">
        <v>3079</v>
      </c>
      <c r="V161" s="2772" t="s">
        <v>3079</v>
      </c>
      <c r="W161" s="2772" t="s">
        <v>3079</v>
      </c>
      <c r="X161" s="2773" t="s">
        <v>3079</v>
      </c>
      <c r="Y161" s="2771"/>
      <c r="Z161" s="2774">
        <v>8392.9518055728604</v>
      </c>
      <c r="AA161" s="2774">
        <v>8317.0578972288604</v>
      </c>
      <c r="AB161" s="2774">
        <v>7607.7770531075903</v>
      </c>
      <c r="AC161" s="2774">
        <v>7308.2164457810804</v>
      </c>
      <c r="AD161" s="2774">
        <v>6695.5364072705297</v>
      </c>
      <c r="AE161" s="2774">
        <v>5912.2485993340197</v>
      </c>
      <c r="AF161" s="2774">
        <v>6370.6292067756203</v>
      </c>
      <c r="AG161" s="2774">
        <v>6807.3551743262497</v>
      </c>
      <c r="AH161" s="2774">
        <v>7411.0284216938999</v>
      </c>
      <c r="AI161" s="2774">
        <v>7707.38720375091</v>
      </c>
      <c r="AJ161" s="2774">
        <v>8539.7048049898694</v>
      </c>
      <c r="AK161" s="2774">
        <v>10331.2341619043</v>
      </c>
      <c r="AL161" s="2774">
        <v>12437.4430112481</v>
      </c>
      <c r="AM161" s="2774">
        <v>14170.185729454901</v>
      </c>
      <c r="AN161" s="2774">
        <v>16202.1079058502</v>
      </c>
      <c r="AO161" s="2771"/>
    </row>
    <row r="162" spans="1:41" ht="12.75" customHeight="1">
      <c r="A162" s="2771" t="s">
        <v>3132</v>
      </c>
      <c r="B162" s="2771"/>
      <c r="C162" s="2771"/>
      <c r="D162" s="2771"/>
      <c r="E162" s="2771"/>
      <c r="F162" s="2771"/>
      <c r="G162" s="2771"/>
      <c r="H162" s="2771"/>
      <c r="I162" s="2774">
        <v>27334.232077422999</v>
      </c>
      <c r="J162" s="2774">
        <v>30859.917544065502</v>
      </c>
      <c r="K162" s="2774">
        <v>32015.017584429999</v>
      </c>
      <c r="L162" s="2774">
        <v>33524.257109861399</v>
      </c>
      <c r="M162" s="2774">
        <v>37108.008984937202</v>
      </c>
      <c r="N162" s="2774">
        <v>37070.620860686497</v>
      </c>
      <c r="O162" s="2774">
        <v>38905.384300712001</v>
      </c>
      <c r="P162" s="2774">
        <v>41472.824560170797</v>
      </c>
      <c r="Q162" s="2774">
        <v>44680.201922558903</v>
      </c>
      <c r="R162" s="2774">
        <v>47018.688821206903</v>
      </c>
      <c r="S162" s="2774">
        <v>49489.011877220597</v>
      </c>
      <c r="T162" s="2774">
        <v>51931.983740257499</v>
      </c>
      <c r="U162" s="2774">
        <v>52280.227799631997</v>
      </c>
      <c r="V162" s="2774">
        <v>50643.349505204402</v>
      </c>
      <c r="W162" s="2774">
        <v>50636.163938185098</v>
      </c>
      <c r="X162" s="2775">
        <v>4.5021630871392902E-2</v>
      </c>
      <c r="Y162" s="2771"/>
      <c r="Z162" s="2774">
        <v>38788.026161178699</v>
      </c>
      <c r="AA162" s="2774">
        <v>42610.558503226399</v>
      </c>
      <c r="AB162" s="2774">
        <v>43688.550798393502</v>
      </c>
      <c r="AC162" s="2774">
        <v>45387.8350350236</v>
      </c>
      <c r="AD162" s="2774">
        <v>48669.648316469502</v>
      </c>
      <c r="AE162" s="2774">
        <v>47578.3942163842</v>
      </c>
      <c r="AF162" s="2774">
        <v>49821.294179517303</v>
      </c>
      <c r="AG162" s="2774">
        <v>52770.616039823602</v>
      </c>
      <c r="AH162" s="2774">
        <v>56545.181885350801</v>
      </c>
      <c r="AI162" s="2774">
        <v>59133.953948759503</v>
      </c>
      <c r="AJ162" s="2774">
        <v>62427.602233630103</v>
      </c>
      <c r="AK162" s="2774">
        <v>66677.4845886986</v>
      </c>
      <c r="AL162" s="2774">
        <v>69205.568931025104</v>
      </c>
      <c r="AM162" s="2774">
        <v>69422.618698614198</v>
      </c>
      <c r="AN162" s="2774">
        <v>71509.442700171596</v>
      </c>
      <c r="AO162" s="2771"/>
    </row>
    <row r="165" spans="1:41" ht="12.75" customHeight="1">
      <c r="A165" s="3295" t="s">
        <v>3133</v>
      </c>
      <c r="B165" s="3295"/>
    </row>
    <row r="166" spans="1:41" ht="12.75" customHeight="1">
      <c r="A166" s="2762" t="s">
        <v>3134</v>
      </c>
      <c r="B166" s="2766" t="s">
        <v>3559</v>
      </c>
      <c r="C166" s="2766" t="s">
        <v>3235</v>
      </c>
      <c r="D166" s="2759" t="s">
        <v>3560</v>
      </c>
    </row>
    <row r="167" spans="1:41" ht="12.75" customHeight="1">
      <c r="A167" s="2762" t="s">
        <v>3136</v>
      </c>
      <c r="B167" s="2759" t="s">
        <v>3137</v>
      </c>
    </row>
    <row r="168" spans="1:41" ht="12.75" customHeight="1">
      <c r="A168" s="2759"/>
      <c r="B168" s="3296" t="s">
        <v>3138</v>
      </c>
      <c r="C168" s="3296"/>
      <c r="D168" s="3296"/>
      <c r="E168" s="3296"/>
      <c r="F168" s="3296"/>
      <c r="G168" s="3296"/>
      <c r="H168" s="3296"/>
      <c r="I168" s="3296"/>
      <c r="J168" s="3296"/>
      <c r="K168" s="3296"/>
      <c r="L168" s="3296"/>
      <c r="M168" s="3296"/>
      <c r="N168" s="3296"/>
      <c r="O168" s="3296"/>
      <c r="P168" s="3296"/>
      <c r="Q168" s="3296"/>
      <c r="R168" s="3296"/>
      <c r="S168" s="3296"/>
      <c r="T168" s="3296"/>
      <c r="U168" s="3296"/>
      <c r="V168" s="3296"/>
      <c r="W168" s="3296"/>
      <c r="X168" s="3296"/>
      <c r="Y168" s="3296"/>
      <c r="Z168" s="3296"/>
      <c r="AA168" s="3296"/>
      <c r="AB168" s="3296"/>
      <c r="AC168" s="3296"/>
      <c r="AD168" s="3296"/>
      <c r="AE168" s="3296"/>
      <c r="AF168" s="3296"/>
      <c r="AG168" s="3296"/>
      <c r="AH168" s="3296"/>
      <c r="AI168" s="3296"/>
      <c r="AJ168" s="3296"/>
      <c r="AK168" s="3296"/>
      <c r="AL168" s="3296"/>
      <c r="AM168" s="3296"/>
      <c r="AN168" s="3296"/>
    </row>
    <row r="171" spans="1:41" ht="12.75" customHeight="1">
      <c r="C171" s="2766" t="s">
        <v>3237</v>
      </c>
    </row>
    <row r="172" spans="1:41" ht="12.75" customHeight="1">
      <c r="C172" s="2766" t="s">
        <v>3091</v>
      </c>
    </row>
    <row r="173" spans="1:41" ht="12.75" customHeight="1">
      <c r="C173" s="2766" t="s">
        <v>3240</v>
      </c>
    </row>
    <row r="174" spans="1:41" ht="12.75" customHeight="1">
      <c r="C174" s="2766" t="s">
        <v>3222</v>
      </c>
    </row>
    <row r="175" spans="1:41" ht="12.75" customHeight="1">
      <c r="C175" s="2766" t="s">
        <v>3246</v>
      </c>
    </row>
    <row r="176" spans="1:41" ht="12.75" customHeight="1">
      <c r="C176" s="2766" t="s">
        <v>3248</v>
      </c>
    </row>
    <row r="177" spans="3:3" ht="12.75" customHeight="1">
      <c r="C177" s="2766" t="s">
        <v>3249</v>
      </c>
    </row>
    <row r="178" spans="3:3" ht="12.75" customHeight="1">
      <c r="C178" s="2766" t="s">
        <v>3251</v>
      </c>
    </row>
    <row r="179" spans="3:3" ht="12.75" customHeight="1">
      <c r="C179" s="2766" t="s">
        <v>3215</v>
      </c>
    </row>
    <row r="180" spans="3:3" ht="12.75" customHeight="1">
      <c r="C180" s="2766" t="s">
        <v>3256</v>
      </c>
    </row>
    <row r="181" spans="3:3" ht="12.75" customHeight="1">
      <c r="C181" s="2766" t="s">
        <v>3213</v>
      </c>
    </row>
    <row r="182" spans="3:3" ht="12.75" customHeight="1">
      <c r="C182" s="2766" t="s">
        <v>3260</v>
      </c>
    </row>
    <row r="183" spans="3:3" ht="12.75" customHeight="1">
      <c r="C183" s="2766" t="s">
        <v>3261</v>
      </c>
    </row>
    <row r="184" spans="3:3" ht="12.75" customHeight="1">
      <c r="C184" s="2766" t="s">
        <v>3164</v>
      </c>
    </row>
    <row r="185" spans="3:3" ht="12.75" customHeight="1">
      <c r="C185" s="2766" t="s">
        <v>3264</v>
      </c>
    </row>
    <row r="186" spans="3:3" ht="12.75" customHeight="1">
      <c r="C186" s="2766" t="s">
        <v>3268</v>
      </c>
    </row>
    <row r="187" spans="3:3" ht="12.75" customHeight="1">
      <c r="C187" s="2766" t="s">
        <v>3270</v>
      </c>
    </row>
    <row r="188" spans="3:3" ht="12.75" customHeight="1">
      <c r="C188" s="2766" t="s">
        <v>3273</v>
      </c>
    </row>
    <row r="189" spans="3:3" ht="12.75" customHeight="1">
      <c r="C189" s="2766" t="s">
        <v>3217</v>
      </c>
    </row>
    <row r="190" spans="3:3" ht="12.75" customHeight="1">
      <c r="C190" s="2766" t="s">
        <v>3277</v>
      </c>
    </row>
    <row r="191" spans="3:3" ht="12.75" customHeight="1">
      <c r="C191" s="2766" t="s">
        <v>3203</v>
      </c>
    </row>
    <row r="192" spans="3:3" ht="12.75" customHeight="1">
      <c r="C192" s="2766" t="s">
        <v>3283</v>
      </c>
    </row>
    <row r="193" spans="3:3" ht="12.75" customHeight="1">
      <c r="C193" s="2766" t="s">
        <v>3288</v>
      </c>
    </row>
    <row r="194" spans="3:3" ht="12.75" customHeight="1">
      <c r="C194" s="2766" t="s">
        <v>3292</v>
      </c>
    </row>
    <row r="195" spans="3:3" ht="12.75" customHeight="1">
      <c r="C195" s="2766" t="s">
        <v>3295</v>
      </c>
    </row>
    <row r="196" spans="3:3" ht="12.75" customHeight="1">
      <c r="C196" s="2766" t="s">
        <v>3299</v>
      </c>
    </row>
    <row r="197" spans="3:3" ht="12.75" customHeight="1">
      <c r="C197" s="2766" t="s">
        <v>3188</v>
      </c>
    </row>
    <row r="198" spans="3:3" ht="12.75" customHeight="1">
      <c r="C198" s="2766" t="s">
        <v>3303</v>
      </c>
    </row>
    <row r="199" spans="3:3" ht="12.75" customHeight="1">
      <c r="C199" s="2766" t="s">
        <v>3306</v>
      </c>
    </row>
    <row r="200" spans="3:3" ht="12.75" customHeight="1">
      <c r="C200" s="2766" t="s">
        <v>3309</v>
      </c>
    </row>
    <row r="201" spans="3:3" ht="12.75" customHeight="1">
      <c r="C201" s="2766" t="s">
        <v>3312</v>
      </c>
    </row>
    <row r="202" spans="3:3" ht="12.75" customHeight="1">
      <c r="C202" s="2766" t="s">
        <v>3316</v>
      </c>
    </row>
    <row r="203" spans="3:3" ht="12.75" customHeight="1">
      <c r="C203" s="2766" t="s">
        <v>3321</v>
      </c>
    </row>
    <row r="204" spans="3:3" ht="12.75" customHeight="1">
      <c r="C204" s="2766" t="s">
        <v>3324</v>
      </c>
    </row>
    <row r="205" spans="3:3" ht="12.75" customHeight="1">
      <c r="C205" s="2766" t="s">
        <v>3327</v>
      </c>
    </row>
    <row r="206" spans="3:3" ht="12.75" customHeight="1">
      <c r="C206" s="2766" t="s">
        <v>3330</v>
      </c>
    </row>
    <row r="207" spans="3:3" ht="12.75" customHeight="1">
      <c r="C207" s="2766" t="s">
        <v>3221</v>
      </c>
    </row>
    <row r="208" spans="3:3" ht="12.75" customHeight="1">
      <c r="C208" s="2766" t="s">
        <v>3335</v>
      </c>
    </row>
    <row r="209" spans="3:3" ht="12.75" customHeight="1">
      <c r="C209" s="2766" t="s">
        <v>3338</v>
      </c>
    </row>
    <row r="210" spans="3:3" ht="12.75" customHeight="1">
      <c r="C210" s="2766" t="s">
        <v>3341</v>
      </c>
    </row>
    <row r="211" spans="3:3" ht="12.75" customHeight="1">
      <c r="C211" s="2766" t="s">
        <v>3345</v>
      </c>
    </row>
    <row r="212" spans="3:3" ht="12.75" customHeight="1">
      <c r="C212" s="2766" t="s">
        <v>3349</v>
      </c>
    </row>
    <row r="213" spans="3:3" ht="12.75" customHeight="1">
      <c r="C213" s="2766" t="s">
        <v>3356</v>
      </c>
    </row>
    <row r="214" spans="3:3" ht="12.75" customHeight="1">
      <c r="C214" s="2766" t="s">
        <v>3359</v>
      </c>
    </row>
    <row r="215" spans="3:3" ht="12.75" customHeight="1">
      <c r="C215" s="2766" t="s">
        <v>3363</v>
      </c>
    </row>
    <row r="216" spans="3:3" ht="12.75" customHeight="1">
      <c r="C216" s="2766" t="s">
        <v>3366</v>
      </c>
    </row>
    <row r="217" spans="3:3" ht="12.75" customHeight="1">
      <c r="C217" s="2766" t="s">
        <v>3374</v>
      </c>
    </row>
    <row r="218" spans="3:3" ht="12.75" customHeight="1">
      <c r="C218" s="2766" t="s">
        <v>3380</v>
      </c>
    </row>
    <row r="219" spans="3:3" ht="12.75" customHeight="1">
      <c r="C219" s="2766" t="s">
        <v>3383</v>
      </c>
    </row>
    <row r="220" spans="3:3" ht="12.75" customHeight="1">
      <c r="C220" s="2766" t="s">
        <v>3386</v>
      </c>
    </row>
    <row r="221" spans="3:3" ht="12.75" customHeight="1">
      <c r="C221" s="2766" t="s">
        <v>3186</v>
      </c>
    </row>
    <row r="222" spans="3:3" ht="12.75" customHeight="1">
      <c r="C222" s="2766" t="s">
        <v>3389</v>
      </c>
    </row>
    <row r="223" spans="3:3" ht="12.75" customHeight="1">
      <c r="C223" s="2766" t="s">
        <v>3393</v>
      </c>
    </row>
    <row r="224" spans="3:3" ht="12.75" customHeight="1">
      <c r="C224" s="2766" t="s">
        <v>3397</v>
      </c>
    </row>
    <row r="225" spans="3:3" ht="12.75" customHeight="1">
      <c r="C225" s="2766" t="s">
        <v>3405</v>
      </c>
    </row>
    <row r="226" spans="3:3" ht="12.75" customHeight="1">
      <c r="C226" s="2766" t="s">
        <v>3408</v>
      </c>
    </row>
    <row r="227" spans="3:3" ht="12.75" customHeight="1">
      <c r="C227" s="2766" t="s">
        <v>3412</v>
      </c>
    </row>
    <row r="228" spans="3:3" ht="12.75" customHeight="1">
      <c r="C228" s="2766" t="s">
        <v>3416</v>
      </c>
    </row>
    <row r="229" spans="3:3" ht="12.75" customHeight="1">
      <c r="C229" s="2766" t="s">
        <v>3420</v>
      </c>
    </row>
    <row r="230" spans="3:3" ht="12.75" customHeight="1">
      <c r="C230" s="2766" t="s">
        <v>3424</v>
      </c>
    </row>
    <row r="231" spans="3:3" ht="12.75" customHeight="1">
      <c r="C231" s="2766" t="s">
        <v>3428</v>
      </c>
    </row>
    <row r="232" spans="3:3" ht="12.75" customHeight="1">
      <c r="C232" s="2766" t="s">
        <v>3431</v>
      </c>
    </row>
    <row r="233" spans="3:3" ht="12.75" customHeight="1">
      <c r="C233" s="2766" t="s">
        <v>3436</v>
      </c>
    </row>
    <row r="234" spans="3:3" ht="12.75" customHeight="1">
      <c r="C234" s="2766" t="s">
        <v>3440</v>
      </c>
    </row>
    <row r="235" spans="3:3" ht="12.75" customHeight="1">
      <c r="C235" s="2766" t="s">
        <v>3443</v>
      </c>
    </row>
    <row r="236" spans="3:3" ht="12.75" customHeight="1">
      <c r="C236" s="2766" t="s">
        <v>3451</v>
      </c>
    </row>
    <row r="237" spans="3:3" ht="12.75" customHeight="1">
      <c r="C237" s="2766" t="s">
        <v>3455</v>
      </c>
    </row>
    <row r="238" spans="3:3" ht="12.75" customHeight="1">
      <c r="C238" s="2766" t="s">
        <v>3458</v>
      </c>
    </row>
    <row r="239" spans="3:3" ht="12.75" customHeight="1">
      <c r="C239" s="2766" t="s">
        <v>3463</v>
      </c>
    </row>
    <row r="240" spans="3:3" ht="12.75" customHeight="1">
      <c r="C240" s="2766" t="s">
        <v>3473</v>
      </c>
    </row>
    <row r="241" spans="3:3" ht="12.75" customHeight="1">
      <c r="C241" s="2766" t="s">
        <v>3476</v>
      </c>
    </row>
    <row r="242" spans="3:3" ht="12.75" customHeight="1">
      <c r="C242" s="2766" t="s">
        <v>3481</v>
      </c>
    </row>
    <row r="243" spans="3:3" ht="12.75" customHeight="1">
      <c r="C243" s="2766" t="s">
        <v>3484</v>
      </c>
    </row>
    <row r="244" spans="3:3" ht="12.75" customHeight="1">
      <c r="C244" s="2766" t="s">
        <v>3489</v>
      </c>
    </row>
    <row r="245" spans="3:3" ht="12.75" customHeight="1">
      <c r="C245" s="2766" t="s">
        <v>3497</v>
      </c>
    </row>
    <row r="246" spans="3:3" ht="12.75" customHeight="1">
      <c r="C246" s="2766" t="s">
        <v>3500</v>
      </c>
    </row>
    <row r="247" spans="3:3" ht="12.75" customHeight="1">
      <c r="C247" s="2766" t="s">
        <v>3505</v>
      </c>
    </row>
    <row r="248" spans="3:3" ht="12.75" customHeight="1">
      <c r="C248" s="2766" t="s">
        <v>3509</v>
      </c>
    </row>
    <row r="249" spans="3:3" ht="12.75" customHeight="1">
      <c r="C249" s="2766" t="s">
        <v>3511</v>
      </c>
    </row>
    <row r="250" spans="3:3" ht="12.75" customHeight="1">
      <c r="C250" s="2766" t="s">
        <v>3515</v>
      </c>
    </row>
    <row r="251" spans="3:3" ht="12.75" customHeight="1">
      <c r="C251" s="2766" t="s">
        <v>3520</v>
      </c>
    </row>
    <row r="252" spans="3:3" ht="12.75" customHeight="1">
      <c r="C252" s="2766" t="s">
        <v>3521</v>
      </c>
    </row>
    <row r="253" spans="3:3" ht="12.75" customHeight="1">
      <c r="C253" s="2766" t="s">
        <v>3524</v>
      </c>
    </row>
    <row r="254" spans="3:3" ht="12.75" customHeight="1">
      <c r="C254" s="2766" t="s">
        <v>3527</v>
      </c>
    </row>
    <row r="255" spans="3:3" ht="12.75" customHeight="1">
      <c r="C255" s="2766" t="s">
        <v>3528</v>
      </c>
    </row>
    <row r="256" spans="3:3" ht="12.75" customHeight="1">
      <c r="C256" s="2766" t="s">
        <v>3529</v>
      </c>
    </row>
    <row r="257" spans="3:3" ht="12.75" customHeight="1">
      <c r="C257" s="2766" t="s">
        <v>3534</v>
      </c>
    </row>
    <row r="258" spans="3:3" ht="12.75" customHeight="1">
      <c r="C258" s="2766" t="s">
        <v>3536</v>
      </c>
    </row>
    <row r="259" spans="3:3" ht="12.75" customHeight="1">
      <c r="C259" s="2766" t="s">
        <v>3538</v>
      </c>
    </row>
    <row r="260" spans="3:3" ht="12.75" customHeight="1">
      <c r="C260" s="2766" t="s">
        <v>3540</v>
      </c>
    </row>
    <row r="261" spans="3:3" ht="12.75" customHeight="1">
      <c r="C261" s="2766" t="s">
        <v>3542</v>
      </c>
    </row>
    <row r="262" spans="3:3" ht="12.75" customHeight="1">
      <c r="C262" s="2766" t="s">
        <v>3546</v>
      </c>
    </row>
    <row r="263" spans="3:3" ht="12.75" customHeight="1">
      <c r="C263" s="2766" t="s">
        <v>3550</v>
      </c>
    </row>
    <row r="264" spans="3:3" ht="12.75" customHeight="1">
      <c r="C264" s="2766" t="s">
        <v>3555</v>
      </c>
    </row>
    <row r="265" spans="3:3" ht="12.75" customHeight="1">
      <c r="C265" s="2766" t="s">
        <v>3558</v>
      </c>
    </row>
    <row r="266" spans="3:3" ht="12.75" customHeight="1">
      <c r="C266"/>
    </row>
    <row r="267" spans="3:3" ht="12.75" customHeight="1">
      <c r="C267"/>
    </row>
    <row r="268" spans="3:3" ht="12.75" customHeight="1">
      <c r="C268"/>
    </row>
    <row r="269" spans="3:3" ht="12.75" customHeight="1">
      <c r="C269"/>
    </row>
    <row r="270" spans="3:3" ht="12.75" customHeight="1">
      <c r="C270"/>
    </row>
    <row r="271" spans="3:3" ht="12.75" customHeight="1">
      <c r="C271"/>
    </row>
    <row r="272" spans="3:3" ht="12.75" customHeight="1">
      <c r="C272"/>
    </row>
    <row r="273" spans="3:3" ht="12.75" customHeight="1">
      <c r="C273"/>
    </row>
    <row r="274" spans="3:3" ht="12.75" customHeight="1">
      <c r="C274"/>
    </row>
    <row r="275" spans="3:3" ht="12.75" customHeight="1">
      <c r="C275"/>
    </row>
    <row r="276" spans="3:3" ht="12.75" customHeight="1">
      <c r="C276"/>
    </row>
    <row r="277" spans="3:3" ht="12.75" customHeight="1">
      <c r="C277"/>
    </row>
    <row r="278" spans="3:3" ht="12.75" customHeight="1">
      <c r="C278"/>
    </row>
    <row r="279" spans="3:3" ht="12.75" customHeight="1">
      <c r="C279"/>
    </row>
    <row r="280" spans="3:3" ht="12.75" customHeight="1">
      <c r="C280"/>
    </row>
    <row r="281" spans="3:3" ht="12.75" customHeight="1">
      <c r="C281"/>
    </row>
    <row r="282" spans="3:3" ht="12.75" customHeight="1">
      <c r="C282"/>
    </row>
    <row r="283" spans="3:3" ht="12.75" customHeight="1">
      <c r="C283"/>
    </row>
    <row r="284" spans="3:3" ht="12.75" customHeight="1">
      <c r="C284"/>
    </row>
    <row r="285" spans="3:3" ht="12.75" customHeight="1">
      <c r="C285"/>
    </row>
    <row r="286" spans="3:3" ht="12.75" customHeight="1">
      <c r="C286"/>
    </row>
    <row r="287" spans="3:3" ht="12.75" customHeight="1">
      <c r="C287"/>
    </row>
    <row r="288" spans="3:3" ht="12.75" customHeight="1">
      <c r="C288"/>
    </row>
    <row r="289" spans="3:3" ht="12.75" customHeight="1">
      <c r="C289"/>
    </row>
    <row r="290" spans="3:3" ht="12.75" customHeight="1">
      <c r="C290"/>
    </row>
    <row r="291" spans="3:3" ht="12.75" customHeight="1">
      <c r="C291"/>
    </row>
    <row r="292" spans="3:3" ht="12.75" customHeight="1">
      <c r="C292"/>
    </row>
    <row r="293" spans="3:3" ht="12.75" customHeight="1">
      <c r="C293"/>
    </row>
    <row r="294" spans="3:3" ht="12.75" customHeight="1">
      <c r="C294"/>
    </row>
    <row r="295" spans="3:3" ht="12.75" customHeight="1">
      <c r="C295"/>
    </row>
    <row r="296" spans="3:3" ht="12.75" customHeight="1">
      <c r="C296"/>
    </row>
    <row r="297" spans="3:3" ht="12.75" customHeight="1">
      <c r="C297"/>
    </row>
    <row r="298" spans="3:3" ht="12.75" customHeight="1">
      <c r="C298"/>
    </row>
    <row r="299" spans="3:3" ht="12.75" customHeight="1">
      <c r="C299"/>
    </row>
    <row r="300" spans="3:3" ht="12.75" customHeight="1">
      <c r="C300"/>
    </row>
    <row r="301" spans="3:3" ht="12.75" customHeight="1">
      <c r="C301"/>
    </row>
    <row r="302" spans="3:3" ht="12.75" customHeight="1">
      <c r="C302"/>
    </row>
    <row r="303" spans="3:3" ht="12.75" customHeight="1">
      <c r="C303"/>
    </row>
    <row r="304" spans="3:3" ht="12.75" customHeight="1">
      <c r="C304"/>
    </row>
    <row r="305" spans="3:3" ht="12.75" customHeight="1">
      <c r="C305"/>
    </row>
    <row r="306" spans="3:3" ht="12.75" customHeight="1">
      <c r="C306"/>
    </row>
    <row r="307" spans="3:3" ht="12.75" customHeight="1">
      <c r="C307"/>
    </row>
    <row r="308" spans="3:3" ht="12.75" customHeight="1">
      <c r="C308"/>
    </row>
    <row r="309" spans="3:3" ht="12.75" customHeight="1">
      <c r="C309"/>
    </row>
    <row r="310" spans="3:3" ht="12.75" customHeight="1">
      <c r="C310"/>
    </row>
    <row r="311" spans="3:3" ht="12.75" customHeight="1">
      <c r="C311"/>
    </row>
    <row r="312" spans="3:3" ht="12.75" customHeight="1">
      <c r="C312"/>
    </row>
    <row r="313" spans="3:3" ht="12.75" customHeight="1">
      <c r="C313"/>
    </row>
    <row r="314" spans="3:3" ht="12.75" customHeight="1">
      <c r="C314"/>
    </row>
    <row r="315" spans="3:3" ht="12.75" customHeight="1">
      <c r="C315"/>
    </row>
    <row r="316" spans="3:3" ht="12.75" customHeight="1">
      <c r="C316"/>
    </row>
    <row r="317" spans="3:3" ht="12.75" customHeight="1">
      <c r="C317"/>
    </row>
    <row r="318" spans="3:3" ht="12.75" customHeight="1">
      <c r="C318"/>
    </row>
    <row r="319" spans="3:3" ht="12.75" customHeight="1">
      <c r="C319"/>
    </row>
    <row r="320" spans="3:3" ht="12.75" customHeight="1">
      <c r="C320"/>
    </row>
    <row r="321" spans="3:3" ht="12.75" customHeight="1">
      <c r="C321"/>
    </row>
    <row r="322" spans="3:3" ht="12.75" customHeight="1">
      <c r="C322"/>
    </row>
    <row r="323" spans="3:3" ht="12.75" customHeight="1">
      <c r="C323"/>
    </row>
  </sheetData>
  <autoFilter ref="A6:AO162">
    <filterColumn colId="33">
      <customFilters>
        <customFilter operator="greaterThan" val="1000"/>
      </customFilters>
    </filterColumn>
  </autoFilter>
  <mergeCells count="5">
    <mergeCell ref="B1:AO1"/>
    <mergeCell ref="B2:AO2"/>
    <mergeCell ref="B3:AO3"/>
    <mergeCell ref="A165:B165"/>
    <mergeCell ref="B168:AN168"/>
  </mergeCells>
  <pageMargins left="0.78740157480314998" right="0.78740157480314998" top="0.78740157480314998" bottom="0.78740157480314998" header="0.39370078740157499" footer="0.39370078740157499"/>
  <pageSetup paperSize="9" fitToWidth="0" fitToHeight="0" orientation="portrait"/>
  <legacyDrawing r:id="rId1"/>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50"/>
  <sheetViews>
    <sheetView workbookViewId="0">
      <selection activeCell="A5" sqref="A5"/>
    </sheetView>
  </sheetViews>
  <sheetFormatPr defaultColWidth="13.33203125" defaultRowHeight="12.75" customHeight="1"/>
  <cols>
    <col min="1" max="1" width="28.83203125" style="2757" customWidth="1"/>
    <col min="2" max="2" width="12.6640625" style="2757" customWidth="1"/>
    <col min="3" max="3" width="22.33203125" style="2757" customWidth="1"/>
    <col min="4" max="4" width="28.5" style="2757" customWidth="1"/>
    <col min="5" max="5" width="41.83203125" style="2757" customWidth="1"/>
    <col min="6" max="6" width="64.83203125" style="2757" customWidth="1"/>
    <col min="7" max="7" width="17.83203125" style="2757" customWidth="1"/>
    <col min="8" max="8" width="13.1640625" style="2757" customWidth="1"/>
    <col min="9" max="9" width="7.33203125" style="2757" customWidth="1"/>
    <col min="10" max="17" width="8.33203125" style="2757" customWidth="1"/>
    <col min="18" max="18" width="21.1640625" style="2757" customWidth="1"/>
    <col min="19" max="22" width="8.33203125" style="2757" customWidth="1"/>
    <col min="23" max="25" width="9.33203125" style="2757" customWidth="1"/>
    <col min="26" max="26" width="8.33203125" style="2757" customWidth="1"/>
    <col min="27" max="27" width="29.33203125" style="2757" customWidth="1"/>
    <col min="28" max="16384" width="13.33203125" style="2757"/>
  </cols>
  <sheetData>
    <row r="1" spans="1:27" ht="12.75" customHeight="1">
      <c r="A1" s="2756" t="s">
        <v>3042</v>
      </c>
      <c r="B1" s="3292" t="s">
        <v>3043</v>
      </c>
      <c r="C1" s="3292"/>
      <c r="D1" s="3292"/>
      <c r="E1" s="3292"/>
      <c r="F1" s="3292"/>
      <c r="G1" s="3292"/>
      <c r="H1" s="3292"/>
      <c r="I1" s="3292"/>
      <c r="J1" s="3292"/>
      <c r="K1" s="3292"/>
      <c r="L1" s="3292"/>
      <c r="M1" s="3292"/>
      <c r="N1" s="3292"/>
      <c r="O1" s="3292"/>
      <c r="P1" s="3292"/>
      <c r="Q1" s="3292"/>
      <c r="R1" s="3292"/>
      <c r="S1" s="3292"/>
      <c r="T1" s="3292"/>
      <c r="U1" s="3292"/>
      <c r="V1" s="3292"/>
      <c r="W1" s="3292"/>
      <c r="X1" s="3292"/>
      <c r="Y1" s="3292"/>
      <c r="Z1" s="3292"/>
      <c r="AA1" s="3292"/>
    </row>
    <row r="2" spans="1:27" ht="12.75" customHeight="1">
      <c r="A2" s="2756" t="s">
        <v>3044</v>
      </c>
      <c r="B2" s="3293" t="s">
        <v>3045</v>
      </c>
      <c r="C2" s="3293"/>
      <c r="D2" s="3293"/>
      <c r="E2" s="3293"/>
      <c r="F2" s="3293"/>
      <c r="G2" s="3293"/>
      <c r="H2" s="3293"/>
      <c r="I2" s="3293"/>
      <c r="J2" s="3293"/>
      <c r="K2" s="3293"/>
      <c r="L2" s="3293"/>
      <c r="M2" s="3293"/>
      <c r="N2" s="3293"/>
      <c r="O2" s="3293"/>
      <c r="P2" s="3293"/>
      <c r="Q2" s="3293"/>
      <c r="R2" s="3293"/>
      <c r="S2" s="3293"/>
      <c r="T2" s="3293"/>
      <c r="U2" s="3293"/>
      <c r="V2" s="3293"/>
      <c r="W2" s="3293"/>
      <c r="X2" s="3293"/>
      <c r="Y2" s="3293"/>
      <c r="Z2" s="3293"/>
      <c r="AA2" s="3293"/>
    </row>
    <row r="3" spans="1:27" ht="12.75" customHeight="1">
      <c r="A3" s="2756" t="s">
        <v>3046</v>
      </c>
      <c r="B3" s="3294">
        <v>43298</v>
      </c>
      <c r="C3" s="3293"/>
      <c r="D3" s="3293"/>
      <c r="E3" s="3293"/>
      <c r="F3" s="3293"/>
      <c r="G3" s="3293"/>
      <c r="H3" s="3293"/>
      <c r="I3" s="3293"/>
      <c r="J3" s="3293"/>
      <c r="K3" s="3293"/>
      <c r="L3" s="3293"/>
      <c r="M3" s="3293"/>
      <c r="N3" s="3293"/>
      <c r="O3" s="3293"/>
      <c r="P3" s="3293"/>
      <c r="Q3" s="3293"/>
      <c r="R3" s="3293"/>
      <c r="S3" s="3293"/>
      <c r="T3" s="3293"/>
      <c r="U3" s="3293"/>
      <c r="V3" s="3293"/>
      <c r="W3" s="3293"/>
      <c r="X3" s="3293"/>
      <c r="Y3" s="3293"/>
      <c r="Z3" s="3293"/>
      <c r="AA3" s="3293"/>
    </row>
    <row r="4" spans="1:27" ht="12.75" customHeight="1">
      <c r="A4" s="2758" t="s">
        <v>3047</v>
      </c>
    </row>
    <row r="5" spans="1:27" ht="12.75" customHeight="1">
      <c r="A5" s="2759"/>
      <c r="B5" s="2760"/>
      <c r="C5" s="2760"/>
      <c r="D5" s="2760"/>
      <c r="E5" s="2760"/>
      <c r="F5" s="2760"/>
      <c r="G5" s="2760"/>
      <c r="H5" s="2760"/>
      <c r="I5" s="2761" t="s">
        <v>3048</v>
      </c>
      <c r="J5" s="2760"/>
      <c r="K5" s="2760"/>
      <c r="L5" s="2760"/>
      <c r="M5" s="2760"/>
      <c r="N5" s="2760"/>
      <c r="O5" s="2760"/>
      <c r="P5" s="2760"/>
      <c r="Q5" s="2760"/>
      <c r="R5" s="2760"/>
      <c r="S5" s="2761" t="s">
        <v>3049</v>
      </c>
      <c r="T5" s="2760"/>
      <c r="U5" s="2760"/>
      <c r="V5" s="2760"/>
      <c r="W5" s="2760"/>
      <c r="X5" s="2760"/>
      <c r="Y5" s="2760"/>
      <c r="Z5" s="2760"/>
      <c r="AA5" s="2760"/>
    </row>
    <row r="6" spans="1:27" ht="12.75" customHeight="1">
      <c r="A6" s="2759"/>
      <c r="B6" s="2762" t="s">
        <v>3050</v>
      </c>
      <c r="C6" s="2762" t="s">
        <v>3051</v>
      </c>
      <c r="D6" s="2762" t="s">
        <v>3052</v>
      </c>
      <c r="E6" s="2762" t="s">
        <v>3053</v>
      </c>
      <c r="F6" s="2762" t="s">
        <v>3054</v>
      </c>
      <c r="G6" s="2762" t="s">
        <v>3055</v>
      </c>
      <c r="H6" s="2762" t="s">
        <v>3056</v>
      </c>
      <c r="I6" s="2762" t="s">
        <v>3057</v>
      </c>
      <c r="J6" s="2762" t="s">
        <v>3058</v>
      </c>
      <c r="K6" s="2762" t="s">
        <v>3059</v>
      </c>
      <c r="L6" s="2762" t="s">
        <v>3060</v>
      </c>
      <c r="M6" s="2762" t="s">
        <v>3061</v>
      </c>
      <c r="N6" s="2762" t="s">
        <v>3062</v>
      </c>
      <c r="O6" s="2762" t="s">
        <v>3063</v>
      </c>
      <c r="P6" s="2762" t="s">
        <v>3064</v>
      </c>
      <c r="Q6" s="2762" t="s">
        <v>2966</v>
      </c>
      <c r="R6" s="2762" t="s">
        <v>3065</v>
      </c>
      <c r="S6" s="2762" t="s">
        <v>3057</v>
      </c>
      <c r="T6" s="2762" t="s">
        <v>3058</v>
      </c>
      <c r="U6" s="2762" t="s">
        <v>3059</v>
      </c>
      <c r="V6" s="2762" t="s">
        <v>3060</v>
      </c>
      <c r="W6" s="2762" t="s">
        <v>3061</v>
      </c>
      <c r="X6" s="2762" t="s">
        <v>3062</v>
      </c>
      <c r="Y6" s="2762" t="s">
        <v>3063</v>
      </c>
      <c r="Z6" s="2762" t="s">
        <v>3064</v>
      </c>
      <c r="AA6" s="2762" t="s">
        <v>3066</v>
      </c>
    </row>
    <row r="7" spans="1:27" ht="12.75" customHeight="1">
      <c r="A7" s="2763" t="s">
        <v>3067</v>
      </c>
    </row>
    <row r="8" spans="1:27" ht="12.75" customHeight="1">
      <c r="A8" s="2764" t="s">
        <v>3068</v>
      </c>
      <c r="B8" s="2765" t="s">
        <v>3069</v>
      </c>
      <c r="C8" s="2766" t="s">
        <v>3070</v>
      </c>
      <c r="D8" s="2766" t="s">
        <v>3071</v>
      </c>
      <c r="E8" s="2766" t="s">
        <v>3072</v>
      </c>
      <c r="F8" s="2766" t="s">
        <v>3073</v>
      </c>
      <c r="G8" s="2767">
        <v>42094</v>
      </c>
      <c r="H8" s="2767">
        <v>46237</v>
      </c>
      <c r="I8" s="2768">
        <v>389.27607491610001</v>
      </c>
      <c r="J8" s="2768">
        <v>539.70361111267096</v>
      </c>
      <c r="K8" s="2768">
        <v>647.72400209444504</v>
      </c>
      <c r="L8" s="2768">
        <v>744.31783630379402</v>
      </c>
      <c r="M8" s="2768">
        <v>852.43999684455196</v>
      </c>
      <c r="N8" s="2768">
        <v>953.96929054813199</v>
      </c>
      <c r="O8" s="2768">
        <v>976.00232643677202</v>
      </c>
      <c r="P8" s="2768">
        <v>1042.9551774579199</v>
      </c>
      <c r="Q8" s="2769">
        <v>0.15118199985505201</v>
      </c>
      <c r="R8" s="2767">
        <v>42094</v>
      </c>
      <c r="S8" s="2768">
        <v>389.27607491610001</v>
      </c>
      <c r="T8" s="2768">
        <v>539.70361111267096</v>
      </c>
      <c r="U8" s="2768">
        <v>647.72400209444504</v>
      </c>
      <c r="V8" s="2768">
        <v>744.31783630379402</v>
      </c>
      <c r="W8" s="2768">
        <v>852.43999684455196</v>
      </c>
      <c r="X8" s="2768">
        <v>953.96929054813199</v>
      </c>
      <c r="Y8" s="2768">
        <v>976.00232643677202</v>
      </c>
      <c r="Z8" s="2768">
        <v>1042.9551774579199</v>
      </c>
      <c r="AA8" s="2766" t="s">
        <v>861</v>
      </c>
    </row>
    <row r="9" spans="1:27" ht="22.5" customHeight="1">
      <c r="A9" s="2759"/>
      <c r="B9" s="2765" t="s">
        <v>3080</v>
      </c>
      <c r="C9" s="2766" t="s">
        <v>3081</v>
      </c>
      <c r="D9" s="2766" t="s">
        <v>3082</v>
      </c>
      <c r="E9" s="2766" t="s">
        <v>3083</v>
      </c>
      <c r="F9" s="2766" t="s">
        <v>3084</v>
      </c>
      <c r="G9" s="2767">
        <v>41932</v>
      </c>
      <c r="H9" s="2767">
        <v>45742</v>
      </c>
      <c r="I9" s="2768">
        <v>84.087599999999995</v>
      </c>
      <c r="J9" s="2768">
        <v>153.27505381642999</v>
      </c>
      <c r="K9" s="2768">
        <v>204.17952186593399</v>
      </c>
      <c r="L9" s="2768">
        <v>225.911253723698</v>
      </c>
      <c r="M9" s="2768">
        <v>240.84212696038401</v>
      </c>
      <c r="N9" s="2768">
        <v>258.167816793562</v>
      </c>
      <c r="O9" s="2768">
        <v>277.36595694713299</v>
      </c>
      <c r="P9" s="2768">
        <v>296.07155955633499</v>
      </c>
      <c r="Q9" s="2769">
        <v>0.197002236980414</v>
      </c>
      <c r="R9" s="2767">
        <v>41932</v>
      </c>
      <c r="S9" s="2768">
        <v>84.087599999999995</v>
      </c>
      <c r="T9" s="2768">
        <v>153.27505381642999</v>
      </c>
      <c r="U9" s="2768">
        <v>204.17952186593399</v>
      </c>
      <c r="V9" s="2768">
        <v>225.911253723698</v>
      </c>
      <c r="W9" s="2768">
        <v>240.84212696038401</v>
      </c>
      <c r="X9" s="2768">
        <v>258.167816793562</v>
      </c>
      <c r="Y9" s="2768">
        <v>277.36595694713299</v>
      </c>
      <c r="Z9" s="2768">
        <v>296.07155955633499</v>
      </c>
      <c r="AA9" s="2766" t="s">
        <v>861</v>
      </c>
    </row>
    <row r="10" spans="1:27" ht="12.75" customHeight="1">
      <c r="A10" s="2759"/>
      <c r="B10" s="2765" t="s">
        <v>3085</v>
      </c>
      <c r="C10" s="2766" t="s">
        <v>3086</v>
      </c>
      <c r="D10" s="2766" t="s">
        <v>3087</v>
      </c>
      <c r="E10" s="2766" t="s">
        <v>3088</v>
      </c>
      <c r="F10" s="2766" t="s">
        <v>3089</v>
      </c>
      <c r="G10" s="2767">
        <v>39248</v>
      </c>
      <c r="H10" s="2765" t="s">
        <v>3079</v>
      </c>
      <c r="I10" s="2768">
        <v>175.23962610600199</v>
      </c>
      <c r="J10" s="2768">
        <v>190.102601054015</v>
      </c>
      <c r="K10" s="2768">
        <v>191.33766836971699</v>
      </c>
      <c r="L10" s="2768">
        <v>191.33766836971699</v>
      </c>
      <c r="M10" s="2768">
        <v>191.33766836971699</v>
      </c>
      <c r="N10" s="2768">
        <v>191.33766836971699</v>
      </c>
      <c r="O10" s="2768">
        <v>191.33766836971699</v>
      </c>
      <c r="P10" s="2768">
        <v>191.33766836971699</v>
      </c>
      <c r="Q10" s="2769">
        <v>1.26342078218007E-2</v>
      </c>
      <c r="R10" s="2767">
        <v>39248</v>
      </c>
      <c r="S10" s="2768">
        <v>175.23962610600199</v>
      </c>
      <c r="T10" s="2768">
        <v>190.102601054015</v>
      </c>
      <c r="U10" s="2768">
        <v>191.33766836971699</v>
      </c>
      <c r="V10" s="2768">
        <v>191.33766836971699</v>
      </c>
      <c r="W10" s="2768">
        <v>191.33766836971699</v>
      </c>
      <c r="X10" s="2768">
        <v>191.33766836971699</v>
      </c>
      <c r="Y10" s="2768">
        <v>191.33766836971699</v>
      </c>
      <c r="Z10" s="2768">
        <v>191.33766836971699</v>
      </c>
      <c r="AA10" s="2766" t="s">
        <v>861</v>
      </c>
    </row>
    <row r="11" spans="1:27" ht="12.75" customHeight="1">
      <c r="A11" s="2759"/>
      <c r="B11" s="2765" t="s">
        <v>3093</v>
      </c>
      <c r="C11" s="2766" t="s">
        <v>3094</v>
      </c>
      <c r="D11" s="2766" t="s">
        <v>3095</v>
      </c>
      <c r="E11" s="2766" t="s">
        <v>3096</v>
      </c>
      <c r="F11" s="2766" t="s">
        <v>3097</v>
      </c>
      <c r="G11" s="2767">
        <v>41169</v>
      </c>
      <c r="H11" s="2767">
        <v>45627</v>
      </c>
      <c r="I11" s="2768">
        <v>44.982999999999997</v>
      </c>
      <c r="J11" s="2768">
        <v>64.3674281098546</v>
      </c>
      <c r="K11" s="2768">
        <v>72.355967689822293</v>
      </c>
      <c r="L11" s="2768">
        <v>80.895441033925707</v>
      </c>
      <c r="M11" s="2768">
        <v>83.925576736672099</v>
      </c>
      <c r="N11" s="2768">
        <v>87.139357027463703</v>
      </c>
      <c r="O11" s="2768">
        <v>90.444959612277898</v>
      </c>
      <c r="P11" s="2768">
        <v>93.8423844911147</v>
      </c>
      <c r="Q11" s="2769">
        <v>0.11076328683079099</v>
      </c>
      <c r="R11" s="2767">
        <v>41169</v>
      </c>
      <c r="S11" s="2768">
        <v>44.982999999999997</v>
      </c>
      <c r="T11" s="2768">
        <v>64.3674281098546</v>
      </c>
      <c r="U11" s="2768">
        <v>72.355967689822293</v>
      </c>
      <c r="V11" s="2768">
        <v>80.895441033925707</v>
      </c>
      <c r="W11" s="2768">
        <v>83.925576736672099</v>
      </c>
      <c r="X11" s="2768">
        <v>87.139357027463703</v>
      </c>
      <c r="Y11" s="2768">
        <v>90.444959612277898</v>
      </c>
      <c r="Z11" s="2768">
        <v>93.8423844911147</v>
      </c>
      <c r="AA11" s="2766" t="s">
        <v>861</v>
      </c>
    </row>
    <row r="12" spans="1:27" ht="12.75" customHeight="1">
      <c r="A12" s="2759"/>
      <c r="B12" s="2765" t="s">
        <v>3098</v>
      </c>
      <c r="C12" s="2766" t="s">
        <v>3099</v>
      </c>
      <c r="D12" s="2766" t="s">
        <v>3100</v>
      </c>
      <c r="E12" s="2766" t="s">
        <v>3101</v>
      </c>
      <c r="F12" s="2766" t="s">
        <v>3102</v>
      </c>
      <c r="G12" s="2767">
        <v>42174</v>
      </c>
      <c r="H12" s="2767">
        <v>46889</v>
      </c>
      <c r="I12" s="2768">
        <v>56.3</v>
      </c>
      <c r="J12" s="2768">
        <v>46.253599999999999</v>
      </c>
      <c r="K12" s="2768">
        <v>50.474407999999997</v>
      </c>
      <c r="L12" s="2768">
        <v>54.396128400000002</v>
      </c>
      <c r="M12" s="2768">
        <v>58.035334820000003</v>
      </c>
      <c r="N12" s="2768">
        <v>61.255256561000003</v>
      </c>
      <c r="O12" s="2768">
        <v>64.347019389050004</v>
      </c>
      <c r="P12" s="2768">
        <v>67.378782217099996</v>
      </c>
      <c r="Q12" s="2769">
        <v>2.5994342661978899E-2</v>
      </c>
      <c r="R12" s="2767">
        <v>42174</v>
      </c>
      <c r="S12" s="2768">
        <v>56.3</v>
      </c>
      <c r="T12" s="2768">
        <v>46.253599999999999</v>
      </c>
      <c r="U12" s="2768">
        <v>50.474407999999997</v>
      </c>
      <c r="V12" s="2768">
        <v>54.396128400000002</v>
      </c>
      <c r="W12" s="2768">
        <v>58.035334820000003</v>
      </c>
      <c r="X12" s="2768">
        <v>61.255256561000003</v>
      </c>
      <c r="Y12" s="2768">
        <v>64.347019389050004</v>
      </c>
      <c r="Z12" s="2768">
        <v>67.378782217099996</v>
      </c>
      <c r="AA12" s="2766" t="s">
        <v>861</v>
      </c>
    </row>
    <row r="13" spans="1:27" ht="12.75" customHeight="1">
      <c r="A13" s="2759"/>
      <c r="B13" s="2765" t="s">
        <v>3103</v>
      </c>
      <c r="C13" s="2766" t="s">
        <v>3104</v>
      </c>
      <c r="D13" s="2766" t="s">
        <v>3105</v>
      </c>
      <c r="E13" s="2766" t="s">
        <v>3106</v>
      </c>
      <c r="F13" s="2766" t="s">
        <v>3107</v>
      </c>
      <c r="G13" s="2767">
        <v>41436</v>
      </c>
      <c r="H13" s="2767">
        <v>46199</v>
      </c>
      <c r="I13" s="2768">
        <v>43.318537254369701</v>
      </c>
      <c r="J13" s="2768">
        <v>32.654211773485798</v>
      </c>
      <c r="K13" s="2768">
        <v>36.757874198643499</v>
      </c>
      <c r="L13" s="2768">
        <v>47.152280962556901</v>
      </c>
      <c r="M13" s="2768">
        <v>51.681687261915798</v>
      </c>
      <c r="N13" s="2768">
        <v>56.211093561274701</v>
      </c>
      <c r="O13" s="2768">
        <v>60.740499860633697</v>
      </c>
      <c r="P13" s="2768">
        <v>65.269906159992601</v>
      </c>
      <c r="Q13" s="2769">
        <v>6.0313210022764997E-2</v>
      </c>
      <c r="R13" s="2767">
        <v>41436</v>
      </c>
      <c r="S13" s="2768">
        <v>43.318537254369701</v>
      </c>
      <c r="T13" s="2768">
        <v>32.654211773485798</v>
      </c>
      <c r="U13" s="2768">
        <v>36.757874198643499</v>
      </c>
      <c r="V13" s="2768">
        <v>47.152280962556901</v>
      </c>
      <c r="W13" s="2768">
        <v>51.681687261915798</v>
      </c>
      <c r="X13" s="2768">
        <v>56.211093561274701</v>
      </c>
      <c r="Y13" s="2768">
        <v>60.740499860633697</v>
      </c>
      <c r="Z13" s="2768">
        <v>65.269906159992601</v>
      </c>
      <c r="AA13" s="2766" t="s">
        <v>861</v>
      </c>
    </row>
    <row r="14" spans="1:27" ht="12.75" customHeight="1">
      <c r="A14" s="2759"/>
      <c r="B14" s="2765" t="s">
        <v>3108</v>
      </c>
      <c r="C14" s="2766" t="s">
        <v>3109</v>
      </c>
      <c r="D14" s="2766" t="s">
        <v>3110</v>
      </c>
      <c r="E14" s="2766" t="s">
        <v>3111</v>
      </c>
      <c r="F14" s="2766" t="s">
        <v>3112</v>
      </c>
      <c r="G14" s="2767">
        <v>39994</v>
      </c>
      <c r="H14" s="2765" t="s">
        <v>3079</v>
      </c>
      <c r="I14" s="2768">
        <v>41.3807835514624</v>
      </c>
      <c r="J14" s="2768">
        <v>42.918371301571199</v>
      </c>
      <c r="K14" s="2768">
        <v>45.045271709922297</v>
      </c>
      <c r="L14" s="2768">
        <v>47.297535295418399</v>
      </c>
      <c r="M14" s="2768">
        <v>49.662412060189297</v>
      </c>
      <c r="N14" s="2768">
        <v>52.1455326631988</v>
      </c>
      <c r="O14" s="2768">
        <v>54.752809296358699</v>
      </c>
      <c r="P14" s="2768">
        <v>57.490449761176599</v>
      </c>
      <c r="Q14" s="2769">
        <v>4.8092397842519202E-2</v>
      </c>
      <c r="R14" s="2767">
        <v>39994</v>
      </c>
      <c r="S14" s="2768">
        <v>41.3807835514624</v>
      </c>
      <c r="T14" s="2768">
        <v>42.918371301571199</v>
      </c>
      <c r="U14" s="2768">
        <v>45.045271709922297</v>
      </c>
      <c r="V14" s="2768">
        <v>47.297535295418399</v>
      </c>
      <c r="W14" s="2768">
        <v>49.662412060189297</v>
      </c>
      <c r="X14" s="2768">
        <v>52.1455326631988</v>
      </c>
      <c r="Y14" s="2768">
        <v>54.752809296358699</v>
      </c>
      <c r="Z14" s="2768">
        <v>57.490449761176599</v>
      </c>
      <c r="AA14" s="2766" t="s">
        <v>861</v>
      </c>
    </row>
    <row r="15" spans="1:27" ht="22.5" customHeight="1">
      <c r="A15" s="2759"/>
      <c r="B15" s="2765" t="s">
        <v>3113</v>
      </c>
      <c r="C15" s="2766" t="s">
        <v>3114</v>
      </c>
      <c r="D15" s="2766" t="s">
        <v>3115</v>
      </c>
      <c r="E15" s="2766" t="s">
        <v>3116</v>
      </c>
      <c r="F15" s="2766" t="s">
        <v>3117</v>
      </c>
      <c r="G15" s="2767">
        <v>40451</v>
      </c>
      <c r="H15" s="2765" t="s">
        <v>3079</v>
      </c>
      <c r="I15" s="2768">
        <v>17.845056572846602</v>
      </c>
      <c r="J15" s="2768">
        <v>19.629562230131199</v>
      </c>
      <c r="K15" s="2768">
        <v>21.592518453144301</v>
      </c>
      <c r="L15" s="2768">
        <v>23.751770298458801</v>
      </c>
      <c r="M15" s="2768">
        <v>26.126947328304698</v>
      </c>
      <c r="N15" s="2768">
        <v>28.7396420611351</v>
      </c>
      <c r="O15" s="2768">
        <v>31.613606267248599</v>
      </c>
      <c r="P15" s="2768">
        <v>34.774966893973499</v>
      </c>
      <c r="Q15" s="2769">
        <v>9.9999999999999603E-2</v>
      </c>
      <c r="R15" s="2767">
        <v>40451</v>
      </c>
      <c r="S15" s="2768">
        <v>17.845056572846602</v>
      </c>
      <c r="T15" s="2768">
        <v>19.629562230131199</v>
      </c>
      <c r="U15" s="2768">
        <v>21.592518453144301</v>
      </c>
      <c r="V15" s="2768">
        <v>23.751770298458801</v>
      </c>
      <c r="W15" s="2768">
        <v>26.126947328304698</v>
      </c>
      <c r="X15" s="2768">
        <v>28.7396420611351</v>
      </c>
      <c r="Y15" s="2768">
        <v>31.613606267248599</v>
      </c>
      <c r="Z15" s="2768">
        <v>34.774966893973499</v>
      </c>
      <c r="AA15" s="2766" t="s">
        <v>861</v>
      </c>
    </row>
    <row r="16" spans="1:27" ht="22.5" customHeight="1">
      <c r="A16" s="2759"/>
      <c r="B16" s="2765" t="s">
        <v>3118</v>
      </c>
      <c r="C16" s="2766" t="s">
        <v>3119</v>
      </c>
      <c r="D16" s="2766" t="s">
        <v>3120</v>
      </c>
      <c r="E16" s="2766" t="s">
        <v>3116</v>
      </c>
      <c r="F16" s="2766" t="s">
        <v>3117</v>
      </c>
      <c r="G16" s="2767">
        <v>35838</v>
      </c>
      <c r="H16" s="2767">
        <v>39427</v>
      </c>
      <c r="I16" s="2768">
        <v>35.784378784666202</v>
      </c>
      <c r="J16" s="2768">
        <v>35.054085340081201</v>
      </c>
      <c r="K16" s="2768">
        <v>34.3237918954961</v>
      </c>
      <c r="L16" s="2768">
        <v>33.593498450911099</v>
      </c>
      <c r="M16" s="2768">
        <v>32.863205006326098</v>
      </c>
      <c r="N16" s="2768">
        <v>32.132911561741103</v>
      </c>
      <c r="O16" s="2768">
        <v>31.402618117156099</v>
      </c>
      <c r="P16" s="2768">
        <v>30.672324672571001</v>
      </c>
      <c r="Q16" s="2769">
        <v>-2.1780822017817399E-2</v>
      </c>
      <c r="R16" s="2767">
        <v>35838</v>
      </c>
      <c r="S16" s="2768">
        <v>35.784378784666202</v>
      </c>
      <c r="T16" s="2768">
        <v>35.054085340081201</v>
      </c>
      <c r="U16" s="2768">
        <v>34.3237918954961</v>
      </c>
      <c r="V16" s="2768">
        <v>33.593498450911099</v>
      </c>
      <c r="W16" s="2768">
        <v>32.863205006326098</v>
      </c>
      <c r="X16" s="2768">
        <v>32.132911561741103</v>
      </c>
      <c r="Y16" s="2768">
        <v>31.402618117156099</v>
      </c>
      <c r="Z16" s="2768">
        <v>30.672324672571001</v>
      </c>
      <c r="AA16" s="2766" t="s">
        <v>861</v>
      </c>
    </row>
    <row r="17" spans="1:27" ht="12.75" customHeight="1">
      <c r="A17" s="2759"/>
      <c r="B17" s="2765" t="s">
        <v>3121</v>
      </c>
      <c r="C17" s="2766" t="s">
        <v>3122</v>
      </c>
      <c r="D17" s="2766" t="s">
        <v>3123</v>
      </c>
      <c r="E17" s="2766" t="s">
        <v>3124</v>
      </c>
      <c r="F17" s="2766" t="s">
        <v>3089</v>
      </c>
      <c r="G17" s="2767">
        <v>41540</v>
      </c>
      <c r="H17" s="2765" t="s">
        <v>3079</v>
      </c>
      <c r="I17" s="2768">
        <v>19.403094811853101</v>
      </c>
      <c r="J17" s="2768">
        <v>20.8727205938475</v>
      </c>
      <c r="K17" s="2768">
        <v>22.298615627613099</v>
      </c>
      <c r="L17" s="2768">
        <v>22.298615627613099</v>
      </c>
      <c r="M17" s="2768">
        <v>23.692279104338901</v>
      </c>
      <c r="N17" s="2768">
        <v>25.085942581064799</v>
      </c>
      <c r="O17" s="2768">
        <v>26.479606057790601</v>
      </c>
      <c r="P17" s="2768">
        <v>27.8732695345164</v>
      </c>
      <c r="Q17" s="2769">
        <v>5.3110260375098799E-2</v>
      </c>
      <c r="R17" s="2767">
        <v>41540</v>
      </c>
      <c r="S17" s="2768">
        <v>19.403094811853101</v>
      </c>
      <c r="T17" s="2768">
        <v>20.8727205938475</v>
      </c>
      <c r="U17" s="2768">
        <v>22.298615627613099</v>
      </c>
      <c r="V17" s="2768">
        <v>22.298615627613099</v>
      </c>
      <c r="W17" s="2768">
        <v>23.692279104338901</v>
      </c>
      <c r="X17" s="2768">
        <v>25.085942581064799</v>
      </c>
      <c r="Y17" s="2768">
        <v>26.479606057790601</v>
      </c>
      <c r="Z17" s="2768">
        <v>27.8732695345164</v>
      </c>
      <c r="AA17" s="2766" t="s">
        <v>861</v>
      </c>
    </row>
    <row r="18" spans="1:27" ht="22.5" customHeight="1">
      <c r="A18" s="2759"/>
      <c r="B18" s="2765" t="s">
        <v>3125</v>
      </c>
      <c r="C18" s="2766" t="s">
        <v>3081</v>
      </c>
      <c r="D18" s="2766" t="s">
        <v>3126</v>
      </c>
      <c r="E18" s="2766" t="s">
        <v>3083</v>
      </c>
      <c r="F18" s="2766" t="s">
        <v>3084</v>
      </c>
      <c r="G18" s="2767">
        <v>42760</v>
      </c>
      <c r="H18" s="2765" t="s">
        <v>3079</v>
      </c>
      <c r="I18" s="2768">
        <v>0.11300406124078199</v>
      </c>
      <c r="J18" s="2768">
        <v>0.61196816015314603</v>
      </c>
      <c r="K18" s="2768">
        <v>1.84112333071485</v>
      </c>
      <c r="L18" s="2768">
        <v>2.4548311076198002</v>
      </c>
      <c r="M18" s="2768">
        <v>3.0685388845247501</v>
      </c>
      <c r="N18" s="2768">
        <v>3.6822466614297</v>
      </c>
      <c r="O18" s="2768">
        <v>4.2959544383346504</v>
      </c>
      <c r="P18" s="2768">
        <v>4.9096622152396003</v>
      </c>
      <c r="Q18" s="2769">
        <v>0.71393338146325303</v>
      </c>
      <c r="R18" s="2767">
        <v>42760</v>
      </c>
      <c r="S18" s="2768">
        <v>0.11300406124078199</v>
      </c>
      <c r="T18" s="2768">
        <v>0.61196816015314603</v>
      </c>
      <c r="U18" s="2768">
        <v>1.84112333071485</v>
      </c>
      <c r="V18" s="2768">
        <v>2.4548311076198002</v>
      </c>
      <c r="W18" s="2768">
        <v>3.0685388845247501</v>
      </c>
      <c r="X18" s="2768">
        <v>3.6822466614297</v>
      </c>
      <c r="Y18" s="2768">
        <v>4.2959544383346504</v>
      </c>
      <c r="Z18" s="2768">
        <v>4.9096622152396003</v>
      </c>
      <c r="AA18" s="2766" t="s">
        <v>861</v>
      </c>
    </row>
    <row r="19" spans="1:27" ht="12.75" customHeight="1">
      <c r="A19" s="2759"/>
      <c r="B19" s="2765" t="s">
        <v>3127</v>
      </c>
      <c r="C19" s="2766" t="s">
        <v>3128</v>
      </c>
      <c r="D19" s="2766" t="s">
        <v>3100</v>
      </c>
      <c r="E19" s="2766" t="s">
        <v>3129</v>
      </c>
      <c r="F19" s="2766" t="s">
        <v>3112</v>
      </c>
      <c r="G19" s="2767">
        <v>21823</v>
      </c>
      <c r="H19" s="2765" t="s">
        <v>3079</v>
      </c>
      <c r="I19" s="2768">
        <v>3.1</v>
      </c>
      <c r="J19" s="2768">
        <v>2.7</v>
      </c>
      <c r="K19" s="2768">
        <v>2.2999999999999998</v>
      </c>
      <c r="L19" s="2768">
        <v>1.9</v>
      </c>
      <c r="M19" s="2768">
        <v>1.5</v>
      </c>
      <c r="N19" s="2768">
        <v>1.1000000000000001</v>
      </c>
      <c r="O19" s="2768">
        <v>0.70000000000000095</v>
      </c>
      <c r="P19" s="2768">
        <v>0.30000000000000099</v>
      </c>
      <c r="Q19" s="2769">
        <v>-0.28367763863603901</v>
      </c>
      <c r="R19" s="2767">
        <v>21823</v>
      </c>
      <c r="S19" s="2768">
        <v>3.1</v>
      </c>
      <c r="T19" s="2768">
        <v>2.7</v>
      </c>
      <c r="U19" s="2768">
        <v>2.2999999999999998</v>
      </c>
      <c r="V19" s="2768">
        <v>1.9</v>
      </c>
      <c r="W19" s="2768">
        <v>1.5</v>
      </c>
      <c r="X19" s="2768">
        <v>1.1000000000000001</v>
      </c>
      <c r="Y19" s="2768">
        <v>0.70000000000000095</v>
      </c>
      <c r="Z19" s="2768">
        <v>0.30000000000000099</v>
      </c>
      <c r="AA19" s="2766" t="s">
        <v>861</v>
      </c>
    </row>
    <row r="20" spans="1:27" ht="22.5" customHeight="1">
      <c r="A20" s="2759"/>
      <c r="B20" s="2765" t="s">
        <v>3079</v>
      </c>
      <c r="C20" s="2766" t="s">
        <v>3081</v>
      </c>
      <c r="D20" s="2766" t="s">
        <v>3130</v>
      </c>
      <c r="E20" s="2766" t="s">
        <v>3083</v>
      </c>
      <c r="F20" s="2766" t="s">
        <v>3084</v>
      </c>
      <c r="G20" s="2767">
        <v>43069</v>
      </c>
      <c r="H20" s="2765" t="s">
        <v>3079</v>
      </c>
      <c r="I20" s="2768">
        <v>0.120078073684783</v>
      </c>
      <c r="J20" s="2765">
        <v>0</v>
      </c>
      <c r="K20" s="2765">
        <v>0</v>
      </c>
      <c r="L20" s="2765">
        <v>0</v>
      </c>
      <c r="M20" s="2765">
        <v>0</v>
      </c>
      <c r="N20" s="2765">
        <v>0</v>
      </c>
      <c r="O20" s="2765">
        <v>0</v>
      </c>
      <c r="P20" s="2765">
        <v>0</v>
      </c>
      <c r="Q20" s="2770" t="s">
        <v>13</v>
      </c>
      <c r="R20" s="2767">
        <v>43069</v>
      </c>
      <c r="S20" s="2768">
        <v>0.120078073684783</v>
      </c>
      <c r="T20" s="2765">
        <v>0</v>
      </c>
      <c r="U20" s="2765">
        <v>0</v>
      </c>
      <c r="V20" s="2765">
        <v>0</v>
      </c>
      <c r="W20" s="2765">
        <v>0</v>
      </c>
      <c r="X20" s="2765">
        <v>0</v>
      </c>
      <c r="Y20" s="2765">
        <v>0</v>
      </c>
      <c r="Z20" s="2765">
        <v>0</v>
      </c>
      <c r="AA20" s="2766" t="s">
        <v>861</v>
      </c>
    </row>
    <row r="21" spans="1:27" ht="12.75" customHeight="1">
      <c r="A21" s="2759"/>
      <c r="B21" s="2765" t="s">
        <v>3090</v>
      </c>
      <c r="C21" s="2766" t="s">
        <v>3091</v>
      </c>
      <c r="D21" s="2766" t="s">
        <v>3071</v>
      </c>
      <c r="E21" s="2766" t="s">
        <v>3092</v>
      </c>
      <c r="F21" s="2766" t="s">
        <v>3073</v>
      </c>
      <c r="G21" s="2767">
        <v>43136</v>
      </c>
      <c r="H21" s="2767">
        <v>47147</v>
      </c>
      <c r="I21" s="2765">
        <v>0</v>
      </c>
      <c r="J21" s="2765">
        <v>0</v>
      </c>
      <c r="K21" s="2765">
        <v>0</v>
      </c>
      <c r="L21" s="2765">
        <v>0</v>
      </c>
      <c r="M21" s="2765">
        <v>0</v>
      </c>
      <c r="N21" s="2768">
        <v>63.982403158359901</v>
      </c>
      <c r="O21" s="2768">
        <v>126.519325717923</v>
      </c>
      <c r="P21" s="2768">
        <v>187.724368497988</v>
      </c>
      <c r="Q21" s="2770" t="s">
        <v>13</v>
      </c>
      <c r="R21" s="2767">
        <v>44926</v>
      </c>
      <c r="S21" s="2765" t="s">
        <v>3079</v>
      </c>
      <c r="T21" s="2768">
        <v>249.37480958399999</v>
      </c>
      <c r="U21" s="2768">
        <v>900.14342380530297</v>
      </c>
      <c r="V21" s="2768">
        <v>1817.29467902997</v>
      </c>
      <c r="W21" s="2768">
        <v>2737.5088897769801</v>
      </c>
      <c r="X21" s="2768">
        <v>3477.5379167862202</v>
      </c>
      <c r="Y21" s="2768">
        <v>4134.3990995940603</v>
      </c>
      <c r="Z21" s="2768">
        <v>4778.2449804759799</v>
      </c>
      <c r="AA21" s="2766" t="s">
        <v>518</v>
      </c>
    </row>
    <row r="22" spans="1:27" ht="12.75" customHeight="1">
      <c r="A22" s="2759"/>
      <c r="B22" s="2765" t="s">
        <v>3074</v>
      </c>
      <c r="C22" s="2766" t="s">
        <v>3075</v>
      </c>
      <c r="D22" s="2766" t="s">
        <v>3076</v>
      </c>
      <c r="E22" s="2766" t="s">
        <v>3077</v>
      </c>
      <c r="F22" s="2766" t="s">
        <v>3078</v>
      </c>
      <c r="G22" s="2767">
        <v>43830</v>
      </c>
      <c r="H22" s="2767">
        <v>46752</v>
      </c>
      <c r="I22" s="2765">
        <v>0</v>
      </c>
      <c r="J22" s="2765">
        <v>0</v>
      </c>
      <c r="K22" s="2768">
        <v>0.32109885736448501</v>
      </c>
      <c r="L22" s="2768">
        <v>9.1271334779744109</v>
      </c>
      <c r="M22" s="2768">
        <v>44.980863187672298</v>
      </c>
      <c r="N22" s="2768">
        <v>122.894502103604</v>
      </c>
      <c r="O22" s="2768">
        <v>225.02063405880199</v>
      </c>
      <c r="P22" s="2768">
        <v>347.42406521825598</v>
      </c>
      <c r="Q22" s="2770" t="s">
        <v>13</v>
      </c>
      <c r="R22" s="2767">
        <v>43830</v>
      </c>
      <c r="S22" s="2765" t="s">
        <v>3079</v>
      </c>
      <c r="T22" s="2765" t="s">
        <v>3079</v>
      </c>
      <c r="U22" s="2768">
        <v>0.32109885736448501</v>
      </c>
      <c r="V22" s="2768">
        <v>9.1271334779744109</v>
      </c>
      <c r="W22" s="2768">
        <v>44.980863187672298</v>
      </c>
      <c r="X22" s="2768">
        <v>122.894502103604</v>
      </c>
      <c r="Y22" s="2768">
        <v>225.02063405880199</v>
      </c>
      <c r="Z22" s="2768">
        <v>347.42406521825598</v>
      </c>
      <c r="AA22" s="2766" t="s">
        <v>518</v>
      </c>
    </row>
    <row r="23" spans="1:27" ht="22.5" customHeight="1">
      <c r="A23" s="2759"/>
      <c r="B23" s="2765"/>
      <c r="C23" s="2766"/>
      <c r="D23" s="2766"/>
      <c r="E23" s="2766"/>
      <c r="F23" s="2766"/>
      <c r="G23" s="2767"/>
      <c r="H23" s="2765"/>
      <c r="I23" s="2768"/>
      <c r="J23" s="2765"/>
      <c r="K23" s="2765"/>
      <c r="L23" s="2765"/>
      <c r="M23" s="2765"/>
      <c r="N23" s="2765"/>
      <c r="O23" s="2765"/>
      <c r="P23" s="2765"/>
      <c r="Q23" s="2770"/>
      <c r="R23" s="2767"/>
      <c r="S23" s="2768"/>
      <c r="T23" s="2765"/>
      <c r="U23" s="2765"/>
      <c r="V23" s="2765"/>
      <c r="W23" s="2765"/>
      <c r="X23" s="2765"/>
      <c r="Y23" s="2765"/>
      <c r="Z23" s="2765"/>
      <c r="AA23" s="2766"/>
    </row>
    <row r="24" spans="1:27" ht="22.5" customHeight="1">
      <c r="A24" s="2759"/>
      <c r="B24" s="2765"/>
      <c r="C24" s="2766"/>
      <c r="D24" s="2766"/>
      <c r="E24" s="2766"/>
      <c r="F24" s="2766"/>
      <c r="G24" s="2767"/>
      <c r="H24" s="2765"/>
      <c r="I24" s="2768"/>
      <c r="J24" s="2765"/>
      <c r="K24" s="2765"/>
      <c r="L24" s="2765"/>
      <c r="M24" s="2765"/>
      <c r="N24" s="2765"/>
      <c r="O24" s="2765"/>
      <c r="P24" s="2765"/>
      <c r="Q24" s="2770"/>
      <c r="R24" s="2767"/>
      <c r="S24" s="2768"/>
      <c r="T24" s="2765"/>
      <c r="U24" s="2765"/>
      <c r="V24" s="2765"/>
      <c r="W24" s="2765"/>
      <c r="X24" s="2765"/>
      <c r="Y24" s="2765"/>
      <c r="Z24" s="2765"/>
      <c r="AA24" s="2766"/>
    </row>
    <row r="25" spans="1:27" ht="22.5" customHeight="1">
      <c r="A25" s="2759"/>
      <c r="B25" s="2765"/>
      <c r="C25" s="2766"/>
      <c r="D25" s="2766"/>
      <c r="E25" s="2766"/>
      <c r="F25" s="2766"/>
      <c r="G25" s="2767"/>
      <c r="H25" s="2765"/>
      <c r="I25" s="2768"/>
      <c r="J25" s="2765"/>
      <c r="K25" s="2765"/>
      <c r="L25" s="2765"/>
      <c r="M25" s="2765"/>
      <c r="N25" s="2765"/>
      <c r="O25" s="2765"/>
      <c r="P25" s="2765"/>
      <c r="Q25" s="2770"/>
      <c r="R25" s="2767"/>
      <c r="S25" s="2768"/>
      <c r="T25" s="2765"/>
      <c r="U25" s="2765"/>
      <c r="V25" s="2765"/>
      <c r="W25" s="2765"/>
      <c r="X25" s="2765"/>
      <c r="Y25" s="2765"/>
      <c r="Z25" s="2765"/>
      <c r="AA25" s="2766"/>
    </row>
    <row r="26" spans="1:27" ht="12.75" customHeight="1">
      <c r="A26" s="2771" t="s">
        <v>3131</v>
      </c>
      <c r="B26" s="2771"/>
      <c r="C26" s="2771"/>
      <c r="D26" s="2771"/>
      <c r="E26" s="2771"/>
      <c r="F26" s="2771"/>
      <c r="G26" s="2771"/>
      <c r="H26" s="2771"/>
      <c r="I26" s="2772" t="s">
        <v>3079</v>
      </c>
      <c r="J26" s="2772" t="s">
        <v>3079</v>
      </c>
      <c r="K26" s="2772" t="s">
        <v>3079</v>
      </c>
      <c r="L26" s="2772" t="s">
        <v>3079</v>
      </c>
      <c r="M26" s="2772" t="s">
        <v>3079</v>
      </c>
      <c r="N26" s="2772" t="s">
        <v>3079</v>
      </c>
      <c r="O26" s="2772" t="s">
        <v>3079</v>
      </c>
      <c r="P26" s="2772" t="s">
        <v>3079</v>
      </c>
      <c r="Q26" s="2773" t="s">
        <v>3079</v>
      </c>
      <c r="R26" s="2771"/>
      <c r="S26" s="2774">
        <v>4637.4549992053599</v>
      </c>
      <c r="T26" s="2774">
        <v>4863.7166857783996</v>
      </c>
      <c r="U26" s="2774">
        <v>5056.1153284246102</v>
      </c>
      <c r="V26" s="2774">
        <v>5371.4097330314598</v>
      </c>
      <c r="W26" s="2774">
        <v>5889.4241073537796</v>
      </c>
      <c r="X26" s="2774">
        <v>6838.4961619260603</v>
      </c>
      <c r="Y26" s="2774">
        <v>7496.2419284875295</v>
      </c>
      <c r="Z26" s="2774">
        <v>8213.0879653125394</v>
      </c>
      <c r="AA26" s="2771"/>
    </row>
    <row r="27" spans="1:27" ht="12.75" customHeight="1">
      <c r="A27" s="2771" t="s">
        <v>3132</v>
      </c>
      <c r="B27" s="2771"/>
      <c r="C27" s="2771"/>
      <c r="D27" s="2771"/>
      <c r="E27" s="2771"/>
      <c r="F27" s="2771"/>
      <c r="G27" s="2771"/>
      <c r="H27" s="2771"/>
      <c r="I27" s="2774">
        <v>910.95123413222495</v>
      </c>
      <c r="J27" s="2774">
        <v>1148.14321349224</v>
      </c>
      <c r="K27" s="2774">
        <v>1330.5518620928201</v>
      </c>
      <c r="L27" s="2774">
        <v>1484.4339930516901</v>
      </c>
      <c r="M27" s="2774">
        <v>1660.1566365645999</v>
      </c>
      <c r="N27" s="2774">
        <v>1937.8436636516799</v>
      </c>
      <c r="O27" s="2774">
        <v>2161.0229845692002</v>
      </c>
      <c r="P27" s="2774">
        <v>2448.0245850459</v>
      </c>
      <c r="Q27" s="2775">
        <v>0.15167919371689401</v>
      </c>
      <c r="R27" s="2771"/>
      <c r="S27" s="2774">
        <v>5548.4062333375896</v>
      </c>
      <c r="T27" s="2774">
        <v>6261.2347088546403</v>
      </c>
      <c r="U27" s="2774">
        <v>7286.8106143227296</v>
      </c>
      <c r="V27" s="2774">
        <v>8673.1384051131208</v>
      </c>
      <c r="W27" s="2774">
        <v>10287.089633695299</v>
      </c>
      <c r="X27" s="2774">
        <v>12189.895339205599</v>
      </c>
      <c r="Y27" s="2774">
        <v>13665.144686932899</v>
      </c>
      <c r="Z27" s="2774">
        <v>15251.6331623364</v>
      </c>
      <c r="AA27" s="2771"/>
    </row>
    <row r="30" spans="1:27" ht="12.75" customHeight="1">
      <c r="A30" s="3295" t="s">
        <v>3133</v>
      </c>
      <c r="B30" s="3295"/>
    </row>
    <row r="31" spans="1:27" ht="12.75" customHeight="1">
      <c r="A31" s="2762" t="s">
        <v>3134</v>
      </c>
      <c r="B31" s="2766" t="s">
        <v>3135</v>
      </c>
      <c r="C31" s="2766" t="s">
        <v>3067</v>
      </c>
      <c r="D31" s="2759" t="s">
        <v>2416</v>
      </c>
    </row>
    <row r="32" spans="1:27" ht="12.75" customHeight="1">
      <c r="A32" s="2762" t="s">
        <v>3136</v>
      </c>
      <c r="B32" s="2759" t="s">
        <v>3137</v>
      </c>
    </row>
    <row r="33" spans="1:26" ht="12.75" customHeight="1">
      <c r="A33" s="2759"/>
      <c r="B33" s="3296" t="s">
        <v>3138</v>
      </c>
      <c r="C33" s="3296"/>
      <c r="D33" s="3296"/>
      <c r="E33" s="3296"/>
      <c r="F33" s="3296"/>
      <c r="G33" s="3296"/>
      <c r="H33" s="3296"/>
      <c r="I33" s="3296"/>
      <c r="J33" s="3296"/>
      <c r="K33" s="3296"/>
      <c r="L33" s="3296"/>
      <c r="M33" s="3296"/>
      <c r="N33" s="3296"/>
      <c r="O33" s="3296"/>
      <c r="P33" s="3296"/>
      <c r="Q33" s="3296"/>
      <c r="R33" s="3296"/>
      <c r="S33" s="3296"/>
      <c r="T33" s="3296"/>
      <c r="U33" s="3296"/>
      <c r="V33" s="3296"/>
      <c r="W33" s="3296"/>
      <c r="X33" s="3296"/>
      <c r="Y33" s="3296"/>
      <c r="Z33" s="3296"/>
    </row>
    <row r="38" spans="1:26" ht="12.75" customHeight="1">
      <c r="C38" s="2766" t="s">
        <v>3070</v>
      </c>
    </row>
    <row r="39" spans="1:26" ht="12.75" customHeight="1">
      <c r="C39" s="2766" t="s">
        <v>3081</v>
      </c>
    </row>
    <row r="40" spans="1:26" ht="12.75" customHeight="1">
      <c r="C40" s="2766" t="s">
        <v>3086</v>
      </c>
    </row>
    <row r="41" spans="1:26" ht="12.75" customHeight="1">
      <c r="C41" s="2766" t="s">
        <v>3094</v>
      </c>
    </row>
    <row r="42" spans="1:26" ht="12.75" customHeight="1">
      <c r="C42" s="2766" t="s">
        <v>3099</v>
      </c>
    </row>
    <row r="43" spans="1:26" ht="12.75" customHeight="1">
      <c r="C43" s="2766" t="s">
        <v>3104</v>
      </c>
    </row>
    <row r="44" spans="1:26" ht="12.75" customHeight="1">
      <c r="C44" s="2766" t="s">
        <v>3109</v>
      </c>
    </row>
    <row r="45" spans="1:26" ht="12.75" customHeight="1">
      <c r="C45" s="2766" t="s">
        <v>3114</v>
      </c>
    </row>
    <row r="46" spans="1:26" ht="12.75" customHeight="1">
      <c r="C46" s="2766" t="s">
        <v>3119</v>
      </c>
    </row>
    <row r="47" spans="1:26" ht="12.75" customHeight="1">
      <c r="C47" s="2766" t="s">
        <v>3122</v>
      </c>
    </row>
    <row r="48" spans="1:26" ht="12.75" customHeight="1">
      <c r="C48" s="2766" t="s">
        <v>3128</v>
      </c>
    </row>
    <row r="49" spans="3:3" ht="12.75" customHeight="1">
      <c r="C49" s="2766" t="s">
        <v>3091</v>
      </c>
    </row>
    <row r="50" spans="3:3" ht="12.75" customHeight="1">
      <c r="C50" s="2766" t="s">
        <v>3075</v>
      </c>
    </row>
  </sheetData>
  <mergeCells count="5">
    <mergeCell ref="B1:AA1"/>
    <mergeCell ref="B2:AA2"/>
    <mergeCell ref="B3:AA3"/>
    <mergeCell ref="A30:B30"/>
    <mergeCell ref="B33:Z33"/>
  </mergeCells>
  <conditionalFormatting sqref="C38:C50">
    <cfRule type="duplicateValues" dxfId="148" priority="179"/>
  </conditionalFormatting>
  <pageMargins left="0.78740157480314998" right="0.78740157480314998" top="0.78740157480314998" bottom="0.78740157480314998" header="0.39370078740157499" footer="0.39370078740157499"/>
  <pageSetup paperSize="9" fitToWidth="0" fitToHeight="0" orientation="portrait"/>
  <legacyDrawing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R22"/>
  <sheetViews>
    <sheetView showGridLines="0" view="pageBreakPreview" zoomScaleNormal="145" zoomScaleSheetLayoutView="100" workbookViewId="0">
      <selection activeCell="J10" sqref="J10"/>
    </sheetView>
  </sheetViews>
  <sheetFormatPr defaultRowHeight="12.75"/>
  <cols>
    <col min="1" max="1" width="4.5" style="405" customWidth="1"/>
    <col min="2" max="2" width="64.33203125" style="405" customWidth="1"/>
    <col min="3" max="3" width="2.83203125" style="405" customWidth="1"/>
    <col min="4" max="4" width="15.83203125" style="405" customWidth="1"/>
    <col min="5" max="5" width="2.83203125" style="405" customWidth="1"/>
    <col min="6" max="6" width="15.83203125" style="405" customWidth="1"/>
    <col min="7" max="7" width="2.83203125" style="405" customWidth="1"/>
    <col min="8" max="8" width="15.83203125" style="405" customWidth="1"/>
    <col min="9" max="9" width="2.83203125" style="405" customWidth="1"/>
    <col min="10" max="10" width="15.83203125" style="405" customWidth="1"/>
    <col min="11" max="11" width="4.5" style="405" customWidth="1"/>
    <col min="12" max="13" width="9.33203125" style="405"/>
    <col min="14" max="14" width="9.5" style="405" bestFit="1" customWidth="1"/>
    <col min="15" max="18" width="9.6640625" style="405" bestFit="1" customWidth="1"/>
    <col min="19" max="16384" width="9.33203125" style="405"/>
  </cols>
  <sheetData>
    <row r="1" spans="1:18" ht="10.7" customHeight="1" thickBot="1"/>
    <row r="2" spans="1:18" ht="16.5" customHeight="1" thickTop="1">
      <c r="B2" s="10" t="str">
        <f>'MASTER PubCo Inputs'!$C$5</f>
        <v>Kallyope, Inc.</v>
      </c>
      <c r="C2" s="10"/>
      <c r="D2" s="10"/>
      <c r="E2" s="10"/>
      <c r="F2" s="10"/>
      <c r="G2" s="10"/>
      <c r="H2" s="10"/>
      <c r="I2" s="10"/>
      <c r="J2" s="10"/>
      <c r="N2" s="2013" t="s">
        <v>767</v>
      </c>
      <c r="O2" s="2093"/>
      <c r="P2" s="2094"/>
      <c r="Q2" s="405" t="b">
        <v>1</v>
      </c>
      <c r="R2" s="16"/>
    </row>
    <row r="3" spans="1:18" ht="15.75" customHeight="1">
      <c r="B3" s="11" t="e">
        <f>VLOOKUP(B4,Outline!$E$8:$G$69,COLUMNS(Outline!$E$8:$G$8),FALSE)</f>
        <v>#N/A</v>
      </c>
      <c r="C3" s="11"/>
      <c r="D3" s="11"/>
      <c r="E3" s="11"/>
      <c r="F3" s="11"/>
      <c r="G3" s="11"/>
      <c r="H3" s="11"/>
      <c r="I3" s="11"/>
      <c r="J3" s="11"/>
      <c r="N3" s="2095" t="s">
        <v>159</v>
      </c>
      <c r="O3" s="2099" t="s">
        <v>165</v>
      </c>
      <c r="P3" s="2100" t="s">
        <v>768</v>
      </c>
      <c r="Q3" s="2037" t="str">
        <f>IF(AND(N4=$Q$2,O4=$Q$2,P4=$Q$2,N5=$Q$2,O5=$Q$2,P5=$Q$2,N6=$Q$2,O6=$Q$2,P6=$Q$2),"","Check")</f>
        <v/>
      </c>
      <c r="R3" s="2096"/>
    </row>
    <row r="4" spans="1:18" ht="16.5" customHeight="1" thickBot="1">
      <c r="B4" s="12" t="s">
        <v>2580</v>
      </c>
      <c r="C4" s="12"/>
      <c r="D4" s="12"/>
      <c r="E4" s="12"/>
      <c r="F4" s="12"/>
      <c r="G4" s="12"/>
      <c r="H4" s="12"/>
      <c r="I4" s="12"/>
      <c r="J4" s="13" t="str">
        <f>'MASTER PubCo Inputs'!C19</f>
        <v>(in thousands of USD, except price per share)</v>
      </c>
      <c r="N4" s="705" t="b">
        <f>'Comp.1'!AE2</f>
        <v>1</v>
      </c>
      <c r="O4" s="371" t="b">
        <f>'Comp.2'!AB2</f>
        <v>1</v>
      </c>
      <c r="P4" s="706" t="b">
        <f>Trans.1!AR3</f>
        <v>1</v>
      </c>
      <c r="R4" s="16"/>
    </row>
    <row r="5" spans="1:18" ht="12.75" customHeight="1" thickTop="1">
      <c r="N5" s="705" t="b">
        <f>'Comp.1'!AE3</f>
        <v>1</v>
      </c>
      <c r="O5" s="371" t="b">
        <f>'Comp.2'!AB3</f>
        <v>1</v>
      </c>
      <c r="P5" s="706" t="b">
        <f>Trans.1!AR4</f>
        <v>1</v>
      </c>
      <c r="R5" s="16"/>
    </row>
    <row r="6" spans="1:18" ht="12.75" customHeight="1">
      <c r="N6" s="2101" t="b">
        <f>'Comp.1'!AE4</f>
        <v>1</v>
      </c>
      <c r="O6" s="2102" t="b">
        <f>'Comp.2'!AB4</f>
        <v>1</v>
      </c>
      <c r="P6" s="2103" t="b">
        <f>Trans.1!AR5</f>
        <v>1</v>
      </c>
      <c r="R6" s="16"/>
    </row>
    <row r="7" spans="1:18" s="6" customFormat="1">
      <c r="B7" s="2016" t="s">
        <v>148</v>
      </c>
      <c r="D7" s="2038" t="s">
        <v>147</v>
      </c>
      <c r="E7" s="330"/>
      <c r="F7" s="2038" t="s">
        <v>149</v>
      </c>
      <c r="H7" s="2012" t="s">
        <v>150</v>
      </c>
      <c r="J7" s="2012" t="s">
        <v>70</v>
      </c>
      <c r="O7" s="2097"/>
      <c r="P7" s="2097"/>
      <c r="Q7" s="2097"/>
      <c r="R7" s="2097"/>
    </row>
    <row r="8" spans="1:18" ht="12.75" customHeight="1"/>
    <row r="9" spans="1:18" ht="12.75" customHeight="1">
      <c r="A9" s="718"/>
      <c r="B9" s="405" t="s">
        <v>2581</v>
      </c>
      <c r="D9" s="449">
        <f>'OPM 2_Series B'!D14</f>
        <v>245411.04938361436</v>
      </c>
      <c r="F9" s="484">
        <f>'OPM 2_Series B'!L12</f>
        <v>1.4654313318823751</v>
      </c>
      <c r="H9" s="411" t="s">
        <v>564</v>
      </c>
      <c r="J9" s="314" t="e">
        <f>'OPM 1_Series B'!B3</f>
        <v>#N/A</v>
      </c>
    </row>
    <row r="10" spans="1:18" ht="12.75" customHeight="1">
      <c r="H10" s="411"/>
    </row>
    <row r="11" spans="1:18" ht="12.75" customHeight="1">
      <c r="B11" s="2039" t="s">
        <v>153</v>
      </c>
      <c r="C11" s="2040"/>
      <c r="D11" s="2040"/>
      <c r="E11" s="2040"/>
      <c r="F11" s="2041">
        <f>F9</f>
        <v>1.4654313318823751</v>
      </c>
      <c r="L11" s="16"/>
      <c r="M11" s="16"/>
    </row>
    <row r="12" spans="1:18" ht="12.75" customHeight="1"/>
    <row r="13" spans="1:18" ht="12.75" customHeight="1">
      <c r="A13" s="718"/>
      <c r="D13" s="449"/>
      <c r="F13" s="484"/>
      <c r="H13" s="411"/>
      <c r="J13" s="314"/>
    </row>
    <row r="14" spans="1:18" ht="12.75" customHeight="1">
      <c r="B14" s="8"/>
    </row>
    <row r="15" spans="1:18">
      <c r="B15" s="405" t="s">
        <v>604</v>
      </c>
      <c r="D15" s="407">
        <f>'Val Summ'!D19</f>
        <v>0</v>
      </c>
    </row>
    <row r="16" spans="1:18">
      <c r="B16" s="405" t="s">
        <v>146</v>
      </c>
      <c r="D16" s="407">
        <f>'Val Summ'!D20</f>
        <v>0</v>
      </c>
    </row>
    <row r="18" spans="2:8">
      <c r="D18" s="325" t="s">
        <v>563</v>
      </c>
      <c r="F18" s="2045">
        <f>F11/'Econ Rights'!G12</f>
        <v>0.73271566594118753</v>
      </c>
    </row>
    <row r="19" spans="2:8">
      <c r="B19" s="16"/>
      <c r="C19" s="16"/>
      <c r="D19" s="16"/>
      <c r="E19" s="16"/>
      <c r="F19" s="16"/>
      <c r="G19" s="16"/>
      <c r="H19" s="16"/>
    </row>
    <row r="20" spans="2:8">
      <c r="B20" s="26"/>
      <c r="C20" s="16"/>
      <c r="D20" s="16"/>
      <c r="E20" s="16"/>
      <c r="F20" s="16"/>
      <c r="G20" s="16"/>
      <c r="H20" s="16"/>
    </row>
    <row r="21" spans="2:8">
      <c r="B21" s="16"/>
      <c r="C21" s="16"/>
      <c r="D21" s="2044"/>
      <c r="E21" s="936"/>
      <c r="F21" s="926"/>
      <c r="G21" s="16"/>
      <c r="H21" s="16"/>
    </row>
    <row r="22" spans="2:8">
      <c r="B22" s="16"/>
      <c r="C22" s="16"/>
      <c r="D22" s="2044"/>
      <c r="E22" s="927"/>
      <c r="F22" s="926"/>
      <c r="G22" s="16"/>
      <c r="H22" s="16"/>
    </row>
  </sheetData>
  <conditionalFormatting sqref="B4:I4">
    <cfRule type="cellIs" dxfId="147" priority="3" stopIfTrue="1" operator="equal">
      <formula>"input"</formula>
    </cfRule>
  </conditionalFormatting>
  <conditionalFormatting sqref="J4">
    <cfRule type="cellIs" dxfId="146" priority="1" stopIfTrue="1" operator="equal">
      <formula>"input"</formula>
    </cfRule>
  </conditionalFormatting>
  <conditionalFormatting sqref="J4">
    <cfRule type="cellIs" dxfId="145" priority="2" stopIfTrue="1" operator="equal">
      <formula>"input"</formula>
    </cfRule>
  </conditionalFormatting>
  <pageMargins left="0.5" right="0.5" top="0.5" bottom="0.5" header="0.5" footer="0.5"/>
  <pageSetup orientation="landscape" r:id="rId1"/>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AB125"/>
  <sheetViews>
    <sheetView showGridLines="0" view="pageBreakPreview" topLeftCell="A75" zoomScale="85" zoomScaleNormal="85" zoomScaleSheetLayoutView="85" workbookViewId="0">
      <selection activeCell="F94" sqref="F94"/>
    </sheetView>
  </sheetViews>
  <sheetFormatPr defaultRowHeight="12.75" outlineLevelRow="1"/>
  <cols>
    <col min="1" max="1" width="4.5" style="405" customWidth="1"/>
    <col min="2" max="2" width="52.1640625" style="405" customWidth="1"/>
    <col min="3" max="3" width="2.83203125" style="405" customWidth="1"/>
    <col min="4" max="11" width="18.1640625" style="405" customWidth="1"/>
    <col min="12" max="12" width="4.5" style="405" customWidth="1"/>
    <col min="13" max="13" width="15.5" style="405" customWidth="1"/>
    <col min="14" max="14" width="4" style="405" customWidth="1"/>
    <col min="15" max="15" width="35" style="173" customWidth="1"/>
    <col min="16" max="16" width="2.5" style="405" customWidth="1"/>
    <col min="17" max="27" width="14" style="405" customWidth="1"/>
    <col min="28" max="16384" width="9.33203125" style="405"/>
  </cols>
  <sheetData>
    <row r="1" spans="2:28" ht="10.7" customHeight="1" thickBot="1"/>
    <row r="2" spans="2:28" ht="16.5" customHeight="1" thickTop="1">
      <c r="B2" s="10" t="str">
        <f>'MASTER PubCo Inputs'!$C$5</f>
        <v>Kallyope, Inc.</v>
      </c>
      <c r="C2" s="10"/>
      <c r="D2" s="10"/>
      <c r="E2" s="10"/>
      <c r="F2" s="10"/>
      <c r="G2" s="10"/>
      <c r="H2" s="10"/>
      <c r="I2" s="10"/>
      <c r="J2" s="10"/>
      <c r="K2" s="10"/>
    </row>
    <row r="3" spans="2:28" ht="15.75" customHeight="1">
      <c r="B3" s="11" t="e">
        <f>VLOOKUP(B4,Outline!$E$8:$G$69,COLUMNS(Outline!$E$8:$G$8),FALSE)</f>
        <v>#N/A</v>
      </c>
      <c r="C3" s="11"/>
      <c r="D3" s="11"/>
      <c r="E3" s="11"/>
      <c r="F3" s="11"/>
      <c r="G3" s="11"/>
      <c r="H3" s="11"/>
      <c r="I3" s="11"/>
      <c r="J3" s="11"/>
      <c r="K3" s="11"/>
    </row>
    <row r="4" spans="2:28" ht="16.5" customHeight="1" thickBot="1">
      <c r="B4" s="12" t="s">
        <v>2588</v>
      </c>
      <c r="C4" s="12"/>
      <c r="D4" s="12"/>
      <c r="E4" s="12"/>
      <c r="F4" s="12"/>
      <c r="G4" s="12"/>
      <c r="H4" s="12"/>
      <c r="I4" s="12"/>
      <c r="J4" s="13"/>
      <c r="K4" s="13"/>
      <c r="O4" s="405"/>
      <c r="Q4" s="410" t="s">
        <v>2245</v>
      </c>
    </row>
    <row r="5" spans="2:28" s="16" customFormat="1" ht="12.75" customHeight="1" thickTop="1">
      <c r="B5" s="405"/>
      <c r="C5" s="405"/>
      <c r="D5" s="405"/>
      <c r="E5" s="405"/>
      <c r="F5" s="405"/>
      <c r="G5" s="405"/>
      <c r="H5" s="405"/>
      <c r="I5" s="405"/>
      <c r="J5" s="405"/>
      <c r="K5" s="405"/>
      <c r="L5" s="405"/>
      <c r="M5" s="405"/>
      <c r="O5" s="2005"/>
      <c r="P5" s="2042"/>
      <c r="Q5" s="2064" t="s">
        <v>2241</v>
      </c>
      <c r="R5" s="2064" t="s">
        <v>2242</v>
      </c>
      <c r="S5" s="2064" t="s">
        <v>2249</v>
      </c>
      <c r="T5" s="2064" t="s">
        <v>2250</v>
      </c>
      <c r="U5" s="2064" t="s">
        <v>2251</v>
      </c>
      <c r="V5" s="2064" t="s">
        <v>2252</v>
      </c>
      <c r="W5" s="2064" t="s">
        <v>2253</v>
      </c>
      <c r="X5" s="2064" t="s">
        <v>2254</v>
      </c>
      <c r="Y5" s="2064" t="s">
        <v>2255</v>
      </c>
      <c r="Z5" s="2064" t="s">
        <v>2256</v>
      </c>
      <c r="AA5" s="2064" t="s">
        <v>2257</v>
      </c>
      <c r="AB5" s="2043"/>
    </row>
    <row r="6" spans="2:28" s="16" customFormat="1" ht="12.75" customHeight="1">
      <c r="B6" s="405"/>
      <c r="C6" s="405"/>
      <c r="D6" s="405"/>
      <c r="E6" s="405"/>
      <c r="F6" s="405"/>
      <c r="G6" s="405"/>
      <c r="H6" s="405"/>
      <c r="I6" s="405"/>
      <c r="J6" s="405"/>
      <c r="K6" s="405"/>
      <c r="L6" s="405"/>
      <c r="O6" s="362" t="s">
        <v>2246</v>
      </c>
      <c r="Q6" s="2054">
        <f>PWERM!D13</f>
        <v>3.0027397260273974</v>
      </c>
      <c r="R6" s="2054">
        <f>PWERM!E13</f>
        <v>6.0054794520547947</v>
      </c>
      <c r="S6" s="2054">
        <f>PWERM!F13</f>
        <v>2.0027397260273974</v>
      </c>
      <c r="T6" s="2054">
        <f>PWERM!G13</f>
        <v>2.0027397260273974</v>
      </c>
      <c r="U6" s="2054">
        <f>PWERM!H13</f>
        <v>3.0027397260273974</v>
      </c>
      <c r="V6" s="2054">
        <f>PWERM!I13</f>
        <v>3.0027397260273974</v>
      </c>
      <c r="W6" s="2054">
        <f>PWERM!J13</f>
        <v>6.0054794520547947</v>
      </c>
      <c r="X6" s="2054">
        <f>PWERM!K13</f>
        <v>6.0054794520547947</v>
      </c>
      <c r="Y6" s="2054">
        <f>PWERM!L13</f>
        <v>2.0027397260273974</v>
      </c>
      <c r="Z6" s="2054">
        <f>PWERM!M13</f>
        <v>3.0027397260273974</v>
      </c>
      <c r="AA6" s="2054">
        <f>PWERM!N13</f>
        <v>6.0054794520547947</v>
      </c>
      <c r="AB6" s="2065">
        <f>PWERM!O13</f>
        <v>0</v>
      </c>
    </row>
    <row r="7" spans="2:28" ht="12.75" customHeight="1">
      <c r="B7" s="77" t="s">
        <v>320</v>
      </c>
      <c r="C7" s="158"/>
      <c r="D7" s="158"/>
      <c r="E7" s="997" t="s">
        <v>70</v>
      </c>
      <c r="F7" s="158"/>
      <c r="G7" s="158"/>
      <c r="H7" s="158"/>
      <c r="I7" s="158"/>
      <c r="J7" s="158"/>
      <c r="K7" s="158"/>
      <c r="O7" s="362" t="s">
        <v>2247</v>
      </c>
      <c r="P7" s="16"/>
      <c r="Q7" s="1745">
        <f>PWERM!D116</f>
        <v>5.5E-2</v>
      </c>
      <c r="R7" s="1745">
        <f>PWERM!E116</f>
        <v>0.03</v>
      </c>
      <c r="S7" s="1745">
        <f>PWERM!F116</f>
        <v>0.09</v>
      </c>
      <c r="T7" s="1745">
        <f>PWERM!G116</f>
        <v>0.09</v>
      </c>
      <c r="U7" s="1745">
        <f>PWERM!H116</f>
        <v>5.5E-2</v>
      </c>
      <c r="V7" s="1745">
        <f>PWERM!I116</f>
        <v>0.155</v>
      </c>
      <c r="W7" s="1745">
        <f>PWERM!J116</f>
        <v>1.4999999999999999E-2</v>
      </c>
      <c r="X7" s="1745">
        <f>PWERM!K116</f>
        <v>0.115</v>
      </c>
      <c r="Y7" s="1745">
        <f>PWERM!L116</f>
        <v>0.105</v>
      </c>
      <c r="Z7" s="1745">
        <f>PWERM!M116</f>
        <v>0.18</v>
      </c>
      <c r="AA7" s="1745">
        <f>PWERM!N116</f>
        <v>0.1100000000000001</v>
      </c>
      <c r="AB7" s="204"/>
    </row>
    <row r="8" spans="2:28" s="21" customFormat="1" ht="12.75" customHeight="1">
      <c r="B8" s="49"/>
      <c r="C8" s="49"/>
      <c r="D8" s="49"/>
      <c r="E8" s="49"/>
      <c r="F8" s="49"/>
      <c r="G8" s="49"/>
      <c r="H8" s="49"/>
      <c r="I8" s="49"/>
      <c r="J8" s="49"/>
      <c r="K8" s="49"/>
      <c r="O8" s="1120" t="s">
        <v>2248</v>
      </c>
      <c r="P8" s="5"/>
      <c r="Q8" s="2072">
        <f>SUMPRODUCT(Q6:AA6,Q7:AA7)</f>
        <v>3.5284794520547953</v>
      </c>
      <c r="R8" s="5"/>
      <c r="S8" s="5"/>
      <c r="T8" s="5"/>
      <c r="U8" s="5"/>
      <c r="V8" s="5"/>
      <c r="W8" s="5"/>
      <c r="X8" s="5"/>
      <c r="Y8" s="5"/>
      <c r="Z8" s="5"/>
      <c r="AA8" s="5"/>
      <c r="AB8" s="448"/>
    </row>
    <row r="9" spans="2:28" ht="12.75" customHeight="1">
      <c r="B9" s="405" t="s">
        <v>318</v>
      </c>
      <c r="C9" s="159"/>
      <c r="D9" s="802">
        <f>'OPM 2_Series B'!P7</f>
        <v>245411.04938361442</v>
      </c>
      <c r="E9" s="996" t="s">
        <v>1583</v>
      </c>
      <c r="O9" s="911"/>
      <c r="P9" s="16"/>
      <c r="Q9" s="16"/>
      <c r="R9" s="16"/>
      <c r="S9" s="16"/>
      <c r="T9" s="16"/>
      <c r="U9" s="16"/>
      <c r="V9" s="16"/>
      <c r="W9" s="16"/>
      <c r="X9" s="16"/>
      <c r="Y9" s="16"/>
      <c r="Z9" s="16"/>
      <c r="AA9" s="16"/>
      <c r="AB9" s="204"/>
    </row>
    <row r="10" spans="2:28" ht="12.75" customHeight="1">
      <c r="B10" s="405" t="s">
        <v>319</v>
      </c>
      <c r="D10" s="160">
        <f>Q8</f>
        <v>3.5284794520547953</v>
      </c>
      <c r="E10" s="996" t="s">
        <v>1582</v>
      </c>
      <c r="O10" s="2066" t="s">
        <v>2605</v>
      </c>
      <c r="P10" s="2042"/>
      <c r="Q10" s="2067">
        <f>PWERM!D28</f>
        <v>0</v>
      </c>
      <c r="R10" s="2067">
        <f>PWERM!E28</f>
        <v>0</v>
      </c>
      <c r="S10" s="2067">
        <f>PWERM!F28</f>
        <v>1</v>
      </c>
      <c r="T10" s="2067">
        <f>PWERM!G28</f>
        <v>1</v>
      </c>
      <c r="U10" s="2067">
        <f>PWERM!H28</f>
        <v>1</v>
      </c>
      <c r="V10" s="2067">
        <f>PWERM!I28</f>
        <v>1</v>
      </c>
      <c r="W10" s="2067">
        <f>PWERM!J28</f>
        <v>1</v>
      </c>
      <c r="X10" s="2067">
        <f>PWERM!K28</f>
        <v>1</v>
      </c>
      <c r="Y10" s="2067">
        <f>PWERM!L28</f>
        <v>0</v>
      </c>
      <c r="Z10" s="2067">
        <f>PWERM!M28</f>
        <v>0</v>
      </c>
      <c r="AA10" s="2067">
        <f>PWERM!N28</f>
        <v>0</v>
      </c>
      <c r="AB10" s="2043"/>
    </row>
    <row r="11" spans="2:28" ht="12.75" customHeight="1">
      <c r="B11" s="21" t="s">
        <v>74</v>
      </c>
      <c r="C11" s="161"/>
      <c r="D11" s="451">
        <f>'Asset Vol_IPO Phase I'!$Q$47</f>
        <v>0.74099999999999999</v>
      </c>
      <c r="E11" s="996" t="str">
        <f>'Asset Vol_IPO Phase I'!$B$3</f>
        <v>Exhibit H.2</v>
      </c>
      <c r="G11" s="52"/>
      <c r="O11" s="911" t="s">
        <v>2602</v>
      </c>
      <c r="P11" s="16"/>
      <c r="Q11" s="937"/>
      <c r="R11" s="937">
        <f t="shared" ref="R11:AA11" si="0">R6+R10</f>
        <v>6.0054794520547947</v>
      </c>
      <c r="S11" s="937">
        <f t="shared" si="0"/>
        <v>3.0027397260273974</v>
      </c>
      <c r="T11" s="937">
        <f t="shared" si="0"/>
        <v>3.0027397260273974</v>
      </c>
      <c r="U11" s="937">
        <f t="shared" si="0"/>
        <v>4.0027397260273974</v>
      </c>
      <c r="V11" s="937">
        <f t="shared" si="0"/>
        <v>4.0027397260273974</v>
      </c>
      <c r="W11" s="937">
        <f t="shared" si="0"/>
        <v>7.0054794520547947</v>
      </c>
      <c r="X11" s="937">
        <f t="shared" si="0"/>
        <v>7.0054794520547947</v>
      </c>
      <c r="Y11" s="937">
        <f t="shared" si="0"/>
        <v>2.0027397260273974</v>
      </c>
      <c r="Z11" s="937">
        <f t="shared" si="0"/>
        <v>3.0027397260273974</v>
      </c>
      <c r="AA11" s="937">
        <f t="shared" si="0"/>
        <v>6.0054794520547947</v>
      </c>
      <c r="AB11" s="204"/>
    </row>
    <row r="12" spans="2:28" ht="12.75" customHeight="1">
      <c r="B12" s="405" t="s">
        <v>72</v>
      </c>
      <c r="C12" s="161"/>
      <c r="D12" s="453">
        <f>'Risk-Free Rates'!E27</f>
        <v>2.6564239726027398E-2</v>
      </c>
      <c r="E12" s="996" t="str">
        <f>'Risk-Free Rates'!B3</f>
        <v>Exhibit H.8</v>
      </c>
      <c r="G12" s="52"/>
      <c r="O12" s="912" t="s">
        <v>2248</v>
      </c>
      <c r="P12" s="5"/>
      <c r="Q12" s="2072">
        <f>SUMPRODUCT(Q7:AA7,Q11:AA11)</f>
        <v>3.883328767123289</v>
      </c>
      <c r="R12" s="5"/>
      <c r="S12" s="5"/>
      <c r="T12" s="5"/>
      <c r="U12" s="5"/>
      <c r="V12" s="5"/>
      <c r="W12" s="5"/>
      <c r="X12" s="5"/>
      <c r="Y12" s="5"/>
      <c r="Z12" s="5"/>
      <c r="AA12" s="5"/>
      <c r="AB12" s="448"/>
    </row>
    <row r="13" spans="2:28" ht="12.75" customHeight="1">
      <c r="B13" s="405" t="s">
        <v>73</v>
      </c>
      <c r="D13" s="162">
        <v>0</v>
      </c>
      <c r="E13" s="996" t="s">
        <v>1582</v>
      </c>
      <c r="G13" s="52"/>
      <c r="O13" s="2066"/>
      <c r="P13" s="2042"/>
      <c r="Q13" s="2042"/>
      <c r="R13" s="2042"/>
      <c r="S13" s="2042"/>
      <c r="T13" s="2042"/>
      <c r="U13" s="2042"/>
      <c r="V13" s="2042"/>
      <c r="W13" s="2042"/>
      <c r="X13" s="2042"/>
      <c r="Y13" s="2042"/>
      <c r="Z13" s="2042"/>
      <c r="AA13" s="2042"/>
      <c r="AB13" s="2043"/>
    </row>
    <row r="14" spans="2:28" ht="12.75" customHeight="1">
      <c r="D14" s="907"/>
      <c r="E14" s="78"/>
      <c r="F14" s="78"/>
      <c r="G14" s="190"/>
      <c r="O14" s="911" t="s">
        <v>2603</v>
      </c>
      <c r="P14" s="16"/>
      <c r="Q14" s="2063">
        <f>PWERM!D27</f>
        <v>0</v>
      </c>
      <c r="R14" s="2063">
        <f>PWERM!E27</f>
        <v>0</v>
      </c>
      <c r="S14" s="2063">
        <f>PWERM!F27</f>
        <v>1</v>
      </c>
      <c r="T14" s="2063">
        <f>PWERM!G27</f>
        <v>1</v>
      </c>
      <c r="U14" s="2063">
        <f>PWERM!H27</f>
        <v>1</v>
      </c>
      <c r="V14" s="2063">
        <f>PWERM!I27</f>
        <v>1</v>
      </c>
      <c r="W14" s="2063">
        <f>PWERM!J27</f>
        <v>1</v>
      </c>
      <c r="X14" s="2063">
        <f>PWERM!K27</f>
        <v>1</v>
      </c>
      <c r="Y14" s="2063">
        <f>PWERM!L27</f>
        <v>0</v>
      </c>
      <c r="Z14" s="2063">
        <f>PWERM!M27</f>
        <v>0</v>
      </c>
      <c r="AA14" s="2063">
        <f>PWERM!N27</f>
        <v>0</v>
      </c>
      <c r="AB14" s="204"/>
    </row>
    <row r="15" spans="2:28" ht="12.75" customHeight="1">
      <c r="D15" s="112">
        <v>1</v>
      </c>
      <c r="E15" s="113">
        <f>D15+1</f>
        <v>2</v>
      </c>
      <c r="F15" s="113">
        <f t="shared" ref="F15:K15" si="1">E15+1</f>
        <v>3</v>
      </c>
      <c r="G15" s="113">
        <f t="shared" si="1"/>
        <v>4</v>
      </c>
      <c r="H15" s="113">
        <f t="shared" si="1"/>
        <v>5</v>
      </c>
      <c r="I15" s="113">
        <f t="shared" si="1"/>
        <v>6</v>
      </c>
      <c r="J15" s="113">
        <f t="shared" si="1"/>
        <v>7</v>
      </c>
      <c r="K15" s="113">
        <f t="shared" si="1"/>
        <v>8</v>
      </c>
      <c r="O15" s="911" t="s">
        <v>2604</v>
      </c>
      <c r="P15" s="16"/>
      <c r="Q15" s="937">
        <f>Q6+Q14</f>
        <v>3.0027397260273974</v>
      </c>
      <c r="R15" s="937">
        <f t="shared" ref="R15:AA15" si="2">R6+R14</f>
        <v>6.0054794520547947</v>
      </c>
      <c r="S15" s="937">
        <f t="shared" si="2"/>
        <v>3.0027397260273974</v>
      </c>
      <c r="T15" s="937">
        <f t="shared" si="2"/>
        <v>3.0027397260273974</v>
      </c>
      <c r="U15" s="937">
        <f t="shared" si="2"/>
        <v>4.0027397260273974</v>
      </c>
      <c r="V15" s="937">
        <f t="shared" si="2"/>
        <v>4.0027397260273974</v>
      </c>
      <c r="W15" s="937">
        <f t="shared" si="2"/>
        <v>7.0054794520547947</v>
      </c>
      <c r="X15" s="937">
        <f t="shared" si="2"/>
        <v>7.0054794520547947</v>
      </c>
      <c r="Y15" s="937">
        <f t="shared" si="2"/>
        <v>2.0027397260273974</v>
      </c>
      <c r="Z15" s="937">
        <f t="shared" si="2"/>
        <v>3.0027397260273974</v>
      </c>
      <c r="AA15" s="937">
        <f t="shared" si="2"/>
        <v>6.0054794520547947</v>
      </c>
      <c r="AB15" s="204"/>
    </row>
    <row r="16" spans="2:28" s="6" customFormat="1" ht="59.25" customHeight="1">
      <c r="B16" s="163" t="s">
        <v>321</v>
      </c>
      <c r="D16" s="583" t="str">
        <f t="array" ref="D16:K16">TRANSPOSE('Cap Table'!N30:N37)</f>
        <v>Series A and Series B Receive Liquidation Preference</v>
      </c>
      <c r="E16" s="584" t="str">
        <v>Common Stock Starts Receiving Value</v>
      </c>
      <c r="F16" s="584" t="str">
        <v>Options at $0.11 Strike Price Exercise</v>
      </c>
      <c r="G16" s="584" t="str">
        <v>Options at $0.13 Strike Price Exercise</v>
      </c>
      <c r="H16" s="584" t="str">
        <v>Options at $0.40 Strike Price Exercise</v>
      </c>
      <c r="I16" s="584" t="str">
        <v>Options Expected to be Granted Exercise at $0.47 Strike Price</v>
      </c>
      <c r="J16" s="584" t="str">
        <v>Series A Converts</v>
      </c>
      <c r="K16" s="584" t="str">
        <v>Series B Converts</v>
      </c>
      <c r="M16" s="119"/>
      <c r="O16" s="2081" t="s">
        <v>2248</v>
      </c>
      <c r="P16" s="519"/>
      <c r="Q16" s="2072">
        <f>SUMPRODUCT(Q7:AA7,Q15:AA15)</f>
        <v>4.0484794520547958</v>
      </c>
      <c r="R16" s="519"/>
      <c r="S16" s="519"/>
      <c r="T16" s="519"/>
      <c r="U16" s="519"/>
      <c r="V16" s="519"/>
      <c r="W16" s="519"/>
      <c r="X16" s="519"/>
      <c r="Y16" s="519"/>
      <c r="Z16" s="519"/>
      <c r="AA16" s="519"/>
      <c r="AB16" s="2071"/>
    </row>
    <row r="17" spans="2:17" ht="12.75" customHeight="1"/>
    <row r="18" spans="2:17" ht="12.75" customHeight="1">
      <c r="B18" s="1" t="s">
        <v>326</v>
      </c>
      <c r="O18" s="41" t="str">
        <f>B18</f>
        <v>Liquidation Preference</v>
      </c>
    </row>
    <row r="19" spans="2:17" ht="12.75" customHeight="1">
      <c r="B19" s="2" t="str">
        <f>'Cap Table'!D7</f>
        <v>Series A</v>
      </c>
      <c r="D19" s="387">
        <f t="shared" ref="D19:I19" si="3">$O$19</f>
        <v>44050</v>
      </c>
      <c r="E19" s="387">
        <f t="shared" si="3"/>
        <v>44050</v>
      </c>
      <c r="F19" s="387">
        <f t="shared" si="3"/>
        <v>44050</v>
      </c>
      <c r="G19" s="387">
        <f t="shared" si="3"/>
        <v>44050</v>
      </c>
      <c r="H19" s="387">
        <f t="shared" si="3"/>
        <v>44050</v>
      </c>
      <c r="I19" s="387">
        <f t="shared" si="3"/>
        <v>44050</v>
      </c>
      <c r="J19" s="387">
        <v>0</v>
      </c>
      <c r="K19" s="387">
        <v>0</v>
      </c>
      <c r="M19" s="406"/>
      <c r="O19" s="761">
        <f>'Econ Rights'!D16</f>
        <v>44050</v>
      </c>
    </row>
    <row r="20" spans="2:17" ht="12.75" customHeight="1">
      <c r="B20" s="2" t="s">
        <v>435</v>
      </c>
      <c r="D20" s="387">
        <f>$O$20</f>
        <v>66149.975999999995</v>
      </c>
      <c r="E20" s="387">
        <f t="shared" ref="E20:J20" si="4">$O$20</f>
        <v>66149.975999999995</v>
      </c>
      <c r="F20" s="387">
        <f t="shared" si="4"/>
        <v>66149.975999999995</v>
      </c>
      <c r="G20" s="387">
        <f t="shared" si="4"/>
        <v>66149.975999999995</v>
      </c>
      <c r="H20" s="387">
        <f t="shared" si="4"/>
        <v>66149.975999999995</v>
      </c>
      <c r="I20" s="387">
        <f t="shared" si="4"/>
        <v>66149.975999999995</v>
      </c>
      <c r="J20" s="387">
        <f t="shared" si="4"/>
        <v>66149.975999999995</v>
      </c>
      <c r="K20" s="387">
        <v>0</v>
      </c>
      <c r="O20" s="761">
        <f>SUM('Econ Rights'!E16:G16)</f>
        <v>66149.975999999995</v>
      </c>
    </row>
    <row r="21" spans="2:17" ht="12.75" hidden="1" customHeight="1" outlineLevel="1">
      <c r="B21" s="2"/>
      <c r="D21" s="387"/>
      <c r="E21" s="387"/>
      <c r="F21" s="387"/>
      <c r="G21" s="387"/>
      <c r="H21" s="387"/>
      <c r="I21" s="387"/>
      <c r="J21" s="387"/>
      <c r="K21" s="387"/>
      <c r="O21" s="761"/>
    </row>
    <row r="22" spans="2:17" ht="14.25" hidden="1" customHeight="1" outlineLevel="1">
      <c r="B22" s="2"/>
      <c r="D22" s="387"/>
      <c r="E22" s="387"/>
      <c r="F22" s="387"/>
      <c r="G22" s="387"/>
      <c r="H22" s="387"/>
      <c r="I22" s="387"/>
      <c r="J22" s="387"/>
      <c r="K22" s="387"/>
      <c r="O22" s="761"/>
    </row>
    <row r="23" spans="2:17" ht="12.75" customHeight="1" collapsed="1">
      <c r="B23" s="5"/>
      <c r="C23" s="5"/>
      <c r="D23" s="5"/>
      <c r="E23" s="5"/>
      <c r="F23" s="5"/>
      <c r="G23" s="5"/>
      <c r="H23" s="5"/>
      <c r="I23" s="5"/>
      <c r="J23" s="5"/>
      <c r="K23" s="5"/>
      <c r="O23" s="327"/>
    </row>
    <row r="24" spans="2:17" ht="12.75" customHeight="1">
      <c r="B24" s="41" t="s">
        <v>474</v>
      </c>
      <c r="D24" s="38">
        <f t="shared" ref="D24:K24" si="5">SUM(D19:D22)</f>
        <v>110199.976</v>
      </c>
      <c r="E24" s="38">
        <f t="shared" si="5"/>
        <v>110199.976</v>
      </c>
      <c r="F24" s="38">
        <f t="shared" si="5"/>
        <v>110199.976</v>
      </c>
      <c r="G24" s="38">
        <f t="shared" si="5"/>
        <v>110199.976</v>
      </c>
      <c r="H24" s="38">
        <f t="shared" si="5"/>
        <v>110199.976</v>
      </c>
      <c r="I24" s="38">
        <f t="shared" si="5"/>
        <v>110199.976</v>
      </c>
      <c r="J24" s="38">
        <f t="shared" si="5"/>
        <v>66149.975999999995</v>
      </c>
      <c r="K24" s="38">
        <f t="shared" si="5"/>
        <v>0</v>
      </c>
    </row>
    <row r="25" spans="2:17" ht="12.75" customHeight="1"/>
    <row r="26" spans="2:17" ht="12.75" customHeight="1">
      <c r="B26" s="81" t="s">
        <v>476</v>
      </c>
      <c r="O26" s="41" t="str">
        <f>+B26</f>
        <v>Shares Outstanding / Converted to Common Stock</v>
      </c>
    </row>
    <row r="27" spans="2:17" ht="12.75" customHeight="1">
      <c r="B27" s="165" t="str">
        <f>+$B19</f>
        <v>Series A</v>
      </c>
      <c r="D27" s="387">
        <f t="shared" ref="D27:K28" si="6">IF(D19&gt;0,0,$O27)</f>
        <v>0</v>
      </c>
      <c r="E27" s="387">
        <f t="shared" si="6"/>
        <v>0</v>
      </c>
      <c r="F27" s="387">
        <f t="shared" si="6"/>
        <v>0</v>
      </c>
      <c r="G27" s="387">
        <f t="shared" si="6"/>
        <v>0</v>
      </c>
      <c r="H27" s="387">
        <f t="shared" si="6"/>
        <v>0</v>
      </c>
      <c r="I27" s="387">
        <f t="shared" si="6"/>
        <v>0</v>
      </c>
      <c r="J27" s="387">
        <f t="shared" si="6"/>
        <v>44050</v>
      </c>
      <c r="K27" s="387">
        <f t="shared" si="6"/>
        <v>44050</v>
      </c>
      <c r="O27" s="761">
        <f>'Cap Table'!D11</f>
        <v>44050</v>
      </c>
    </row>
    <row r="28" spans="2:17" ht="12.75" customHeight="1">
      <c r="B28" s="165" t="str">
        <f>+$B20</f>
        <v>Series B</v>
      </c>
      <c r="D28" s="387">
        <f t="shared" si="6"/>
        <v>0</v>
      </c>
      <c r="E28" s="387">
        <f t="shared" si="6"/>
        <v>0</v>
      </c>
      <c r="F28" s="387">
        <f t="shared" si="6"/>
        <v>0</v>
      </c>
      <c r="G28" s="387">
        <f t="shared" si="6"/>
        <v>0</v>
      </c>
      <c r="H28" s="387">
        <f t="shared" si="6"/>
        <v>0</v>
      </c>
      <c r="I28" s="387">
        <f t="shared" si="6"/>
        <v>0</v>
      </c>
      <c r="J28" s="387">
        <f t="shared" si="6"/>
        <v>0</v>
      </c>
      <c r="K28" s="387">
        <f t="shared" si="6"/>
        <v>33074.987999999998</v>
      </c>
      <c r="O28" s="761">
        <f>SUM('Econ Rights'!E11:G11)</f>
        <v>33074.987999999998</v>
      </c>
    </row>
    <row r="29" spans="2:17" ht="12.75" customHeight="1">
      <c r="B29" s="329" t="str">
        <f>'Cap Table'!B24</f>
        <v>Options at $0.11 Strike Price</v>
      </c>
      <c r="D29" s="387">
        <v>0</v>
      </c>
      <c r="E29" s="387">
        <v>0</v>
      </c>
      <c r="F29" s="387">
        <f>IF($Q29&lt;=F$37,$O29,0)</f>
        <v>190</v>
      </c>
      <c r="G29" s="387">
        <f t="shared" ref="G29:K32" si="7">IF($Q29&lt;=G$37,$O29,0)</f>
        <v>190</v>
      </c>
      <c r="H29" s="387">
        <f t="shared" si="7"/>
        <v>190</v>
      </c>
      <c r="I29" s="387">
        <f t="shared" si="7"/>
        <v>190</v>
      </c>
      <c r="J29" s="387">
        <f t="shared" si="7"/>
        <v>190</v>
      </c>
      <c r="K29" s="387">
        <f t="shared" si="7"/>
        <v>190</v>
      </c>
      <c r="O29" s="761">
        <f>'Cap Table'!D24</f>
        <v>190</v>
      </c>
      <c r="Q29" s="1661">
        <f>'Cap Table'!E24</f>
        <v>0.11</v>
      </c>
    </row>
    <row r="30" spans="2:17" ht="12.75" customHeight="1">
      <c r="B30" s="329" t="str">
        <f>'Cap Table'!B25</f>
        <v>Options at $0.13 Strike Price</v>
      </c>
      <c r="D30" s="387">
        <v>0</v>
      </c>
      <c r="E30" s="387">
        <v>0</v>
      </c>
      <c r="F30" s="387">
        <f>IF($Q30&lt;=F$37,$O30,0)</f>
        <v>0</v>
      </c>
      <c r="G30" s="387">
        <f t="shared" si="7"/>
        <v>620.404</v>
      </c>
      <c r="H30" s="387">
        <f t="shared" si="7"/>
        <v>620.404</v>
      </c>
      <c r="I30" s="387">
        <f t="shared" si="7"/>
        <v>620.404</v>
      </c>
      <c r="J30" s="387">
        <f t="shared" si="7"/>
        <v>620.404</v>
      </c>
      <c r="K30" s="387">
        <f t="shared" si="7"/>
        <v>620.404</v>
      </c>
      <c r="O30" s="761">
        <f>'Cap Table'!D25</f>
        <v>620.404</v>
      </c>
      <c r="Q30" s="847">
        <f>'Cap Table'!E25</f>
        <v>0.13</v>
      </c>
    </row>
    <row r="31" spans="2:17" ht="12.75" customHeight="1">
      <c r="B31" s="329" t="str">
        <f>'Cap Table'!B26</f>
        <v>Options at $0.40 Strike Price</v>
      </c>
      <c r="D31" s="387">
        <v>0</v>
      </c>
      <c r="E31" s="387">
        <v>0</v>
      </c>
      <c r="F31" s="387">
        <f>IF($Q31&lt;=F$37,$O31,0)</f>
        <v>0</v>
      </c>
      <c r="G31" s="387">
        <f t="shared" si="7"/>
        <v>0</v>
      </c>
      <c r="H31" s="387">
        <f t="shared" si="7"/>
        <v>826</v>
      </c>
      <c r="I31" s="387">
        <f t="shared" si="7"/>
        <v>826</v>
      </c>
      <c r="J31" s="387">
        <f t="shared" si="7"/>
        <v>826</v>
      </c>
      <c r="K31" s="387">
        <f t="shared" si="7"/>
        <v>826</v>
      </c>
      <c r="O31" s="761">
        <f>'Cap Table'!D26</f>
        <v>826</v>
      </c>
      <c r="Q31" s="847">
        <f>'Cap Table'!E26</f>
        <v>0.4</v>
      </c>
    </row>
    <row r="32" spans="2:17" ht="12.75" customHeight="1">
      <c r="B32" s="329" t="str">
        <f>'Cap Table'!B27</f>
        <v>Expected Options Grant</v>
      </c>
      <c r="D32" s="387">
        <v>0</v>
      </c>
      <c r="E32" s="387">
        <v>0</v>
      </c>
      <c r="F32" s="387">
        <f>IF($Q32&lt;=F$37,$O32,0)</f>
        <v>0</v>
      </c>
      <c r="G32" s="387">
        <f t="shared" si="7"/>
        <v>0</v>
      </c>
      <c r="H32" s="387">
        <f t="shared" si="7"/>
        <v>0</v>
      </c>
      <c r="I32" s="387">
        <f t="shared" si="7"/>
        <v>2127.3489690721649</v>
      </c>
      <c r="J32" s="387">
        <f t="shared" si="7"/>
        <v>2127.3489690721649</v>
      </c>
      <c r="K32" s="387">
        <f t="shared" si="7"/>
        <v>2127.3489690721649</v>
      </c>
      <c r="O32" s="761">
        <f>'Cap Table'!D27</f>
        <v>2127.3489690721649</v>
      </c>
      <c r="Q32" s="1662">
        <f>'Cap Table'!E27</f>
        <v>0.47</v>
      </c>
    </row>
    <row r="33" spans="1:15" ht="12.75" customHeight="1">
      <c r="B33" s="165" t="str">
        <f>'Cap Table'!H7</f>
        <v>Common</v>
      </c>
      <c r="D33" s="387">
        <v>0</v>
      </c>
      <c r="E33" s="387">
        <f>$O$33</f>
        <v>16327.046</v>
      </c>
      <c r="F33" s="387">
        <f>E33</f>
        <v>16327.046</v>
      </c>
      <c r="G33" s="387">
        <f t="shared" ref="G33:K33" si="8">F33</f>
        <v>16327.046</v>
      </c>
      <c r="H33" s="387">
        <f t="shared" si="8"/>
        <v>16327.046</v>
      </c>
      <c r="I33" s="387">
        <f t="shared" si="8"/>
        <v>16327.046</v>
      </c>
      <c r="J33" s="387">
        <f t="shared" si="8"/>
        <v>16327.046</v>
      </c>
      <c r="K33" s="387">
        <f t="shared" si="8"/>
        <v>16327.046</v>
      </c>
      <c r="O33" s="761">
        <f>'Cap Table'!H11</f>
        <v>16327.046</v>
      </c>
    </row>
    <row r="34" spans="1:15" ht="12.75" customHeight="1" thickBot="1">
      <c r="B34" s="5"/>
      <c r="C34" s="5"/>
      <c r="D34" s="5"/>
      <c r="E34" s="5"/>
      <c r="F34" s="5"/>
      <c r="G34" s="5"/>
      <c r="H34" s="5"/>
      <c r="I34" s="5"/>
      <c r="J34" s="5"/>
      <c r="K34" s="5"/>
      <c r="O34" s="171"/>
    </row>
    <row r="35" spans="1:15" ht="12.75" customHeight="1" thickBot="1">
      <c r="B35" s="41" t="s">
        <v>1556</v>
      </c>
      <c r="D35" s="38">
        <f t="shared" ref="D35:K35" si="9">SUM(D27:D33)</f>
        <v>0</v>
      </c>
      <c r="E35" s="38">
        <f t="shared" si="9"/>
        <v>16327.046</v>
      </c>
      <c r="F35" s="38">
        <f t="shared" si="9"/>
        <v>16517.046000000002</v>
      </c>
      <c r="G35" s="38">
        <f t="shared" si="9"/>
        <v>17137.45</v>
      </c>
      <c r="H35" s="38">
        <f t="shared" si="9"/>
        <v>17963.45</v>
      </c>
      <c r="I35" s="38">
        <f t="shared" si="9"/>
        <v>20090.798969072166</v>
      </c>
      <c r="J35" s="38">
        <f t="shared" si="9"/>
        <v>64140.798969072166</v>
      </c>
      <c r="K35" s="38">
        <f t="shared" si="9"/>
        <v>97215.786969072156</v>
      </c>
      <c r="M35" s="404" t="str">
        <f>IF(O35&lt;&gt;('Cap Table'!J20-'Cap Table'!J14+'OPM 1_Series B'!O32),"ERROR","")</f>
        <v/>
      </c>
      <c r="O35" s="38">
        <f>SUM(O27:O33)</f>
        <v>97215.786969072156</v>
      </c>
    </row>
    <row r="36" spans="1:15" ht="12.75" customHeight="1"/>
    <row r="37" spans="1:15" ht="12.75" customHeight="1">
      <c r="B37" s="2" t="s">
        <v>328</v>
      </c>
      <c r="D37" s="1663">
        <f t="array" ref="D37:K37">TRANSPOSE('Cap Table'!M30:M37)</f>
        <v>0</v>
      </c>
      <c r="E37" s="1663">
        <v>0</v>
      </c>
      <c r="F37" s="1663">
        <v>0.11</v>
      </c>
      <c r="G37" s="1663">
        <v>0.13</v>
      </c>
      <c r="H37" s="1663">
        <v>0.4</v>
      </c>
      <c r="I37" s="1663">
        <v>0.47</v>
      </c>
      <c r="J37" s="1663">
        <v>1</v>
      </c>
      <c r="K37" s="1663">
        <v>2</v>
      </c>
    </row>
    <row r="38" spans="1:15" ht="12.75" customHeight="1">
      <c r="B38" s="5"/>
      <c r="C38" s="5"/>
      <c r="D38" s="5"/>
      <c r="E38" s="5"/>
      <c r="F38" s="5"/>
      <c r="G38" s="5"/>
      <c r="H38" s="5"/>
      <c r="I38" s="5"/>
      <c r="J38" s="5"/>
      <c r="K38" s="5"/>
    </row>
    <row r="39" spans="1:15" ht="12.75" customHeight="1">
      <c r="B39" s="26" t="s">
        <v>1557</v>
      </c>
      <c r="C39" s="16"/>
      <c r="D39" s="998">
        <f>D35*D37</f>
        <v>0</v>
      </c>
      <c r="E39" s="998">
        <f t="shared" ref="E39:K39" si="10">E35*E37</f>
        <v>0</v>
      </c>
      <c r="F39" s="998">
        <f t="shared" si="10"/>
        <v>1816.8750600000003</v>
      </c>
      <c r="G39" s="998">
        <f t="shared" si="10"/>
        <v>2227.8685</v>
      </c>
      <c r="H39" s="998">
        <f t="shared" si="10"/>
        <v>7185.380000000001</v>
      </c>
      <c r="I39" s="998">
        <f t="shared" si="10"/>
        <v>9442.6755154639177</v>
      </c>
      <c r="J39" s="998">
        <f t="shared" si="10"/>
        <v>64140.798969072166</v>
      </c>
      <c r="K39" s="998">
        <f t="shared" si="10"/>
        <v>194431.57393814431</v>
      </c>
    </row>
    <row r="40" spans="1:15" ht="12.75" customHeight="1"/>
    <row r="41" spans="1:15" ht="12.75" customHeight="1">
      <c r="B41" s="2" t="s">
        <v>329</v>
      </c>
      <c r="D41" s="42">
        <f>-SUMPRODUCT(D29:D32,$Q$29:$Q$32)</f>
        <v>0</v>
      </c>
      <c r="E41" s="42">
        <f t="shared" ref="E41:K41" si="11">-SUMPRODUCT(E29:E32,$Q$29:$Q$32)</f>
        <v>0</v>
      </c>
      <c r="F41" s="42">
        <f t="shared" si="11"/>
        <v>-20.9</v>
      </c>
      <c r="G41" s="42">
        <f t="shared" si="11"/>
        <v>-101.55251999999999</v>
      </c>
      <c r="H41" s="42">
        <f t="shared" si="11"/>
        <v>-431.95252000000005</v>
      </c>
      <c r="I41" s="42">
        <f t="shared" si="11"/>
        <v>-1431.8065354639175</v>
      </c>
      <c r="J41" s="42">
        <f t="shared" si="11"/>
        <v>-1431.8065354639175</v>
      </c>
      <c r="K41" s="42">
        <f t="shared" si="11"/>
        <v>-1431.8065354639175</v>
      </c>
    </row>
    <row r="42" spans="1:15" ht="12.75" customHeight="1">
      <c r="B42" s="5"/>
      <c r="C42" s="5"/>
      <c r="D42" s="5"/>
      <c r="E42" s="5"/>
      <c r="F42" s="5"/>
      <c r="G42" s="5"/>
      <c r="H42" s="5"/>
      <c r="I42" s="5"/>
      <c r="J42" s="5"/>
      <c r="K42" s="5"/>
    </row>
    <row r="43" spans="1:15" ht="12.75" customHeight="1">
      <c r="B43" s="41" t="s">
        <v>330</v>
      </c>
      <c r="D43" s="998">
        <f t="shared" ref="D43:K43" si="12">SUM(D39:D41)+D24</f>
        <v>110199.976</v>
      </c>
      <c r="E43" s="998">
        <f t="shared" si="12"/>
        <v>110199.976</v>
      </c>
      <c r="F43" s="998">
        <f t="shared" si="12"/>
        <v>111995.95105999999</v>
      </c>
      <c r="G43" s="998">
        <f t="shared" si="12"/>
        <v>112326.29197999999</v>
      </c>
      <c r="H43" s="998">
        <f t="shared" si="12"/>
        <v>116953.40347999999</v>
      </c>
      <c r="I43" s="998">
        <f t="shared" si="12"/>
        <v>118210.84497999999</v>
      </c>
      <c r="J43" s="998">
        <f t="shared" si="12"/>
        <v>128858.96843360824</v>
      </c>
      <c r="K43" s="998">
        <f t="shared" si="12"/>
        <v>192999.76740268039</v>
      </c>
    </row>
    <row r="44" spans="1:15" ht="12.75" customHeight="1">
      <c r="B44" s="41"/>
      <c r="D44" s="38"/>
      <c r="E44" s="38"/>
      <c r="F44" s="38"/>
      <c r="G44" s="38"/>
      <c r="H44" s="38"/>
      <c r="I44" s="38"/>
      <c r="J44" s="38"/>
      <c r="K44" s="38"/>
    </row>
    <row r="45" spans="1:15" ht="12.75" customHeight="1"/>
    <row r="46" spans="1:15" s="6" customFormat="1" ht="12.75" customHeight="1">
      <c r="A46" s="76"/>
      <c r="B46" s="279" t="s">
        <v>332</v>
      </c>
      <c r="D46" s="280">
        <f>D$15</f>
        <v>1</v>
      </c>
      <c r="E46" s="281">
        <f t="shared" ref="E46:K46" si="13">E$15</f>
        <v>2</v>
      </c>
      <c r="F46" s="281">
        <f t="shared" si="13"/>
        <v>3</v>
      </c>
      <c r="G46" s="281">
        <f t="shared" si="13"/>
        <v>4</v>
      </c>
      <c r="H46" s="281">
        <f t="shared" si="13"/>
        <v>5</v>
      </c>
      <c r="I46" s="281">
        <f t="shared" si="13"/>
        <v>6</v>
      </c>
      <c r="J46" s="281">
        <f t="shared" si="13"/>
        <v>7</v>
      </c>
      <c r="K46" s="281">
        <f t="shared" si="13"/>
        <v>8</v>
      </c>
      <c r="O46" s="330"/>
    </row>
    <row r="47" spans="1:15" ht="12.75" customHeight="1"/>
    <row r="48" spans="1:15" ht="12.75" customHeight="1">
      <c r="B48" s="405" t="s">
        <v>333</v>
      </c>
      <c r="D48" s="92">
        <v>1E-10</v>
      </c>
      <c r="E48" s="92">
        <f>D49</f>
        <v>110199.976</v>
      </c>
      <c r="F48" s="92">
        <f t="shared" ref="F48:K48" si="14">E49</f>
        <v>111995.95105999999</v>
      </c>
      <c r="G48" s="92">
        <f t="shared" si="14"/>
        <v>112326.29197999999</v>
      </c>
      <c r="H48" s="92">
        <f t="shared" si="14"/>
        <v>116953.40347999999</v>
      </c>
      <c r="I48" s="92">
        <f t="shared" si="14"/>
        <v>118210.84497999999</v>
      </c>
      <c r="J48" s="92">
        <f t="shared" si="14"/>
        <v>128858.96843360824</v>
      </c>
      <c r="K48" s="92">
        <f t="shared" si="14"/>
        <v>192999.76740268039</v>
      </c>
    </row>
    <row r="49" spans="2:15" ht="12.75" customHeight="1">
      <c r="B49" s="405" t="s">
        <v>334</v>
      </c>
      <c r="D49" s="92">
        <f>D43</f>
        <v>110199.976</v>
      </c>
      <c r="E49" s="92">
        <f>IF(F43=0,"n/a",IF(D49=E43,F43,E43))</f>
        <v>111995.95105999999</v>
      </c>
      <c r="F49" s="92">
        <f t="shared" ref="F49:K49" si="15">IF(G43=0,"n/a",IF(E49=F43,G43,F43))</f>
        <v>112326.29197999999</v>
      </c>
      <c r="G49" s="92">
        <f t="shared" si="15"/>
        <v>116953.40347999999</v>
      </c>
      <c r="H49" s="92">
        <f t="shared" si="15"/>
        <v>118210.84497999999</v>
      </c>
      <c r="I49" s="92">
        <f t="shared" si="15"/>
        <v>128858.96843360824</v>
      </c>
      <c r="J49" s="92">
        <f t="shared" si="15"/>
        <v>192999.76740268039</v>
      </c>
      <c r="K49" s="92" t="str">
        <f t="shared" si="15"/>
        <v>n/a</v>
      </c>
    </row>
    <row r="50" spans="2:15" ht="12.75" customHeight="1"/>
    <row r="51" spans="2:15" ht="12.75" hidden="1" customHeight="1" outlineLevel="1">
      <c r="B51" s="405" t="s">
        <v>338</v>
      </c>
      <c r="D51" s="406">
        <f>(LN($D$9/D48)+($D$12+$D$11^2/2)*$D$10)/($D$11*SQRT($D$10))</f>
        <v>26.222177635903616</v>
      </c>
      <c r="E51" s="406">
        <f>(LN($D$9/E48)+($D$12+$D$11^2/2)*$D$10)/($D$11*SQRT($D$10))</f>
        <v>1.3385032953348308</v>
      </c>
      <c r="F51" s="406">
        <f t="shared" ref="F51:K51" si="16">(LN($D$9/F48)+($D$12+$D$11^2/2)*$D$10)/($D$11*SQRT($D$10))</f>
        <v>1.3268890323126532</v>
      </c>
      <c r="G51" s="406">
        <f t="shared" si="16"/>
        <v>1.3247730679920822</v>
      </c>
      <c r="H51" s="406">
        <f t="shared" si="16"/>
        <v>1.295771509973761</v>
      </c>
      <c r="I51" s="406">
        <f t="shared" si="16"/>
        <v>1.2880883721758047</v>
      </c>
      <c r="J51" s="406">
        <f t="shared" si="16"/>
        <v>1.2261242237648524</v>
      </c>
      <c r="K51" s="406">
        <f t="shared" si="16"/>
        <v>0.93589737335706702</v>
      </c>
    </row>
    <row r="52" spans="2:15" ht="12.75" hidden="1" customHeight="1" outlineLevel="1">
      <c r="B52" s="405" t="s">
        <v>340</v>
      </c>
      <c r="D52" s="406">
        <f>D51-$D$11*SQRT($D$10)</f>
        <v>24.830264913778517</v>
      </c>
      <c r="E52" s="406">
        <f t="shared" ref="E52:K52" si="17">E51-$D$11*SQRT($D$10)</f>
        <v>-5.3409426790266723E-2</v>
      </c>
      <c r="F52" s="406">
        <f t="shared" si="17"/>
        <v>-6.502368981244433E-2</v>
      </c>
      <c r="G52" s="406">
        <f t="shared" si="17"/>
        <v>-6.713965413301537E-2</v>
      </c>
      <c r="H52" s="406">
        <f t="shared" si="17"/>
        <v>-9.614121215133653E-2</v>
      </c>
      <c r="I52" s="406">
        <f t="shared" si="17"/>
        <v>-0.10382434994929279</v>
      </c>
      <c r="J52" s="406">
        <f t="shared" si="17"/>
        <v>-0.16578849836024512</v>
      </c>
      <c r="K52" s="406">
        <f t="shared" si="17"/>
        <v>-0.45601534876803052</v>
      </c>
    </row>
    <row r="53" spans="2:15" ht="12.75" hidden="1" customHeight="1" outlineLevel="1">
      <c r="D53" s="406"/>
      <c r="E53" s="406"/>
      <c r="F53" s="406"/>
      <c r="G53" s="406"/>
      <c r="H53" s="406"/>
      <c r="I53" s="406"/>
      <c r="J53" s="406"/>
      <c r="K53" s="406"/>
    </row>
    <row r="54" spans="2:15" ht="12.75" hidden="1" customHeight="1" outlineLevel="1">
      <c r="B54" s="405" t="s">
        <v>339</v>
      </c>
      <c r="D54" s="406">
        <f>(LN($D$9/D49)+($D$12+$D$11^2/2)*$D$10)/($D$11*SQRT($D$10))</f>
        <v>1.3385032953348308</v>
      </c>
      <c r="E54" s="92">
        <f>IF(E49="n/a","n/a",(LN($D$9/E49)+($D$12+$D$11^2/2)*$D$10)/($D$11*SQRT($D$10)))</f>
        <v>1.3268890323126532</v>
      </c>
      <c r="F54" s="92">
        <f t="shared" ref="F54:K54" si="18">IF(F49="n/a","n/a",(LN($D$9/F49)+($D$12+$D$11^2/2)*$D$10)/($D$11*SQRT($D$10)))</f>
        <v>1.3247730679920822</v>
      </c>
      <c r="G54" s="92">
        <f t="shared" si="18"/>
        <v>1.295771509973761</v>
      </c>
      <c r="H54" s="92">
        <f t="shared" si="18"/>
        <v>1.2880883721758047</v>
      </c>
      <c r="I54" s="92">
        <f t="shared" si="18"/>
        <v>1.2261242237648524</v>
      </c>
      <c r="J54" s="92">
        <f t="shared" si="18"/>
        <v>0.93589737335706702</v>
      </c>
      <c r="K54" s="92" t="str">
        <f t="shared" si="18"/>
        <v>n/a</v>
      </c>
    </row>
    <row r="55" spans="2:15" ht="12.75" hidden="1" customHeight="1" outlineLevel="1">
      <c r="B55" s="405" t="s">
        <v>341</v>
      </c>
      <c r="D55" s="406">
        <f>D54-$D$11*SQRT($D$10)</f>
        <v>-5.3409426790266723E-2</v>
      </c>
      <c r="E55" s="92">
        <f>IF(E49="n/a","n/a",E54-$D$11*SQRT($D$10))</f>
        <v>-6.502368981244433E-2</v>
      </c>
      <c r="F55" s="92">
        <f t="shared" ref="F55:K55" si="19">IF(F49="n/a","n/a",F54-$D$11*SQRT($D$10))</f>
        <v>-6.713965413301537E-2</v>
      </c>
      <c r="G55" s="92">
        <f t="shared" si="19"/>
        <v>-9.614121215133653E-2</v>
      </c>
      <c r="H55" s="92">
        <f t="shared" si="19"/>
        <v>-0.10382434994929279</v>
      </c>
      <c r="I55" s="92">
        <f t="shared" si="19"/>
        <v>-0.16578849836024512</v>
      </c>
      <c r="J55" s="92">
        <f t="shared" si="19"/>
        <v>-0.45601534876803052</v>
      </c>
      <c r="K55" s="92" t="str">
        <f t="shared" si="19"/>
        <v>n/a</v>
      </c>
    </row>
    <row r="56" spans="2:15" ht="12.75" hidden="1" customHeight="1" outlineLevel="1">
      <c r="D56" s="406"/>
      <c r="E56" s="406"/>
      <c r="F56" s="406"/>
      <c r="G56" s="406"/>
      <c r="H56" s="406"/>
      <c r="I56" s="406"/>
      <c r="J56" s="406"/>
      <c r="K56" s="406"/>
    </row>
    <row r="57" spans="2:15" ht="12.75" customHeight="1" collapsed="1">
      <c r="B57" s="405" t="s">
        <v>335</v>
      </c>
      <c r="D57" s="406">
        <f>$D$9*NORMSDIST(D51)-D48*EXP(-$D$12*$D$10)*NORMSDIST(D52)</f>
        <v>245411.04938361433</v>
      </c>
      <c r="E57" s="406">
        <f t="shared" ref="E57:K57" si="20">$D$9*NORMSDIST(E51)-E48*EXP(-$D$12*$D$10)*NORMSDIST(E52)</f>
        <v>175201.09587882663</v>
      </c>
      <c r="F57" s="406">
        <f t="shared" si="20"/>
        <v>174422.07304535489</v>
      </c>
      <c r="G57" s="406">
        <f t="shared" si="20"/>
        <v>174279.60463405529</v>
      </c>
      <c r="H57" s="406">
        <f t="shared" si="20"/>
        <v>172310.27555090765</v>
      </c>
      <c r="I57" s="406">
        <f t="shared" si="20"/>
        <v>171783.40358383732</v>
      </c>
      <c r="J57" s="406">
        <f t="shared" si="20"/>
        <v>167457.16777115152</v>
      </c>
      <c r="K57" s="406">
        <f t="shared" si="20"/>
        <v>145576.49387483174</v>
      </c>
    </row>
    <row r="58" spans="2:15" ht="12.75" customHeight="1">
      <c r="B58" s="405" t="s">
        <v>336</v>
      </c>
      <c r="D58" s="406">
        <f>$D$9*NORMSDIST(D54)-D49*EXP(-$D$12*$D$10)*NORMSDIST(D55)</f>
        <v>175201.09587882663</v>
      </c>
      <c r="E58" s="92">
        <f>IF(E49="n/a","n/a",$D$9*NORMSDIST(E54)-E49*EXP(-$D$12*$D$10)*NORMSDIST(E55))</f>
        <v>174422.07304535489</v>
      </c>
      <c r="F58" s="92">
        <f t="shared" ref="F58:K58" si="21">IF(F49="n/a","n/a",$D$9*NORMSDIST(F54)-F49*EXP(-$D$12*$D$10)*NORMSDIST(F55))</f>
        <v>174279.60463405529</v>
      </c>
      <c r="G58" s="92">
        <f t="shared" si="21"/>
        <v>172310.27555090765</v>
      </c>
      <c r="H58" s="92">
        <f t="shared" si="21"/>
        <v>171783.40358383732</v>
      </c>
      <c r="I58" s="92">
        <f t="shared" si="21"/>
        <v>167457.16777115152</v>
      </c>
      <c r="J58" s="92">
        <f t="shared" si="21"/>
        <v>145576.49387483174</v>
      </c>
      <c r="K58" s="92" t="str">
        <f t="shared" si="21"/>
        <v>n/a</v>
      </c>
    </row>
    <row r="59" spans="2:15" ht="12.75" customHeight="1"/>
    <row r="60" spans="2:15" ht="12.75" customHeight="1">
      <c r="B60" s="1" t="s">
        <v>337</v>
      </c>
      <c r="C60" s="1"/>
      <c r="D60" s="998">
        <f>D57-D58</f>
        <v>70209.9535047877</v>
      </c>
      <c r="E60" s="998">
        <f>IF(E49="n/a",E57,E57-E58)</f>
        <v>779.02283347173943</v>
      </c>
      <c r="F60" s="998">
        <f t="shared" ref="F60:K60" si="22">IF(F49="n/a",F57,F57-F58)</f>
        <v>142.46841129960376</v>
      </c>
      <c r="G60" s="998">
        <f t="shared" si="22"/>
        <v>1969.3290831476334</v>
      </c>
      <c r="H60" s="998">
        <f t="shared" si="22"/>
        <v>526.87196707032854</v>
      </c>
      <c r="I60" s="998">
        <f t="shared" si="22"/>
        <v>4326.2358126858016</v>
      </c>
      <c r="J60" s="998">
        <f t="shared" si="22"/>
        <v>21880.673896319786</v>
      </c>
      <c r="K60" s="998">
        <f t="shared" si="22"/>
        <v>145576.49387483174</v>
      </c>
    </row>
    <row r="61" spans="2:15" ht="12.75" customHeight="1"/>
    <row r="62" spans="2:15" s="6" customFormat="1" ht="12.75" customHeight="1">
      <c r="B62" s="279" t="s">
        <v>331</v>
      </c>
      <c r="D62" s="280">
        <f>D$15</f>
        <v>1</v>
      </c>
      <c r="E62" s="281">
        <f t="shared" ref="E62:K62" si="23">E$15</f>
        <v>2</v>
      </c>
      <c r="F62" s="281">
        <f t="shared" si="23"/>
        <v>3</v>
      </c>
      <c r="G62" s="281">
        <f t="shared" si="23"/>
        <v>4</v>
      </c>
      <c r="H62" s="281">
        <f t="shared" si="23"/>
        <v>5</v>
      </c>
      <c r="I62" s="281">
        <f t="shared" si="23"/>
        <v>6</v>
      </c>
      <c r="J62" s="281">
        <f t="shared" si="23"/>
        <v>7</v>
      </c>
      <c r="K62" s="281">
        <f t="shared" si="23"/>
        <v>8</v>
      </c>
      <c r="O62" s="330"/>
    </row>
    <row r="63" spans="2:15" ht="12.75" customHeight="1"/>
    <row r="64" spans="2:15" ht="12.75" customHeight="1">
      <c r="D64" s="999" t="s">
        <v>325</v>
      </c>
      <c r="E64" s="999" t="s">
        <v>262</v>
      </c>
      <c r="F64" s="999" t="s">
        <v>262</v>
      </c>
      <c r="G64" s="999" t="s">
        <v>262</v>
      </c>
      <c r="H64" s="999" t="s">
        <v>262</v>
      </c>
      <c r="I64" s="999" t="s">
        <v>262</v>
      </c>
      <c r="J64" s="999" t="s">
        <v>262</v>
      </c>
      <c r="K64" s="999" t="s">
        <v>262</v>
      </c>
    </row>
    <row r="65" spans="2:11" ht="12.75" customHeight="1"/>
    <row r="66" spans="2:11" ht="12.75" customHeight="1">
      <c r="B66" s="165" t="str">
        <f t="shared" ref="B66:B72" si="24">B27</f>
        <v>Series A</v>
      </c>
      <c r="D66" s="387">
        <f>D19</f>
        <v>44050</v>
      </c>
      <c r="E66" s="387">
        <f t="shared" ref="E66:K72" si="25">E27</f>
        <v>0</v>
      </c>
      <c r="F66" s="387">
        <f t="shared" si="25"/>
        <v>0</v>
      </c>
      <c r="G66" s="387">
        <f t="shared" si="25"/>
        <v>0</v>
      </c>
      <c r="H66" s="387">
        <f t="shared" si="25"/>
        <v>0</v>
      </c>
      <c r="I66" s="387">
        <f t="shared" si="25"/>
        <v>0</v>
      </c>
      <c r="J66" s="387">
        <f t="shared" si="25"/>
        <v>44050</v>
      </c>
      <c r="K66" s="387">
        <f t="shared" si="25"/>
        <v>44050</v>
      </c>
    </row>
    <row r="67" spans="2:11" ht="12.75" customHeight="1">
      <c r="B67" s="165" t="str">
        <f t="shared" si="24"/>
        <v>Series B</v>
      </c>
      <c r="D67" s="387">
        <f>D20</f>
        <v>66149.975999999995</v>
      </c>
      <c r="E67" s="387">
        <f t="shared" si="25"/>
        <v>0</v>
      </c>
      <c r="F67" s="387">
        <f t="shared" si="25"/>
        <v>0</v>
      </c>
      <c r="G67" s="387">
        <f t="shared" si="25"/>
        <v>0</v>
      </c>
      <c r="H67" s="387">
        <f t="shared" si="25"/>
        <v>0</v>
      </c>
      <c r="I67" s="387">
        <f t="shared" si="25"/>
        <v>0</v>
      </c>
      <c r="J67" s="387">
        <f t="shared" si="25"/>
        <v>0</v>
      </c>
      <c r="K67" s="387">
        <f t="shared" si="25"/>
        <v>33074.987999999998</v>
      </c>
    </row>
    <row r="68" spans="2:11" ht="12.75" customHeight="1">
      <c r="B68" s="165" t="str">
        <f t="shared" si="24"/>
        <v>Options at $0.11 Strike Price</v>
      </c>
      <c r="D68" s="387">
        <v>0</v>
      </c>
      <c r="E68" s="387">
        <f t="shared" si="25"/>
        <v>0</v>
      </c>
      <c r="F68" s="387">
        <f t="shared" si="25"/>
        <v>190</v>
      </c>
      <c r="G68" s="387">
        <f t="shared" si="25"/>
        <v>190</v>
      </c>
      <c r="H68" s="387">
        <f t="shared" si="25"/>
        <v>190</v>
      </c>
      <c r="I68" s="387">
        <f t="shared" si="25"/>
        <v>190</v>
      </c>
      <c r="J68" s="387">
        <f t="shared" si="25"/>
        <v>190</v>
      </c>
      <c r="K68" s="387">
        <f t="shared" si="25"/>
        <v>190</v>
      </c>
    </row>
    <row r="69" spans="2:11" ht="12.75" customHeight="1">
      <c r="B69" s="165" t="str">
        <f t="shared" si="24"/>
        <v>Options at $0.13 Strike Price</v>
      </c>
      <c r="D69" s="387">
        <v>0</v>
      </c>
      <c r="E69" s="387">
        <f t="shared" si="25"/>
        <v>0</v>
      </c>
      <c r="F69" s="387">
        <f t="shared" si="25"/>
        <v>0</v>
      </c>
      <c r="G69" s="387">
        <f t="shared" si="25"/>
        <v>620.404</v>
      </c>
      <c r="H69" s="387">
        <f t="shared" si="25"/>
        <v>620.404</v>
      </c>
      <c r="I69" s="387">
        <f t="shared" si="25"/>
        <v>620.404</v>
      </c>
      <c r="J69" s="387">
        <f t="shared" si="25"/>
        <v>620.404</v>
      </c>
      <c r="K69" s="387">
        <f t="shared" si="25"/>
        <v>620.404</v>
      </c>
    </row>
    <row r="70" spans="2:11" ht="12.75" customHeight="1">
      <c r="B70" s="165" t="str">
        <f t="shared" si="24"/>
        <v>Options at $0.40 Strike Price</v>
      </c>
      <c r="D70" s="387">
        <v>0</v>
      </c>
      <c r="E70" s="387">
        <f t="shared" si="25"/>
        <v>0</v>
      </c>
      <c r="F70" s="387">
        <f t="shared" si="25"/>
        <v>0</v>
      </c>
      <c r="G70" s="387">
        <f t="shared" si="25"/>
        <v>0</v>
      </c>
      <c r="H70" s="387">
        <f t="shared" si="25"/>
        <v>826</v>
      </c>
      <c r="I70" s="387">
        <f t="shared" si="25"/>
        <v>826</v>
      </c>
      <c r="J70" s="387">
        <f t="shared" si="25"/>
        <v>826</v>
      </c>
      <c r="K70" s="387">
        <f t="shared" si="25"/>
        <v>826</v>
      </c>
    </row>
    <row r="71" spans="2:11" ht="12.75" customHeight="1">
      <c r="B71" s="165" t="str">
        <f t="shared" si="24"/>
        <v>Expected Options Grant</v>
      </c>
      <c r="D71" s="387">
        <v>0</v>
      </c>
      <c r="E71" s="387">
        <f t="shared" si="25"/>
        <v>0</v>
      </c>
      <c r="F71" s="387">
        <f t="shared" si="25"/>
        <v>0</v>
      </c>
      <c r="G71" s="387">
        <f t="shared" si="25"/>
        <v>0</v>
      </c>
      <c r="H71" s="387">
        <f t="shared" si="25"/>
        <v>0</v>
      </c>
      <c r="I71" s="387">
        <f t="shared" si="25"/>
        <v>2127.3489690721649</v>
      </c>
      <c r="J71" s="387">
        <f t="shared" si="25"/>
        <v>2127.3489690721649</v>
      </c>
      <c r="K71" s="387">
        <f t="shared" si="25"/>
        <v>2127.3489690721649</v>
      </c>
    </row>
    <row r="72" spans="2:11" ht="12.75" customHeight="1">
      <c r="B72" s="165" t="str">
        <f t="shared" si="24"/>
        <v>Common</v>
      </c>
      <c r="D72" s="387">
        <v>0</v>
      </c>
      <c r="E72" s="387">
        <f t="shared" si="25"/>
        <v>16327.046</v>
      </c>
      <c r="F72" s="387">
        <f t="shared" si="25"/>
        <v>16327.046</v>
      </c>
      <c r="G72" s="387">
        <f t="shared" si="25"/>
        <v>16327.046</v>
      </c>
      <c r="H72" s="387">
        <f t="shared" si="25"/>
        <v>16327.046</v>
      </c>
      <c r="I72" s="387">
        <f t="shared" si="25"/>
        <v>16327.046</v>
      </c>
      <c r="J72" s="387">
        <f t="shared" si="25"/>
        <v>16327.046</v>
      </c>
      <c r="K72" s="387">
        <f t="shared" si="25"/>
        <v>16327.046</v>
      </c>
    </row>
    <row r="73" spans="2:11" ht="12.75" customHeight="1">
      <c r="B73" s="5"/>
      <c r="C73" s="5"/>
      <c r="D73" s="5"/>
      <c r="E73" s="5"/>
      <c r="F73" s="5"/>
      <c r="G73" s="5"/>
      <c r="H73" s="5"/>
      <c r="I73" s="5"/>
      <c r="J73" s="5"/>
      <c r="K73" s="5"/>
    </row>
    <row r="74" spans="2:11" ht="12.75" customHeight="1">
      <c r="B74" s="41" t="s">
        <v>1558</v>
      </c>
      <c r="D74" s="38">
        <f t="shared" ref="D74:K74" si="26">SUM(D66:D72)</f>
        <v>110199.976</v>
      </c>
      <c r="E74" s="38">
        <f t="shared" si="26"/>
        <v>16327.046</v>
      </c>
      <c r="F74" s="38">
        <f t="shared" si="26"/>
        <v>16517.046000000002</v>
      </c>
      <c r="G74" s="38">
        <f t="shared" si="26"/>
        <v>17137.45</v>
      </c>
      <c r="H74" s="38">
        <f t="shared" si="26"/>
        <v>17963.45</v>
      </c>
      <c r="I74" s="38">
        <f t="shared" si="26"/>
        <v>20090.798969072166</v>
      </c>
      <c r="J74" s="38">
        <f t="shared" si="26"/>
        <v>64140.798969072166</v>
      </c>
      <c r="K74" s="38">
        <f t="shared" si="26"/>
        <v>97215.786969072156</v>
      </c>
    </row>
    <row r="75" spans="2:11" ht="12.75" customHeight="1"/>
    <row r="76" spans="2:11" ht="12.75" customHeight="1">
      <c r="B76" s="279" t="s">
        <v>1586</v>
      </c>
      <c r="C76" s="6"/>
      <c r="D76" s="280">
        <f>D$15</f>
        <v>1</v>
      </c>
      <c r="E76" s="281">
        <f t="shared" ref="E76:K76" si="27">E$15</f>
        <v>2</v>
      </c>
      <c r="F76" s="281">
        <f t="shared" si="27"/>
        <v>3</v>
      </c>
      <c r="G76" s="281">
        <f t="shared" si="27"/>
        <v>4</v>
      </c>
      <c r="H76" s="281">
        <f t="shared" si="27"/>
        <v>5</v>
      </c>
      <c r="I76" s="281">
        <f t="shared" si="27"/>
        <v>6</v>
      </c>
      <c r="J76" s="281">
        <f t="shared" si="27"/>
        <v>7</v>
      </c>
      <c r="K76" s="281">
        <f t="shared" si="27"/>
        <v>8</v>
      </c>
    </row>
    <row r="77" spans="2:11" ht="12.75" customHeight="1"/>
    <row r="78" spans="2:11" ht="12.75" customHeight="1">
      <c r="B78" s="2" t="str">
        <f t="shared" ref="B78:B84" si="28">B66</f>
        <v>Series A</v>
      </c>
      <c r="D78" s="412">
        <f t="shared" ref="D78:K84" si="29">D66/D$74</f>
        <v>0.39972785475016803</v>
      </c>
      <c r="E78" s="412">
        <f t="shared" si="29"/>
        <v>0</v>
      </c>
      <c r="F78" s="412">
        <f t="shared" si="29"/>
        <v>0</v>
      </c>
      <c r="G78" s="412">
        <f t="shared" si="29"/>
        <v>0</v>
      </c>
      <c r="H78" s="412">
        <f t="shared" si="29"/>
        <v>0</v>
      </c>
      <c r="I78" s="412">
        <f t="shared" si="29"/>
        <v>0</v>
      </c>
      <c r="J78" s="412">
        <f t="shared" si="29"/>
        <v>0.6867703662569018</v>
      </c>
      <c r="K78" s="412">
        <f t="shared" si="29"/>
        <v>0.4531157065468584</v>
      </c>
    </row>
    <row r="79" spans="2:11" ht="12.75" customHeight="1">
      <c r="B79" s="2" t="str">
        <f t="shared" si="28"/>
        <v>Series B</v>
      </c>
      <c r="D79" s="412">
        <f t="shared" si="29"/>
        <v>0.60027214524983197</v>
      </c>
      <c r="E79" s="412">
        <f t="shared" si="29"/>
        <v>0</v>
      </c>
      <c r="F79" s="412">
        <f t="shared" si="29"/>
        <v>0</v>
      </c>
      <c r="G79" s="412">
        <f t="shared" si="29"/>
        <v>0</v>
      </c>
      <c r="H79" s="412">
        <f t="shared" si="29"/>
        <v>0</v>
      </c>
      <c r="I79" s="412">
        <f t="shared" si="29"/>
        <v>0</v>
      </c>
      <c r="J79" s="412">
        <f t="shared" si="29"/>
        <v>0</v>
      </c>
      <c r="K79" s="412">
        <f t="shared" si="29"/>
        <v>0.3402223962916881</v>
      </c>
    </row>
    <row r="80" spans="2:11" ht="12.75" customHeight="1">
      <c r="B80" s="2" t="str">
        <f t="shared" si="28"/>
        <v>Options at $0.11 Strike Price</v>
      </c>
      <c r="D80" s="412">
        <f t="shared" si="29"/>
        <v>0</v>
      </c>
      <c r="E80" s="412">
        <f t="shared" si="29"/>
        <v>0</v>
      </c>
      <c r="F80" s="412">
        <f t="shared" si="29"/>
        <v>1.1503267593975337E-2</v>
      </c>
      <c r="G80" s="412">
        <f t="shared" si="29"/>
        <v>1.1086830304391844E-2</v>
      </c>
      <c r="H80" s="412">
        <f t="shared" si="29"/>
        <v>1.0577032808285713E-2</v>
      </c>
      <c r="I80" s="412">
        <f t="shared" si="29"/>
        <v>9.4570654105138648E-3</v>
      </c>
      <c r="J80" s="412">
        <f t="shared" si="29"/>
        <v>2.9622331348197807E-3</v>
      </c>
      <c r="K80" s="412">
        <f t="shared" si="29"/>
        <v>1.954415079316756E-3</v>
      </c>
    </row>
    <row r="81" spans="2:15" ht="12.75" customHeight="1">
      <c r="B81" s="2" t="str">
        <f t="shared" si="28"/>
        <v>Options at $0.13 Strike Price</v>
      </c>
      <c r="D81" s="412">
        <f t="shared" si="29"/>
        <v>0</v>
      </c>
      <c r="E81" s="412">
        <f t="shared" si="29"/>
        <v>0</v>
      </c>
      <c r="F81" s="412">
        <f t="shared" si="29"/>
        <v>0</v>
      </c>
      <c r="G81" s="412">
        <f t="shared" si="29"/>
        <v>3.6201651937715351E-2</v>
      </c>
      <c r="H81" s="412">
        <f t="shared" si="29"/>
        <v>3.4537018223114155E-2</v>
      </c>
      <c r="I81" s="412">
        <f t="shared" si="29"/>
        <v>3.0880006362865493E-2</v>
      </c>
      <c r="J81" s="412">
        <f t="shared" si="29"/>
        <v>9.6725330830249017E-3</v>
      </c>
      <c r="K81" s="412">
        <f t="shared" si="29"/>
        <v>6.3817206993075403E-3</v>
      </c>
    </row>
    <row r="82" spans="2:15" ht="12.75" customHeight="1">
      <c r="B82" s="2" t="str">
        <f t="shared" si="28"/>
        <v>Options at $0.40 Strike Price</v>
      </c>
      <c r="D82" s="412">
        <f t="shared" si="29"/>
        <v>0</v>
      </c>
      <c r="E82" s="412">
        <f t="shared" si="29"/>
        <v>0</v>
      </c>
      <c r="F82" s="412">
        <f t="shared" si="29"/>
        <v>0</v>
      </c>
      <c r="G82" s="412">
        <f t="shared" si="29"/>
        <v>0</v>
      </c>
      <c r="H82" s="412">
        <f t="shared" si="29"/>
        <v>4.598225841917894E-2</v>
      </c>
      <c r="I82" s="412">
        <f t="shared" si="29"/>
        <v>4.1113347521497118E-2</v>
      </c>
      <c r="J82" s="412">
        <f t="shared" si="29"/>
        <v>1.2877918786111256E-2</v>
      </c>
      <c r="K82" s="412">
        <f t="shared" si="29"/>
        <v>8.4965623974507382E-3</v>
      </c>
    </row>
    <row r="83" spans="2:15" ht="12.75" customHeight="1">
      <c r="B83" s="2" t="str">
        <f t="shared" si="28"/>
        <v>Expected Options Grant</v>
      </c>
      <c r="D83" s="412">
        <f t="shared" si="29"/>
        <v>0</v>
      </c>
      <c r="E83" s="412">
        <f t="shared" si="29"/>
        <v>0</v>
      </c>
      <c r="F83" s="412">
        <f t="shared" si="29"/>
        <v>0</v>
      </c>
      <c r="G83" s="412">
        <f t="shared" si="29"/>
        <v>0</v>
      </c>
      <c r="H83" s="412">
        <f t="shared" si="29"/>
        <v>0</v>
      </c>
      <c r="I83" s="412">
        <f t="shared" si="29"/>
        <v>0.10588672816581421</v>
      </c>
      <c r="J83" s="412">
        <f t="shared" si="29"/>
        <v>3.3166861081632991E-2</v>
      </c>
      <c r="K83" s="412">
        <f t="shared" si="29"/>
        <v>2.1882752126966283E-2</v>
      </c>
    </row>
    <row r="84" spans="2:15" ht="12.75" customHeight="1">
      <c r="B84" s="2" t="str">
        <f t="shared" si="28"/>
        <v>Common</v>
      </c>
      <c r="D84" s="412">
        <f t="shared" si="29"/>
        <v>0</v>
      </c>
      <c r="E84" s="412">
        <f t="shared" si="29"/>
        <v>1</v>
      </c>
      <c r="F84" s="412">
        <f t="shared" si="29"/>
        <v>0.98849673240602454</v>
      </c>
      <c r="G84" s="412">
        <f t="shared" si="29"/>
        <v>0.95271151775789276</v>
      </c>
      <c r="H84" s="412">
        <f t="shared" si="29"/>
        <v>0.90890369054942122</v>
      </c>
      <c r="I84" s="412">
        <f t="shared" si="29"/>
        <v>0.81266285253930926</v>
      </c>
      <c r="J84" s="412">
        <f t="shared" si="29"/>
        <v>0.25455008765750925</v>
      </c>
      <c r="K84" s="412">
        <f t="shared" si="29"/>
        <v>0.16794644685841223</v>
      </c>
    </row>
    <row r="85" spans="2:15" ht="12.75" customHeight="1">
      <c r="B85" s="61"/>
      <c r="C85" s="61"/>
      <c r="D85" s="2542"/>
      <c r="E85" s="2542"/>
      <c r="F85" s="2542"/>
      <c r="G85" s="2542"/>
      <c r="H85" s="2542"/>
      <c r="I85" s="2542"/>
      <c r="J85" s="2542"/>
      <c r="K85" s="2542"/>
    </row>
    <row r="86" spans="2:15" ht="12.75" customHeight="1">
      <c r="B86" s="1" t="s">
        <v>1587</v>
      </c>
      <c r="D86" s="2543">
        <f t="shared" ref="D86:K86" si="30">SUM(D78:D84)</f>
        <v>1</v>
      </c>
      <c r="E86" s="2543">
        <f t="shared" si="30"/>
        <v>1</v>
      </c>
      <c r="F86" s="2543">
        <f t="shared" si="30"/>
        <v>0.99999999999999989</v>
      </c>
      <c r="G86" s="2543">
        <f t="shared" si="30"/>
        <v>1</v>
      </c>
      <c r="H86" s="2543">
        <f t="shared" si="30"/>
        <v>1</v>
      </c>
      <c r="I86" s="2543">
        <f t="shared" si="30"/>
        <v>1</v>
      </c>
      <c r="J86" s="2543">
        <f t="shared" si="30"/>
        <v>1</v>
      </c>
      <c r="K86" s="2543">
        <f t="shared" si="30"/>
        <v>1</v>
      </c>
    </row>
    <row r="87" spans="2:15" ht="12.75" customHeight="1">
      <c r="B87" s="1"/>
      <c r="D87" s="38"/>
      <c r="E87" s="38"/>
      <c r="F87" s="38"/>
      <c r="G87" s="38"/>
      <c r="H87" s="38"/>
      <c r="I87" s="38"/>
      <c r="J87" s="38"/>
      <c r="K87" s="38"/>
    </row>
    <row r="88" spans="2:15" s="6" customFormat="1" ht="12.75" customHeight="1">
      <c r="B88" s="279" t="s">
        <v>342</v>
      </c>
      <c r="D88" s="280">
        <f>D$15</f>
        <v>1</v>
      </c>
      <c r="E88" s="281">
        <f t="shared" ref="E88:K88" si="31">E$15</f>
        <v>2</v>
      </c>
      <c r="F88" s="281">
        <f t="shared" si="31"/>
        <v>3</v>
      </c>
      <c r="G88" s="281">
        <f t="shared" si="31"/>
        <v>4</v>
      </c>
      <c r="H88" s="281">
        <f t="shared" si="31"/>
        <v>5</v>
      </c>
      <c r="I88" s="281">
        <f t="shared" si="31"/>
        <v>6</v>
      </c>
      <c r="J88" s="281">
        <f t="shared" si="31"/>
        <v>7</v>
      </c>
      <c r="K88" s="281">
        <f t="shared" si="31"/>
        <v>8</v>
      </c>
      <c r="M88" s="115" t="s">
        <v>160</v>
      </c>
      <c r="O88" s="330"/>
    </row>
    <row r="89" spans="2:15" ht="12.75" customHeight="1"/>
    <row r="90" spans="2:15" ht="12.75" customHeight="1">
      <c r="B90" s="2" t="str">
        <f t="shared" ref="B90:B96" si="32">B66</f>
        <v>Series A</v>
      </c>
      <c r="D90" s="1000">
        <f t="shared" ref="D90:K96" si="33">D$60*D66/D$74</f>
        <v>28064.874096577827</v>
      </c>
      <c r="E90" s="1000">
        <f t="shared" si="33"/>
        <v>0</v>
      </c>
      <c r="F90" s="1000">
        <f t="shared" si="33"/>
        <v>0</v>
      </c>
      <c r="G90" s="1000">
        <f t="shared" si="33"/>
        <v>0</v>
      </c>
      <c r="H90" s="1000">
        <f t="shared" si="33"/>
        <v>0</v>
      </c>
      <c r="I90" s="1000">
        <f t="shared" si="33"/>
        <v>0</v>
      </c>
      <c r="J90" s="1000">
        <f t="shared" si="33"/>
        <v>15026.998425723368</v>
      </c>
      <c r="K90" s="1000">
        <f t="shared" si="33"/>
        <v>65962.995878708796</v>
      </c>
      <c r="M90" s="406">
        <f t="shared" ref="M90:M96" si="34">SUM(D90:K90)</f>
        <v>109054.86840101</v>
      </c>
    </row>
    <row r="91" spans="2:15" ht="12.75" customHeight="1">
      <c r="B91" s="2" t="str">
        <f t="shared" si="32"/>
        <v>Series B</v>
      </c>
      <c r="D91" s="406">
        <f t="shared" si="33"/>
        <v>42145.079408209873</v>
      </c>
      <c r="E91" s="406">
        <f t="shared" si="33"/>
        <v>0</v>
      </c>
      <c r="F91" s="406">
        <f t="shared" si="33"/>
        <v>0</v>
      </c>
      <c r="G91" s="406">
        <f t="shared" si="33"/>
        <v>0</v>
      </c>
      <c r="H91" s="406">
        <f t="shared" si="33"/>
        <v>0</v>
      </c>
      <c r="I91" s="406">
        <f t="shared" si="33"/>
        <v>0</v>
      </c>
      <c r="J91" s="406">
        <f t="shared" si="33"/>
        <v>0</v>
      </c>
      <c r="K91" s="406">
        <f t="shared" si="33"/>
        <v>49528.383589837518</v>
      </c>
      <c r="M91" s="406">
        <f t="shared" si="34"/>
        <v>91673.462998047384</v>
      </c>
    </row>
    <row r="92" spans="2:15" ht="12.75" customHeight="1">
      <c r="B92" s="2" t="str">
        <f t="shared" si="32"/>
        <v>Options at $0.11 Strike Price</v>
      </c>
      <c r="D92" s="406">
        <f t="shared" si="33"/>
        <v>0</v>
      </c>
      <c r="E92" s="406">
        <f t="shared" si="33"/>
        <v>0</v>
      </c>
      <c r="F92" s="406">
        <f t="shared" si="33"/>
        <v>1.6388522588678818</v>
      </c>
      <c r="G92" s="406">
        <f t="shared" si="33"/>
        <v>21.833617358361384</v>
      </c>
      <c r="H92" s="406">
        <f t="shared" si="33"/>
        <v>5.5727420814688946</v>
      </c>
      <c r="I92" s="406">
        <f t="shared" si="33"/>
        <v>40.913495061877235</v>
      </c>
      <c r="J92" s="406">
        <f t="shared" si="33"/>
        <v>64.815657227864705</v>
      </c>
      <c r="K92" s="406">
        <f t="shared" si="33"/>
        <v>284.51689482303448</v>
      </c>
      <c r="M92" s="406">
        <f t="shared" si="34"/>
        <v>419.29125881147456</v>
      </c>
    </row>
    <row r="93" spans="2:15" ht="12.75" customHeight="1">
      <c r="B93" s="2" t="str">
        <f t="shared" si="32"/>
        <v>Options at $0.13 Strike Price</v>
      </c>
      <c r="D93" s="406">
        <f t="shared" si="33"/>
        <v>0</v>
      </c>
      <c r="E93" s="406">
        <f t="shared" si="33"/>
        <v>0</v>
      </c>
      <c r="F93" s="406">
        <f t="shared" si="33"/>
        <v>0</v>
      </c>
      <c r="G93" s="406">
        <f t="shared" si="33"/>
        <v>71.292966018930727</v>
      </c>
      <c r="H93" s="406">
        <f t="shared" si="33"/>
        <v>18.196586727955939</v>
      </c>
      <c r="I93" s="406">
        <f t="shared" si="33"/>
        <v>133.59418942299411</v>
      </c>
      <c r="J93" s="406">
        <f t="shared" si="33"/>
        <v>211.64154214103249</v>
      </c>
      <c r="K93" s="406">
        <f t="shared" si="33"/>
        <v>929.02852429363099</v>
      </c>
      <c r="M93" s="406">
        <f t="shared" si="34"/>
        <v>1363.7538086045442</v>
      </c>
    </row>
    <row r="94" spans="2:15" ht="12.75" customHeight="1">
      <c r="B94" s="2" t="str">
        <f t="shared" si="32"/>
        <v>Options at $0.40 Strike Price</v>
      </c>
      <c r="D94" s="406">
        <f t="shared" si="33"/>
        <v>0</v>
      </c>
      <c r="E94" s="406">
        <f t="shared" si="33"/>
        <v>0</v>
      </c>
      <c r="F94" s="406">
        <f t="shared" si="33"/>
        <v>0</v>
      </c>
      <c r="G94" s="406">
        <f t="shared" si="33"/>
        <v>0</v>
      </c>
      <c r="H94" s="406">
        <f t="shared" si="33"/>
        <v>24.226762943648986</v>
      </c>
      <c r="I94" s="406">
        <f t="shared" si="33"/>
        <v>177.86603642689789</v>
      </c>
      <c r="J94" s="406">
        <f t="shared" si="33"/>
        <v>281.77754142219078</v>
      </c>
      <c r="K94" s="406">
        <f t="shared" si="33"/>
        <v>1236.8997638096132</v>
      </c>
      <c r="M94" s="406">
        <f t="shared" si="34"/>
        <v>1720.7701046023508</v>
      </c>
    </row>
    <row r="95" spans="2:15" ht="12.75" customHeight="1">
      <c r="B95" s="2" t="str">
        <f t="shared" si="32"/>
        <v>Expected Options Grant</v>
      </c>
      <c r="D95" s="406">
        <f t="shared" si="33"/>
        <v>0</v>
      </c>
      <c r="E95" s="406">
        <f t="shared" si="33"/>
        <v>0</v>
      </c>
      <c r="F95" s="406">
        <f t="shared" si="33"/>
        <v>0</v>
      </c>
      <c r="G95" s="406">
        <f t="shared" si="33"/>
        <v>0</v>
      </c>
      <c r="H95" s="406">
        <f t="shared" si="33"/>
        <v>0</v>
      </c>
      <c r="I95" s="406">
        <f t="shared" si="33"/>
        <v>458.09095547907185</v>
      </c>
      <c r="J95" s="406">
        <f t="shared" si="33"/>
        <v>725.71327149175158</v>
      </c>
      <c r="K95" s="406">
        <f t="shared" si="33"/>
        <v>3185.6143309757686</v>
      </c>
      <c r="M95" s="406">
        <f t="shared" si="34"/>
        <v>4369.418557946592</v>
      </c>
    </row>
    <row r="96" spans="2:15" ht="12.75" customHeight="1">
      <c r="B96" s="2" t="str">
        <f t="shared" si="32"/>
        <v>Common</v>
      </c>
      <c r="D96" s="406">
        <f t="shared" si="33"/>
        <v>0</v>
      </c>
      <c r="E96" s="406">
        <f t="shared" si="33"/>
        <v>779.02283347173943</v>
      </c>
      <c r="F96" s="406">
        <f t="shared" si="33"/>
        <v>140.82955904073586</v>
      </c>
      <c r="G96" s="406">
        <f t="shared" si="33"/>
        <v>1876.2024997703411</v>
      </c>
      <c r="H96" s="406">
        <f t="shared" si="33"/>
        <v>478.87587531725472</v>
      </c>
      <c r="I96" s="406">
        <f t="shared" si="33"/>
        <v>3515.7711362949603</v>
      </c>
      <c r="J96" s="406">
        <f t="shared" si="33"/>
        <v>5569.7274583135768</v>
      </c>
      <c r="K96" s="406">
        <f t="shared" si="33"/>
        <v>24449.054892383399</v>
      </c>
      <c r="M96" s="406">
        <f t="shared" si="34"/>
        <v>36809.484254592011</v>
      </c>
    </row>
    <row r="97" spans="2:15" ht="12.75" customHeight="1">
      <c r="B97" s="61"/>
      <c r="C97" s="61"/>
      <c r="D97" s="5"/>
      <c r="E97" s="5"/>
      <c r="F97" s="5"/>
      <c r="G97" s="5"/>
      <c r="H97" s="5"/>
      <c r="I97" s="5"/>
      <c r="J97" s="5"/>
      <c r="K97" s="5"/>
      <c r="M97" s="5"/>
    </row>
    <row r="98" spans="2:15" ht="12.75" customHeight="1">
      <c r="B98" s="1" t="s">
        <v>1559</v>
      </c>
      <c r="D98" s="1001">
        <f t="shared" ref="D98:K98" si="35">SUM(D90:D96)</f>
        <v>70209.9535047877</v>
      </c>
      <c r="E98" s="1001">
        <f t="shared" si="35"/>
        <v>779.02283347173943</v>
      </c>
      <c r="F98" s="1001">
        <f t="shared" si="35"/>
        <v>142.46841129960373</v>
      </c>
      <c r="G98" s="1001">
        <f t="shared" si="35"/>
        <v>1969.3290831476331</v>
      </c>
      <c r="H98" s="1001">
        <f t="shared" si="35"/>
        <v>526.87196707032854</v>
      </c>
      <c r="I98" s="1001">
        <f t="shared" si="35"/>
        <v>4326.2358126858016</v>
      </c>
      <c r="J98" s="1001">
        <f t="shared" si="35"/>
        <v>21880.673896319786</v>
      </c>
      <c r="K98" s="1001">
        <f t="shared" si="35"/>
        <v>145576.49387483177</v>
      </c>
      <c r="M98" s="38">
        <f>SUM(M90:M96)</f>
        <v>245411.04938361439</v>
      </c>
      <c r="O98" s="331">
        <f>M98-D9</f>
        <v>0</v>
      </c>
    </row>
    <row r="99" spans="2:15" ht="12.75" customHeight="1"/>
    <row r="100" spans="2:15" ht="12.75" customHeight="1"/>
    <row r="102" spans="2:15">
      <c r="B102" s="405" t="s">
        <v>1588</v>
      </c>
      <c r="D102" s="1002">
        <f>D43</f>
        <v>110199.976</v>
      </c>
      <c r="E102" s="1002">
        <f t="shared" ref="E102:J102" si="36">F43-E43</f>
        <v>1795.975059999997</v>
      </c>
      <c r="F102" s="1002">
        <f t="shared" si="36"/>
        <v>330.34092000000237</v>
      </c>
      <c r="G102" s="1002">
        <f t="shared" si="36"/>
        <v>4627.1114999999991</v>
      </c>
      <c r="H102" s="1002">
        <f t="shared" si="36"/>
        <v>1257.4415000000008</v>
      </c>
      <c r="I102" s="1002">
        <f t="shared" si="36"/>
        <v>10648.123453608248</v>
      </c>
      <c r="J102" s="1002">
        <f t="shared" si="36"/>
        <v>64140.798969072144</v>
      </c>
      <c r="K102" s="1002"/>
    </row>
    <row r="103" spans="2:15">
      <c r="D103" s="1002"/>
      <c r="E103" s="1002"/>
      <c r="F103" s="1002"/>
      <c r="G103" s="1002"/>
      <c r="H103" s="1002"/>
      <c r="I103" s="1002"/>
      <c r="J103" s="1002"/>
      <c r="K103" s="1002"/>
    </row>
    <row r="104" spans="2:15">
      <c r="B104" s="1003" t="s">
        <v>1589</v>
      </c>
      <c r="C104" s="6"/>
      <c r="D104" s="1004">
        <f t="shared" ref="D104:J104" si="37">D88</f>
        <v>1</v>
      </c>
      <c r="E104" s="1005">
        <f t="shared" si="37"/>
        <v>2</v>
      </c>
      <c r="F104" s="1005">
        <f t="shared" si="37"/>
        <v>3</v>
      </c>
      <c r="G104" s="1005">
        <f t="shared" si="37"/>
        <v>4</v>
      </c>
      <c r="H104" s="1005">
        <f t="shared" si="37"/>
        <v>5</v>
      </c>
      <c r="I104" s="1005">
        <f t="shared" si="37"/>
        <v>6</v>
      </c>
      <c r="J104" s="1005">
        <f t="shared" si="37"/>
        <v>7</v>
      </c>
      <c r="K104" s="1005"/>
    </row>
    <row r="105" spans="2:15">
      <c r="D105" s="1002"/>
      <c r="E105" s="1002"/>
      <c r="F105" s="1002"/>
      <c r="G105" s="1002"/>
      <c r="H105" s="1002"/>
      <c r="I105" s="1002"/>
      <c r="J105" s="1002"/>
      <c r="K105" s="1002"/>
    </row>
    <row r="106" spans="2:15">
      <c r="B106" s="405" t="str">
        <f t="shared" ref="B106:B112" si="38">B90</f>
        <v>Series A</v>
      </c>
      <c r="D106" s="406">
        <f t="shared" ref="D106:J112" si="39">D66/D$74*D$102</f>
        <v>44050</v>
      </c>
      <c r="E106" s="406">
        <f t="shared" si="39"/>
        <v>0</v>
      </c>
      <c r="F106" s="406">
        <f t="shared" si="39"/>
        <v>0</v>
      </c>
      <c r="G106" s="406">
        <f t="shared" si="39"/>
        <v>0</v>
      </c>
      <c r="H106" s="406">
        <f t="shared" si="39"/>
        <v>0</v>
      </c>
      <c r="I106" s="406">
        <f t="shared" si="39"/>
        <v>0</v>
      </c>
      <c r="J106" s="406">
        <f t="shared" si="39"/>
        <v>44049.999999999985</v>
      </c>
      <c r="K106" s="406"/>
    </row>
    <row r="107" spans="2:15">
      <c r="B107" s="405" t="str">
        <f t="shared" si="38"/>
        <v>Series B</v>
      </c>
      <c r="D107" s="406">
        <f t="shared" si="39"/>
        <v>66149.975999999995</v>
      </c>
      <c r="E107" s="406">
        <f t="shared" si="39"/>
        <v>0</v>
      </c>
      <c r="F107" s="406">
        <f t="shared" si="39"/>
        <v>0</v>
      </c>
      <c r="G107" s="406">
        <f t="shared" si="39"/>
        <v>0</v>
      </c>
      <c r="H107" s="406">
        <f t="shared" si="39"/>
        <v>0</v>
      </c>
      <c r="I107" s="406">
        <f t="shared" si="39"/>
        <v>0</v>
      </c>
      <c r="J107" s="406">
        <f t="shared" si="39"/>
        <v>0</v>
      </c>
      <c r="K107" s="406"/>
    </row>
    <row r="108" spans="2:15">
      <c r="B108" s="405" t="str">
        <f t="shared" si="38"/>
        <v>Options at $0.11 Strike Price</v>
      </c>
      <c r="D108" s="406">
        <f t="shared" si="39"/>
        <v>0</v>
      </c>
      <c r="E108" s="406">
        <f t="shared" si="39"/>
        <v>0</v>
      </c>
      <c r="F108" s="406">
        <f t="shared" si="39"/>
        <v>3.8000000000000265</v>
      </c>
      <c r="G108" s="406">
        <f t="shared" si="39"/>
        <v>51.29999999999999</v>
      </c>
      <c r="H108" s="406">
        <f t="shared" si="39"/>
        <v>13.300000000000008</v>
      </c>
      <c r="I108" s="406">
        <f t="shared" si="39"/>
        <v>100.7</v>
      </c>
      <c r="J108" s="406">
        <f t="shared" si="39"/>
        <v>189.99999999999994</v>
      </c>
      <c r="K108" s="406"/>
    </row>
    <row r="109" spans="2:15">
      <c r="B109" s="405" t="str">
        <f t="shared" si="38"/>
        <v>Options at $0.13 Strike Price</v>
      </c>
      <c r="D109" s="406">
        <f t="shared" si="39"/>
        <v>0</v>
      </c>
      <c r="E109" s="406">
        <f t="shared" si="39"/>
        <v>0</v>
      </c>
      <c r="F109" s="406">
        <f t="shared" si="39"/>
        <v>0</v>
      </c>
      <c r="G109" s="406">
        <f t="shared" si="39"/>
        <v>167.50907999999995</v>
      </c>
      <c r="H109" s="406">
        <f t="shared" si="39"/>
        <v>43.428280000000022</v>
      </c>
      <c r="I109" s="406">
        <f t="shared" si="39"/>
        <v>328.81412</v>
      </c>
      <c r="J109" s="406">
        <f t="shared" si="39"/>
        <v>620.40399999999977</v>
      </c>
      <c r="K109" s="406"/>
    </row>
    <row r="110" spans="2:15">
      <c r="B110" s="405" t="str">
        <f t="shared" si="38"/>
        <v>Options at $0.40 Strike Price</v>
      </c>
      <c r="D110" s="406">
        <f t="shared" si="39"/>
        <v>0</v>
      </c>
      <c r="E110" s="406">
        <f t="shared" si="39"/>
        <v>0</v>
      </c>
      <c r="F110" s="406">
        <f t="shared" si="39"/>
        <v>0</v>
      </c>
      <c r="G110" s="406">
        <f t="shared" si="39"/>
        <v>0</v>
      </c>
      <c r="H110" s="406">
        <f t="shared" si="39"/>
        <v>57.820000000000029</v>
      </c>
      <c r="I110" s="406">
        <f t="shared" si="39"/>
        <v>437.78000000000003</v>
      </c>
      <c r="J110" s="406">
        <f t="shared" si="39"/>
        <v>825.99999999999966</v>
      </c>
      <c r="K110" s="406"/>
    </row>
    <row r="111" spans="2:15">
      <c r="B111" s="405" t="str">
        <f t="shared" si="38"/>
        <v>Expected Options Grant</v>
      </c>
      <c r="D111" s="406">
        <f t="shared" si="39"/>
        <v>0</v>
      </c>
      <c r="E111" s="406">
        <f t="shared" si="39"/>
        <v>0</v>
      </c>
      <c r="F111" s="406">
        <f t="shared" si="39"/>
        <v>0</v>
      </c>
      <c r="G111" s="406">
        <f t="shared" si="39"/>
        <v>0</v>
      </c>
      <c r="H111" s="406">
        <f t="shared" si="39"/>
        <v>0</v>
      </c>
      <c r="I111" s="406">
        <f t="shared" si="39"/>
        <v>1127.4949536082474</v>
      </c>
      <c r="J111" s="406">
        <f t="shared" si="39"/>
        <v>2127.3489690721644</v>
      </c>
      <c r="K111" s="406"/>
    </row>
    <row r="112" spans="2:15">
      <c r="B112" s="405" t="str">
        <f t="shared" si="38"/>
        <v>Common</v>
      </c>
      <c r="D112" s="406">
        <f t="shared" si="39"/>
        <v>0</v>
      </c>
      <c r="E112" s="406">
        <f t="shared" si="39"/>
        <v>1795.975059999997</v>
      </c>
      <c r="F112" s="406">
        <f t="shared" si="39"/>
        <v>326.5409200000023</v>
      </c>
      <c r="G112" s="406">
        <f t="shared" si="39"/>
        <v>4408.3024199999991</v>
      </c>
      <c r="H112" s="406">
        <f t="shared" si="39"/>
        <v>1142.8932200000008</v>
      </c>
      <c r="I112" s="406">
        <f t="shared" si="39"/>
        <v>8653.3343800000002</v>
      </c>
      <c r="J112" s="406">
        <f t="shared" si="39"/>
        <v>16327.045999999993</v>
      </c>
      <c r="K112" s="406"/>
    </row>
    <row r="113" spans="2:11">
      <c r="D113" s="412"/>
      <c r="E113" s="412"/>
      <c r="F113" s="412"/>
      <c r="G113" s="412"/>
      <c r="H113" s="412"/>
      <c r="I113" s="412"/>
      <c r="J113" s="412"/>
      <c r="K113" s="412"/>
    </row>
    <row r="114" spans="2:11">
      <c r="B114" s="1003" t="s">
        <v>1590</v>
      </c>
      <c r="C114" s="6"/>
      <c r="D114" s="1004">
        <f t="shared" ref="D114:J114" si="40">D104</f>
        <v>1</v>
      </c>
      <c r="E114" s="1005">
        <f t="shared" si="40"/>
        <v>2</v>
      </c>
      <c r="F114" s="1005">
        <f t="shared" si="40"/>
        <v>3</v>
      </c>
      <c r="G114" s="1005">
        <f t="shared" si="40"/>
        <v>4</v>
      </c>
      <c r="H114" s="1005">
        <f t="shared" si="40"/>
        <v>5</v>
      </c>
      <c r="I114" s="1005">
        <f t="shared" si="40"/>
        <v>6</v>
      </c>
      <c r="J114" s="1005">
        <f t="shared" si="40"/>
        <v>7</v>
      </c>
      <c r="K114" s="1005"/>
    </row>
    <row r="115" spans="2:11">
      <c r="D115" s="412"/>
      <c r="E115" s="412"/>
      <c r="F115" s="412"/>
      <c r="G115" s="412"/>
      <c r="H115" s="412"/>
      <c r="I115" s="412"/>
      <c r="J115" s="412"/>
      <c r="K115" s="412"/>
    </row>
    <row r="116" spans="2:11">
      <c r="B116" s="405" t="str">
        <f t="shared" ref="B116:B122" si="41">B106</f>
        <v>Series A</v>
      </c>
      <c r="D116" s="1006">
        <f>SUM($D106:D106)/$O27</f>
        <v>1</v>
      </c>
      <c r="E116" s="1006">
        <f>SUM($D106:E106)/$O27</f>
        <v>1</v>
      </c>
      <c r="F116" s="1006">
        <f>SUM($D106:F106)/$O27</f>
        <v>1</v>
      </c>
      <c r="G116" s="1006">
        <f>SUM($D106:G106)/$O27</f>
        <v>1</v>
      </c>
      <c r="H116" s="1006">
        <f>SUM($D106:H106)/$O27</f>
        <v>1</v>
      </c>
      <c r="I116" s="1006">
        <f>SUM($D106:I106)/$O27</f>
        <v>1</v>
      </c>
      <c r="J116" s="1006">
        <f>SUM($D106:J106)/$O27</f>
        <v>1.9999999999999998</v>
      </c>
      <c r="K116" s="1006"/>
    </row>
    <row r="117" spans="2:11">
      <c r="B117" s="405" t="str">
        <f t="shared" si="41"/>
        <v>Series B</v>
      </c>
      <c r="D117" s="1006">
        <f>SUM($D107:D107)/$O28</f>
        <v>2</v>
      </c>
      <c r="E117" s="1006">
        <f>SUM($D107:E107)/$O28</f>
        <v>2</v>
      </c>
      <c r="F117" s="1006">
        <f>SUM($D107:F107)/$O28</f>
        <v>2</v>
      </c>
      <c r="G117" s="1006">
        <f>SUM($D107:G107)/$O28</f>
        <v>2</v>
      </c>
      <c r="H117" s="1006">
        <f>SUM($D107:H107)/$O28</f>
        <v>2</v>
      </c>
      <c r="I117" s="1006">
        <f>SUM($D107:I107)/$O28</f>
        <v>2</v>
      </c>
      <c r="J117" s="1006">
        <f>SUM($D107:J107)/$O28</f>
        <v>2</v>
      </c>
      <c r="K117" s="1006"/>
    </row>
    <row r="118" spans="2:11">
      <c r="B118" s="405" t="str">
        <f t="shared" si="41"/>
        <v>Options at $0.11 Strike Price</v>
      </c>
      <c r="D118" s="1006">
        <f>SUM($D108:D108)/$O29</f>
        <v>0</v>
      </c>
      <c r="E118" s="1006">
        <f>SUM($D108:E108)/$O29</f>
        <v>0</v>
      </c>
      <c r="F118" s="1006">
        <f>SUM($D108:F108)/$O29</f>
        <v>2.0000000000000139E-2</v>
      </c>
      <c r="G118" s="1006">
        <f>SUM($D108:G108)/$O29</f>
        <v>0.29000000000000009</v>
      </c>
      <c r="H118" s="1006">
        <f>SUM($D108:H108)/$O29</f>
        <v>0.3600000000000001</v>
      </c>
      <c r="I118" s="1006">
        <f>SUM($D108:I108)/$O29</f>
        <v>0.89000000000000012</v>
      </c>
      <c r="J118" s="1006">
        <f>SUM($D108:J108)/$O29</f>
        <v>1.89</v>
      </c>
      <c r="K118" s="1006"/>
    </row>
    <row r="119" spans="2:11">
      <c r="B119" s="405" t="str">
        <f t="shared" si="41"/>
        <v>Options at $0.13 Strike Price</v>
      </c>
      <c r="D119" s="1006">
        <f>SUM($D109:D109)/$O30</f>
        <v>0</v>
      </c>
      <c r="E119" s="1006">
        <f>SUM($D109:E109)/$O30</f>
        <v>0</v>
      </c>
      <c r="F119" s="1006">
        <f>SUM($D109:F109)/$O30</f>
        <v>0</v>
      </c>
      <c r="G119" s="1006">
        <f>SUM($D109:G109)/$O30</f>
        <v>0.26999999999999991</v>
      </c>
      <c r="H119" s="1006">
        <f>SUM($D109:H109)/$O30</f>
        <v>0.33999999999999997</v>
      </c>
      <c r="I119" s="1006">
        <f>SUM($D109:I109)/$O30</f>
        <v>0.87</v>
      </c>
      <c r="J119" s="1006">
        <f>SUM($D109:J109)/$O30</f>
        <v>1.8699999999999999</v>
      </c>
      <c r="K119" s="1006"/>
    </row>
    <row r="120" spans="2:11">
      <c r="B120" s="405" t="str">
        <f t="shared" si="41"/>
        <v>Options at $0.40 Strike Price</v>
      </c>
      <c r="D120" s="1006">
        <f>SUM($D110:D110)/$O31</f>
        <v>0</v>
      </c>
      <c r="E120" s="1006">
        <f>SUM($D110:E110)/$O31</f>
        <v>0</v>
      </c>
      <c r="F120" s="1006">
        <f>SUM($D110:F110)/$O31</f>
        <v>0</v>
      </c>
      <c r="G120" s="1006">
        <f>SUM($D110:G110)/$O31</f>
        <v>0</v>
      </c>
      <c r="H120" s="1006">
        <f>SUM($D110:H110)/$O31</f>
        <v>7.0000000000000034E-2</v>
      </c>
      <c r="I120" s="1006">
        <f>SUM($D110:I110)/$O31</f>
        <v>0.60000000000000009</v>
      </c>
      <c r="J120" s="1006">
        <f>SUM($D110:J110)/$O31</f>
        <v>1.5999999999999996</v>
      </c>
      <c r="K120" s="1006"/>
    </row>
    <row r="121" spans="2:11">
      <c r="B121" s="405" t="str">
        <f t="shared" si="41"/>
        <v>Expected Options Grant</v>
      </c>
      <c r="D121" s="1006">
        <f>SUM($D111:D111)/$O32</f>
        <v>0</v>
      </c>
      <c r="E121" s="1006">
        <f>SUM($D111:E111)/$O32</f>
        <v>0</v>
      </c>
      <c r="F121" s="1006">
        <f>SUM($D111:F111)/$O32</f>
        <v>0</v>
      </c>
      <c r="G121" s="1006">
        <f>SUM($D111:G111)/$O32</f>
        <v>0</v>
      </c>
      <c r="H121" s="1006">
        <f>SUM($D111:H111)/$O32</f>
        <v>0</v>
      </c>
      <c r="I121" s="1006">
        <f>SUM($D111:I111)/$O32</f>
        <v>0.53</v>
      </c>
      <c r="J121" s="1006">
        <f>SUM($D111:J111)/$O32</f>
        <v>1.53</v>
      </c>
      <c r="K121" s="1006"/>
    </row>
    <row r="122" spans="2:11">
      <c r="B122" s="405" t="str">
        <f t="shared" si="41"/>
        <v>Common</v>
      </c>
      <c r="D122" s="1006">
        <f>SUM($D112:D112)/$O33</f>
        <v>0</v>
      </c>
      <c r="E122" s="1006">
        <f>SUM($D112:E112)/$O33</f>
        <v>0.10999999999999982</v>
      </c>
      <c r="F122" s="1006">
        <f>SUM($D112:F112)/$O33</f>
        <v>0.12999999999999995</v>
      </c>
      <c r="G122" s="1006">
        <f>SUM($D112:G112)/$O33</f>
        <v>0.39999999999999991</v>
      </c>
      <c r="H122" s="1006">
        <f>SUM($D112:H112)/$O33</f>
        <v>0.46999999999999992</v>
      </c>
      <c r="I122" s="1006">
        <f>SUM($D112:I112)/$O33</f>
        <v>0.99999999999999989</v>
      </c>
      <c r="J122" s="1006">
        <f>SUM($D112:J112)/$O33</f>
        <v>1.9999999999999993</v>
      </c>
      <c r="K122" s="1006"/>
    </row>
    <row r="123" spans="2:11">
      <c r="D123" s="412"/>
      <c r="E123" s="412"/>
      <c r="F123" s="412"/>
      <c r="G123" s="412"/>
      <c r="H123" s="412"/>
      <c r="I123" s="412"/>
      <c r="J123" s="412"/>
      <c r="K123" s="412"/>
    </row>
    <row r="124" spans="2:11">
      <c r="D124" s="412">
        <f t="shared" ref="D124:K124" si="42">NORMSDIST(D51)</f>
        <v>1</v>
      </c>
      <c r="E124" s="412">
        <f t="shared" si="42"/>
        <v>0.90963378657760541</v>
      </c>
      <c r="F124" s="412">
        <f t="shared" si="42"/>
        <v>0.90772730352726383</v>
      </c>
      <c r="G124" s="412">
        <f t="shared" si="42"/>
        <v>0.90737678500424268</v>
      </c>
      <c r="H124" s="412">
        <f t="shared" si="42"/>
        <v>0.90247289188598134</v>
      </c>
      <c r="I124" s="412">
        <f t="shared" si="42"/>
        <v>0.9011423987435323</v>
      </c>
      <c r="J124" s="412">
        <f t="shared" si="42"/>
        <v>0.88992403432282219</v>
      </c>
      <c r="K124" s="412">
        <f t="shared" si="42"/>
        <v>0.8253369851454555</v>
      </c>
    </row>
    <row r="125" spans="2:11">
      <c r="B125" s="405" t="s">
        <v>1257</v>
      </c>
      <c r="D125" s="884">
        <f>D124-E124</f>
        <v>9.0366213422394592E-2</v>
      </c>
      <c r="E125" s="412"/>
      <c r="F125" s="412"/>
      <c r="G125" s="412"/>
      <c r="H125" s="412"/>
      <c r="I125" s="412"/>
      <c r="J125" s="412"/>
      <c r="K125" s="412"/>
    </row>
  </sheetData>
  <conditionalFormatting sqref="C4:I4">
    <cfRule type="cellIs" dxfId="144" priority="6" stopIfTrue="1" operator="equal">
      <formula>"input"</formula>
    </cfRule>
  </conditionalFormatting>
  <conditionalFormatting sqref="J4">
    <cfRule type="cellIs" dxfId="143" priority="4" stopIfTrue="1" operator="equal">
      <formula>"input"</formula>
    </cfRule>
  </conditionalFormatting>
  <conditionalFormatting sqref="J4">
    <cfRule type="cellIs" dxfId="142" priority="5" stopIfTrue="1" operator="equal">
      <formula>"input"</formula>
    </cfRule>
  </conditionalFormatting>
  <conditionalFormatting sqref="K4">
    <cfRule type="cellIs" dxfId="141" priority="2" stopIfTrue="1" operator="equal">
      <formula>"input"</formula>
    </cfRule>
  </conditionalFormatting>
  <conditionalFormatting sqref="K4">
    <cfRule type="cellIs" dxfId="140" priority="3" stopIfTrue="1" operator="equal">
      <formula>"input"</formula>
    </cfRule>
  </conditionalFormatting>
  <conditionalFormatting sqref="B4">
    <cfRule type="cellIs" dxfId="139" priority="1" stopIfTrue="1" operator="equal">
      <formula>"input"</formula>
    </cfRule>
  </conditionalFormatting>
  <pageMargins left="0.5" right="0.5" top="0.5" bottom="0.5" header="0.5" footer="0.5"/>
  <pageSetup scale="71" fitToWidth="0" fitToHeight="0" pageOrder="overThenDown" orientation="landscape" r:id="rId1"/>
  <rowBreaks count="3" manualBreakCount="3">
    <brk id="24" max="19" man="1"/>
    <brk id="44" max="19" man="1"/>
    <brk id="74" max="19" man="1"/>
  </rowBreaks>
  <legacyDrawing r:id="rId2"/>
  <legacyDrawingHF r:id="rId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W35"/>
  <sheetViews>
    <sheetView showGridLines="0" view="pageBreakPreview" zoomScaleNormal="100" zoomScaleSheetLayoutView="100" workbookViewId="0">
      <selection activeCell="J12" sqref="J12"/>
    </sheetView>
  </sheetViews>
  <sheetFormatPr defaultRowHeight="12.75"/>
  <cols>
    <col min="1" max="1" width="4.5" style="405" customWidth="1"/>
    <col min="2" max="2" width="31.33203125" style="405" customWidth="1"/>
    <col min="3" max="3" width="2.83203125" style="405" customWidth="1"/>
    <col min="4" max="4" width="19.5" style="405" customWidth="1"/>
    <col min="5" max="5" width="2.83203125" style="405" customWidth="1"/>
    <col min="6" max="6" width="19.5" style="405" customWidth="1"/>
    <col min="7" max="7" width="2.83203125" style="405" customWidth="1"/>
    <col min="8" max="8" width="22.83203125" style="405" customWidth="1"/>
    <col min="9" max="9" width="2.83203125" style="405" customWidth="1"/>
    <col min="10" max="10" width="25.33203125" style="405" customWidth="1"/>
    <col min="11" max="11" width="2.83203125" style="405" customWidth="1"/>
    <col min="12" max="12" width="25.33203125" style="405" customWidth="1"/>
    <col min="13" max="13" width="4.5" style="405" customWidth="1"/>
    <col min="14" max="14" width="9.33203125" style="405"/>
    <col min="15" max="15" width="15.33203125" style="405" bestFit="1" customWidth="1"/>
    <col min="16" max="16" width="11.5" style="405" bestFit="1" customWidth="1"/>
    <col min="17" max="17" width="9.33203125" style="405"/>
    <col min="18" max="18" width="10.6640625" style="405" customWidth="1"/>
    <col min="19" max="16384" width="9.33203125" style="405"/>
  </cols>
  <sheetData>
    <row r="1" spans="2:17" ht="10.7" customHeight="1" thickBot="1"/>
    <row r="2" spans="2:17" ht="16.5" customHeight="1" thickTop="1">
      <c r="B2" s="10" t="str">
        <f>'MASTER PubCo Inputs'!$C$5</f>
        <v>Kallyope, Inc.</v>
      </c>
      <c r="C2" s="10"/>
      <c r="D2" s="10"/>
      <c r="E2" s="10"/>
      <c r="F2" s="10"/>
      <c r="G2" s="10"/>
      <c r="H2" s="10"/>
      <c r="I2" s="10"/>
      <c r="J2" s="10"/>
      <c r="K2" s="10"/>
      <c r="L2" s="10"/>
      <c r="O2" s="806" t="s">
        <v>579</v>
      </c>
      <c r="P2" s="807"/>
    </row>
    <row r="3" spans="2:17" ht="15.75" customHeight="1">
      <c r="B3" s="11" t="e">
        <f>VLOOKUP(B4,Outline!$E$8:$G$69,COLUMNS(Outline!$E$8:$G$8),FALSE)</f>
        <v>#N/A</v>
      </c>
      <c r="C3" s="11"/>
      <c r="D3" s="11"/>
      <c r="E3" s="11"/>
      <c r="F3" s="11"/>
      <c r="G3" s="11"/>
      <c r="H3" s="11"/>
      <c r="I3" s="11"/>
      <c r="J3" s="11"/>
      <c r="K3" s="11"/>
      <c r="L3" s="11"/>
      <c r="O3" s="2005" t="s">
        <v>435</v>
      </c>
      <c r="P3" s="803"/>
    </row>
    <row r="4" spans="2:17" ht="30" customHeight="1" thickBot="1">
      <c r="B4" s="12" t="s">
        <v>2589</v>
      </c>
      <c r="C4" s="12"/>
      <c r="D4" s="12"/>
      <c r="E4" s="12"/>
      <c r="F4" s="12"/>
      <c r="G4" s="12"/>
      <c r="H4" s="12"/>
      <c r="I4" s="12"/>
      <c r="J4" s="13"/>
      <c r="K4" s="13"/>
      <c r="L4" s="13" t="str">
        <f>+'MASTER PubCo Inputs'!$C$20</f>
        <v>(in thousands of USD and shares, except price per share)</v>
      </c>
      <c r="O4" s="362" t="s">
        <v>1166</v>
      </c>
      <c r="P4" s="804">
        <f>PWERM!F168</f>
        <v>2.1326976851557422</v>
      </c>
    </row>
    <row r="5" spans="2:17" s="16" customFormat="1" ht="12.75" customHeight="1" thickTop="1">
      <c r="B5" s="405"/>
      <c r="C5" s="405"/>
      <c r="D5" s="405"/>
      <c r="E5" s="405"/>
      <c r="F5" s="405"/>
      <c r="G5" s="405"/>
      <c r="H5" s="405"/>
      <c r="I5" s="405"/>
      <c r="J5" s="405"/>
      <c r="K5" s="405"/>
      <c r="L5" s="405"/>
      <c r="M5" s="405"/>
      <c r="O5" s="362" t="s">
        <v>1167</v>
      </c>
      <c r="P5" s="207">
        <f>H11</f>
        <v>2.0918571953742915</v>
      </c>
    </row>
    <row r="6" spans="2:17" ht="12.75" customHeight="1">
      <c r="O6" s="784" t="s">
        <v>1168</v>
      </c>
      <c r="P6" s="808">
        <f>P5-P4</f>
        <v>-4.0840489781450717E-2</v>
      </c>
      <c r="Q6" s="515" t="str">
        <f>IF(OR(P6&lt;-0.01,P6&gt;0.01),"Check","")</f>
        <v>Check</v>
      </c>
    </row>
    <row r="7" spans="2:17" ht="12.75" customHeight="1">
      <c r="B7" s="582" t="s">
        <v>343</v>
      </c>
      <c r="C7" s="166"/>
      <c r="D7" s="580" t="s">
        <v>264</v>
      </c>
      <c r="E7" s="580"/>
      <c r="F7" s="580" t="s">
        <v>262</v>
      </c>
      <c r="G7" s="580"/>
      <c r="H7" s="580" t="s">
        <v>344</v>
      </c>
      <c r="I7" s="580"/>
      <c r="J7" s="580" t="s">
        <v>756</v>
      </c>
      <c r="K7" s="580"/>
      <c r="L7" s="581" t="s">
        <v>345</v>
      </c>
      <c r="O7" s="82" t="s">
        <v>318</v>
      </c>
      <c r="P7" s="805">
        <v>245411.04938361442</v>
      </c>
    </row>
    <row r="8" spans="2:17" ht="6" customHeight="1"/>
    <row r="9" spans="2:17" ht="12.75" customHeight="1">
      <c r="B9" s="405" t="str">
        <f>'OPM 1_Series B'!B90</f>
        <v>Series A</v>
      </c>
      <c r="D9" s="452">
        <f>'OPM 1_Series B'!$M90</f>
        <v>109054.86840101</v>
      </c>
      <c r="E9" s="812"/>
      <c r="F9" s="452">
        <f>'Econ Rights'!D11</f>
        <v>44050</v>
      </c>
      <c r="G9" s="4"/>
      <c r="H9" s="167">
        <f>D9/F9</f>
        <v>2.4757064336211121</v>
      </c>
      <c r="I9" s="167"/>
      <c r="J9" s="168"/>
      <c r="K9" s="169"/>
      <c r="L9" s="168"/>
    </row>
    <row r="10" spans="2:17" ht="12.75" customHeight="1">
      <c r="B10" s="405" t="str">
        <f>'OPM 1_Series B'!B91</f>
        <v>Series B</v>
      </c>
      <c r="D10" s="452">
        <f>'OPM 1_Series B'!$M91</f>
        <v>91673.462998047384</v>
      </c>
      <c r="E10" s="812"/>
      <c r="F10" s="452">
        <f>SUM('Econ Rights'!E11:G11)</f>
        <v>33074.987999999998</v>
      </c>
      <c r="G10" s="4"/>
      <c r="H10" s="167">
        <f>D10/F10</f>
        <v>2.7716854499855721</v>
      </c>
      <c r="I10" s="167"/>
      <c r="J10" s="168"/>
      <c r="K10" s="169"/>
      <c r="L10" s="168"/>
    </row>
    <row r="11" spans="2:17" ht="12.75" customHeight="1">
      <c r="B11" s="405" t="s">
        <v>2002</v>
      </c>
      <c r="D11" s="452">
        <f>SUM('OPM 1_Series B'!M92:M95)</f>
        <v>7873.2337299649616</v>
      </c>
      <c r="E11" s="812"/>
      <c r="F11" s="452">
        <f>SUM('Cap Table'!D24:D27)</f>
        <v>3763.7529690721649</v>
      </c>
      <c r="G11" s="4"/>
      <c r="H11" s="167">
        <f>D11/F11</f>
        <v>2.0918571953742915</v>
      </c>
      <c r="I11" s="167"/>
      <c r="J11" s="168"/>
      <c r="K11" s="169"/>
      <c r="L11" s="168"/>
    </row>
    <row r="12" spans="2:17" ht="12.75" customHeight="1">
      <c r="B12" s="405" t="str">
        <f>'OPM 1_Series B'!B96</f>
        <v>Common</v>
      </c>
      <c r="D12" s="452">
        <f>'OPM 1_Series B'!$M96</f>
        <v>36809.484254592011</v>
      </c>
      <c r="E12" s="812"/>
      <c r="F12" s="452">
        <f>'Cap Table'!H11</f>
        <v>16327.046</v>
      </c>
      <c r="G12" s="4"/>
      <c r="H12" s="167">
        <f>D12/F12</f>
        <v>2.2545097413575004</v>
      </c>
      <c r="I12" s="167"/>
      <c r="J12" s="2078">
        <f>'DLOM_Implied Series B'!D47</f>
        <v>0.35000000000000003</v>
      </c>
      <c r="K12" s="169"/>
      <c r="L12" s="167">
        <f>H12*(1-J12)</f>
        <v>1.4654313318823751</v>
      </c>
    </row>
    <row r="13" spans="2:17" ht="12.75" customHeight="1">
      <c r="B13" s="5"/>
      <c r="C13" s="5"/>
      <c r="D13" s="170"/>
      <c r="E13" s="170"/>
      <c r="F13" s="170"/>
      <c r="G13" s="5"/>
      <c r="H13" s="171"/>
      <c r="I13" s="5"/>
      <c r="J13" s="171"/>
      <c r="K13" s="171"/>
      <c r="L13" s="171"/>
    </row>
    <row r="14" spans="2:17" ht="12.75" customHeight="1">
      <c r="B14" s="1" t="str">
        <f>'OPM 1_Series B'!B98</f>
        <v>Total Tranche Value</v>
      </c>
      <c r="D14" s="172">
        <f>SUM(D9:D12)</f>
        <v>245411.04938361436</v>
      </c>
      <c r="E14" s="92"/>
      <c r="F14" s="172">
        <f>SUM(F9:F12)</f>
        <v>97215.786969072171</v>
      </c>
      <c r="H14" s="173"/>
      <c r="J14" s="173"/>
      <c r="K14" s="173"/>
      <c r="L14" s="173"/>
    </row>
    <row r="15" spans="2:17" ht="12.75" customHeight="1"/>
    <row r="16" spans="2:17" ht="12.75" customHeight="1">
      <c r="B16" s="8" t="s">
        <v>86</v>
      </c>
    </row>
    <row r="17" spans="1:23" ht="12.75" customHeight="1">
      <c r="A17" s="718" t="s">
        <v>210</v>
      </c>
      <c r="B17" s="764" t="e">
        <f>"Refer to "&amp;'DLOM_Implied Series B'!B3&amp;" for DLOM calculations."</f>
        <v>#N/A</v>
      </c>
      <c r="O17" s="16"/>
      <c r="P17" s="16"/>
      <c r="Q17" s="16"/>
      <c r="R17" s="16"/>
      <c r="S17" s="16"/>
      <c r="T17" s="16"/>
      <c r="U17" s="16"/>
      <c r="V17" s="16"/>
      <c r="W17" s="16"/>
    </row>
    <row r="18" spans="1:23" ht="12.75" customHeight="1">
      <c r="O18" s="936"/>
      <c r="P18" s="16"/>
      <c r="Q18" s="16"/>
      <c r="R18" s="16"/>
      <c r="S18" s="16"/>
      <c r="T18" s="16"/>
      <c r="U18" s="16"/>
      <c r="V18" s="16"/>
      <c r="W18" s="16"/>
    </row>
    <row r="19" spans="1:23">
      <c r="D19" s="955"/>
      <c r="O19" s="16"/>
      <c r="P19" s="16"/>
      <c r="Q19" s="16"/>
      <c r="R19" s="16"/>
      <c r="S19" s="16"/>
      <c r="T19" s="16"/>
      <c r="U19" s="16"/>
      <c r="V19" s="16"/>
      <c r="W19" s="16"/>
    </row>
    <row r="20" spans="1:23">
      <c r="B20" s="405" t="s">
        <v>1349</v>
      </c>
      <c r="D20" s="956" t="str">
        <f>IF((D14&lt;&gt;'OPM 1_Series B'!M98),"Check","")</f>
        <v/>
      </c>
      <c r="O20" s="16"/>
      <c r="P20" s="16"/>
      <c r="Q20" s="16"/>
      <c r="R20" s="927"/>
      <c r="S20" s="16"/>
      <c r="T20" s="16"/>
      <c r="U20" s="16"/>
      <c r="V20" s="16"/>
      <c r="W20" s="16"/>
    </row>
    <row r="21" spans="1:23">
      <c r="O21" s="904"/>
      <c r="P21" s="16"/>
      <c r="Q21" s="16"/>
      <c r="R21" s="16"/>
      <c r="S21" s="16"/>
      <c r="T21" s="16"/>
      <c r="U21" s="16"/>
      <c r="V21" s="16"/>
      <c r="W21" s="16"/>
    </row>
    <row r="22" spans="1:23">
      <c r="O22" s="904"/>
      <c r="P22" s="16"/>
      <c r="Q22" s="16"/>
      <c r="R22" s="16"/>
      <c r="S22" s="16"/>
      <c r="T22" s="16"/>
      <c r="U22" s="16"/>
      <c r="V22" s="16"/>
      <c r="W22" s="16"/>
    </row>
    <row r="23" spans="1:23">
      <c r="O23" s="1007"/>
      <c r="P23" s="16"/>
      <c r="Q23" s="16"/>
      <c r="R23" s="883"/>
      <c r="S23" s="16"/>
      <c r="T23" s="16"/>
      <c r="U23" s="16"/>
      <c r="V23" s="16"/>
      <c r="W23" s="16"/>
    </row>
    <row r="24" spans="1:23">
      <c r="O24" s="904"/>
      <c r="P24" s="16"/>
      <c r="Q24" s="16"/>
      <c r="R24" s="16"/>
      <c r="S24" s="16"/>
      <c r="T24" s="16"/>
      <c r="U24" s="16"/>
      <c r="V24" s="16"/>
      <c r="W24" s="16"/>
    </row>
    <row r="25" spans="1:23">
      <c r="O25" s="904"/>
      <c r="P25" s="16"/>
      <c r="Q25" s="16"/>
      <c r="R25" s="16"/>
      <c r="S25" s="16"/>
      <c r="T25" s="16"/>
      <c r="U25" s="16"/>
      <c r="V25" s="16"/>
      <c r="W25" s="16"/>
    </row>
    <row r="26" spans="1:23">
      <c r="O26" s="16"/>
      <c r="P26" s="16"/>
      <c r="Q26" s="16"/>
      <c r="R26" s="16"/>
      <c r="S26" s="16"/>
      <c r="T26" s="16"/>
      <c r="U26" s="16"/>
      <c r="V26" s="16"/>
      <c r="W26" s="16"/>
    </row>
    <row r="27" spans="1:23">
      <c r="O27" s="16"/>
      <c r="P27" s="16"/>
      <c r="Q27" s="16"/>
      <c r="R27" s="16"/>
      <c r="S27" s="16"/>
      <c r="T27" s="16"/>
      <c r="U27" s="16"/>
      <c r="V27" s="16"/>
      <c r="W27" s="16"/>
    </row>
    <row r="28" spans="1:23">
      <c r="O28" s="16"/>
      <c r="P28" s="16"/>
      <c r="Q28" s="16"/>
      <c r="R28" s="927"/>
      <c r="S28" s="16"/>
      <c r="T28" s="16"/>
      <c r="U28" s="16"/>
      <c r="V28" s="16"/>
      <c r="W28" s="16"/>
    </row>
    <row r="29" spans="1:23">
      <c r="O29" s="939"/>
      <c r="P29" s="16"/>
      <c r="Q29" s="16"/>
      <c r="R29" s="16"/>
      <c r="S29" s="16"/>
      <c r="T29" s="16"/>
      <c r="U29" s="16"/>
      <c r="V29" s="16"/>
      <c r="W29" s="16"/>
    </row>
    <row r="30" spans="1:23">
      <c r="O30" s="939"/>
      <c r="P30" s="16"/>
      <c r="Q30" s="16"/>
      <c r="R30" s="16"/>
      <c r="S30" s="16"/>
      <c r="T30" s="16"/>
      <c r="U30" s="16"/>
      <c r="V30" s="16"/>
      <c r="W30" s="16"/>
    </row>
    <row r="31" spans="1:23">
      <c r="O31" s="1008"/>
      <c r="P31" s="16"/>
      <c r="Q31" s="16"/>
      <c r="R31" s="883"/>
      <c r="S31" s="16"/>
      <c r="T31" s="16"/>
      <c r="U31" s="16"/>
      <c r="V31" s="16"/>
      <c r="W31" s="16"/>
    </row>
    <row r="32" spans="1:23">
      <c r="O32" s="939"/>
      <c r="P32" s="16"/>
      <c r="Q32" s="16"/>
      <c r="R32" s="16"/>
      <c r="S32" s="16"/>
      <c r="T32" s="16"/>
      <c r="U32" s="16"/>
      <c r="V32" s="16"/>
      <c r="W32" s="16"/>
    </row>
    <row r="33" spans="15:23">
      <c r="O33" s="939"/>
      <c r="P33" s="16"/>
      <c r="Q33" s="16"/>
      <c r="R33" s="16"/>
      <c r="S33" s="16"/>
      <c r="T33" s="16"/>
      <c r="U33" s="16"/>
      <c r="V33" s="16"/>
      <c r="W33" s="16"/>
    </row>
    <row r="34" spans="15:23">
      <c r="O34" s="16"/>
      <c r="P34" s="16"/>
      <c r="Q34" s="16"/>
      <c r="R34" s="16"/>
      <c r="S34" s="16"/>
      <c r="T34" s="16"/>
      <c r="U34" s="16"/>
      <c r="V34" s="16"/>
      <c r="W34" s="16"/>
    </row>
    <row r="35" spans="15:23">
      <c r="O35" s="16"/>
      <c r="P35" s="16"/>
      <c r="Q35" s="16"/>
      <c r="R35" s="16"/>
      <c r="S35" s="16"/>
      <c r="T35" s="16"/>
      <c r="U35" s="16"/>
      <c r="V35" s="16"/>
      <c r="W35" s="16"/>
    </row>
  </sheetData>
  <dataConsolidate/>
  <conditionalFormatting sqref="C4:I4">
    <cfRule type="cellIs" dxfId="138" priority="8" stopIfTrue="1" operator="equal">
      <formula>"input"</formula>
    </cfRule>
  </conditionalFormatting>
  <conditionalFormatting sqref="J4">
    <cfRule type="cellIs" dxfId="137" priority="6" stopIfTrue="1" operator="equal">
      <formula>"input"</formula>
    </cfRule>
  </conditionalFormatting>
  <conditionalFormatting sqref="J4">
    <cfRule type="cellIs" dxfId="136" priority="7" stopIfTrue="1" operator="equal">
      <formula>"input"</formula>
    </cfRule>
  </conditionalFormatting>
  <conditionalFormatting sqref="K4">
    <cfRule type="cellIs" dxfId="135" priority="4" stopIfTrue="1" operator="equal">
      <formula>"input"</formula>
    </cfRule>
  </conditionalFormatting>
  <conditionalFormatting sqref="K4">
    <cfRule type="cellIs" dxfId="134" priority="5" stopIfTrue="1" operator="equal">
      <formula>"input"</formula>
    </cfRule>
  </conditionalFormatting>
  <conditionalFormatting sqref="L4">
    <cfRule type="cellIs" dxfId="133" priority="2" stopIfTrue="1" operator="equal">
      <formula>"input"</formula>
    </cfRule>
  </conditionalFormatting>
  <conditionalFormatting sqref="L4">
    <cfRule type="cellIs" dxfId="132" priority="3" stopIfTrue="1" operator="equal">
      <formula>"input"</formula>
    </cfRule>
  </conditionalFormatting>
  <conditionalFormatting sqref="B4">
    <cfRule type="cellIs" dxfId="131" priority="1" stopIfTrue="1" operator="equal">
      <formula>"input"</formula>
    </cfRule>
  </conditionalFormatting>
  <pageMargins left="0.5" right="0.5" top="0.5" bottom="0.5" header="0.5" footer="0.5"/>
  <pageSetup scale="90" fitToWidth="0" fitToHeight="0" orientation="landscape" r:id="rId1"/>
  <legacyDrawingHF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B1:F51"/>
  <sheetViews>
    <sheetView showGridLines="0" view="pageBreakPreview" zoomScaleNormal="100" zoomScaleSheetLayoutView="100" workbookViewId="0">
      <selection activeCell="D12" sqref="D12"/>
    </sheetView>
  </sheetViews>
  <sheetFormatPr defaultRowHeight="12.75" outlineLevelRow="1"/>
  <cols>
    <col min="1" max="1" width="4.5" style="405" customWidth="1"/>
    <col min="2" max="2" width="99.1640625" style="405" customWidth="1"/>
    <col min="3" max="3" width="2.83203125" style="405" customWidth="1"/>
    <col min="4" max="4" width="18.83203125" style="405" customWidth="1"/>
    <col min="5" max="5" width="2.83203125" style="405" customWidth="1"/>
    <col min="6" max="6" width="18.83203125" style="405" customWidth="1"/>
    <col min="7" max="7" width="4.5" style="405" customWidth="1"/>
    <col min="8" max="16384" width="9.33203125" style="405"/>
  </cols>
  <sheetData>
    <row r="1" spans="2:6" ht="10.7" customHeight="1" thickBot="1"/>
    <row r="2" spans="2:6" ht="16.5" customHeight="1" thickTop="1">
      <c r="B2" s="10" t="str">
        <f>'MASTER PubCo Inputs'!$C$5</f>
        <v>Kallyope, Inc.</v>
      </c>
      <c r="C2" s="10"/>
      <c r="D2" s="10"/>
      <c r="E2" s="10"/>
      <c r="F2" s="10"/>
    </row>
    <row r="3" spans="2:6" ht="15.75" customHeight="1">
      <c r="B3" s="11" t="e">
        <f>VLOOKUP(B4,Outline!$E$8:$G$69,COLUMNS(Outline!$E$8:$G$8),FALSE)</f>
        <v>#N/A</v>
      </c>
      <c r="C3" s="11"/>
      <c r="D3" s="11"/>
      <c r="E3" s="11"/>
      <c r="F3" s="11"/>
    </row>
    <row r="4" spans="2:6" ht="16.5" customHeight="1" thickBot="1">
      <c r="B4" s="12" t="s">
        <v>2583</v>
      </c>
      <c r="C4" s="12"/>
      <c r="D4" s="12"/>
      <c r="E4" s="12"/>
      <c r="F4" s="13"/>
    </row>
    <row r="5" spans="2:6" ht="12.75" customHeight="1" thickTop="1">
      <c r="B5" s="907"/>
    </row>
    <row r="6" spans="2:6" ht="12.75" customHeight="1">
      <c r="B6" s="907"/>
    </row>
    <row r="7" spans="2:6">
      <c r="B7" s="2046" t="s">
        <v>410</v>
      </c>
      <c r="C7" s="2047"/>
      <c r="D7" s="2048"/>
      <c r="F7" s="2012" t="s">
        <v>70</v>
      </c>
    </row>
    <row r="8" spans="2:6" ht="12.75" customHeight="1">
      <c r="D8" s="16"/>
    </row>
    <row r="9" spans="2:6" ht="12.75" customHeight="1">
      <c r="B9" s="2005" t="s">
        <v>71</v>
      </c>
      <c r="C9" s="2042"/>
      <c r="D9" s="2049">
        <f>'OPM 1_Series B'!Q16</f>
        <v>4.0484794520547958</v>
      </c>
      <c r="F9" s="314" t="e">
        <f>'OPM 1_Series B'!B3</f>
        <v>#N/A</v>
      </c>
    </row>
    <row r="10" spans="2:6" ht="12.75" customHeight="1">
      <c r="B10" s="362" t="s">
        <v>72</v>
      </c>
      <c r="C10" s="16"/>
      <c r="D10" s="968">
        <f>'Risk-Free Rates_OPM'!E36</f>
        <v>2.6741664383561646E-2</v>
      </c>
      <c r="F10" s="944" t="e">
        <f>'Risk-Free Rates_OPM'!B3</f>
        <v>#N/A</v>
      </c>
    </row>
    <row r="11" spans="2:6" ht="12.75" customHeight="1">
      <c r="B11" s="362" t="s">
        <v>73</v>
      </c>
      <c r="C11" s="16"/>
      <c r="D11" s="202">
        <v>0</v>
      </c>
      <c r="F11" s="21"/>
    </row>
    <row r="12" spans="2:6" ht="12.75" customHeight="1">
      <c r="B12" s="932" t="s">
        <v>74</v>
      </c>
      <c r="C12" s="203"/>
      <c r="D12" s="964">
        <f>'Asset Vol_DLOM_Implied Series B'!Q50</f>
        <v>0.74099999999999999</v>
      </c>
      <c r="F12" s="966" t="e">
        <f>'Asset Vol_DLOM_Implied Series B'!B3</f>
        <v>#N/A</v>
      </c>
    </row>
    <row r="13" spans="2:6" ht="12.75" customHeight="1">
      <c r="B13" s="362"/>
      <c r="C13" s="16"/>
      <c r="D13" s="204"/>
    </row>
    <row r="14" spans="2:6" ht="12.75" customHeight="1">
      <c r="B14" s="362" t="s">
        <v>75</v>
      </c>
      <c r="C14" s="16"/>
      <c r="D14" s="205">
        <f>D12^2*D9</f>
        <v>2.2229431460136997</v>
      </c>
    </row>
    <row r="15" spans="2:6" ht="12.75" customHeight="1">
      <c r="B15" s="362" t="s">
        <v>76</v>
      </c>
      <c r="C15" s="16"/>
      <c r="D15" s="205">
        <f>(D12^2*D9+LN(2*(EXP(D14)-D12^2*D9-1))-2*LN(EXP(D14)-1))^0.5</f>
        <v>0.70221872968126364</v>
      </c>
    </row>
    <row r="16" spans="2:6" ht="12.75" customHeight="1">
      <c r="B16" s="362" t="s">
        <v>77</v>
      </c>
      <c r="C16" s="16"/>
      <c r="D16" s="205">
        <f>((D10-D11)*D9)/D15+0.5*D15</f>
        <v>0.50528223747211998</v>
      </c>
    </row>
    <row r="17" spans="2:6" ht="12.75" customHeight="1">
      <c r="B17" s="362" t="s">
        <v>78</v>
      </c>
      <c r="C17" s="16"/>
      <c r="D17" s="205">
        <f>((D10-D11)*D9)/D15-0.5*D15</f>
        <v>-0.19693649220914361</v>
      </c>
    </row>
    <row r="18" spans="2:6" ht="12.75" customHeight="1">
      <c r="B18" s="362"/>
      <c r="C18" s="16"/>
      <c r="D18" s="206"/>
    </row>
    <row r="19" spans="2:6" ht="12.75" customHeight="1">
      <c r="B19" s="933" t="s">
        <v>79</v>
      </c>
      <c r="C19" s="934"/>
      <c r="D19" s="935">
        <f>EXP((D10-D11)*D9)*NORMSDIST(D16)-NORMSDIST(D17)</f>
        <v>0.35065584766455049</v>
      </c>
    </row>
    <row r="20" spans="2:6" ht="12.75" customHeight="1">
      <c r="D20" s="16"/>
    </row>
    <row r="21" spans="2:6" hidden="1" outlineLevel="1">
      <c r="B21" s="2046" t="s">
        <v>80</v>
      </c>
      <c r="C21" s="2047"/>
      <c r="D21" s="2048"/>
    </row>
    <row r="22" spans="2:6" ht="12.75" hidden="1" customHeight="1" outlineLevel="1">
      <c r="D22" s="16"/>
    </row>
    <row r="23" spans="2:6" ht="12.75" hidden="1" customHeight="1" outlineLevel="1">
      <c r="B23" s="2005" t="s">
        <v>81</v>
      </c>
      <c r="C23" s="2042"/>
      <c r="D23" s="2050">
        <v>1</v>
      </c>
    </row>
    <row r="24" spans="2:6" ht="12.75" hidden="1" customHeight="1" outlineLevel="1">
      <c r="B24" s="932" t="s">
        <v>82</v>
      </c>
      <c r="C24" s="16"/>
      <c r="D24" s="207">
        <v>1</v>
      </c>
    </row>
    <row r="25" spans="2:6" ht="12.75" hidden="1" customHeight="1" outlineLevel="1">
      <c r="B25" s="932" t="s">
        <v>83</v>
      </c>
      <c r="C25" s="16"/>
      <c r="D25" s="47">
        <f>D9</f>
        <v>4.0484794520547958</v>
      </c>
      <c r="F25" s="23"/>
    </row>
    <row r="26" spans="2:6" ht="12.75" hidden="1" customHeight="1" outlineLevel="1">
      <c r="B26" s="362" t="s">
        <v>72</v>
      </c>
      <c r="C26" s="16"/>
      <c r="D26" s="208">
        <f>D10</f>
        <v>2.6741664383561646E-2</v>
      </c>
      <c r="F26" s="23"/>
    </row>
    <row r="27" spans="2:6" ht="12.75" hidden="1" customHeight="1" outlineLevel="1">
      <c r="B27" s="362" t="s">
        <v>74</v>
      </c>
      <c r="C27" s="16"/>
      <c r="D27" s="421">
        <f>D12</f>
        <v>0.74099999999999999</v>
      </c>
      <c r="F27" s="23"/>
    </row>
    <row r="28" spans="2:6" ht="12.75" hidden="1" customHeight="1" outlineLevel="1">
      <c r="B28" s="362"/>
      <c r="C28" s="16"/>
      <c r="D28" s="204"/>
    </row>
    <row r="29" spans="2:6" ht="12.75" hidden="1" customHeight="1" outlineLevel="1">
      <c r="B29" s="362" t="s">
        <v>84</v>
      </c>
      <c r="C29" s="16"/>
      <c r="D29" s="205">
        <f>(LN(D23/D24)+(D26+D27^2/2)*D25)/(D27*SQRT(D25))</f>
        <v>0.818090188873554</v>
      </c>
    </row>
    <row r="30" spans="2:6" ht="12.75" hidden="1" customHeight="1" outlineLevel="1">
      <c r="B30" s="362" t="s">
        <v>85</v>
      </c>
      <c r="C30" s="16"/>
      <c r="D30" s="205">
        <f>D29-D27*SQRT(D25)</f>
        <v>-0.67286358170878657</v>
      </c>
    </row>
    <row r="31" spans="2:6" ht="12.75" hidden="1" customHeight="1" outlineLevel="1">
      <c r="B31" s="362"/>
      <c r="C31" s="16"/>
      <c r="D31" s="204"/>
    </row>
    <row r="32" spans="2:6" ht="12.75" hidden="1" customHeight="1" outlineLevel="1">
      <c r="B32" s="933" t="s">
        <v>79</v>
      </c>
      <c r="C32" s="5"/>
      <c r="D32" s="935">
        <f>D24*EXP(-D26*D25)*NORMSDIST(-D30)-D23*NORMSDIST(-D29)</f>
        <v>0.46592677654969933</v>
      </c>
    </row>
    <row r="33" spans="2:6" ht="12.75" hidden="1" customHeight="1" outlineLevel="1">
      <c r="D33" s="16"/>
    </row>
    <row r="34" spans="2:6" collapsed="1">
      <c r="B34" s="2046" t="s">
        <v>406</v>
      </c>
      <c r="C34" s="2047"/>
      <c r="D34" s="2048"/>
    </row>
    <row r="35" spans="2:6" ht="12.75" customHeight="1">
      <c r="D35" s="16"/>
    </row>
    <row r="36" spans="2:6" ht="12.75" customHeight="1">
      <c r="B36" s="2005" t="s">
        <v>83</v>
      </c>
      <c r="C36" s="2042"/>
      <c r="D36" s="2051">
        <f>+D25</f>
        <v>4.0484794520547958</v>
      </c>
      <c r="F36" s="23"/>
    </row>
    <row r="37" spans="2:6" ht="12.75" customHeight="1">
      <c r="B37" s="362" t="s">
        <v>81</v>
      </c>
      <c r="C37" s="16"/>
      <c r="D37" s="207">
        <f>+D23</f>
        <v>1</v>
      </c>
    </row>
    <row r="38" spans="2:6" ht="12.75" customHeight="1">
      <c r="B38" s="362" t="s">
        <v>82</v>
      </c>
      <c r="C38" s="16"/>
      <c r="D38" s="207">
        <f>+D24</f>
        <v>1</v>
      </c>
    </row>
    <row r="39" spans="2:6" ht="12.75" customHeight="1">
      <c r="B39" s="362" t="s">
        <v>73</v>
      </c>
      <c r="C39" s="16"/>
      <c r="D39" s="208">
        <f>+D11</f>
        <v>0</v>
      </c>
    </row>
    <row r="40" spans="2:6" ht="12.75" customHeight="1">
      <c r="B40" s="362" t="s">
        <v>74</v>
      </c>
      <c r="C40" s="16"/>
      <c r="D40" s="421">
        <f>+D12</f>
        <v>0.74099999999999999</v>
      </c>
      <c r="F40" s="23"/>
    </row>
    <row r="41" spans="2:6" ht="12.75" customHeight="1">
      <c r="B41" s="362"/>
      <c r="C41" s="16"/>
      <c r="D41" s="204"/>
    </row>
    <row r="42" spans="2:6" ht="12.75" customHeight="1">
      <c r="B42" s="362" t="s">
        <v>408</v>
      </c>
      <c r="C42" s="16"/>
      <c r="D42" s="205">
        <f>LN(2*(EXP((D40^2)*D36)-((D40^2)*D36)-1))-2*(LN((D40^2)*D36))</f>
        <v>0.889161714286131</v>
      </c>
    </row>
    <row r="43" spans="2:6" ht="12.75" customHeight="1">
      <c r="B43" s="362" t="s">
        <v>409</v>
      </c>
      <c r="C43" s="16"/>
      <c r="D43" s="205">
        <f>SQRT(D42)</f>
        <v>0.94295371799793604</v>
      </c>
    </row>
    <row r="44" spans="2:6" ht="12.75" customHeight="1">
      <c r="B44" s="362"/>
      <c r="C44" s="16"/>
      <c r="D44" s="204"/>
    </row>
    <row r="45" spans="2:6" ht="12.75" customHeight="1">
      <c r="B45" s="933" t="s">
        <v>79</v>
      </c>
      <c r="C45" s="5"/>
      <c r="D45" s="935">
        <f>EXP(-D39*D36)*D38*(2*NORMSDIST(D43/2)-1)</f>
        <v>0.36269975880882388</v>
      </c>
    </row>
    <row r="46" spans="2:6" ht="12.75" customHeight="1">
      <c r="D46" s="16"/>
    </row>
    <row r="47" spans="2:6" ht="12.75" customHeight="1">
      <c r="B47" s="2039" t="s">
        <v>411</v>
      </c>
      <c r="C47" s="2040"/>
      <c r="D47" s="2052">
        <f>MROUND(AVERAGE(D45,D19),5%)</f>
        <v>0.35000000000000003</v>
      </c>
    </row>
    <row r="48" spans="2:6" ht="12.75" customHeight="1"/>
    <row r="49" ht="12.75" customHeight="1"/>
    <row r="50" ht="12.75" customHeight="1"/>
    <row r="51" ht="12.75" customHeight="1"/>
  </sheetData>
  <conditionalFormatting sqref="C4:E4">
    <cfRule type="cellIs" dxfId="130" priority="4" stopIfTrue="1" operator="equal">
      <formula>"input"</formula>
    </cfRule>
  </conditionalFormatting>
  <conditionalFormatting sqref="F4">
    <cfRule type="cellIs" dxfId="129" priority="2" stopIfTrue="1" operator="equal">
      <formula>"input"</formula>
    </cfRule>
  </conditionalFormatting>
  <conditionalFormatting sqref="F4">
    <cfRule type="cellIs" dxfId="128" priority="3" stopIfTrue="1" operator="equal">
      <formula>"input"</formula>
    </cfRule>
  </conditionalFormatting>
  <conditionalFormatting sqref="B4">
    <cfRule type="cellIs" dxfId="127" priority="1" stopIfTrue="1" operator="equal">
      <formula>"input"</formula>
    </cfRule>
  </conditionalFormatting>
  <pageMargins left="0.5" right="0.5" top="0.5" bottom="0.5" header="0.5" footer="0.5"/>
  <pageSetup fitToWidth="0" fitToHeight="0" orientation="landscape" r:id="rId1"/>
  <legacyDrawingHF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AI71"/>
  <sheetViews>
    <sheetView showGridLines="0" view="pageBreakPreview" zoomScale="85" zoomScaleNormal="100" zoomScaleSheetLayoutView="85" workbookViewId="0">
      <selection activeCell="F11" sqref="F11"/>
    </sheetView>
  </sheetViews>
  <sheetFormatPr defaultRowHeight="12.75" outlineLevelRow="1" outlineLevelCol="1"/>
  <cols>
    <col min="1" max="1" width="4.5" style="405" customWidth="1"/>
    <col min="2" max="2" width="42.1640625" style="405" customWidth="1"/>
    <col min="3" max="3" width="2.83203125" style="405" customWidth="1"/>
    <col min="4" max="4" width="12.83203125" style="405" customWidth="1"/>
    <col min="5" max="5" width="10.83203125" style="405" hidden="1" customWidth="1" outlineLevel="1"/>
    <col min="6" max="7" width="9.83203125" style="405" hidden="1" customWidth="1" outlineLevel="1"/>
    <col min="8" max="8" width="12.83203125" style="405" customWidth="1" collapsed="1"/>
    <col min="9" max="11" width="12.83203125" style="405" customWidth="1"/>
    <col min="12" max="12" width="2.83203125" style="405" customWidth="1"/>
    <col min="13" max="15" width="12.83203125" style="405" customWidth="1"/>
    <col min="16" max="16" width="2.83203125" style="21" customWidth="1"/>
    <col min="17" max="17" width="12.83203125" style="405" customWidth="1"/>
    <col min="18" max="18" width="2.83203125" style="405" customWidth="1"/>
    <col min="19" max="19" width="11.6640625" style="405" hidden="1" customWidth="1" outlineLevel="1"/>
    <col min="20" max="23" width="8.83203125" style="405" hidden="1" customWidth="1" outlineLevel="1"/>
    <col min="24" max="24" width="12.83203125" style="405" customWidth="1" collapsed="1"/>
    <col min="25" max="25" width="12.83203125" style="405" customWidth="1"/>
    <col min="26" max="26" width="4.5" style="405" customWidth="1"/>
    <col min="27" max="27" width="17.5" style="405" bestFit="1" customWidth="1"/>
    <col min="28" max="28" width="12.33203125" style="405" bestFit="1" customWidth="1"/>
    <col min="29" max="29" width="9.5" style="405" bestFit="1" customWidth="1"/>
    <col min="30" max="30" width="10.1640625" style="405" bestFit="1" customWidth="1"/>
    <col min="31" max="16384" width="9.33203125" style="405"/>
  </cols>
  <sheetData>
    <row r="1" spans="2:35" ht="10.7" customHeight="1" thickBot="1">
      <c r="P1" s="405"/>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AA2" s="303" t="s">
        <v>87</v>
      </c>
      <c r="AB2" s="304">
        <f>+'Comp.1'!$AL$2</f>
        <v>43281</v>
      </c>
    </row>
    <row r="3" spans="2:35"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X3" s="11"/>
      <c r="Y3" s="11"/>
      <c r="AA3" s="201" t="s">
        <v>398</v>
      </c>
      <c r="AB3" s="308" t="str">
        <f>+'Comp.1'!$AL$3</f>
        <v>F</v>
      </c>
    </row>
    <row r="4" spans="2:35" ht="16.5" customHeight="1" thickBot="1">
      <c r="B4" s="12" t="s">
        <v>2590</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201" t="s">
        <v>399</v>
      </c>
      <c r="AB4" s="308" t="str">
        <f>+'Comp.1'!$AL$4</f>
        <v>USD</v>
      </c>
    </row>
    <row r="5" spans="2:35" ht="12.75" customHeight="1" thickTop="1">
      <c r="B5" s="21"/>
      <c r="AA5" s="82" t="s">
        <v>89</v>
      </c>
      <c r="AB5" s="307" t="str">
        <f>+'Comp.1'!$AL$5</f>
        <v>H</v>
      </c>
    </row>
    <row r="6" spans="2:35" ht="12.75" hidden="1" customHeight="1" outlineLevel="1">
      <c r="N6" s="210">
        <f>'OPM 1_Series B'!D10</f>
        <v>3.5284794520547953</v>
      </c>
      <c r="O6" s="211">
        <f>'Risk-Free Rates_OPM'!E28</f>
        <v>2.6564239726027398E-2</v>
      </c>
      <c r="Q6" s="212">
        <f>HLOOKUP(ROUND(N6,0),'Equity Vol'!$D$8:$K$8,1,TRUE)</f>
        <v>4</v>
      </c>
    </row>
    <row r="7" spans="2:35" ht="25.5" customHeight="1" collapsed="1">
      <c r="D7" s="198" t="s">
        <v>91</v>
      </c>
      <c r="E7" s="199"/>
      <c r="F7" s="199"/>
      <c r="G7" s="199"/>
      <c r="H7" s="199"/>
      <c r="I7" s="199"/>
      <c r="J7" s="199"/>
      <c r="K7" s="200"/>
      <c r="M7" s="198" t="s">
        <v>92</v>
      </c>
      <c r="N7" s="199"/>
      <c r="O7" s="199"/>
      <c r="P7" s="213"/>
      <c r="Q7" s="200"/>
      <c r="S7" s="198" t="s">
        <v>93</v>
      </c>
      <c r="T7" s="199"/>
      <c r="U7" s="199"/>
      <c r="V7" s="199"/>
      <c r="W7" s="199"/>
      <c r="X7" s="986" t="s">
        <v>93</v>
      </c>
      <c r="Y7" s="987"/>
    </row>
    <row r="8" spans="2:35" s="6" customFormat="1" ht="43.5" customHeight="1">
      <c r="B8" s="481" t="s">
        <v>633</v>
      </c>
      <c r="D8" s="612" t="s">
        <v>94</v>
      </c>
      <c r="E8" s="613" t="s">
        <v>95</v>
      </c>
      <c r="F8" s="613" t="s">
        <v>96</v>
      </c>
      <c r="G8" s="613" t="s">
        <v>97</v>
      </c>
      <c r="H8" s="613" t="s">
        <v>98</v>
      </c>
      <c r="I8" s="613" t="s">
        <v>99</v>
      </c>
      <c r="J8" s="613" t="s">
        <v>100</v>
      </c>
      <c r="K8" s="614" t="s">
        <v>101</v>
      </c>
      <c r="L8" s="330"/>
      <c r="M8" s="612" t="s">
        <v>73</v>
      </c>
      <c r="N8" s="613" t="s">
        <v>102</v>
      </c>
      <c r="O8" s="614" t="s">
        <v>72</v>
      </c>
      <c r="P8" s="599"/>
      <c r="Q8" s="615" t="s">
        <v>103</v>
      </c>
      <c r="R8" s="599"/>
      <c r="S8" s="612" t="s">
        <v>104</v>
      </c>
      <c r="T8" s="613" t="s">
        <v>84</v>
      </c>
      <c r="U8" s="613" t="s">
        <v>85</v>
      </c>
      <c r="V8" s="613" t="s">
        <v>105</v>
      </c>
      <c r="W8" s="613" t="s">
        <v>106</v>
      </c>
      <c r="X8" s="616" t="s">
        <v>107</v>
      </c>
      <c r="Y8" s="614" t="s">
        <v>645</v>
      </c>
      <c r="AA8" s="87" t="s">
        <v>108</v>
      </c>
      <c r="AB8" s="88" t="s">
        <v>109</v>
      </c>
      <c r="AC8" s="88" t="s">
        <v>110</v>
      </c>
      <c r="AD8" s="89"/>
    </row>
    <row r="9" spans="2:35" ht="12.75" customHeight="1"/>
    <row r="10" spans="2:35" ht="12.75" customHeight="1">
      <c r="B10" s="405" t="str">
        <f>'Comp.1'!B12</f>
        <v>ACADIA Pharmaceuticals Inc.</v>
      </c>
      <c r="D10" s="406">
        <f>'Beta Calc'!K10</f>
        <v>1906.0925500000001</v>
      </c>
      <c r="E10" s="406">
        <f>'Beta Calc'!L10</f>
        <v>0</v>
      </c>
      <c r="F10" s="406">
        <f>'Beta Calc'!M10</f>
        <v>0</v>
      </c>
      <c r="G10" s="406">
        <f>'Beta Calc'!N10</f>
        <v>0</v>
      </c>
      <c r="H10" s="406">
        <f>SUM(E10:G10)</f>
        <v>0</v>
      </c>
      <c r="I10" s="406">
        <f>SUM(D10:G10)</f>
        <v>1906.0925500000001</v>
      </c>
      <c r="J10" s="406">
        <f>'Beta Calc'!Q10</f>
        <v>298.06299999999999</v>
      </c>
      <c r="K10" s="406">
        <f>I10-J10</f>
        <v>1608.0295500000002</v>
      </c>
      <c r="M10" s="56">
        <f>IFERROR('Capital IQ Sheet-GPC'!AT13,"n/a")</f>
        <v>0</v>
      </c>
      <c r="N10" s="406">
        <f t="shared" ref="N10:O24" si="0">N$6</f>
        <v>3.5284794520547953</v>
      </c>
      <c r="O10" s="214">
        <f t="shared" si="0"/>
        <v>2.6564239726027398E-2</v>
      </c>
      <c r="P10" s="215"/>
      <c r="Q10" s="216">
        <f>IFERROR(HLOOKUP($Q$6,'Equity Vol'!$B$8:$K10,ROWS('Equity Vol'!$C$8:$C10),FALSE),"n/a")</f>
        <v>0.60104330440966869</v>
      </c>
      <c r="R10" s="45"/>
      <c r="S10" s="217">
        <f>IFERROR(IF(Q10="n/a","n/a",Q10^2),"n/a")</f>
        <v>0.36125305377569367</v>
      </c>
      <c r="T10" s="217">
        <f t="shared" ref="T10:T24" si="1">IF(OR(K10="n/a",S10="n/a"),"n/a",IF(H10=0,0,IF(M10=0,(LN(K10/H10)+((O10+(S10/2))*N10))/((S10*N10)^0.5),(LN(K10/H10)+((O10-M10+(S10/2))*N10))/((S10*N10)^0.5))))</f>
        <v>0</v>
      </c>
      <c r="U10" s="218">
        <f t="shared" ref="U10:U24" si="2">IF(T10="n/a","n/a",IF(H10=0,0,T10-(S10*N10)^0.5))</f>
        <v>0</v>
      </c>
      <c r="V10" s="218">
        <f t="shared" ref="V10:V24" si="3">IF(OR(T10="n/a",S10="n/a"),"n/a",IF(H10=0,0,NORMSDIST(T10)))</f>
        <v>0</v>
      </c>
      <c r="W10" s="218">
        <f t="shared" ref="W10:W24" si="4">IF(OR(U10="n/a",S10="n/a"),"n/a",IF(H10=0,0,NORMSDIST(U10)))</f>
        <v>0</v>
      </c>
      <c r="X10" s="92">
        <f t="shared" ref="X10:X23" si="5">IF(OR(K10="n/a",S10="n/a"),"n/a",IF(M10=0,(K10*V10)-((H10*EXP(1)^(-O10*N10))*W10),(K10*(2.718^(-M10*N10))*V10)-(H10*(2.718^(-O10*N10))*W10)))</f>
        <v>0</v>
      </c>
      <c r="Y10" s="216">
        <f>IFERROR(IF(LEN(B10)&gt;0,IF(H10=0,Q10,IF(ISERROR(Q10/((K10/X10)*V10)),"n/a",Q10/((K10/X10)*V10)))),"n/a")</f>
        <v>0.60104330440966869</v>
      </c>
      <c r="AA10" s="93" t="str">
        <f>IF('MASTER PubCo Inputs'!B28=0,"",'MASTER PubCo Inputs'!B28)</f>
        <v>NasdaqGS:ACAD</v>
      </c>
      <c r="AB10" s="406">
        <f>'Beta Calc'!Z10</f>
        <v>1608.02955</v>
      </c>
      <c r="AC10" s="94">
        <f t="shared" ref="AC10:AC24" si="6">K10-AB10</f>
        <v>0</v>
      </c>
      <c r="AI10" s="95"/>
    </row>
    <row r="11" spans="2:35" ht="12.75" customHeight="1">
      <c r="B11" s="405" t="str">
        <f>'Comp.1'!B13</f>
        <v>Rhythm Pharmaceuticals, Inc.</v>
      </c>
      <c r="D11" s="406">
        <f>'Beta Calc'!K11</f>
        <v>1066.6532199999999</v>
      </c>
      <c r="E11" s="406">
        <f>'Beta Calc'!L11</f>
        <v>0</v>
      </c>
      <c r="F11" s="406">
        <f>'Beta Calc'!M11</f>
        <v>0</v>
      </c>
      <c r="G11" s="406">
        <f>'Beta Calc'!N11</f>
        <v>0</v>
      </c>
      <c r="H11" s="406">
        <f t="shared" ref="H11:H24" si="7">SUM(E11:G11)</f>
        <v>0</v>
      </c>
      <c r="I11" s="406">
        <f t="shared" ref="I11:I24" si="8">SUM(D11:G11)</f>
        <v>1066.6532199999999</v>
      </c>
      <c r="J11" s="406">
        <f>'Beta Calc'!Q11</f>
        <v>136.453</v>
      </c>
      <c r="K11" s="406">
        <f t="shared" ref="K11:K24" si="9">I11-J11</f>
        <v>930.20021999999994</v>
      </c>
      <c r="M11" s="56">
        <f>IFERROR('Capital IQ Sheet-GPC'!AT14,"n/a")</f>
        <v>0</v>
      </c>
      <c r="N11" s="406">
        <f t="shared" si="0"/>
        <v>3.5284794520547953</v>
      </c>
      <c r="O11" s="214">
        <f t="shared" si="0"/>
        <v>2.6564239726027398E-2</v>
      </c>
      <c r="P11" s="215"/>
      <c r="Q11" s="216" t="str">
        <f>IFERROR(HLOOKUP($Q$6,'Equity Vol'!$B$8:$K11,ROWS('Equity Vol'!$C$8:$C11),FALSE),"n/a")</f>
        <v>NM</v>
      </c>
      <c r="R11" s="45"/>
      <c r="S11" s="217" t="str">
        <f t="shared" ref="S11:S24" si="10">IFERROR(IF(Q11="n/a","n/a",Q11^2),"n/a")</f>
        <v>n/a</v>
      </c>
      <c r="T11" s="217" t="str">
        <f t="shared" si="1"/>
        <v>n/a</v>
      </c>
      <c r="U11" s="218" t="str">
        <f t="shared" si="2"/>
        <v>n/a</v>
      </c>
      <c r="V11" s="218" t="str">
        <f t="shared" si="3"/>
        <v>n/a</v>
      </c>
      <c r="W11" s="218" t="str">
        <f t="shared" si="4"/>
        <v>n/a</v>
      </c>
      <c r="X11" s="92" t="str">
        <f t="shared" si="5"/>
        <v>n/a</v>
      </c>
      <c r="Y11" s="216" t="str">
        <f t="shared" ref="Y11:Y24" si="11">IFERROR(IF(LEN(B11)&gt;0,IF(H11=0,Q11,IF(ISERROR(Q11/((K11/X11)*V11)),"n/a",Q11/((K11/X11)*V11)))),"n/a")</f>
        <v>NM</v>
      </c>
      <c r="AA11" s="93" t="str">
        <f>IF('MASTER PubCo Inputs'!B29=0,"",'MASTER PubCo Inputs'!B29)</f>
        <v>NasdaqGM:RYTM</v>
      </c>
      <c r="AB11" s="406">
        <f>'Beta Calc'!Z11</f>
        <v>930.20021999999994</v>
      </c>
      <c r="AC11" s="94">
        <f t="shared" si="6"/>
        <v>0</v>
      </c>
      <c r="AI11" s="95"/>
    </row>
    <row r="12" spans="2:35" ht="12.75" customHeight="1">
      <c r="B12" s="405" t="str">
        <f>'Comp.1'!B14</f>
        <v>Assembly Biosciences, Inc.</v>
      </c>
      <c r="D12" s="406">
        <f>'Beta Calc'!K12</f>
        <v>805.79364999999996</v>
      </c>
      <c r="E12" s="406">
        <f>'Beta Calc'!L12</f>
        <v>0</v>
      </c>
      <c r="F12" s="406">
        <f>'Beta Calc'!M12</f>
        <v>0</v>
      </c>
      <c r="G12" s="406">
        <f>'Beta Calc'!N12</f>
        <v>0</v>
      </c>
      <c r="H12" s="406">
        <f t="shared" si="7"/>
        <v>0</v>
      </c>
      <c r="I12" s="406">
        <f t="shared" si="8"/>
        <v>805.79364999999996</v>
      </c>
      <c r="J12" s="406">
        <f>'Beta Calc'!Q12</f>
        <v>109.15898</v>
      </c>
      <c r="K12" s="406">
        <f t="shared" si="9"/>
        <v>696.63466999999991</v>
      </c>
      <c r="M12" s="56">
        <f>IFERROR('Capital IQ Sheet-GPC'!AT15,"n/a")</f>
        <v>0</v>
      </c>
      <c r="N12" s="406">
        <f t="shared" si="0"/>
        <v>3.5284794520547953</v>
      </c>
      <c r="O12" s="214">
        <f t="shared" si="0"/>
        <v>2.6564239726027398E-2</v>
      </c>
      <c r="P12" s="215"/>
      <c r="Q12" s="216">
        <f>IFERROR(HLOOKUP($Q$6,'Equity Vol'!$B$8:$K12,ROWS('Equity Vol'!$C$8:$C12),FALSE),"n/a")</f>
        <v>0.65170735229916987</v>
      </c>
      <c r="R12" s="45"/>
      <c r="S12" s="217">
        <f t="shared" si="10"/>
        <v>0.4247224730407943</v>
      </c>
      <c r="T12" s="217">
        <f t="shared" si="1"/>
        <v>0</v>
      </c>
      <c r="U12" s="218">
        <f t="shared" si="2"/>
        <v>0</v>
      </c>
      <c r="V12" s="218">
        <f t="shared" si="3"/>
        <v>0</v>
      </c>
      <c r="W12" s="218">
        <f t="shared" si="4"/>
        <v>0</v>
      </c>
      <c r="X12" s="92">
        <f t="shared" si="5"/>
        <v>0</v>
      </c>
      <c r="Y12" s="216">
        <f t="shared" si="11"/>
        <v>0.65170735229916987</v>
      </c>
      <c r="AA12" s="93" t="str">
        <f>IF('MASTER PubCo Inputs'!B30=0,"",'MASTER PubCo Inputs'!B30)</f>
        <v>NasdaqCM:ASMB</v>
      </c>
      <c r="AB12" s="406">
        <f>'Beta Calc'!Z12</f>
        <v>696.63467000000003</v>
      </c>
      <c r="AC12" s="94">
        <f t="shared" si="6"/>
        <v>0</v>
      </c>
      <c r="AI12" s="95"/>
    </row>
    <row r="13" spans="2:35" ht="12.75" customHeight="1">
      <c r="B13" s="405" t="str">
        <f>'Comp.1'!B15</f>
        <v>Voyager Therapeutics, Inc.</v>
      </c>
      <c r="D13" s="406">
        <f>'Beta Calc'!K13</f>
        <v>631.55226000000005</v>
      </c>
      <c r="E13" s="406">
        <f>'Beta Calc'!L13</f>
        <v>0</v>
      </c>
      <c r="F13" s="406">
        <f>'Beta Calc'!M13</f>
        <v>0</v>
      </c>
      <c r="G13" s="406">
        <f>'Beta Calc'!N13</f>
        <v>0</v>
      </c>
      <c r="H13" s="406">
        <f t="shared" si="7"/>
        <v>0</v>
      </c>
      <c r="I13" s="406">
        <f t="shared" si="8"/>
        <v>631.55226000000005</v>
      </c>
      <c r="J13" s="406">
        <f>'Beta Calc'!Q13</f>
        <v>218.19800000000001</v>
      </c>
      <c r="K13" s="406">
        <f t="shared" si="9"/>
        <v>413.35426000000007</v>
      </c>
      <c r="M13" s="56">
        <f>IFERROR('Capital IQ Sheet-GPC'!AT16,"n/a")</f>
        <v>0</v>
      </c>
      <c r="N13" s="406">
        <f t="shared" si="0"/>
        <v>3.5284794520547953</v>
      </c>
      <c r="O13" s="214">
        <f t="shared" si="0"/>
        <v>2.6564239726027398E-2</v>
      </c>
      <c r="P13" s="215"/>
      <c r="Q13" s="216">
        <f>IFERROR(HLOOKUP($Q$6,'Equity Vol'!$B$8:$K13,ROWS('Equity Vol'!$C$8:$C13),FALSE),"n/a")</f>
        <v>0.74099767206184253</v>
      </c>
      <c r="R13" s="45"/>
      <c r="S13" s="217">
        <f t="shared" si="10"/>
        <v>0.54907755000106995</v>
      </c>
      <c r="T13" s="217">
        <f t="shared" si="1"/>
        <v>0</v>
      </c>
      <c r="U13" s="218">
        <f t="shared" si="2"/>
        <v>0</v>
      </c>
      <c r="V13" s="218">
        <f t="shared" si="3"/>
        <v>0</v>
      </c>
      <c r="W13" s="218">
        <f t="shared" si="4"/>
        <v>0</v>
      </c>
      <c r="X13" s="92">
        <f t="shared" si="5"/>
        <v>0</v>
      </c>
      <c r="Y13" s="216">
        <f t="shared" si="11"/>
        <v>0.74099767206184253</v>
      </c>
      <c r="AA13" s="93" t="str">
        <f>IF('MASTER PubCo Inputs'!B31=0,"",'MASTER PubCo Inputs'!B31)</f>
        <v>NasdaqGS:VYGR</v>
      </c>
      <c r="AB13" s="406">
        <f>'Beta Calc'!Z13</f>
        <v>413.35426000000001</v>
      </c>
      <c r="AC13" s="94">
        <f t="shared" si="6"/>
        <v>0</v>
      </c>
      <c r="AI13" s="95"/>
    </row>
    <row r="14" spans="2:35" ht="12.75" customHeight="1">
      <c r="B14" s="405" t="str">
        <f>'Comp.1'!B16</f>
        <v>Zafgen, Inc.</v>
      </c>
      <c r="D14" s="406">
        <f>'Beta Calc'!K14</f>
        <v>363.76737000000003</v>
      </c>
      <c r="E14" s="406">
        <f>'Beta Calc'!L14</f>
        <v>20.16</v>
      </c>
      <c r="F14" s="406">
        <f>'Beta Calc'!M14</f>
        <v>0</v>
      </c>
      <c r="G14" s="406">
        <f>'Beta Calc'!N14</f>
        <v>0</v>
      </c>
      <c r="H14" s="406">
        <f t="shared" si="7"/>
        <v>20.16</v>
      </c>
      <c r="I14" s="406">
        <f t="shared" si="8"/>
        <v>383.92737000000005</v>
      </c>
      <c r="J14" s="406">
        <f>'Beta Calc'!Q14</f>
        <v>89.07</v>
      </c>
      <c r="K14" s="406">
        <f t="shared" si="9"/>
        <v>294.85737000000006</v>
      </c>
      <c r="M14" s="56">
        <f>IFERROR('Capital IQ Sheet-GPC'!AT17,"n/a")</f>
        <v>0</v>
      </c>
      <c r="N14" s="406">
        <f t="shared" si="0"/>
        <v>3.5284794520547953</v>
      </c>
      <c r="O14" s="214">
        <f t="shared" si="0"/>
        <v>2.6564239726027398E-2</v>
      </c>
      <c r="P14" s="215"/>
      <c r="Q14" s="216">
        <f>IFERROR(HLOOKUP($Q$6,'Equity Vol'!$B$8:$K14,ROWS('Equity Vol'!$C$8:$C14),FALSE),"n/a")</f>
        <v>1.020360192619892</v>
      </c>
      <c r="R14" s="45"/>
      <c r="S14" s="217">
        <f t="shared" si="10"/>
        <v>1.0411349226833031</v>
      </c>
      <c r="T14" s="217">
        <f t="shared" si="1"/>
        <v>2.4069530558989971</v>
      </c>
      <c r="U14" s="218">
        <f t="shared" si="2"/>
        <v>0.49028324043659111</v>
      </c>
      <c r="V14" s="218">
        <f t="shared" si="3"/>
        <v>0.99195688125809023</v>
      </c>
      <c r="W14" s="218">
        <f t="shared" si="4"/>
        <v>0.68803325759764355</v>
      </c>
      <c r="X14" s="92">
        <f t="shared" si="5"/>
        <v>279.85609989708905</v>
      </c>
      <c r="Y14" s="216">
        <f t="shared" si="11"/>
        <v>0.9763004794366209</v>
      </c>
      <c r="AA14" s="93" t="str">
        <f>IF('MASTER PubCo Inputs'!B32=0,"",'MASTER PubCo Inputs'!B32)</f>
        <v>NasdaqGS:ZFGN</v>
      </c>
      <c r="AB14" s="406">
        <f>'Beta Calc'!Z14</f>
        <v>294.85737</v>
      </c>
      <c r="AC14" s="94">
        <f t="shared" si="6"/>
        <v>0</v>
      </c>
      <c r="AI14" s="95"/>
    </row>
    <row r="15" spans="2:35" ht="12.75" customHeight="1">
      <c r="B15" s="405" t="str">
        <f>'Comp.1'!B17</f>
        <v>Seres Therapeutics, Inc.</v>
      </c>
      <c r="D15" s="406">
        <f>'Beta Calc'!K15</f>
        <v>349.61295000000001</v>
      </c>
      <c r="E15" s="406">
        <f>'Beta Calc'!L15</f>
        <v>0</v>
      </c>
      <c r="F15" s="406">
        <f>'Beta Calc'!M15</f>
        <v>0</v>
      </c>
      <c r="G15" s="406">
        <f>'Beta Calc'!N15</f>
        <v>0</v>
      </c>
      <c r="H15" s="406">
        <f t="shared" si="7"/>
        <v>0</v>
      </c>
      <c r="I15" s="406">
        <f t="shared" si="8"/>
        <v>349.61295000000001</v>
      </c>
      <c r="J15" s="406">
        <f>'Beta Calc'!Q15</f>
        <v>122.194</v>
      </c>
      <c r="K15" s="406">
        <f t="shared" si="9"/>
        <v>227.41895</v>
      </c>
      <c r="M15" s="56">
        <f>IFERROR('Capital IQ Sheet-GPC'!AT18,"n/a")</f>
        <v>0</v>
      </c>
      <c r="N15" s="406">
        <f t="shared" si="0"/>
        <v>3.5284794520547953</v>
      </c>
      <c r="O15" s="214">
        <f t="shared" si="0"/>
        <v>2.6564239726027398E-2</v>
      </c>
      <c r="P15" s="215"/>
      <c r="Q15" s="216">
        <f>IFERROR(HLOOKUP($Q$6,'Equity Vol'!$B$8:$K15,ROWS('Equity Vol'!$C$8:$C15),FALSE),"n/a")</f>
        <v>0.95360103062997992</v>
      </c>
      <c r="R15" s="45"/>
      <c r="S15" s="217">
        <f t="shared" si="10"/>
        <v>0.90935492561855991</v>
      </c>
      <c r="T15" s="217">
        <f t="shared" si="1"/>
        <v>0</v>
      </c>
      <c r="U15" s="218">
        <f t="shared" si="2"/>
        <v>0</v>
      </c>
      <c r="V15" s="218">
        <f t="shared" si="3"/>
        <v>0</v>
      </c>
      <c r="W15" s="218">
        <f t="shared" si="4"/>
        <v>0</v>
      </c>
      <c r="X15" s="92">
        <f t="shared" si="5"/>
        <v>0</v>
      </c>
      <c r="Y15" s="216">
        <f t="shared" si="11"/>
        <v>0.95360103062997992</v>
      </c>
      <c r="AA15" s="93" t="str">
        <f>IF('MASTER PubCo Inputs'!B33=0,"",'MASTER PubCo Inputs'!B33)</f>
        <v>NasdaqGS:MCRB</v>
      </c>
      <c r="AB15" s="406">
        <f>'Beta Calc'!Z15</f>
        <v>227.41893999999999</v>
      </c>
      <c r="AC15" s="94">
        <f t="shared" si="6"/>
        <v>1.0000000003174137E-5</v>
      </c>
      <c r="AI15" s="95"/>
    </row>
    <row r="16" spans="2:35" ht="12.75" customHeight="1">
      <c r="B16" s="405" t="str">
        <f>'Comp.1'!B18</f>
        <v>CohBar, Inc.</v>
      </c>
      <c r="D16" s="406">
        <f>'Beta Calc'!K16</f>
        <v>211.81835000000001</v>
      </c>
      <c r="E16" s="406">
        <f>'Beta Calc'!L16</f>
        <v>1.40126</v>
      </c>
      <c r="F16" s="406">
        <f>'Beta Calc'!M16</f>
        <v>0</v>
      </c>
      <c r="G16" s="406">
        <f>'Beta Calc'!N16</f>
        <v>0</v>
      </c>
      <c r="H16" s="406">
        <f t="shared" si="7"/>
        <v>1.40126</v>
      </c>
      <c r="I16" s="406">
        <f t="shared" si="8"/>
        <v>213.21961000000002</v>
      </c>
      <c r="J16" s="406">
        <f>'Beta Calc'!Q16</f>
        <v>8.4566599999999994</v>
      </c>
      <c r="K16" s="406">
        <f t="shared" si="9"/>
        <v>204.76295000000002</v>
      </c>
      <c r="M16" s="56">
        <f>IFERROR('Capital IQ Sheet-GPC'!AT19,"n/a")</f>
        <v>0</v>
      </c>
      <c r="N16" s="406">
        <f t="shared" si="0"/>
        <v>3.5284794520547953</v>
      </c>
      <c r="O16" s="214">
        <f t="shared" si="0"/>
        <v>2.6564239726027398E-2</v>
      </c>
      <c r="P16" s="215"/>
      <c r="Q16" s="216">
        <f>IFERROR(HLOOKUP($Q$6,'Equity Vol'!$B$8:$K16,ROWS('Equity Vol'!$C$8:$C16),FALSE),"n/a")</f>
        <v>0.89467871227668438</v>
      </c>
      <c r="R16" s="45"/>
      <c r="S16" s="217">
        <f t="shared" si="10"/>
        <v>0.80044999820106622</v>
      </c>
      <c r="T16" s="217">
        <f t="shared" si="1"/>
        <v>3.861983748857825</v>
      </c>
      <c r="U16" s="218">
        <f t="shared" si="2"/>
        <v>2.1813971336993676</v>
      </c>
      <c r="V16" s="218">
        <f t="shared" si="3"/>
        <v>0.99994376497522552</v>
      </c>
      <c r="W16" s="218">
        <f t="shared" si="4"/>
        <v>0.98542297227079689</v>
      </c>
      <c r="X16" s="92">
        <f t="shared" si="5"/>
        <v>203.49414825557366</v>
      </c>
      <c r="Y16" s="216">
        <f t="shared" si="11"/>
        <v>0.88918489085741359</v>
      </c>
      <c r="AA16" s="93" t="str">
        <f>IF('MASTER PubCo Inputs'!B34=0,"",'MASTER PubCo Inputs'!B34)</f>
        <v>TSXV:COB.U</v>
      </c>
      <c r="AB16" s="406">
        <f>'Beta Calc'!Z16</f>
        <v>204.76295999999999</v>
      </c>
      <c r="AC16" s="94">
        <f t="shared" si="6"/>
        <v>-9.9999999747524271E-6</v>
      </c>
      <c r="AI16" s="95"/>
    </row>
    <row r="17" spans="2:35" ht="12.75" customHeight="1">
      <c r="B17" s="405" t="str">
        <f>'Comp.1'!B19</f>
        <v>VIVUS, Inc.</v>
      </c>
      <c r="D17" s="406">
        <f>'Beta Calc'!K17</f>
        <v>74.768140000000002</v>
      </c>
      <c r="E17" s="406">
        <f>'Beta Calc'!L17</f>
        <v>236.50700000000001</v>
      </c>
      <c r="F17" s="406">
        <f>'Beta Calc'!M17</f>
        <v>0</v>
      </c>
      <c r="G17" s="406">
        <f>'Beta Calc'!N17</f>
        <v>0</v>
      </c>
      <c r="H17" s="406">
        <f t="shared" si="7"/>
        <v>236.50700000000001</v>
      </c>
      <c r="I17" s="406">
        <f t="shared" si="8"/>
        <v>311.27514000000002</v>
      </c>
      <c r="J17" s="406">
        <f>'Beta Calc'!Q17</f>
        <v>209.125</v>
      </c>
      <c r="K17" s="406">
        <f t="shared" si="9"/>
        <v>102.15014000000002</v>
      </c>
      <c r="M17" s="56">
        <f>IFERROR('Capital IQ Sheet-GPC'!AT20,"n/a")</f>
        <v>0</v>
      </c>
      <c r="N17" s="406">
        <f t="shared" si="0"/>
        <v>3.5284794520547953</v>
      </c>
      <c r="O17" s="214">
        <f t="shared" si="0"/>
        <v>2.6564239726027398E-2</v>
      </c>
      <c r="P17" s="215"/>
      <c r="Q17" s="216">
        <f>IFERROR(HLOOKUP($Q$6,'Equity Vol'!$B$8:$K17,ROWS('Equity Vol'!$C$8:$C17),FALSE),"n/a")</f>
        <v>0.65477238914194269</v>
      </c>
      <c r="R17" s="45"/>
      <c r="S17" s="217">
        <f t="shared" si="10"/>
        <v>0.42872688158264766</v>
      </c>
      <c r="T17" s="217">
        <f t="shared" si="1"/>
        <v>8.5973710734194176E-3</v>
      </c>
      <c r="U17" s="218">
        <f t="shared" si="2"/>
        <v>-1.2213432747334836</v>
      </c>
      <c r="V17" s="218">
        <f t="shared" si="3"/>
        <v>0.503429812569123</v>
      </c>
      <c r="W17" s="218">
        <f t="shared" si="4"/>
        <v>0.1109780375008413</v>
      </c>
      <c r="X17" s="92">
        <f t="shared" si="5"/>
        <v>27.526739933915358</v>
      </c>
      <c r="Y17" s="216">
        <f t="shared" si="11"/>
        <v>0.35048322847068791</v>
      </c>
      <c r="AA17" s="93" t="str">
        <f>IF('MASTER PubCo Inputs'!B35=0,"",'MASTER PubCo Inputs'!B35)</f>
        <v>NasdaqGS:VVUS</v>
      </c>
      <c r="AB17" s="406">
        <f>'Beta Calc'!Z17</f>
        <v>102.15013999999999</v>
      </c>
      <c r="AC17" s="94">
        <f t="shared" si="6"/>
        <v>0</v>
      </c>
      <c r="AI17" s="95"/>
    </row>
    <row r="18" spans="2:35" ht="12.75" customHeight="1">
      <c r="B18" s="405" t="str">
        <f>'Comp.1'!B20</f>
        <v>Anavex Life Sciences Corp.</v>
      </c>
      <c r="D18" s="406">
        <f>'Beta Calc'!K18</f>
        <v>117.00936</v>
      </c>
      <c r="E18" s="406">
        <f>'Beta Calc'!L18</f>
        <v>0</v>
      </c>
      <c r="F18" s="406">
        <f>'Beta Calc'!M18</f>
        <v>0</v>
      </c>
      <c r="G18" s="406">
        <f>'Beta Calc'!N18</f>
        <v>0</v>
      </c>
      <c r="H18" s="406">
        <f t="shared" si="7"/>
        <v>0</v>
      </c>
      <c r="I18" s="406">
        <f t="shared" si="8"/>
        <v>117.00936</v>
      </c>
      <c r="J18" s="406">
        <f>'Beta Calc'!Q18</f>
        <v>25.656580000000002</v>
      </c>
      <c r="K18" s="406">
        <f t="shared" si="9"/>
        <v>91.352779999999996</v>
      </c>
      <c r="M18" s="56">
        <f>IFERROR('Capital IQ Sheet-GPC'!AT21,"n/a")</f>
        <v>0</v>
      </c>
      <c r="N18" s="406">
        <f t="shared" si="0"/>
        <v>3.5284794520547953</v>
      </c>
      <c r="O18" s="214">
        <f t="shared" si="0"/>
        <v>2.6564239726027398E-2</v>
      </c>
      <c r="P18" s="215"/>
      <c r="Q18" s="216">
        <f>IFERROR(HLOOKUP($Q$6,'Equity Vol'!$B$8:$K18,ROWS('Equity Vol'!$C$8:$C18),FALSE),"n/a")</f>
        <v>1.026754180763048</v>
      </c>
      <c r="R18" s="45"/>
      <c r="S18" s="217">
        <f t="shared" si="10"/>
        <v>1.0542241477143979</v>
      </c>
      <c r="T18" s="217">
        <f t="shared" si="1"/>
        <v>0</v>
      </c>
      <c r="U18" s="218">
        <f t="shared" si="2"/>
        <v>0</v>
      </c>
      <c r="V18" s="218">
        <f t="shared" si="3"/>
        <v>0</v>
      </c>
      <c r="W18" s="218">
        <f t="shared" si="4"/>
        <v>0</v>
      </c>
      <c r="X18" s="92">
        <f t="shared" si="5"/>
        <v>0</v>
      </c>
      <c r="Y18" s="216">
        <f t="shared" si="11"/>
        <v>1.026754180763048</v>
      </c>
      <c r="AA18" s="93" t="str">
        <f>IF('MASTER PubCo Inputs'!B36=0,"",'MASTER PubCo Inputs'!B36)</f>
        <v>NasdaqCM:AVXL</v>
      </c>
      <c r="AB18" s="406">
        <f>'Beta Calc'!Z18</f>
        <v>91.352779999999996</v>
      </c>
      <c r="AC18" s="94">
        <f t="shared" si="6"/>
        <v>0</v>
      </c>
      <c r="AI18" s="95"/>
    </row>
    <row r="19" spans="2:35" ht="12.75" customHeight="1">
      <c r="B19" s="405" t="str">
        <f>'Comp.1'!B21</f>
        <v>OptiBiotix Health plc</v>
      </c>
      <c r="D19" s="406">
        <f>'Beta Calc'!K19</f>
        <v>72.915899999999993</v>
      </c>
      <c r="E19" s="406">
        <f>'Beta Calc'!L19</f>
        <v>0</v>
      </c>
      <c r="F19" s="406">
        <f>'Beta Calc'!M19</f>
        <v>0</v>
      </c>
      <c r="G19" s="406">
        <f>'Beta Calc'!N19</f>
        <v>0</v>
      </c>
      <c r="H19" s="406">
        <f t="shared" si="7"/>
        <v>0</v>
      </c>
      <c r="I19" s="406">
        <f t="shared" si="8"/>
        <v>72.915899999999993</v>
      </c>
      <c r="J19" s="406">
        <f>'Beta Calc'!Q19</f>
        <v>1.6849400000000001</v>
      </c>
      <c r="K19" s="406">
        <f t="shared" si="9"/>
        <v>71.230959999999996</v>
      </c>
      <c r="M19" s="56">
        <f>IFERROR('Capital IQ Sheet-GPC'!AT22,"n/a")</f>
        <v>0</v>
      </c>
      <c r="N19" s="406">
        <f t="shared" si="0"/>
        <v>3.5284794520547953</v>
      </c>
      <c r="O19" s="214">
        <f t="shared" si="0"/>
        <v>2.6564239726027398E-2</v>
      </c>
      <c r="P19" s="215"/>
      <c r="Q19" s="216">
        <f>IFERROR(HLOOKUP($Q$6,'Equity Vol'!$B$8:$K19,ROWS('Equity Vol'!$C$8:$C19),FALSE),"n/a")</f>
        <v>0.57731598641262194</v>
      </c>
      <c r="R19" s="45"/>
      <c r="S19" s="217">
        <f t="shared" si="10"/>
        <v>0.33329374816757867</v>
      </c>
      <c r="T19" s="217">
        <f t="shared" si="1"/>
        <v>0</v>
      </c>
      <c r="U19" s="218">
        <f t="shared" si="2"/>
        <v>0</v>
      </c>
      <c r="V19" s="218">
        <f t="shared" si="3"/>
        <v>0</v>
      </c>
      <c r="W19" s="218">
        <f t="shared" si="4"/>
        <v>0</v>
      </c>
      <c r="X19" s="92">
        <f t="shared" si="5"/>
        <v>0</v>
      </c>
      <c r="Y19" s="216">
        <f t="shared" si="11"/>
        <v>0.57731598641262194</v>
      </c>
      <c r="AA19" s="93" t="str">
        <f>IF('MASTER PubCo Inputs'!B37=0,"",'MASTER PubCo Inputs'!B37)</f>
        <v>AIM:OPTI</v>
      </c>
      <c r="AB19" s="406">
        <f>'Beta Calc'!Z19</f>
        <v>71.269909999999996</v>
      </c>
      <c r="AC19" s="94">
        <f t="shared" si="6"/>
        <v>-3.8949999999999818E-2</v>
      </c>
      <c r="AI19" s="95"/>
    </row>
    <row r="20" spans="2:35" ht="12.75" customHeight="1">
      <c r="B20" s="405" t="str">
        <f>'Comp.1'!B22</f>
        <v>Soleno Therapeutics, Inc.</v>
      </c>
      <c r="D20" s="406">
        <f>'Beta Calc'!K20</f>
        <v>46.258000000000003</v>
      </c>
      <c r="E20" s="406">
        <f>'Beta Calc'!L20</f>
        <v>0</v>
      </c>
      <c r="F20" s="406">
        <f>'Beta Calc'!M20</f>
        <v>0</v>
      </c>
      <c r="G20" s="406">
        <f>'Beta Calc'!N20</f>
        <v>0</v>
      </c>
      <c r="H20" s="406">
        <f t="shared" si="7"/>
        <v>0</v>
      </c>
      <c r="I20" s="406">
        <f t="shared" si="8"/>
        <v>46.258000000000003</v>
      </c>
      <c r="J20" s="406">
        <f>'Beta Calc'!Q20</f>
        <v>14.866</v>
      </c>
      <c r="K20" s="406">
        <f t="shared" si="9"/>
        <v>31.392000000000003</v>
      </c>
      <c r="M20" s="56">
        <f>IFERROR('Capital IQ Sheet-GPC'!AT23,"n/a")</f>
        <v>0</v>
      </c>
      <c r="N20" s="406">
        <f t="shared" si="0"/>
        <v>3.5284794520547953</v>
      </c>
      <c r="O20" s="214">
        <f t="shared" si="0"/>
        <v>2.6564239726027398E-2</v>
      </c>
      <c r="P20" s="215"/>
      <c r="Q20" s="216">
        <f>IFERROR(HLOOKUP($Q$6,'Equity Vol'!$B$8:$K20,ROWS('Equity Vol'!$C$8:$C20),FALSE),"n/a")</f>
        <v>1.1508768139771337</v>
      </c>
      <c r="R20" s="45"/>
      <c r="S20" s="217">
        <f t="shared" si="10"/>
        <v>1.3245174409501581</v>
      </c>
      <c r="T20" s="217">
        <f t="shared" si="1"/>
        <v>0</v>
      </c>
      <c r="U20" s="218">
        <f t="shared" si="2"/>
        <v>0</v>
      </c>
      <c r="V20" s="218">
        <f t="shared" si="3"/>
        <v>0</v>
      </c>
      <c r="W20" s="218">
        <f t="shared" si="4"/>
        <v>0</v>
      </c>
      <c r="X20" s="92">
        <f t="shared" si="5"/>
        <v>0</v>
      </c>
      <c r="Y20" s="216">
        <f t="shared" si="11"/>
        <v>1.1508768139771337</v>
      </c>
      <c r="AA20" s="93" t="str">
        <f>IF('MASTER PubCo Inputs'!B38=0,"",'MASTER PubCo Inputs'!B38)</f>
        <v>NasdaqCM:SLNO</v>
      </c>
      <c r="AB20" s="406">
        <f>'Beta Calc'!Z20</f>
        <v>31.391999999999999</v>
      </c>
      <c r="AC20" s="94">
        <f t="shared" si="6"/>
        <v>0</v>
      </c>
      <c r="AI20" s="95"/>
    </row>
    <row r="21" spans="2:35" ht="12.75" customHeight="1">
      <c r="B21" s="405" t="str">
        <f>'Comp.1'!B23</f>
        <v>Synthetic Biologics, Inc.</v>
      </c>
      <c r="D21" s="406">
        <f>'Beta Calc'!K21</f>
        <v>30.72748</v>
      </c>
      <c r="E21" s="406">
        <f>'Beta Calc'!L21</f>
        <v>0</v>
      </c>
      <c r="F21" s="406">
        <f>'Beta Calc'!M21</f>
        <v>12.112</v>
      </c>
      <c r="G21" s="406">
        <f>'Beta Calc'!N21</f>
        <v>-1.923</v>
      </c>
      <c r="H21" s="406">
        <f t="shared" si="7"/>
        <v>10.189</v>
      </c>
      <c r="I21" s="406">
        <f t="shared" si="8"/>
        <v>40.91648</v>
      </c>
      <c r="J21" s="406">
        <f>'Beta Calc'!Q21</f>
        <v>11.037000000000001</v>
      </c>
      <c r="K21" s="406">
        <f t="shared" si="9"/>
        <v>29.879480000000001</v>
      </c>
      <c r="M21" s="56">
        <f>IFERROR('Capital IQ Sheet-GPC'!AT24,"n/a")</f>
        <v>0</v>
      </c>
      <c r="N21" s="406">
        <f t="shared" si="0"/>
        <v>3.5284794520547953</v>
      </c>
      <c r="O21" s="214">
        <f t="shared" si="0"/>
        <v>2.6564239726027398E-2</v>
      </c>
      <c r="P21" s="215"/>
      <c r="Q21" s="216">
        <f>IFERROR(HLOOKUP($Q$6,'Equity Vol'!$B$8:$K21,ROWS('Equity Vol'!$C$8:$C21),FALSE),"n/a")</f>
        <v>0.84691152261417069</v>
      </c>
      <c r="R21" s="45"/>
      <c r="S21" s="217">
        <f t="shared" si="10"/>
        <v>0.71725912713665296</v>
      </c>
      <c r="T21" s="217">
        <f t="shared" si="1"/>
        <v>1.5306264326227148</v>
      </c>
      <c r="U21" s="218">
        <f t="shared" si="2"/>
        <v>-6.0233112371889108E-2</v>
      </c>
      <c r="V21" s="218">
        <f t="shared" si="3"/>
        <v>0.9370691274381111</v>
      </c>
      <c r="W21" s="218">
        <f t="shared" si="4"/>
        <v>0.47598498686122143</v>
      </c>
      <c r="X21" s="92">
        <f t="shared" si="5"/>
        <v>23.583252807954675</v>
      </c>
      <c r="Y21" s="216">
        <f t="shared" si="11"/>
        <v>0.71334083085293742</v>
      </c>
      <c r="AA21" s="93" t="str">
        <f>IF('MASTER PubCo Inputs'!B39=0,"",'MASTER PubCo Inputs'!B39)</f>
        <v>AMEX:SYN</v>
      </c>
      <c r="AB21" s="406">
        <f>'Beta Calc'!Z21</f>
        <v>29.879480000000001</v>
      </c>
      <c r="AC21" s="94">
        <f t="shared" si="6"/>
        <v>0</v>
      </c>
      <c r="AI21" s="95"/>
    </row>
    <row r="22" spans="2:35" ht="12.75" customHeight="1">
      <c r="B22" s="405" t="str">
        <f>'Comp.1'!B24</f>
        <v>Nexus BioPharma, Inc.</v>
      </c>
      <c r="D22" s="406">
        <f>'Beta Calc'!K22</f>
        <v>3.8515700000000002</v>
      </c>
      <c r="E22" s="406">
        <f>'Beta Calc'!L22</f>
        <v>0.36752000000000001</v>
      </c>
      <c r="F22" s="406">
        <f>'Beta Calc'!M22</f>
        <v>0</v>
      </c>
      <c r="G22" s="406">
        <f>'Beta Calc'!N22</f>
        <v>0</v>
      </c>
      <c r="H22" s="406">
        <f t="shared" si="7"/>
        <v>0.36752000000000001</v>
      </c>
      <c r="I22" s="406">
        <f t="shared" si="8"/>
        <v>4.2190900000000005</v>
      </c>
      <c r="J22" s="406">
        <f>'Beta Calc'!Q22</f>
        <v>8.43E-3</v>
      </c>
      <c r="K22" s="406">
        <f t="shared" si="9"/>
        <v>4.2106600000000007</v>
      </c>
      <c r="M22" s="56">
        <f>IFERROR('Capital IQ Sheet-GPC'!AT25,"n/a")</f>
        <v>0</v>
      </c>
      <c r="N22" s="406">
        <f t="shared" si="0"/>
        <v>3.5284794520547953</v>
      </c>
      <c r="O22" s="214">
        <f t="shared" si="0"/>
        <v>2.6564239726027398E-2</v>
      </c>
      <c r="P22" s="215"/>
      <c r="Q22" s="216" t="str">
        <f>IFERROR(HLOOKUP($Q$6,'Equity Vol'!$B$8:$K22,ROWS('Equity Vol'!$C$8:$C22),FALSE),"n/a")</f>
        <v>NM</v>
      </c>
      <c r="R22" s="45"/>
      <c r="S22" s="217" t="str">
        <f t="shared" si="10"/>
        <v>n/a</v>
      </c>
      <c r="T22" s="217" t="str">
        <f t="shared" si="1"/>
        <v>n/a</v>
      </c>
      <c r="U22" s="218" t="str">
        <f t="shared" si="2"/>
        <v>n/a</v>
      </c>
      <c r="V22" s="218" t="str">
        <f t="shared" si="3"/>
        <v>n/a</v>
      </c>
      <c r="W22" s="218" t="str">
        <f t="shared" si="4"/>
        <v>n/a</v>
      </c>
      <c r="X22" s="92" t="str">
        <f t="shared" si="5"/>
        <v>n/a</v>
      </c>
      <c r="Y22" s="216" t="str">
        <f t="shared" si="11"/>
        <v>n/a</v>
      </c>
      <c r="AA22" s="93" t="str">
        <f>IF('MASTER PubCo Inputs'!B40=0,"",'MASTER PubCo Inputs'!B40)</f>
        <v>OTCPK:NEXS</v>
      </c>
      <c r="AB22" s="406">
        <f>'Beta Calc'!Z22</f>
        <v>4.2106599999999998</v>
      </c>
      <c r="AC22" s="94">
        <f t="shared" si="6"/>
        <v>0</v>
      </c>
      <c r="AI22" s="95"/>
    </row>
    <row r="23" spans="2:35" ht="12.75" customHeight="1">
      <c r="B23" s="405" t="str">
        <f>'Comp.1'!B25</f>
        <v>Ritter Pharmaceuticals, Inc.</v>
      </c>
      <c r="D23" s="406">
        <f>'Beta Calc'!K23</f>
        <v>12.90047</v>
      </c>
      <c r="E23" s="406">
        <f>'Beta Calc'!L23</f>
        <v>0</v>
      </c>
      <c r="F23" s="406">
        <f>'Beta Calc'!M23</f>
        <v>4.9489799999999997</v>
      </c>
      <c r="G23" s="406">
        <f>'Beta Calc'!N23</f>
        <v>0</v>
      </c>
      <c r="H23" s="406">
        <f t="shared" si="7"/>
        <v>4.9489799999999997</v>
      </c>
      <c r="I23" s="406">
        <f t="shared" si="8"/>
        <v>17.849450000000001</v>
      </c>
      <c r="J23" s="406">
        <f>'Beta Calc'!Q23</f>
        <v>18.91704</v>
      </c>
      <c r="K23" s="406">
        <f t="shared" si="9"/>
        <v>-1.0675899999999992</v>
      </c>
      <c r="M23" s="56">
        <f>IFERROR('Capital IQ Sheet-GPC'!AT26,"n/a")</f>
        <v>0</v>
      </c>
      <c r="N23" s="406">
        <f t="shared" si="0"/>
        <v>3.5284794520547953</v>
      </c>
      <c r="O23" s="214">
        <f t="shared" si="0"/>
        <v>2.6564239726027398E-2</v>
      </c>
      <c r="P23" s="215"/>
      <c r="Q23" s="216">
        <f>IFERROR(HLOOKUP($Q$6,'Equity Vol'!$B$8:$K23,ROWS('Equity Vol'!$C$8:$C23),FALSE),"n/a")</f>
        <v>0.88587043357810058</v>
      </c>
      <c r="R23" s="45"/>
      <c r="S23" s="217">
        <f t="shared" si="10"/>
        <v>0.78476642508785188</v>
      </c>
      <c r="T23" s="217" t="e">
        <f t="shared" si="1"/>
        <v>#NUM!</v>
      </c>
      <c r="U23" s="218" t="e">
        <f t="shared" si="2"/>
        <v>#NUM!</v>
      </c>
      <c r="V23" s="218" t="e">
        <f t="shared" si="3"/>
        <v>#NUM!</v>
      </c>
      <c r="W23" s="218" t="e">
        <f t="shared" si="4"/>
        <v>#NUM!</v>
      </c>
      <c r="X23" s="92" t="e">
        <f t="shared" si="5"/>
        <v>#NUM!</v>
      </c>
      <c r="Y23" s="216" t="str">
        <f t="shared" si="11"/>
        <v>n/a</v>
      </c>
      <c r="AA23" s="93" t="str">
        <f>IF('MASTER PubCo Inputs'!B41=0,"",'MASTER PubCo Inputs'!B41)</f>
        <v>NasdaqCM:RTTR</v>
      </c>
      <c r="AB23" s="406">
        <f>'Beta Calc'!Z23</f>
        <v>-1.06759</v>
      </c>
      <c r="AC23" s="94">
        <f t="shared" si="6"/>
        <v>0</v>
      </c>
      <c r="AI23" s="95"/>
    </row>
    <row r="24" spans="2:35" ht="12.75" customHeight="1">
      <c r="B24" s="405">
        <f>'Comp.1'!B26</f>
        <v>0</v>
      </c>
      <c r="D24" s="406" t="str">
        <f>'Beta Calc'!K24</f>
        <v>(Invalid Identifier)</v>
      </c>
      <c r="E24" s="406" t="str">
        <f>'Beta Calc'!L24</f>
        <v>(Invalid Identifier)</v>
      </c>
      <c r="F24" s="406" t="str">
        <f>'Beta Calc'!M24</f>
        <v>(Invalid Identifier)</v>
      </c>
      <c r="G24" s="406" t="str">
        <f>'Beta Calc'!N24</f>
        <v>(Invalid Identifier)</v>
      </c>
      <c r="H24" s="406">
        <f t="shared" si="7"/>
        <v>0</v>
      </c>
      <c r="I24" s="406">
        <f t="shared" si="8"/>
        <v>0</v>
      </c>
      <c r="J24" s="406" t="str">
        <f>'Beta Calc'!Q24</f>
        <v>(Invalid Identifier)</v>
      </c>
      <c r="K24" s="406" t="e">
        <f t="shared" si="9"/>
        <v>#VALUE!</v>
      </c>
      <c r="M24" s="56" t="str">
        <f>IFERROR('Capital IQ Sheet-GPC'!AT27,"n/a")</f>
        <v>n/a</v>
      </c>
      <c r="N24" s="406">
        <f t="shared" si="0"/>
        <v>3.5284794520547953</v>
      </c>
      <c r="O24" s="214">
        <f t="shared" si="0"/>
        <v>2.6564239726027398E-2</v>
      </c>
      <c r="P24" s="215"/>
      <c r="Q24" s="216">
        <f>IFERROR(HLOOKUP($Q$6,'Equity Vol'!$B$8:$K23,ROWS('Equity Vol'!$C$8:$C23),FALSE),"n/a")</f>
        <v>0.88587043357810058</v>
      </c>
      <c r="R24" s="45"/>
      <c r="S24" s="217">
        <f t="shared" si="10"/>
        <v>0.78476642508785188</v>
      </c>
      <c r="T24" s="217" t="e">
        <f t="shared" si="1"/>
        <v>#VALUE!</v>
      </c>
      <c r="U24" s="218" t="e">
        <f t="shared" si="2"/>
        <v>#VALUE!</v>
      </c>
      <c r="V24" s="218" t="e">
        <f t="shared" si="3"/>
        <v>#VALUE!</v>
      </c>
      <c r="W24" s="218" t="e">
        <f t="shared" si="4"/>
        <v>#VALUE!</v>
      </c>
      <c r="X24" s="92" t="str">
        <f>IFERROR(IF(OR(K24="n/a",S24="n/a"),"n/a",IF(M24=0,(K24*V24)-((H24*EXP(1)^(-O24*N24))*W24),(K24*(2.718^(-M24*N24))*V24)-(H24*(2.718^(-O24*N24))*W24))),"n/a")</f>
        <v>n/a</v>
      </c>
      <c r="Y24" s="216">
        <f t="shared" si="11"/>
        <v>0.88587043357810058</v>
      </c>
      <c r="AA24" s="93" t="str">
        <f>IF('MASTER PubCo Inputs'!B42=0,"",'MASTER PubCo Inputs'!B42)</f>
        <v>(Invalid Identifier)</v>
      </c>
      <c r="AB24" s="406" t="str">
        <f>'Beta Calc'!Z24</f>
        <v>(Invalid Identifier)</v>
      </c>
      <c r="AC24" s="94" t="e">
        <f t="shared" si="6"/>
        <v>#VALUE!</v>
      </c>
      <c r="AI24" s="95"/>
    </row>
    <row r="25" spans="2:35" ht="12.75" hidden="1" customHeight="1" outlineLevel="1">
      <c r="D25" s="406"/>
      <c r="E25" s="406"/>
      <c r="F25" s="406"/>
      <c r="G25" s="406"/>
      <c r="H25" s="406"/>
      <c r="I25" s="406"/>
      <c r="J25" s="406"/>
      <c r="K25" s="406"/>
      <c r="M25" s="56"/>
      <c r="N25" s="406"/>
      <c r="O25" s="214"/>
      <c r="P25" s="215"/>
      <c r="Q25" s="216"/>
      <c r="R25" s="45"/>
      <c r="S25" s="217"/>
      <c r="T25" s="217"/>
      <c r="U25" s="218"/>
      <c r="V25" s="218"/>
      <c r="W25" s="218"/>
      <c r="X25" s="406"/>
      <c r="Y25" s="216"/>
      <c r="AA25" s="93"/>
      <c r="AB25" s="406"/>
      <c r="AC25" s="94"/>
      <c r="AI25" s="95"/>
    </row>
    <row r="26" spans="2:35" ht="12.75" hidden="1" customHeight="1" outlineLevel="1">
      <c r="D26" s="406"/>
      <c r="E26" s="406"/>
      <c r="F26" s="406"/>
      <c r="G26" s="406"/>
      <c r="H26" s="406"/>
      <c r="I26" s="406"/>
      <c r="J26" s="406"/>
      <c r="K26" s="406"/>
      <c r="M26" s="56"/>
      <c r="N26" s="406"/>
      <c r="O26" s="214"/>
      <c r="P26" s="215"/>
      <c r="Q26" s="216"/>
      <c r="R26" s="45"/>
      <c r="S26" s="217"/>
      <c r="T26" s="217"/>
      <c r="U26" s="218"/>
      <c r="V26" s="218"/>
      <c r="W26" s="218"/>
      <c r="X26" s="406"/>
      <c r="Y26" s="216"/>
      <c r="AA26" s="93"/>
      <c r="AB26" s="406"/>
      <c r="AC26" s="94"/>
      <c r="AI26" s="95"/>
    </row>
    <row r="27" spans="2:35" ht="12.75" hidden="1" customHeight="1" outlineLevel="1">
      <c r="D27" s="406"/>
      <c r="E27" s="406"/>
      <c r="F27" s="406"/>
      <c r="G27" s="406"/>
      <c r="H27" s="406"/>
      <c r="I27" s="406"/>
      <c r="J27" s="406"/>
      <c r="K27" s="406"/>
      <c r="M27" s="56"/>
      <c r="N27" s="406"/>
      <c r="O27" s="214"/>
      <c r="P27" s="215"/>
      <c r="Q27" s="216"/>
      <c r="R27" s="45"/>
      <c r="S27" s="217"/>
      <c r="T27" s="217"/>
      <c r="U27" s="218"/>
      <c r="V27" s="218"/>
      <c r="W27" s="218"/>
      <c r="X27" s="406"/>
      <c r="Y27" s="216"/>
      <c r="AA27" s="93"/>
      <c r="AB27" s="406"/>
      <c r="AC27" s="94"/>
      <c r="AI27" s="95"/>
    </row>
    <row r="28" spans="2:35" ht="12.75" hidden="1" customHeight="1" outlineLevel="1">
      <c r="D28" s="406"/>
      <c r="E28" s="406"/>
      <c r="F28" s="406"/>
      <c r="G28" s="406"/>
      <c r="H28" s="406"/>
      <c r="I28" s="406"/>
      <c r="J28" s="406"/>
      <c r="K28" s="406"/>
      <c r="M28" s="56"/>
      <c r="N28" s="406"/>
      <c r="O28" s="214"/>
      <c r="P28" s="215"/>
      <c r="Q28" s="216"/>
      <c r="R28" s="45"/>
      <c r="S28" s="217"/>
      <c r="T28" s="217"/>
      <c r="U28" s="218"/>
      <c r="V28" s="218"/>
      <c r="W28" s="218"/>
      <c r="X28" s="406"/>
      <c r="Y28" s="216"/>
      <c r="AA28" s="93"/>
      <c r="AB28" s="406"/>
      <c r="AC28" s="94"/>
      <c r="AI28" s="95"/>
    </row>
    <row r="29" spans="2:35" ht="12.75" hidden="1" customHeight="1" outlineLevel="1">
      <c r="D29" s="406"/>
      <c r="E29" s="406"/>
      <c r="F29" s="406"/>
      <c r="G29" s="406"/>
      <c r="H29" s="406"/>
      <c r="I29" s="406"/>
      <c r="J29" s="406"/>
      <c r="K29" s="406"/>
      <c r="M29" s="56"/>
      <c r="N29" s="406"/>
      <c r="O29" s="214"/>
      <c r="P29" s="215"/>
      <c r="Q29" s="216"/>
      <c r="R29" s="45"/>
      <c r="S29" s="217"/>
      <c r="T29" s="217"/>
      <c r="U29" s="218"/>
      <c r="V29" s="218"/>
      <c r="W29" s="218"/>
      <c r="X29" s="406"/>
      <c r="Y29" s="216"/>
      <c r="AA29" s="93"/>
      <c r="AB29" s="406"/>
      <c r="AC29" s="94"/>
      <c r="AI29" s="95"/>
    </row>
    <row r="30" spans="2:35" ht="12.75" hidden="1" customHeight="1" outlineLevel="1">
      <c r="D30" s="406"/>
      <c r="E30" s="406"/>
      <c r="F30" s="406"/>
      <c r="G30" s="406"/>
      <c r="H30" s="406"/>
      <c r="I30" s="406"/>
      <c r="J30" s="406"/>
      <c r="K30" s="406"/>
      <c r="M30" s="56"/>
      <c r="N30" s="406"/>
      <c r="O30" s="214"/>
      <c r="P30" s="215"/>
      <c r="Q30" s="216"/>
      <c r="R30" s="45"/>
      <c r="S30" s="217"/>
      <c r="T30" s="217"/>
      <c r="U30" s="218"/>
      <c r="V30" s="218"/>
      <c r="W30" s="218"/>
      <c r="X30" s="406"/>
      <c r="Y30" s="216"/>
      <c r="AA30" s="93"/>
      <c r="AB30" s="406"/>
      <c r="AC30" s="94"/>
      <c r="AI30" s="95"/>
    </row>
    <row r="31" spans="2:35" ht="12.75" hidden="1" customHeight="1" outlineLevel="1">
      <c r="D31" s="406"/>
      <c r="E31" s="406"/>
      <c r="F31" s="406"/>
      <c r="G31" s="406"/>
      <c r="H31" s="406"/>
      <c r="I31" s="406"/>
      <c r="J31" s="406"/>
      <c r="K31" s="406"/>
      <c r="M31" s="56"/>
      <c r="N31" s="406"/>
      <c r="O31" s="214"/>
      <c r="P31" s="215"/>
      <c r="Q31" s="216"/>
      <c r="R31" s="45"/>
      <c r="S31" s="217"/>
      <c r="T31" s="217"/>
      <c r="U31" s="218"/>
      <c r="V31" s="218"/>
      <c r="W31" s="218"/>
      <c r="X31" s="406"/>
      <c r="Y31" s="216"/>
      <c r="AA31" s="93"/>
      <c r="AB31" s="406"/>
      <c r="AC31" s="94"/>
      <c r="AI31" s="95"/>
    </row>
    <row r="32" spans="2:35" ht="12.75" hidden="1" customHeight="1" outlineLevel="1">
      <c r="D32" s="406"/>
      <c r="E32" s="406"/>
      <c r="F32" s="406"/>
      <c r="G32" s="406"/>
      <c r="H32" s="406"/>
      <c r="I32" s="406"/>
      <c r="J32" s="406"/>
      <c r="K32" s="406"/>
      <c r="M32" s="56"/>
      <c r="N32" s="406"/>
      <c r="O32" s="214"/>
      <c r="P32" s="215"/>
      <c r="Q32" s="216"/>
      <c r="R32" s="45"/>
      <c r="S32" s="217"/>
      <c r="T32" s="217"/>
      <c r="U32" s="218"/>
      <c r="V32" s="218"/>
      <c r="W32" s="218"/>
      <c r="X32" s="406"/>
      <c r="Y32" s="216"/>
      <c r="AA32" s="93"/>
      <c r="AB32" s="406"/>
      <c r="AC32" s="94"/>
      <c r="AI32" s="95"/>
    </row>
    <row r="33" spans="2:35" ht="12.75" hidden="1" customHeight="1" outlineLevel="1">
      <c r="D33" s="406"/>
      <c r="E33" s="406"/>
      <c r="F33" s="406"/>
      <c r="G33" s="406"/>
      <c r="H33" s="406"/>
      <c r="I33" s="406"/>
      <c r="J33" s="406"/>
      <c r="K33" s="406"/>
      <c r="M33" s="56"/>
      <c r="N33" s="406"/>
      <c r="O33" s="214"/>
      <c r="P33" s="215"/>
      <c r="Q33" s="216"/>
      <c r="R33" s="45"/>
      <c r="S33" s="217"/>
      <c r="T33" s="217"/>
      <c r="U33" s="218"/>
      <c r="V33" s="218"/>
      <c r="W33" s="218"/>
      <c r="X33" s="406"/>
      <c r="Y33" s="216"/>
      <c r="AA33" s="93"/>
      <c r="AB33" s="406"/>
      <c r="AC33" s="94"/>
      <c r="AI33" s="95"/>
    </row>
    <row r="34" spans="2:35" ht="12.75" hidden="1" customHeight="1" outlineLevel="1">
      <c r="D34" s="406"/>
      <c r="E34" s="406"/>
      <c r="F34" s="406"/>
      <c r="G34" s="406"/>
      <c r="H34" s="406"/>
      <c r="I34" s="406"/>
      <c r="J34" s="406"/>
      <c r="K34" s="406"/>
      <c r="M34" s="56"/>
      <c r="N34" s="406"/>
      <c r="O34" s="214"/>
      <c r="P34" s="215"/>
      <c r="Q34" s="216"/>
      <c r="R34" s="45"/>
      <c r="S34" s="217"/>
      <c r="T34" s="217"/>
      <c r="U34" s="218"/>
      <c r="V34" s="218"/>
      <c r="W34" s="218"/>
      <c r="X34" s="406"/>
      <c r="Y34" s="216"/>
      <c r="AA34" s="93"/>
      <c r="AB34" s="406"/>
      <c r="AC34" s="94"/>
      <c r="AI34" s="95"/>
    </row>
    <row r="35" spans="2:35" ht="12.75" hidden="1" customHeight="1" outlineLevel="1">
      <c r="D35" s="406"/>
      <c r="E35" s="406"/>
      <c r="F35" s="406"/>
      <c r="G35" s="406"/>
      <c r="H35" s="406"/>
      <c r="I35" s="406"/>
      <c r="J35" s="406"/>
      <c r="K35" s="406"/>
      <c r="M35" s="56"/>
      <c r="N35" s="406"/>
      <c r="O35" s="214"/>
      <c r="P35" s="215"/>
      <c r="Q35" s="216"/>
      <c r="R35" s="45"/>
      <c r="S35" s="217"/>
      <c r="T35" s="217"/>
      <c r="U35" s="218"/>
      <c r="V35" s="218"/>
      <c r="W35" s="218"/>
      <c r="X35" s="406"/>
      <c r="Y35" s="216"/>
      <c r="AA35" s="93"/>
      <c r="AB35" s="406"/>
      <c r="AC35" s="94"/>
      <c r="AI35" s="95"/>
    </row>
    <row r="36" spans="2:35" ht="12.75" hidden="1" customHeight="1" outlineLevel="1">
      <c r="D36" s="406"/>
      <c r="E36" s="406"/>
      <c r="F36" s="406"/>
      <c r="G36" s="406"/>
      <c r="H36" s="406"/>
      <c r="I36" s="406"/>
      <c r="J36" s="406"/>
      <c r="K36" s="406"/>
      <c r="M36" s="56"/>
      <c r="N36" s="406"/>
      <c r="O36" s="214"/>
      <c r="P36" s="215"/>
      <c r="Q36" s="216"/>
      <c r="R36" s="45"/>
      <c r="S36" s="217"/>
      <c r="T36" s="217"/>
      <c r="U36" s="218"/>
      <c r="V36" s="218"/>
      <c r="W36" s="218"/>
      <c r="X36" s="406"/>
      <c r="Y36" s="216"/>
      <c r="AA36" s="93"/>
      <c r="AB36" s="406"/>
      <c r="AC36" s="94"/>
      <c r="AI36" s="95"/>
    </row>
    <row r="37" spans="2:35" ht="12.75" hidden="1" customHeight="1" outlineLevel="1">
      <c r="D37" s="406"/>
      <c r="E37" s="406"/>
      <c r="F37" s="406"/>
      <c r="G37" s="406"/>
      <c r="H37" s="406"/>
      <c r="I37" s="406"/>
      <c r="J37" s="406"/>
      <c r="K37" s="406"/>
      <c r="M37" s="56"/>
      <c r="N37" s="406"/>
      <c r="O37" s="214"/>
      <c r="P37" s="215"/>
      <c r="Q37" s="216"/>
      <c r="R37" s="45"/>
      <c r="S37" s="217"/>
      <c r="T37" s="217"/>
      <c r="U37" s="218"/>
      <c r="V37" s="218"/>
      <c r="W37" s="218"/>
      <c r="X37" s="406"/>
      <c r="Y37" s="216"/>
      <c r="AA37" s="93"/>
      <c r="AB37" s="406"/>
      <c r="AC37" s="94"/>
      <c r="AI37" s="95"/>
    </row>
    <row r="38" spans="2:35" ht="12.75" hidden="1" customHeight="1" outlineLevel="1">
      <c r="D38" s="406"/>
      <c r="E38" s="406"/>
      <c r="F38" s="406"/>
      <c r="G38" s="406"/>
      <c r="H38" s="406"/>
      <c r="I38" s="406"/>
      <c r="J38" s="406"/>
      <c r="K38" s="406"/>
      <c r="M38" s="56"/>
      <c r="N38" s="406"/>
      <c r="O38" s="214"/>
      <c r="P38" s="215"/>
      <c r="Q38" s="216"/>
      <c r="R38" s="45"/>
      <c r="S38" s="217"/>
      <c r="T38" s="217"/>
      <c r="U38" s="218"/>
      <c r="V38" s="218"/>
      <c r="W38" s="218"/>
      <c r="X38" s="406"/>
      <c r="Y38" s="216"/>
      <c r="AA38" s="93"/>
      <c r="AB38" s="406"/>
      <c r="AC38" s="94"/>
      <c r="AI38" s="95"/>
    </row>
    <row r="39" spans="2:35" ht="12.75" hidden="1" customHeight="1" outlineLevel="1">
      <c r="D39" s="406"/>
      <c r="E39" s="406"/>
      <c r="F39" s="406"/>
      <c r="G39" s="406"/>
      <c r="H39" s="406"/>
      <c r="I39" s="406"/>
      <c r="J39" s="406"/>
      <c r="K39" s="406"/>
      <c r="M39" s="56"/>
      <c r="N39" s="406"/>
      <c r="O39" s="214"/>
      <c r="P39" s="215"/>
      <c r="Q39" s="216"/>
      <c r="R39" s="45"/>
      <c r="S39" s="217"/>
      <c r="T39" s="217"/>
      <c r="U39" s="218"/>
      <c r="V39" s="218"/>
      <c r="W39" s="218"/>
      <c r="X39" s="406"/>
      <c r="Y39" s="216"/>
      <c r="AA39" s="93"/>
      <c r="AB39" s="406"/>
      <c r="AC39" s="94"/>
      <c r="AI39" s="95"/>
    </row>
    <row r="40" spans="2:35" ht="12.75" customHeight="1" collapsed="1">
      <c r="D40" s="406"/>
      <c r="E40" s="406"/>
      <c r="F40" s="406"/>
      <c r="G40" s="406"/>
      <c r="H40" s="406"/>
      <c r="I40" s="406"/>
      <c r="J40" s="406"/>
      <c r="K40" s="406"/>
      <c r="R40" s="21"/>
    </row>
    <row r="41" spans="2:35" ht="12.75" customHeight="1">
      <c r="B41" s="766" t="s">
        <v>111</v>
      </c>
      <c r="C41" s="782"/>
      <c r="D41" s="781">
        <f>MAX(D10:D39)</f>
        <v>1906.0925500000001</v>
      </c>
      <c r="E41" s="781">
        <f t="shared" ref="E41:K41" si="12">MAX(E10:E39)</f>
        <v>236.50700000000001</v>
      </c>
      <c r="F41" s="781">
        <f t="shared" si="12"/>
        <v>12.112</v>
      </c>
      <c r="G41" s="781">
        <f t="shared" si="12"/>
        <v>0</v>
      </c>
      <c r="H41" s="781">
        <f t="shared" si="12"/>
        <v>236.50700000000001</v>
      </c>
      <c r="I41" s="781">
        <f t="shared" si="12"/>
        <v>1906.0925500000001</v>
      </c>
      <c r="J41" s="781">
        <f t="shared" si="12"/>
        <v>298.06299999999999</v>
      </c>
      <c r="K41" s="781" t="e">
        <f t="shared" si="12"/>
        <v>#VALUE!</v>
      </c>
      <c r="L41" s="782"/>
      <c r="M41" s="786">
        <f>MAX(M10:M39)</f>
        <v>0</v>
      </c>
      <c r="N41" s="781">
        <f>MAX(N10:N39)</f>
        <v>3.5284794520547953</v>
      </c>
      <c r="O41" s="788">
        <f>MAX(O10:O39)</f>
        <v>2.6564239726027398E-2</v>
      </c>
      <c r="P41" s="789"/>
      <c r="Q41" s="790">
        <f>MAX(Q10:Q39)</f>
        <v>1.1508768139771337</v>
      </c>
      <c r="R41" s="791"/>
      <c r="S41" s="792">
        <f>MAX(S10:S40)</f>
        <v>1.3245174409501581</v>
      </c>
      <c r="T41" s="792" t="e">
        <f>MAX(T10:T40)</f>
        <v>#NUM!</v>
      </c>
      <c r="U41" s="793" t="e">
        <f>MAX(U10:U40)</f>
        <v>#NUM!</v>
      </c>
      <c r="V41" s="793" t="e">
        <f>MAX(V10:V40)</f>
        <v>#NUM!</v>
      </c>
      <c r="W41" s="793" t="e">
        <f>MAX(W10:W40)</f>
        <v>#NUM!</v>
      </c>
      <c r="X41" s="781" t="e">
        <f>MAX(X10:X39)</f>
        <v>#NUM!</v>
      </c>
      <c r="Y41" s="794">
        <f>MAX(Y10:Y39)</f>
        <v>1.1508768139771337</v>
      </c>
      <c r="AB41" s="825">
        <f>+'Asset Vol_Implied Series B'!Y48</f>
        <v>0.73399999999999999</v>
      </c>
      <c r="AC41" s="826" t="s">
        <v>1216</v>
      </c>
      <c r="AD41" s="826"/>
      <c r="AE41" s="826"/>
      <c r="AF41" s="803"/>
    </row>
    <row r="42" spans="2:35" ht="12.75" customHeight="1">
      <c r="B42" s="366" t="s">
        <v>115</v>
      </c>
      <c r="C42" s="79"/>
      <c r="D42" s="101">
        <f t="shared" ref="D42:K42" si="13">QUARTILE(D10:D39,3)</f>
        <v>564.60603750000007</v>
      </c>
      <c r="E42" s="101">
        <f t="shared" si="13"/>
        <v>0.27564</v>
      </c>
      <c r="F42" s="101">
        <f t="shared" si="13"/>
        <v>0</v>
      </c>
      <c r="G42" s="101">
        <f t="shared" si="13"/>
        <v>0</v>
      </c>
      <c r="H42" s="101">
        <f t="shared" si="13"/>
        <v>3.1751199999999997</v>
      </c>
      <c r="I42" s="101">
        <f t="shared" si="13"/>
        <v>507.73981500000002</v>
      </c>
      <c r="J42" s="101">
        <f t="shared" si="13"/>
        <v>132.88825</v>
      </c>
      <c r="K42" s="101" t="e">
        <f t="shared" si="13"/>
        <v>#VALUE!</v>
      </c>
      <c r="L42" s="79"/>
      <c r="M42" s="143">
        <f>QUARTILE(M10:M39,3)</f>
        <v>0</v>
      </c>
      <c r="N42" s="101">
        <f>QUARTILE(N10:N39,3)</f>
        <v>3.5284794520547953</v>
      </c>
      <c r="O42" s="219">
        <f>QUARTILE(O10:O39,3)</f>
        <v>2.6564239726027398E-2</v>
      </c>
      <c r="P42" s="220"/>
      <c r="Q42" s="221">
        <f>QUARTILE(Q10:Q39,3)</f>
        <v>0.95360103062997992</v>
      </c>
      <c r="R42" s="222"/>
      <c r="S42" s="223">
        <f>QUARTILE(S10:S40,3)</f>
        <v>0.90935492561855991</v>
      </c>
      <c r="T42" s="223" t="e">
        <f>QUARTILE(T10:T40,3)</f>
        <v>#NUM!</v>
      </c>
      <c r="U42" s="224" t="e">
        <f>QUARTILE(U10:U40,3)</f>
        <v>#NUM!</v>
      </c>
      <c r="V42" s="224" t="e">
        <f>QUARTILE(V10:V40,3)</f>
        <v>#NUM!</v>
      </c>
      <c r="W42" s="224" t="e">
        <f>QUARTILE(W10:W40,3)</f>
        <v>#NUM!</v>
      </c>
      <c r="X42" s="101" t="e">
        <f>QUARTILE(X10:X39,3)</f>
        <v>#NUM!</v>
      </c>
      <c r="Y42" s="225">
        <f>QUARTILE(Y10:Y39,3)</f>
        <v>0.95927589283164016</v>
      </c>
      <c r="AB42" s="827">
        <f>+'Asset Vol_Implied Series B'!Y50</f>
        <v>0.73399999999999999</v>
      </c>
      <c r="AC42" s="16" t="s">
        <v>1217</v>
      </c>
      <c r="AD42" s="16"/>
      <c r="AE42" s="16"/>
      <c r="AF42" s="204"/>
    </row>
    <row r="43" spans="2:35" ht="12.75" customHeight="1">
      <c r="B43" s="366" t="s">
        <v>113</v>
      </c>
      <c r="C43" s="79"/>
      <c r="D43" s="101">
        <f>AVERAGE(D10:D39)</f>
        <v>406.69437642857145</v>
      </c>
      <c r="E43" s="101">
        <f t="shared" ref="E43:K43" si="14">AVERAGE(E10:E39)</f>
        <v>18.459698571428572</v>
      </c>
      <c r="F43" s="101">
        <f t="shared" si="14"/>
        <v>1.2186414285714287</v>
      </c>
      <c r="G43" s="101">
        <f t="shared" si="14"/>
        <v>-0.13735714285714287</v>
      </c>
      <c r="H43" s="101">
        <f t="shared" si="14"/>
        <v>18.238250666666669</v>
      </c>
      <c r="I43" s="101">
        <f t="shared" si="14"/>
        <v>397.81966866666664</v>
      </c>
      <c r="J43" s="101">
        <f t="shared" si="14"/>
        <v>90.206330714285741</v>
      </c>
      <c r="K43" s="101" t="e">
        <f t="shared" si="14"/>
        <v>#VALUE!</v>
      </c>
      <c r="L43" s="79"/>
      <c r="M43" s="143">
        <f>AVERAGE(M10:M39)</f>
        <v>0</v>
      </c>
      <c r="N43" s="101">
        <f>AVERAGE(N10:N39)</f>
        <v>3.5284794520547957</v>
      </c>
      <c r="O43" s="219">
        <f>AVERAGE(O10:O39)</f>
        <v>2.6564239726027398E-2</v>
      </c>
      <c r="P43" s="220"/>
      <c r="Q43" s="221">
        <f>AVERAGE(Q10:Q39)</f>
        <v>0.83775077110479657</v>
      </c>
      <c r="R43" s="222"/>
      <c r="S43" s="223">
        <f>AVERAGE(S10:S40)</f>
        <v>0.73181131684981748</v>
      </c>
      <c r="T43" s="223" t="e">
        <f>AVERAGE(T10:T40)</f>
        <v>#NUM!</v>
      </c>
      <c r="U43" s="224" t="e">
        <f>AVERAGE(U10:U40)</f>
        <v>#NUM!</v>
      </c>
      <c r="V43" s="224" t="e">
        <f>AVERAGE(V10:V40)</f>
        <v>#NUM!</v>
      </c>
      <c r="W43" s="224" t="e">
        <f>AVERAGE(W10:W40)</f>
        <v>#NUM!</v>
      </c>
      <c r="X43" s="101" t="e">
        <f>AVERAGE(X10:X39)</f>
        <v>#NUM!</v>
      </c>
      <c r="Y43" s="225">
        <f>AVERAGE(Y10:Y39)</f>
        <v>0.79312301697910215</v>
      </c>
      <c r="AB43" s="827">
        <f>+'Asset Vol_Implied Series B'!Y44</f>
        <v>0.8134340528199715</v>
      </c>
      <c r="AC43" s="16" t="s">
        <v>1215</v>
      </c>
      <c r="AD43" s="16"/>
      <c r="AE43" s="16"/>
      <c r="AF43" s="828" t="s">
        <v>1352</v>
      </c>
    </row>
    <row r="44" spans="2:35" ht="12.75" customHeight="1">
      <c r="B44" s="366" t="s">
        <v>44</v>
      </c>
      <c r="C44" s="79"/>
      <c r="D44" s="101">
        <f>MEDIAN(D10:D39)</f>
        <v>164.41385500000001</v>
      </c>
      <c r="E44" s="101">
        <f t="shared" ref="E44:K44" si="15">MEDIAN(E10:E39)</f>
        <v>0</v>
      </c>
      <c r="F44" s="101">
        <f t="shared" si="15"/>
        <v>0</v>
      </c>
      <c r="G44" s="101">
        <f t="shared" si="15"/>
        <v>0</v>
      </c>
      <c r="H44" s="101">
        <f t="shared" si="15"/>
        <v>0</v>
      </c>
      <c r="I44" s="101">
        <f t="shared" si="15"/>
        <v>213.21961000000002</v>
      </c>
      <c r="J44" s="101">
        <f t="shared" si="15"/>
        <v>57.363289999999992</v>
      </c>
      <c r="K44" s="101" t="e">
        <f t="shared" si="15"/>
        <v>#VALUE!</v>
      </c>
      <c r="L44" s="79"/>
      <c r="M44" s="143">
        <f>MEDIAN(M10:M39)</f>
        <v>0</v>
      </c>
      <c r="N44" s="101">
        <f>MEDIAN(N10:N39)</f>
        <v>3.5284794520547953</v>
      </c>
      <c r="O44" s="219">
        <f>MEDIAN(O10:O39)</f>
        <v>2.6564239726027398E-2</v>
      </c>
      <c r="P44" s="220"/>
      <c r="Q44" s="221">
        <f>MEDIAN(Q10:Q39)</f>
        <v>0.88587043357810058</v>
      </c>
      <c r="R44" s="222"/>
      <c r="S44" s="223">
        <f>MEDIAN(S10:S40)</f>
        <v>0.78476642508785188</v>
      </c>
      <c r="T44" s="223" t="e">
        <f>MEDIAN(T10:T40)</f>
        <v>#NUM!</v>
      </c>
      <c r="U44" s="224" t="e">
        <f>MEDIAN(U10:U40)</f>
        <v>#NUM!</v>
      </c>
      <c r="V44" s="224" t="e">
        <f>MEDIAN(V10:V40)</f>
        <v>#NUM!</v>
      </c>
      <c r="W44" s="224" t="e">
        <f>MEDIAN(W10:W40)</f>
        <v>#NUM!</v>
      </c>
      <c r="X44" s="101" t="e">
        <f>MEDIAN(X10:X39)</f>
        <v>#NUM!</v>
      </c>
      <c r="Y44" s="225">
        <f>MEDIAN(Y10:Y39)</f>
        <v>0.8134340528199715</v>
      </c>
      <c r="AB44" s="829" t="str">
        <f>IF(ROUND(AB41,3)=ROUND(AB43,3),"","Update Volatility - OPM")</f>
        <v>Update Volatility - OPM</v>
      </c>
      <c r="AC44" s="16"/>
      <c r="AD44" s="16"/>
      <c r="AE44" s="16"/>
      <c r="AF44" s="204"/>
    </row>
    <row r="45" spans="2:35" ht="12.75" customHeight="1">
      <c r="B45" s="366" t="s">
        <v>114</v>
      </c>
      <c r="C45" s="79"/>
      <c r="D45" s="101">
        <f>QUARTILE(D10:D39,1)</f>
        <v>52.922474999999999</v>
      </c>
      <c r="E45" s="101">
        <f t="shared" ref="E45:K45" si="16">QUARTILE(E10:E39,1)</f>
        <v>0</v>
      </c>
      <c r="F45" s="101">
        <f t="shared" si="16"/>
        <v>0</v>
      </c>
      <c r="G45" s="101">
        <f t="shared" si="16"/>
        <v>0</v>
      </c>
      <c r="H45" s="101">
        <f t="shared" si="16"/>
        <v>0</v>
      </c>
      <c r="I45" s="101">
        <f t="shared" si="16"/>
        <v>43.587240000000001</v>
      </c>
      <c r="J45" s="101">
        <f t="shared" si="16"/>
        <v>11.994250000000001</v>
      </c>
      <c r="K45" s="101" t="e">
        <f t="shared" si="16"/>
        <v>#VALUE!</v>
      </c>
      <c r="L45" s="79"/>
      <c r="M45" s="143">
        <f>QUARTILE(M10:M39,1)</f>
        <v>0</v>
      </c>
      <c r="N45" s="101">
        <f>QUARTILE(N10:N39,1)</f>
        <v>3.5284794520547953</v>
      </c>
      <c r="O45" s="219">
        <f>QUARTILE(O10:O39,1)</f>
        <v>2.6564239726027398E-2</v>
      </c>
      <c r="P45" s="220"/>
      <c r="Q45" s="221">
        <f>QUARTILE(Q10:Q39,1)</f>
        <v>0.65477238914194269</v>
      </c>
      <c r="R45" s="222"/>
      <c r="S45" s="223">
        <f>QUARTILE(S10:S40,1)</f>
        <v>0.42872688158264766</v>
      </c>
      <c r="T45" s="223" t="e">
        <f>QUARTILE(T10:T40,1)</f>
        <v>#NUM!</v>
      </c>
      <c r="U45" s="224" t="e">
        <f>QUARTILE(U10:U40,1)</f>
        <v>#NUM!</v>
      </c>
      <c r="V45" s="224" t="e">
        <f>QUARTILE(V10:V40,1)</f>
        <v>#NUM!</v>
      </c>
      <c r="W45" s="224" t="e">
        <f>QUARTILE(W10:W40,1)</f>
        <v>#NUM!</v>
      </c>
      <c r="X45" s="101" t="e">
        <f>QUARTILE(X10:X39,1)</f>
        <v>#NUM!</v>
      </c>
      <c r="Y45" s="225">
        <f>QUARTILE(Y10:Y39,1)</f>
        <v>0.6390413403267946</v>
      </c>
      <c r="AB45" s="830" t="str">
        <f>IF(ROUND(AB42,3)=ROUND(AB43,3),"","Update Volatility - DLOM")</f>
        <v>Update Volatility - DLOM</v>
      </c>
      <c r="AC45" s="5"/>
      <c r="AD45" s="5"/>
      <c r="AE45" s="5"/>
      <c r="AF45" s="448"/>
    </row>
    <row r="46" spans="2:35" ht="12.75" customHeight="1">
      <c r="B46" s="103" t="s">
        <v>112</v>
      </c>
      <c r="C46" s="72"/>
      <c r="D46" s="75">
        <f t="shared" ref="D46:K46" si="17">MIN(D10:D39)</f>
        <v>3.8515700000000002</v>
      </c>
      <c r="E46" s="75">
        <f t="shared" si="17"/>
        <v>0</v>
      </c>
      <c r="F46" s="75">
        <f t="shared" si="17"/>
        <v>0</v>
      </c>
      <c r="G46" s="75">
        <f t="shared" si="17"/>
        <v>-1.923</v>
      </c>
      <c r="H46" s="75">
        <f t="shared" si="17"/>
        <v>0</v>
      </c>
      <c r="I46" s="75">
        <f t="shared" si="17"/>
        <v>0</v>
      </c>
      <c r="J46" s="75">
        <f t="shared" si="17"/>
        <v>8.43E-3</v>
      </c>
      <c r="K46" s="75" t="e">
        <f t="shared" si="17"/>
        <v>#VALUE!</v>
      </c>
      <c r="L46" s="72"/>
      <c r="M46" s="145">
        <f>MIN(M10:M39)</f>
        <v>0</v>
      </c>
      <c r="N46" s="75">
        <f>MIN(N10:N39)</f>
        <v>3.5284794520547953</v>
      </c>
      <c r="O46" s="795">
        <f>MIN(O10:O39)</f>
        <v>2.6564239726027398E-2</v>
      </c>
      <c r="P46" s="796"/>
      <c r="Q46" s="797">
        <f>MIN(Q10:Q39)</f>
        <v>0.57731598641262194</v>
      </c>
      <c r="R46" s="798"/>
      <c r="S46" s="799">
        <f>MIN(S10:S40)</f>
        <v>0.33329374816757867</v>
      </c>
      <c r="T46" s="799" t="e">
        <f>MIN(T10:T40)</f>
        <v>#NUM!</v>
      </c>
      <c r="U46" s="800" t="e">
        <f>MIN(U10:U40)</f>
        <v>#NUM!</v>
      </c>
      <c r="V46" s="800" t="e">
        <f>MIN(V10:V40)</f>
        <v>#NUM!</v>
      </c>
      <c r="W46" s="800" t="e">
        <f>MIN(W10:W40)</f>
        <v>#NUM!</v>
      </c>
      <c r="X46" s="75" t="e">
        <f>MIN(X10:X39)</f>
        <v>#NUM!</v>
      </c>
      <c r="Y46" s="801">
        <f>MIN(Y10:Y39)</f>
        <v>0.35048322847068791</v>
      </c>
      <c r="AB46" s="515" t="str">
        <f>IF(K48&lt;&gt;K50,"Check","")</f>
        <v/>
      </c>
    </row>
    <row r="47" spans="2:35" ht="12.75" customHeight="1">
      <c r="AB47" s="958" t="str">
        <f>IF(AND(AB44=$AF$45,AB46=$AF$45,AB45=$AF$45),"","Check")</f>
        <v>Check</v>
      </c>
    </row>
    <row r="48" spans="2:35" ht="12.75" customHeight="1">
      <c r="B48" s="226" t="str">
        <f>B2</f>
        <v>Kallyope, Inc.</v>
      </c>
      <c r="C48" s="480" t="s">
        <v>209</v>
      </c>
      <c r="D48" s="1753">
        <f>'OPM 1_Series B'!D9/1000</f>
        <v>245.41104938361443</v>
      </c>
      <c r="E48" s="1754">
        <f>'Hist BS'!G55/1000</f>
        <v>0</v>
      </c>
      <c r="F48" s="227"/>
      <c r="G48" s="227"/>
      <c r="H48" s="228">
        <f>SUM(E48:G48)</f>
        <v>0</v>
      </c>
      <c r="I48" s="228">
        <f>SUM(D48:G48)</f>
        <v>245.41104938361443</v>
      </c>
      <c r="J48" s="227"/>
      <c r="K48" s="228">
        <f>I48-J48</f>
        <v>245.41104938361443</v>
      </c>
      <c r="L48" s="227"/>
      <c r="M48" s="229">
        <f>'PWERM Waterfall n Allocation'!D13</f>
        <v>0</v>
      </c>
      <c r="N48" s="230">
        <f>N$6</f>
        <v>3.5284794520547953</v>
      </c>
      <c r="O48" s="231">
        <f>O$6</f>
        <v>2.6564239726027398E-2</v>
      </c>
      <c r="P48" s="232"/>
      <c r="Q48" s="233">
        <v>0.73399999999999999</v>
      </c>
      <c r="R48" s="227"/>
      <c r="S48" s="234">
        <f>IF(Q48="n/a","n/a",Q48^2)</f>
        <v>0.53875600000000001</v>
      </c>
      <c r="T48" s="234">
        <f>IF(OR(K48="n/a",S48="n/a"),"n/a",IF(H48=0,0,IF(M48=0,(LN(K48/H48)+((O48+(S48/2))*N48))/((S48*N48)^0.5),(LN(K48/H48)+((O48-M48+(S48/2))*N48))/((S48*N48)^0.5))))</f>
        <v>0</v>
      </c>
      <c r="U48" s="235">
        <f>IF(T48="n/a","n/a",IF(H48=0,0,T48-(S48*N48)^0.5))</f>
        <v>0</v>
      </c>
      <c r="V48" s="235">
        <f>IF(OR(T48="n/a",S48="n/a"),"n/a",IF(H48=0,0,NORMSDIST(T48)))</f>
        <v>0</v>
      </c>
      <c r="W48" s="235">
        <f>IF(OR(U48="n/a",S48="n/a"),"n/a",IF(H48=0,0,NORMSDIST(U48)))</f>
        <v>0</v>
      </c>
      <c r="X48" s="235">
        <f>IF(OR(K48="n/a",S48="n/a"),"n/a",IF(M48=0,(K48*V48)-((H48*EXP(1)^(-O48*N48))*W48),(K48*(2.718^(-M48*N48))*V48)-(H48*(2.718^(-O48*N48))*W48)))</f>
        <v>0</v>
      </c>
      <c r="Y48" s="236">
        <f>IF(LEN(B48)&gt;0,IF(H48=0,Q48,IF(ISERROR(Q48/((K48/X48)*V48)),"n/a",Q48/((K48/X48)*V48))))</f>
        <v>0.73399999999999999</v>
      </c>
    </row>
    <row r="49" spans="1:25" ht="12.75" customHeight="1">
      <c r="C49" s="78"/>
      <c r="D49" s="78"/>
      <c r="E49" s="78"/>
      <c r="F49" s="78"/>
      <c r="G49" s="78"/>
      <c r="H49" s="78"/>
      <c r="I49" s="78"/>
      <c r="J49" s="78"/>
    </row>
    <row r="50" spans="1:25" ht="12.75" hidden="1" customHeight="1" outlineLevel="1">
      <c r="B50" s="226" t="str">
        <f>B48</f>
        <v>Kallyope, Inc.</v>
      </c>
      <c r="C50" s="480" t="s">
        <v>209</v>
      </c>
      <c r="D50" s="1753">
        <f>D48</f>
        <v>245.41104938361443</v>
      </c>
      <c r="E50" s="1754">
        <f>PWERM!B131/1000+E48</f>
        <v>64.359807910807731</v>
      </c>
      <c r="F50" s="227"/>
      <c r="G50" s="227"/>
      <c r="H50" s="228">
        <v>0</v>
      </c>
      <c r="I50" s="230">
        <f>I48</f>
        <v>245.41104938361443</v>
      </c>
      <c r="J50" s="227"/>
      <c r="K50" s="237">
        <f>K48</f>
        <v>245.41104938361443</v>
      </c>
      <c r="L50" s="227"/>
      <c r="M50" s="238">
        <f>M48</f>
        <v>0</v>
      </c>
      <c r="N50" s="230">
        <f>N$6</f>
        <v>3.5284794520547953</v>
      </c>
      <c r="O50" s="231">
        <f>O$6</f>
        <v>2.6564239726027398E-2</v>
      </c>
      <c r="P50" s="232"/>
      <c r="Q50" s="233">
        <v>0.73399999999999999</v>
      </c>
      <c r="R50" s="227"/>
      <c r="S50" s="234">
        <f>IF(Q50="n/a","n/a",Q50^2)</f>
        <v>0.53875600000000001</v>
      </c>
      <c r="T50" s="234">
        <f>IF(OR(K50="n/a",S50="n/a"),"n/a",IF(H50=0,0,IF(M50=0,(LN(K50/H50)+((O50+(S50/2))*N50))/((S50*N50)^0.5),(LN(K50/H50)+((O50-M50+(S50/2))*N50))/((S50*N50)^0.5))))</f>
        <v>0</v>
      </c>
      <c r="U50" s="235">
        <f>IF(T50="n/a","n/a",IF(H50=0,0,T50-(S50*N50)^0.5))</f>
        <v>0</v>
      </c>
      <c r="V50" s="235">
        <f>IF(OR(T50="n/a",S50="n/a"),"n/a",IF(H50=0,0,NORMSDIST(T50)))</f>
        <v>0</v>
      </c>
      <c r="W50" s="235">
        <f>IF(OR(U50="n/a",S50="n/a"),"n/a",IF(H50=0,0,NORMSDIST(U50)))</f>
        <v>0</v>
      </c>
      <c r="X50" s="235">
        <f>IF(OR(K50="n/a",S50="n/a"),"n/a",IF(M50=0,(K50*V50)-((H50*EXP(1)^(-O50*N50))*W50),(K50*(2.718^(-M50*N50))*V50)-(H50*(2.718^(-O50*N50))*W50)))</f>
        <v>0</v>
      </c>
      <c r="Y50" s="236">
        <f>IF(LEN(B50)&gt;0,IF(H50=0,Q50,IF(ISERROR(Q50/((K50/X50)*V50)),"n/a",Q50/((K50/X50)*V50))))</f>
        <v>0.73399999999999999</v>
      </c>
    </row>
    <row r="51" spans="1:25" ht="12.75" hidden="1" customHeight="1" outlineLevel="1"/>
    <row r="52" spans="1:25" ht="12.75" customHeight="1" collapsed="1">
      <c r="B52" s="8" t="s">
        <v>86</v>
      </c>
    </row>
    <row r="53" spans="1:25" ht="12.75" customHeight="1">
      <c r="A53" s="718" t="s">
        <v>210</v>
      </c>
      <c r="B53" s="17" t="s">
        <v>837</v>
      </c>
    </row>
    <row r="54" spans="1:25" s="78" customFormat="1" ht="12.75" customHeight="1">
      <c r="A54" s="719" t="s">
        <v>209</v>
      </c>
      <c r="B54" s="1752" t="s">
        <v>838</v>
      </c>
      <c r="P54" s="21"/>
    </row>
    <row r="55" spans="1:25" ht="12.75" customHeight="1"/>
    <row r="56" spans="1:25" ht="12.75" customHeight="1">
      <c r="B56" s="8" t="s">
        <v>116</v>
      </c>
    </row>
    <row r="57" spans="1:25" ht="12.75" customHeight="1"/>
    <row r="58" spans="1:25" ht="12.75" customHeight="1">
      <c r="B58" s="405" t="s">
        <v>1244</v>
      </c>
    </row>
    <row r="59" spans="1:25">
      <c r="B59" s="405" t="s">
        <v>1245</v>
      </c>
    </row>
    <row r="60" spans="1:25">
      <c r="B60" s="405" t="s">
        <v>1246</v>
      </c>
    </row>
    <row r="61" spans="1:25">
      <c r="B61" s="405" t="s">
        <v>1247</v>
      </c>
    </row>
    <row r="62" spans="1:25">
      <c r="B62" s="405" t="s">
        <v>1248</v>
      </c>
    </row>
    <row r="63" spans="1:25">
      <c r="B63" s="405" t="s">
        <v>1249</v>
      </c>
    </row>
    <row r="64" spans="1:25">
      <c r="B64" s="405" t="s">
        <v>1250</v>
      </c>
    </row>
    <row r="66" spans="2:2">
      <c r="B66" s="405" t="s">
        <v>1251</v>
      </c>
    </row>
    <row r="67" spans="2:2">
      <c r="B67" s="405" t="s">
        <v>1252</v>
      </c>
    </row>
    <row r="68" spans="2:2">
      <c r="B68" s="405" t="s">
        <v>1253</v>
      </c>
    </row>
    <row r="69" spans="2:2">
      <c r="B69" s="405" t="s">
        <v>1254</v>
      </c>
    </row>
    <row r="70" spans="2:2">
      <c r="B70" s="405" t="s">
        <v>1255</v>
      </c>
    </row>
    <row r="71" spans="2:2">
      <c r="B71" s="405" t="s">
        <v>1256</v>
      </c>
    </row>
  </sheetData>
  <conditionalFormatting sqref="B10:B39">
    <cfRule type="cellIs" dxfId="126" priority="9" operator="equal">
      <formula>"(Invalid Identifier)"</formula>
    </cfRule>
  </conditionalFormatting>
  <conditionalFormatting sqref="C4:I4">
    <cfRule type="cellIs" dxfId="125" priority="8" stopIfTrue="1" operator="equal">
      <formula>"input"</formula>
    </cfRule>
  </conditionalFormatting>
  <conditionalFormatting sqref="J4">
    <cfRule type="cellIs" dxfId="124" priority="6" stopIfTrue="1" operator="equal">
      <formula>"input"</formula>
    </cfRule>
  </conditionalFormatting>
  <conditionalFormatting sqref="J4">
    <cfRule type="cellIs" dxfId="123" priority="7" stopIfTrue="1" operator="equal">
      <formula>"input"</formula>
    </cfRule>
  </conditionalFormatting>
  <conditionalFormatting sqref="K4:X4">
    <cfRule type="cellIs" dxfId="122" priority="4" stopIfTrue="1" operator="equal">
      <formula>"input"</formula>
    </cfRule>
  </conditionalFormatting>
  <conditionalFormatting sqref="K4:X4">
    <cfRule type="cellIs" dxfId="121" priority="5" stopIfTrue="1" operator="equal">
      <formula>"input"</formula>
    </cfRule>
  </conditionalFormatting>
  <conditionalFormatting sqref="Y4">
    <cfRule type="cellIs" dxfId="120" priority="2" stopIfTrue="1" operator="equal">
      <formula>"input"</formula>
    </cfRule>
  </conditionalFormatting>
  <conditionalFormatting sqref="Y4">
    <cfRule type="cellIs" dxfId="119" priority="3" stopIfTrue="1" operator="equal">
      <formula>"input"</formula>
    </cfRule>
  </conditionalFormatting>
  <conditionalFormatting sqref="B4">
    <cfRule type="cellIs" dxfId="118" priority="1" stopIfTrue="1" operator="equal">
      <formula>"input"</formula>
    </cfRule>
  </conditionalFormatting>
  <pageMargins left="0.5" right="0.5" top="0.5" bottom="0.5" header="0.5" footer="0.5"/>
  <pageSetup scale="74" fitToWidth="0" fitToHeight="0" orientation="landscape" r:id="rId1"/>
  <legacyDrawingHF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I71"/>
  <sheetViews>
    <sheetView showGridLines="0" view="pageBreakPreview" topLeftCell="A10" zoomScale="85" zoomScaleNormal="100" zoomScaleSheetLayoutView="85" workbookViewId="0">
      <selection activeCell="Q50" sqref="Q50"/>
    </sheetView>
  </sheetViews>
  <sheetFormatPr defaultRowHeight="12.75" outlineLevelRow="1" outlineLevelCol="1"/>
  <cols>
    <col min="1" max="1" width="4.5" style="405" customWidth="1"/>
    <col min="2" max="2" width="42.1640625" style="405" customWidth="1"/>
    <col min="3" max="3" width="2.83203125" style="405" customWidth="1"/>
    <col min="4" max="4" width="12.83203125" style="405" customWidth="1"/>
    <col min="5" max="5" width="10.83203125" style="405" hidden="1" customWidth="1" outlineLevel="1"/>
    <col min="6" max="7" width="9.83203125" style="405" hidden="1" customWidth="1" outlineLevel="1"/>
    <col min="8" max="8" width="12.83203125" style="405" customWidth="1" collapsed="1"/>
    <col min="9" max="11" width="12.83203125" style="405" customWidth="1"/>
    <col min="12" max="12" width="2.83203125" style="405" customWidth="1"/>
    <col min="13" max="15" width="12.83203125" style="405" customWidth="1"/>
    <col min="16" max="16" width="2.83203125" style="21" customWidth="1"/>
    <col min="17" max="17" width="12.83203125" style="405" customWidth="1"/>
    <col min="18" max="18" width="2.83203125" style="405" customWidth="1"/>
    <col min="19" max="19" width="11.6640625" style="405" hidden="1" customWidth="1" outlineLevel="1"/>
    <col min="20" max="23" width="8.83203125" style="405" hidden="1" customWidth="1" outlineLevel="1"/>
    <col min="24" max="24" width="12.83203125" style="405" customWidth="1" collapsed="1"/>
    <col min="25" max="25" width="12.83203125" style="405" customWidth="1"/>
    <col min="26" max="26" width="4.5" style="405" customWidth="1"/>
    <col min="27" max="27" width="17.5" style="405" bestFit="1" customWidth="1"/>
    <col min="28" max="28" width="12.33203125" style="405" bestFit="1" customWidth="1"/>
    <col min="29" max="29" width="9.5" style="405" bestFit="1" customWidth="1"/>
    <col min="30" max="30" width="10.1640625" style="405" bestFit="1" customWidth="1"/>
    <col min="31" max="16384" width="9.33203125" style="405"/>
  </cols>
  <sheetData>
    <row r="1" spans="2:35" ht="10.7" customHeight="1" thickBot="1">
      <c r="P1" s="405"/>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AA2" s="303" t="s">
        <v>87</v>
      </c>
      <c r="AB2" s="304">
        <f>+'Comp.1'!$AL$2</f>
        <v>43281</v>
      </c>
    </row>
    <row r="3" spans="2:35"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X3" s="11"/>
      <c r="Y3" s="11"/>
      <c r="AA3" s="201" t="s">
        <v>398</v>
      </c>
      <c r="AB3" s="308" t="str">
        <f>+'Comp.1'!$AL$3</f>
        <v>F</v>
      </c>
    </row>
    <row r="4" spans="2:35" ht="16.5" customHeight="1" thickBot="1">
      <c r="B4" s="12" t="s">
        <v>2591</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201" t="s">
        <v>399</v>
      </c>
      <c r="AB4" s="308" t="str">
        <f>+'Comp.1'!$AL$4</f>
        <v>USD</v>
      </c>
    </row>
    <row r="5" spans="2:35" ht="12.75" customHeight="1" thickTop="1">
      <c r="B5" s="21"/>
      <c r="AA5" s="82" t="s">
        <v>89</v>
      </c>
      <c r="AB5" s="307" t="str">
        <f>+'Comp.1'!$AL$5</f>
        <v>H</v>
      </c>
    </row>
    <row r="6" spans="2:35" ht="12.75" hidden="1" customHeight="1" outlineLevel="1">
      <c r="N6" s="210">
        <f>'OPM 1_Series B'!Q16</f>
        <v>4.0484794520547958</v>
      </c>
      <c r="O6" s="211">
        <f>'Risk-Free Rates_OPM'!E36</f>
        <v>2.6741664383561646E-2</v>
      </c>
      <c r="Q6" s="212">
        <f>HLOOKUP(ROUND(N6,0),'Equity Vol'!$D$8:$K$8,1,TRUE)</f>
        <v>4</v>
      </c>
    </row>
    <row r="7" spans="2:35" ht="25.5" customHeight="1" collapsed="1">
      <c r="D7" s="198" t="s">
        <v>91</v>
      </c>
      <c r="E7" s="199"/>
      <c r="F7" s="199"/>
      <c r="G7" s="199"/>
      <c r="H7" s="199"/>
      <c r="I7" s="199"/>
      <c r="J7" s="199"/>
      <c r="K7" s="200"/>
      <c r="M7" s="198" t="s">
        <v>92</v>
      </c>
      <c r="N7" s="199"/>
      <c r="O7" s="199"/>
      <c r="P7" s="213"/>
      <c r="Q7" s="200"/>
      <c r="S7" s="198" t="s">
        <v>93</v>
      </c>
      <c r="T7" s="199"/>
      <c r="U7" s="199"/>
      <c r="V7" s="199"/>
      <c r="W7" s="199"/>
      <c r="X7" s="986" t="s">
        <v>93</v>
      </c>
      <c r="Y7" s="987"/>
    </row>
    <row r="8" spans="2:35" s="6" customFormat="1" ht="43.5" customHeight="1">
      <c r="B8" s="481" t="s">
        <v>633</v>
      </c>
      <c r="D8" s="612" t="s">
        <v>94</v>
      </c>
      <c r="E8" s="613" t="s">
        <v>95</v>
      </c>
      <c r="F8" s="613" t="s">
        <v>96</v>
      </c>
      <c r="G8" s="613" t="s">
        <v>97</v>
      </c>
      <c r="H8" s="613" t="s">
        <v>98</v>
      </c>
      <c r="I8" s="613" t="s">
        <v>99</v>
      </c>
      <c r="J8" s="613" t="s">
        <v>100</v>
      </c>
      <c r="K8" s="614" t="s">
        <v>101</v>
      </c>
      <c r="L8" s="330"/>
      <c r="M8" s="612" t="s">
        <v>73</v>
      </c>
      <c r="N8" s="613" t="s">
        <v>102</v>
      </c>
      <c r="O8" s="614" t="s">
        <v>72</v>
      </c>
      <c r="P8" s="599"/>
      <c r="Q8" s="615" t="s">
        <v>103</v>
      </c>
      <c r="R8" s="599"/>
      <c r="S8" s="612" t="s">
        <v>104</v>
      </c>
      <c r="T8" s="613" t="s">
        <v>84</v>
      </c>
      <c r="U8" s="613" t="s">
        <v>85</v>
      </c>
      <c r="V8" s="613" t="s">
        <v>105</v>
      </c>
      <c r="W8" s="613" t="s">
        <v>106</v>
      </c>
      <c r="X8" s="616" t="s">
        <v>107</v>
      </c>
      <c r="Y8" s="614" t="s">
        <v>645</v>
      </c>
      <c r="AA8" s="87" t="s">
        <v>108</v>
      </c>
      <c r="AB8" s="88" t="s">
        <v>109</v>
      </c>
      <c r="AC8" s="88" t="s">
        <v>110</v>
      </c>
      <c r="AD8" s="89"/>
    </row>
    <row r="9" spans="2:35" ht="12.75" customHeight="1">
      <c r="X9" s="173"/>
    </row>
    <row r="10" spans="2:35" ht="12.75" customHeight="1">
      <c r="B10" s="405" t="str">
        <f>'Comp.1'!B12</f>
        <v>ACADIA Pharmaceuticals Inc.</v>
      </c>
      <c r="D10" s="406">
        <f>'Beta Calc'!K10</f>
        <v>1906.0925500000001</v>
      </c>
      <c r="E10" s="406">
        <f>'Beta Calc'!L10</f>
        <v>0</v>
      </c>
      <c r="F10" s="406">
        <f>'Beta Calc'!M10</f>
        <v>0</v>
      </c>
      <c r="G10" s="406">
        <f>'Beta Calc'!N10</f>
        <v>0</v>
      </c>
      <c r="H10" s="406">
        <f>SUM(E10:G10)</f>
        <v>0</v>
      </c>
      <c r="I10" s="406">
        <f>SUM(D10:G10)</f>
        <v>1906.0925500000001</v>
      </c>
      <c r="J10" s="406">
        <f>'Beta Calc'!Q10</f>
        <v>298.06299999999999</v>
      </c>
      <c r="K10" s="406">
        <f>I10-J10</f>
        <v>1608.0295500000002</v>
      </c>
      <c r="M10" s="56">
        <f>IFERROR('Capital IQ Sheet-GPC'!AT13,"n/a")</f>
        <v>0</v>
      </c>
      <c r="N10" s="406">
        <f t="shared" ref="N10:O24" si="0">N$6</f>
        <v>4.0484794520547958</v>
      </c>
      <c r="O10" s="214">
        <f t="shared" si="0"/>
        <v>2.6741664383561646E-2</v>
      </c>
      <c r="P10" s="215"/>
      <c r="Q10" s="216">
        <f>IFERROR(HLOOKUP($Q$6,'Equity Vol'!$B$8:$K10,ROWS('Equity Vol'!$C$8:$C10),FALSE),"n/a")</f>
        <v>0.60104330440966869</v>
      </c>
      <c r="R10" s="45"/>
      <c r="S10" s="217">
        <f>IFERROR(IF(Q10="n/a","n/a",Q10^2),"n/a")</f>
        <v>0.36125305377569367</v>
      </c>
      <c r="T10" s="217">
        <f t="shared" ref="T10:T24" si="1">IF(OR(K10="n/a",S10="n/a"),"n/a",IF(H10=0,0,IF(M10=0,(LN(K10/H10)+((O10+(S10/2))*N10))/((S10*N10)^0.5),(LN(K10/H10)+((O10-M10+(S10/2))*N10))/((S10*N10)^0.5))))</f>
        <v>0</v>
      </c>
      <c r="U10" s="218">
        <f t="shared" ref="U10:U24" si="2">IF(T10="n/a","n/a",IF(H10=0,0,T10-(S10*N10)^0.5))</f>
        <v>0</v>
      </c>
      <c r="V10" s="218">
        <f t="shared" ref="V10:V24" si="3">IF(OR(T10="n/a",S10="n/a"),"n/a",IF(H10=0,0,NORMSDIST(T10)))</f>
        <v>0</v>
      </c>
      <c r="W10" s="218">
        <f t="shared" ref="W10:W24" si="4">IF(OR(U10="n/a",S10="n/a"),"n/a",IF(H10=0,0,NORMSDIST(U10)))</f>
        <v>0</v>
      </c>
      <c r="X10" s="92">
        <f t="shared" ref="X10:X23" si="5">IF(OR(K10="n/a",S10="n/a"),"n/a",IF(M10=0,(K10*V10)-((H10*EXP(1)^(-O10*N10))*W10),(K10*(2.718^(-M10*N10))*V10)-(H10*(2.718^(-O10*N10))*W10)))</f>
        <v>0</v>
      </c>
      <c r="Y10" s="216">
        <f>IFERROR(IF(LEN(B10)&gt;0,IF(H10=0,Q10,IF(ISERROR(Q10/((K10/X10)*V10)),"n/a",Q10/((K10/X10)*V10)))),"n/a")</f>
        <v>0.60104330440966869</v>
      </c>
      <c r="AA10" s="93" t="str">
        <f>IF('MASTER PubCo Inputs'!B28=0,"",'MASTER PubCo Inputs'!B28)</f>
        <v>NasdaqGS:ACAD</v>
      </c>
      <c r="AB10" s="406">
        <f>'Beta Calc'!Z10</f>
        <v>1608.02955</v>
      </c>
      <c r="AC10" s="94">
        <f t="shared" ref="AC10:AC24" si="6">K10-AB10</f>
        <v>0</v>
      </c>
      <c r="AI10" s="95"/>
    </row>
    <row r="11" spans="2:35" ht="12.75" customHeight="1">
      <c r="B11" s="405" t="str">
        <f>'Comp.1'!B13</f>
        <v>Rhythm Pharmaceuticals, Inc.</v>
      </c>
      <c r="D11" s="406">
        <f>'Beta Calc'!K11</f>
        <v>1066.6532199999999</v>
      </c>
      <c r="E11" s="406">
        <f>'Beta Calc'!L11</f>
        <v>0</v>
      </c>
      <c r="F11" s="406">
        <f>'Beta Calc'!M11</f>
        <v>0</v>
      </c>
      <c r="G11" s="406">
        <f>'Beta Calc'!N11</f>
        <v>0</v>
      </c>
      <c r="H11" s="406">
        <f t="shared" ref="H11:H24" si="7">SUM(E11:G11)</f>
        <v>0</v>
      </c>
      <c r="I11" s="406">
        <f t="shared" ref="I11:I24" si="8">SUM(D11:G11)</f>
        <v>1066.6532199999999</v>
      </c>
      <c r="J11" s="406">
        <f>'Beta Calc'!Q11</f>
        <v>136.453</v>
      </c>
      <c r="K11" s="406">
        <f t="shared" ref="K11:K24" si="9">I11-J11</f>
        <v>930.20021999999994</v>
      </c>
      <c r="M11" s="56">
        <f>IFERROR('Capital IQ Sheet-GPC'!AT14,"n/a")</f>
        <v>0</v>
      </c>
      <c r="N11" s="406">
        <f t="shared" si="0"/>
        <v>4.0484794520547958</v>
      </c>
      <c r="O11" s="214">
        <f t="shared" si="0"/>
        <v>2.6741664383561646E-2</v>
      </c>
      <c r="P11" s="215"/>
      <c r="Q11" s="216" t="str">
        <f>IFERROR(HLOOKUP($Q$6,'Equity Vol'!$B$8:$K11,ROWS('Equity Vol'!$C$8:$C11),FALSE),"n/a")</f>
        <v>NM</v>
      </c>
      <c r="R11" s="45"/>
      <c r="S11" s="217" t="str">
        <f t="shared" ref="S11:S24" si="10">IFERROR(IF(Q11="n/a","n/a",Q11^2),"n/a")</f>
        <v>n/a</v>
      </c>
      <c r="T11" s="217" t="str">
        <f t="shared" si="1"/>
        <v>n/a</v>
      </c>
      <c r="U11" s="218" t="str">
        <f t="shared" si="2"/>
        <v>n/a</v>
      </c>
      <c r="V11" s="218" t="str">
        <f t="shared" si="3"/>
        <v>n/a</v>
      </c>
      <c r="W11" s="218" t="str">
        <f t="shared" si="4"/>
        <v>n/a</v>
      </c>
      <c r="X11" s="92" t="str">
        <f t="shared" si="5"/>
        <v>n/a</v>
      </c>
      <c r="Y11" s="216" t="str">
        <f t="shared" ref="Y11:Y24" si="11">IFERROR(IF(LEN(B11)&gt;0,IF(H11=0,Q11,IF(ISERROR(Q11/((K11/X11)*V11)),"n/a",Q11/((K11/X11)*V11)))),"n/a")</f>
        <v>NM</v>
      </c>
      <c r="AA11" s="93" t="str">
        <f>IF('MASTER PubCo Inputs'!B29=0,"",'MASTER PubCo Inputs'!B29)</f>
        <v>NasdaqGM:RYTM</v>
      </c>
      <c r="AB11" s="406">
        <f>'Beta Calc'!Z11</f>
        <v>930.20021999999994</v>
      </c>
      <c r="AC11" s="94">
        <f t="shared" si="6"/>
        <v>0</v>
      </c>
      <c r="AI11" s="95"/>
    </row>
    <row r="12" spans="2:35" ht="12.75" customHeight="1">
      <c r="B12" s="405" t="str">
        <f>'Comp.1'!B14</f>
        <v>Assembly Biosciences, Inc.</v>
      </c>
      <c r="D12" s="406">
        <f>'Beta Calc'!K12</f>
        <v>805.79364999999996</v>
      </c>
      <c r="E12" s="406">
        <f>'Beta Calc'!L12</f>
        <v>0</v>
      </c>
      <c r="F12" s="406">
        <f>'Beta Calc'!M12</f>
        <v>0</v>
      </c>
      <c r="G12" s="406">
        <f>'Beta Calc'!N12</f>
        <v>0</v>
      </c>
      <c r="H12" s="406">
        <f t="shared" si="7"/>
        <v>0</v>
      </c>
      <c r="I12" s="406">
        <f t="shared" si="8"/>
        <v>805.79364999999996</v>
      </c>
      <c r="J12" s="406">
        <f>'Beta Calc'!Q12</f>
        <v>109.15898</v>
      </c>
      <c r="K12" s="406">
        <f t="shared" si="9"/>
        <v>696.63466999999991</v>
      </c>
      <c r="M12" s="56">
        <f>IFERROR('Capital IQ Sheet-GPC'!AT15,"n/a")</f>
        <v>0</v>
      </c>
      <c r="N12" s="406">
        <f t="shared" si="0"/>
        <v>4.0484794520547958</v>
      </c>
      <c r="O12" s="214">
        <f t="shared" si="0"/>
        <v>2.6741664383561646E-2</v>
      </c>
      <c r="P12" s="215"/>
      <c r="Q12" s="216">
        <f>IFERROR(HLOOKUP($Q$6,'Equity Vol'!$B$8:$K12,ROWS('Equity Vol'!$C$8:$C12),FALSE),"n/a")</f>
        <v>0.65170735229916987</v>
      </c>
      <c r="R12" s="45"/>
      <c r="S12" s="217">
        <f t="shared" si="10"/>
        <v>0.4247224730407943</v>
      </c>
      <c r="T12" s="217">
        <f t="shared" si="1"/>
        <v>0</v>
      </c>
      <c r="U12" s="218">
        <f t="shared" si="2"/>
        <v>0</v>
      </c>
      <c r="V12" s="218">
        <f t="shared" si="3"/>
        <v>0</v>
      </c>
      <c r="W12" s="218">
        <f t="shared" si="4"/>
        <v>0</v>
      </c>
      <c r="X12" s="92">
        <f t="shared" si="5"/>
        <v>0</v>
      </c>
      <c r="Y12" s="216">
        <f t="shared" si="11"/>
        <v>0.65170735229916987</v>
      </c>
      <c r="AA12" s="93" t="str">
        <f>IF('MASTER PubCo Inputs'!B30=0,"",'MASTER PubCo Inputs'!B30)</f>
        <v>NasdaqCM:ASMB</v>
      </c>
      <c r="AB12" s="406">
        <f>'Beta Calc'!Z12</f>
        <v>696.63467000000003</v>
      </c>
      <c r="AC12" s="94">
        <f t="shared" si="6"/>
        <v>0</v>
      </c>
      <c r="AI12" s="95"/>
    </row>
    <row r="13" spans="2:35" ht="12.75" customHeight="1">
      <c r="B13" s="405" t="str">
        <f>'Comp.1'!B15</f>
        <v>Voyager Therapeutics, Inc.</v>
      </c>
      <c r="D13" s="406">
        <f>'Beta Calc'!K13</f>
        <v>631.55226000000005</v>
      </c>
      <c r="E13" s="406">
        <f>'Beta Calc'!L13</f>
        <v>0</v>
      </c>
      <c r="F13" s="406">
        <f>'Beta Calc'!M13</f>
        <v>0</v>
      </c>
      <c r="G13" s="406">
        <f>'Beta Calc'!N13</f>
        <v>0</v>
      </c>
      <c r="H13" s="406">
        <f t="shared" si="7"/>
        <v>0</v>
      </c>
      <c r="I13" s="406">
        <f t="shared" si="8"/>
        <v>631.55226000000005</v>
      </c>
      <c r="J13" s="406">
        <f>'Beta Calc'!Q13</f>
        <v>218.19800000000001</v>
      </c>
      <c r="K13" s="406">
        <f t="shared" si="9"/>
        <v>413.35426000000007</v>
      </c>
      <c r="M13" s="56">
        <f>IFERROR('Capital IQ Sheet-GPC'!AT16,"n/a")</f>
        <v>0</v>
      </c>
      <c r="N13" s="406">
        <f t="shared" si="0"/>
        <v>4.0484794520547958</v>
      </c>
      <c r="O13" s="214">
        <f t="shared" si="0"/>
        <v>2.6741664383561646E-2</v>
      </c>
      <c r="P13" s="215"/>
      <c r="Q13" s="216">
        <f>IFERROR(HLOOKUP($Q$6,'Equity Vol'!$B$8:$K13,ROWS('Equity Vol'!$C$8:$C13),FALSE),"n/a")</f>
        <v>0.74099767206184253</v>
      </c>
      <c r="R13" s="45"/>
      <c r="S13" s="217">
        <f t="shared" si="10"/>
        <v>0.54907755000106995</v>
      </c>
      <c r="T13" s="217">
        <f t="shared" si="1"/>
        <v>0</v>
      </c>
      <c r="U13" s="218">
        <f t="shared" si="2"/>
        <v>0</v>
      </c>
      <c r="V13" s="218">
        <f t="shared" si="3"/>
        <v>0</v>
      </c>
      <c r="W13" s="218">
        <f t="shared" si="4"/>
        <v>0</v>
      </c>
      <c r="X13" s="92">
        <f t="shared" si="5"/>
        <v>0</v>
      </c>
      <c r="Y13" s="216">
        <f t="shared" si="11"/>
        <v>0.74099767206184253</v>
      </c>
      <c r="AA13" s="93" t="str">
        <f>IF('MASTER PubCo Inputs'!B31=0,"",'MASTER PubCo Inputs'!B31)</f>
        <v>NasdaqGS:VYGR</v>
      </c>
      <c r="AB13" s="406">
        <f>'Beta Calc'!Z13</f>
        <v>413.35426000000001</v>
      </c>
      <c r="AC13" s="94">
        <f t="shared" si="6"/>
        <v>0</v>
      </c>
      <c r="AI13" s="95"/>
    </row>
    <row r="14" spans="2:35" ht="12.75" customHeight="1">
      <c r="B14" s="405" t="str">
        <f>'Comp.1'!B16</f>
        <v>Zafgen, Inc.</v>
      </c>
      <c r="D14" s="406">
        <f>'Beta Calc'!K14</f>
        <v>363.76737000000003</v>
      </c>
      <c r="E14" s="406">
        <f>'Beta Calc'!L14</f>
        <v>20.16</v>
      </c>
      <c r="F14" s="406">
        <f>'Beta Calc'!M14</f>
        <v>0</v>
      </c>
      <c r="G14" s="406">
        <f>'Beta Calc'!N14</f>
        <v>0</v>
      </c>
      <c r="H14" s="406">
        <f t="shared" si="7"/>
        <v>20.16</v>
      </c>
      <c r="I14" s="406">
        <f t="shared" si="8"/>
        <v>383.92737000000005</v>
      </c>
      <c r="J14" s="406">
        <f>'Beta Calc'!Q14</f>
        <v>89.07</v>
      </c>
      <c r="K14" s="406">
        <f t="shared" si="9"/>
        <v>294.85737000000006</v>
      </c>
      <c r="M14" s="56">
        <f>IFERROR('Capital IQ Sheet-GPC'!AT17,"n/a")</f>
        <v>0</v>
      </c>
      <c r="N14" s="406">
        <f t="shared" si="0"/>
        <v>4.0484794520547958</v>
      </c>
      <c r="O14" s="214">
        <f t="shared" si="0"/>
        <v>2.6741664383561646E-2</v>
      </c>
      <c r="P14" s="215"/>
      <c r="Q14" s="216">
        <f>IFERROR(HLOOKUP($Q$6,'Equity Vol'!$B$8:$K14,ROWS('Equity Vol'!$C$8:$C14),FALSE),"n/a")</f>
        <v>1.020360192619892</v>
      </c>
      <c r="R14" s="45"/>
      <c r="S14" s="217">
        <f t="shared" si="10"/>
        <v>1.0411349226833031</v>
      </c>
      <c r="T14" s="217">
        <f t="shared" si="1"/>
        <v>2.3859923590028798</v>
      </c>
      <c r="U14" s="218">
        <f t="shared" si="2"/>
        <v>0.33294259309363339</v>
      </c>
      <c r="V14" s="218">
        <f t="shared" si="3"/>
        <v>0.99148344752133477</v>
      </c>
      <c r="W14" s="218">
        <f t="shared" si="4"/>
        <v>0.63041119140570934</v>
      </c>
      <c r="X14" s="92">
        <f t="shared" si="5"/>
        <v>280.94117298303678</v>
      </c>
      <c r="Y14" s="216">
        <f t="shared" si="11"/>
        <v>0.98055383541461716</v>
      </c>
      <c r="AA14" s="93" t="str">
        <f>IF('MASTER PubCo Inputs'!B32=0,"",'MASTER PubCo Inputs'!B32)</f>
        <v>NasdaqGS:ZFGN</v>
      </c>
      <c r="AB14" s="406">
        <f>'Beta Calc'!Z14</f>
        <v>294.85737</v>
      </c>
      <c r="AC14" s="94">
        <f t="shared" si="6"/>
        <v>0</v>
      </c>
      <c r="AI14" s="95"/>
    </row>
    <row r="15" spans="2:35" ht="12.75" customHeight="1">
      <c r="B15" s="405" t="str">
        <f>'Comp.1'!B17</f>
        <v>Seres Therapeutics, Inc.</v>
      </c>
      <c r="D15" s="406">
        <f>'Beta Calc'!K15</f>
        <v>349.61295000000001</v>
      </c>
      <c r="E15" s="406">
        <f>'Beta Calc'!L15</f>
        <v>0</v>
      </c>
      <c r="F15" s="406">
        <f>'Beta Calc'!M15</f>
        <v>0</v>
      </c>
      <c r="G15" s="406">
        <f>'Beta Calc'!N15</f>
        <v>0</v>
      </c>
      <c r="H15" s="406">
        <f t="shared" si="7"/>
        <v>0</v>
      </c>
      <c r="I15" s="406">
        <f t="shared" si="8"/>
        <v>349.61295000000001</v>
      </c>
      <c r="J15" s="406">
        <f>'Beta Calc'!Q15</f>
        <v>122.194</v>
      </c>
      <c r="K15" s="406">
        <f t="shared" si="9"/>
        <v>227.41895</v>
      </c>
      <c r="M15" s="56">
        <f>IFERROR('Capital IQ Sheet-GPC'!AT18,"n/a")</f>
        <v>0</v>
      </c>
      <c r="N15" s="406">
        <f t="shared" si="0"/>
        <v>4.0484794520547958</v>
      </c>
      <c r="O15" s="214">
        <f t="shared" si="0"/>
        <v>2.6741664383561646E-2</v>
      </c>
      <c r="P15" s="215"/>
      <c r="Q15" s="216">
        <f>IFERROR(HLOOKUP($Q$6,'Equity Vol'!$B$8:$K15,ROWS('Equity Vol'!$C$8:$C15),FALSE),"n/a")</f>
        <v>0.95360103062997992</v>
      </c>
      <c r="R15" s="45"/>
      <c r="S15" s="217">
        <f t="shared" si="10"/>
        <v>0.90935492561855991</v>
      </c>
      <c r="T15" s="217">
        <f t="shared" si="1"/>
        <v>0</v>
      </c>
      <c r="U15" s="218">
        <f t="shared" si="2"/>
        <v>0</v>
      </c>
      <c r="V15" s="218">
        <f t="shared" si="3"/>
        <v>0</v>
      </c>
      <c r="W15" s="218">
        <f t="shared" si="4"/>
        <v>0</v>
      </c>
      <c r="X15" s="92">
        <f t="shared" si="5"/>
        <v>0</v>
      </c>
      <c r="Y15" s="216">
        <f t="shared" si="11"/>
        <v>0.95360103062997992</v>
      </c>
      <c r="AA15" s="93" t="str">
        <f>IF('MASTER PubCo Inputs'!B33=0,"",'MASTER PubCo Inputs'!B33)</f>
        <v>NasdaqGS:MCRB</v>
      </c>
      <c r="AB15" s="406">
        <f>'Beta Calc'!Z15</f>
        <v>227.41893999999999</v>
      </c>
      <c r="AC15" s="94">
        <f t="shared" si="6"/>
        <v>1.0000000003174137E-5</v>
      </c>
      <c r="AI15" s="95"/>
    </row>
    <row r="16" spans="2:35" ht="12.75" customHeight="1">
      <c r="B16" s="405" t="str">
        <f>'Comp.1'!B18</f>
        <v>CohBar, Inc.</v>
      </c>
      <c r="D16" s="406">
        <f>'Beta Calc'!K16</f>
        <v>211.81835000000001</v>
      </c>
      <c r="E16" s="406">
        <f>'Beta Calc'!L16</f>
        <v>1.40126</v>
      </c>
      <c r="F16" s="406">
        <f>'Beta Calc'!M16</f>
        <v>0</v>
      </c>
      <c r="G16" s="406">
        <f>'Beta Calc'!N16</f>
        <v>0</v>
      </c>
      <c r="H16" s="406">
        <f t="shared" si="7"/>
        <v>1.40126</v>
      </c>
      <c r="I16" s="406">
        <f t="shared" si="8"/>
        <v>213.21961000000002</v>
      </c>
      <c r="J16" s="406">
        <f>'Beta Calc'!Q16</f>
        <v>8.4566599999999994</v>
      </c>
      <c r="K16" s="406">
        <f t="shared" si="9"/>
        <v>204.76295000000002</v>
      </c>
      <c r="M16" s="56">
        <f>IFERROR('Capital IQ Sheet-GPC'!AT19,"n/a")</f>
        <v>0</v>
      </c>
      <c r="N16" s="406">
        <f t="shared" si="0"/>
        <v>4.0484794520547958</v>
      </c>
      <c r="O16" s="214">
        <f t="shared" si="0"/>
        <v>2.6741664383561646E-2</v>
      </c>
      <c r="P16" s="215"/>
      <c r="Q16" s="216">
        <f>IFERROR(HLOOKUP($Q$6,'Equity Vol'!$B$8:$K16,ROWS('Equity Vol'!$C$8:$C16),FALSE),"n/a")</f>
        <v>0.89467871227668438</v>
      </c>
      <c r="R16" s="45"/>
      <c r="S16" s="217">
        <f t="shared" si="10"/>
        <v>0.80044999820106622</v>
      </c>
      <c r="T16" s="217">
        <f t="shared" si="1"/>
        <v>3.7291221370927832</v>
      </c>
      <c r="U16" s="218">
        <f t="shared" si="2"/>
        <v>1.9289539865817498</v>
      </c>
      <c r="V16" s="218">
        <f t="shared" si="3"/>
        <v>0.99990392599656619</v>
      </c>
      <c r="W16" s="218">
        <f t="shared" si="4"/>
        <v>0.97313171261087816</v>
      </c>
      <c r="X16" s="92">
        <f t="shared" si="5"/>
        <v>203.51958511877234</v>
      </c>
      <c r="Y16" s="216">
        <f t="shared" si="11"/>
        <v>0.88933147143245883</v>
      </c>
      <c r="AA16" s="93" t="str">
        <f>IF('MASTER PubCo Inputs'!B34=0,"",'MASTER PubCo Inputs'!B34)</f>
        <v>TSXV:COB.U</v>
      </c>
      <c r="AB16" s="406">
        <f>'Beta Calc'!Z16</f>
        <v>204.76295999999999</v>
      </c>
      <c r="AC16" s="94">
        <f t="shared" si="6"/>
        <v>-9.9999999747524271E-6</v>
      </c>
      <c r="AI16" s="95"/>
    </row>
    <row r="17" spans="2:35" ht="12.75" customHeight="1">
      <c r="B17" s="405" t="str">
        <f>'Comp.1'!B19</f>
        <v>VIVUS, Inc.</v>
      </c>
      <c r="D17" s="406">
        <f>'Beta Calc'!K17</f>
        <v>74.768140000000002</v>
      </c>
      <c r="E17" s="406">
        <f>'Beta Calc'!L17</f>
        <v>236.50700000000001</v>
      </c>
      <c r="F17" s="406">
        <f>'Beta Calc'!M17</f>
        <v>0</v>
      </c>
      <c r="G17" s="406">
        <f>'Beta Calc'!N17</f>
        <v>0</v>
      </c>
      <c r="H17" s="406">
        <f t="shared" si="7"/>
        <v>236.50700000000001</v>
      </c>
      <c r="I17" s="406">
        <f t="shared" si="8"/>
        <v>311.27514000000002</v>
      </c>
      <c r="J17" s="406">
        <f>'Beta Calc'!Q17</f>
        <v>209.125</v>
      </c>
      <c r="K17" s="406">
        <f t="shared" si="9"/>
        <v>102.15014000000002</v>
      </c>
      <c r="M17" s="56">
        <f>IFERROR('Capital IQ Sheet-GPC'!AT20,"n/a")</f>
        <v>0</v>
      </c>
      <c r="N17" s="406">
        <f t="shared" si="0"/>
        <v>4.0484794520547958</v>
      </c>
      <c r="O17" s="214">
        <f t="shared" si="0"/>
        <v>2.6741664383561646E-2</v>
      </c>
      <c r="P17" s="215"/>
      <c r="Q17" s="216">
        <f>IFERROR(HLOOKUP($Q$6,'Equity Vol'!$B$8:$K17,ROWS('Equity Vol'!$C$8:$C17),FALSE),"n/a")</f>
        <v>0.65477238914194269</v>
      </c>
      <c r="R17" s="45"/>
      <c r="S17" s="217">
        <f t="shared" si="10"/>
        <v>0.42872688158264766</v>
      </c>
      <c r="T17" s="217">
        <f t="shared" si="1"/>
        <v>0.10366561374454515</v>
      </c>
      <c r="U17" s="218">
        <f t="shared" si="2"/>
        <v>-1.2137910157620504</v>
      </c>
      <c r="V17" s="218">
        <f t="shared" si="3"/>
        <v>0.54128264207881149</v>
      </c>
      <c r="W17" s="218">
        <f t="shared" si="4"/>
        <v>0.11241376897412594</v>
      </c>
      <c r="X17" s="92">
        <f t="shared" si="5"/>
        <v>31.43347050641027</v>
      </c>
      <c r="Y17" s="216">
        <f t="shared" si="11"/>
        <v>0.37223707275707546</v>
      </c>
      <c r="AA17" s="93" t="str">
        <f>IF('MASTER PubCo Inputs'!B35=0,"",'MASTER PubCo Inputs'!B35)</f>
        <v>NasdaqGS:VVUS</v>
      </c>
      <c r="AB17" s="406">
        <f>'Beta Calc'!Z17</f>
        <v>102.15013999999999</v>
      </c>
      <c r="AC17" s="94">
        <f t="shared" si="6"/>
        <v>0</v>
      </c>
      <c r="AI17" s="95"/>
    </row>
    <row r="18" spans="2:35" ht="12.75" customHeight="1">
      <c r="B18" s="405" t="str">
        <f>'Comp.1'!B20</f>
        <v>Anavex Life Sciences Corp.</v>
      </c>
      <c r="D18" s="406">
        <f>'Beta Calc'!K18</f>
        <v>117.00936</v>
      </c>
      <c r="E18" s="406">
        <f>'Beta Calc'!L18</f>
        <v>0</v>
      </c>
      <c r="F18" s="406">
        <f>'Beta Calc'!M18</f>
        <v>0</v>
      </c>
      <c r="G18" s="406">
        <f>'Beta Calc'!N18</f>
        <v>0</v>
      </c>
      <c r="H18" s="406">
        <f t="shared" si="7"/>
        <v>0</v>
      </c>
      <c r="I18" s="406">
        <f t="shared" si="8"/>
        <v>117.00936</v>
      </c>
      <c r="J18" s="406">
        <f>'Beta Calc'!Q18</f>
        <v>25.656580000000002</v>
      </c>
      <c r="K18" s="406">
        <f t="shared" si="9"/>
        <v>91.352779999999996</v>
      </c>
      <c r="M18" s="56">
        <f>IFERROR('Capital IQ Sheet-GPC'!AT21,"n/a")</f>
        <v>0</v>
      </c>
      <c r="N18" s="406">
        <f t="shared" si="0"/>
        <v>4.0484794520547958</v>
      </c>
      <c r="O18" s="214">
        <f t="shared" si="0"/>
        <v>2.6741664383561646E-2</v>
      </c>
      <c r="P18" s="215"/>
      <c r="Q18" s="216">
        <f>IFERROR(HLOOKUP($Q$6,'Equity Vol'!$B$8:$K18,ROWS('Equity Vol'!$C$8:$C18),FALSE),"n/a")</f>
        <v>1.026754180763048</v>
      </c>
      <c r="R18" s="45"/>
      <c r="S18" s="217">
        <f t="shared" si="10"/>
        <v>1.0542241477143979</v>
      </c>
      <c r="T18" s="217">
        <f t="shared" si="1"/>
        <v>0</v>
      </c>
      <c r="U18" s="218">
        <f t="shared" si="2"/>
        <v>0</v>
      </c>
      <c r="V18" s="218">
        <f t="shared" si="3"/>
        <v>0</v>
      </c>
      <c r="W18" s="218">
        <f t="shared" si="4"/>
        <v>0</v>
      </c>
      <c r="X18" s="92">
        <f t="shared" si="5"/>
        <v>0</v>
      </c>
      <c r="Y18" s="216">
        <f t="shared" si="11"/>
        <v>1.026754180763048</v>
      </c>
      <c r="AA18" s="93" t="str">
        <f>IF('MASTER PubCo Inputs'!B36=0,"",'MASTER PubCo Inputs'!B36)</f>
        <v>NasdaqCM:AVXL</v>
      </c>
      <c r="AB18" s="406">
        <f>'Beta Calc'!Z18</f>
        <v>91.352779999999996</v>
      </c>
      <c r="AC18" s="94">
        <f t="shared" si="6"/>
        <v>0</v>
      </c>
      <c r="AI18" s="95"/>
    </row>
    <row r="19" spans="2:35" ht="12.75" customHeight="1">
      <c r="B19" s="405" t="str">
        <f>'Comp.1'!B21</f>
        <v>OptiBiotix Health plc</v>
      </c>
      <c r="D19" s="406">
        <f>'Beta Calc'!K19</f>
        <v>72.915899999999993</v>
      </c>
      <c r="E19" s="406">
        <f>'Beta Calc'!L19</f>
        <v>0</v>
      </c>
      <c r="F19" s="406">
        <f>'Beta Calc'!M19</f>
        <v>0</v>
      </c>
      <c r="G19" s="406">
        <f>'Beta Calc'!N19</f>
        <v>0</v>
      </c>
      <c r="H19" s="406">
        <f t="shared" si="7"/>
        <v>0</v>
      </c>
      <c r="I19" s="406">
        <f t="shared" si="8"/>
        <v>72.915899999999993</v>
      </c>
      <c r="J19" s="406">
        <f>'Beta Calc'!Q19</f>
        <v>1.6849400000000001</v>
      </c>
      <c r="K19" s="406">
        <f t="shared" si="9"/>
        <v>71.230959999999996</v>
      </c>
      <c r="M19" s="56">
        <f>IFERROR('Capital IQ Sheet-GPC'!AT22,"n/a")</f>
        <v>0</v>
      </c>
      <c r="N19" s="406">
        <f t="shared" si="0"/>
        <v>4.0484794520547958</v>
      </c>
      <c r="O19" s="214">
        <f t="shared" si="0"/>
        <v>2.6741664383561646E-2</v>
      </c>
      <c r="P19" s="215"/>
      <c r="Q19" s="216">
        <f>IFERROR(HLOOKUP($Q$6,'Equity Vol'!$B$8:$K19,ROWS('Equity Vol'!$C$8:$C19),FALSE),"n/a")</f>
        <v>0.57731598641262194</v>
      </c>
      <c r="R19" s="45"/>
      <c r="S19" s="217">
        <f t="shared" si="10"/>
        <v>0.33329374816757867</v>
      </c>
      <c r="T19" s="217">
        <f t="shared" si="1"/>
        <v>0</v>
      </c>
      <c r="U19" s="218">
        <f t="shared" si="2"/>
        <v>0</v>
      </c>
      <c r="V19" s="218">
        <f t="shared" si="3"/>
        <v>0</v>
      </c>
      <c r="W19" s="218">
        <f t="shared" si="4"/>
        <v>0</v>
      </c>
      <c r="X19" s="92">
        <f t="shared" si="5"/>
        <v>0</v>
      </c>
      <c r="Y19" s="216">
        <f t="shared" si="11"/>
        <v>0.57731598641262194</v>
      </c>
      <c r="AA19" s="93" t="str">
        <f>IF('MASTER PubCo Inputs'!B37=0,"",'MASTER PubCo Inputs'!B37)</f>
        <v>AIM:OPTI</v>
      </c>
      <c r="AB19" s="406">
        <f>'Beta Calc'!Z19</f>
        <v>71.269909999999996</v>
      </c>
      <c r="AC19" s="94">
        <f t="shared" si="6"/>
        <v>-3.8949999999999818E-2</v>
      </c>
      <c r="AI19" s="95"/>
    </row>
    <row r="20" spans="2:35" ht="12.75" customHeight="1">
      <c r="B20" s="405" t="str">
        <f>'Comp.1'!B22</f>
        <v>Soleno Therapeutics, Inc.</v>
      </c>
      <c r="D20" s="406">
        <f>'Beta Calc'!K20</f>
        <v>46.258000000000003</v>
      </c>
      <c r="E20" s="406">
        <f>'Beta Calc'!L20</f>
        <v>0</v>
      </c>
      <c r="F20" s="406">
        <f>'Beta Calc'!M20</f>
        <v>0</v>
      </c>
      <c r="G20" s="406">
        <f>'Beta Calc'!N20</f>
        <v>0</v>
      </c>
      <c r="H20" s="406">
        <f t="shared" si="7"/>
        <v>0</v>
      </c>
      <c r="I20" s="406">
        <f t="shared" si="8"/>
        <v>46.258000000000003</v>
      </c>
      <c r="J20" s="406">
        <f>'Beta Calc'!Q20</f>
        <v>14.866</v>
      </c>
      <c r="K20" s="406">
        <f t="shared" si="9"/>
        <v>31.392000000000003</v>
      </c>
      <c r="M20" s="56">
        <f>IFERROR('Capital IQ Sheet-GPC'!AT23,"n/a")</f>
        <v>0</v>
      </c>
      <c r="N20" s="406">
        <f t="shared" si="0"/>
        <v>4.0484794520547958</v>
      </c>
      <c r="O20" s="214">
        <f t="shared" si="0"/>
        <v>2.6741664383561646E-2</v>
      </c>
      <c r="P20" s="215"/>
      <c r="Q20" s="216">
        <f>IFERROR(HLOOKUP($Q$6,'Equity Vol'!$B$8:$K20,ROWS('Equity Vol'!$C$8:$C20),FALSE),"n/a")</f>
        <v>1.1508768139771337</v>
      </c>
      <c r="R20" s="45"/>
      <c r="S20" s="217">
        <f t="shared" si="10"/>
        <v>1.3245174409501581</v>
      </c>
      <c r="T20" s="217">
        <f t="shared" si="1"/>
        <v>0</v>
      </c>
      <c r="U20" s="218">
        <f t="shared" si="2"/>
        <v>0</v>
      </c>
      <c r="V20" s="218">
        <f t="shared" si="3"/>
        <v>0</v>
      </c>
      <c r="W20" s="218">
        <f t="shared" si="4"/>
        <v>0</v>
      </c>
      <c r="X20" s="92">
        <f t="shared" si="5"/>
        <v>0</v>
      </c>
      <c r="Y20" s="216">
        <f t="shared" si="11"/>
        <v>1.1508768139771337</v>
      </c>
      <c r="AA20" s="93" t="str">
        <f>IF('MASTER PubCo Inputs'!B38=0,"",'MASTER PubCo Inputs'!B38)</f>
        <v>NasdaqCM:SLNO</v>
      </c>
      <c r="AB20" s="406">
        <f>'Beta Calc'!Z20</f>
        <v>31.391999999999999</v>
      </c>
      <c r="AC20" s="94">
        <f t="shared" si="6"/>
        <v>0</v>
      </c>
      <c r="AI20" s="95"/>
    </row>
    <row r="21" spans="2:35" ht="12.75" customHeight="1">
      <c r="B21" s="405" t="str">
        <f>'Comp.1'!B23</f>
        <v>Synthetic Biologics, Inc.</v>
      </c>
      <c r="D21" s="406">
        <f>'Beta Calc'!K21</f>
        <v>30.72748</v>
      </c>
      <c r="E21" s="406">
        <f>'Beta Calc'!L21</f>
        <v>0</v>
      </c>
      <c r="F21" s="406">
        <f>'Beta Calc'!M21</f>
        <v>12.112</v>
      </c>
      <c r="G21" s="406">
        <f>'Beta Calc'!N21</f>
        <v>-1.923</v>
      </c>
      <c r="H21" s="406">
        <f t="shared" si="7"/>
        <v>10.189</v>
      </c>
      <c r="I21" s="406">
        <f t="shared" si="8"/>
        <v>40.91648</v>
      </c>
      <c r="J21" s="406">
        <f>'Beta Calc'!Q21</f>
        <v>11.037000000000001</v>
      </c>
      <c r="K21" s="406">
        <f t="shared" si="9"/>
        <v>29.879480000000001</v>
      </c>
      <c r="M21" s="56">
        <f>IFERROR('Capital IQ Sheet-GPC'!AT24,"n/a")</f>
        <v>0</v>
      </c>
      <c r="N21" s="406">
        <f t="shared" si="0"/>
        <v>4.0484794520547958</v>
      </c>
      <c r="O21" s="214">
        <f t="shared" si="0"/>
        <v>2.6741664383561646E-2</v>
      </c>
      <c r="P21" s="215"/>
      <c r="Q21" s="216">
        <f>IFERROR(HLOOKUP($Q$6,'Equity Vol'!$B$8:$K21,ROWS('Equity Vol'!$C$8:$C21),FALSE),"n/a")</f>
        <v>0.84691152261417069</v>
      </c>
      <c r="R21" s="45"/>
      <c r="S21" s="217">
        <f t="shared" si="10"/>
        <v>0.71725912713665296</v>
      </c>
      <c r="T21" s="217">
        <f t="shared" si="1"/>
        <v>1.5469150345560081</v>
      </c>
      <c r="U21" s="218">
        <f t="shared" si="2"/>
        <v>-0.1571415484281069</v>
      </c>
      <c r="V21" s="218">
        <f t="shared" si="3"/>
        <v>0.93905813240616098</v>
      </c>
      <c r="W21" s="218">
        <f t="shared" si="4"/>
        <v>0.43756664670721213</v>
      </c>
      <c r="X21" s="92">
        <f t="shared" si="5"/>
        <v>24.057668514209293</v>
      </c>
      <c r="Y21" s="216">
        <f t="shared" si="11"/>
        <v>0.72614953741504473</v>
      </c>
      <c r="AA21" s="93" t="str">
        <f>IF('MASTER PubCo Inputs'!B39=0,"",'MASTER PubCo Inputs'!B39)</f>
        <v>AMEX:SYN</v>
      </c>
      <c r="AB21" s="406">
        <f>'Beta Calc'!Z21</f>
        <v>29.879480000000001</v>
      </c>
      <c r="AC21" s="94">
        <f t="shared" si="6"/>
        <v>0</v>
      </c>
      <c r="AI21" s="95"/>
    </row>
    <row r="22" spans="2:35" ht="12.75" customHeight="1">
      <c r="B22" s="405" t="str">
        <f>'Comp.1'!B24</f>
        <v>Nexus BioPharma, Inc.</v>
      </c>
      <c r="D22" s="406">
        <f>'Beta Calc'!K22</f>
        <v>3.8515700000000002</v>
      </c>
      <c r="E22" s="406">
        <f>'Beta Calc'!L22</f>
        <v>0.36752000000000001</v>
      </c>
      <c r="F22" s="406">
        <f>'Beta Calc'!M22</f>
        <v>0</v>
      </c>
      <c r="G22" s="406">
        <f>'Beta Calc'!N22</f>
        <v>0</v>
      </c>
      <c r="H22" s="406">
        <f t="shared" si="7"/>
        <v>0.36752000000000001</v>
      </c>
      <c r="I22" s="406">
        <f t="shared" si="8"/>
        <v>4.2190900000000005</v>
      </c>
      <c r="J22" s="406">
        <f>'Beta Calc'!Q22</f>
        <v>8.43E-3</v>
      </c>
      <c r="K22" s="406">
        <f t="shared" si="9"/>
        <v>4.2106600000000007</v>
      </c>
      <c r="M22" s="56">
        <f>IFERROR('Capital IQ Sheet-GPC'!AT25,"n/a")</f>
        <v>0</v>
      </c>
      <c r="N22" s="406">
        <f t="shared" si="0"/>
        <v>4.0484794520547958</v>
      </c>
      <c r="O22" s="214">
        <f t="shared" si="0"/>
        <v>2.6741664383561646E-2</v>
      </c>
      <c r="P22" s="215"/>
      <c r="Q22" s="216" t="str">
        <f>IFERROR(HLOOKUP($Q$6,'Equity Vol'!$B$8:$K22,ROWS('Equity Vol'!$C$8:$C22),FALSE),"n/a")</f>
        <v>NM</v>
      </c>
      <c r="R22" s="45"/>
      <c r="S22" s="217" t="str">
        <f t="shared" si="10"/>
        <v>n/a</v>
      </c>
      <c r="T22" s="217" t="str">
        <f t="shared" si="1"/>
        <v>n/a</v>
      </c>
      <c r="U22" s="218" t="str">
        <f t="shared" si="2"/>
        <v>n/a</v>
      </c>
      <c r="V22" s="218" t="str">
        <f t="shared" si="3"/>
        <v>n/a</v>
      </c>
      <c r="W22" s="218" t="str">
        <f t="shared" si="4"/>
        <v>n/a</v>
      </c>
      <c r="X22" s="92" t="str">
        <f t="shared" si="5"/>
        <v>n/a</v>
      </c>
      <c r="Y22" s="216" t="str">
        <f t="shared" si="11"/>
        <v>n/a</v>
      </c>
      <c r="AA22" s="93" t="str">
        <f>IF('MASTER PubCo Inputs'!B40=0,"",'MASTER PubCo Inputs'!B40)</f>
        <v>OTCPK:NEXS</v>
      </c>
      <c r="AB22" s="406">
        <f>'Beta Calc'!Z22</f>
        <v>4.2106599999999998</v>
      </c>
      <c r="AC22" s="94">
        <f t="shared" si="6"/>
        <v>0</v>
      </c>
      <c r="AI22" s="95"/>
    </row>
    <row r="23" spans="2:35" ht="12.75" customHeight="1">
      <c r="B23" s="405" t="str">
        <f>'Comp.1'!B25</f>
        <v>Ritter Pharmaceuticals, Inc.</v>
      </c>
      <c r="D23" s="406">
        <f>'Beta Calc'!K23</f>
        <v>12.90047</v>
      </c>
      <c r="E23" s="406">
        <f>'Beta Calc'!L23</f>
        <v>0</v>
      </c>
      <c r="F23" s="406">
        <f>'Beta Calc'!M23</f>
        <v>4.9489799999999997</v>
      </c>
      <c r="G23" s="406">
        <f>'Beta Calc'!N23</f>
        <v>0</v>
      </c>
      <c r="H23" s="406">
        <f t="shared" si="7"/>
        <v>4.9489799999999997</v>
      </c>
      <c r="I23" s="406">
        <f t="shared" si="8"/>
        <v>17.849450000000001</v>
      </c>
      <c r="J23" s="406">
        <f>'Beta Calc'!Q23</f>
        <v>18.91704</v>
      </c>
      <c r="K23" s="406">
        <f t="shared" si="9"/>
        <v>-1.0675899999999992</v>
      </c>
      <c r="M23" s="56">
        <f>IFERROR('Capital IQ Sheet-GPC'!AT26,"n/a")</f>
        <v>0</v>
      </c>
      <c r="N23" s="406">
        <f t="shared" si="0"/>
        <v>4.0484794520547958</v>
      </c>
      <c r="O23" s="214">
        <f t="shared" si="0"/>
        <v>2.6741664383561646E-2</v>
      </c>
      <c r="P23" s="215"/>
      <c r="Q23" s="216">
        <f>IFERROR(HLOOKUP($Q$6,'Equity Vol'!$B$8:$K23,ROWS('Equity Vol'!$C$8:$C23),FALSE),"n/a")</f>
        <v>0.88587043357810058</v>
      </c>
      <c r="R23" s="45"/>
      <c r="S23" s="217">
        <f t="shared" si="10"/>
        <v>0.78476642508785188</v>
      </c>
      <c r="T23" s="217" t="e">
        <f t="shared" si="1"/>
        <v>#NUM!</v>
      </c>
      <c r="U23" s="218" t="e">
        <f t="shared" si="2"/>
        <v>#NUM!</v>
      </c>
      <c r="V23" s="218" t="e">
        <f t="shared" si="3"/>
        <v>#NUM!</v>
      </c>
      <c r="W23" s="218" t="e">
        <f t="shared" si="4"/>
        <v>#NUM!</v>
      </c>
      <c r="X23" s="92" t="e">
        <f t="shared" si="5"/>
        <v>#NUM!</v>
      </c>
      <c r="Y23" s="216" t="str">
        <f t="shared" si="11"/>
        <v>n/a</v>
      </c>
      <c r="AA23" s="93" t="str">
        <f>IF('MASTER PubCo Inputs'!B41=0,"",'MASTER PubCo Inputs'!B41)</f>
        <v>NasdaqCM:RTTR</v>
      </c>
      <c r="AB23" s="406">
        <f>'Beta Calc'!Z23</f>
        <v>-1.06759</v>
      </c>
      <c r="AC23" s="94">
        <f t="shared" si="6"/>
        <v>0</v>
      </c>
      <c r="AI23" s="95"/>
    </row>
    <row r="24" spans="2:35" ht="12.75" customHeight="1">
      <c r="B24" s="405">
        <f>'Comp.1'!B26</f>
        <v>0</v>
      </c>
      <c r="D24" s="406" t="str">
        <f>'Beta Calc'!K24</f>
        <v>(Invalid Identifier)</v>
      </c>
      <c r="E24" s="406" t="str">
        <f>'Beta Calc'!L24</f>
        <v>(Invalid Identifier)</v>
      </c>
      <c r="F24" s="406" t="str">
        <f>'Beta Calc'!M24</f>
        <v>(Invalid Identifier)</v>
      </c>
      <c r="G24" s="406" t="str">
        <f>'Beta Calc'!N24</f>
        <v>(Invalid Identifier)</v>
      </c>
      <c r="H24" s="406">
        <f t="shared" si="7"/>
        <v>0</v>
      </c>
      <c r="I24" s="406">
        <f t="shared" si="8"/>
        <v>0</v>
      </c>
      <c r="J24" s="406" t="str">
        <f>'Beta Calc'!Q24</f>
        <v>(Invalid Identifier)</v>
      </c>
      <c r="K24" s="406" t="e">
        <f t="shared" si="9"/>
        <v>#VALUE!</v>
      </c>
      <c r="M24" s="56" t="str">
        <f>IFERROR('Capital IQ Sheet-GPC'!AT27,"n/a")</f>
        <v>n/a</v>
      </c>
      <c r="N24" s="406">
        <f t="shared" si="0"/>
        <v>4.0484794520547958</v>
      </c>
      <c r="O24" s="214">
        <f t="shared" si="0"/>
        <v>2.6741664383561646E-2</v>
      </c>
      <c r="P24" s="215"/>
      <c r="Q24" s="216">
        <f>IFERROR(HLOOKUP($Q$6,'Equity Vol'!$B$8:$K23,ROWS('Equity Vol'!$C$8:$C23),FALSE),"n/a")</f>
        <v>0.88587043357810058</v>
      </c>
      <c r="R24" s="45"/>
      <c r="S24" s="217">
        <f t="shared" si="10"/>
        <v>0.78476642508785188</v>
      </c>
      <c r="T24" s="217" t="e">
        <f t="shared" si="1"/>
        <v>#VALUE!</v>
      </c>
      <c r="U24" s="218" t="e">
        <f t="shared" si="2"/>
        <v>#VALUE!</v>
      </c>
      <c r="V24" s="218" t="e">
        <f t="shared" si="3"/>
        <v>#VALUE!</v>
      </c>
      <c r="W24" s="218" t="e">
        <f t="shared" si="4"/>
        <v>#VALUE!</v>
      </c>
      <c r="X24" s="92" t="str">
        <f>IFERROR(IF(OR(K24="n/a",S24="n/a"),"n/a",IF(M24=0,(K24*V24)-((H24*EXP(1)^(-O24*N24))*W24),(K24*(2.718^(-M24*N24))*V24)-(H24*(2.718^(-O24*N24))*W24))),"n/a")</f>
        <v>n/a</v>
      </c>
      <c r="Y24" s="216">
        <f t="shared" si="11"/>
        <v>0.88587043357810058</v>
      </c>
      <c r="AA24" s="93" t="str">
        <f>IF('MASTER PubCo Inputs'!B42=0,"",'MASTER PubCo Inputs'!B42)</f>
        <v>(Invalid Identifier)</v>
      </c>
      <c r="AB24" s="406" t="str">
        <f>'Beta Calc'!Z24</f>
        <v>(Invalid Identifier)</v>
      </c>
      <c r="AC24" s="94" t="e">
        <f t="shared" si="6"/>
        <v>#VALUE!</v>
      </c>
      <c r="AI24" s="95"/>
    </row>
    <row r="25" spans="2:35" ht="12.75" hidden="1" customHeight="1" outlineLevel="1">
      <c r="D25" s="406"/>
      <c r="E25" s="406"/>
      <c r="F25" s="406"/>
      <c r="G25" s="406"/>
      <c r="H25" s="406"/>
      <c r="I25" s="406"/>
      <c r="J25" s="406"/>
      <c r="K25" s="406"/>
      <c r="M25" s="56"/>
      <c r="N25" s="406"/>
      <c r="O25" s="214"/>
      <c r="P25" s="215"/>
      <c r="Q25" s="216"/>
      <c r="R25" s="45"/>
      <c r="S25" s="217"/>
      <c r="T25" s="217"/>
      <c r="U25" s="218"/>
      <c r="V25" s="218"/>
      <c r="W25" s="218"/>
      <c r="X25" s="406"/>
      <c r="Y25" s="216"/>
      <c r="AA25" s="93"/>
      <c r="AB25" s="406"/>
      <c r="AC25" s="94"/>
      <c r="AI25" s="95"/>
    </row>
    <row r="26" spans="2:35" ht="12.75" hidden="1" customHeight="1" outlineLevel="1">
      <c r="D26" s="406"/>
      <c r="E26" s="406"/>
      <c r="F26" s="406"/>
      <c r="G26" s="406"/>
      <c r="H26" s="406"/>
      <c r="I26" s="406"/>
      <c r="J26" s="406"/>
      <c r="K26" s="406"/>
      <c r="M26" s="56"/>
      <c r="N26" s="406"/>
      <c r="O26" s="214"/>
      <c r="P26" s="215"/>
      <c r="Q26" s="216"/>
      <c r="R26" s="45"/>
      <c r="S26" s="217"/>
      <c r="T26" s="217"/>
      <c r="U26" s="218"/>
      <c r="V26" s="218"/>
      <c r="W26" s="218"/>
      <c r="X26" s="406"/>
      <c r="Y26" s="216"/>
      <c r="AA26" s="93"/>
      <c r="AB26" s="406"/>
      <c r="AC26" s="94"/>
      <c r="AI26" s="95"/>
    </row>
    <row r="27" spans="2:35" ht="12.75" hidden="1" customHeight="1" outlineLevel="1">
      <c r="D27" s="406"/>
      <c r="E27" s="406"/>
      <c r="F27" s="406"/>
      <c r="G27" s="406"/>
      <c r="H27" s="406"/>
      <c r="I27" s="406"/>
      <c r="J27" s="406"/>
      <c r="K27" s="406"/>
      <c r="M27" s="56"/>
      <c r="N27" s="406"/>
      <c r="O27" s="214"/>
      <c r="P27" s="215"/>
      <c r="Q27" s="216"/>
      <c r="R27" s="45"/>
      <c r="S27" s="217"/>
      <c r="T27" s="217"/>
      <c r="U27" s="218"/>
      <c r="V27" s="218"/>
      <c r="W27" s="218"/>
      <c r="X27" s="406"/>
      <c r="Y27" s="216"/>
      <c r="AA27" s="93"/>
      <c r="AB27" s="406"/>
      <c r="AC27" s="94"/>
      <c r="AI27" s="95"/>
    </row>
    <row r="28" spans="2:35" ht="12.75" hidden="1" customHeight="1" outlineLevel="1">
      <c r="D28" s="406"/>
      <c r="E28" s="406"/>
      <c r="F28" s="406"/>
      <c r="G28" s="406"/>
      <c r="H28" s="406"/>
      <c r="I28" s="406"/>
      <c r="J28" s="406"/>
      <c r="K28" s="406"/>
      <c r="M28" s="56"/>
      <c r="N28" s="406"/>
      <c r="O28" s="214"/>
      <c r="P28" s="215"/>
      <c r="Q28" s="216"/>
      <c r="R28" s="45"/>
      <c r="S28" s="217"/>
      <c r="T28" s="217"/>
      <c r="U28" s="218"/>
      <c r="V28" s="218"/>
      <c r="W28" s="218"/>
      <c r="X28" s="406"/>
      <c r="Y28" s="216"/>
      <c r="AA28" s="93"/>
      <c r="AB28" s="406"/>
      <c r="AC28" s="94"/>
      <c r="AI28" s="95"/>
    </row>
    <row r="29" spans="2:35" ht="12.75" hidden="1" customHeight="1" outlineLevel="1">
      <c r="D29" s="406"/>
      <c r="E29" s="406"/>
      <c r="F29" s="406"/>
      <c r="G29" s="406"/>
      <c r="H29" s="406"/>
      <c r="I29" s="406"/>
      <c r="J29" s="406"/>
      <c r="K29" s="406"/>
      <c r="M29" s="56"/>
      <c r="N29" s="406"/>
      <c r="O29" s="214"/>
      <c r="P29" s="215"/>
      <c r="Q29" s="216"/>
      <c r="R29" s="45"/>
      <c r="S29" s="217"/>
      <c r="T29" s="217"/>
      <c r="U29" s="218"/>
      <c r="V29" s="218"/>
      <c r="W29" s="218"/>
      <c r="X29" s="406"/>
      <c r="Y29" s="216"/>
      <c r="AA29" s="93"/>
      <c r="AB29" s="406"/>
      <c r="AC29" s="94"/>
      <c r="AI29" s="95"/>
    </row>
    <row r="30" spans="2:35" ht="12.75" hidden="1" customHeight="1" outlineLevel="1">
      <c r="D30" s="406"/>
      <c r="E30" s="406"/>
      <c r="F30" s="406"/>
      <c r="G30" s="406"/>
      <c r="H30" s="406"/>
      <c r="I30" s="406"/>
      <c r="J30" s="406"/>
      <c r="K30" s="406"/>
      <c r="M30" s="56"/>
      <c r="N30" s="406"/>
      <c r="O30" s="214"/>
      <c r="P30" s="215"/>
      <c r="Q30" s="216"/>
      <c r="R30" s="45"/>
      <c r="S30" s="217"/>
      <c r="T30" s="217"/>
      <c r="U30" s="218"/>
      <c r="V30" s="218"/>
      <c r="W30" s="218"/>
      <c r="X30" s="406"/>
      <c r="Y30" s="216"/>
      <c r="AA30" s="93"/>
      <c r="AB30" s="406"/>
      <c r="AC30" s="94"/>
      <c r="AI30" s="95"/>
    </row>
    <row r="31" spans="2:35" ht="12.75" hidden="1" customHeight="1" outlineLevel="1">
      <c r="D31" s="406"/>
      <c r="E31" s="406"/>
      <c r="F31" s="406"/>
      <c r="G31" s="406"/>
      <c r="H31" s="406"/>
      <c r="I31" s="406"/>
      <c r="J31" s="406"/>
      <c r="K31" s="406"/>
      <c r="M31" s="56"/>
      <c r="N31" s="406"/>
      <c r="O31" s="214"/>
      <c r="P31" s="215"/>
      <c r="Q31" s="216"/>
      <c r="R31" s="45"/>
      <c r="S31" s="217"/>
      <c r="T31" s="217"/>
      <c r="U31" s="218"/>
      <c r="V31" s="218"/>
      <c r="W31" s="218"/>
      <c r="X31" s="406"/>
      <c r="Y31" s="216"/>
      <c r="AA31" s="93"/>
      <c r="AB31" s="406"/>
      <c r="AC31" s="94"/>
      <c r="AI31" s="95"/>
    </row>
    <row r="32" spans="2:35" ht="12.75" hidden="1" customHeight="1" outlineLevel="1">
      <c r="D32" s="406"/>
      <c r="E32" s="406"/>
      <c r="F32" s="406"/>
      <c r="G32" s="406"/>
      <c r="H32" s="406"/>
      <c r="I32" s="406"/>
      <c r="J32" s="406"/>
      <c r="K32" s="406"/>
      <c r="M32" s="56"/>
      <c r="N32" s="406"/>
      <c r="O32" s="214"/>
      <c r="P32" s="215"/>
      <c r="Q32" s="216"/>
      <c r="R32" s="45"/>
      <c r="S32" s="217"/>
      <c r="T32" s="217"/>
      <c r="U32" s="218"/>
      <c r="V32" s="218"/>
      <c r="W32" s="218"/>
      <c r="X32" s="406"/>
      <c r="Y32" s="216"/>
      <c r="AA32" s="93"/>
      <c r="AB32" s="406"/>
      <c r="AC32" s="94"/>
      <c r="AI32" s="95"/>
    </row>
    <row r="33" spans="2:35" ht="12.75" hidden="1" customHeight="1" outlineLevel="1">
      <c r="D33" s="406"/>
      <c r="E33" s="406"/>
      <c r="F33" s="406"/>
      <c r="G33" s="406"/>
      <c r="H33" s="406"/>
      <c r="I33" s="406"/>
      <c r="J33" s="406"/>
      <c r="K33" s="406"/>
      <c r="M33" s="56"/>
      <c r="N33" s="406"/>
      <c r="O33" s="214"/>
      <c r="P33" s="215"/>
      <c r="Q33" s="216"/>
      <c r="R33" s="45"/>
      <c r="S33" s="217"/>
      <c r="T33" s="217"/>
      <c r="U33" s="218"/>
      <c r="V33" s="218"/>
      <c r="W33" s="218"/>
      <c r="X33" s="406"/>
      <c r="Y33" s="216"/>
      <c r="AA33" s="93"/>
      <c r="AB33" s="406"/>
      <c r="AC33" s="94"/>
      <c r="AI33" s="95"/>
    </row>
    <row r="34" spans="2:35" ht="12.75" hidden="1" customHeight="1" outlineLevel="1">
      <c r="D34" s="406"/>
      <c r="E34" s="406"/>
      <c r="F34" s="406"/>
      <c r="G34" s="406"/>
      <c r="H34" s="406"/>
      <c r="I34" s="406"/>
      <c r="J34" s="406"/>
      <c r="K34" s="406"/>
      <c r="M34" s="56"/>
      <c r="N34" s="406"/>
      <c r="O34" s="214"/>
      <c r="P34" s="215"/>
      <c r="Q34" s="216"/>
      <c r="R34" s="45"/>
      <c r="S34" s="217"/>
      <c r="T34" s="217"/>
      <c r="U34" s="218"/>
      <c r="V34" s="218"/>
      <c r="W34" s="218"/>
      <c r="X34" s="406"/>
      <c r="Y34" s="216"/>
      <c r="AA34" s="93"/>
      <c r="AB34" s="406"/>
      <c r="AC34" s="94"/>
      <c r="AI34" s="95"/>
    </row>
    <row r="35" spans="2:35" ht="12.75" hidden="1" customHeight="1" outlineLevel="1">
      <c r="D35" s="406"/>
      <c r="E35" s="406"/>
      <c r="F35" s="406"/>
      <c r="G35" s="406"/>
      <c r="H35" s="406"/>
      <c r="I35" s="406"/>
      <c r="J35" s="406"/>
      <c r="K35" s="406"/>
      <c r="M35" s="56"/>
      <c r="N35" s="406"/>
      <c r="O35" s="214"/>
      <c r="P35" s="215"/>
      <c r="Q35" s="216"/>
      <c r="R35" s="45"/>
      <c r="S35" s="217"/>
      <c r="T35" s="217"/>
      <c r="U35" s="218"/>
      <c r="V35" s="218"/>
      <c r="W35" s="218"/>
      <c r="X35" s="406"/>
      <c r="Y35" s="216"/>
      <c r="AA35" s="93"/>
      <c r="AB35" s="406"/>
      <c r="AC35" s="94"/>
      <c r="AI35" s="95"/>
    </row>
    <row r="36" spans="2:35" ht="12.75" hidden="1" customHeight="1" outlineLevel="1">
      <c r="D36" s="406"/>
      <c r="E36" s="406"/>
      <c r="F36" s="406"/>
      <c r="G36" s="406"/>
      <c r="H36" s="406"/>
      <c r="I36" s="406"/>
      <c r="J36" s="406"/>
      <c r="K36" s="406"/>
      <c r="M36" s="56"/>
      <c r="N36" s="406"/>
      <c r="O36" s="214"/>
      <c r="P36" s="215"/>
      <c r="Q36" s="216"/>
      <c r="R36" s="45"/>
      <c r="S36" s="217"/>
      <c r="T36" s="217"/>
      <c r="U36" s="218"/>
      <c r="V36" s="218"/>
      <c r="W36" s="218"/>
      <c r="X36" s="406"/>
      <c r="Y36" s="216"/>
      <c r="AA36" s="93"/>
      <c r="AB36" s="406"/>
      <c r="AC36" s="94"/>
      <c r="AI36" s="95"/>
    </row>
    <row r="37" spans="2:35" ht="12.75" hidden="1" customHeight="1" outlineLevel="1">
      <c r="D37" s="406"/>
      <c r="E37" s="406"/>
      <c r="F37" s="406"/>
      <c r="G37" s="406"/>
      <c r="H37" s="406"/>
      <c r="I37" s="406"/>
      <c r="J37" s="406"/>
      <c r="K37" s="406"/>
      <c r="M37" s="56"/>
      <c r="N37" s="406"/>
      <c r="O37" s="214"/>
      <c r="P37" s="215"/>
      <c r="Q37" s="216"/>
      <c r="R37" s="45"/>
      <c r="S37" s="217"/>
      <c r="T37" s="217"/>
      <c r="U37" s="218"/>
      <c r="V37" s="218"/>
      <c r="W37" s="218"/>
      <c r="X37" s="406"/>
      <c r="Y37" s="216"/>
      <c r="AA37" s="93"/>
      <c r="AB37" s="406"/>
      <c r="AC37" s="94"/>
      <c r="AI37" s="95"/>
    </row>
    <row r="38" spans="2:35" ht="12.75" hidden="1" customHeight="1" outlineLevel="1">
      <c r="D38" s="406"/>
      <c r="E38" s="406"/>
      <c r="F38" s="406"/>
      <c r="G38" s="406"/>
      <c r="H38" s="406"/>
      <c r="I38" s="406"/>
      <c r="J38" s="406"/>
      <c r="K38" s="406"/>
      <c r="M38" s="56"/>
      <c r="N38" s="406"/>
      <c r="O38" s="214"/>
      <c r="P38" s="215"/>
      <c r="Q38" s="216"/>
      <c r="R38" s="45"/>
      <c r="S38" s="217"/>
      <c r="T38" s="217"/>
      <c r="U38" s="218"/>
      <c r="V38" s="218"/>
      <c r="W38" s="218"/>
      <c r="X38" s="406"/>
      <c r="Y38" s="216"/>
      <c r="AA38" s="93"/>
      <c r="AB38" s="406"/>
      <c r="AC38" s="94"/>
      <c r="AI38" s="95"/>
    </row>
    <row r="39" spans="2:35" ht="12.75" hidden="1" customHeight="1" outlineLevel="1">
      <c r="D39" s="406"/>
      <c r="E39" s="406"/>
      <c r="F39" s="406"/>
      <c r="G39" s="406"/>
      <c r="H39" s="406"/>
      <c r="I39" s="406"/>
      <c r="J39" s="406"/>
      <c r="K39" s="406"/>
      <c r="M39" s="56"/>
      <c r="N39" s="406"/>
      <c r="O39" s="214"/>
      <c r="P39" s="215"/>
      <c r="Q39" s="216"/>
      <c r="R39" s="45"/>
      <c r="S39" s="217"/>
      <c r="T39" s="217"/>
      <c r="U39" s="218"/>
      <c r="V39" s="218"/>
      <c r="W39" s="218"/>
      <c r="X39" s="406"/>
      <c r="Y39" s="216"/>
      <c r="AA39" s="93"/>
      <c r="AB39" s="406"/>
      <c r="AC39" s="94"/>
      <c r="AI39" s="95"/>
    </row>
    <row r="40" spans="2:35" ht="12.75" customHeight="1" collapsed="1">
      <c r="D40" s="406"/>
      <c r="E40" s="406"/>
      <c r="F40" s="406"/>
      <c r="G40" s="406"/>
      <c r="H40" s="406"/>
      <c r="I40" s="406"/>
      <c r="J40" s="406"/>
      <c r="K40" s="406"/>
      <c r="R40" s="21"/>
    </row>
    <row r="41" spans="2:35" ht="12.75" customHeight="1">
      <c r="B41" s="766" t="s">
        <v>111</v>
      </c>
      <c r="C41" s="782"/>
      <c r="D41" s="781">
        <f>MAX(D10:D39)</f>
        <v>1906.0925500000001</v>
      </c>
      <c r="E41" s="781">
        <f t="shared" ref="E41:K41" si="12">MAX(E10:E39)</f>
        <v>236.50700000000001</v>
      </c>
      <c r="F41" s="781">
        <f t="shared" si="12"/>
        <v>12.112</v>
      </c>
      <c r="G41" s="781">
        <f t="shared" si="12"/>
        <v>0</v>
      </c>
      <c r="H41" s="781">
        <f t="shared" si="12"/>
        <v>236.50700000000001</v>
      </c>
      <c r="I41" s="781">
        <f t="shared" si="12"/>
        <v>1906.0925500000001</v>
      </c>
      <c r="J41" s="781">
        <f t="shared" si="12"/>
        <v>298.06299999999999</v>
      </c>
      <c r="K41" s="781" t="e">
        <f t="shared" si="12"/>
        <v>#VALUE!</v>
      </c>
      <c r="L41" s="782"/>
      <c r="M41" s="786">
        <f>MAX(M10:M39)</f>
        <v>0</v>
      </c>
      <c r="N41" s="781">
        <f>MAX(N10:N39)</f>
        <v>4.0484794520547958</v>
      </c>
      <c r="O41" s="788">
        <f>MAX(O10:O39)</f>
        <v>2.6741664383561646E-2</v>
      </c>
      <c r="P41" s="789"/>
      <c r="Q41" s="790">
        <f>MAX(Q10:Q39)</f>
        <v>1.1508768139771337</v>
      </c>
      <c r="R41" s="791"/>
      <c r="S41" s="792">
        <f>MAX(S10:S40)</f>
        <v>1.3245174409501581</v>
      </c>
      <c r="T41" s="792" t="e">
        <f>MAX(T10:T40)</f>
        <v>#NUM!</v>
      </c>
      <c r="U41" s="793" t="e">
        <f>MAX(U10:U40)</f>
        <v>#NUM!</v>
      </c>
      <c r="V41" s="793" t="e">
        <f>MAX(V10:V40)</f>
        <v>#NUM!</v>
      </c>
      <c r="W41" s="793" t="e">
        <f>MAX(W10:W40)</f>
        <v>#NUM!</v>
      </c>
      <c r="X41" s="781" t="e">
        <f>MAX(X10:X39)</f>
        <v>#NUM!</v>
      </c>
      <c r="Y41" s="794">
        <f>MAX(Y10:Y39)</f>
        <v>1.1508768139771337</v>
      </c>
      <c r="AB41" s="825">
        <f>+'Asset Vol_DLOM_Implied Series B'!Y48</f>
        <v>0.74099999999999999</v>
      </c>
      <c r="AC41" s="826" t="s">
        <v>1216</v>
      </c>
      <c r="AD41" s="826"/>
      <c r="AE41" s="826"/>
      <c r="AF41" s="803"/>
    </row>
    <row r="42" spans="2:35" ht="12.75" customHeight="1">
      <c r="B42" s="366" t="s">
        <v>115</v>
      </c>
      <c r="C42" s="79"/>
      <c r="D42" s="101">
        <f t="shared" ref="D42:K42" si="13">QUARTILE(D10:D39,3)</f>
        <v>564.60603750000007</v>
      </c>
      <c r="E42" s="101">
        <f t="shared" si="13"/>
        <v>0.27564</v>
      </c>
      <c r="F42" s="101">
        <f t="shared" si="13"/>
        <v>0</v>
      </c>
      <c r="G42" s="101">
        <f t="shared" si="13"/>
        <v>0</v>
      </c>
      <c r="H42" s="101">
        <f t="shared" si="13"/>
        <v>3.1751199999999997</v>
      </c>
      <c r="I42" s="101">
        <f t="shared" si="13"/>
        <v>507.73981500000002</v>
      </c>
      <c r="J42" s="101">
        <f t="shared" si="13"/>
        <v>132.88825</v>
      </c>
      <c r="K42" s="101" t="e">
        <f t="shared" si="13"/>
        <v>#VALUE!</v>
      </c>
      <c r="L42" s="79"/>
      <c r="M42" s="143">
        <f>QUARTILE(M10:M39,3)</f>
        <v>0</v>
      </c>
      <c r="N42" s="101">
        <f>QUARTILE(N10:N39,3)</f>
        <v>4.0484794520547958</v>
      </c>
      <c r="O42" s="219">
        <f>QUARTILE(O10:O39,3)</f>
        <v>2.6741664383561646E-2</v>
      </c>
      <c r="P42" s="220"/>
      <c r="Q42" s="221">
        <f>QUARTILE(Q10:Q39,3)</f>
        <v>0.95360103062997992</v>
      </c>
      <c r="R42" s="222"/>
      <c r="S42" s="223">
        <f>QUARTILE(S10:S40,3)</f>
        <v>0.90935492561855991</v>
      </c>
      <c r="T42" s="223" t="e">
        <f>QUARTILE(T10:T40,3)</f>
        <v>#NUM!</v>
      </c>
      <c r="U42" s="224" t="e">
        <f>QUARTILE(U10:U40,3)</f>
        <v>#NUM!</v>
      </c>
      <c r="V42" s="224" t="e">
        <f>QUARTILE(V10:V40,3)</f>
        <v>#NUM!</v>
      </c>
      <c r="W42" s="224" t="e">
        <f>QUARTILE(W10:W40,3)</f>
        <v>#NUM!</v>
      </c>
      <c r="X42" s="101" t="e">
        <f>QUARTILE(X10:X39,3)</f>
        <v>#NUM!</v>
      </c>
      <c r="Y42" s="225">
        <f>QUARTILE(Y10:Y39,3)</f>
        <v>0.96033923182613923</v>
      </c>
      <c r="AB42" s="827">
        <f>+'Asset Vol_DLOM_Implied Series B'!Y50</f>
        <v>0.74099999999999999</v>
      </c>
      <c r="AC42" s="16" t="s">
        <v>1217</v>
      </c>
      <c r="AD42" s="16"/>
      <c r="AE42" s="16"/>
      <c r="AF42" s="204"/>
    </row>
    <row r="43" spans="2:35" ht="12.75" customHeight="1">
      <c r="B43" s="366" t="s">
        <v>113</v>
      </c>
      <c r="C43" s="79"/>
      <c r="D43" s="101">
        <f>AVERAGE(D10:D39)</f>
        <v>406.69437642857145</v>
      </c>
      <c r="E43" s="101">
        <f t="shared" ref="E43:K43" si="14">AVERAGE(E10:E39)</f>
        <v>18.459698571428572</v>
      </c>
      <c r="F43" s="101">
        <f t="shared" si="14"/>
        <v>1.2186414285714287</v>
      </c>
      <c r="G43" s="101">
        <f t="shared" si="14"/>
        <v>-0.13735714285714287</v>
      </c>
      <c r="H43" s="101">
        <f t="shared" si="14"/>
        <v>18.238250666666669</v>
      </c>
      <c r="I43" s="101">
        <f t="shared" si="14"/>
        <v>397.81966866666664</v>
      </c>
      <c r="J43" s="101">
        <f t="shared" si="14"/>
        <v>90.206330714285741</v>
      </c>
      <c r="K43" s="101" t="e">
        <f t="shared" si="14"/>
        <v>#VALUE!</v>
      </c>
      <c r="L43" s="79"/>
      <c r="M43" s="143">
        <f>AVERAGE(M10:M39)</f>
        <v>0</v>
      </c>
      <c r="N43" s="101">
        <f>AVERAGE(N10:N39)</f>
        <v>4.048479452054794</v>
      </c>
      <c r="O43" s="219">
        <f>AVERAGE(O10:O39)</f>
        <v>2.6741664383561639E-2</v>
      </c>
      <c r="P43" s="220"/>
      <c r="Q43" s="221">
        <f>AVERAGE(Q10:Q39)</f>
        <v>0.83775077110479657</v>
      </c>
      <c r="R43" s="222"/>
      <c r="S43" s="223">
        <f>AVERAGE(S10:S40)</f>
        <v>0.73181131684981748</v>
      </c>
      <c r="T43" s="223" t="e">
        <f>AVERAGE(T10:T40)</f>
        <v>#NUM!</v>
      </c>
      <c r="U43" s="224" t="e">
        <f>AVERAGE(U10:U40)</f>
        <v>#NUM!</v>
      </c>
      <c r="V43" s="224" t="e">
        <f>AVERAGE(V10:V40)</f>
        <v>#NUM!</v>
      </c>
      <c r="W43" s="224" t="e">
        <f>AVERAGE(W10:W40)</f>
        <v>#NUM!</v>
      </c>
      <c r="X43" s="101" t="e">
        <f>AVERAGE(X10:X39)</f>
        <v>#NUM!</v>
      </c>
      <c r="Y43" s="225">
        <f>AVERAGE(Y10:Y39)</f>
        <v>0.79636989092923016</v>
      </c>
      <c r="AB43" s="827">
        <f>+'Asset Vol_DLOM_Implied Series B'!Y44</f>
        <v>0.8134340528199715</v>
      </c>
      <c r="AC43" s="16" t="s">
        <v>1215</v>
      </c>
      <c r="AD43" s="16"/>
      <c r="AE43" s="16"/>
      <c r="AF43" s="828" t="s">
        <v>1352</v>
      </c>
    </row>
    <row r="44" spans="2:35" ht="12.75" customHeight="1">
      <c r="B44" s="366" t="s">
        <v>44</v>
      </c>
      <c r="C44" s="79"/>
      <c r="D44" s="101">
        <f>MEDIAN(D10:D39)</f>
        <v>164.41385500000001</v>
      </c>
      <c r="E44" s="101">
        <f t="shared" ref="E44:K44" si="15">MEDIAN(E10:E39)</f>
        <v>0</v>
      </c>
      <c r="F44" s="101">
        <f t="shared" si="15"/>
        <v>0</v>
      </c>
      <c r="G44" s="101">
        <f t="shared" si="15"/>
        <v>0</v>
      </c>
      <c r="H44" s="101">
        <f t="shared" si="15"/>
        <v>0</v>
      </c>
      <c r="I44" s="101">
        <f t="shared" si="15"/>
        <v>213.21961000000002</v>
      </c>
      <c r="J44" s="101">
        <f t="shared" si="15"/>
        <v>57.363289999999992</v>
      </c>
      <c r="K44" s="101" t="e">
        <f t="shared" si="15"/>
        <v>#VALUE!</v>
      </c>
      <c r="L44" s="79"/>
      <c r="M44" s="143">
        <f>MEDIAN(M10:M39)</f>
        <v>0</v>
      </c>
      <c r="N44" s="101">
        <f>MEDIAN(N10:N39)</f>
        <v>4.0484794520547958</v>
      </c>
      <c r="O44" s="219">
        <f>MEDIAN(O10:O39)</f>
        <v>2.6741664383561646E-2</v>
      </c>
      <c r="P44" s="220"/>
      <c r="Q44" s="221">
        <f>MEDIAN(Q10:Q39)</f>
        <v>0.88587043357810058</v>
      </c>
      <c r="R44" s="222"/>
      <c r="S44" s="223">
        <f>MEDIAN(S10:S40)</f>
        <v>0.78476642508785188</v>
      </c>
      <c r="T44" s="223" t="e">
        <f>MEDIAN(T10:T40)</f>
        <v>#NUM!</v>
      </c>
      <c r="U44" s="224" t="e">
        <f>MEDIAN(U10:U40)</f>
        <v>#NUM!</v>
      </c>
      <c r="V44" s="224" t="e">
        <f>MEDIAN(V10:V40)</f>
        <v>#NUM!</v>
      </c>
      <c r="W44" s="224" t="e">
        <f>MEDIAN(W10:W40)</f>
        <v>#NUM!</v>
      </c>
      <c r="X44" s="101" t="e">
        <f>MEDIAN(X10:X39)</f>
        <v>#NUM!</v>
      </c>
      <c r="Y44" s="225">
        <f>MEDIAN(Y10:Y39)</f>
        <v>0.8134340528199715</v>
      </c>
      <c r="AB44" s="829" t="str">
        <f>IF(ROUND(AB41,3)=ROUND(AB43,3),"","Update Volatility - OPM")</f>
        <v>Update Volatility - OPM</v>
      </c>
      <c r="AC44" s="16"/>
      <c r="AD44" s="16"/>
      <c r="AE44" s="16"/>
      <c r="AF44" s="204"/>
    </row>
    <row r="45" spans="2:35" ht="12.75" customHeight="1">
      <c r="B45" s="366" t="s">
        <v>114</v>
      </c>
      <c r="C45" s="79"/>
      <c r="D45" s="101">
        <f>QUARTILE(D10:D39,1)</f>
        <v>52.922474999999999</v>
      </c>
      <c r="E45" s="101">
        <f t="shared" ref="E45:K45" si="16">QUARTILE(E10:E39,1)</f>
        <v>0</v>
      </c>
      <c r="F45" s="101">
        <f t="shared" si="16"/>
        <v>0</v>
      </c>
      <c r="G45" s="101">
        <f t="shared" si="16"/>
        <v>0</v>
      </c>
      <c r="H45" s="101">
        <f t="shared" si="16"/>
        <v>0</v>
      </c>
      <c r="I45" s="101">
        <f t="shared" si="16"/>
        <v>43.587240000000001</v>
      </c>
      <c r="J45" s="101">
        <f t="shared" si="16"/>
        <v>11.994250000000001</v>
      </c>
      <c r="K45" s="101" t="e">
        <f t="shared" si="16"/>
        <v>#VALUE!</v>
      </c>
      <c r="L45" s="79"/>
      <c r="M45" s="143">
        <f>QUARTILE(M10:M39,1)</f>
        <v>0</v>
      </c>
      <c r="N45" s="101">
        <f>QUARTILE(N10:N39,1)</f>
        <v>4.0484794520547958</v>
      </c>
      <c r="O45" s="219">
        <f>QUARTILE(O10:O39,1)</f>
        <v>2.6741664383561646E-2</v>
      </c>
      <c r="P45" s="220"/>
      <c r="Q45" s="221">
        <f>QUARTILE(Q10:Q39,1)</f>
        <v>0.65477238914194269</v>
      </c>
      <c r="R45" s="222"/>
      <c r="S45" s="223">
        <f>QUARTILE(S10:S40,1)</f>
        <v>0.42872688158264766</v>
      </c>
      <c r="T45" s="223" t="e">
        <f>QUARTILE(T10:T40,1)</f>
        <v>#NUM!</v>
      </c>
      <c r="U45" s="224" t="e">
        <f>QUARTILE(U10:U40,1)</f>
        <v>#NUM!</v>
      </c>
      <c r="V45" s="224" t="e">
        <f>QUARTILE(V10:V40,1)</f>
        <v>#NUM!</v>
      </c>
      <c r="W45" s="224" t="e">
        <f>QUARTILE(W10:W40,1)</f>
        <v>#NUM!</v>
      </c>
      <c r="X45" s="101" t="e">
        <f>QUARTILE(X10:X39,1)</f>
        <v>#NUM!</v>
      </c>
      <c r="Y45" s="225">
        <f>QUARTILE(Y10:Y39,1)</f>
        <v>0.6390413403267946</v>
      </c>
      <c r="AB45" s="830" t="str">
        <f>IF(ROUND(AB42,3)=ROUND(AB43,3),"","Update Volatility - DLOM")</f>
        <v>Update Volatility - DLOM</v>
      </c>
      <c r="AC45" s="5"/>
      <c r="AD45" s="5"/>
      <c r="AE45" s="5"/>
      <c r="AF45" s="448"/>
    </row>
    <row r="46" spans="2:35" ht="12.75" customHeight="1">
      <c r="B46" s="103" t="s">
        <v>112</v>
      </c>
      <c r="C46" s="72"/>
      <c r="D46" s="75">
        <f t="shared" ref="D46:K46" si="17">MIN(D10:D39)</f>
        <v>3.8515700000000002</v>
      </c>
      <c r="E46" s="75">
        <f t="shared" si="17"/>
        <v>0</v>
      </c>
      <c r="F46" s="75">
        <f t="shared" si="17"/>
        <v>0</v>
      </c>
      <c r="G46" s="75">
        <f t="shared" si="17"/>
        <v>-1.923</v>
      </c>
      <c r="H46" s="75">
        <f t="shared" si="17"/>
        <v>0</v>
      </c>
      <c r="I46" s="75">
        <f t="shared" si="17"/>
        <v>0</v>
      </c>
      <c r="J46" s="75">
        <f t="shared" si="17"/>
        <v>8.43E-3</v>
      </c>
      <c r="K46" s="75" t="e">
        <f t="shared" si="17"/>
        <v>#VALUE!</v>
      </c>
      <c r="L46" s="72"/>
      <c r="M46" s="145">
        <f>MIN(M10:M39)</f>
        <v>0</v>
      </c>
      <c r="N46" s="75">
        <f>MIN(N10:N39)</f>
        <v>4.0484794520547958</v>
      </c>
      <c r="O46" s="795">
        <f>MIN(O10:O39)</f>
        <v>2.6741664383561646E-2</v>
      </c>
      <c r="P46" s="796"/>
      <c r="Q46" s="797">
        <f>MIN(Q10:Q39)</f>
        <v>0.57731598641262194</v>
      </c>
      <c r="R46" s="798"/>
      <c r="S46" s="799">
        <f>MIN(S10:S40)</f>
        <v>0.33329374816757867</v>
      </c>
      <c r="T46" s="799" t="e">
        <f>MIN(T10:T40)</f>
        <v>#NUM!</v>
      </c>
      <c r="U46" s="800" t="e">
        <f>MIN(U10:U40)</f>
        <v>#NUM!</v>
      </c>
      <c r="V46" s="800" t="e">
        <f>MIN(V10:V40)</f>
        <v>#NUM!</v>
      </c>
      <c r="W46" s="800" t="e">
        <f>MIN(W10:W40)</f>
        <v>#NUM!</v>
      </c>
      <c r="X46" s="75" t="e">
        <f>MIN(X10:X39)</f>
        <v>#NUM!</v>
      </c>
      <c r="Y46" s="801">
        <f>MIN(Y10:Y39)</f>
        <v>0.37223707275707546</v>
      </c>
      <c r="AB46" s="515" t="str">
        <f>IF(K48&lt;&gt;K50,"Check","")</f>
        <v/>
      </c>
    </row>
    <row r="47" spans="2:35" ht="12.75" customHeight="1">
      <c r="AB47" s="958" t="str">
        <f>IF(AND(AB44=$AF$45,AB46=$AF$45,AB45=$AF$45),"","Check")</f>
        <v>Check</v>
      </c>
    </row>
    <row r="48" spans="2:35" ht="12.75" customHeight="1" outlineLevel="1">
      <c r="B48" s="226" t="str">
        <f>B2</f>
        <v>Kallyope, Inc.</v>
      </c>
      <c r="C48" s="480" t="s">
        <v>209</v>
      </c>
      <c r="D48" s="1753">
        <f>'OPM 1_Series B'!D9/1000</f>
        <v>245.41104938361443</v>
      </c>
      <c r="E48" s="1754">
        <f>'Hist BS'!G55/1000</f>
        <v>0</v>
      </c>
      <c r="F48" s="227"/>
      <c r="G48" s="227"/>
      <c r="H48" s="228">
        <f>SUM(E48:G48)</f>
        <v>0</v>
      </c>
      <c r="I48" s="228">
        <f>SUM(D48:G48)</f>
        <v>245.41104938361443</v>
      </c>
      <c r="J48" s="227"/>
      <c r="K48" s="228">
        <f>I48-J48</f>
        <v>245.41104938361443</v>
      </c>
      <c r="L48" s="227"/>
      <c r="M48" s="229">
        <f>'PWERM Waterfall n Allocation'!D13</f>
        <v>0</v>
      </c>
      <c r="N48" s="230">
        <f>N$6</f>
        <v>4.0484794520547958</v>
      </c>
      <c r="O48" s="231">
        <f>O$6</f>
        <v>2.6741664383561646E-2</v>
      </c>
      <c r="P48" s="232"/>
      <c r="Q48" s="233">
        <v>0.74099999999999999</v>
      </c>
      <c r="R48" s="227"/>
      <c r="S48" s="234">
        <f>IF(Q48="n/a","n/a",Q48^2)</f>
        <v>0.54908100000000004</v>
      </c>
      <c r="T48" s="234">
        <f>IF(OR(K48="n/a",S48="n/a"),"n/a",IF(H48=0,0,IF(M48=0,(LN(K48/H48)+((O48+(S48/2))*N48))/((S48*N48)^0.5),(LN(K48/H48)+((O48-M48+(S48/2))*N48))/((S48*N48)^0.5))))</f>
        <v>0</v>
      </c>
      <c r="U48" s="235">
        <f>IF(T48="n/a","n/a",IF(H48=0,0,T48-(S48*N48)^0.5))</f>
        <v>0</v>
      </c>
      <c r="V48" s="235">
        <f>IF(OR(T48="n/a",S48="n/a"),"n/a",IF(H48=0,0,NORMSDIST(T48)))</f>
        <v>0</v>
      </c>
      <c r="W48" s="235">
        <f>IF(OR(U48="n/a",S48="n/a"),"n/a",IF(H48=0,0,NORMSDIST(U48)))</f>
        <v>0</v>
      </c>
      <c r="X48" s="235">
        <f>IF(OR(K48="n/a",S48="n/a"),"n/a",IF(M48=0,(K48*V48)-((H48*EXP(1)^(-O48*N48))*W48),(K48*(2.718^(-M48*N48))*V48)-(H48*(2.718^(-O48*N48))*W48)))</f>
        <v>0</v>
      </c>
      <c r="Y48" s="236">
        <f>IF(LEN(B48)&gt;0,IF(H48=0,Q48,IF(ISERROR(Q48/((K48/X48)*V48)),"n/a",Q48/((K48/X48)*V48))))</f>
        <v>0.74099999999999999</v>
      </c>
    </row>
    <row r="49" spans="1:25" ht="12.75" customHeight="1">
      <c r="C49" s="78"/>
      <c r="D49" s="78"/>
      <c r="E49" s="78"/>
      <c r="F49" s="78"/>
      <c r="G49" s="78"/>
      <c r="H49" s="78"/>
      <c r="I49" s="78"/>
      <c r="J49" s="78"/>
    </row>
    <row r="50" spans="1:25" ht="12.75" customHeight="1">
      <c r="B50" s="226" t="str">
        <f>B48</f>
        <v>Kallyope, Inc.</v>
      </c>
      <c r="C50" s="480" t="s">
        <v>209</v>
      </c>
      <c r="D50" s="1753">
        <f>D48</f>
        <v>245.41104938361443</v>
      </c>
      <c r="E50" s="1754">
        <f>PWERM!B131/1000+E48</f>
        <v>64.359807910807731</v>
      </c>
      <c r="F50" s="227"/>
      <c r="G50" s="227"/>
      <c r="H50" s="228">
        <v>0</v>
      </c>
      <c r="I50" s="230">
        <f>I48</f>
        <v>245.41104938361443</v>
      </c>
      <c r="J50" s="227"/>
      <c r="K50" s="237">
        <f>K48</f>
        <v>245.41104938361443</v>
      </c>
      <c r="L50" s="227"/>
      <c r="M50" s="238">
        <f>M48</f>
        <v>0</v>
      </c>
      <c r="N50" s="230">
        <f>N$6</f>
        <v>4.0484794520547958</v>
      </c>
      <c r="O50" s="231">
        <f>O$6</f>
        <v>2.6741664383561646E-2</v>
      </c>
      <c r="P50" s="232"/>
      <c r="Q50" s="233">
        <v>0.74099999999999999</v>
      </c>
      <c r="R50" s="227"/>
      <c r="S50" s="234">
        <f>IF(Q50="n/a","n/a",Q50^2)</f>
        <v>0.54908100000000004</v>
      </c>
      <c r="T50" s="234">
        <f>IF(OR(K50="n/a",S50="n/a"),"n/a",IF(H50=0,0,IF(M50=0,(LN(K50/H50)+((O50+(S50/2))*N50))/((S50*N50)^0.5),(LN(K50/H50)+((O50-M50+(S50/2))*N50))/((S50*N50)^0.5))))</f>
        <v>0</v>
      </c>
      <c r="U50" s="235">
        <f>IF(T50="n/a","n/a",IF(H50=0,0,T50-(S50*N50)^0.5))</f>
        <v>0</v>
      </c>
      <c r="V50" s="235">
        <f>IF(OR(T50="n/a",S50="n/a"),"n/a",IF(H50=0,0,NORMSDIST(T50)))</f>
        <v>0</v>
      </c>
      <c r="W50" s="235">
        <f>IF(OR(U50="n/a",S50="n/a"),"n/a",IF(H50=0,0,NORMSDIST(U50)))</f>
        <v>0</v>
      </c>
      <c r="X50" s="235">
        <f>IF(OR(K50="n/a",S50="n/a"),"n/a",IF(M50=0,(K50*V50)-((H50*EXP(1)^(-O50*N50))*W50),(K50*(2.718^(-M50*N50))*V50)-(H50*(2.718^(-O50*N50))*W50)))</f>
        <v>0</v>
      </c>
      <c r="Y50" s="236">
        <f>IF(LEN(B50)&gt;0,IF(H50=0,Q50,IF(ISERROR(Q50/((K50/X50)*V50)),"n/a",Q50/((K50/X50)*V50))))</f>
        <v>0.74099999999999999</v>
      </c>
    </row>
    <row r="51" spans="1:25" ht="12.75" customHeight="1"/>
    <row r="52" spans="1:25" ht="12.75" customHeight="1">
      <c r="B52" s="8" t="s">
        <v>86</v>
      </c>
    </row>
    <row r="53" spans="1:25" ht="12.75" customHeight="1">
      <c r="A53" s="718" t="s">
        <v>210</v>
      </c>
      <c r="B53" s="17" t="s">
        <v>837</v>
      </c>
    </row>
    <row r="54" spans="1:25" s="78" customFormat="1" ht="12.75" customHeight="1">
      <c r="A54" s="719" t="str">
        <f>C50</f>
        <v>(2)</v>
      </c>
      <c r="B54" s="1752" t="s">
        <v>839</v>
      </c>
      <c r="P54" s="21"/>
    </row>
    <row r="55" spans="1:25" ht="12.75" customHeight="1"/>
    <row r="56" spans="1:25" ht="12.75" customHeight="1">
      <c r="B56" s="8" t="s">
        <v>116</v>
      </c>
    </row>
    <row r="57" spans="1:25" ht="12.75" customHeight="1"/>
    <row r="58" spans="1:25" ht="12.75" customHeight="1">
      <c r="B58" s="405" t="s">
        <v>1244</v>
      </c>
    </row>
    <row r="59" spans="1:25">
      <c r="B59" s="405" t="s">
        <v>1245</v>
      </c>
    </row>
    <row r="60" spans="1:25">
      <c r="B60" s="405" t="s">
        <v>1246</v>
      </c>
    </row>
    <row r="61" spans="1:25">
      <c r="B61" s="405" t="s">
        <v>1247</v>
      </c>
    </row>
    <row r="62" spans="1:25">
      <c r="B62" s="405" t="s">
        <v>1248</v>
      </c>
    </row>
    <row r="63" spans="1:25">
      <c r="B63" s="405" t="s">
        <v>1249</v>
      </c>
    </row>
    <row r="64" spans="1:25">
      <c r="B64" s="405" t="s">
        <v>1250</v>
      </c>
    </row>
    <row r="66" spans="2:2">
      <c r="B66" s="405" t="s">
        <v>1251</v>
      </c>
    </row>
    <row r="67" spans="2:2">
      <c r="B67" s="405" t="s">
        <v>1252</v>
      </c>
    </row>
    <row r="68" spans="2:2">
      <c r="B68" s="405" t="s">
        <v>1253</v>
      </c>
    </row>
    <row r="69" spans="2:2">
      <c r="B69" s="405" t="s">
        <v>1254</v>
      </c>
    </row>
    <row r="70" spans="2:2">
      <c r="B70" s="405" t="s">
        <v>1255</v>
      </c>
    </row>
    <row r="71" spans="2:2">
      <c r="B71" s="405" t="s">
        <v>1256</v>
      </c>
    </row>
  </sheetData>
  <conditionalFormatting sqref="B10:B39">
    <cfRule type="cellIs" dxfId="117" priority="9" operator="equal">
      <formula>"(Invalid Identifier)"</formula>
    </cfRule>
  </conditionalFormatting>
  <conditionalFormatting sqref="C4:I4">
    <cfRule type="cellIs" dxfId="116" priority="8" stopIfTrue="1" operator="equal">
      <formula>"input"</formula>
    </cfRule>
  </conditionalFormatting>
  <conditionalFormatting sqref="J4">
    <cfRule type="cellIs" dxfId="115" priority="6" stopIfTrue="1" operator="equal">
      <formula>"input"</formula>
    </cfRule>
  </conditionalFormatting>
  <conditionalFormatting sqref="J4">
    <cfRule type="cellIs" dxfId="114" priority="7" stopIfTrue="1" operator="equal">
      <formula>"input"</formula>
    </cfRule>
  </conditionalFormatting>
  <conditionalFormatting sqref="K4:X4">
    <cfRule type="cellIs" dxfId="113" priority="4" stopIfTrue="1" operator="equal">
      <formula>"input"</formula>
    </cfRule>
  </conditionalFormatting>
  <conditionalFormatting sqref="K4:X4">
    <cfRule type="cellIs" dxfId="112" priority="5" stopIfTrue="1" operator="equal">
      <formula>"input"</formula>
    </cfRule>
  </conditionalFormatting>
  <conditionalFormatting sqref="Y4">
    <cfRule type="cellIs" dxfId="111" priority="2" stopIfTrue="1" operator="equal">
      <formula>"input"</formula>
    </cfRule>
  </conditionalFormatting>
  <conditionalFormatting sqref="Y4">
    <cfRule type="cellIs" dxfId="110" priority="3" stopIfTrue="1" operator="equal">
      <formula>"input"</formula>
    </cfRule>
  </conditionalFormatting>
  <conditionalFormatting sqref="B4">
    <cfRule type="cellIs" dxfId="109" priority="1" stopIfTrue="1" operator="equal">
      <formula>"input"</formula>
    </cfRule>
  </conditionalFormatting>
  <pageMargins left="0.5" right="0.5" top="0.5" bottom="0.5" header="0.5" footer="0.5"/>
  <pageSetup scale="74" fitToWidth="0" fitToHeight="0" orientation="landscape" r:id="rId1"/>
  <legacyDrawingHF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dimension ref="B1:S41"/>
  <sheetViews>
    <sheetView showGridLines="0" view="pageBreakPreview" zoomScale="85" zoomScaleNormal="100" zoomScaleSheetLayoutView="85" workbookViewId="0">
      <selection activeCell="F11" sqref="F11"/>
    </sheetView>
  </sheetViews>
  <sheetFormatPr defaultRowHeight="12.75"/>
  <cols>
    <col min="1" max="1" width="4.5" style="405" customWidth="1"/>
    <col min="2" max="2" width="81.33203125" style="405" customWidth="1"/>
    <col min="3" max="3" width="2.83203125" style="405" customWidth="1"/>
    <col min="4" max="5" width="30.83203125" style="405" customWidth="1"/>
    <col min="6" max="6" width="4.5" style="405" customWidth="1"/>
    <col min="7" max="7" width="19.5" style="405" bestFit="1" customWidth="1"/>
    <col min="8" max="8" width="1.83203125" style="405" customWidth="1"/>
    <col min="9" max="10" width="12.83203125" style="405" customWidth="1"/>
    <col min="11" max="11" width="1.83203125" style="405" customWidth="1"/>
    <col min="12" max="13" width="9.33203125" style="405"/>
    <col min="14" max="14" width="22.1640625" style="405" customWidth="1"/>
    <col min="15" max="19" width="14.33203125" style="405" customWidth="1"/>
    <col min="20" max="16384" width="9.33203125" style="405"/>
  </cols>
  <sheetData>
    <row r="1" spans="2:19" ht="10.7" customHeight="1" thickBot="1"/>
    <row r="2" spans="2:19" ht="16.5" customHeight="1" thickTop="1">
      <c r="B2" s="10" t="str">
        <f>'MASTER PubCo Inputs'!$C$5</f>
        <v>Kallyope, Inc.</v>
      </c>
      <c r="C2" s="10"/>
      <c r="D2" s="10"/>
      <c r="E2" s="10"/>
    </row>
    <row r="3" spans="2:19" ht="15.75" customHeight="1">
      <c r="B3" s="11" t="e">
        <f>VLOOKUP(B4,Outline!$E$8:$G$69,COLUMNS(Outline!$E$8:$G$8),FALSE)</f>
        <v>#N/A</v>
      </c>
      <c r="C3" s="11"/>
      <c r="D3" s="11"/>
      <c r="E3" s="11"/>
    </row>
    <row r="4" spans="2:19" ht="16.5" customHeight="1" thickBot="1">
      <c r="B4" s="12" t="s">
        <v>2592</v>
      </c>
      <c r="C4" s="12"/>
      <c r="D4" s="12"/>
      <c r="E4" s="12"/>
      <c r="G4" s="16"/>
      <c r="H4" s="16"/>
      <c r="I4" s="2031"/>
      <c r="J4" s="16"/>
      <c r="K4" s="16"/>
      <c r="L4" s="2032"/>
      <c r="N4" s="2056" t="s">
        <v>2596</v>
      </c>
      <c r="O4" s="2073"/>
      <c r="P4" s="2074">
        <f>'OPM 1_OIP'!Q16</f>
        <v>4.0484794520547958</v>
      </c>
      <c r="Q4" s="353"/>
      <c r="R4" s="353"/>
      <c r="S4" s="353"/>
    </row>
    <row r="5" spans="2:19" ht="12.75" customHeight="1" thickTop="1">
      <c r="G5" s="16"/>
      <c r="H5" s="16"/>
      <c r="I5" s="2033"/>
      <c r="J5" s="16"/>
      <c r="K5" s="16"/>
      <c r="L5" s="16"/>
      <c r="N5" s="2056" t="s">
        <v>2606</v>
      </c>
      <c r="O5" s="2073"/>
      <c r="P5" s="2074">
        <f>'OPM 1_OIP'!Q12</f>
        <v>3.883328767123289</v>
      </c>
      <c r="Q5" s="908"/>
      <c r="R5" s="908"/>
      <c r="S5" s="908"/>
    </row>
    <row r="6" spans="2:19" ht="12.75" customHeight="1">
      <c r="G6" s="16"/>
      <c r="H6" s="16"/>
      <c r="I6" s="2031"/>
      <c r="J6" s="16"/>
      <c r="K6" s="16"/>
      <c r="L6" s="2032"/>
      <c r="N6" s="2056" t="s">
        <v>419</v>
      </c>
      <c r="O6" s="2073"/>
      <c r="P6" s="2075">
        <f>'OPM 1_OIP'!Q8</f>
        <v>3.5284794520547953</v>
      </c>
    </row>
    <row r="7" spans="2:19" s="6" customFormat="1">
      <c r="B7" s="247" t="s">
        <v>126</v>
      </c>
      <c r="D7" s="617" t="s">
        <v>125</v>
      </c>
      <c r="E7" s="618" t="s">
        <v>72</v>
      </c>
      <c r="G7" s="2034" t="s">
        <v>127</v>
      </c>
      <c r="H7" s="2035"/>
      <c r="I7" s="2035" t="s">
        <v>128</v>
      </c>
      <c r="J7" s="2036" t="s">
        <v>129</v>
      </c>
      <c r="N7" s="2056" t="s">
        <v>87</v>
      </c>
      <c r="O7" s="2073"/>
      <c r="P7" s="2076">
        <f>'MASTER PubCo Inputs'!C6</f>
        <v>43281</v>
      </c>
    </row>
    <row r="8" spans="2:19" ht="12.75" customHeight="1"/>
    <row r="9" spans="2:19" ht="12.75" customHeight="1">
      <c r="B9" s="405" t="str">
        <f>'Capital IQ Sheet-GPC'!E57</f>
        <v>United States Treasury Constant Maturity - 1 Month</v>
      </c>
      <c r="D9" s="44">
        <f>'Capital IQ Sheet-GPC'!C57</f>
        <v>8.3333333333333329E-2</v>
      </c>
      <c r="E9" s="18">
        <f>'Capital IQ Sheet-GPC'!D57</f>
        <v>1.77E-2</v>
      </c>
      <c r="G9" s="707">
        <f>'Capital IQ Sheet-GPC'!B79</f>
        <v>0</v>
      </c>
      <c r="H9" s="44"/>
      <c r="I9" s="245">
        <v>0</v>
      </c>
      <c r="J9" s="44">
        <f>D10</f>
        <v>0.25</v>
      </c>
    </row>
    <row r="10" spans="2:19" ht="12.75" customHeight="1">
      <c r="B10" s="405" t="str">
        <f>'Capital IQ Sheet-GPC'!E58</f>
        <v>United States Treasury Constant Maturity - 3 Month</v>
      </c>
      <c r="D10" s="44">
        <f>'Capital IQ Sheet-GPC'!C58</f>
        <v>0.25</v>
      </c>
      <c r="E10" s="18">
        <f>'Capital IQ Sheet-GPC'!D58</f>
        <v>1.9299999999999998E-2</v>
      </c>
      <c r="G10" s="707">
        <f>'Capital IQ Sheet-GPC'!B80</f>
        <v>0</v>
      </c>
      <c r="H10" s="44"/>
      <c r="I10" s="44">
        <f>D9</f>
        <v>8.3333333333333329E-2</v>
      </c>
      <c r="J10" s="44">
        <f>D11</f>
        <v>0.5</v>
      </c>
    </row>
    <row r="11" spans="2:19" ht="12.75" customHeight="1">
      <c r="B11" s="405" t="str">
        <f>'Capital IQ Sheet-GPC'!E59</f>
        <v>United States Treasury Constant Maturity - 6 Month</v>
      </c>
      <c r="D11" s="44">
        <f>'Capital IQ Sheet-GPC'!C59</f>
        <v>0.5</v>
      </c>
      <c r="E11" s="18">
        <f>'Capital IQ Sheet-GPC'!D59</f>
        <v>2.1099999999999997E-2</v>
      </c>
      <c r="G11" s="707">
        <f>'Capital IQ Sheet-GPC'!B81</f>
        <v>0</v>
      </c>
      <c r="H11" s="44"/>
      <c r="I11" s="44">
        <f t="shared" ref="I11:I19" si="0">D10</f>
        <v>0.25</v>
      </c>
      <c r="J11" s="44">
        <f t="shared" ref="J11:J18" si="1">D12</f>
        <v>1</v>
      </c>
    </row>
    <row r="12" spans="2:19" ht="12.75" customHeight="1">
      <c r="B12" s="405" t="str">
        <f>'Capital IQ Sheet-GPC'!E60</f>
        <v>United States Treasury Constant Maturity - 1 Year</v>
      </c>
      <c r="D12" s="44">
        <f>'Capital IQ Sheet-GPC'!C60</f>
        <v>1</v>
      </c>
      <c r="E12" s="18">
        <f>'Capital IQ Sheet-GPC'!D60</f>
        <v>2.3300000000000001E-2</v>
      </c>
      <c r="G12" s="707">
        <f>'Capital IQ Sheet-GPC'!B82</f>
        <v>0</v>
      </c>
      <c r="H12" s="44"/>
      <c r="I12" s="44">
        <f t="shared" si="0"/>
        <v>0.5</v>
      </c>
      <c r="J12" s="44">
        <f t="shared" si="1"/>
        <v>2</v>
      </c>
    </row>
    <row r="13" spans="2:19" ht="12.75" customHeight="1">
      <c r="B13" s="405" t="str">
        <f>'Capital IQ Sheet-GPC'!E61</f>
        <v>United States Treasury Constant Maturity - 2 Year</v>
      </c>
      <c r="D13" s="44">
        <f>'Capital IQ Sheet-GPC'!C61</f>
        <v>2</v>
      </c>
      <c r="E13" s="18">
        <f>'Capital IQ Sheet-GPC'!D61</f>
        <v>2.52E-2</v>
      </c>
      <c r="G13" s="707">
        <f>'Capital IQ Sheet-GPC'!B83</f>
        <v>0</v>
      </c>
      <c r="H13" s="44"/>
      <c r="I13" s="44">
        <f t="shared" si="0"/>
        <v>1</v>
      </c>
      <c r="J13" s="44">
        <f t="shared" si="1"/>
        <v>3</v>
      </c>
    </row>
    <row r="14" spans="2:19" ht="12.75" customHeight="1">
      <c r="B14" s="405" t="str">
        <f>'Capital IQ Sheet-GPC'!E62</f>
        <v>United States Treasury Constant Maturity - 3 Year</v>
      </c>
      <c r="D14" s="44">
        <f>'Capital IQ Sheet-GPC'!C62</f>
        <v>3</v>
      </c>
      <c r="E14" s="18">
        <f>'Capital IQ Sheet-GPC'!D62</f>
        <v>2.63E-2</v>
      </c>
      <c r="G14" s="707">
        <f>'Capital IQ Sheet-GPC'!B84</f>
        <v>0</v>
      </c>
      <c r="H14" s="44"/>
      <c r="I14" s="44">
        <f t="shared" si="0"/>
        <v>2</v>
      </c>
      <c r="J14" s="44">
        <f t="shared" si="1"/>
        <v>5</v>
      </c>
    </row>
    <row r="15" spans="2:19" ht="12.75" customHeight="1">
      <c r="B15" s="405" t="str">
        <f>'Capital IQ Sheet-GPC'!E63</f>
        <v>United States Treasury Constant Maturity - 5 Year</v>
      </c>
      <c r="D15" s="44">
        <f>'Capital IQ Sheet-GPC'!C63</f>
        <v>5</v>
      </c>
      <c r="E15" s="18">
        <f>'Capital IQ Sheet-GPC'!D63</f>
        <v>2.7300000000000001E-2</v>
      </c>
      <c r="G15" s="707">
        <f>'Capital IQ Sheet-GPC'!B85</f>
        <v>0</v>
      </c>
      <c r="H15" s="44"/>
      <c r="I15" s="44">
        <f t="shared" si="0"/>
        <v>3</v>
      </c>
      <c r="J15" s="44">
        <f t="shared" si="1"/>
        <v>7</v>
      </c>
    </row>
    <row r="16" spans="2:19" ht="12.75" customHeight="1">
      <c r="B16" s="405" t="str">
        <f>'Capital IQ Sheet-GPC'!E64</f>
        <v>United States Treasury Constant Maturity - 7 Year</v>
      </c>
      <c r="D16" s="44">
        <f>'Capital IQ Sheet-GPC'!C64</f>
        <v>7</v>
      </c>
      <c r="E16" s="18">
        <f>'Capital IQ Sheet-GPC'!D64</f>
        <v>2.81E-2</v>
      </c>
      <c r="G16" s="707">
        <f>'Capital IQ Sheet-GPC'!B86</f>
        <v>0</v>
      </c>
      <c r="H16" s="44"/>
      <c r="I16" s="44">
        <f t="shared" si="0"/>
        <v>5</v>
      </c>
      <c r="J16" s="44">
        <f t="shared" si="1"/>
        <v>10</v>
      </c>
    </row>
    <row r="17" spans="2:10" ht="12.75" customHeight="1">
      <c r="B17" s="405" t="str">
        <f>'Capital IQ Sheet-GPC'!E65</f>
        <v>United States Treasury Constant Maturity - 10 Year</v>
      </c>
      <c r="D17" s="44">
        <f>'Capital IQ Sheet-GPC'!C65</f>
        <v>10</v>
      </c>
      <c r="E17" s="18">
        <f>'Capital IQ Sheet-GPC'!D65</f>
        <v>2.8500000000000001E-2</v>
      </c>
      <c r="G17" s="707">
        <f>'Capital IQ Sheet-GPC'!B87</f>
        <v>0</v>
      </c>
      <c r="H17" s="44"/>
      <c r="I17" s="44">
        <f t="shared" si="0"/>
        <v>7</v>
      </c>
      <c r="J17" s="44">
        <f t="shared" si="1"/>
        <v>20</v>
      </c>
    </row>
    <row r="18" spans="2:10" ht="12.75" customHeight="1">
      <c r="B18" s="405" t="str">
        <f>'Capital IQ Sheet-GPC'!E66</f>
        <v>United States Treasury Constant Maturity - 20 Year</v>
      </c>
      <c r="D18" s="44">
        <f>'Capital IQ Sheet-GPC'!C66</f>
        <v>20</v>
      </c>
      <c r="E18" s="18">
        <f>'Capital IQ Sheet-GPC'!D66</f>
        <v>2.9100000000000001E-2</v>
      </c>
      <c r="G18" s="707">
        <f>'Capital IQ Sheet-GPC'!B88</f>
        <v>0</v>
      </c>
      <c r="H18" s="44"/>
      <c r="I18" s="44">
        <f t="shared" si="0"/>
        <v>10</v>
      </c>
      <c r="J18" s="44">
        <f t="shared" si="1"/>
        <v>30</v>
      </c>
    </row>
    <row r="19" spans="2:10" ht="12.75" customHeight="1">
      <c r="B19" s="405" t="str">
        <f>'Capital IQ Sheet-GPC'!E67</f>
        <v>United States Treasury Constant Maturity - 30 Year</v>
      </c>
      <c r="D19" s="44">
        <f>'Capital IQ Sheet-GPC'!C67</f>
        <v>30</v>
      </c>
      <c r="E19" s="18">
        <f>'Capital IQ Sheet-GPC'!D67</f>
        <v>2.98E-2</v>
      </c>
      <c r="G19" s="707">
        <f>'Capital IQ Sheet-GPC'!B89</f>
        <v>0</v>
      </c>
      <c r="H19" s="44"/>
      <c r="I19" s="44">
        <f t="shared" si="0"/>
        <v>20</v>
      </c>
      <c r="J19" s="246"/>
    </row>
    <row r="20" spans="2:10" ht="12.75" customHeight="1"/>
    <row r="21" spans="2:10" ht="12.75" customHeight="1"/>
    <row r="22" spans="2:10" ht="12.75" customHeight="1">
      <c r="B22" s="96" t="s">
        <v>2594</v>
      </c>
      <c r="C22" s="243"/>
      <c r="D22" s="243"/>
      <c r="E22" s="248"/>
      <c r="H22" s="58"/>
      <c r="I22" s="58"/>
      <c r="J22" s="58"/>
    </row>
    <row r="23" spans="2:10" ht="12.75" customHeight="1">
      <c r="B23" s="69" t="s">
        <v>128</v>
      </c>
      <c r="C23" s="66"/>
      <c r="D23" s="67">
        <f>SUMIFS($D$9:$D$19,$D$9:$D$19,"&lt;"&amp;D25,J$9:J$19,"&gt;"&amp;D25)</f>
        <v>3</v>
      </c>
      <c r="E23" s="249">
        <f>IF(ISERROR(VLOOKUP(D23,$D$9:$E$19,COLUMNS($D$7:$E$7),FALSE)), "n/a", VLOOKUP(D23,$D$9:$E$19,COLUMNS($D$7:$E$7),FALSE))</f>
        <v>2.63E-2</v>
      </c>
      <c r="G23" s="862"/>
      <c r="H23" s="58"/>
      <c r="I23" s="58"/>
      <c r="J23" s="58"/>
    </row>
    <row r="24" spans="2:10" ht="12.75" customHeight="1">
      <c r="B24" s="69" t="s">
        <v>129</v>
      </c>
      <c r="C24" s="66"/>
      <c r="D24" s="67">
        <f>SUMIFS($D$9:$D$19,$D$9:$D$19,"&gt;"&amp;D25,I$9:I$19,"&lt;"&amp;D25)</f>
        <v>5</v>
      </c>
      <c r="E24" s="249">
        <f>IF(ISERROR(VLOOKUP(D24,$D$9:$E$19,COLUMNS($D$7:$E$7),FALSE)), "n/a", VLOOKUP(D24,$D$9:$E$19,COLUMNS($D$7:$E$7),FALSE))</f>
        <v>2.7300000000000001E-2</v>
      </c>
      <c r="G24" s="18"/>
      <c r="H24" s="58"/>
      <c r="I24" s="58"/>
      <c r="J24" s="58"/>
    </row>
    <row r="25" spans="2:10" ht="12.75" customHeight="1">
      <c r="B25" s="69" t="s">
        <v>102</v>
      </c>
      <c r="C25" s="66"/>
      <c r="D25" s="67">
        <f>P6</f>
        <v>3.5284794520547953</v>
      </c>
      <c r="E25" s="249">
        <f>IF(ISERROR(+E23+(E24-E23)/(D24-D23)*(D25-D23)), "n/a", +E23+(E24-E23)/(D24-D23)*(D25-D23))</f>
        <v>2.6564239726027398E-2</v>
      </c>
      <c r="H25" s="58"/>
      <c r="I25" s="58"/>
      <c r="J25" s="58"/>
    </row>
    <row r="26" spans="2:10" ht="12.75" customHeight="1">
      <c r="B26" s="69" t="s">
        <v>141</v>
      </c>
      <c r="C26" s="66"/>
      <c r="D26" s="67">
        <f>D25</f>
        <v>3.5284794520547953</v>
      </c>
      <c r="E26" s="249" t="str">
        <f>IF(ISERROR(VLOOKUP(D26,$D$9:$E$19,COLUMNS($D$7:$E$7),FALSE)), "n/a", VLOOKUP(D26,$D$9:$E$19,COLUMNS($D$7:$E$7),FALSE))</f>
        <v>n/a</v>
      </c>
      <c r="H26" s="58"/>
      <c r="I26" s="58"/>
      <c r="J26" s="58"/>
    </row>
    <row r="27" spans="2:10" ht="12.75" customHeight="1">
      <c r="B27" s="70"/>
      <c r="C27" s="66"/>
      <c r="D27" s="66"/>
      <c r="E27" s="250"/>
      <c r="H27" s="58"/>
      <c r="I27" s="58"/>
      <c r="J27" s="58"/>
    </row>
    <row r="28" spans="2:10" ht="12.75" customHeight="1">
      <c r="B28" s="103" t="s">
        <v>142</v>
      </c>
      <c r="C28" s="104"/>
      <c r="D28" s="104"/>
      <c r="E28" s="251">
        <f>IF(E25="n/a",E26,E25)</f>
        <v>2.6564239726027398E-2</v>
      </c>
      <c r="H28" s="49"/>
      <c r="I28" s="49"/>
      <c r="J28" s="49"/>
    </row>
    <row r="29" spans="2:10" ht="12.75" customHeight="1">
      <c r="H29" s="58"/>
      <c r="I29" s="58"/>
      <c r="J29" s="58"/>
    </row>
    <row r="30" spans="2:10" ht="12.75" customHeight="1">
      <c r="B30" s="96" t="s">
        <v>2595</v>
      </c>
      <c r="C30" s="243"/>
      <c r="D30" s="243"/>
      <c r="E30" s="248"/>
      <c r="H30" s="58"/>
      <c r="I30" s="58"/>
      <c r="J30" s="58"/>
    </row>
    <row r="31" spans="2:10" ht="12.75" customHeight="1">
      <c r="B31" s="69" t="s">
        <v>128</v>
      </c>
      <c r="C31" s="66"/>
      <c r="D31" s="67">
        <f>SUMIFS($D$9:$D$19,$D$9:$D$19,"&lt;"&amp;D33,$J$9:$J$19,"&gt;"&amp;D33)</f>
        <v>3</v>
      </c>
      <c r="E31" s="249">
        <f>IF(ISERROR(VLOOKUP(D31,$D$9:$E$19,COLUMNS($D$7:$E$7),FALSE)), "n/a", VLOOKUP(D31,$D$9:$E$19,COLUMNS($D$7:$E$7),FALSE))</f>
        <v>2.63E-2</v>
      </c>
      <c r="H31" s="58"/>
      <c r="I31" s="58"/>
      <c r="J31" s="58"/>
    </row>
    <row r="32" spans="2:10" ht="12.75" customHeight="1">
      <c r="B32" s="69" t="s">
        <v>129</v>
      </c>
      <c r="C32" s="66"/>
      <c r="D32" s="67">
        <f>SUMIFS($D$9:$D$19,$D$9:$D$19,"&gt;"&amp;D33,$I$9:$I$19,"&lt;"&amp;D33)</f>
        <v>5</v>
      </c>
      <c r="E32" s="249">
        <f>IF(ISERROR(VLOOKUP(D32,$D$9:$E$19,COLUMNS($D$7:$E$7),FALSE)), "n/a", VLOOKUP(D32,$D$9:$E$19,COLUMNS($D$7:$E$7),FALSE))</f>
        <v>2.7300000000000001E-2</v>
      </c>
      <c r="G32" s="180"/>
      <c r="H32" s="58"/>
      <c r="I32" s="58"/>
      <c r="J32" s="58"/>
    </row>
    <row r="33" spans="2:10" ht="12.75" customHeight="1">
      <c r="B33" s="69" t="s">
        <v>102</v>
      </c>
      <c r="C33" s="66"/>
      <c r="D33" s="67">
        <f>P5</f>
        <v>3.883328767123289</v>
      </c>
      <c r="E33" s="249">
        <f>IF(ISERROR(+E31+(E32-E31)/(D32-D31)*(D33-D31)), "n/a", +E31+(E32-E31)/(D32-D31)*(D33-D31))</f>
        <v>2.6741664383561646E-2</v>
      </c>
      <c r="H33" s="58"/>
      <c r="I33" s="58"/>
      <c r="J33" s="58"/>
    </row>
    <row r="34" spans="2:10" ht="12.75" customHeight="1">
      <c r="B34" s="69" t="s">
        <v>141</v>
      </c>
      <c r="C34" s="66"/>
      <c r="D34" s="67">
        <f>D33</f>
        <v>3.883328767123289</v>
      </c>
      <c r="E34" s="249" t="str">
        <f>IF(ISERROR(VLOOKUP(D34,$D$9:$E$19,COLUMNS($D$7:$E$7),FALSE)), "n/a", VLOOKUP(D34,$D$9:$E$19,COLUMNS($D$7:$E$7),FALSE))</f>
        <v>n/a</v>
      </c>
      <c r="H34" s="58"/>
      <c r="I34" s="58"/>
      <c r="J34" s="58"/>
    </row>
    <row r="35" spans="2:10" ht="12.75" customHeight="1">
      <c r="B35" s="70"/>
      <c r="C35" s="66"/>
      <c r="D35" s="66"/>
      <c r="E35" s="250"/>
      <c r="H35" s="58"/>
      <c r="I35" s="58"/>
      <c r="J35" s="58"/>
    </row>
    <row r="36" spans="2:10" ht="12.75" customHeight="1">
      <c r="B36" s="103" t="s">
        <v>142</v>
      </c>
      <c r="C36" s="104"/>
      <c r="D36" s="104"/>
      <c r="E36" s="251">
        <f>IF(E33="n/a",E34,E33)</f>
        <v>2.6741664383561646E-2</v>
      </c>
      <c r="H36" s="49"/>
      <c r="I36" s="49"/>
      <c r="J36" s="49"/>
    </row>
    <row r="37" spans="2:10" ht="12.75" customHeight="1"/>
    <row r="38" spans="2:10" ht="12.75" customHeight="1">
      <c r="H38" s="58"/>
      <c r="I38" s="58"/>
      <c r="J38" s="58"/>
    </row>
    <row r="39" spans="2:10" ht="12.75" customHeight="1">
      <c r="B39" s="8" t="s">
        <v>116</v>
      </c>
    </row>
    <row r="40" spans="2:10" ht="12.75" customHeight="1"/>
    <row r="41" spans="2:10" ht="12.75" customHeight="1"/>
  </sheetData>
  <conditionalFormatting sqref="C4:E4">
    <cfRule type="cellIs" dxfId="108" priority="2" stopIfTrue="1" operator="equal">
      <formula>"input"</formula>
    </cfRule>
  </conditionalFormatting>
  <conditionalFormatting sqref="B4">
    <cfRule type="cellIs" dxfId="107" priority="1" stopIfTrue="1" operator="equal">
      <formula>"input"</formula>
    </cfRule>
  </conditionalFormatting>
  <pageMargins left="0.5" right="0.5" top="0.5" bottom="0.5" header="0.5" footer="0.5"/>
  <pageSetup scale="87" orientation="landscape" r:id="rId1"/>
  <legacyDrawing r:id="rId2"/>
  <legacyDrawingHF r:id="rId3"/>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B137"/>
  <sheetViews>
    <sheetView showGridLines="0" view="pageBreakPreview" zoomScale="70" zoomScaleNormal="85" zoomScaleSheetLayoutView="70" workbookViewId="0">
      <selection activeCell="E34" sqref="E34"/>
    </sheetView>
  </sheetViews>
  <sheetFormatPr defaultRowHeight="12.75" outlineLevelRow="1"/>
  <cols>
    <col min="1" max="1" width="4.5" style="405" customWidth="1"/>
    <col min="2" max="2" width="52.1640625" style="405" customWidth="1"/>
    <col min="3" max="3" width="2.83203125" style="405" customWidth="1"/>
    <col min="4" max="11" width="18.1640625" style="405" customWidth="1"/>
    <col min="12" max="12" width="4.5" style="405" customWidth="1"/>
    <col min="13" max="13" width="13.33203125" style="405" customWidth="1"/>
    <col min="14" max="14" width="5.83203125" style="405" customWidth="1"/>
    <col min="15" max="15" width="21.6640625" style="173" customWidth="1"/>
    <col min="16" max="16" width="2.5" style="405" customWidth="1"/>
    <col min="17" max="27" width="14" style="405" customWidth="1"/>
    <col min="28" max="16384" width="9.33203125" style="405"/>
  </cols>
  <sheetData>
    <row r="1" spans="2:28" ht="10.7" customHeight="1" thickBot="1"/>
    <row r="2" spans="2:28" ht="16.5" customHeight="1" thickTop="1">
      <c r="B2" s="10" t="str">
        <f>'MASTER PubCo Inputs'!$C$5</f>
        <v>Kallyope, Inc.</v>
      </c>
      <c r="C2" s="10"/>
      <c r="D2" s="10"/>
      <c r="E2" s="10"/>
      <c r="F2" s="10"/>
      <c r="G2" s="10"/>
      <c r="H2" s="10"/>
      <c r="I2" s="10"/>
      <c r="J2" s="10"/>
      <c r="K2" s="10"/>
    </row>
    <row r="3" spans="2:28" ht="15.75" customHeight="1">
      <c r="B3" s="11" t="e">
        <f>VLOOKUP(B4,Outline!$E$8:$G$69,COLUMNS(Outline!$E$8:$G$8),FALSE)</f>
        <v>#N/A</v>
      </c>
      <c r="C3" s="11"/>
      <c r="D3" s="11"/>
      <c r="E3" s="11"/>
      <c r="F3" s="11"/>
      <c r="G3" s="11"/>
      <c r="H3" s="11"/>
      <c r="I3" s="11"/>
      <c r="J3" s="11"/>
      <c r="K3" s="11"/>
    </row>
    <row r="4" spans="2:28" ht="16.5" customHeight="1" thickBot="1">
      <c r="B4" s="12" t="s">
        <v>2584</v>
      </c>
      <c r="C4" s="12"/>
      <c r="D4" s="12"/>
      <c r="E4" s="12"/>
      <c r="F4" s="12"/>
      <c r="G4" s="12"/>
      <c r="H4" s="12"/>
      <c r="I4" s="12"/>
      <c r="J4" s="13"/>
      <c r="K4" s="13"/>
      <c r="O4" s="405"/>
      <c r="Q4" s="410" t="s">
        <v>2245</v>
      </c>
    </row>
    <row r="5" spans="2:28" s="16" customFormat="1" ht="12.75" customHeight="1" thickTop="1">
      <c r="B5" s="405"/>
      <c r="C5" s="405"/>
      <c r="D5" s="405"/>
      <c r="E5" s="405"/>
      <c r="F5" s="405"/>
      <c r="G5" s="405"/>
      <c r="H5" s="405"/>
      <c r="I5" s="405"/>
      <c r="J5" s="405"/>
      <c r="K5" s="405"/>
      <c r="L5" s="405"/>
      <c r="M5" s="405"/>
      <c r="O5" s="2005"/>
      <c r="P5" s="2042"/>
      <c r="Q5" s="2064" t="s">
        <v>2241</v>
      </c>
      <c r="R5" s="2064" t="s">
        <v>2242</v>
      </c>
      <c r="S5" s="2064" t="s">
        <v>2249</v>
      </c>
      <c r="T5" s="2064" t="s">
        <v>2250</v>
      </c>
      <c r="U5" s="2064" t="s">
        <v>2251</v>
      </c>
      <c r="V5" s="2064" t="s">
        <v>2252</v>
      </c>
      <c r="W5" s="2064" t="s">
        <v>2253</v>
      </c>
      <c r="X5" s="2064" t="s">
        <v>2254</v>
      </c>
      <c r="Y5" s="2064" t="s">
        <v>2255</v>
      </c>
      <c r="Z5" s="2064" t="s">
        <v>2256</v>
      </c>
      <c r="AA5" s="2064" t="s">
        <v>2257</v>
      </c>
      <c r="AB5" s="2043"/>
    </row>
    <row r="6" spans="2:28" s="16" customFormat="1" ht="12.75" customHeight="1">
      <c r="B6" s="405"/>
      <c r="C6" s="405"/>
      <c r="D6" s="405"/>
      <c r="E6" s="405"/>
      <c r="F6" s="405"/>
      <c r="G6" s="405"/>
      <c r="H6" s="405"/>
      <c r="I6" s="405"/>
      <c r="J6" s="405"/>
      <c r="K6" s="405"/>
      <c r="L6" s="405"/>
      <c r="O6" s="362" t="s">
        <v>2246</v>
      </c>
      <c r="Q6" s="2054">
        <f>PWERM!D13</f>
        <v>3.0027397260273974</v>
      </c>
      <c r="R6" s="2054">
        <f>PWERM!E13</f>
        <v>6.0054794520547947</v>
      </c>
      <c r="S6" s="2054">
        <f>PWERM!F13</f>
        <v>2.0027397260273974</v>
      </c>
      <c r="T6" s="2054">
        <f>PWERM!G13</f>
        <v>2.0027397260273974</v>
      </c>
      <c r="U6" s="2054">
        <f>PWERM!H13</f>
        <v>3.0027397260273974</v>
      </c>
      <c r="V6" s="2054">
        <f>PWERM!I13</f>
        <v>3.0027397260273974</v>
      </c>
      <c r="W6" s="2054">
        <f>PWERM!J13</f>
        <v>6.0054794520547947</v>
      </c>
      <c r="X6" s="2054">
        <f>PWERM!K13</f>
        <v>6.0054794520547947</v>
      </c>
      <c r="Y6" s="2054">
        <f>PWERM!L13</f>
        <v>2.0027397260273974</v>
      </c>
      <c r="Z6" s="2054">
        <f>PWERM!M13</f>
        <v>3.0027397260273974</v>
      </c>
      <c r="AA6" s="2054">
        <f>PWERM!N13</f>
        <v>6.0054794520547947</v>
      </c>
      <c r="AB6" s="2065">
        <f>PWERM!O13</f>
        <v>0</v>
      </c>
    </row>
    <row r="7" spans="2:28" ht="12.75" customHeight="1">
      <c r="B7" s="77" t="s">
        <v>320</v>
      </c>
      <c r="C7" s="158"/>
      <c r="D7" s="158"/>
      <c r="E7" s="997" t="s">
        <v>70</v>
      </c>
      <c r="F7" s="158"/>
      <c r="G7" s="158"/>
      <c r="H7" s="158"/>
      <c r="I7" s="158"/>
      <c r="J7" s="158"/>
      <c r="K7" s="158"/>
      <c r="O7" s="362" t="s">
        <v>2247</v>
      </c>
      <c r="P7" s="16"/>
      <c r="Q7" s="1745">
        <f>PWERM!D116</f>
        <v>5.5E-2</v>
      </c>
      <c r="R7" s="1745">
        <f>PWERM!E116</f>
        <v>0.03</v>
      </c>
      <c r="S7" s="1745">
        <f>PWERM!F116</f>
        <v>0.09</v>
      </c>
      <c r="T7" s="1745">
        <f>PWERM!G116</f>
        <v>0.09</v>
      </c>
      <c r="U7" s="1745">
        <f>PWERM!H116</f>
        <v>5.5E-2</v>
      </c>
      <c r="V7" s="1745">
        <f>PWERM!I116</f>
        <v>0.155</v>
      </c>
      <c r="W7" s="1745">
        <f>PWERM!J116</f>
        <v>1.4999999999999999E-2</v>
      </c>
      <c r="X7" s="1745">
        <f>PWERM!K116</f>
        <v>0.115</v>
      </c>
      <c r="Y7" s="1745">
        <f>PWERM!L116</f>
        <v>0.105</v>
      </c>
      <c r="Z7" s="1745">
        <f>PWERM!M116</f>
        <v>0.18</v>
      </c>
      <c r="AA7" s="1745">
        <f>PWERM!N116</f>
        <v>0.1100000000000001</v>
      </c>
      <c r="AB7" s="204"/>
    </row>
    <row r="8" spans="2:28" s="21" customFormat="1" ht="12.75" customHeight="1">
      <c r="B8" s="49"/>
      <c r="C8" s="49"/>
      <c r="D8" s="49"/>
      <c r="E8" s="49"/>
      <c r="F8" s="49"/>
      <c r="G8" s="49"/>
      <c r="H8" s="49"/>
      <c r="I8" s="49"/>
      <c r="J8" s="49"/>
      <c r="K8" s="49"/>
      <c r="O8" s="1120" t="s">
        <v>2248</v>
      </c>
      <c r="P8" s="5"/>
      <c r="Q8" s="2072">
        <f>SUMPRODUCT(Q6:AA6,Q7:AA7)</f>
        <v>3.5284794520547953</v>
      </c>
      <c r="R8" s="5"/>
      <c r="S8" s="5"/>
      <c r="T8" s="5"/>
      <c r="U8" s="5"/>
      <c r="V8" s="5"/>
      <c r="W8" s="5"/>
      <c r="X8" s="5"/>
      <c r="Y8" s="5"/>
      <c r="Z8" s="5"/>
      <c r="AA8" s="5"/>
      <c r="AB8" s="448"/>
    </row>
    <row r="9" spans="2:28" ht="12.75" customHeight="1">
      <c r="B9" s="405" t="s">
        <v>318</v>
      </c>
      <c r="C9" s="159"/>
      <c r="D9" s="802">
        <f>'OPM 2_OIP'!P7</f>
        <v>208419.36584352475</v>
      </c>
      <c r="E9" s="996" t="s">
        <v>1583</v>
      </c>
    </row>
    <row r="10" spans="2:28" ht="12.75" customHeight="1">
      <c r="B10" s="405" t="s">
        <v>319</v>
      </c>
      <c r="D10" s="2055">
        <f>Q8</f>
        <v>3.5284794520547953</v>
      </c>
      <c r="E10" s="996" t="s">
        <v>2593</v>
      </c>
      <c r="N10" s="2005"/>
      <c r="O10" s="2068" t="s">
        <v>2605</v>
      </c>
      <c r="P10" s="2042"/>
      <c r="Q10" s="2067">
        <f>PWERM!D28</f>
        <v>0</v>
      </c>
      <c r="R10" s="2067">
        <f>PWERM!E28</f>
        <v>0</v>
      </c>
      <c r="S10" s="2067">
        <f>PWERM!F28</f>
        <v>1</v>
      </c>
      <c r="T10" s="2067">
        <f>PWERM!G28</f>
        <v>1</v>
      </c>
      <c r="U10" s="2067">
        <f>PWERM!H28</f>
        <v>1</v>
      </c>
      <c r="V10" s="2067">
        <f>PWERM!I28</f>
        <v>1</v>
      </c>
      <c r="W10" s="2067">
        <f>PWERM!J28</f>
        <v>1</v>
      </c>
      <c r="X10" s="2067">
        <f>PWERM!K28</f>
        <v>1</v>
      </c>
      <c r="Y10" s="2067">
        <f>PWERM!L28</f>
        <v>0</v>
      </c>
      <c r="Z10" s="2067">
        <f>PWERM!M28</f>
        <v>0</v>
      </c>
      <c r="AA10" s="2067">
        <f>PWERM!N28</f>
        <v>0</v>
      </c>
      <c r="AB10" s="2043"/>
    </row>
    <row r="11" spans="2:28" ht="12.75" customHeight="1">
      <c r="B11" s="21" t="s">
        <v>74</v>
      </c>
      <c r="C11" s="161"/>
      <c r="D11" s="451">
        <f>'Asset Vol_OPM_OIP'!Q48</f>
        <v>0.81299999999999994</v>
      </c>
      <c r="E11" s="996" t="e">
        <f>'Asset Vol_OPM_OIP'!B3</f>
        <v>#N/A</v>
      </c>
      <c r="G11" s="52"/>
      <c r="N11" s="362"/>
      <c r="O11" s="324" t="s">
        <v>2602</v>
      </c>
      <c r="P11" s="16"/>
      <c r="Q11" s="937"/>
      <c r="R11" s="937">
        <f t="shared" ref="R11:AA11" si="0">R6+R10</f>
        <v>6.0054794520547947</v>
      </c>
      <c r="S11" s="937">
        <f t="shared" si="0"/>
        <v>3.0027397260273974</v>
      </c>
      <c r="T11" s="937">
        <f t="shared" si="0"/>
        <v>3.0027397260273974</v>
      </c>
      <c r="U11" s="937">
        <f t="shared" si="0"/>
        <v>4.0027397260273974</v>
      </c>
      <c r="V11" s="937">
        <f t="shared" si="0"/>
        <v>4.0027397260273974</v>
      </c>
      <c r="W11" s="937">
        <f t="shared" si="0"/>
        <v>7.0054794520547947</v>
      </c>
      <c r="X11" s="937">
        <f t="shared" si="0"/>
        <v>7.0054794520547947</v>
      </c>
      <c r="Y11" s="937">
        <f t="shared" si="0"/>
        <v>2.0027397260273974</v>
      </c>
      <c r="Z11" s="937">
        <f t="shared" si="0"/>
        <v>3.0027397260273974</v>
      </c>
      <c r="AA11" s="937">
        <f t="shared" si="0"/>
        <v>6.0054794520547947</v>
      </c>
      <c r="AB11" s="204"/>
    </row>
    <row r="12" spans="2:28" ht="12.75" customHeight="1">
      <c r="B12" s="405" t="s">
        <v>72</v>
      </c>
      <c r="C12" s="161"/>
      <c r="D12" s="453">
        <f>'Risk-Free Rates_OPM'!E28</f>
        <v>2.6564239726027398E-2</v>
      </c>
      <c r="E12" s="996" t="e">
        <f>'Risk-Free Rates_OPM'!B3</f>
        <v>#N/A</v>
      </c>
      <c r="G12" s="52"/>
      <c r="N12" s="906"/>
      <c r="O12" s="171" t="s">
        <v>2248</v>
      </c>
      <c r="P12" s="5"/>
      <c r="Q12" s="2072">
        <f>SUMPRODUCT(Q7:AA7,Q11:AA11)</f>
        <v>3.883328767123289</v>
      </c>
      <c r="R12" s="5"/>
      <c r="S12" s="5"/>
      <c r="T12" s="5"/>
      <c r="U12" s="5"/>
      <c r="V12" s="5"/>
      <c r="W12" s="5"/>
      <c r="X12" s="5"/>
      <c r="Y12" s="5"/>
      <c r="Z12" s="5"/>
      <c r="AA12" s="5"/>
      <c r="AB12" s="448"/>
    </row>
    <row r="13" spans="2:28" ht="12.75" customHeight="1">
      <c r="B13" s="405" t="s">
        <v>73</v>
      </c>
      <c r="D13" s="162">
        <v>0</v>
      </c>
      <c r="E13" s="996" t="s">
        <v>1582</v>
      </c>
      <c r="G13" s="52"/>
      <c r="N13" s="2005"/>
      <c r="O13" s="2068"/>
      <c r="P13" s="2042"/>
      <c r="Q13" s="2042"/>
      <c r="R13" s="2042"/>
      <c r="S13" s="2042"/>
      <c r="T13" s="2042"/>
      <c r="U13" s="2042"/>
      <c r="V13" s="2042"/>
      <c r="W13" s="2042"/>
      <c r="X13" s="2042"/>
      <c r="Y13" s="2042"/>
      <c r="Z13" s="2042"/>
      <c r="AA13" s="2042"/>
      <c r="AB13" s="2043"/>
    </row>
    <row r="14" spans="2:28" ht="12.75" customHeight="1">
      <c r="D14" s="907"/>
      <c r="E14" s="78"/>
      <c r="F14" s="78"/>
      <c r="G14" s="190"/>
      <c r="N14" s="362"/>
      <c r="O14" s="324" t="s">
        <v>2603</v>
      </c>
      <c r="P14" s="16"/>
      <c r="Q14" s="2063">
        <f>PWERM!D27</f>
        <v>0</v>
      </c>
      <c r="R14" s="2063">
        <f>PWERM!E27</f>
        <v>0</v>
      </c>
      <c r="S14" s="2063">
        <f>PWERM!F27</f>
        <v>1</v>
      </c>
      <c r="T14" s="2063">
        <f>PWERM!G27</f>
        <v>1</v>
      </c>
      <c r="U14" s="2063">
        <f>PWERM!H27</f>
        <v>1</v>
      </c>
      <c r="V14" s="2063">
        <f>PWERM!I27</f>
        <v>1</v>
      </c>
      <c r="W14" s="2063">
        <f>PWERM!J27</f>
        <v>1</v>
      </c>
      <c r="X14" s="2063">
        <f>PWERM!K27</f>
        <v>1</v>
      </c>
      <c r="Y14" s="2063">
        <f>PWERM!L27</f>
        <v>0</v>
      </c>
      <c r="Z14" s="2063">
        <f>PWERM!M27</f>
        <v>0</v>
      </c>
      <c r="AA14" s="2063">
        <f>PWERM!N27</f>
        <v>0</v>
      </c>
      <c r="AB14" s="204"/>
    </row>
    <row r="15" spans="2:28" ht="12.75" customHeight="1">
      <c r="D15" s="112">
        <v>1</v>
      </c>
      <c r="E15" s="113">
        <f>D15+1</f>
        <v>2</v>
      </c>
      <c r="F15" s="113">
        <f t="shared" ref="F15:K15" si="1">E15+1</f>
        <v>3</v>
      </c>
      <c r="G15" s="113">
        <f t="shared" si="1"/>
        <v>4</v>
      </c>
      <c r="H15" s="113">
        <f t="shared" si="1"/>
        <v>5</v>
      </c>
      <c r="I15" s="113">
        <f t="shared" si="1"/>
        <v>6</v>
      </c>
      <c r="J15" s="113">
        <f t="shared" si="1"/>
        <v>7</v>
      </c>
      <c r="K15" s="113">
        <f t="shared" si="1"/>
        <v>8</v>
      </c>
      <c r="N15" s="362"/>
      <c r="O15" s="324" t="s">
        <v>2604</v>
      </c>
      <c r="P15" s="16"/>
      <c r="Q15" s="937">
        <f>Q6+Q14</f>
        <v>3.0027397260273974</v>
      </c>
      <c r="R15" s="937">
        <f t="shared" ref="R15:AA15" si="2">R6+R14</f>
        <v>6.0054794520547947</v>
      </c>
      <c r="S15" s="937">
        <f t="shared" si="2"/>
        <v>3.0027397260273974</v>
      </c>
      <c r="T15" s="937">
        <f t="shared" si="2"/>
        <v>3.0027397260273974</v>
      </c>
      <c r="U15" s="937">
        <f t="shared" si="2"/>
        <v>4.0027397260273974</v>
      </c>
      <c r="V15" s="937">
        <f t="shared" si="2"/>
        <v>4.0027397260273974</v>
      </c>
      <c r="W15" s="937">
        <f t="shared" si="2"/>
        <v>7.0054794520547947</v>
      </c>
      <c r="X15" s="937">
        <f t="shared" si="2"/>
        <v>7.0054794520547947</v>
      </c>
      <c r="Y15" s="937">
        <f t="shared" si="2"/>
        <v>2.0027397260273974</v>
      </c>
      <c r="Z15" s="937">
        <f t="shared" si="2"/>
        <v>3.0027397260273974</v>
      </c>
      <c r="AA15" s="937">
        <f t="shared" si="2"/>
        <v>6.0054794520547947</v>
      </c>
      <c r="AB15" s="204"/>
    </row>
    <row r="16" spans="2:28" s="6" customFormat="1" ht="59.25" customHeight="1">
      <c r="B16" s="163" t="s">
        <v>321</v>
      </c>
      <c r="D16" s="583" t="str">
        <f t="array" ref="D16:K16">TRANSPOSE('Cap Table'!O30:O37)</f>
        <v>Series A and Series B Receive Liquidation Preference</v>
      </c>
      <c r="E16" s="584" t="str">
        <v>Common Stock Starts Receiving Value</v>
      </c>
      <c r="F16" s="584" t="str">
        <v>Options at $0.11 Strike Price Exercise</v>
      </c>
      <c r="G16" s="584" t="str">
        <v>Options at $0.13 Strike Price Exercise</v>
      </c>
      <c r="H16" s="584" t="str">
        <v>Options at $0.40 Strike Price Exercise</v>
      </c>
      <c r="I16" s="584" t="str">
        <v>Options Expected to be Granted Exercise at $0.47 Strike Price</v>
      </c>
      <c r="J16" s="584" t="str">
        <v>Series A Converts</v>
      </c>
      <c r="K16" s="584" t="str">
        <v>Series B Tranche I and Tranche II and Tranche III Warrants Convert</v>
      </c>
      <c r="M16" s="119"/>
      <c r="N16" s="2069"/>
      <c r="O16" s="2070" t="s">
        <v>2248</v>
      </c>
      <c r="P16" s="519"/>
      <c r="Q16" s="2072">
        <f>SUMPRODUCT(Q7:AA7,Q15:AA15)</f>
        <v>4.0484794520547958</v>
      </c>
      <c r="R16" s="519"/>
      <c r="S16" s="519"/>
      <c r="T16" s="519"/>
      <c r="U16" s="519"/>
      <c r="V16" s="519"/>
      <c r="W16" s="519"/>
      <c r="X16" s="519"/>
      <c r="Y16" s="519"/>
      <c r="Z16" s="519"/>
      <c r="AA16" s="519"/>
      <c r="AB16" s="2071"/>
    </row>
    <row r="17" spans="2:17" ht="12.75" customHeight="1"/>
    <row r="18" spans="2:17" ht="12.75" customHeight="1">
      <c r="B18" s="1" t="s">
        <v>326</v>
      </c>
      <c r="O18" s="41" t="str">
        <f>B18</f>
        <v>Liquidation Preference</v>
      </c>
    </row>
    <row r="19" spans="2:17" ht="12.75" customHeight="1">
      <c r="B19" s="2" t="str">
        <f>'Cap Table'!D7</f>
        <v>Series A</v>
      </c>
      <c r="D19" s="387">
        <f t="shared" ref="D19:I19" si="3">$O$19</f>
        <v>44050</v>
      </c>
      <c r="E19" s="387">
        <f t="shared" si="3"/>
        <v>44050</v>
      </c>
      <c r="F19" s="387">
        <f t="shared" si="3"/>
        <v>44050</v>
      </c>
      <c r="G19" s="387">
        <f t="shared" si="3"/>
        <v>44050</v>
      </c>
      <c r="H19" s="387">
        <f t="shared" si="3"/>
        <v>44050</v>
      </c>
      <c r="I19" s="387">
        <f t="shared" si="3"/>
        <v>44050</v>
      </c>
      <c r="J19" s="387">
        <v>0</v>
      </c>
      <c r="K19" s="387">
        <v>0</v>
      </c>
      <c r="M19" s="406"/>
      <c r="O19" s="761">
        <f t="array" ref="O19:O22">TRANSPOSE('Econ Rights'!D13:G13)</f>
        <v>44050</v>
      </c>
    </row>
    <row r="20" spans="2:17" ht="12.75" customHeight="1">
      <c r="B20" s="2" t="str">
        <f>'Cap Table'!E7</f>
        <v>Series B Tranche I</v>
      </c>
      <c r="D20" s="387">
        <f>$O$20</f>
        <v>22049.991999999998</v>
      </c>
      <c r="E20" s="387">
        <f t="shared" ref="E20:J20" si="4">$O$20</f>
        <v>22049.991999999998</v>
      </c>
      <c r="F20" s="387">
        <f t="shared" si="4"/>
        <v>22049.991999999998</v>
      </c>
      <c r="G20" s="387">
        <f t="shared" si="4"/>
        <v>22049.991999999998</v>
      </c>
      <c r="H20" s="387">
        <f t="shared" si="4"/>
        <v>22049.991999999998</v>
      </c>
      <c r="I20" s="387">
        <f t="shared" si="4"/>
        <v>22049.991999999998</v>
      </c>
      <c r="J20" s="387">
        <f t="shared" si="4"/>
        <v>22049.991999999998</v>
      </c>
      <c r="K20" s="387">
        <v>0</v>
      </c>
      <c r="O20" s="761">
        <v>22049.991999999998</v>
      </c>
    </row>
    <row r="21" spans="2:17" ht="12.75" customHeight="1">
      <c r="B21" s="2" t="str">
        <f>'Cap Table'!$F$7&amp;" Warrants"</f>
        <v>Series B Tranche II Warrants</v>
      </c>
      <c r="D21" s="387">
        <v>0</v>
      </c>
      <c r="E21" s="387">
        <f t="shared" ref="E21:J22" si="5">D21</f>
        <v>0</v>
      </c>
      <c r="F21" s="387">
        <f t="shared" si="5"/>
        <v>0</v>
      </c>
      <c r="G21" s="387">
        <f t="shared" si="5"/>
        <v>0</v>
      </c>
      <c r="H21" s="387">
        <f t="shared" si="5"/>
        <v>0</v>
      </c>
      <c r="I21" s="387">
        <f t="shared" si="5"/>
        <v>0</v>
      </c>
      <c r="J21" s="387">
        <f t="shared" si="5"/>
        <v>0</v>
      </c>
      <c r="K21" s="387">
        <v>0</v>
      </c>
      <c r="O21" s="761">
        <v>22049.991999999998</v>
      </c>
    </row>
    <row r="22" spans="2:17" ht="14.25" customHeight="1">
      <c r="B22" s="2" t="str">
        <f>'Cap Table'!$G$7&amp;" Warrants"</f>
        <v>Series B Tranche III Warrants</v>
      </c>
      <c r="D22" s="387">
        <v>0</v>
      </c>
      <c r="E22" s="387">
        <f t="shared" si="5"/>
        <v>0</v>
      </c>
      <c r="F22" s="387">
        <f t="shared" si="5"/>
        <v>0</v>
      </c>
      <c r="G22" s="387">
        <f t="shared" si="5"/>
        <v>0</v>
      </c>
      <c r="H22" s="387">
        <f t="shared" si="5"/>
        <v>0</v>
      </c>
      <c r="I22" s="387">
        <f t="shared" si="5"/>
        <v>0</v>
      </c>
      <c r="J22" s="387">
        <f t="shared" si="5"/>
        <v>0</v>
      </c>
      <c r="K22" s="387">
        <v>0</v>
      </c>
      <c r="O22" s="761">
        <v>22049.991999999998</v>
      </c>
    </row>
    <row r="23" spans="2:17" ht="12.75" customHeight="1">
      <c r="B23" s="5"/>
      <c r="C23" s="5"/>
      <c r="D23" s="5"/>
      <c r="E23" s="5"/>
      <c r="F23" s="5"/>
      <c r="G23" s="5"/>
      <c r="H23" s="5"/>
      <c r="I23" s="5"/>
      <c r="J23" s="5"/>
      <c r="K23" s="5"/>
      <c r="O23" s="327"/>
    </row>
    <row r="24" spans="2:17" ht="12.75" customHeight="1">
      <c r="B24" s="41" t="s">
        <v>474</v>
      </c>
      <c r="D24" s="38">
        <f t="shared" ref="D24:K24" si="6">SUM(D19:D22)</f>
        <v>66099.991999999998</v>
      </c>
      <c r="E24" s="38">
        <f t="shared" si="6"/>
        <v>66099.991999999998</v>
      </c>
      <c r="F24" s="38">
        <f t="shared" si="6"/>
        <v>66099.991999999998</v>
      </c>
      <c r="G24" s="38">
        <f t="shared" si="6"/>
        <v>66099.991999999998</v>
      </c>
      <c r="H24" s="38">
        <f t="shared" si="6"/>
        <v>66099.991999999998</v>
      </c>
      <c r="I24" s="38">
        <f t="shared" si="6"/>
        <v>66099.991999999998</v>
      </c>
      <c r="J24" s="38">
        <f t="shared" si="6"/>
        <v>22049.991999999998</v>
      </c>
      <c r="K24" s="38">
        <f t="shared" si="6"/>
        <v>0</v>
      </c>
    </row>
    <row r="25" spans="2:17" ht="12.75" customHeight="1"/>
    <row r="26" spans="2:17" ht="12.75" customHeight="1">
      <c r="B26" s="81" t="s">
        <v>476</v>
      </c>
      <c r="O26" s="41" t="str">
        <f>+B26</f>
        <v>Shares Outstanding / Converted to Common Stock</v>
      </c>
    </row>
    <row r="27" spans="2:17" ht="12.75" customHeight="1">
      <c r="B27" s="165" t="str">
        <f>+$B19</f>
        <v>Series A</v>
      </c>
      <c r="D27" s="387">
        <f t="shared" ref="D27:K28" si="7">IF(D19&gt;0,0,$O27)</f>
        <v>0</v>
      </c>
      <c r="E27" s="387">
        <f t="shared" si="7"/>
        <v>0</v>
      </c>
      <c r="F27" s="387">
        <f t="shared" si="7"/>
        <v>0</v>
      </c>
      <c r="G27" s="387">
        <f t="shared" si="7"/>
        <v>0</v>
      </c>
      <c r="H27" s="387">
        <f t="shared" si="7"/>
        <v>0</v>
      </c>
      <c r="I27" s="387">
        <f t="shared" si="7"/>
        <v>0</v>
      </c>
      <c r="J27" s="387">
        <f t="shared" si="7"/>
        <v>44050</v>
      </c>
      <c r="K27" s="387">
        <f t="shared" si="7"/>
        <v>44050</v>
      </c>
      <c r="O27" s="761">
        <f>'Cap Table'!D11</f>
        <v>44050</v>
      </c>
    </row>
    <row r="28" spans="2:17" ht="12.75" customHeight="1">
      <c r="B28" s="165" t="str">
        <f>+$B20</f>
        <v>Series B Tranche I</v>
      </c>
      <c r="D28" s="387">
        <f t="shared" si="7"/>
        <v>0</v>
      </c>
      <c r="E28" s="387">
        <f t="shared" si="7"/>
        <v>0</v>
      </c>
      <c r="F28" s="387">
        <f t="shared" si="7"/>
        <v>0</v>
      </c>
      <c r="G28" s="387">
        <f t="shared" si="7"/>
        <v>0</v>
      </c>
      <c r="H28" s="387">
        <f t="shared" si="7"/>
        <v>0</v>
      </c>
      <c r="I28" s="387">
        <f t="shared" si="7"/>
        <v>0</v>
      </c>
      <c r="J28" s="387">
        <f t="shared" si="7"/>
        <v>0</v>
      </c>
      <c r="K28" s="387">
        <f t="shared" si="7"/>
        <v>11024.995999999999</v>
      </c>
      <c r="O28" s="761">
        <f>'Cap Table'!E11</f>
        <v>11024.995999999999</v>
      </c>
      <c r="Q28" s="1" t="s">
        <v>610</v>
      </c>
    </row>
    <row r="29" spans="2:17" ht="12.75" customHeight="1">
      <c r="B29" s="165" t="str">
        <f>+$B21</f>
        <v>Series B Tranche II Warrants</v>
      </c>
      <c r="D29" s="387">
        <v>0</v>
      </c>
      <c r="E29" s="387">
        <v>0</v>
      </c>
      <c r="F29" s="387">
        <v>0</v>
      </c>
      <c r="G29" s="387">
        <v>0</v>
      </c>
      <c r="H29" s="387">
        <v>0</v>
      </c>
      <c r="I29" s="387">
        <v>0</v>
      </c>
      <c r="J29" s="387">
        <v>0</v>
      </c>
      <c r="K29" s="387">
        <f>IF(K21&gt;0,0,$O29)</f>
        <v>11024.995999999999</v>
      </c>
      <c r="O29" s="761">
        <f>'Cap Table'!F11</f>
        <v>11024.995999999999</v>
      </c>
      <c r="Q29" s="2077">
        <f>'Econ Rights'!F12</f>
        <v>2</v>
      </c>
    </row>
    <row r="30" spans="2:17" ht="12.75" customHeight="1">
      <c r="B30" s="165" t="str">
        <f>+$B22</f>
        <v>Series B Tranche III Warrants</v>
      </c>
      <c r="D30" s="387">
        <v>0</v>
      </c>
      <c r="E30" s="387">
        <v>0</v>
      </c>
      <c r="F30" s="387"/>
      <c r="G30" s="387"/>
      <c r="H30" s="387"/>
      <c r="I30" s="387"/>
      <c r="J30" s="387"/>
      <c r="K30" s="387">
        <f>IF(K22&gt;0,0,$O30)</f>
        <v>11024.995999999999</v>
      </c>
      <c r="O30" s="761">
        <f>'Cap Table'!G11</f>
        <v>11024.995999999999</v>
      </c>
      <c r="Q30" s="847">
        <f>'Econ Rights'!E12</f>
        <v>2</v>
      </c>
    </row>
    <row r="31" spans="2:17" ht="12.75" customHeight="1">
      <c r="B31" s="329" t="str">
        <f>'Cap Table'!B24</f>
        <v>Options at $0.11 Strike Price</v>
      </c>
      <c r="D31" s="387">
        <v>0</v>
      </c>
      <c r="E31" s="387">
        <v>0</v>
      </c>
      <c r="F31" s="387">
        <f>IF($Q31&lt;=F$39,$O31,0)</f>
        <v>190</v>
      </c>
      <c r="G31" s="387">
        <f t="shared" ref="G31:K34" si="8">IF($Q31&lt;=G$39,$O31,0)</f>
        <v>190</v>
      </c>
      <c r="H31" s="387">
        <f t="shared" si="8"/>
        <v>190</v>
      </c>
      <c r="I31" s="387">
        <f t="shared" si="8"/>
        <v>190</v>
      </c>
      <c r="J31" s="387">
        <f t="shared" si="8"/>
        <v>190</v>
      </c>
      <c r="K31" s="387">
        <f t="shared" si="8"/>
        <v>190</v>
      </c>
      <c r="O31" s="761">
        <f>'Cap Table'!D24</f>
        <v>190</v>
      </c>
      <c r="Q31" s="847">
        <f>'Cap Table'!E24</f>
        <v>0.11</v>
      </c>
    </row>
    <row r="32" spans="2:17" ht="12.75" customHeight="1">
      <c r="B32" s="329" t="str">
        <f>'Cap Table'!B25</f>
        <v>Options at $0.13 Strike Price</v>
      </c>
      <c r="D32" s="387">
        <v>0</v>
      </c>
      <c r="E32" s="387">
        <v>0</v>
      </c>
      <c r="F32" s="387">
        <f>IF($Q32&lt;=F$39,$O32,0)</f>
        <v>0</v>
      </c>
      <c r="G32" s="387">
        <f t="shared" si="8"/>
        <v>620.404</v>
      </c>
      <c r="H32" s="387">
        <f t="shared" si="8"/>
        <v>620.404</v>
      </c>
      <c r="I32" s="387">
        <f t="shared" si="8"/>
        <v>620.404</v>
      </c>
      <c r="J32" s="387">
        <f t="shared" si="8"/>
        <v>620.404</v>
      </c>
      <c r="K32" s="387">
        <f t="shared" si="8"/>
        <v>620.404</v>
      </c>
      <c r="O32" s="761">
        <f>'Cap Table'!D25</f>
        <v>620.404</v>
      </c>
      <c r="Q32" s="847">
        <f>'Cap Table'!E25</f>
        <v>0.13</v>
      </c>
    </row>
    <row r="33" spans="1:17" ht="12.75" customHeight="1">
      <c r="B33" s="329" t="str">
        <f>'Cap Table'!B26</f>
        <v>Options at $0.40 Strike Price</v>
      </c>
      <c r="D33" s="387">
        <v>0</v>
      </c>
      <c r="E33" s="387">
        <v>0</v>
      </c>
      <c r="F33" s="387">
        <f>IF($Q33&lt;=F$39,$O33,0)</f>
        <v>0</v>
      </c>
      <c r="G33" s="387">
        <f t="shared" si="8"/>
        <v>0</v>
      </c>
      <c r="H33" s="387">
        <f t="shared" si="8"/>
        <v>826</v>
      </c>
      <c r="I33" s="387">
        <f t="shared" si="8"/>
        <v>826</v>
      </c>
      <c r="J33" s="387">
        <f t="shared" si="8"/>
        <v>826</v>
      </c>
      <c r="K33" s="387">
        <f t="shared" si="8"/>
        <v>826</v>
      </c>
      <c r="O33" s="761">
        <f>'Cap Table'!D26</f>
        <v>826</v>
      </c>
      <c r="Q33" s="847">
        <f>'Cap Table'!E26</f>
        <v>0.4</v>
      </c>
    </row>
    <row r="34" spans="1:17" ht="12.75" customHeight="1">
      <c r="B34" s="329" t="str">
        <f>'Cap Table'!B27</f>
        <v>Expected Options Grant</v>
      </c>
      <c r="D34" s="387">
        <v>0</v>
      </c>
      <c r="E34" s="387">
        <v>0</v>
      </c>
      <c r="F34" s="387">
        <f>IF($Q34&lt;=F$39,$O34,0)</f>
        <v>0</v>
      </c>
      <c r="G34" s="387">
        <f t="shared" si="8"/>
        <v>0</v>
      </c>
      <c r="H34" s="387">
        <f t="shared" si="8"/>
        <v>0</v>
      </c>
      <c r="I34" s="387">
        <f t="shared" si="8"/>
        <v>2127.3489690721649</v>
      </c>
      <c r="J34" s="387">
        <f t="shared" si="8"/>
        <v>2127.3489690721649</v>
      </c>
      <c r="K34" s="387">
        <f t="shared" si="8"/>
        <v>2127.3489690721649</v>
      </c>
      <c r="O34" s="761">
        <f>'Cap Table'!D27</f>
        <v>2127.3489690721649</v>
      </c>
      <c r="Q34" s="1662">
        <f>'Cap Table'!E27</f>
        <v>0.47</v>
      </c>
    </row>
    <row r="35" spans="1:17" ht="12.75" customHeight="1">
      <c r="B35" s="165" t="str">
        <f>'Cap Table'!H7</f>
        <v>Common</v>
      </c>
      <c r="D35" s="387">
        <v>0</v>
      </c>
      <c r="E35" s="387">
        <f>$O$35</f>
        <v>16327.046</v>
      </c>
      <c r="F35" s="387">
        <f>E35</f>
        <v>16327.046</v>
      </c>
      <c r="G35" s="387">
        <f t="shared" ref="G35:K35" si="9">F35</f>
        <v>16327.046</v>
      </c>
      <c r="H35" s="387">
        <f t="shared" si="9"/>
        <v>16327.046</v>
      </c>
      <c r="I35" s="387">
        <f t="shared" si="9"/>
        <v>16327.046</v>
      </c>
      <c r="J35" s="387">
        <f t="shared" si="9"/>
        <v>16327.046</v>
      </c>
      <c r="K35" s="387">
        <f t="shared" si="9"/>
        <v>16327.046</v>
      </c>
      <c r="O35" s="761">
        <f>'Cap Table'!H11</f>
        <v>16327.046</v>
      </c>
    </row>
    <row r="36" spans="1:17" ht="12.75" customHeight="1" thickBot="1">
      <c r="B36" s="5"/>
      <c r="C36" s="5"/>
      <c r="D36" s="5"/>
      <c r="E36" s="5"/>
      <c r="F36" s="5"/>
      <c r="G36" s="5"/>
      <c r="H36" s="5"/>
      <c r="I36" s="5"/>
      <c r="J36" s="5"/>
      <c r="K36" s="5"/>
      <c r="O36" s="171"/>
    </row>
    <row r="37" spans="1:17" ht="12.75" customHeight="1" thickBot="1">
      <c r="B37" s="41" t="s">
        <v>1556</v>
      </c>
      <c r="D37" s="38">
        <f t="shared" ref="D37:K37" si="10">SUM(D27:D35)</f>
        <v>0</v>
      </c>
      <c r="E37" s="38">
        <f t="shared" si="10"/>
        <v>16327.046</v>
      </c>
      <c r="F37" s="38">
        <f t="shared" si="10"/>
        <v>16517.046000000002</v>
      </c>
      <c r="G37" s="38">
        <f t="shared" si="10"/>
        <v>17137.45</v>
      </c>
      <c r="H37" s="38">
        <f t="shared" si="10"/>
        <v>17963.45</v>
      </c>
      <c r="I37" s="38">
        <f t="shared" si="10"/>
        <v>20090.798969072166</v>
      </c>
      <c r="J37" s="38">
        <f t="shared" si="10"/>
        <v>64140.798969072166</v>
      </c>
      <c r="K37" s="38">
        <f t="shared" si="10"/>
        <v>97215.786969072156</v>
      </c>
      <c r="M37" s="404" t="str">
        <f>IF(O37&lt;&gt;('Cap Table'!J20-'Cap Table'!J14+'OPM 1_OIP'!O34),"ERROR","")</f>
        <v/>
      </c>
      <c r="O37" s="38">
        <f>SUM(O27:O35)</f>
        <v>97215.786969072156</v>
      </c>
    </row>
    <row r="38" spans="1:17" ht="12.75" customHeight="1"/>
    <row r="39" spans="1:17" ht="12.75" customHeight="1">
      <c r="B39" s="2" t="s">
        <v>328</v>
      </c>
      <c r="D39" s="1663">
        <f t="array" ref="D39:K39">TRANSPOSE('Cap Table'!M30:M37)</f>
        <v>0</v>
      </c>
      <c r="E39" s="1663">
        <v>0</v>
      </c>
      <c r="F39" s="1663">
        <v>0.11</v>
      </c>
      <c r="G39" s="1663">
        <v>0.13</v>
      </c>
      <c r="H39" s="1663">
        <v>0.4</v>
      </c>
      <c r="I39" s="1663">
        <v>0.47</v>
      </c>
      <c r="J39" s="1663">
        <v>1</v>
      </c>
      <c r="K39" s="1663">
        <v>2</v>
      </c>
    </row>
    <row r="40" spans="1:17" ht="12.75" customHeight="1">
      <c r="B40" s="5"/>
      <c r="C40" s="5"/>
      <c r="D40" s="5"/>
      <c r="E40" s="5"/>
      <c r="F40" s="5"/>
      <c r="G40" s="5"/>
      <c r="H40" s="5"/>
      <c r="I40" s="5"/>
      <c r="J40" s="5"/>
      <c r="K40" s="5"/>
    </row>
    <row r="41" spans="1:17" ht="12.75" customHeight="1">
      <c r="B41" s="26" t="s">
        <v>1557</v>
      </c>
      <c r="C41" s="16"/>
      <c r="D41" s="998">
        <f>D37*D39</f>
        <v>0</v>
      </c>
      <c r="E41" s="998">
        <f t="shared" ref="E41:K41" si="11">E37*E39</f>
        <v>0</v>
      </c>
      <c r="F41" s="998">
        <f t="shared" si="11"/>
        <v>1816.8750600000003</v>
      </c>
      <c r="G41" s="998">
        <f t="shared" si="11"/>
        <v>2227.8685</v>
      </c>
      <c r="H41" s="998">
        <f t="shared" si="11"/>
        <v>7185.380000000001</v>
      </c>
      <c r="I41" s="998">
        <f t="shared" si="11"/>
        <v>9442.6755154639177</v>
      </c>
      <c r="J41" s="998">
        <f t="shared" si="11"/>
        <v>64140.798969072166</v>
      </c>
      <c r="K41" s="998">
        <f t="shared" si="11"/>
        <v>194431.57393814431</v>
      </c>
    </row>
    <row r="42" spans="1:17" ht="12.75" customHeight="1"/>
    <row r="43" spans="1:17" ht="12.75" customHeight="1">
      <c r="B43" s="2" t="s">
        <v>329</v>
      </c>
      <c r="D43" s="42">
        <f>-SUMPRODUCT(D31:D34,$Q$31:$Q$34)</f>
        <v>0</v>
      </c>
      <c r="E43" s="42">
        <f t="shared" ref="E43:J43" si="12">-SUMPRODUCT(E31:E34,$Q$31:$Q$34)</f>
        <v>0</v>
      </c>
      <c r="F43" s="42">
        <f t="shared" si="12"/>
        <v>-20.9</v>
      </c>
      <c r="G43" s="42">
        <f t="shared" si="12"/>
        <v>-101.55251999999999</v>
      </c>
      <c r="H43" s="42">
        <f t="shared" si="12"/>
        <v>-431.95252000000005</v>
      </c>
      <c r="I43" s="42">
        <f t="shared" si="12"/>
        <v>-1431.8065354639175</v>
      </c>
      <c r="J43" s="42">
        <f t="shared" si="12"/>
        <v>-1431.8065354639175</v>
      </c>
      <c r="K43" s="42">
        <f>-SUMPRODUCT(K29:K34,$Q$29:$Q$34)</f>
        <v>-45531.790535463922</v>
      </c>
    </row>
    <row r="44" spans="1:17" ht="12.75" customHeight="1">
      <c r="B44" s="5"/>
      <c r="C44" s="5"/>
      <c r="D44" s="5"/>
      <c r="E44" s="5"/>
      <c r="F44" s="5"/>
      <c r="G44" s="5"/>
      <c r="H44" s="5"/>
      <c r="I44" s="5"/>
      <c r="J44" s="5"/>
      <c r="K44" s="5"/>
    </row>
    <row r="45" spans="1:17" ht="12.75" customHeight="1">
      <c r="B45" s="41" t="s">
        <v>330</v>
      </c>
      <c r="D45" s="998">
        <f t="shared" ref="D45:K45" si="13">SUM(D41:D43)+D24</f>
        <v>66099.991999999998</v>
      </c>
      <c r="E45" s="998">
        <f t="shared" si="13"/>
        <v>66099.991999999998</v>
      </c>
      <c r="F45" s="998">
        <f t="shared" si="13"/>
        <v>67895.967059999995</v>
      </c>
      <c r="G45" s="998">
        <f t="shared" si="13"/>
        <v>68226.307979999998</v>
      </c>
      <c r="H45" s="998">
        <f t="shared" si="13"/>
        <v>72853.419479999997</v>
      </c>
      <c r="I45" s="998">
        <f t="shared" si="13"/>
        <v>74110.860979999998</v>
      </c>
      <c r="J45" s="998">
        <f t="shared" si="13"/>
        <v>84758.984433608246</v>
      </c>
      <c r="K45" s="998">
        <f t="shared" si="13"/>
        <v>148899.78340268039</v>
      </c>
    </row>
    <row r="46" spans="1:17" ht="12.75" customHeight="1">
      <c r="B46" s="41"/>
      <c r="D46" s="38"/>
      <c r="E46" s="38"/>
      <c r="F46" s="38"/>
      <c r="G46" s="38"/>
      <c r="H46" s="38"/>
      <c r="I46" s="38"/>
      <c r="J46" s="38"/>
      <c r="K46" s="38"/>
    </row>
    <row r="47" spans="1:17" ht="12.75" customHeight="1"/>
    <row r="48" spans="1:17" s="6" customFormat="1" ht="12.75" customHeight="1">
      <c r="A48" s="76"/>
      <c r="B48" s="279" t="s">
        <v>332</v>
      </c>
      <c r="D48" s="280">
        <f>D$15</f>
        <v>1</v>
      </c>
      <c r="E48" s="281">
        <f t="shared" ref="E48:K48" si="14">E$15</f>
        <v>2</v>
      </c>
      <c r="F48" s="281">
        <f t="shared" si="14"/>
        <v>3</v>
      </c>
      <c r="G48" s="281">
        <f t="shared" si="14"/>
        <v>4</v>
      </c>
      <c r="H48" s="281">
        <f t="shared" si="14"/>
        <v>5</v>
      </c>
      <c r="I48" s="281">
        <f t="shared" si="14"/>
        <v>6</v>
      </c>
      <c r="J48" s="281">
        <f t="shared" si="14"/>
        <v>7</v>
      </c>
      <c r="K48" s="281">
        <f t="shared" si="14"/>
        <v>8</v>
      </c>
      <c r="O48" s="330"/>
    </row>
    <row r="49" spans="2:15" ht="12.75" customHeight="1"/>
    <row r="50" spans="2:15" ht="12.75" customHeight="1">
      <c r="B50" s="405" t="s">
        <v>333</v>
      </c>
      <c r="D50" s="92">
        <v>1E-10</v>
      </c>
      <c r="E50" s="92">
        <f>D51</f>
        <v>66099.991999999998</v>
      </c>
      <c r="F50" s="92">
        <f t="shared" ref="F50:K50" si="15">E51</f>
        <v>67895.967059999995</v>
      </c>
      <c r="G50" s="92">
        <f t="shared" si="15"/>
        <v>68226.307979999998</v>
      </c>
      <c r="H50" s="92">
        <f t="shared" si="15"/>
        <v>72853.419479999997</v>
      </c>
      <c r="I50" s="92">
        <f t="shared" si="15"/>
        <v>74110.860979999998</v>
      </c>
      <c r="J50" s="92">
        <f t="shared" si="15"/>
        <v>84758.984433608246</v>
      </c>
      <c r="K50" s="92">
        <f t="shared" si="15"/>
        <v>148899.78340268039</v>
      </c>
    </row>
    <row r="51" spans="2:15" ht="12.75" customHeight="1">
      <c r="B51" s="405" t="s">
        <v>334</v>
      </c>
      <c r="D51" s="92">
        <f>D45</f>
        <v>66099.991999999998</v>
      </c>
      <c r="E51" s="92">
        <f>IF(F45=0,"n/a",IF(D51=E45,F45,E45))</f>
        <v>67895.967059999995</v>
      </c>
      <c r="F51" s="92">
        <f t="shared" ref="F51:K51" si="16">IF(G45=0,"n/a",IF(E51=F45,G45,F45))</f>
        <v>68226.307979999998</v>
      </c>
      <c r="G51" s="92">
        <f t="shared" si="16"/>
        <v>72853.419479999997</v>
      </c>
      <c r="H51" s="92">
        <f t="shared" si="16"/>
        <v>74110.860979999998</v>
      </c>
      <c r="I51" s="92">
        <f t="shared" si="16"/>
        <v>84758.984433608246</v>
      </c>
      <c r="J51" s="92">
        <f t="shared" si="16"/>
        <v>148899.78340268039</v>
      </c>
      <c r="K51" s="92" t="str">
        <f t="shared" si="16"/>
        <v>n/a</v>
      </c>
    </row>
    <row r="52" spans="2:15" ht="12.75" customHeight="1"/>
    <row r="53" spans="2:15" ht="12.75" customHeight="1" outlineLevel="1">
      <c r="B53" s="405" t="s">
        <v>338</v>
      </c>
      <c r="D53" s="406">
        <f>(LN($D$9/D50)+($D$12+$D$11^2/2)*$D$10)/($D$11*SQRT($D$10))</f>
        <v>23.922191695777009</v>
      </c>
      <c r="E53" s="406">
        <f>(LN($D$9/E50)+($D$12+$D$11^2/2)*$D$10)/($D$11*SQRT($D$10))</f>
        <v>1.5769296259704906</v>
      </c>
      <c r="F53" s="406">
        <f t="shared" ref="F53:K53" si="17">(LN($D$9/F50)+($D$12+$D$11^2/2)*$D$10)/($D$11*SQRT($D$10))</f>
        <v>1.5593754574942524</v>
      </c>
      <c r="G53" s="406">
        <f t="shared" si="17"/>
        <v>1.5561972687786778</v>
      </c>
      <c r="H53" s="406">
        <f t="shared" si="17"/>
        <v>1.5132291042252455</v>
      </c>
      <c r="I53" s="406">
        <f t="shared" si="17"/>
        <v>1.5020235781982341</v>
      </c>
      <c r="J53" s="406">
        <f t="shared" si="17"/>
        <v>1.4141154876968158</v>
      </c>
      <c r="K53" s="406">
        <f t="shared" si="17"/>
        <v>1.0451548085512998</v>
      </c>
    </row>
    <row r="54" spans="2:15" ht="12.75" customHeight="1" outlineLevel="1">
      <c r="B54" s="405" t="s">
        <v>340</v>
      </c>
      <c r="D54" s="406">
        <f>D53-$D$11*SQRT($D$10)</f>
        <v>22.395032393364453</v>
      </c>
      <c r="E54" s="406">
        <f t="shared" ref="E54:K54" si="18">E53-$D$11*SQRT($D$10)</f>
        <v>4.9770323557934315E-2</v>
      </c>
      <c r="F54" s="406">
        <f t="shared" si="18"/>
        <v>3.2216155081696174E-2</v>
      </c>
      <c r="G54" s="406">
        <f t="shared" si="18"/>
        <v>2.9037966366121548E-2</v>
      </c>
      <c r="H54" s="406">
        <f t="shared" si="18"/>
        <v>-1.3930198187310783E-2</v>
      </c>
      <c r="I54" s="406">
        <f t="shared" si="18"/>
        <v>-2.5135724214322197E-2</v>
      </c>
      <c r="J54" s="406">
        <f t="shared" si="18"/>
        <v>-0.11304381471574043</v>
      </c>
      <c r="K54" s="406">
        <f t="shared" si="18"/>
        <v>-0.48200449386125643</v>
      </c>
    </row>
    <row r="55" spans="2:15" ht="12.75" customHeight="1" outlineLevel="1">
      <c r="D55" s="406"/>
      <c r="E55" s="406"/>
      <c r="F55" s="406"/>
      <c r="G55" s="406"/>
      <c r="H55" s="406"/>
      <c r="I55" s="406"/>
      <c r="J55" s="406"/>
      <c r="K55" s="406"/>
    </row>
    <row r="56" spans="2:15" ht="12.75" customHeight="1" outlineLevel="1">
      <c r="B56" s="405" t="s">
        <v>339</v>
      </c>
      <c r="D56" s="406">
        <f>(LN($D$9/D51)+($D$12+$D$11^2/2)*$D$10)/($D$11*SQRT($D$10))</f>
        <v>1.5769296259704906</v>
      </c>
      <c r="E56" s="92">
        <f>IF(E51="n/a","n/a",(LN($D$9/E51)+($D$12+$D$11^2/2)*$D$10)/($D$11*SQRT($D$10)))</f>
        <v>1.5593754574942524</v>
      </c>
      <c r="F56" s="92">
        <f t="shared" ref="F56:K56" si="19">IF(F51="n/a","n/a",(LN($D$9/F51)+($D$12+$D$11^2/2)*$D$10)/($D$11*SQRT($D$10)))</f>
        <v>1.5561972687786778</v>
      </c>
      <c r="G56" s="92">
        <f t="shared" si="19"/>
        <v>1.5132291042252455</v>
      </c>
      <c r="H56" s="92">
        <f t="shared" si="19"/>
        <v>1.5020235781982341</v>
      </c>
      <c r="I56" s="92">
        <f t="shared" si="19"/>
        <v>1.4141154876968158</v>
      </c>
      <c r="J56" s="92">
        <f t="shared" si="19"/>
        <v>1.0451548085512998</v>
      </c>
      <c r="K56" s="92" t="str">
        <f t="shared" si="19"/>
        <v>n/a</v>
      </c>
    </row>
    <row r="57" spans="2:15" ht="12.75" customHeight="1" outlineLevel="1">
      <c r="B57" s="405" t="s">
        <v>341</v>
      </c>
      <c r="D57" s="406">
        <f>D56-$D$11*SQRT($D$10)</f>
        <v>4.9770323557934315E-2</v>
      </c>
      <c r="E57" s="92">
        <f>IF(E51="n/a","n/a",E56-$D$11*SQRT($D$10))</f>
        <v>3.2216155081696174E-2</v>
      </c>
      <c r="F57" s="92">
        <f t="shared" ref="F57:K57" si="20">IF(F51="n/a","n/a",F56-$D$11*SQRT($D$10))</f>
        <v>2.9037966366121548E-2</v>
      </c>
      <c r="G57" s="92">
        <f t="shared" si="20"/>
        <v>-1.3930198187310783E-2</v>
      </c>
      <c r="H57" s="92">
        <f t="shared" si="20"/>
        <v>-2.5135724214322197E-2</v>
      </c>
      <c r="I57" s="92">
        <f t="shared" si="20"/>
        <v>-0.11304381471574043</v>
      </c>
      <c r="J57" s="92">
        <f t="shared" si="20"/>
        <v>-0.48200449386125643</v>
      </c>
      <c r="K57" s="92" t="str">
        <f t="shared" si="20"/>
        <v>n/a</v>
      </c>
    </row>
    <row r="58" spans="2:15" ht="12.75" customHeight="1" outlineLevel="1">
      <c r="D58" s="406"/>
      <c r="E58" s="406"/>
      <c r="F58" s="406"/>
      <c r="G58" s="406"/>
      <c r="H58" s="406"/>
      <c r="I58" s="406"/>
      <c r="J58" s="406"/>
      <c r="K58" s="406"/>
    </row>
    <row r="59" spans="2:15" ht="12.75" customHeight="1">
      <c r="B59" s="405" t="s">
        <v>335</v>
      </c>
      <c r="D59" s="406">
        <f>$D$9*NORMSDIST(D53)-D50*EXP(-$D$12*$D$10)*NORMSDIST(D54)</f>
        <v>208419.36584352466</v>
      </c>
      <c r="E59" s="406">
        <f t="shared" ref="E59:K59" si="21">$D$9*NORMSDIST(E53)-E50*EXP(-$D$12*$D$10)*NORMSDIST(E54)</f>
        <v>165167.42260543437</v>
      </c>
      <c r="F59" s="406">
        <f t="shared" si="21"/>
        <v>164323.07048261978</v>
      </c>
      <c r="G59" s="406">
        <f t="shared" si="21"/>
        <v>164169.00388304729</v>
      </c>
      <c r="H59" s="406">
        <f t="shared" si="21"/>
        <v>162050.14764509469</v>
      </c>
      <c r="I59" s="406">
        <f t="shared" si="21"/>
        <v>161486.60884094884</v>
      </c>
      <c r="J59" s="406">
        <f t="shared" si="21"/>
        <v>156909.6327608985</v>
      </c>
      <c r="K59" s="406">
        <f t="shared" si="21"/>
        <v>134884.87655453477</v>
      </c>
    </row>
    <row r="60" spans="2:15" ht="12.75" customHeight="1">
      <c r="B60" s="405" t="s">
        <v>336</v>
      </c>
      <c r="D60" s="406">
        <f>$D$9*NORMSDIST(D56)-D51*EXP(-$D$12*$D$10)*NORMSDIST(D57)</f>
        <v>165167.42260543437</v>
      </c>
      <c r="E60" s="92">
        <f>IF(E51="n/a","n/a",$D$9*NORMSDIST(E56)-E51*EXP(-$D$12*$D$10)*NORMSDIST(E57))</f>
        <v>164323.07048261978</v>
      </c>
      <c r="F60" s="92">
        <f t="shared" ref="F60:K60" si="22">IF(F51="n/a","n/a",$D$9*NORMSDIST(F56)-F51*EXP(-$D$12*$D$10)*NORMSDIST(F57))</f>
        <v>164169.00388304729</v>
      </c>
      <c r="G60" s="92">
        <f t="shared" si="22"/>
        <v>162050.14764509469</v>
      </c>
      <c r="H60" s="92">
        <f t="shared" si="22"/>
        <v>161486.60884094884</v>
      </c>
      <c r="I60" s="92">
        <f t="shared" si="22"/>
        <v>156909.6327608985</v>
      </c>
      <c r="J60" s="92">
        <f t="shared" si="22"/>
        <v>134884.87655453477</v>
      </c>
      <c r="K60" s="92" t="str">
        <f t="shared" si="22"/>
        <v>n/a</v>
      </c>
    </row>
    <row r="61" spans="2:15" ht="12.75" customHeight="1"/>
    <row r="62" spans="2:15" ht="12.75" customHeight="1">
      <c r="B62" s="1" t="s">
        <v>337</v>
      </c>
      <c r="C62" s="1"/>
      <c r="D62" s="998">
        <f>D59-D60</f>
        <v>43251.943238090287</v>
      </c>
      <c r="E62" s="998">
        <f>IF(E51="n/a",E59,E59-E60)</f>
        <v>844.35212281459826</v>
      </c>
      <c r="F62" s="998">
        <f t="shared" ref="F62:K62" si="23">IF(F51="n/a",F59,F59-F60)</f>
        <v>154.06659957248485</v>
      </c>
      <c r="G62" s="998">
        <f t="shared" si="23"/>
        <v>2118.8562379525974</v>
      </c>
      <c r="H62" s="998">
        <f t="shared" si="23"/>
        <v>563.53880414585001</v>
      </c>
      <c r="I62" s="998">
        <f t="shared" si="23"/>
        <v>4576.9760800503427</v>
      </c>
      <c r="J62" s="998">
        <f t="shared" si="23"/>
        <v>22024.756206363731</v>
      </c>
      <c r="K62" s="998">
        <f t="shared" si="23"/>
        <v>134884.87655453477</v>
      </c>
    </row>
    <row r="63" spans="2:15" ht="12.75" customHeight="1"/>
    <row r="64" spans="2:15" s="6" customFormat="1" ht="12.75" customHeight="1">
      <c r="B64" s="279" t="s">
        <v>331</v>
      </c>
      <c r="D64" s="280">
        <f>D$15</f>
        <v>1</v>
      </c>
      <c r="E64" s="281">
        <f t="shared" ref="E64:K64" si="24">E$15</f>
        <v>2</v>
      </c>
      <c r="F64" s="281">
        <f t="shared" si="24"/>
        <v>3</v>
      </c>
      <c r="G64" s="281">
        <f t="shared" si="24"/>
        <v>4</v>
      </c>
      <c r="H64" s="281">
        <f t="shared" si="24"/>
        <v>5</v>
      </c>
      <c r="I64" s="281">
        <f t="shared" si="24"/>
        <v>6</v>
      </c>
      <c r="J64" s="281">
        <f t="shared" si="24"/>
        <v>7</v>
      </c>
      <c r="K64" s="281">
        <f t="shared" si="24"/>
        <v>8</v>
      </c>
      <c r="O64" s="330"/>
    </row>
    <row r="65" spans="2:11" ht="12.75" customHeight="1"/>
    <row r="66" spans="2:11" ht="12.75" customHeight="1">
      <c r="D66" s="999" t="s">
        <v>325</v>
      </c>
      <c r="E66" s="999" t="s">
        <v>262</v>
      </c>
      <c r="F66" s="999" t="s">
        <v>262</v>
      </c>
      <c r="G66" s="999" t="s">
        <v>262</v>
      </c>
      <c r="H66" s="999" t="s">
        <v>262</v>
      </c>
      <c r="I66" s="999" t="s">
        <v>262</v>
      </c>
      <c r="J66" s="999" t="s">
        <v>262</v>
      </c>
      <c r="K66" s="999" t="s">
        <v>262</v>
      </c>
    </row>
    <row r="67" spans="2:11" ht="12.75" customHeight="1"/>
    <row r="68" spans="2:11" ht="12.75" customHeight="1">
      <c r="B68" s="165" t="str">
        <f>B27</f>
        <v>Series A</v>
      </c>
      <c r="D68" s="387">
        <f>D19</f>
        <v>44050</v>
      </c>
      <c r="E68" s="387">
        <f>E27</f>
        <v>0</v>
      </c>
      <c r="F68" s="387">
        <f t="shared" ref="F68:K68" si="25">F27</f>
        <v>0</v>
      </c>
      <c r="G68" s="387">
        <f t="shared" si="25"/>
        <v>0</v>
      </c>
      <c r="H68" s="387">
        <f t="shared" si="25"/>
        <v>0</v>
      </c>
      <c r="I68" s="387">
        <f t="shared" si="25"/>
        <v>0</v>
      </c>
      <c r="J68" s="387">
        <f t="shared" si="25"/>
        <v>44050</v>
      </c>
      <c r="K68" s="387">
        <f t="shared" si="25"/>
        <v>44050</v>
      </c>
    </row>
    <row r="69" spans="2:11" ht="12.75" customHeight="1">
      <c r="B69" s="165" t="str">
        <f t="shared" ref="B69:B76" si="26">B28</f>
        <v>Series B Tranche I</v>
      </c>
      <c r="D69" s="387">
        <f>D20</f>
        <v>22049.991999999998</v>
      </c>
      <c r="E69" s="387">
        <f t="shared" ref="E69:K76" si="27">E28</f>
        <v>0</v>
      </c>
      <c r="F69" s="387">
        <f t="shared" si="27"/>
        <v>0</v>
      </c>
      <c r="G69" s="387">
        <f t="shared" si="27"/>
        <v>0</v>
      </c>
      <c r="H69" s="387">
        <f t="shared" si="27"/>
        <v>0</v>
      </c>
      <c r="I69" s="387">
        <f t="shared" si="27"/>
        <v>0</v>
      </c>
      <c r="J69" s="387">
        <f t="shared" si="27"/>
        <v>0</v>
      </c>
      <c r="K69" s="387">
        <f t="shared" si="27"/>
        <v>11024.995999999999</v>
      </c>
    </row>
    <row r="70" spans="2:11" ht="12.75" customHeight="1">
      <c r="B70" s="165" t="str">
        <f t="shared" si="26"/>
        <v>Series B Tranche II Warrants</v>
      </c>
      <c r="D70" s="387">
        <f>D21</f>
        <v>0</v>
      </c>
      <c r="E70" s="387">
        <f t="shared" si="27"/>
        <v>0</v>
      </c>
      <c r="F70" s="387">
        <f t="shared" si="27"/>
        <v>0</v>
      </c>
      <c r="G70" s="387">
        <f t="shared" si="27"/>
        <v>0</v>
      </c>
      <c r="H70" s="387">
        <f t="shared" si="27"/>
        <v>0</v>
      </c>
      <c r="I70" s="387">
        <f t="shared" si="27"/>
        <v>0</v>
      </c>
      <c r="J70" s="387">
        <f t="shared" si="27"/>
        <v>0</v>
      </c>
      <c r="K70" s="387">
        <f t="shared" si="27"/>
        <v>11024.995999999999</v>
      </c>
    </row>
    <row r="71" spans="2:11" ht="12.75" customHeight="1">
      <c r="B71" s="165" t="str">
        <f t="shared" si="26"/>
        <v>Series B Tranche III Warrants</v>
      </c>
      <c r="D71" s="387">
        <f>D22</f>
        <v>0</v>
      </c>
      <c r="E71" s="387">
        <f t="shared" si="27"/>
        <v>0</v>
      </c>
      <c r="F71" s="387">
        <f t="shared" si="27"/>
        <v>0</v>
      </c>
      <c r="G71" s="387">
        <f t="shared" si="27"/>
        <v>0</v>
      </c>
      <c r="H71" s="387">
        <f t="shared" si="27"/>
        <v>0</v>
      </c>
      <c r="I71" s="387">
        <f t="shared" si="27"/>
        <v>0</v>
      </c>
      <c r="J71" s="387">
        <f t="shared" si="27"/>
        <v>0</v>
      </c>
      <c r="K71" s="387">
        <f t="shared" si="27"/>
        <v>11024.995999999999</v>
      </c>
    </row>
    <row r="72" spans="2:11" ht="12.75" customHeight="1">
      <c r="B72" s="165" t="str">
        <f t="shared" si="26"/>
        <v>Options at $0.11 Strike Price</v>
      </c>
      <c r="D72" s="387">
        <v>0</v>
      </c>
      <c r="E72" s="387">
        <f t="shared" si="27"/>
        <v>0</v>
      </c>
      <c r="F72" s="387">
        <f t="shared" si="27"/>
        <v>190</v>
      </c>
      <c r="G72" s="387">
        <f t="shared" si="27"/>
        <v>190</v>
      </c>
      <c r="H72" s="387">
        <f t="shared" si="27"/>
        <v>190</v>
      </c>
      <c r="I72" s="387">
        <f t="shared" si="27"/>
        <v>190</v>
      </c>
      <c r="J72" s="387">
        <f t="shared" si="27"/>
        <v>190</v>
      </c>
      <c r="K72" s="387">
        <f t="shared" si="27"/>
        <v>190</v>
      </c>
    </row>
    <row r="73" spans="2:11" ht="12.75" customHeight="1">
      <c r="B73" s="165" t="str">
        <f t="shared" si="26"/>
        <v>Options at $0.13 Strike Price</v>
      </c>
      <c r="D73" s="387">
        <v>0</v>
      </c>
      <c r="E73" s="387">
        <f t="shared" si="27"/>
        <v>0</v>
      </c>
      <c r="F73" s="387">
        <f t="shared" si="27"/>
        <v>0</v>
      </c>
      <c r="G73" s="387">
        <f t="shared" si="27"/>
        <v>620.404</v>
      </c>
      <c r="H73" s="387">
        <f t="shared" si="27"/>
        <v>620.404</v>
      </c>
      <c r="I73" s="387">
        <f t="shared" si="27"/>
        <v>620.404</v>
      </c>
      <c r="J73" s="387">
        <f t="shared" si="27"/>
        <v>620.404</v>
      </c>
      <c r="K73" s="387">
        <f t="shared" si="27"/>
        <v>620.404</v>
      </c>
    </row>
    <row r="74" spans="2:11" ht="12.75" customHeight="1">
      <c r="B74" s="165" t="str">
        <f t="shared" si="26"/>
        <v>Options at $0.40 Strike Price</v>
      </c>
      <c r="D74" s="387">
        <v>0</v>
      </c>
      <c r="E74" s="387">
        <f t="shared" si="27"/>
        <v>0</v>
      </c>
      <c r="F74" s="387">
        <f t="shared" si="27"/>
        <v>0</v>
      </c>
      <c r="G74" s="387">
        <f t="shared" si="27"/>
        <v>0</v>
      </c>
      <c r="H74" s="387">
        <f t="shared" si="27"/>
        <v>826</v>
      </c>
      <c r="I74" s="387">
        <f t="shared" si="27"/>
        <v>826</v>
      </c>
      <c r="J74" s="387">
        <f t="shared" si="27"/>
        <v>826</v>
      </c>
      <c r="K74" s="387">
        <f t="shared" si="27"/>
        <v>826</v>
      </c>
    </row>
    <row r="75" spans="2:11" ht="12.75" customHeight="1">
      <c r="B75" s="165" t="str">
        <f t="shared" si="26"/>
        <v>Expected Options Grant</v>
      </c>
      <c r="D75" s="387">
        <v>0</v>
      </c>
      <c r="E75" s="387">
        <f t="shared" si="27"/>
        <v>0</v>
      </c>
      <c r="F75" s="387">
        <f t="shared" si="27"/>
        <v>0</v>
      </c>
      <c r="G75" s="387">
        <f t="shared" si="27"/>
        <v>0</v>
      </c>
      <c r="H75" s="387">
        <f t="shared" si="27"/>
        <v>0</v>
      </c>
      <c r="I75" s="387">
        <f t="shared" si="27"/>
        <v>2127.3489690721649</v>
      </c>
      <c r="J75" s="387">
        <f t="shared" si="27"/>
        <v>2127.3489690721649</v>
      </c>
      <c r="K75" s="387">
        <f t="shared" si="27"/>
        <v>2127.3489690721649</v>
      </c>
    </row>
    <row r="76" spans="2:11" ht="12.75" customHeight="1">
      <c r="B76" s="165" t="str">
        <f t="shared" si="26"/>
        <v>Common</v>
      </c>
      <c r="D76" s="387">
        <v>0</v>
      </c>
      <c r="E76" s="387">
        <f t="shared" si="27"/>
        <v>16327.046</v>
      </c>
      <c r="F76" s="387">
        <f t="shared" si="27"/>
        <v>16327.046</v>
      </c>
      <c r="G76" s="387">
        <f t="shared" si="27"/>
        <v>16327.046</v>
      </c>
      <c r="H76" s="387">
        <f t="shared" si="27"/>
        <v>16327.046</v>
      </c>
      <c r="I76" s="387">
        <f t="shared" si="27"/>
        <v>16327.046</v>
      </c>
      <c r="J76" s="387">
        <f t="shared" si="27"/>
        <v>16327.046</v>
      </c>
      <c r="K76" s="387">
        <f t="shared" si="27"/>
        <v>16327.046</v>
      </c>
    </row>
    <row r="77" spans="2:11" ht="12.75" customHeight="1">
      <c r="B77" s="5"/>
      <c r="C77" s="5"/>
      <c r="D77" s="5"/>
      <c r="E77" s="5"/>
      <c r="F77" s="5"/>
      <c r="G77" s="5"/>
      <c r="H77" s="5"/>
      <c r="I77" s="5"/>
      <c r="J77" s="5"/>
      <c r="K77" s="5"/>
    </row>
    <row r="78" spans="2:11" ht="12.75" customHeight="1">
      <c r="B78" s="41" t="s">
        <v>1558</v>
      </c>
      <c r="D78" s="38">
        <f t="shared" ref="D78:K78" si="28">SUM(D68:D76)</f>
        <v>66099.991999999998</v>
      </c>
      <c r="E78" s="38">
        <f t="shared" si="28"/>
        <v>16327.046</v>
      </c>
      <c r="F78" s="38">
        <f t="shared" si="28"/>
        <v>16517.046000000002</v>
      </c>
      <c r="G78" s="38">
        <f t="shared" si="28"/>
        <v>17137.45</v>
      </c>
      <c r="H78" s="38">
        <f t="shared" si="28"/>
        <v>17963.45</v>
      </c>
      <c r="I78" s="38">
        <f t="shared" si="28"/>
        <v>20090.798969072166</v>
      </c>
      <c r="J78" s="38">
        <f t="shared" si="28"/>
        <v>64140.798969072166</v>
      </c>
      <c r="K78" s="38">
        <f t="shared" si="28"/>
        <v>97215.786969072156</v>
      </c>
    </row>
    <row r="79" spans="2:11" ht="12.75" customHeight="1"/>
    <row r="80" spans="2:11" ht="12.75" customHeight="1">
      <c r="B80" s="279" t="s">
        <v>1586</v>
      </c>
      <c r="C80" s="6"/>
      <c r="D80" s="280">
        <f>D$15</f>
        <v>1</v>
      </c>
      <c r="E80" s="281">
        <f t="shared" ref="E80:K80" si="29">E$15</f>
        <v>2</v>
      </c>
      <c r="F80" s="281">
        <f t="shared" si="29"/>
        <v>3</v>
      </c>
      <c r="G80" s="281">
        <f t="shared" si="29"/>
        <v>4</v>
      </c>
      <c r="H80" s="281">
        <f t="shared" si="29"/>
        <v>5</v>
      </c>
      <c r="I80" s="281">
        <f t="shared" si="29"/>
        <v>6</v>
      </c>
      <c r="J80" s="281">
        <f t="shared" si="29"/>
        <v>7</v>
      </c>
      <c r="K80" s="281">
        <f t="shared" si="29"/>
        <v>8</v>
      </c>
    </row>
    <row r="81" spans="2:15" ht="12.75" customHeight="1"/>
    <row r="82" spans="2:15" ht="12.75" customHeight="1">
      <c r="B82" s="2" t="str">
        <f t="shared" ref="B82:B90" si="30">B68</f>
        <v>Series A</v>
      </c>
      <c r="D82" s="1664">
        <f t="shared" ref="D82:K90" si="31">D68/D$78</f>
        <v>0.66641460410464193</v>
      </c>
      <c r="E82" s="1664">
        <f t="shared" si="31"/>
        <v>0</v>
      </c>
      <c r="F82" s="1664">
        <f t="shared" si="31"/>
        <v>0</v>
      </c>
      <c r="G82" s="1664">
        <f t="shared" si="31"/>
        <v>0</v>
      </c>
      <c r="H82" s="1664">
        <f t="shared" si="31"/>
        <v>0</v>
      </c>
      <c r="I82" s="1664">
        <f t="shared" si="31"/>
        <v>0</v>
      </c>
      <c r="J82" s="1664">
        <f t="shared" si="31"/>
        <v>0.6867703662569018</v>
      </c>
      <c r="K82" s="1664">
        <f t="shared" si="31"/>
        <v>0.4531157065468584</v>
      </c>
    </row>
    <row r="83" spans="2:15" ht="12.75" customHeight="1">
      <c r="B83" s="2" t="str">
        <f t="shared" si="30"/>
        <v>Series B Tranche I</v>
      </c>
      <c r="D83" s="1664">
        <f t="shared" si="31"/>
        <v>0.33358539589535802</v>
      </c>
      <c r="E83" s="1664">
        <f t="shared" si="31"/>
        <v>0</v>
      </c>
      <c r="F83" s="1664">
        <f t="shared" si="31"/>
        <v>0</v>
      </c>
      <c r="G83" s="1664">
        <f t="shared" si="31"/>
        <v>0</v>
      </c>
      <c r="H83" s="1664">
        <f t="shared" si="31"/>
        <v>0</v>
      </c>
      <c r="I83" s="1664">
        <f t="shared" si="31"/>
        <v>0</v>
      </c>
      <c r="J83" s="1664">
        <f t="shared" si="31"/>
        <v>0</v>
      </c>
      <c r="K83" s="1664">
        <f t="shared" si="31"/>
        <v>0.11340746543056271</v>
      </c>
    </row>
    <row r="84" spans="2:15" ht="12.75" customHeight="1">
      <c r="B84" s="2" t="str">
        <f t="shared" si="30"/>
        <v>Series B Tranche II Warrants</v>
      </c>
      <c r="D84" s="1664">
        <f t="shared" si="31"/>
        <v>0</v>
      </c>
      <c r="E84" s="1664">
        <f t="shared" si="31"/>
        <v>0</v>
      </c>
      <c r="F84" s="1664">
        <f t="shared" si="31"/>
        <v>0</v>
      </c>
      <c r="G84" s="1664">
        <f t="shared" si="31"/>
        <v>0</v>
      </c>
      <c r="H84" s="1664">
        <f t="shared" si="31"/>
        <v>0</v>
      </c>
      <c r="I84" s="1664">
        <f t="shared" si="31"/>
        <v>0</v>
      </c>
      <c r="J84" s="1664">
        <f t="shared" si="31"/>
        <v>0</v>
      </c>
      <c r="K84" s="1664">
        <f t="shared" si="31"/>
        <v>0.11340746543056271</v>
      </c>
    </row>
    <row r="85" spans="2:15" ht="12.75" customHeight="1">
      <c r="B85" s="2" t="str">
        <f t="shared" si="30"/>
        <v>Series B Tranche III Warrants</v>
      </c>
      <c r="D85" s="1664">
        <f t="shared" si="31"/>
        <v>0</v>
      </c>
      <c r="E85" s="1664">
        <f t="shared" si="31"/>
        <v>0</v>
      </c>
      <c r="F85" s="1664">
        <f t="shared" si="31"/>
        <v>0</v>
      </c>
      <c r="G85" s="1664">
        <f t="shared" si="31"/>
        <v>0</v>
      </c>
      <c r="H85" s="1664">
        <f t="shared" si="31"/>
        <v>0</v>
      </c>
      <c r="I85" s="1664">
        <f t="shared" si="31"/>
        <v>0</v>
      </c>
      <c r="J85" s="1664">
        <f t="shared" si="31"/>
        <v>0</v>
      </c>
      <c r="K85" s="1664">
        <f t="shared" si="31"/>
        <v>0.11340746543056271</v>
      </c>
    </row>
    <row r="86" spans="2:15" ht="12.75" customHeight="1">
      <c r="B86" s="2" t="str">
        <f t="shared" si="30"/>
        <v>Options at $0.11 Strike Price</v>
      </c>
      <c r="D86" s="1664">
        <f t="shared" si="31"/>
        <v>0</v>
      </c>
      <c r="E86" s="1664">
        <f t="shared" si="31"/>
        <v>0</v>
      </c>
      <c r="F86" s="1664">
        <f t="shared" si="31"/>
        <v>1.1503267593975337E-2</v>
      </c>
      <c r="G86" s="1664">
        <f t="shared" si="31"/>
        <v>1.1086830304391844E-2</v>
      </c>
      <c r="H86" s="1664">
        <f t="shared" si="31"/>
        <v>1.0577032808285713E-2</v>
      </c>
      <c r="I86" s="1664">
        <f t="shared" si="31"/>
        <v>9.4570654105138648E-3</v>
      </c>
      <c r="J86" s="1664">
        <f t="shared" si="31"/>
        <v>2.9622331348197807E-3</v>
      </c>
      <c r="K86" s="1664">
        <f t="shared" si="31"/>
        <v>1.954415079316756E-3</v>
      </c>
    </row>
    <row r="87" spans="2:15" ht="12.75" customHeight="1">
      <c r="B87" s="2" t="str">
        <f t="shared" si="30"/>
        <v>Options at $0.13 Strike Price</v>
      </c>
      <c r="D87" s="1664">
        <f t="shared" si="31"/>
        <v>0</v>
      </c>
      <c r="E87" s="1664">
        <f t="shared" si="31"/>
        <v>0</v>
      </c>
      <c r="F87" s="1664">
        <f t="shared" si="31"/>
        <v>0</v>
      </c>
      <c r="G87" s="1664">
        <f t="shared" si="31"/>
        <v>3.6201651937715351E-2</v>
      </c>
      <c r="H87" s="1664">
        <f t="shared" si="31"/>
        <v>3.4537018223114155E-2</v>
      </c>
      <c r="I87" s="1664">
        <f t="shared" si="31"/>
        <v>3.0880006362865493E-2</v>
      </c>
      <c r="J87" s="1664">
        <f t="shared" si="31"/>
        <v>9.6725330830249017E-3</v>
      </c>
      <c r="K87" s="1664">
        <f t="shared" si="31"/>
        <v>6.3817206993075403E-3</v>
      </c>
    </row>
    <row r="88" spans="2:15" ht="12.75" customHeight="1">
      <c r="B88" s="2" t="str">
        <f t="shared" si="30"/>
        <v>Options at $0.40 Strike Price</v>
      </c>
      <c r="D88" s="1664">
        <f t="shared" si="31"/>
        <v>0</v>
      </c>
      <c r="E88" s="1664">
        <f t="shared" si="31"/>
        <v>0</v>
      </c>
      <c r="F88" s="1664">
        <f t="shared" si="31"/>
        <v>0</v>
      </c>
      <c r="G88" s="1664">
        <f t="shared" si="31"/>
        <v>0</v>
      </c>
      <c r="H88" s="1664">
        <f t="shared" si="31"/>
        <v>4.598225841917894E-2</v>
      </c>
      <c r="I88" s="1664">
        <f t="shared" si="31"/>
        <v>4.1113347521497118E-2</v>
      </c>
      <c r="J88" s="1664">
        <f t="shared" si="31"/>
        <v>1.2877918786111256E-2</v>
      </c>
      <c r="K88" s="1664">
        <f t="shared" si="31"/>
        <v>8.4965623974507382E-3</v>
      </c>
    </row>
    <row r="89" spans="2:15" ht="12.75" customHeight="1">
      <c r="B89" s="2" t="str">
        <f t="shared" si="30"/>
        <v>Expected Options Grant</v>
      </c>
      <c r="D89" s="1664">
        <f t="shared" si="31"/>
        <v>0</v>
      </c>
      <c r="E89" s="1664">
        <f t="shared" si="31"/>
        <v>0</v>
      </c>
      <c r="F89" s="1664">
        <f t="shared" si="31"/>
        <v>0</v>
      </c>
      <c r="G89" s="1664">
        <f t="shared" si="31"/>
        <v>0</v>
      </c>
      <c r="H89" s="1664">
        <f t="shared" si="31"/>
        <v>0</v>
      </c>
      <c r="I89" s="1664">
        <f t="shared" si="31"/>
        <v>0.10588672816581421</v>
      </c>
      <c r="J89" s="1664">
        <f t="shared" si="31"/>
        <v>3.3166861081632991E-2</v>
      </c>
      <c r="K89" s="1664">
        <f t="shared" si="31"/>
        <v>2.1882752126966283E-2</v>
      </c>
    </row>
    <row r="90" spans="2:15" ht="12.75" customHeight="1">
      <c r="B90" s="2" t="str">
        <f t="shared" si="30"/>
        <v>Common</v>
      </c>
      <c r="D90" s="1664">
        <f t="shared" si="31"/>
        <v>0</v>
      </c>
      <c r="E90" s="1664">
        <f t="shared" si="31"/>
        <v>1</v>
      </c>
      <c r="F90" s="1664">
        <f t="shared" si="31"/>
        <v>0.98849673240602454</v>
      </c>
      <c r="G90" s="1664">
        <f t="shared" si="31"/>
        <v>0.95271151775789276</v>
      </c>
      <c r="H90" s="1664">
        <f t="shared" si="31"/>
        <v>0.90890369054942122</v>
      </c>
      <c r="I90" s="1664">
        <f t="shared" si="31"/>
        <v>0.81266285253930926</v>
      </c>
      <c r="J90" s="1664">
        <f t="shared" si="31"/>
        <v>0.25455008765750925</v>
      </c>
      <c r="K90" s="1664">
        <f t="shared" si="31"/>
        <v>0.16794644685841223</v>
      </c>
    </row>
    <row r="91" spans="2:15" ht="12.75" customHeight="1">
      <c r="B91" s="61"/>
      <c r="C91" s="61"/>
      <c r="D91" s="1665"/>
      <c r="E91" s="1665"/>
      <c r="F91" s="1665"/>
      <c r="G91" s="1665"/>
      <c r="H91" s="1665"/>
      <c r="I91" s="1665"/>
      <c r="J91" s="1665"/>
      <c r="K91" s="1665"/>
    </row>
    <row r="92" spans="2:15" ht="12.75" customHeight="1">
      <c r="B92" s="1" t="s">
        <v>1587</v>
      </c>
      <c r="D92" s="38">
        <f t="shared" ref="D92:K92" si="32">SUM(D82:D90)</f>
        <v>1</v>
      </c>
      <c r="E92" s="38">
        <f t="shared" si="32"/>
        <v>1</v>
      </c>
      <c r="F92" s="38">
        <f t="shared" si="32"/>
        <v>0.99999999999999989</v>
      </c>
      <c r="G92" s="38">
        <f t="shared" si="32"/>
        <v>1</v>
      </c>
      <c r="H92" s="38">
        <f t="shared" si="32"/>
        <v>1</v>
      </c>
      <c r="I92" s="38">
        <f t="shared" si="32"/>
        <v>1</v>
      </c>
      <c r="J92" s="38">
        <f t="shared" si="32"/>
        <v>1</v>
      </c>
      <c r="K92" s="38">
        <f t="shared" si="32"/>
        <v>1</v>
      </c>
    </row>
    <row r="93" spans="2:15" ht="12.75" customHeight="1">
      <c r="B93" s="1"/>
      <c r="D93" s="38"/>
      <c r="E93" s="38"/>
      <c r="F93" s="38"/>
      <c r="G93" s="38"/>
      <c r="H93" s="38"/>
      <c r="I93" s="38"/>
      <c r="J93" s="38"/>
      <c r="K93" s="38"/>
    </row>
    <row r="94" spans="2:15" s="6" customFormat="1" ht="12.75" customHeight="1">
      <c r="B94" s="279" t="s">
        <v>342</v>
      </c>
      <c r="D94" s="280">
        <f>D$15</f>
        <v>1</v>
      </c>
      <c r="E94" s="281">
        <f t="shared" ref="E94:K94" si="33">E$15</f>
        <v>2</v>
      </c>
      <c r="F94" s="281">
        <f t="shared" si="33"/>
        <v>3</v>
      </c>
      <c r="G94" s="281">
        <f t="shared" si="33"/>
        <v>4</v>
      </c>
      <c r="H94" s="281">
        <f t="shared" si="33"/>
        <v>5</v>
      </c>
      <c r="I94" s="281">
        <f t="shared" si="33"/>
        <v>6</v>
      </c>
      <c r="J94" s="281">
        <f t="shared" si="33"/>
        <v>7</v>
      </c>
      <c r="K94" s="281">
        <f t="shared" si="33"/>
        <v>8</v>
      </c>
      <c r="M94" s="115" t="s">
        <v>160</v>
      </c>
      <c r="O94" s="330"/>
    </row>
    <row r="95" spans="2:15" ht="12.75" customHeight="1"/>
    <row r="96" spans="2:15" ht="12.75" customHeight="1">
      <c r="B96" s="2" t="str">
        <f>B68</f>
        <v>Series A</v>
      </c>
      <c r="D96" s="1000">
        <f t="shared" ref="D96:K104" si="34">D$62*D68/D$78</f>
        <v>28823.726629768385</v>
      </c>
      <c r="E96" s="1000">
        <f t="shared" si="34"/>
        <v>0</v>
      </c>
      <c r="F96" s="1000">
        <f t="shared" si="34"/>
        <v>0</v>
      </c>
      <c r="G96" s="1000">
        <f t="shared" si="34"/>
        <v>0</v>
      </c>
      <c r="H96" s="1000">
        <f t="shared" si="34"/>
        <v>0</v>
      </c>
      <c r="I96" s="1000">
        <f t="shared" si="34"/>
        <v>0</v>
      </c>
      <c r="J96" s="1000">
        <f t="shared" si="34"/>
        <v>15125.94988656339</v>
      </c>
      <c r="K96" s="1000">
        <f t="shared" si="34"/>
        <v>61118.4561424938</v>
      </c>
      <c r="M96" s="406">
        <f t="shared" ref="M96:M104" si="35">SUM(D96:K96)</f>
        <v>105068.13265882558</v>
      </c>
    </row>
    <row r="97" spans="2:15" ht="12.75" customHeight="1">
      <c r="B97" s="2" t="str">
        <f t="shared" ref="B97:B104" si="36">B69</f>
        <v>Series B Tranche I</v>
      </c>
      <c r="D97" s="406">
        <f t="shared" si="34"/>
        <v>14428.216608321902</v>
      </c>
      <c r="E97" s="406">
        <f t="shared" si="34"/>
        <v>0</v>
      </c>
      <c r="F97" s="406">
        <f t="shared" si="34"/>
        <v>0</v>
      </c>
      <c r="G97" s="406">
        <f t="shared" si="34"/>
        <v>0</v>
      </c>
      <c r="H97" s="406">
        <f t="shared" si="34"/>
        <v>0</v>
      </c>
      <c r="I97" s="406">
        <f t="shared" si="34"/>
        <v>0</v>
      </c>
      <c r="J97" s="406">
        <f t="shared" si="34"/>
        <v>0</v>
      </c>
      <c r="K97" s="406">
        <f t="shared" si="34"/>
        <v>15296.95197496412</v>
      </c>
      <c r="M97" s="406">
        <f t="shared" si="35"/>
        <v>29725.168583286024</v>
      </c>
    </row>
    <row r="98" spans="2:15" ht="12.75" customHeight="1">
      <c r="B98" s="2" t="str">
        <f t="shared" si="36"/>
        <v>Series B Tranche II Warrants</v>
      </c>
      <c r="D98" s="406">
        <f t="shared" si="34"/>
        <v>0</v>
      </c>
      <c r="E98" s="406">
        <f t="shared" si="34"/>
        <v>0</v>
      </c>
      <c r="F98" s="406">
        <f t="shared" si="34"/>
        <v>0</v>
      </c>
      <c r="G98" s="406">
        <f t="shared" si="34"/>
        <v>0</v>
      </c>
      <c r="H98" s="406">
        <f t="shared" si="34"/>
        <v>0</v>
      </c>
      <c r="I98" s="406">
        <f t="shared" si="34"/>
        <v>0</v>
      </c>
      <c r="J98" s="406">
        <f t="shared" si="34"/>
        <v>0</v>
      </c>
      <c r="K98" s="406">
        <f t="shared" si="34"/>
        <v>15296.95197496412</v>
      </c>
      <c r="M98" s="406">
        <f t="shared" si="35"/>
        <v>15296.95197496412</v>
      </c>
    </row>
    <row r="99" spans="2:15" ht="12.75" customHeight="1">
      <c r="B99" s="2" t="str">
        <f t="shared" si="36"/>
        <v>Series B Tranche III Warrants</v>
      </c>
      <c r="D99" s="406">
        <f t="shared" si="34"/>
        <v>0</v>
      </c>
      <c r="E99" s="406">
        <f t="shared" si="34"/>
        <v>0</v>
      </c>
      <c r="F99" s="406">
        <f t="shared" si="34"/>
        <v>0</v>
      </c>
      <c r="G99" s="406">
        <f t="shared" si="34"/>
        <v>0</v>
      </c>
      <c r="H99" s="406">
        <f t="shared" si="34"/>
        <v>0</v>
      </c>
      <c r="I99" s="406">
        <f t="shared" si="34"/>
        <v>0</v>
      </c>
      <c r="J99" s="406">
        <f t="shared" si="34"/>
        <v>0</v>
      </c>
      <c r="K99" s="406">
        <f t="shared" si="34"/>
        <v>15296.95197496412</v>
      </c>
      <c r="M99" s="406">
        <f t="shared" si="35"/>
        <v>15296.95197496412</v>
      </c>
    </row>
    <row r="100" spans="2:15" ht="12.75" customHeight="1">
      <c r="B100" s="2" t="str">
        <f t="shared" si="36"/>
        <v>Options at $0.11 Strike Price</v>
      </c>
      <c r="D100" s="406">
        <f t="shared" si="34"/>
        <v>0</v>
      </c>
      <c r="E100" s="406">
        <f t="shared" si="34"/>
        <v>0</v>
      </c>
      <c r="F100" s="406">
        <f t="shared" si="34"/>
        <v>1.7722693221761396</v>
      </c>
      <c r="G100" s="406">
        <f t="shared" si="34"/>
        <v>23.491399549582553</v>
      </c>
      <c r="H100" s="406">
        <f t="shared" si="34"/>
        <v>5.960568420192752</v>
      </c>
      <c r="I100" s="406">
        <f t="shared" si="34"/>
        <v>43.284762171393432</v>
      </c>
      <c r="J100" s="406">
        <f t="shared" si="34"/>
        <v>65.242462620818259</v>
      </c>
      <c r="K100" s="406">
        <f t="shared" si="34"/>
        <v>263.62103670996191</v>
      </c>
      <c r="M100" s="406">
        <f t="shared" si="35"/>
        <v>403.37249879412502</v>
      </c>
    </row>
    <row r="101" spans="2:15" ht="12.75" customHeight="1">
      <c r="B101" s="2" t="str">
        <f t="shared" si="36"/>
        <v>Options at $0.13 Strike Price</v>
      </c>
      <c r="D101" s="406">
        <f t="shared" si="34"/>
        <v>0</v>
      </c>
      <c r="E101" s="406">
        <f t="shared" si="34"/>
        <v>0</v>
      </c>
      <c r="F101" s="406">
        <f t="shared" si="34"/>
        <v>0</v>
      </c>
      <c r="G101" s="406">
        <f t="shared" si="34"/>
        <v>76.706096032416909</v>
      </c>
      <c r="H101" s="406">
        <f t="shared" si="34"/>
        <v>19.462949948217183</v>
      </c>
      <c r="I101" s="406">
        <f t="shared" si="34"/>
        <v>141.33705047463775</v>
      </c>
      <c r="J101" s="406">
        <f t="shared" si="34"/>
        <v>213.0351830516112</v>
      </c>
      <c r="K101" s="406">
        <f t="shared" si="34"/>
        <v>860.79760873161683</v>
      </c>
      <c r="M101" s="406">
        <f t="shared" si="35"/>
        <v>1311.3388882384997</v>
      </c>
    </row>
    <row r="102" spans="2:15" ht="12.75" customHeight="1">
      <c r="B102" s="2" t="str">
        <f t="shared" si="36"/>
        <v>Options at $0.40 Strike Price</v>
      </c>
      <c r="D102" s="406">
        <f t="shared" si="34"/>
        <v>0</v>
      </c>
      <c r="E102" s="406">
        <f t="shared" si="34"/>
        <v>0</v>
      </c>
      <c r="F102" s="406">
        <f t="shared" si="34"/>
        <v>0</v>
      </c>
      <c r="G102" s="406">
        <f t="shared" si="34"/>
        <v>0</v>
      </c>
      <c r="H102" s="406">
        <f t="shared" si="34"/>
        <v>25.912786921469543</v>
      </c>
      <c r="I102" s="406">
        <f t="shared" si="34"/>
        <v>188.17480817668934</v>
      </c>
      <c r="J102" s="406">
        <f t="shared" si="34"/>
        <v>283.63302170945201</v>
      </c>
      <c r="K102" s="406">
        <f t="shared" si="34"/>
        <v>1146.057770118045</v>
      </c>
      <c r="M102" s="406">
        <f t="shared" si="35"/>
        <v>1643.7783869256559</v>
      </c>
    </row>
    <row r="103" spans="2:15" ht="12.75" customHeight="1">
      <c r="B103" s="2" t="str">
        <f t="shared" si="36"/>
        <v>Expected Options Grant</v>
      </c>
      <c r="D103" s="406">
        <f t="shared" si="34"/>
        <v>0</v>
      </c>
      <c r="E103" s="406">
        <f t="shared" si="34"/>
        <v>0</v>
      </c>
      <c r="F103" s="406">
        <f t="shared" si="34"/>
        <v>0</v>
      </c>
      <c r="G103" s="406">
        <f t="shared" si="34"/>
        <v>0</v>
      </c>
      <c r="H103" s="406">
        <f t="shared" si="34"/>
        <v>0</v>
      </c>
      <c r="I103" s="406">
        <f t="shared" si="34"/>
        <v>484.64102200972451</v>
      </c>
      <c r="J103" s="406">
        <f t="shared" si="34"/>
        <v>730.49202945329978</v>
      </c>
      <c r="K103" s="406">
        <f t="shared" si="34"/>
        <v>2951.6523193193302</v>
      </c>
      <c r="M103" s="406">
        <f t="shared" si="35"/>
        <v>4166.7853707823542</v>
      </c>
    </row>
    <row r="104" spans="2:15" ht="12.75" customHeight="1">
      <c r="B104" s="2" t="str">
        <f t="shared" si="36"/>
        <v>Common</v>
      </c>
      <c r="D104" s="406">
        <f t="shared" si="34"/>
        <v>0</v>
      </c>
      <c r="E104" s="406">
        <f t="shared" si="34"/>
        <v>844.35212281459826</v>
      </c>
      <c r="F104" s="406">
        <f t="shared" si="34"/>
        <v>152.29433025030869</v>
      </c>
      <c r="G104" s="406">
        <f t="shared" si="34"/>
        <v>2018.6587423705978</v>
      </c>
      <c r="H104" s="406">
        <f t="shared" si="34"/>
        <v>512.20249885597059</v>
      </c>
      <c r="I104" s="406">
        <f t="shared" si="34"/>
        <v>3719.5384372178974</v>
      </c>
      <c r="J104" s="406">
        <f t="shared" si="34"/>
        <v>5606.4036229651592</v>
      </c>
      <c r="K104" s="406">
        <f t="shared" si="34"/>
        <v>22653.435752269666</v>
      </c>
      <c r="M104" s="406">
        <f t="shared" si="35"/>
        <v>35506.885506744198</v>
      </c>
    </row>
    <row r="105" spans="2:15" ht="12.75" customHeight="1">
      <c r="B105" s="61"/>
      <c r="C105" s="61"/>
      <c r="D105" s="5"/>
      <c r="E105" s="5"/>
      <c r="F105" s="5"/>
      <c r="G105" s="5"/>
      <c r="H105" s="5"/>
      <c r="I105" s="5"/>
      <c r="J105" s="5"/>
      <c r="K105" s="5"/>
      <c r="M105" s="5"/>
    </row>
    <row r="106" spans="2:15" ht="12.75" customHeight="1">
      <c r="B106" s="1" t="s">
        <v>1559</v>
      </c>
      <c r="D106" s="1001">
        <f t="shared" ref="D106:K106" si="37">SUM(D96:D104)</f>
        <v>43251.943238090287</v>
      </c>
      <c r="E106" s="1001">
        <f t="shared" si="37"/>
        <v>844.35212281459826</v>
      </c>
      <c r="F106" s="1001">
        <f t="shared" si="37"/>
        <v>154.06659957248482</v>
      </c>
      <c r="G106" s="1001">
        <f t="shared" si="37"/>
        <v>2118.8562379525974</v>
      </c>
      <c r="H106" s="1001">
        <f t="shared" si="37"/>
        <v>563.53880414585001</v>
      </c>
      <c r="I106" s="1001">
        <f t="shared" si="37"/>
        <v>4576.9760800503427</v>
      </c>
      <c r="J106" s="1001">
        <f t="shared" si="37"/>
        <v>22024.756206363731</v>
      </c>
      <c r="K106" s="1001">
        <f t="shared" si="37"/>
        <v>134884.87655453477</v>
      </c>
      <c r="M106" s="38">
        <f>SUM(M96:M104)</f>
        <v>208419.36584352472</v>
      </c>
      <c r="O106" s="331">
        <f>M106-D9</f>
        <v>0</v>
      </c>
    </row>
    <row r="107" spans="2:15" ht="12.75" customHeight="1"/>
    <row r="108" spans="2:15" ht="12.75" customHeight="1"/>
    <row r="110" spans="2:15">
      <c r="B110" s="405" t="s">
        <v>1588</v>
      </c>
      <c r="D110" s="1002">
        <f>D45</f>
        <v>66099.991999999998</v>
      </c>
      <c r="E110" s="1002">
        <f t="shared" ref="E110:J110" si="38">F45-E45</f>
        <v>1795.975059999997</v>
      </c>
      <c r="F110" s="1002">
        <f t="shared" si="38"/>
        <v>330.34092000000237</v>
      </c>
      <c r="G110" s="1002">
        <f t="shared" si="38"/>
        <v>4627.1114999999991</v>
      </c>
      <c r="H110" s="1002">
        <f t="shared" si="38"/>
        <v>1257.4415000000008</v>
      </c>
      <c r="I110" s="1002">
        <f t="shared" si="38"/>
        <v>10648.123453608248</v>
      </c>
      <c r="J110" s="1002">
        <f t="shared" si="38"/>
        <v>64140.798969072144</v>
      </c>
      <c r="K110" s="1002"/>
    </row>
    <row r="111" spans="2:15">
      <c r="D111" s="1002"/>
      <c r="E111" s="1002"/>
      <c r="F111" s="1002"/>
      <c r="G111" s="1002"/>
      <c r="H111" s="1002"/>
      <c r="I111" s="1002"/>
      <c r="J111" s="1002"/>
      <c r="K111" s="1002"/>
    </row>
    <row r="112" spans="2:15">
      <c r="B112" s="1003" t="s">
        <v>1589</v>
      </c>
      <c r="C112" s="6"/>
      <c r="D112" s="1004">
        <f t="shared" ref="D112:J112" si="39">D94</f>
        <v>1</v>
      </c>
      <c r="E112" s="1005">
        <f t="shared" si="39"/>
        <v>2</v>
      </c>
      <c r="F112" s="1005">
        <f t="shared" si="39"/>
        <v>3</v>
      </c>
      <c r="G112" s="1005">
        <f t="shared" si="39"/>
        <v>4</v>
      </c>
      <c r="H112" s="1005">
        <f t="shared" si="39"/>
        <v>5</v>
      </c>
      <c r="I112" s="1005">
        <f t="shared" si="39"/>
        <v>6</v>
      </c>
      <c r="J112" s="1005">
        <f t="shared" si="39"/>
        <v>7</v>
      </c>
      <c r="K112" s="1005"/>
    </row>
    <row r="113" spans="2:11">
      <c r="D113" s="1002"/>
      <c r="E113" s="1002"/>
      <c r="F113" s="1002"/>
      <c r="G113" s="1002"/>
      <c r="H113" s="1002"/>
      <c r="I113" s="1002"/>
      <c r="J113" s="1002"/>
      <c r="K113" s="1002"/>
    </row>
    <row r="114" spans="2:11">
      <c r="B114" s="405" t="str">
        <f>B96</f>
        <v>Series A</v>
      </c>
      <c r="D114" s="406">
        <f t="shared" ref="D114:J122" si="40">D68/D$78*D$110</f>
        <v>44050</v>
      </c>
      <c r="E114" s="406">
        <f t="shared" si="40"/>
        <v>0</v>
      </c>
      <c r="F114" s="406">
        <f t="shared" si="40"/>
        <v>0</v>
      </c>
      <c r="G114" s="406">
        <f t="shared" si="40"/>
        <v>0</v>
      </c>
      <c r="H114" s="406">
        <f t="shared" si="40"/>
        <v>0</v>
      </c>
      <c r="I114" s="406">
        <f t="shared" si="40"/>
        <v>0</v>
      </c>
      <c r="J114" s="406">
        <f t="shared" si="40"/>
        <v>44049.999999999985</v>
      </c>
      <c r="K114" s="406"/>
    </row>
    <row r="115" spans="2:11">
      <c r="B115" s="405" t="str">
        <f t="shared" ref="B115:B122" si="41">B97</f>
        <v>Series B Tranche I</v>
      </c>
      <c r="D115" s="406">
        <f t="shared" si="40"/>
        <v>22049.991999999998</v>
      </c>
      <c r="E115" s="406">
        <f t="shared" si="40"/>
        <v>0</v>
      </c>
      <c r="F115" s="406">
        <f t="shared" si="40"/>
        <v>0</v>
      </c>
      <c r="G115" s="406">
        <f t="shared" si="40"/>
        <v>0</v>
      </c>
      <c r="H115" s="406">
        <f t="shared" si="40"/>
        <v>0</v>
      </c>
      <c r="I115" s="406">
        <f t="shared" si="40"/>
        <v>0</v>
      </c>
      <c r="J115" s="406">
        <f t="shared" si="40"/>
        <v>0</v>
      </c>
      <c r="K115" s="406"/>
    </row>
    <row r="116" spans="2:11">
      <c r="B116" s="405" t="str">
        <f t="shared" si="41"/>
        <v>Series B Tranche II Warrants</v>
      </c>
      <c r="D116" s="406">
        <f t="shared" si="40"/>
        <v>0</v>
      </c>
      <c r="E116" s="406">
        <f t="shared" si="40"/>
        <v>0</v>
      </c>
      <c r="F116" s="406">
        <f t="shared" si="40"/>
        <v>0</v>
      </c>
      <c r="G116" s="406">
        <f t="shared" si="40"/>
        <v>0</v>
      </c>
      <c r="H116" s="406">
        <f t="shared" si="40"/>
        <v>0</v>
      </c>
      <c r="I116" s="406">
        <f t="shared" si="40"/>
        <v>0</v>
      </c>
      <c r="J116" s="406">
        <f t="shared" si="40"/>
        <v>0</v>
      </c>
      <c r="K116" s="406"/>
    </row>
    <row r="117" spans="2:11">
      <c r="B117" s="405" t="str">
        <f t="shared" si="41"/>
        <v>Series B Tranche III Warrants</v>
      </c>
      <c r="D117" s="406">
        <f t="shared" si="40"/>
        <v>0</v>
      </c>
      <c r="E117" s="406">
        <f t="shared" si="40"/>
        <v>0</v>
      </c>
      <c r="F117" s="406">
        <f t="shared" si="40"/>
        <v>0</v>
      </c>
      <c r="G117" s="406">
        <f t="shared" si="40"/>
        <v>0</v>
      </c>
      <c r="H117" s="406">
        <f t="shared" si="40"/>
        <v>0</v>
      </c>
      <c r="I117" s="406">
        <f t="shared" si="40"/>
        <v>0</v>
      </c>
      <c r="J117" s="406">
        <f t="shared" si="40"/>
        <v>0</v>
      </c>
      <c r="K117" s="406"/>
    </row>
    <row r="118" spans="2:11">
      <c r="B118" s="405" t="str">
        <f t="shared" si="41"/>
        <v>Options at $0.11 Strike Price</v>
      </c>
      <c r="D118" s="406">
        <f t="shared" si="40"/>
        <v>0</v>
      </c>
      <c r="E118" s="406">
        <f t="shared" si="40"/>
        <v>0</v>
      </c>
      <c r="F118" s="406">
        <f t="shared" si="40"/>
        <v>3.8000000000000265</v>
      </c>
      <c r="G118" s="406">
        <f t="shared" si="40"/>
        <v>51.29999999999999</v>
      </c>
      <c r="H118" s="406">
        <f t="shared" si="40"/>
        <v>13.300000000000008</v>
      </c>
      <c r="I118" s="406">
        <f t="shared" si="40"/>
        <v>100.7</v>
      </c>
      <c r="J118" s="406">
        <f t="shared" si="40"/>
        <v>189.99999999999994</v>
      </c>
      <c r="K118" s="406"/>
    </row>
    <row r="119" spans="2:11">
      <c r="B119" s="405" t="str">
        <f t="shared" si="41"/>
        <v>Options at $0.13 Strike Price</v>
      </c>
      <c r="D119" s="406">
        <f t="shared" si="40"/>
        <v>0</v>
      </c>
      <c r="E119" s="406">
        <f t="shared" si="40"/>
        <v>0</v>
      </c>
      <c r="F119" s="406">
        <f t="shared" si="40"/>
        <v>0</v>
      </c>
      <c r="G119" s="406">
        <f t="shared" si="40"/>
        <v>167.50907999999995</v>
      </c>
      <c r="H119" s="406">
        <f t="shared" si="40"/>
        <v>43.428280000000022</v>
      </c>
      <c r="I119" s="406">
        <f t="shared" si="40"/>
        <v>328.81412</v>
      </c>
      <c r="J119" s="406">
        <f t="shared" si="40"/>
        <v>620.40399999999977</v>
      </c>
      <c r="K119" s="406"/>
    </row>
    <row r="120" spans="2:11">
      <c r="B120" s="405" t="str">
        <f t="shared" si="41"/>
        <v>Options at $0.40 Strike Price</v>
      </c>
      <c r="D120" s="406">
        <f t="shared" si="40"/>
        <v>0</v>
      </c>
      <c r="E120" s="406">
        <f t="shared" si="40"/>
        <v>0</v>
      </c>
      <c r="F120" s="406">
        <f t="shared" si="40"/>
        <v>0</v>
      </c>
      <c r="G120" s="406">
        <f t="shared" si="40"/>
        <v>0</v>
      </c>
      <c r="H120" s="406">
        <f t="shared" si="40"/>
        <v>57.820000000000029</v>
      </c>
      <c r="I120" s="406">
        <f t="shared" si="40"/>
        <v>437.78000000000003</v>
      </c>
      <c r="J120" s="406">
        <f t="shared" si="40"/>
        <v>825.99999999999966</v>
      </c>
      <c r="K120" s="406"/>
    </row>
    <row r="121" spans="2:11">
      <c r="B121" s="405" t="str">
        <f t="shared" si="41"/>
        <v>Expected Options Grant</v>
      </c>
      <c r="D121" s="406">
        <f t="shared" si="40"/>
        <v>0</v>
      </c>
      <c r="E121" s="406">
        <f t="shared" si="40"/>
        <v>0</v>
      </c>
      <c r="F121" s="406">
        <f t="shared" si="40"/>
        <v>0</v>
      </c>
      <c r="G121" s="406">
        <f t="shared" si="40"/>
        <v>0</v>
      </c>
      <c r="H121" s="406">
        <f t="shared" si="40"/>
        <v>0</v>
      </c>
      <c r="I121" s="406">
        <f t="shared" si="40"/>
        <v>1127.4949536082474</v>
      </c>
      <c r="J121" s="406">
        <f t="shared" si="40"/>
        <v>2127.3489690721644</v>
      </c>
      <c r="K121" s="406"/>
    </row>
    <row r="122" spans="2:11">
      <c r="B122" s="405" t="str">
        <f t="shared" si="41"/>
        <v>Common</v>
      </c>
      <c r="D122" s="406">
        <f t="shared" si="40"/>
        <v>0</v>
      </c>
      <c r="E122" s="406">
        <f t="shared" si="40"/>
        <v>1795.975059999997</v>
      </c>
      <c r="F122" s="406">
        <f t="shared" si="40"/>
        <v>326.5409200000023</v>
      </c>
      <c r="G122" s="406">
        <f t="shared" si="40"/>
        <v>4408.3024199999991</v>
      </c>
      <c r="H122" s="406">
        <f t="shared" si="40"/>
        <v>1142.8932200000008</v>
      </c>
      <c r="I122" s="406">
        <f t="shared" si="40"/>
        <v>8653.3343800000002</v>
      </c>
      <c r="J122" s="406">
        <f t="shared" si="40"/>
        <v>16327.045999999993</v>
      </c>
      <c r="K122" s="406"/>
    </row>
    <row r="123" spans="2:11">
      <c r="D123" s="412"/>
      <c r="E123" s="412"/>
      <c r="F123" s="412"/>
      <c r="G123" s="412"/>
      <c r="H123" s="412"/>
      <c r="I123" s="412"/>
      <c r="J123" s="412"/>
      <c r="K123" s="412"/>
    </row>
    <row r="124" spans="2:11">
      <c r="B124" s="1003" t="s">
        <v>1590</v>
      </c>
      <c r="C124" s="6"/>
      <c r="D124" s="1004">
        <f t="shared" ref="D124:J124" si="42">D112</f>
        <v>1</v>
      </c>
      <c r="E124" s="1005">
        <f t="shared" si="42"/>
        <v>2</v>
      </c>
      <c r="F124" s="1005">
        <f t="shared" si="42"/>
        <v>3</v>
      </c>
      <c r="G124" s="1005">
        <f t="shared" si="42"/>
        <v>4</v>
      </c>
      <c r="H124" s="1005">
        <f t="shared" si="42"/>
        <v>5</v>
      </c>
      <c r="I124" s="1005">
        <f t="shared" si="42"/>
        <v>6</v>
      </c>
      <c r="J124" s="1005">
        <f t="shared" si="42"/>
        <v>7</v>
      </c>
      <c r="K124" s="1005"/>
    </row>
    <row r="125" spans="2:11">
      <c r="D125" s="412"/>
      <c r="E125" s="412"/>
      <c r="F125" s="412"/>
      <c r="G125" s="412"/>
      <c r="H125" s="412"/>
      <c r="I125" s="412"/>
      <c r="J125" s="412"/>
      <c r="K125" s="412"/>
    </row>
    <row r="126" spans="2:11">
      <c r="B126" s="405" t="str">
        <f t="shared" ref="B126:B134" si="43">B114</f>
        <v>Series A</v>
      </c>
      <c r="D126" s="1006">
        <f>SUM($D114:D114)/$O27</f>
        <v>1</v>
      </c>
      <c r="E126" s="1006">
        <f>SUM($D114:E114)/$O27</f>
        <v>1</v>
      </c>
      <c r="F126" s="1006">
        <f>SUM($D114:F114)/$O27</f>
        <v>1</v>
      </c>
      <c r="G126" s="1006">
        <f>SUM($D114:G114)/$O27</f>
        <v>1</v>
      </c>
      <c r="H126" s="1006">
        <f>SUM($D114:H114)/$O27</f>
        <v>1</v>
      </c>
      <c r="I126" s="1006">
        <f>SUM($D114:I114)/$O27</f>
        <v>1</v>
      </c>
      <c r="J126" s="1006">
        <f>SUM($D114:J114)/$O27</f>
        <v>1.9999999999999998</v>
      </c>
      <c r="K126" s="1006"/>
    </row>
    <row r="127" spans="2:11">
      <c r="B127" s="405" t="str">
        <f t="shared" si="43"/>
        <v>Series B Tranche I</v>
      </c>
      <c r="D127" s="1006">
        <f>SUM($D115:D115)/$O28</f>
        <v>2</v>
      </c>
      <c r="E127" s="1006">
        <f>SUM($D115:E115)/$O28</f>
        <v>2</v>
      </c>
      <c r="F127" s="1006">
        <f>SUM($D115:F115)/$O28</f>
        <v>2</v>
      </c>
      <c r="G127" s="1006">
        <f>SUM($D115:G115)/$O28</f>
        <v>2</v>
      </c>
      <c r="H127" s="1006">
        <f>SUM($D115:H115)/$O28</f>
        <v>2</v>
      </c>
      <c r="I127" s="1006">
        <f>SUM($D115:I115)/$O28</f>
        <v>2</v>
      </c>
      <c r="J127" s="1006">
        <f>SUM($D115:J115)/$O28</f>
        <v>2</v>
      </c>
      <c r="K127" s="1006"/>
    </row>
    <row r="128" spans="2:11">
      <c r="B128" s="405" t="str">
        <f t="shared" si="43"/>
        <v>Series B Tranche II Warrants</v>
      </c>
      <c r="D128" s="1006">
        <f>SUM($D116:D116)/$O29</f>
        <v>0</v>
      </c>
      <c r="E128" s="1006">
        <f>SUM($D116:E116)/$O29</f>
        <v>0</v>
      </c>
      <c r="F128" s="1006">
        <f>SUM($D116:F116)/$O29</f>
        <v>0</v>
      </c>
      <c r="G128" s="1006">
        <f>SUM($D116:G116)/$O29</f>
        <v>0</v>
      </c>
      <c r="H128" s="1006">
        <f>SUM($D116:H116)/$O29</f>
        <v>0</v>
      </c>
      <c r="I128" s="1006">
        <f>SUM($D116:I116)/$O29</f>
        <v>0</v>
      </c>
      <c r="J128" s="1006">
        <f>SUM($D116:J116)/$O29</f>
        <v>0</v>
      </c>
      <c r="K128" s="1006"/>
    </row>
    <row r="129" spans="2:11">
      <c r="B129" s="405" t="str">
        <f t="shared" si="43"/>
        <v>Series B Tranche III Warrants</v>
      </c>
      <c r="D129" s="1006">
        <f>SUM($D117:D117)/$O30</f>
        <v>0</v>
      </c>
      <c r="E129" s="1006">
        <f>SUM($D117:E117)/$O30</f>
        <v>0</v>
      </c>
      <c r="F129" s="1006">
        <f>SUM($D117:F117)/$O30</f>
        <v>0</v>
      </c>
      <c r="G129" s="1006">
        <f>SUM($D117:G117)/$O30</f>
        <v>0</v>
      </c>
      <c r="H129" s="1006">
        <f>SUM($D117:H117)/$O30</f>
        <v>0</v>
      </c>
      <c r="I129" s="1006">
        <f>SUM($D117:I117)/$O30</f>
        <v>0</v>
      </c>
      <c r="J129" s="1006">
        <f>SUM($D117:J117)/$O30</f>
        <v>0</v>
      </c>
      <c r="K129" s="1006"/>
    </row>
    <row r="130" spans="2:11">
      <c r="B130" s="405" t="str">
        <f t="shared" si="43"/>
        <v>Options at $0.11 Strike Price</v>
      </c>
      <c r="D130" s="1006">
        <f>SUM($D118:D118)/$O31</f>
        <v>0</v>
      </c>
      <c r="E130" s="1006">
        <f>SUM($D118:E118)/$O31</f>
        <v>0</v>
      </c>
      <c r="F130" s="1006">
        <f>SUM($D118:F118)/$O31</f>
        <v>2.0000000000000139E-2</v>
      </c>
      <c r="G130" s="1006">
        <f>SUM($D118:G118)/$O31</f>
        <v>0.29000000000000009</v>
      </c>
      <c r="H130" s="1006">
        <f>SUM($D118:H118)/$O31</f>
        <v>0.3600000000000001</v>
      </c>
      <c r="I130" s="1006">
        <f>SUM($D118:I118)/$O31</f>
        <v>0.89000000000000012</v>
      </c>
      <c r="J130" s="1006">
        <f>SUM($D118:J118)/$O31</f>
        <v>1.89</v>
      </c>
      <c r="K130" s="1006"/>
    </row>
    <row r="131" spans="2:11">
      <c r="B131" s="405" t="str">
        <f t="shared" si="43"/>
        <v>Options at $0.13 Strike Price</v>
      </c>
      <c r="D131" s="1006">
        <f>SUM($D119:D119)/$O32</f>
        <v>0</v>
      </c>
      <c r="E131" s="1006">
        <f>SUM($D119:E119)/$O32</f>
        <v>0</v>
      </c>
      <c r="F131" s="1006">
        <f>SUM($D119:F119)/$O32</f>
        <v>0</v>
      </c>
      <c r="G131" s="1006">
        <f>SUM($D119:G119)/$O32</f>
        <v>0.26999999999999991</v>
      </c>
      <c r="H131" s="1006">
        <f>SUM($D119:H119)/$O32</f>
        <v>0.33999999999999997</v>
      </c>
      <c r="I131" s="1006">
        <f>SUM($D119:I119)/$O32</f>
        <v>0.87</v>
      </c>
      <c r="J131" s="1006">
        <f>SUM($D119:J119)/$O32</f>
        <v>1.8699999999999999</v>
      </c>
      <c r="K131" s="1006"/>
    </row>
    <row r="132" spans="2:11">
      <c r="B132" s="405" t="str">
        <f t="shared" si="43"/>
        <v>Options at $0.40 Strike Price</v>
      </c>
      <c r="D132" s="1006">
        <f>SUM($D120:D120)/$O33</f>
        <v>0</v>
      </c>
      <c r="E132" s="1006">
        <f>SUM($D120:E120)/$O33</f>
        <v>0</v>
      </c>
      <c r="F132" s="1006">
        <f>SUM($D120:F120)/$O33</f>
        <v>0</v>
      </c>
      <c r="G132" s="1006">
        <f>SUM($D120:G120)/$O33</f>
        <v>0</v>
      </c>
      <c r="H132" s="1006">
        <f>SUM($D120:H120)/$O33</f>
        <v>7.0000000000000034E-2</v>
      </c>
      <c r="I132" s="1006">
        <f>SUM($D120:I120)/$O33</f>
        <v>0.60000000000000009</v>
      </c>
      <c r="J132" s="1006">
        <f>SUM($D120:J120)/$O33</f>
        <v>1.5999999999999996</v>
      </c>
      <c r="K132" s="1006"/>
    </row>
    <row r="133" spans="2:11">
      <c r="B133" s="405" t="str">
        <f t="shared" si="43"/>
        <v>Expected Options Grant</v>
      </c>
      <c r="D133" s="1006">
        <f>SUM($D121:D121)/$O34</f>
        <v>0</v>
      </c>
      <c r="E133" s="1006">
        <f>SUM($D121:E121)/$O34</f>
        <v>0</v>
      </c>
      <c r="F133" s="1006">
        <f>SUM($D121:F121)/$O34</f>
        <v>0</v>
      </c>
      <c r="G133" s="1006">
        <f>SUM($D121:G121)/$O34</f>
        <v>0</v>
      </c>
      <c r="H133" s="1006">
        <f>SUM($D121:H121)/$O34</f>
        <v>0</v>
      </c>
      <c r="I133" s="1006">
        <f>SUM($D121:I121)/$O34</f>
        <v>0.53</v>
      </c>
      <c r="J133" s="1006">
        <f>SUM($D121:J121)/$O34</f>
        <v>1.53</v>
      </c>
      <c r="K133" s="1006"/>
    </row>
    <row r="134" spans="2:11">
      <c r="B134" s="405" t="str">
        <f t="shared" si="43"/>
        <v>Common</v>
      </c>
      <c r="D134" s="1006">
        <f>SUM($D122:D122)/$O35</f>
        <v>0</v>
      </c>
      <c r="E134" s="1006">
        <f>SUM($D122:E122)/$O35</f>
        <v>0.10999999999999982</v>
      </c>
      <c r="F134" s="1006">
        <f>SUM($D122:F122)/$O35</f>
        <v>0.12999999999999995</v>
      </c>
      <c r="G134" s="1006">
        <f>SUM($D122:G122)/$O35</f>
        <v>0.39999999999999991</v>
      </c>
      <c r="H134" s="1006">
        <f>SUM($D122:H122)/$O35</f>
        <v>0.46999999999999992</v>
      </c>
      <c r="I134" s="1006">
        <f>SUM($D122:I122)/$O35</f>
        <v>0.99999999999999989</v>
      </c>
      <c r="J134" s="1006">
        <f>SUM($D122:J122)/$O35</f>
        <v>1.9999999999999993</v>
      </c>
      <c r="K134" s="1006"/>
    </row>
    <row r="135" spans="2:11">
      <c r="D135" s="412"/>
      <c r="E135" s="412"/>
      <c r="F135" s="412"/>
      <c r="G135" s="412"/>
      <c r="H135" s="412"/>
      <c r="I135" s="412"/>
      <c r="J135" s="412"/>
      <c r="K135" s="412"/>
    </row>
    <row r="136" spans="2:11">
      <c r="D136" s="412">
        <f t="shared" ref="D136:K136" si="44">NORMSDIST(D53)</f>
        <v>1</v>
      </c>
      <c r="E136" s="412">
        <f t="shared" si="44"/>
        <v>0.94259414059819135</v>
      </c>
      <c r="F136" s="412">
        <f t="shared" si="44"/>
        <v>0.94054622919683617</v>
      </c>
      <c r="G136" s="412">
        <f t="shared" si="44"/>
        <v>0.94016940467571741</v>
      </c>
      <c r="H136" s="412">
        <f t="shared" si="44"/>
        <v>0.93488926307987263</v>
      </c>
      <c r="I136" s="412">
        <f t="shared" si="44"/>
        <v>0.9334544901695444</v>
      </c>
      <c r="J136" s="412">
        <f t="shared" si="44"/>
        <v>0.92133600177596109</v>
      </c>
      <c r="K136" s="412">
        <f t="shared" si="44"/>
        <v>0.85202428694575283</v>
      </c>
    </row>
    <row r="137" spans="2:11">
      <c r="B137" s="405" t="s">
        <v>1257</v>
      </c>
      <c r="D137" s="884">
        <f>D136-E136</f>
        <v>5.7405859401808645E-2</v>
      </c>
      <c r="E137" s="412"/>
      <c r="F137" s="412"/>
      <c r="G137" s="412"/>
      <c r="H137" s="412"/>
      <c r="I137" s="412"/>
      <c r="J137" s="412"/>
      <c r="K137" s="412"/>
    </row>
  </sheetData>
  <conditionalFormatting sqref="C4:I4">
    <cfRule type="cellIs" dxfId="106" priority="6" stopIfTrue="1" operator="equal">
      <formula>"input"</formula>
    </cfRule>
  </conditionalFormatting>
  <conditionalFormatting sqref="J4">
    <cfRule type="cellIs" dxfId="105" priority="4" stopIfTrue="1" operator="equal">
      <formula>"input"</formula>
    </cfRule>
  </conditionalFormatting>
  <conditionalFormatting sqref="J4">
    <cfRule type="cellIs" dxfId="104" priority="5" stopIfTrue="1" operator="equal">
      <formula>"input"</formula>
    </cfRule>
  </conditionalFormatting>
  <conditionalFormatting sqref="K4">
    <cfRule type="cellIs" dxfId="103" priority="2" stopIfTrue="1" operator="equal">
      <formula>"input"</formula>
    </cfRule>
  </conditionalFormatting>
  <conditionalFormatting sqref="K4">
    <cfRule type="cellIs" dxfId="102" priority="3" stopIfTrue="1" operator="equal">
      <formula>"input"</formula>
    </cfRule>
  </conditionalFormatting>
  <conditionalFormatting sqref="B4">
    <cfRule type="cellIs" dxfId="101" priority="1" stopIfTrue="1" operator="equal">
      <formula>"input"</formula>
    </cfRule>
  </conditionalFormatting>
  <pageMargins left="0.5" right="0.5" top="0.5" bottom="0.5" header="0.5" footer="0.5"/>
  <pageSetup scale="71" fitToWidth="0" fitToHeight="0" pageOrder="overThenDown" orientation="landscape" r:id="rId1"/>
  <rowBreaks count="3" manualBreakCount="3">
    <brk id="24" max="19" man="1"/>
    <brk id="46" max="19" man="1"/>
    <brk id="78" max="19" man="1"/>
  </rowBreaks>
  <legacyDrawing r:id="rId2"/>
  <legacyDrawingHF r:id="rId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W37"/>
  <sheetViews>
    <sheetView showGridLines="0" view="pageBreakPreview" zoomScaleNormal="100" zoomScaleSheetLayoutView="100" workbookViewId="0">
      <selection activeCell="J14" sqref="J14"/>
    </sheetView>
  </sheetViews>
  <sheetFormatPr defaultRowHeight="12.75"/>
  <cols>
    <col min="1" max="1" width="4.5" style="405" customWidth="1"/>
    <col min="2" max="2" width="31.33203125" style="405" customWidth="1"/>
    <col min="3" max="3" width="2.83203125" style="405" customWidth="1"/>
    <col min="4" max="4" width="19.5" style="405" customWidth="1"/>
    <col min="5" max="5" width="2.83203125" style="405" customWidth="1"/>
    <col min="6" max="6" width="19.5" style="405" customWidth="1"/>
    <col min="7" max="7" width="2.83203125" style="405" customWidth="1"/>
    <col min="8" max="8" width="19.5" style="405" customWidth="1"/>
    <col min="9" max="9" width="2.83203125" style="405" customWidth="1"/>
    <col min="10" max="10" width="19.5" style="405" customWidth="1"/>
    <col min="11" max="11" width="2.83203125" style="405" customWidth="1"/>
    <col min="12" max="12" width="19.5" style="405" customWidth="1"/>
    <col min="13" max="13" width="4.5" style="405" customWidth="1"/>
    <col min="14" max="14" width="9.33203125" style="405"/>
    <col min="15" max="15" width="15.33203125" style="405" bestFit="1" customWidth="1"/>
    <col min="16" max="16" width="11.5" style="405" bestFit="1" customWidth="1"/>
    <col min="17" max="17" width="9.33203125" style="405"/>
    <col min="18" max="18" width="10.6640625" style="405" customWidth="1"/>
    <col min="19" max="16384" width="9.33203125" style="405"/>
  </cols>
  <sheetData>
    <row r="1" spans="2:17" ht="10.7" customHeight="1" thickBot="1"/>
    <row r="2" spans="2:17" ht="16.5" customHeight="1" thickTop="1">
      <c r="B2" s="10" t="str">
        <f>'MASTER PubCo Inputs'!$C$5</f>
        <v>Kallyope, Inc.</v>
      </c>
      <c r="C2" s="10"/>
      <c r="D2" s="10"/>
      <c r="E2" s="10"/>
      <c r="F2" s="10"/>
      <c r="G2" s="10"/>
      <c r="H2" s="10"/>
      <c r="I2" s="10"/>
      <c r="J2" s="10"/>
      <c r="K2" s="10"/>
      <c r="L2" s="10"/>
      <c r="O2" s="806" t="s">
        <v>579</v>
      </c>
      <c r="P2" s="807"/>
    </row>
    <row r="3" spans="2:17" ht="15.75" customHeight="1">
      <c r="B3" s="11" t="e">
        <f>VLOOKUP(B4,Outline!$E$8:$G$69,COLUMNS(Outline!$E$8:$G$8),FALSE)</f>
        <v>#N/A</v>
      </c>
      <c r="C3" s="11"/>
      <c r="D3" s="11"/>
      <c r="E3" s="11"/>
      <c r="F3" s="11"/>
      <c r="G3" s="11"/>
      <c r="H3" s="11"/>
      <c r="I3" s="11"/>
      <c r="J3" s="11"/>
      <c r="K3" s="11"/>
      <c r="L3" s="11"/>
      <c r="O3" s="2005" t="s">
        <v>435</v>
      </c>
      <c r="P3" s="803"/>
    </row>
    <row r="4" spans="2:17" ht="16.5" customHeight="1" thickBot="1">
      <c r="B4" s="12" t="s">
        <v>2585</v>
      </c>
      <c r="C4" s="12"/>
      <c r="D4" s="12"/>
      <c r="E4" s="12"/>
      <c r="F4" s="12"/>
      <c r="G4" s="12"/>
      <c r="H4" s="12"/>
      <c r="I4" s="12"/>
      <c r="J4" s="13"/>
      <c r="K4" s="13"/>
      <c r="L4" s="13" t="str">
        <f>+'MASTER PubCo Inputs'!$C$20</f>
        <v>(in thousands of USD and shares, except price per share)</v>
      </c>
      <c r="O4" s="362" t="s">
        <v>1166</v>
      </c>
      <c r="P4" s="804">
        <f>'Econ Rights'!E12</f>
        <v>2</v>
      </c>
    </row>
    <row r="5" spans="2:17" s="16" customFormat="1" ht="12.75" customHeight="1" thickTop="1">
      <c r="B5" s="405"/>
      <c r="C5" s="405"/>
      <c r="D5" s="405"/>
      <c r="E5" s="405"/>
      <c r="F5" s="405"/>
      <c r="G5" s="405"/>
      <c r="H5" s="405"/>
      <c r="I5" s="405"/>
      <c r="J5" s="405"/>
      <c r="K5" s="405"/>
      <c r="L5" s="405"/>
      <c r="M5" s="405"/>
      <c r="O5" s="362" t="s">
        <v>1167</v>
      </c>
      <c r="P5" s="207">
        <f>H13</f>
        <v>1.9994072954782034</v>
      </c>
    </row>
    <row r="6" spans="2:17" ht="12.75" customHeight="1">
      <c r="O6" s="784" t="s">
        <v>1168</v>
      </c>
      <c r="P6" s="808">
        <f>P5-P4</f>
        <v>-5.9270452179660538E-4</v>
      </c>
      <c r="Q6" s="515" t="str">
        <f>IF(OR(P6&lt;-0.01,P6&gt;0.01),"Check","")</f>
        <v/>
      </c>
    </row>
    <row r="7" spans="2:17" ht="12.75" customHeight="1">
      <c r="B7" s="582" t="s">
        <v>343</v>
      </c>
      <c r="C7" s="166"/>
      <c r="D7" s="580" t="s">
        <v>264</v>
      </c>
      <c r="E7" s="580"/>
      <c r="F7" s="580" t="s">
        <v>262</v>
      </c>
      <c r="G7" s="580"/>
      <c r="H7" s="580" t="s">
        <v>344</v>
      </c>
      <c r="I7" s="580"/>
      <c r="J7" s="580" t="s">
        <v>756</v>
      </c>
      <c r="K7" s="580"/>
      <c r="L7" s="581" t="s">
        <v>345</v>
      </c>
      <c r="O7" s="82" t="s">
        <v>318</v>
      </c>
      <c r="P7" s="805">
        <v>208419.36584352475</v>
      </c>
    </row>
    <row r="8" spans="2:17" ht="6" customHeight="1"/>
    <row r="9" spans="2:17" ht="12.75" customHeight="1">
      <c r="B9" s="405" t="str">
        <f>'OPM 1_OIP'!B96</f>
        <v>Series A</v>
      </c>
      <c r="D9" s="452">
        <f>'OPM 1_OIP'!$M96</f>
        <v>105068.13265882558</v>
      </c>
      <c r="E9" s="812"/>
      <c r="F9" s="452">
        <f>'Cap Table'!D11</f>
        <v>44050</v>
      </c>
      <c r="G9" s="4"/>
      <c r="H9" s="167">
        <f t="shared" ref="H9:H14" si="0">D9/F9</f>
        <v>2.3852016494625556</v>
      </c>
      <c r="I9" s="167"/>
      <c r="J9" s="168"/>
      <c r="K9" s="169"/>
      <c r="L9" s="168"/>
    </row>
    <row r="10" spans="2:17" ht="12.75" customHeight="1">
      <c r="B10" s="405" t="str">
        <f>'OPM 1_OIP'!B97</f>
        <v>Series B Tranche I</v>
      </c>
      <c r="D10" s="452">
        <f>'OPM 1_OIP'!$M97</f>
        <v>29725.168583286024</v>
      </c>
      <c r="E10" s="812"/>
      <c r="F10" s="452">
        <f>'Cap Table'!E11</f>
        <v>11024.995999999999</v>
      </c>
      <c r="G10" s="4"/>
      <c r="H10" s="167">
        <f t="shared" si="0"/>
        <v>2.6961613939166984</v>
      </c>
      <c r="I10" s="167"/>
      <c r="J10" s="168"/>
      <c r="K10" s="169"/>
      <c r="L10" s="168"/>
    </row>
    <row r="11" spans="2:17" ht="12.75" customHeight="1">
      <c r="B11" s="405" t="str">
        <f>'OPM 1_OIP'!B98</f>
        <v>Series B Tranche II Warrants</v>
      </c>
      <c r="D11" s="452">
        <f>'OPM 1_OIP'!$M98</f>
        <v>15296.95197496412</v>
      </c>
      <c r="E11" s="812"/>
      <c r="F11" s="452">
        <f>'Cap Table'!F11</f>
        <v>11024.995999999999</v>
      </c>
      <c r="G11" s="4"/>
      <c r="H11" s="167">
        <f t="shared" si="0"/>
        <v>1.3874791405787468</v>
      </c>
      <c r="I11" s="167"/>
      <c r="J11" s="168"/>
      <c r="K11" s="169"/>
      <c r="L11" s="168"/>
    </row>
    <row r="12" spans="2:17" ht="12.75" customHeight="1">
      <c r="B12" s="405" t="str">
        <f>'OPM 1_OIP'!B99</f>
        <v>Series B Tranche III Warrants</v>
      </c>
      <c r="D12" s="452">
        <f>'OPM 1_OIP'!$M99</f>
        <v>15296.95197496412</v>
      </c>
      <c r="E12" s="812"/>
      <c r="F12" s="452">
        <f>'Cap Table'!G11</f>
        <v>11024.995999999999</v>
      </c>
      <c r="G12" s="4"/>
      <c r="H12" s="167">
        <f t="shared" si="0"/>
        <v>1.3874791405787468</v>
      </c>
      <c r="I12" s="167"/>
      <c r="J12" s="168"/>
      <c r="K12" s="169"/>
      <c r="L12" s="168"/>
    </row>
    <row r="13" spans="2:17" ht="12.75" customHeight="1">
      <c r="B13" s="405" t="s">
        <v>2002</v>
      </c>
      <c r="D13" s="452">
        <f>SUM('OPM 1_OIP'!M100:M103)</f>
        <v>7525.2751447406354</v>
      </c>
      <c r="E13" s="812"/>
      <c r="F13" s="452">
        <f>SUM('Cap Table'!D24:D27)</f>
        <v>3763.7529690721649</v>
      </c>
      <c r="G13" s="4"/>
      <c r="H13" s="167">
        <f t="shared" si="0"/>
        <v>1.9994072954782034</v>
      </c>
      <c r="I13" s="167"/>
      <c r="J13" s="168"/>
      <c r="K13" s="169"/>
      <c r="L13" s="168"/>
    </row>
    <row r="14" spans="2:17" ht="12.75" customHeight="1">
      <c r="B14" s="405" t="str">
        <f>'OPM 1_OIP'!B104</f>
        <v>Common</v>
      </c>
      <c r="D14" s="452">
        <f>'OPM 1_OIP'!$M104</f>
        <v>35506.885506744198</v>
      </c>
      <c r="E14" s="812"/>
      <c r="F14" s="452">
        <f>'Cap Table'!H11</f>
        <v>16327.046</v>
      </c>
      <c r="G14" s="4"/>
      <c r="H14" s="167">
        <f t="shared" si="0"/>
        <v>2.1747280865592096</v>
      </c>
      <c r="I14" s="167"/>
      <c r="J14" s="2078">
        <f>'Full DLOM_OPM'!D47</f>
        <v>0.4</v>
      </c>
      <c r="K14" s="169"/>
      <c r="L14" s="167">
        <f>H14*(1-J14)</f>
        <v>1.3048368519355258</v>
      </c>
    </row>
    <row r="15" spans="2:17" ht="12.75" customHeight="1">
      <c r="B15" s="5"/>
      <c r="C15" s="5"/>
      <c r="D15" s="170"/>
      <c r="E15" s="170"/>
      <c r="F15" s="170"/>
      <c r="G15" s="5"/>
      <c r="H15" s="171"/>
      <c r="I15" s="5"/>
      <c r="J15" s="171"/>
      <c r="K15" s="171"/>
      <c r="L15" s="171"/>
    </row>
    <row r="16" spans="2:17" ht="12.75" customHeight="1">
      <c r="B16" s="1" t="str">
        <f>'OPM 1_OIP'!B106</f>
        <v>Total Tranche Value</v>
      </c>
      <c r="D16" s="172">
        <f>SUM(D9:D14)</f>
        <v>208419.36584352469</v>
      </c>
      <c r="E16" s="92"/>
      <c r="F16" s="172">
        <f>SUM(F9:F14)</f>
        <v>97215.786969072171</v>
      </c>
      <c r="H16" s="173"/>
      <c r="J16" s="173"/>
      <c r="K16" s="173"/>
      <c r="L16" s="173"/>
    </row>
    <row r="17" spans="1:23" ht="12.75" customHeight="1"/>
    <row r="18" spans="1:23" ht="12.75" customHeight="1">
      <c r="B18" s="8" t="s">
        <v>86</v>
      </c>
    </row>
    <row r="19" spans="1:23" ht="12.75" customHeight="1">
      <c r="A19" s="718" t="s">
        <v>210</v>
      </c>
      <c r="B19" s="764" t="e">
        <f>"Refer to "&amp;'Full DLOM_OPM'!B3&amp;" for DLOM calculations."</f>
        <v>#N/A</v>
      </c>
      <c r="O19" s="16"/>
      <c r="P19" s="16"/>
      <c r="Q19" s="16"/>
      <c r="R19" s="16"/>
      <c r="S19" s="16"/>
      <c r="T19" s="16"/>
      <c r="U19" s="16"/>
      <c r="V19" s="16"/>
      <c r="W19" s="16"/>
    </row>
    <row r="20" spans="1:23" ht="12.75" customHeight="1">
      <c r="O20" s="936"/>
      <c r="P20" s="16"/>
      <c r="Q20" s="16"/>
      <c r="R20" s="16"/>
      <c r="S20" s="16"/>
      <c r="T20" s="16"/>
      <c r="U20" s="16"/>
      <c r="V20" s="16"/>
      <c r="W20" s="16"/>
    </row>
    <row r="21" spans="1:23">
      <c r="D21" s="955"/>
      <c r="O21" s="16"/>
      <c r="P21" s="16"/>
      <c r="Q21" s="16"/>
      <c r="R21" s="16"/>
      <c r="S21" s="16"/>
      <c r="T21" s="16"/>
      <c r="U21" s="16"/>
      <c r="V21" s="16"/>
      <c r="W21" s="16"/>
    </row>
    <row r="22" spans="1:23">
      <c r="B22" s="405" t="s">
        <v>1349</v>
      </c>
      <c r="D22" s="956" t="str">
        <f>IF((D16&lt;&gt;'OPM 1_OIP'!M106),"Check","")</f>
        <v/>
      </c>
      <c r="O22" s="16"/>
      <c r="P22" s="16"/>
      <c r="Q22" s="16"/>
      <c r="R22" s="927"/>
      <c r="S22" s="16"/>
      <c r="T22" s="16"/>
      <c r="U22" s="16"/>
      <c r="V22" s="16"/>
      <c r="W22" s="16"/>
    </row>
    <row r="23" spans="1:23">
      <c r="O23" s="904"/>
      <c r="P23" s="16"/>
      <c r="Q23" s="16"/>
      <c r="R23" s="16"/>
      <c r="S23" s="16"/>
      <c r="T23" s="16"/>
      <c r="U23" s="16"/>
      <c r="V23" s="16"/>
      <c r="W23" s="16"/>
    </row>
    <row r="24" spans="1:23">
      <c r="O24" s="904"/>
      <c r="P24" s="16"/>
      <c r="Q24" s="16"/>
      <c r="R24" s="16"/>
      <c r="S24" s="16"/>
      <c r="T24" s="16"/>
      <c r="U24" s="16"/>
      <c r="V24" s="16"/>
      <c r="W24" s="16"/>
    </row>
    <row r="25" spans="1:23">
      <c r="O25" s="1007"/>
      <c r="P25" s="16"/>
      <c r="Q25" s="16"/>
      <c r="R25" s="883"/>
      <c r="S25" s="16"/>
      <c r="T25" s="16"/>
      <c r="U25" s="16"/>
      <c r="V25" s="16"/>
      <c r="W25" s="16"/>
    </row>
    <row r="26" spans="1:23">
      <c r="O26" s="904"/>
      <c r="P26" s="16"/>
      <c r="Q26" s="16"/>
      <c r="R26" s="16"/>
      <c r="S26" s="16"/>
      <c r="T26" s="16"/>
      <c r="U26" s="16"/>
      <c r="V26" s="16"/>
      <c r="W26" s="16"/>
    </row>
    <row r="27" spans="1:23">
      <c r="O27" s="904"/>
      <c r="P27" s="16"/>
      <c r="Q27" s="16"/>
      <c r="R27" s="16"/>
      <c r="S27" s="16"/>
      <c r="T27" s="16"/>
      <c r="U27" s="16"/>
      <c r="V27" s="16"/>
      <c r="W27" s="16"/>
    </row>
    <row r="28" spans="1:23">
      <c r="O28" s="16"/>
      <c r="P28" s="16"/>
      <c r="Q28" s="16"/>
      <c r="R28" s="16"/>
      <c r="S28" s="16"/>
      <c r="T28" s="16"/>
      <c r="U28" s="16"/>
      <c r="V28" s="16"/>
      <c r="W28" s="16"/>
    </row>
    <row r="29" spans="1:23">
      <c r="O29" s="16"/>
      <c r="P29" s="16"/>
      <c r="Q29" s="16"/>
      <c r="R29" s="16"/>
      <c r="S29" s="16"/>
      <c r="T29" s="16"/>
      <c r="U29" s="16"/>
      <c r="V29" s="16"/>
      <c r="W29" s="16"/>
    </row>
    <row r="30" spans="1:23">
      <c r="O30" s="16"/>
      <c r="P30" s="16"/>
      <c r="Q30" s="16"/>
      <c r="R30" s="927"/>
      <c r="S30" s="16"/>
      <c r="T30" s="16"/>
      <c r="U30" s="16"/>
      <c r="V30" s="16"/>
      <c r="W30" s="16"/>
    </row>
    <row r="31" spans="1:23">
      <c r="O31" s="939"/>
      <c r="P31" s="16"/>
      <c r="Q31" s="16"/>
      <c r="R31" s="16"/>
      <c r="S31" s="16"/>
      <c r="T31" s="16"/>
      <c r="U31" s="16"/>
      <c r="V31" s="16"/>
      <c r="W31" s="16"/>
    </row>
    <row r="32" spans="1:23">
      <c r="O32" s="939"/>
      <c r="P32" s="16"/>
      <c r="Q32" s="16"/>
      <c r="R32" s="16"/>
      <c r="S32" s="16"/>
      <c r="T32" s="16"/>
      <c r="U32" s="16"/>
      <c r="V32" s="16"/>
      <c r="W32" s="16"/>
    </row>
    <row r="33" spans="15:23">
      <c r="O33" s="1008"/>
      <c r="P33" s="16"/>
      <c r="Q33" s="16"/>
      <c r="R33" s="883"/>
      <c r="S33" s="16"/>
      <c r="T33" s="16"/>
      <c r="U33" s="16"/>
      <c r="V33" s="16"/>
      <c r="W33" s="16"/>
    </row>
    <row r="34" spans="15:23">
      <c r="O34" s="939"/>
      <c r="P34" s="16"/>
      <c r="Q34" s="16"/>
      <c r="R34" s="16"/>
      <c r="S34" s="16"/>
      <c r="T34" s="16"/>
      <c r="U34" s="16"/>
      <c r="V34" s="16"/>
      <c r="W34" s="16"/>
    </row>
    <row r="35" spans="15:23">
      <c r="O35" s="939"/>
      <c r="P35" s="16"/>
      <c r="Q35" s="16"/>
      <c r="R35" s="16"/>
      <c r="S35" s="16"/>
      <c r="T35" s="16"/>
      <c r="U35" s="16"/>
      <c r="V35" s="16"/>
      <c r="W35" s="16"/>
    </row>
    <row r="36" spans="15:23">
      <c r="O36" s="16"/>
      <c r="P36" s="16"/>
      <c r="Q36" s="16"/>
      <c r="R36" s="16"/>
      <c r="S36" s="16"/>
      <c r="T36" s="16"/>
      <c r="U36" s="16"/>
      <c r="V36" s="16"/>
      <c r="W36" s="16"/>
    </row>
    <row r="37" spans="15:23">
      <c r="O37" s="16"/>
      <c r="P37" s="16"/>
      <c r="Q37" s="16"/>
      <c r="R37" s="16"/>
      <c r="S37" s="16"/>
      <c r="T37" s="16"/>
      <c r="U37" s="16"/>
      <c r="V37" s="16"/>
      <c r="W37" s="16"/>
    </row>
  </sheetData>
  <dataConsolidate link="1"/>
  <conditionalFormatting sqref="C4:I4">
    <cfRule type="cellIs" dxfId="100" priority="8" stopIfTrue="1" operator="equal">
      <formula>"input"</formula>
    </cfRule>
  </conditionalFormatting>
  <conditionalFormatting sqref="J4">
    <cfRule type="cellIs" dxfId="99" priority="6" stopIfTrue="1" operator="equal">
      <formula>"input"</formula>
    </cfRule>
  </conditionalFormatting>
  <conditionalFormatting sqref="J4">
    <cfRule type="cellIs" dxfId="98" priority="7" stopIfTrue="1" operator="equal">
      <formula>"input"</formula>
    </cfRule>
  </conditionalFormatting>
  <conditionalFormatting sqref="K4">
    <cfRule type="cellIs" dxfId="97" priority="4" stopIfTrue="1" operator="equal">
      <formula>"input"</formula>
    </cfRule>
  </conditionalFormatting>
  <conditionalFormatting sqref="K4">
    <cfRule type="cellIs" dxfId="96" priority="5" stopIfTrue="1" operator="equal">
      <formula>"input"</formula>
    </cfRule>
  </conditionalFormatting>
  <conditionalFormatting sqref="L4">
    <cfRule type="cellIs" dxfId="95" priority="2" stopIfTrue="1" operator="equal">
      <formula>"input"</formula>
    </cfRule>
  </conditionalFormatting>
  <conditionalFormatting sqref="L4">
    <cfRule type="cellIs" dxfId="94" priority="3" stopIfTrue="1" operator="equal">
      <formula>"input"</formula>
    </cfRule>
  </conditionalFormatting>
  <conditionalFormatting sqref="B4">
    <cfRule type="cellIs" dxfId="93" priority="1" stopIfTrue="1" operator="equal">
      <formula>"input"</formula>
    </cfRule>
  </conditionalFormatting>
  <pageMargins left="0.5" right="0.5" top="0.5" bottom="0.5" header="0.5" footer="0.5"/>
  <pageSetup fitToWidth="0" fitToHeight="0" orientation="landscape" r:id="rId1"/>
  <legacyDrawingHF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Y107"/>
  <sheetViews>
    <sheetView showGridLines="0" view="pageBreakPreview" zoomScale="70" zoomScaleNormal="85" zoomScaleSheetLayoutView="70" workbookViewId="0">
      <selection activeCell="B2" sqref="B2"/>
    </sheetView>
  </sheetViews>
  <sheetFormatPr defaultRowHeight="12.75" outlineLevelRow="1"/>
  <cols>
    <col min="1" max="1" width="4.5" style="720" customWidth="1"/>
    <col min="2" max="2" width="43.6640625" style="720" customWidth="1"/>
    <col min="3" max="3" width="2.83203125" style="720" customWidth="1"/>
    <col min="4" max="10" width="18.1640625" style="720" customWidth="1"/>
    <col min="11" max="11" width="4.5" style="720" customWidth="1"/>
    <col min="12" max="12" width="18.83203125" style="720" customWidth="1"/>
    <col min="13" max="13" width="1.83203125" style="720" customWidth="1"/>
    <col min="14" max="17" width="18.83203125" style="2001" customWidth="1"/>
    <col min="18" max="18" width="23.1640625" style="720" customWidth="1"/>
    <col min="19" max="19" width="22.6640625" style="720" customWidth="1"/>
    <col min="20" max="20" width="23.33203125" style="720" customWidth="1"/>
    <col min="21" max="21" width="22.83203125" style="720" customWidth="1"/>
    <col min="22" max="22" width="15.5" style="720" customWidth="1"/>
    <col min="23" max="23" width="19.33203125" style="720" customWidth="1"/>
    <col min="24" max="24" width="19.1640625" style="720" bestFit="1" customWidth="1"/>
    <col min="25" max="16384" width="9.33203125" style="720"/>
  </cols>
  <sheetData>
    <row r="1" spans="2:25" ht="10.7" customHeight="1" thickBot="1"/>
    <row r="2" spans="2:25" ht="16.5" customHeight="1" thickTop="1">
      <c r="B2" s="10" t="s">
        <v>1608</v>
      </c>
      <c r="C2" s="10"/>
      <c r="D2" s="10"/>
      <c r="E2" s="10"/>
      <c r="F2" s="10"/>
      <c r="G2" s="10"/>
      <c r="H2" s="10"/>
      <c r="I2" s="10"/>
      <c r="J2" s="10"/>
    </row>
    <row r="3" spans="2:25" ht="15.75" customHeight="1">
      <c r="B3" s="11" t="s">
        <v>2875</v>
      </c>
      <c r="C3" s="11"/>
      <c r="D3" s="11"/>
      <c r="E3" s="11"/>
      <c r="F3" s="11"/>
      <c r="G3" s="11"/>
      <c r="H3" s="11"/>
      <c r="I3" s="11"/>
      <c r="J3" s="11"/>
      <c r="N3" s="2325" t="s">
        <v>2245</v>
      </c>
      <c r="O3" s="2325"/>
      <c r="P3" s="2325"/>
      <c r="Q3" s="2325"/>
    </row>
    <row r="4" spans="2:25" ht="16.5" customHeight="1" thickBot="1">
      <c r="B4" s="12" t="s">
        <v>2584</v>
      </c>
      <c r="C4" s="12"/>
      <c r="D4" s="12"/>
      <c r="E4" s="12"/>
      <c r="F4" s="12"/>
      <c r="G4" s="12"/>
      <c r="H4" s="13"/>
      <c r="I4" s="13"/>
      <c r="J4" s="13" t="s">
        <v>591</v>
      </c>
      <c r="N4" s="2001" t="s">
        <v>2241</v>
      </c>
      <c r="O4" s="2001" t="s">
        <v>2242</v>
      </c>
      <c r="P4" s="2001" t="s">
        <v>2249</v>
      </c>
      <c r="Q4" s="2001" t="s">
        <v>2250</v>
      </c>
      <c r="R4" s="2001" t="s">
        <v>2251</v>
      </c>
      <c r="S4" s="2001" t="s">
        <v>2252</v>
      </c>
      <c r="T4" s="2001" t="s">
        <v>2253</v>
      </c>
      <c r="U4" s="2001" t="s">
        <v>2254</v>
      </c>
      <c r="V4" s="2001" t="s">
        <v>2255</v>
      </c>
      <c r="W4" s="2001" t="s">
        <v>2256</v>
      </c>
      <c r="X4" s="2001" t="s">
        <v>2257</v>
      </c>
      <c r="Y4" s="2001"/>
    </row>
    <row r="5" spans="2:25" s="1171" customFormat="1" ht="12.75" customHeight="1" thickTop="1">
      <c r="B5" s="720"/>
      <c r="C5" s="720"/>
      <c r="D5" s="720"/>
      <c r="E5" s="720"/>
      <c r="F5" s="720"/>
      <c r="G5" s="720"/>
      <c r="H5" s="720"/>
      <c r="I5" s="720"/>
      <c r="J5" s="720"/>
      <c r="K5" s="720"/>
      <c r="L5" s="720" t="s">
        <v>2246</v>
      </c>
      <c r="N5" s="2326">
        <v>3.484931506849315</v>
      </c>
      <c r="O5" s="2326">
        <v>6.4876712328767123</v>
      </c>
      <c r="P5" s="2326">
        <v>2.484931506849315</v>
      </c>
      <c r="Q5" s="2326">
        <v>2.484931506849315</v>
      </c>
      <c r="R5" s="2326">
        <v>3.484931506849315</v>
      </c>
      <c r="S5" s="2326">
        <v>3.484931506849315</v>
      </c>
      <c r="T5" s="2326">
        <v>6.4876712328767123</v>
      </c>
      <c r="U5" s="2326">
        <v>6.4876712328767123</v>
      </c>
      <c r="V5" s="2326">
        <v>2.484931506849315</v>
      </c>
      <c r="W5" s="2326">
        <v>3.484931506849315</v>
      </c>
      <c r="X5" s="2326">
        <v>6.4876712328767123</v>
      </c>
    </row>
    <row r="6" spans="2:25" s="1171" customFormat="1" ht="12.75" customHeight="1">
      <c r="B6" s="720"/>
      <c r="C6" s="720"/>
      <c r="D6" s="720"/>
      <c r="E6" s="720"/>
      <c r="F6" s="720"/>
      <c r="G6" s="720"/>
      <c r="H6" s="720"/>
      <c r="I6" s="720"/>
      <c r="J6" s="720"/>
      <c r="K6" s="720"/>
      <c r="L6" s="1171" t="s">
        <v>2247</v>
      </c>
      <c r="N6" s="2327">
        <v>5.5E-2</v>
      </c>
      <c r="O6" s="2327">
        <v>0.03</v>
      </c>
      <c r="P6" s="2327">
        <v>0.09</v>
      </c>
      <c r="Q6" s="2327">
        <v>0.09</v>
      </c>
      <c r="R6" s="2327">
        <v>5.5E-2</v>
      </c>
      <c r="S6" s="2327">
        <v>0.155</v>
      </c>
      <c r="T6" s="2327">
        <v>1.4999999999999999E-2</v>
      </c>
      <c r="U6" s="2327">
        <v>0.115</v>
      </c>
      <c r="V6" s="2327">
        <v>0.105</v>
      </c>
      <c r="W6" s="2327">
        <v>0.18</v>
      </c>
      <c r="X6" s="2327">
        <v>0.1100000000000001</v>
      </c>
    </row>
    <row r="7" spans="2:25" ht="12.75" customHeight="1">
      <c r="B7" s="2328" t="s">
        <v>320</v>
      </c>
      <c r="C7" s="2329"/>
      <c r="D7" s="2329"/>
      <c r="E7" s="2329"/>
      <c r="F7" s="2329"/>
      <c r="G7" s="2329"/>
      <c r="H7" s="2329"/>
      <c r="I7" s="2329"/>
      <c r="J7" s="2330"/>
      <c r="L7" s="2331" t="s">
        <v>2248</v>
      </c>
      <c r="N7" s="2332">
        <f>SUMPRODUCT(N5:X5,$N$6:$X$6)</f>
        <v>4.0106712328767129</v>
      </c>
      <c r="O7" s="2332"/>
      <c r="P7" s="2332"/>
      <c r="Q7" s="2332"/>
    </row>
    <row r="8" spans="2:25" s="2331" customFormat="1" ht="12.75" customHeight="1">
      <c r="B8" s="2333"/>
      <c r="C8" s="2333"/>
      <c r="D8" s="2333"/>
      <c r="E8" s="2333"/>
      <c r="F8" s="2333"/>
      <c r="G8" s="2333"/>
      <c r="H8" s="2333"/>
      <c r="I8" s="2333"/>
      <c r="J8" s="2333"/>
      <c r="N8" s="2334"/>
      <c r="O8" s="2334"/>
      <c r="P8" s="2334"/>
      <c r="Q8" s="2334"/>
    </row>
    <row r="9" spans="2:25" ht="12.75" customHeight="1">
      <c r="B9" s="720" t="s">
        <v>318</v>
      </c>
      <c r="C9" s="2335"/>
      <c r="D9" s="2336">
        <f>'OPM 2 Series B Warrants'!L22</f>
        <v>79837.623308620343</v>
      </c>
      <c r="E9" s="2337" t="s">
        <v>2876</v>
      </c>
      <c r="L9" s="720" t="s">
        <v>2877</v>
      </c>
      <c r="N9" s="2326">
        <v>0</v>
      </c>
      <c r="O9" s="2326">
        <v>0</v>
      </c>
      <c r="P9" s="2326">
        <v>1</v>
      </c>
      <c r="Q9" s="2326">
        <v>1</v>
      </c>
      <c r="R9" s="2326">
        <v>1</v>
      </c>
      <c r="S9" s="2326">
        <v>1</v>
      </c>
      <c r="T9" s="2326">
        <v>1</v>
      </c>
      <c r="U9" s="2326">
        <v>1</v>
      </c>
      <c r="V9" s="2326">
        <v>0</v>
      </c>
      <c r="W9" s="2326">
        <v>0</v>
      </c>
      <c r="X9" s="2326">
        <v>0</v>
      </c>
    </row>
    <row r="10" spans="2:25" ht="12.75" customHeight="1">
      <c r="B10" s="720" t="s">
        <v>319</v>
      </c>
      <c r="D10" s="2338">
        <f>+N7</f>
        <v>4.0106712328767129</v>
      </c>
      <c r="E10" s="2337" t="s">
        <v>2593</v>
      </c>
      <c r="L10" s="720" t="s">
        <v>2602</v>
      </c>
      <c r="N10" s="2339">
        <f>+N9+N5</f>
        <v>3.484931506849315</v>
      </c>
      <c r="O10" s="2339">
        <f>+O9+O5</f>
        <v>6.4876712328767123</v>
      </c>
      <c r="P10" s="2339">
        <f>+P9+P5</f>
        <v>3.484931506849315</v>
      </c>
      <c r="Q10" s="2339">
        <f>+Q9+Q5</f>
        <v>3.484931506849315</v>
      </c>
      <c r="R10" s="2339">
        <f t="shared" ref="R10:X10" si="0">+R9+R5</f>
        <v>4.484931506849315</v>
      </c>
      <c r="S10" s="2339">
        <f t="shared" si="0"/>
        <v>4.484931506849315</v>
      </c>
      <c r="T10" s="2339">
        <f t="shared" si="0"/>
        <v>7.4876712328767123</v>
      </c>
      <c r="U10" s="2339">
        <f t="shared" si="0"/>
        <v>7.4876712328767123</v>
      </c>
      <c r="V10" s="2339">
        <f t="shared" si="0"/>
        <v>2.484931506849315</v>
      </c>
      <c r="W10" s="2339">
        <f t="shared" si="0"/>
        <v>3.484931506849315</v>
      </c>
      <c r="X10" s="2339">
        <f t="shared" si="0"/>
        <v>6.4876712328767123</v>
      </c>
    </row>
    <row r="11" spans="2:25" ht="12.75" customHeight="1">
      <c r="B11" s="2331" t="s">
        <v>74</v>
      </c>
      <c r="C11" s="2340"/>
      <c r="D11" s="2341">
        <f>'OPM 1_OIP'!D11</f>
        <v>0.81299999999999994</v>
      </c>
      <c r="E11" s="2420" t="s">
        <v>2878</v>
      </c>
      <c r="L11" s="2331" t="s">
        <v>2248</v>
      </c>
      <c r="N11" s="2332">
        <f>SUMPRODUCT(N10:X10,$N$6:$X$6)</f>
        <v>4.5306712328767134</v>
      </c>
      <c r="O11" s="2332"/>
      <c r="P11" s="2332"/>
      <c r="Q11" s="2332"/>
    </row>
    <row r="12" spans="2:25" ht="12.75" customHeight="1">
      <c r="B12" s="720" t="s">
        <v>72</v>
      </c>
      <c r="C12" s="2340"/>
      <c r="D12" s="2341">
        <f>'OPM 1_OIP'!D12</f>
        <v>2.6564239726027398E-2</v>
      </c>
      <c r="E12" s="2420" t="s">
        <v>2879</v>
      </c>
    </row>
    <row r="13" spans="2:25" ht="12.75" customHeight="1">
      <c r="B13" s="720" t="s">
        <v>73</v>
      </c>
      <c r="D13" s="2341">
        <f>'OPM 1_OIP'!D13</f>
        <v>0</v>
      </c>
      <c r="E13" s="2420" t="s">
        <v>1582</v>
      </c>
      <c r="L13" s="720" t="s">
        <v>2603</v>
      </c>
      <c r="N13" s="2326">
        <v>0</v>
      </c>
      <c r="O13" s="2326">
        <v>0</v>
      </c>
      <c r="P13" s="2326">
        <v>1</v>
      </c>
      <c r="Q13" s="2326">
        <v>1</v>
      </c>
      <c r="R13" s="2326">
        <v>1</v>
      </c>
      <c r="S13" s="2326">
        <v>1</v>
      </c>
      <c r="T13" s="2326">
        <v>1</v>
      </c>
      <c r="U13" s="2326">
        <v>1</v>
      </c>
      <c r="V13" s="2326">
        <v>0</v>
      </c>
      <c r="W13" s="2326">
        <v>0</v>
      </c>
      <c r="X13" s="2326">
        <v>0</v>
      </c>
    </row>
    <row r="14" spans="2:25" ht="12.75" customHeight="1">
      <c r="D14" s="1983"/>
      <c r="E14" s="2342"/>
      <c r="L14" s="720" t="s">
        <v>2604</v>
      </c>
      <c r="N14" s="2339">
        <f>+N13+N5</f>
        <v>3.484931506849315</v>
      </c>
      <c r="O14" s="2339">
        <f>+O13+O5</f>
        <v>6.4876712328767123</v>
      </c>
      <c r="P14" s="2339">
        <f>+P13+P5</f>
        <v>3.484931506849315</v>
      </c>
      <c r="Q14" s="2339">
        <f>+Q13+Q5</f>
        <v>3.484931506849315</v>
      </c>
      <c r="R14" s="2339">
        <f t="shared" ref="R14:X14" si="1">+R13+R5</f>
        <v>4.484931506849315</v>
      </c>
      <c r="S14" s="2339">
        <f t="shared" si="1"/>
        <v>4.484931506849315</v>
      </c>
      <c r="T14" s="2339">
        <f t="shared" si="1"/>
        <v>7.4876712328767123</v>
      </c>
      <c r="U14" s="2339">
        <f t="shared" si="1"/>
        <v>7.4876712328767123</v>
      </c>
      <c r="V14" s="2339">
        <f t="shared" si="1"/>
        <v>2.484931506849315</v>
      </c>
      <c r="W14" s="2339">
        <f t="shared" si="1"/>
        <v>3.484931506849315</v>
      </c>
      <c r="X14" s="2339">
        <f t="shared" si="1"/>
        <v>6.4876712328767123</v>
      </c>
    </row>
    <row r="15" spans="2:25" ht="12.75" customHeight="1">
      <c r="D15" s="2343">
        <v>1</v>
      </c>
      <c r="E15" s="2344">
        <f>+D15+1</f>
        <v>2</v>
      </c>
      <c r="F15" s="2344">
        <f>E15+1</f>
        <v>3</v>
      </c>
      <c r="G15" s="2344">
        <f>F15+1</f>
        <v>4</v>
      </c>
      <c r="H15" s="2344">
        <f>G15+1</f>
        <v>5</v>
      </c>
      <c r="I15" s="2344">
        <f>H15+1</f>
        <v>6</v>
      </c>
      <c r="J15" s="2345">
        <f>I15+1</f>
        <v>7</v>
      </c>
      <c r="L15" s="2331" t="s">
        <v>2248</v>
      </c>
      <c r="N15" s="2332">
        <f>SUMPRODUCT(N14:X14,$N$6:$X$6)</f>
        <v>4.5306712328767134</v>
      </c>
      <c r="O15" s="2332"/>
      <c r="P15" s="2332"/>
      <c r="Q15" s="2332"/>
    </row>
    <row r="16" spans="2:25" s="2347" customFormat="1" ht="78.75" customHeight="1">
      <c r="B16" s="2346" t="s">
        <v>321</v>
      </c>
      <c r="D16" s="2348" t="s">
        <v>1706</v>
      </c>
      <c r="E16" s="2349" t="s">
        <v>1707</v>
      </c>
      <c r="F16" s="2349" t="s">
        <v>2880</v>
      </c>
      <c r="G16" s="2349" t="s">
        <v>2881</v>
      </c>
      <c r="H16" s="2349" t="s">
        <v>2882</v>
      </c>
      <c r="I16" s="2349" t="s">
        <v>1708</v>
      </c>
      <c r="J16" s="2350" t="s">
        <v>2883</v>
      </c>
      <c r="L16" s="2351"/>
      <c r="N16" s="2352"/>
      <c r="O16" s="2352"/>
      <c r="P16" s="2352"/>
      <c r="Q16" s="2352"/>
    </row>
    <row r="17" spans="2:23" ht="12.75" customHeight="1"/>
    <row r="18" spans="2:23" ht="12.75" customHeight="1">
      <c r="B18" s="2223" t="s">
        <v>326</v>
      </c>
      <c r="N18" s="2353" t="str">
        <f>B18</f>
        <v>Liquidation Preference</v>
      </c>
      <c r="O18" s="2353"/>
      <c r="P18" s="2353"/>
      <c r="Q18" s="2353"/>
    </row>
    <row r="19" spans="2:23" ht="12.75" customHeight="1">
      <c r="B19" s="2157" t="s">
        <v>429</v>
      </c>
      <c r="D19" s="2354">
        <f t="shared" ref="D19:H20" si="2">$N19</f>
        <v>44050</v>
      </c>
      <c r="E19" s="2354">
        <f t="shared" si="2"/>
        <v>44050</v>
      </c>
      <c r="F19" s="2354">
        <f t="shared" si="2"/>
        <v>44050</v>
      </c>
      <c r="G19" s="2354">
        <f t="shared" si="2"/>
        <v>44050</v>
      </c>
      <c r="H19" s="2354">
        <f t="shared" si="2"/>
        <v>44050</v>
      </c>
      <c r="I19" s="2354">
        <v>0</v>
      </c>
      <c r="J19" s="2354">
        <v>0</v>
      </c>
      <c r="L19" s="2355"/>
      <c r="N19" s="2356">
        <v>44050</v>
      </c>
      <c r="O19" s="2356"/>
      <c r="P19" s="2356"/>
      <c r="Q19" s="2356"/>
    </row>
    <row r="20" spans="2:23" ht="12.75" customHeight="1">
      <c r="B20" s="2157" t="s">
        <v>1698</v>
      </c>
      <c r="D20" s="2354">
        <f t="shared" si="2"/>
        <v>22050.016</v>
      </c>
      <c r="E20" s="2354">
        <f t="shared" si="2"/>
        <v>22050.016</v>
      </c>
      <c r="F20" s="2354">
        <f t="shared" si="2"/>
        <v>22050.016</v>
      </c>
      <c r="G20" s="2354">
        <f t="shared" si="2"/>
        <v>22050.016</v>
      </c>
      <c r="H20" s="2354">
        <f t="shared" si="2"/>
        <v>22050.016</v>
      </c>
      <c r="I20" s="2354">
        <f>$N20</f>
        <v>22050.016</v>
      </c>
      <c r="J20" s="2354">
        <v>0</v>
      </c>
      <c r="N20" s="2356">
        <v>22050.016</v>
      </c>
      <c r="O20" s="2356"/>
      <c r="P20" s="2356"/>
      <c r="Q20" s="2356"/>
    </row>
    <row r="21" spans="2:23" ht="12.75" customHeight="1">
      <c r="B21" s="2157" t="s">
        <v>2884</v>
      </c>
      <c r="D21" s="2354">
        <v>0</v>
      </c>
      <c r="E21" s="2354">
        <f t="shared" ref="E21:J22" si="3">D21</f>
        <v>0</v>
      </c>
      <c r="F21" s="2354">
        <f t="shared" si="3"/>
        <v>0</v>
      </c>
      <c r="G21" s="2354">
        <f t="shared" si="3"/>
        <v>0</v>
      </c>
      <c r="H21" s="2354">
        <f t="shared" si="3"/>
        <v>0</v>
      </c>
      <c r="I21" s="2354">
        <f t="shared" si="3"/>
        <v>0</v>
      </c>
      <c r="J21" s="2354">
        <f t="shared" si="3"/>
        <v>0</v>
      </c>
      <c r="N21" s="2356">
        <v>22049.991999999998</v>
      </c>
      <c r="O21" s="2356"/>
      <c r="P21" s="2356"/>
      <c r="Q21" s="2356"/>
    </row>
    <row r="22" spans="2:23" ht="12.75" customHeight="1">
      <c r="B22" s="2157" t="s">
        <v>2885</v>
      </c>
      <c r="D22" s="2354">
        <v>0</v>
      </c>
      <c r="E22" s="2354">
        <f t="shared" si="3"/>
        <v>0</v>
      </c>
      <c r="F22" s="2354">
        <f t="shared" si="3"/>
        <v>0</v>
      </c>
      <c r="G22" s="2354">
        <f t="shared" si="3"/>
        <v>0</v>
      </c>
      <c r="H22" s="2354">
        <f t="shared" si="3"/>
        <v>0</v>
      </c>
      <c r="I22" s="2354">
        <f t="shared" si="3"/>
        <v>0</v>
      </c>
      <c r="J22" s="2354">
        <f t="shared" si="3"/>
        <v>0</v>
      </c>
      <c r="N22" s="2356">
        <v>22049.991999999998</v>
      </c>
      <c r="O22" s="2356"/>
      <c r="P22" s="2356"/>
      <c r="Q22" s="2356"/>
    </row>
    <row r="23" spans="2:23" ht="12.75" customHeight="1">
      <c r="B23" s="2177"/>
      <c r="C23" s="2177"/>
      <c r="D23" s="2177"/>
      <c r="E23" s="2177"/>
      <c r="F23" s="2177"/>
      <c r="G23" s="2177"/>
      <c r="H23" s="2177"/>
      <c r="I23" s="2177"/>
      <c r="J23" s="2177"/>
      <c r="N23" s="2357"/>
      <c r="O23" s="2357"/>
      <c r="P23" s="2357"/>
      <c r="Q23" s="2357"/>
    </row>
    <row r="24" spans="2:23" ht="12.75" customHeight="1">
      <c r="B24" s="2353" t="s">
        <v>160</v>
      </c>
      <c r="D24" s="2358">
        <f t="shared" ref="D24:J24" si="4">SUM(D19:D22)</f>
        <v>66100.016000000003</v>
      </c>
      <c r="E24" s="2358">
        <f t="shared" si="4"/>
        <v>66100.016000000003</v>
      </c>
      <c r="F24" s="2358">
        <f t="shared" si="4"/>
        <v>66100.016000000003</v>
      </c>
      <c r="G24" s="2358">
        <f t="shared" si="4"/>
        <v>66100.016000000003</v>
      </c>
      <c r="H24" s="2358">
        <f t="shared" si="4"/>
        <v>66100.016000000003</v>
      </c>
      <c r="I24" s="2358">
        <f t="shared" si="4"/>
        <v>22050.016</v>
      </c>
      <c r="J24" s="2358">
        <f t="shared" si="4"/>
        <v>0</v>
      </c>
      <c r="N24" s="2359">
        <f>SUM(N19:N22)</f>
        <v>110200</v>
      </c>
      <c r="O24" s="2360"/>
      <c r="P24" s="2360"/>
      <c r="Q24" s="2360"/>
    </row>
    <row r="25" spans="2:23" ht="12.75" customHeight="1"/>
    <row r="26" spans="2:23" ht="12.75" customHeight="1">
      <c r="B26" s="2249" t="s">
        <v>476</v>
      </c>
      <c r="N26" s="2353" t="str">
        <f>+B26</f>
        <v>Shares Outstanding / Converted to Common Stock</v>
      </c>
      <c r="O26" s="2353"/>
      <c r="P26" s="2353"/>
      <c r="Q26" s="2353"/>
    </row>
    <row r="27" spans="2:23" ht="12.75" customHeight="1">
      <c r="B27" s="2361" t="str">
        <f>+$B19</f>
        <v>Series A</v>
      </c>
      <c r="D27" s="2354">
        <f t="shared" ref="D27:J28" si="5">IF(D19&gt;0,0,$N27)</f>
        <v>0</v>
      </c>
      <c r="E27" s="2354">
        <f t="shared" si="5"/>
        <v>0</v>
      </c>
      <c r="F27" s="2354">
        <f t="shared" si="5"/>
        <v>0</v>
      </c>
      <c r="G27" s="2354">
        <f t="shared" si="5"/>
        <v>0</v>
      </c>
      <c r="H27" s="2354">
        <f t="shared" si="5"/>
        <v>0</v>
      </c>
      <c r="I27" s="2354">
        <f t="shared" si="5"/>
        <v>44050</v>
      </c>
      <c r="J27" s="2354">
        <f t="shared" si="5"/>
        <v>44050</v>
      </c>
      <c r="N27" s="2356">
        <v>44050</v>
      </c>
      <c r="O27" s="2356"/>
      <c r="P27" s="2356"/>
      <c r="Q27" s="2356"/>
      <c r="U27" s="2362"/>
    </row>
    <row r="28" spans="2:23" ht="12.75" customHeight="1">
      <c r="B28" s="2361" t="str">
        <f>+$B20</f>
        <v>Series B Tranche I</v>
      </c>
      <c r="D28" s="2354">
        <f t="shared" si="5"/>
        <v>0</v>
      </c>
      <c r="E28" s="2354">
        <f t="shared" si="5"/>
        <v>0</v>
      </c>
      <c r="F28" s="2354">
        <f t="shared" si="5"/>
        <v>0</v>
      </c>
      <c r="G28" s="2354">
        <f t="shared" si="5"/>
        <v>0</v>
      </c>
      <c r="H28" s="2354">
        <f t="shared" si="5"/>
        <v>0</v>
      </c>
      <c r="I28" s="2354">
        <f t="shared" si="5"/>
        <v>0</v>
      </c>
      <c r="J28" s="2354">
        <f t="shared" si="5"/>
        <v>11025.008</v>
      </c>
      <c r="N28" s="2356">
        <v>11025.008</v>
      </c>
      <c r="O28" s="2356"/>
      <c r="P28" s="2356"/>
      <c r="Q28" s="2356"/>
      <c r="U28" s="2362"/>
    </row>
    <row r="29" spans="2:23" ht="12.75" customHeight="1">
      <c r="B29" s="2361" t="str">
        <f>+$B21</f>
        <v>Series B Tranche II Warrants</v>
      </c>
      <c r="D29" s="2354">
        <v>0</v>
      </c>
      <c r="E29" s="2354">
        <f>D29</f>
        <v>0</v>
      </c>
      <c r="F29" s="2354">
        <f t="shared" ref="F29:J33" si="6">IF($R29&lt;=F$38,$N29,0)</f>
        <v>0</v>
      </c>
      <c r="G29" s="2354">
        <f t="shared" si="6"/>
        <v>0</v>
      </c>
      <c r="H29" s="2354">
        <f t="shared" si="6"/>
        <v>0</v>
      </c>
      <c r="I29" s="2354">
        <f t="shared" si="6"/>
        <v>0</v>
      </c>
      <c r="J29" s="2354">
        <f t="shared" si="6"/>
        <v>11024.995999999999</v>
      </c>
      <c r="N29" s="2356">
        <v>11024.995999999999</v>
      </c>
      <c r="O29" s="2356"/>
      <c r="P29" s="2356"/>
      <c r="Q29" s="2356"/>
      <c r="R29" s="2363">
        <v>2</v>
      </c>
      <c r="U29" s="2362"/>
    </row>
    <row r="30" spans="2:23" ht="12.75" customHeight="1">
      <c r="B30" s="2361" t="str">
        <f>+$B22</f>
        <v>Series B Tranche III Warrants</v>
      </c>
      <c r="D30" s="2354">
        <v>0</v>
      </c>
      <c r="E30" s="2354">
        <f>D30</f>
        <v>0</v>
      </c>
      <c r="F30" s="2354">
        <f t="shared" si="6"/>
        <v>0</v>
      </c>
      <c r="G30" s="2354">
        <f t="shared" si="6"/>
        <v>0</v>
      </c>
      <c r="H30" s="2354">
        <f t="shared" si="6"/>
        <v>0</v>
      </c>
      <c r="I30" s="2354">
        <f t="shared" si="6"/>
        <v>0</v>
      </c>
      <c r="J30" s="2354">
        <f t="shared" si="6"/>
        <v>11024.995999999999</v>
      </c>
      <c r="N30" s="2356">
        <v>11024.995999999999</v>
      </c>
      <c r="O30" s="2356"/>
      <c r="P30" s="2356"/>
      <c r="Q30" s="2356"/>
      <c r="R30" s="2364">
        <v>2</v>
      </c>
      <c r="U30" s="2362"/>
    </row>
    <row r="31" spans="2:23" ht="12.75" customHeight="1">
      <c r="B31" s="2365" t="s">
        <v>2886</v>
      </c>
      <c r="D31" s="2354">
        <v>0</v>
      </c>
      <c r="E31" s="2354">
        <v>0</v>
      </c>
      <c r="F31" s="2354">
        <f t="shared" si="6"/>
        <v>190</v>
      </c>
      <c r="G31" s="2354">
        <f t="shared" si="6"/>
        <v>190</v>
      </c>
      <c r="H31" s="2354">
        <f t="shared" si="6"/>
        <v>190</v>
      </c>
      <c r="I31" s="2354">
        <f t="shared" si="6"/>
        <v>190</v>
      </c>
      <c r="J31" s="2354">
        <f t="shared" si="6"/>
        <v>190</v>
      </c>
      <c r="N31" s="2356">
        <v>190</v>
      </c>
      <c r="O31" s="2356"/>
      <c r="P31" s="2356"/>
      <c r="Q31" s="2356"/>
      <c r="R31" s="2364">
        <v>0.11</v>
      </c>
      <c r="U31" s="2362"/>
    </row>
    <row r="32" spans="2:23" ht="12.75" customHeight="1">
      <c r="B32" s="2365" t="s">
        <v>2887</v>
      </c>
      <c r="D32" s="2354">
        <v>0</v>
      </c>
      <c r="E32" s="2354">
        <v>0</v>
      </c>
      <c r="F32" s="2354">
        <f t="shared" si="6"/>
        <v>0</v>
      </c>
      <c r="G32" s="2354">
        <f t="shared" si="6"/>
        <v>620.404</v>
      </c>
      <c r="H32" s="2354">
        <f t="shared" si="6"/>
        <v>620.404</v>
      </c>
      <c r="I32" s="2354">
        <f t="shared" si="6"/>
        <v>620.404</v>
      </c>
      <c r="J32" s="2354">
        <f t="shared" si="6"/>
        <v>620.404</v>
      </c>
      <c r="N32" s="2356">
        <v>620.404</v>
      </c>
      <c r="O32" s="2356"/>
      <c r="P32" s="2356"/>
      <c r="Q32" s="2356"/>
      <c r="R32" s="2364">
        <v>0.13</v>
      </c>
      <c r="W32" s="2362"/>
    </row>
    <row r="33" spans="1:22" ht="12.75" customHeight="1">
      <c r="B33" s="2365" t="s">
        <v>464</v>
      </c>
      <c r="D33" s="2354">
        <v>0</v>
      </c>
      <c r="E33" s="2354">
        <v>0</v>
      </c>
      <c r="F33" s="2354">
        <f t="shared" si="6"/>
        <v>0</v>
      </c>
      <c r="G33" s="2354">
        <f t="shared" si="6"/>
        <v>0</v>
      </c>
      <c r="H33" s="2354">
        <f t="shared" si="6"/>
        <v>2916.4739690721649</v>
      </c>
      <c r="I33" s="2354">
        <f t="shared" si="6"/>
        <v>2916.4739690721649</v>
      </c>
      <c r="J33" s="2354">
        <f t="shared" si="6"/>
        <v>2916.4739690721649</v>
      </c>
      <c r="N33" s="2356">
        <v>2916.4739690721649</v>
      </c>
      <c r="O33" s="2356"/>
      <c r="P33" s="2356"/>
      <c r="Q33" s="2356"/>
      <c r="R33" s="2366">
        <v>0.40104362419573369</v>
      </c>
    </row>
    <row r="34" spans="1:22" ht="12.75" customHeight="1">
      <c r="B34" s="2367" t="s">
        <v>149</v>
      </c>
      <c r="D34" s="2354">
        <v>0</v>
      </c>
      <c r="E34" s="2354">
        <f t="shared" ref="E34:J34" si="7">$N$34</f>
        <v>16363.921</v>
      </c>
      <c r="F34" s="2354">
        <f t="shared" si="7"/>
        <v>16363.921</v>
      </c>
      <c r="G34" s="2354">
        <f t="shared" si="7"/>
        <v>16363.921</v>
      </c>
      <c r="H34" s="2354">
        <f t="shared" si="7"/>
        <v>16363.921</v>
      </c>
      <c r="I34" s="2354">
        <f t="shared" si="7"/>
        <v>16363.921</v>
      </c>
      <c r="J34" s="2354">
        <f t="shared" si="7"/>
        <v>16363.921</v>
      </c>
      <c r="N34" s="2356">
        <v>16363.921</v>
      </c>
      <c r="O34" s="2356"/>
      <c r="P34" s="2356"/>
      <c r="Q34" s="2356"/>
      <c r="S34" s="2368"/>
      <c r="V34" s="2362"/>
    </row>
    <row r="35" spans="1:22" ht="12.75" customHeight="1" thickBot="1">
      <c r="B35" s="2177"/>
      <c r="C35" s="2177"/>
      <c r="D35" s="2177"/>
      <c r="E35" s="2177"/>
      <c r="F35" s="2177"/>
      <c r="G35" s="2177"/>
      <c r="H35" s="2177"/>
      <c r="I35" s="2177"/>
      <c r="J35" s="2177"/>
      <c r="N35" s="2369"/>
      <c r="O35" s="1180"/>
      <c r="P35" s="1180"/>
      <c r="Q35" s="1180"/>
    </row>
    <row r="36" spans="1:22" ht="12.75" customHeight="1" thickBot="1">
      <c r="B36" s="2353" t="s">
        <v>160</v>
      </c>
      <c r="D36" s="2358">
        <f t="shared" ref="D36:J36" si="8">SUM(D27:D34)</f>
        <v>0</v>
      </c>
      <c r="E36" s="2358">
        <f t="shared" si="8"/>
        <v>16363.921</v>
      </c>
      <c r="F36" s="2358">
        <f t="shared" si="8"/>
        <v>16553.921000000002</v>
      </c>
      <c r="G36" s="2358">
        <f t="shared" si="8"/>
        <v>17174.325000000001</v>
      </c>
      <c r="H36" s="2358">
        <f t="shared" si="8"/>
        <v>20090.798969072166</v>
      </c>
      <c r="I36" s="2358">
        <f t="shared" si="8"/>
        <v>64140.798969072166</v>
      </c>
      <c r="J36" s="2358">
        <f t="shared" si="8"/>
        <v>97215.798969072159</v>
      </c>
      <c r="L36" s="2370" t="s">
        <v>1673</v>
      </c>
      <c r="N36" s="2358">
        <f>SUM(N27:N34)</f>
        <v>97215.798969072159</v>
      </c>
      <c r="O36" s="2358"/>
      <c r="P36" s="2358"/>
      <c r="Q36" s="2358"/>
    </row>
    <row r="37" spans="1:22" ht="12.75" customHeight="1"/>
    <row r="38" spans="1:22" ht="12.75" customHeight="1">
      <c r="B38" s="2157" t="s">
        <v>328</v>
      </c>
      <c r="D38" s="2371">
        <v>0</v>
      </c>
      <c r="E38" s="2371">
        <v>0</v>
      </c>
      <c r="F38" s="2372">
        <v>0.11</v>
      </c>
      <c r="G38" s="2371">
        <v>0.13</v>
      </c>
      <c r="H38" s="2371">
        <v>0.40104362419573369</v>
      </c>
      <c r="I38" s="2371">
        <v>1</v>
      </c>
      <c r="J38" s="2371">
        <v>2</v>
      </c>
    </row>
    <row r="39" spans="1:22" ht="12.75" customHeight="1"/>
    <row r="40" spans="1:22" ht="12.75" customHeight="1">
      <c r="B40" s="720" t="s">
        <v>2888</v>
      </c>
      <c r="D40" s="2355">
        <f t="shared" ref="D40:J40" si="9">D36*D38</f>
        <v>0</v>
      </c>
      <c r="E40" s="2355">
        <f t="shared" si="9"/>
        <v>0</v>
      </c>
      <c r="F40" s="2355">
        <f t="shared" si="9"/>
        <v>1820.9313100000002</v>
      </c>
      <c r="G40" s="2355">
        <f t="shared" si="9"/>
        <v>2232.6622500000003</v>
      </c>
      <c r="H40" s="2355">
        <f t="shared" si="9"/>
        <v>8057.2868315446121</v>
      </c>
      <c r="I40" s="2355">
        <f t="shared" si="9"/>
        <v>64140.798969072166</v>
      </c>
      <c r="J40" s="2355">
        <f t="shared" si="9"/>
        <v>194431.59793814432</v>
      </c>
    </row>
    <row r="41" spans="1:22" ht="12.75" customHeight="1"/>
    <row r="42" spans="1:22" ht="12.75" customHeight="1">
      <c r="B42" s="2157" t="s">
        <v>329</v>
      </c>
      <c r="D42" s="2373">
        <f>-SUMPRODUCT(D29:D33,$R$29:$R$33)</f>
        <v>0</v>
      </c>
      <c r="E42" s="2373">
        <f t="shared" ref="E42:J42" si="10">-SUMPRODUCT(E29:E33,$R$29:$R$33)</f>
        <v>0</v>
      </c>
      <c r="F42" s="2373">
        <f t="shared" si="10"/>
        <v>-20.9</v>
      </c>
      <c r="G42" s="2373">
        <f t="shared" si="10"/>
        <v>-101.55251999999999</v>
      </c>
      <c r="H42" s="2373">
        <f t="shared" si="10"/>
        <v>-1271.1858104292171</v>
      </c>
      <c r="I42" s="2373">
        <f t="shared" si="10"/>
        <v>-1271.1858104292171</v>
      </c>
      <c r="J42" s="2373">
        <f t="shared" si="10"/>
        <v>-45371.169810429215</v>
      </c>
    </row>
    <row r="43" spans="1:22" ht="12.75" customHeight="1">
      <c r="B43" s="2177"/>
      <c r="C43" s="2177"/>
      <c r="D43" s="2177"/>
      <c r="E43" s="2177"/>
      <c r="F43" s="2177"/>
      <c r="G43" s="2177"/>
      <c r="H43" s="2177"/>
      <c r="I43" s="2177"/>
      <c r="J43" s="2177"/>
    </row>
    <row r="44" spans="1:22" ht="12.75" customHeight="1">
      <c r="B44" s="2353" t="s">
        <v>330</v>
      </c>
      <c r="D44" s="2358">
        <f t="shared" ref="D44:I44" si="11">SUM(D40:D42)+D24</f>
        <v>66100.016000000003</v>
      </c>
      <c r="E44" s="2358">
        <f t="shared" si="11"/>
        <v>66100.016000000003</v>
      </c>
      <c r="F44" s="2358">
        <f t="shared" si="11"/>
        <v>67900.047310000009</v>
      </c>
      <c r="G44" s="2358">
        <f t="shared" si="11"/>
        <v>68231.12573</v>
      </c>
      <c r="H44" s="2358">
        <f t="shared" si="11"/>
        <v>72886.117021115395</v>
      </c>
      <c r="I44" s="2358">
        <f t="shared" si="11"/>
        <v>84919.629158642943</v>
      </c>
      <c r="J44" s="2358">
        <f>SUM(J40:J42)+J24</f>
        <v>149060.4281277151</v>
      </c>
    </row>
    <row r="45" spans="1:22" ht="12.75" customHeight="1">
      <c r="B45" s="2353"/>
      <c r="D45" s="2358"/>
      <c r="E45" s="2358"/>
      <c r="F45" s="2358"/>
      <c r="G45" s="2358"/>
      <c r="H45" s="2358"/>
      <c r="I45" s="2358"/>
      <c r="J45" s="2358"/>
    </row>
    <row r="46" spans="1:22" ht="12.75" customHeight="1"/>
    <row r="47" spans="1:22" s="2347" customFormat="1" ht="12.75" customHeight="1">
      <c r="A47" s="2374"/>
      <c r="B47" s="2375" t="s">
        <v>332</v>
      </c>
      <c r="D47" s="2376">
        <f>D$15</f>
        <v>1</v>
      </c>
      <c r="E47" s="2377">
        <f t="shared" ref="E47:J47" si="12">E$15</f>
        <v>2</v>
      </c>
      <c r="F47" s="2377">
        <f t="shared" si="12"/>
        <v>3</v>
      </c>
      <c r="G47" s="2377">
        <f t="shared" si="12"/>
        <v>4</v>
      </c>
      <c r="H47" s="2377">
        <f t="shared" si="12"/>
        <v>5</v>
      </c>
      <c r="I47" s="2377">
        <f t="shared" si="12"/>
        <v>6</v>
      </c>
      <c r="J47" s="2378">
        <f t="shared" si="12"/>
        <v>7</v>
      </c>
      <c r="N47" s="2352"/>
      <c r="O47" s="2352"/>
      <c r="P47" s="2352"/>
      <c r="Q47" s="2352"/>
    </row>
    <row r="48" spans="1:22" ht="12.75" customHeight="1"/>
    <row r="49" spans="2:17" ht="12.75" customHeight="1">
      <c r="B49" s="720" t="s">
        <v>333</v>
      </c>
      <c r="D49" s="2379">
        <v>1E-10</v>
      </c>
      <c r="E49" s="2379">
        <f t="shared" ref="E49:J49" si="13">D50</f>
        <v>66100.016000000003</v>
      </c>
      <c r="F49" s="2379">
        <f t="shared" si="13"/>
        <v>67900.047310000009</v>
      </c>
      <c r="G49" s="2379">
        <f t="shared" si="13"/>
        <v>68231.12573</v>
      </c>
      <c r="H49" s="2379">
        <f t="shared" si="13"/>
        <v>72886.117021115395</v>
      </c>
      <c r="I49" s="2379">
        <f t="shared" si="13"/>
        <v>84919.629158642943</v>
      </c>
      <c r="J49" s="2379">
        <f t="shared" si="13"/>
        <v>149060.4281277151</v>
      </c>
    </row>
    <row r="50" spans="2:17" ht="12.75" customHeight="1">
      <c r="B50" s="720" t="s">
        <v>334</v>
      </c>
      <c r="D50" s="2379">
        <f>D44</f>
        <v>66100.016000000003</v>
      </c>
      <c r="E50" s="2379">
        <f t="shared" ref="E50:J50" si="14">IF(F44=0,"n/a",IF(D50=E44,F44,E44))</f>
        <v>67900.047310000009</v>
      </c>
      <c r="F50" s="2379">
        <f t="shared" si="14"/>
        <v>68231.12573</v>
      </c>
      <c r="G50" s="2379">
        <f t="shared" si="14"/>
        <v>72886.117021115395</v>
      </c>
      <c r="H50" s="2379">
        <f t="shared" si="14"/>
        <v>84919.629158642943</v>
      </c>
      <c r="I50" s="2379">
        <f t="shared" si="14"/>
        <v>149060.4281277151</v>
      </c>
      <c r="J50" s="2379" t="str">
        <f t="shared" si="14"/>
        <v>n/a</v>
      </c>
    </row>
    <row r="51" spans="2:17" ht="12.75" customHeight="1"/>
    <row r="52" spans="2:17" ht="12.75" hidden="1" customHeight="1" outlineLevel="1">
      <c r="B52" s="720" t="s">
        <v>338</v>
      </c>
      <c r="D52" s="2355">
        <f t="shared" ref="D52:J52" si="15">(LN($D$9/D49)+($D$12+$D$11^2/2)*$D$10)/($D$11*SQRT($D$10))</f>
        <v>21.954501944719471</v>
      </c>
      <c r="E52" s="2355">
        <f t="shared" si="15"/>
        <v>0.99549401404237015</v>
      </c>
      <c r="F52" s="2355">
        <f t="shared" si="15"/>
        <v>0.97899218441945957</v>
      </c>
      <c r="G52" s="2355">
        <f t="shared" si="15"/>
        <v>0.97600470403817496</v>
      </c>
      <c r="H52" s="2355">
        <f t="shared" si="15"/>
        <v>0.93546997211174177</v>
      </c>
      <c r="I52" s="2355">
        <f t="shared" si="15"/>
        <v>0.84161777986534203</v>
      </c>
      <c r="J52" s="2355">
        <f t="shared" si="15"/>
        <v>0.49604736559239132</v>
      </c>
    </row>
    <row r="53" spans="2:17" ht="12.75" hidden="1" customHeight="1" outlineLevel="1">
      <c r="B53" s="720" t="s">
        <v>340</v>
      </c>
      <c r="D53" s="2355">
        <f t="shared" ref="D53:J53" si="16">D52-$D$11*SQRT($D$10)</f>
        <v>20.326334461281945</v>
      </c>
      <c r="E53" s="2355">
        <f t="shared" si="16"/>
        <v>-0.63267346939515623</v>
      </c>
      <c r="F53" s="2355">
        <f t="shared" si="16"/>
        <v>-0.64917529901806681</v>
      </c>
      <c r="G53" s="2355">
        <f t="shared" si="16"/>
        <v>-0.65216277939935141</v>
      </c>
      <c r="H53" s="2355">
        <f t="shared" si="16"/>
        <v>-0.69269751132578461</v>
      </c>
      <c r="I53" s="2355">
        <f t="shared" si="16"/>
        <v>-0.78654970357218434</v>
      </c>
      <c r="J53" s="2355">
        <f t="shared" si="16"/>
        <v>-1.132120117845135</v>
      </c>
    </row>
    <row r="54" spans="2:17" ht="12.75" hidden="1" customHeight="1" outlineLevel="1">
      <c r="D54" s="2355"/>
      <c r="E54" s="2355"/>
      <c r="F54" s="2355"/>
      <c r="G54" s="2355"/>
      <c r="H54" s="2355"/>
      <c r="I54" s="2355"/>
      <c r="J54" s="2355"/>
    </row>
    <row r="55" spans="2:17" ht="12.75" hidden="1" customHeight="1" outlineLevel="1">
      <c r="B55" s="720" t="s">
        <v>339</v>
      </c>
      <c r="D55" s="2355">
        <f>(LN($D$9/D50)+($D$12+$D$11^2/2)*$D$10)/($D$11*SQRT($D$10))</f>
        <v>0.99549401404237015</v>
      </c>
      <c r="E55" s="2379">
        <f t="shared" ref="E55:J55" si="17">IF(E50="n/a","n/a",(LN($D$9/E50)+($D$12+$D$11^2/2)*$D$10)/($D$11*SQRT($D$10)))</f>
        <v>0.97899218441945957</v>
      </c>
      <c r="F55" s="2379">
        <f t="shared" si="17"/>
        <v>0.97600470403817496</v>
      </c>
      <c r="G55" s="2379">
        <f t="shared" si="17"/>
        <v>0.93546997211174177</v>
      </c>
      <c r="H55" s="2379">
        <f t="shared" si="17"/>
        <v>0.84161777986534203</v>
      </c>
      <c r="I55" s="2379">
        <f t="shared" si="17"/>
        <v>0.49604736559239132</v>
      </c>
      <c r="J55" s="2379" t="str">
        <f t="shared" si="17"/>
        <v>n/a</v>
      </c>
    </row>
    <row r="56" spans="2:17" ht="12.75" hidden="1" customHeight="1" outlineLevel="1">
      <c r="B56" s="720" t="s">
        <v>341</v>
      </c>
      <c r="D56" s="2355">
        <f>D55-$D$11*SQRT($D$10)</f>
        <v>-0.63267346939515623</v>
      </c>
      <c r="E56" s="2379">
        <f t="shared" ref="E56:J56" si="18">IF(E50="n/a","n/a",E55-$D$11*SQRT($D$10))</f>
        <v>-0.64917529901806681</v>
      </c>
      <c r="F56" s="2379">
        <f t="shared" si="18"/>
        <v>-0.65216277939935141</v>
      </c>
      <c r="G56" s="2379">
        <f t="shared" si="18"/>
        <v>-0.69269751132578461</v>
      </c>
      <c r="H56" s="2379">
        <f t="shared" si="18"/>
        <v>-0.78654970357218434</v>
      </c>
      <c r="I56" s="2379">
        <f t="shared" si="18"/>
        <v>-1.132120117845135</v>
      </c>
      <c r="J56" s="2379" t="str">
        <f t="shared" si="18"/>
        <v>n/a</v>
      </c>
    </row>
    <row r="57" spans="2:17" ht="12.75" hidden="1" customHeight="1" outlineLevel="1">
      <c r="D57" s="2355"/>
      <c r="E57" s="2355"/>
      <c r="F57" s="2355"/>
      <c r="G57" s="2355"/>
      <c r="H57" s="2355"/>
      <c r="I57" s="2355"/>
      <c r="J57" s="2355"/>
    </row>
    <row r="58" spans="2:17" ht="12.75" customHeight="1" collapsed="1">
      <c r="B58" s="720" t="s">
        <v>335</v>
      </c>
      <c r="D58" s="2355">
        <f t="shared" ref="D58:J58" si="19">$D$9*NORMSDIST(D52)-D49*EXP(-$D$12*$D$10)*NORMSDIST(D53)</f>
        <v>79837.623308620256</v>
      </c>
      <c r="E58" s="2355">
        <f t="shared" si="19"/>
        <v>51428.164357360089</v>
      </c>
      <c r="F58" s="2355">
        <f t="shared" si="19"/>
        <v>51006.197637588295</v>
      </c>
      <c r="G58" s="2355">
        <f t="shared" si="19"/>
        <v>50929.52207211122</v>
      </c>
      <c r="H58" s="2355">
        <f t="shared" si="19"/>
        <v>49880.878970965772</v>
      </c>
      <c r="I58" s="2355">
        <f t="shared" si="19"/>
        <v>47398.459800870492</v>
      </c>
      <c r="J58" s="2355">
        <f t="shared" si="19"/>
        <v>37835.876212811127</v>
      </c>
    </row>
    <row r="59" spans="2:17" ht="12.75" customHeight="1">
      <c r="B59" s="720" t="s">
        <v>336</v>
      </c>
      <c r="D59" s="2355">
        <f>$D$9*NORMSDIST(D55)-D50*EXP(-$D$12*$D$10)*NORMSDIST(D56)</f>
        <v>51428.164357360089</v>
      </c>
      <c r="E59" s="2379">
        <f t="shared" ref="E59:J59" si="20">IF(E50="n/a","n/a",$D$9*NORMSDIST(E55)-E50*EXP(-$D$12*$D$10)*NORMSDIST(E56))</f>
        <v>51006.197637588295</v>
      </c>
      <c r="F59" s="2379">
        <f t="shared" si="20"/>
        <v>50929.52207211122</v>
      </c>
      <c r="G59" s="2379">
        <f t="shared" si="20"/>
        <v>49880.878970965772</v>
      </c>
      <c r="H59" s="2379">
        <f t="shared" si="20"/>
        <v>47398.459800870492</v>
      </c>
      <c r="I59" s="2379">
        <f t="shared" si="20"/>
        <v>37835.876212811127</v>
      </c>
      <c r="J59" s="2379" t="str">
        <f t="shared" si="20"/>
        <v>n/a</v>
      </c>
    </row>
    <row r="60" spans="2:17" ht="12.75" customHeight="1"/>
    <row r="61" spans="2:17" ht="12.75" customHeight="1">
      <c r="B61" s="2223" t="s">
        <v>337</v>
      </c>
      <c r="C61" s="2223"/>
      <c r="D61" s="2358">
        <f>D58-D59</f>
        <v>28409.458951260167</v>
      </c>
      <c r="E61" s="2358">
        <f t="shared" ref="E61:J61" si="21">IF(E50="n/a",E58,E58-E59)</f>
        <v>421.96671977179358</v>
      </c>
      <c r="F61" s="2358">
        <f t="shared" si="21"/>
        <v>76.675565477074997</v>
      </c>
      <c r="G61" s="2358">
        <f t="shared" si="21"/>
        <v>1048.6431011454479</v>
      </c>
      <c r="H61" s="2358">
        <f t="shared" si="21"/>
        <v>2482.4191700952797</v>
      </c>
      <c r="I61" s="2358">
        <f t="shared" si="21"/>
        <v>9562.5835880593659</v>
      </c>
      <c r="J61" s="2358">
        <f t="shared" si="21"/>
        <v>37835.876212811127</v>
      </c>
    </row>
    <row r="62" spans="2:17" ht="12.75" customHeight="1"/>
    <row r="63" spans="2:17" s="2347" customFormat="1" ht="12.75" customHeight="1">
      <c r="B63" s="2375" t="s">
        <v>331</v>
      </c>
      <c r="D63" s="2376">
        <f>D$15</f>
        <v>1</v>
      </c>
      <c r="E63" s="2377">
        <f t="shared" ref="E63:J63" si="22">E$15</f>
        <v>2</v>
      </c>
      <c r="F63" s="2377">
        <f t="shared" si="22"/>
        <v>3</v>
      </c>
      <c r="G63" s="2377">
        <f t="shared" si="22"/>
        <v>4</v>
      </c>
      <c r="H63" s="2377">
        <f t="shared" si="22"/>
        <v>5</v>
      </c>
      <c r="I63" s="2377">
        <f t="shared" si="22"/>
        <v>6</v>
      </c>
      <c r="J63" s="2378">
        <f t="shared" si="22"/>
        <v>7</v>
      </c>
      <c r="N63" s="2352"/>
      <c r="O63" s="2352"/>
      <c r="P63" s="2352"/>
      <c r="Q63" s="2352"/>
    </row>
    <row r="64" spans="2:17" ht="12.75" customHeight="1"/>
    <row r="65" spans="2:17" ht="12.75" customHeight="1">
      <c r="D65" s="2380" t="s">
        <v>325</v>
      </c>
      <c r="E65" s="2380" t="s">
        <v>262</v>
      </c>
      <c r="F65" s="2380" t="s">
        <v>262</v>
      </c>
      <c r="G65" s="2380" t="s">
        <v>262</v>
      </c>
      <c r="H65" s="2380" t="s">
        <v>262</v>
      </c>
      <c r="I65" s="2380" t="s">
        <v>262</v>
      </c>
      <c r="J65" s="2380" t="s">
        <v>262</v>
      </c>
    </row>
    <row r="66" spans="2:17" ht="12.75" customHeight="1"/>
    <row r="67" spans="2:17" ht="12.75" customHeight="1">
      <c r="B67" s="2361" t="str">
        <f t="shared" ref="B67:B74" si="23">B27</f>
        <v>Series A</v>
      </c>
      <c r="D67" s="2354">
        <f>D19</f>
        <v>44050</v>
      </c>
      <c r="E67" s="2354">
        <f t="shared" ref="E67:J74" si="24">E27</f>
        <v>0</v>
      </c>
      <c r="F67" s="2354">
        <f t="shared" si="24"/>
        <v>0</v>
      </c>
      <c r="G67" s="2354">
        <f t="shared" si="24"/>
        <v>0</v>
      </c>
      <c r="H67" s="2354">
        <f t="shared" si="24"/>
        <v>0</v>
      </c>
      <c r="I67" s="2354">
        <f t="shared" si="24"/>
        <v>44050</v>
      </c>
      <c r="J67" s="2354">
        <f t="shared" si="24"/>
        <v>44050</v>
      </c>
    </row>
    <row r="68" spans="2:17" ht="12.75" customHeight="1">
      <c r="B68" s="2361" t="str">
        <f t="shared" si="23"/>
        <v>Series B Tranche I</v>
      </c>
      <c r="D68" s="2354">
        <f>D20</f>
        <v>22050.016</v>
      </c>
      <c r="E68" s="2354">
        <f t="shared" si="24"/>
        <v>0</v>
      </c>
      <c r="F68" s="2354">
        <f t="shared" si="24"/>
        <v>0</v>
      </c>
      <c r="G68" s="2354">
        <f t="shared" si="24"/>
        <v>0</v>
      </c>
      <c r="H68" s="2354">
        <f t="shared" si="24"/>
        <v>0</v>
      </c>
      <c r="I68" s="2354">
        <f t="shared" si="24"/>
        <v>0</v>
      </c>
      <c r="J68" s="2354">
        <f t="shared" si="24"/>
        <v>11025.008</v>
      </c>
    </row>
    <row r="69" spans="2:17" ht="12.75" customHeight="1">
      <c r="B69" s="2361" t="str">
        <f t="shared" si="23"/>
        <v>Series B Tranche II Warrants</v>
      </c>
      <c r="D69" s="2354">
        <f>D21</f>
        <v>0</v>
      </c>
      <c r="E69" s="2354">
        <f t="shared" si="24"/>
        <v>0</v>
      </c>
      <c r="F69" s="2354">
        <f t="shared" si="24"/>
        <v>0</v>
      </c>
      <c r="G69" s="2354">
        <f t="shared" si="24"/>
        <v>0</v>
      </c>
      <c r="H69" s="2354">
        <f t="shared" si="24"/>
        <v>0</v>
      </c>
      <c r="I69" s="2354">
        <f t="shared" si="24"/>
        <v>0</v>
      </c>
      <c r="J69" s="2354">
        <f t="shared" si="24"/>
        <v>11024.995999999999</v>
      </c>
    </row>
    <row r="70" spans="2:17" ht="12.75" customHeight="1">
      <c r="B70" s="2361" t="str">
        <f t="shared" si="23"/>
        <v>Series B Tranche III Warrants</v>
      </c>
      <c r="D70" s="2354">
        <f>D22</f>
        <v>0</v>
      </c>
      <c r="E70" s="2354">
        <f t="shared" si="24"/>
        <v>0</v>
      </c>
      <c r="F70" s="2354">
        <f t="shared" si="24"/>
        <v>0</v>
      </c>
      <c r="G70" s="2354">
        <f t="shared" si="24"/>
        <v>0</v>
      </c>
      <c r="H70" s="2354">
        <f t="shared" si="24"/>
        <v>0</v>
      </c>
      <c r="I70" s="2354">
        <f t="shared" si="24"/>
        <v>0</v>
      </c>
      <c r="J70" s="2354">
        <f t="shared" si="24"/>
        <v>11024.995999999999</v>
      </c>
    </row>
    <row r="71" spans="2:17" ht="12.75" customHeight="1">
      <c r="B71" s="2361" t="str">
        <f t="shared" si="23"/>
        <v>Options at $0.11 Strike Price</v>
      </c>
      <c r="D71" s="2354">
        <v>0</v>
      </c>
      <c r="E71" s="2354">
        <f t="shared" si="24"/>
        <v>0</v>
      </c>
      <c r="F71" s="2354">
        <f t="shared" si="24"/>
        <v>190</v>
      </c>
      <c r="G71" s="2354">
        <f t="shared" si="24"/>
        <v>190</v>
      </c>
      <c r="H71" s="2354">
        <f t="shared" si="24"/>
        <v>190</v>
      </c>
      <c r="I71" s="2354">
        <f t="shared" si="24"/>
        <v>190</v>
      </c>
      <c r="J71" s="2354">
        <f t="shared" si="24"/>
        <v>190</v>
      </c>
    </row>
    <row r="72" spans="2:17" ht="12.75" customHeight="1">
      <c r="B72" s="2361" t="str">
        <f t="shared" si="23"/>
        <v>Options at $0.13 Strike Price</v>
      </c>
      <c r="D72" s="2354">
        <v>0</v>
      </c>
      <c r="E72" s="2354">
        <f t="shared" si="24"/>
        <v>0</v>
      </c>
      <c r="F72" s="2354">
        <f t="shared" si="24"/>
        <v>0</v>
      </c>
      <c r="G72" s="2354">
        <f t="shared" si="24"/>
        <v>620.404</v>
      </c>
      <c r="H72" s="2354">
        <f t="shared" si="24"/>
        <v>620.404</v>
      </c>
      <c r="I72" s="2354">
        <f t="shared" si="24"/>
        <v>620.404</v>
      </c>
      <c r="J72" s="2354">
        <f t="shared" si="24"/>
        <v>620.404</v>
      </c>
    </row>
    <row r="73" spans="2:17" ht="12.75" customHeight="1">
      <c r="B73" s="2365" t="str">
        <f t="shared" si="23"/>
        <v>Expected Options Grant</v>
      </c>
      <c r="D73" s="2354">
        <v>0</v>
      </c>
      <c r="E73" s="2354">
        <f t="shared" si="24"/>
        <v>0</v>
      </c>
      <c r="F73" s="2354">
        <f t="shared" si="24"/>
        <v>0</v>
      </c>
      <c r="G73" s="2354">
        <f t="shared" si="24"/>
        <v>0</v>
      </c>
      <c r="H73" s="2354">
        <f t="shared" si="24"/>
        <v>2916.4739690721649</v>
      </c>
      <c r="I73" s="2354">
        <f t="shared" si="24"/>
        <v>2916.4739690721649</v>
      </c>
      <c r="J73" s="2354">
        <f t="shared" si="24"/>
        <v>2916.4739690721649</v>
      </c>
    </row>
    <row r="74" spans="2:17" ht="12.75" customHeight="1">
      <c r="B74" s="2361" t="str">
        <f t="shared" si="23"/>
        <v>Common Stock</v>
      </c>
      <c r="D74" s="2354">
        <v>0</v>
      </c>
      <c r="E74" s="2354">
        <f t="shared" si="24"/>
        <v>16363.921</v>
      </c>
      <c r="F74" s="2354">
        <f t="shared" si="24"/>
        <v>16363.921</v>
      </c>
      <c r="G74" s="2354">
        <f t="shared" si="24"/>
        <v>16363.921</v>
      </c>
      <c r="H74" s="2354">
        <f t="shared" si="24"/>
        <v>16363.921</v>
      </c>
      <c r="I74" s="2354">
        <f t="shared" si="24"/>
        <v>16363.921</v>
      </c>
      <c r="J74" s="2354">
        <f t="shared" si="24"/>
        <v>16363.921</v>
      </c>
    </row>
    <row r="75" spans="2:17" ht="12.75" customHeight="1">
      <c r="B75" s="2177"/>
      <c r="C75" s="2177"/>
      <c r="D75" s="2177"/>
      <c r="E75" s="2177"/>
      <c r="F75" s="2177"/>
      <c r="G75" s="2177"/>
      <c r="H75" s="2177"/>
      <c r="I75" s="2177"/>
      <c r="J75" s="2177"/>
    </row>
    <row r="76" spans="2:17" ht="12.75" customHeight="1">
      <c r="B76" s="2353" t="s">
        <v>160</v>
      </c>
      <c r="D76" s="2358">
        <f t="shared" ref="D76:J76" si="25">SUM(D67:D74)</f>
        <v>66100.016000000003</v>
      </c>
      <c r="E76" s="2358">
        <f t="shared" si="25"/>
        <v>16363.921</v>
      </c>
      <c r="F76" s="2358">
        <f t="shared" si="25"/>
        <v>16553.921000000002</v>
      </c>
      <c r="G76" s="2358">
        <f t="shared" si="25"/>
        <v>17174.325000000001</v>
      </c>
      <c r="H76" s="2358">
        <f t="shared" si="25"/>
        <v>20090.798969072166</v>
      </c>
      <c r="I76" s="2358">
        <f t="shared" si="25"/>
        <v>64140.798969072166</v>
      </c>
      <c r="J76" s="2358">
        <f t="shared" si="25"/>
        <v>97215.798969072159</v>
      </c>
    </row>
    <row r="77" spans="2:17" ht="12.75" customHeight="1"/>
    <row r="78" spans="2:17" s="2347" customFormat="1" ht="12.75" customHeight="1">
      <c r="B78" s="2375" t="s">
        <v>342</v>
      </c>
      <c r="D78" s="2376">
        <f>D$15</f>
        <v>1</v>
      </c>
      <c r="E78" s="2377">
        <f t="shared" ref="E78:J78" si="26">E$15</f>
        <v>2</v>
      </c>
      <c r="F78" s="2377">
        <f t="shared" si="26"/>
        <v>3</v>
      </c>
      <c r="G78" s="2377">
        <f t="shared" si="26"/>
        <v>4</v>
      </c>
      <c r="H78" s="2377">
        <f t="shared" si="26"/>
        <v>5</v>
      </c>
      <c r="I78" s="2377">
        <f t="shared" si="26"/>
        <v>6</v>
      </c>
      <c r="J78" s="2378">
        <f t="shared" si="26"/>
        <v>7</v>
      </c>
      <c r="L78" s="2381" t="s">
        <v>160</v>
      </c>
      <c r="N78" s="2352"/>
      <c r="O78" s="2352"/>
      <c r="P78" s="2352"/>
      <c r="Q78" s="2352"/>
    </row>
    <row r="79" spans="2:17" ht="12.75" customHeight="1"/>
    <row r="80" spans="2:17" ht="12.75" customHeight="1">
      <c r="B80" s="2157" t="str">
        <f t="shared" ref="B80:B87" si="27">B67</f>
        <v>Series A</v>
      </c>
      <c r="D80" s="2355">
        <f t="shared" ref="D80:J87" si="28">D$61*D67/D$76</f>
        <v>18932.471465710543</v>
      </c>
      <c r="E80" s="2355">
        <f t="shared" si="28"/>
        <v>0</v>
      </c>
      <c r="F80" s="2355">
        <f t="shared" si="28"/>
        <v>0</v>
      </c>
      <c r="G80" s="2355">
        <f t="shared" si="28"/>
        <v>0</v>
      </c>
      <c r="H80" s="2355">
        <f t="shared" si="28"/>
        <v>0</v>
      </c>
      <c r="I80" s="2355">
        <f t="shared" si="28"/>
        <v>6567.2990331337687</v>
      </c>
      <c r="J80" s="2355">
        <f t="shared" si="28"/>
        <v>17144.02766678447</v>
      </c>
      <c r="L80" s="2355">
        <f t="shared" ref="L80:L87" si="29">SUM(D80:J80)</f>
        <v>42643.798165628781</v>
      </c>
    </row>
    <row r="81" spans="2:17" ht="12.75" customHeight="1">
      <c r="B81" s="2157" t="str">
        <f t="shared" si="27"/>
        <v>Series B Tranche I</v>
      </c>
      <c r="D81" s="2355">
        <f t="shared" si="28"/>
        <v>9476.9874855496237</v>
      </c>
      <c r="E81" s="2355">
        <f t="shared" si="28"/>
        <v>0</v>
      </c>
      <c r="F81" s="2355">
        <f t="shared" si="28"/>
        <v>0</v>
      </c>
      <c r="G81" s="2355">
        <f t="shared" si="28"/>
        <v>0</v>
      </c>
      <c r="H81" s="2355">
        <f t="shared" si="28"/>
        <v>0</v>
      </c>
      <c r="I81" s="2355">
        <f t="shared" si="28"/>
        <v>0</v>
      </c>
      <c r="J81" s="2355">
        <f t="shared" si="28"/>
        <v>4290.8749643250876</v>
      </c>
      <c r="L81" s="2355">
        <f t="shared" si="29"/>
        <v>13767.862449874712</v>
      </c>
    </row>
    <row r="82" spans="2:17" ht="12.75" customHeight="1">
      <c r="B82" s="2157" t="str">
        <f t="shared" si="27"/>
        <v>Series B Tranche II Warrants</v>
      </c>
      <c r="D82" s="2355">
        <f t="shared" si="28"/>
        <v>0</v>
      </c>
      <c r="E82" s="2355">
        <f t="shared" si="28"/>
        <v>0</v>
      </c>
      <c r="F82" s="2355">
        <f t="shared" si="28"/>
        <v>0</v>
      </c>
      <c r="G82" s="2355">
        <f t="shared" si="28"/>
        <v>0</v>
      </c>
      <c r="H82" s="2355">
        <f t="shared" si="28"/>
        <v>0</v>
      </c>
      <c r="I82" s="2355">
        <f t="shared" si="28"/>
        <v>0</v>
      </c>
      <c r="J82" s="2355">
        <f t="shared" si="28"/>
        <v>4290.8702939883788</v>
      </c>
      <c r="L82" s="2355">
        <f t="shared" si="29"/>
        <v>4290.8702939883788</v>
      </c>
    </row>
    <row r="83" spans="2:17" ht="12.75" customHeight="1">
      <c r="B83" s="2157" t="str">
        <f t="shared" si="27"/>
        <v>Series B Tranche III Warrants</v>
      </c>
      <c r="D83" s="2355">
        <f t="shared" si="28"/>
        <v>0</v>
      </c>
      <c r="E83" s="2355">
        <f t="shared" si="28"/>
        <v>0</v>
      </c>
      <c r="F83" s="2355">
        <f t="shared" si="28"/>
        <v>0</v>
      </c>
      <c r="G83" s="2355">
        <f t="shared" si="28"/>
        <v>0</v>
      </c>
      <c r="H83" s="2355">
        <f t="shared" si="28"/>
        <v>0</v>
      </c>
      <c r="I83" s="2355">
        <f t="shared" si="28"/>
        <v>0</v>
      </c>
      <c r="J83" s="2355">
        <f t="shared" si="28"/>
        <v>4290.8702939883788</v>
      </c>
      <c r="L83" s="2355">
        <f t="shared" si="29"/>
        <v>4290.8702939883788</v>
      </c>
    </row>
    <row r="84" spans="2:17" ht="12.75" customHeight="1">
      <c r="B84" s="2157" t="str">
        <f t="shared" si="27"/>
        <v>Options at $0.11 Strike Price</v>
      </c>
      <c r="D84" s="2355">
        <f t="shared" si="28"/>
        <v>0</v>
      </c>
      <c r="E84" s="2355">
        <f t="shared" si="28"/>
        <v>0</v>
      </c>
      <c r="F84" s="2355">
        <f t="shared" si="28"/>
        <v>0.88005478826703643</v>
      </c>
      <c r="G84" s="2355">
        <f t="shared" si="28"/>
        <v>11.601165648002764</v>
      </c>
      <c r="H84" s="2355">
        <f t="shared" si="28"/>
        <v>23.476400467904604</v>
      </c>
      <c r="I84" s="2355">
        <f t="shared" si="28"/>
        <v>28.32660195903328</v>
      </c>
      <c r="J84" s="2355">
        <f t="shared" si="28"/>
        <v>73.946997881703723</v>
      </c>
      <c r="L84" s="2355">
        <f t="shared" si="29"/>
        <v>138.23122074491141</v>
      </c>
    </row>
    <row r="85" spans="2:17" ht="12.75" customHeight="1">
      <c r="B85" s="2157" t="str">
        <f t="shared" si="27"/>
        <v>Options at $0.13 Strike Price</v>
      </c>
      <c r="D85" s="2355">
        <f t="shared" si="28"/>
        <v>0</v>
      </c>
      <c r="E85" s="2355">
        <f t="shared" si="28"/>
        <v>0</v>
      </c>
      <c r="F85" s="2355">
        <f t="shared" si="28"/>
        <v>0</v>
      </c>
      <c r="G85" s="2355">
        <f t="shared" si="28"/>
        <v>37.881103014123724</v>
      </c>
      <c r="H85" s="2355">
        <f t="shared" si="28"/>
        <v>76.657119767841507</v>
      </c>
      <c r="I85" s="2355">
        <f t="shared" si="28"/>
        <v>92.494406114695181</v>
      </c>
      <c r="J85" s="2355">
        <f t="shared" si="28"/>
        <v>241.45796459895007</v>
      </c>
      <c r="L85" s="2355">
        <f t="shared" si="29"/>
        <v>448.49059349561048</v>
      </c>
    </row>
    <row r="86" spans="2:17" ht="12.75" customHeight="1">
      <c r="B86" s="2157" t="str">
        <f t="shared" si="27"/>
        <v>Expected Options Grant</v>
      </c>
      <c r="D86" s="2355">
        <f t="shared" si="28"/>
        <v>0</v>
      </c>
      <c r="E86" s="2355">
        <f t="shared" si="28"/>
        <v>0</v>
      </c>
      <c r="F86" s="2355">
        <f t="shared" si="28"/>
        <v>0</v>
      </c>
      <c r="G86" s="2355">
        <f t="shared" si="28"/>
        <v>0</v>
      </c>
      <c r="H86" s="2355">
        <f t="shared" si="28"/>
        <v>360.35953080082828</v>
      </c>
      <c r="I86" s="2355">
        <f t="shared" si="28"/>
        <v>434.80945918836397</v>
      </c>
      <c r="J86" s="2355">
        <f t="shared" si="28"/>
        <v>1135.0762863843338</v>
      </c>
      <c r="L86" s="2355">
        <f t="shared" si="29"/>
        <v>1930.2452763735259</v>
      </c>
    </row>
    <row r="87" spans="2:17" ht="12.75" customHeight="1">
      <c r="B87" s="2157" t="str">
        <f t="shared" si="27"/>
        <v>Common Stock</v>
      </c>
      <c r="D87" s="2355">
        <f t="shared" si="28"/>
        <v>0</v>
      </c>
      <c r="E87" s="2355">
        <f t="shared" si="28"/>
        <v>421.96671977179358</v>
      </c>
      <c r="F87" s="2355">
        <f t="shared" si="28"/>
        <v>75.795510688807951</v>
      </c>
      <c r="G87" s="2355">
        <f t="shared" si="28"/>
        <v>999.1608324833212</v>
      </c>
      <c r="H87" s="2355">
        <f t="shared" si="28"/>
        <v>2021.9261190587051</v>
      </c>
      <c r="I87" s="2355">
        <f t="shared" si="28"/>
        <v>2439.6540876635045</v>
      </c>
      <c r="J87" s="2355">
        <f t="shared" si="28"/>
        <v>6368.7517448598264</v>
      </c>
      <c r="L87" s="2355">
        <f t="shared" si="29"/>
        <v>12327.255014525959</v>
      </c>
    </row>
    <row r="88" spans="2:17" ht="12.75" customHeight="1">
      <c r="B88" s="2382"/>
      <c r="C88" s="2382"/>
      <c r="D88" s="2177"/>
      <c r="E88" s="2177"/>
      <c r="F88" s="2177"/>
      <c r="G88" s="2177"/>
      <c r="H88" s="2177"/>
      <c r="I88" s="2177"/>
      <c r="J88" s="2177"/>
      <c r="L88" s="2177"/>
    </row>
    <row r="89" spans="2:17" ht="12.75" customHeight="1">
      <c r="B89" s="2223" t="str">
        <f>B76</f>
        <v>Total</v>
      </c>
      <c r="D89" s="2358">
        <f t="shared" ref="D89:J89" si="30">SUM(D80:D87)</f>
        <v>28409.458951260167</v>
      </c>
      <c r="E89" s="2358">
        <f t="shared" si="30"/>
        <v>421.96671977179358</v>
      </c>
      <c r="F89" s="2358">
        <f t="shared" si="30"/>
        <v>76.675565477074983</v>
      </c>
      <c r="G89" s="2358">
        <f t="shared" si="30"/>
        <v>1048.6431011454476</v>
      </c>
      <c r="H89" s="2358">
        <f t="shared" si="30"/>
        <v>2482.4191700952797</v>
      </c>
      <c r="I89" s="2358">
        <f t="shared" si="30"/>
        <v>9562.5835880593659</v>
      </c>
      <c r="J89" s="2358">
        <f t="shared" si="30"/>
        <v>37835.876212811134</v>
      </c>
      <c r="L89" s="2358">
        <f>SUM(L80:L87)</f>
        <v>79837.623308620256</v>
      </c>
      <c r="N89" s="2383">
        <f>L89-D9</f>
        <v>0</v>
      </c>
      <c r="O89" s="2383"/>
      <c r="P89" s="2383"/>
      <c r="Q89" s="2383"/>
    </row>
    <row r="90" spans="2:17" ht="12.75" customHeight="1"/>
    <row r="91" spans="2:17" ht="12.75" customHeight="1"/>
    <row r="92" spans="2:17">
      <c r="B92" s="720" t="s">
        <v>1345</v>
      </c>
      <c r="D92" s="2384">
        <f t="shared" ref="D92:J92" si="31">NORMSDIST(D52)</f>
        <v>1</v>
      </c>
      <c r="E92" s="2384">
        <f t="shared" si="31"/>
        <v>0.84025197291418219</v>
      </c>
      <c r="F92" s="2384">
        <f t="shared" si="31"/>
        <v>0.83620807938955966</v>
      </c>
      <c r="G92" s="2384">
        <f t="shared" si="31"/>
        <v>0.83546893338247408</v>
      </c>
      <c r="H92" s="2384">
        <f t="shared" si="31"/>
        <v>0.82522692436588563</v>
      </c>
      <c r="I92" s="2384">
        <f t="shared" si="31"/>
        <v>0.79999903309199027</v>
      </c>
      <c r="J92" s="2384">
        <f t="shared" si="31"/>
        <v>0.69006950336507944</v>
      </c>
    </row>
    <row r="93" spans="2:17">
      <c r="D93" s="2384"/>
      <c r="E93" s="2384"/>
      <c r="F93" s="2384"/>
      <c r="G93" s="2384"/>
      <c r="H93" s="2384"/>
      <c r="I93" s="2384"/>
      <c r="J93" s="2384"/>
    </row>
    <row r="94" spans="2:17">
      <c r="B94" s="2223" t="s">
        <v>2889</v>
      </c>
    </row>
    <row r="95" spans="2:17">
      <c r="B95" s="720" t="str">
        <f t="shared" ref="B95:B102" si="32">+B67</f>
        <v>Series A</v>
      </c>
      <c r="D95" s="2384">
        <f t="shared" ref="D95:J102" si="33">+D67/D$76</f>
        <v>0.66641436213873229</v>
      </c>
      <c r="E95" s="2384">
        <f t="shared" si="33"/>
        <v>0</v>
      </c>
      <c r="F95" s="2384">
        <f t="shared" si="33"/>
        <v>0</v>
      </c>
      <c r="G95" s="2384">
        <f t="shared" si="33"/>
        <v>0</v>
      </c>
      <c r="H95" s="2384">
        <f t="shared" si="33"/>
        <v>0</v>
      </c>
      <c r="I95" s="2384">
        <f t="shared" si="33"/>
        <v>0.6867703662569018</v>
      </c>
      <c r="J95" s="2384">
        <f t="shared" si="33"/>
        <v>0.45311565061573877</v>
      </c>
    </row>
    <row r="96" spans="2:17">
      <c r="B96" s="720" t="str">
        <f t="shared" si="32"/>
        <v>Series B Tranche I</v>
      </c>
      <c r="D96" s="2384">
        <f t="shared" si="33"/>
        <v>0.33358563786126766</v>
      </c>
      <c r="E96" s="2384">
        <f t="shared" si="33"/>
        <v>0</v>
      </c>
      <c r="F96" s="2384">
        <f t="shared" si="33"/>
        <v>0</v>
      </c>
      <c r="G96" s="2384">
        <f t="shared" si="33"/>
        <v>0</v>
      </c>
      <c r="H96" s="2384">
        <f t="shared" si="33"/>
        <v>0</v>
      </c>
      <c r="I96" s="2384">
        <f t="shared" si="33"/>
        <v>0</v>
      </c>
      <c r="J96" s="2384">
        <f t="shared" si="33"/>
        <v>0.11340757486864302</v>
      </c>
    </row>
    <row r="97" spans="2:10">
      <c r="B97" s="720" t="str">
        <f t="shared" si="32"/>
        <v>Series B Tranche II Warrants</v>
      </c>
      <c r="D97" s="2384">
        <f t="shared" si="33"/>
        <v>0</v>
      </c>
      <c r="E97" s="2384">
        <f t="shared" si="33"/>
        <v>0</v>
      </c>
      <c r="F97" s="2384">
        <f t="shared" si="33"/>
        <v>0</v>
      </c>
      <c r="G97" s="2384">
        <f t="shared" si="33"/>
        <v>0</v>
      </c>
      <c r="H97" s="2384">
        <f t="shared" si="33"/>
        <v>0</v>
      </c>
      <c r="I97" s="2384">
        <f t="shared" si="33"/>
        <v>0</v>
      </c>
      <c r="J97" s="2384">
        <f t="shared" si="33"/>
        <v>0.1134074514319164</v>
      </c>
    </row>
    <row r="98" spans="2:10">
      <c r="B98" s="720" t="str">
        <f t="shared" si="32"/>
        <v>Series B Tranche III Warrants</v>
      </c>
      <c r="D98" s="2384">
        <f t="shared" si="33"/>
        <v>0</v>
      </c>
      <c r="E98" s="2384">
        <f t="shared" si="33"/>
        <v>0</v>
      </c>
      <c r="F98" s="2384">
        <f t="shared" si="33"/>
        <v>0</v>
      </c>
      <c r="G98" s="2384">
        <f t="shared" si="33"/>
        <v>0</v>
      </c>
      <c r="H98" s="2384">
        <f t="shared" si="33"/>
        <v>0</v>
      </c>
      <c r="I98" s="2384">
        <f t="shared" si="33"/>
        <v>0</v>
      </c>
      <c r="J98" s="2384">
        <f t="shared" si="33"/>
        <v>0.1134074514319164</v>
      </c>
    </row>
    <row r="99" spans="2:10">
      <c r="B99" s="720" t="str">
        <f t="shared" si="32"/>
        <v>Options at $0.11 Strike Price</v>
      </c>
      <c r="D99" s="2384">
        <f t="shared" si="33"/>
        <v>0</v>
      </c>
      <c r="E99" s="2384">
        <f t="shared" si="33"/>
        <v>0</v>
      </c>
      <c r="F99" s="2384">
        <f t="shared" si="33"/>
        <v>1.1477643272551559E-2</v>
      </c>
      <c r="G99" s="2384">
        <f t="shared" si="33"/>
        <v>1.1063025766660408E-2</v>
      </c>
      <c r="H99" s="2384">
        <f t="shared" si="33"/>
        <v>9.4570654105138648E-3</v>
      </c>
      <c r="I99" s="2384">
        <f t="shared" si="33"/>
        <v>2.9622331348197807E-3</v>
      </c>
      <c r="J99" s="2384">
        <f t="shared" si="33"/>
        <v>1.954414838070156E-3</v>
      </c>
    </row>
    <row r="100" spans="2:10">
      <c r="B100" s="720" t="str">
        <f t="shared" si="32"/>
        <v>Options at $0.13 Strike Price</v>
      </c>
      <c r="D100" s="2384">
        <f t="shared" si="33"/>
        <v>0</v>
      </c>
      <c r="E100" s="2384">
        <f t="shared" si="33"/>
        <v>0</v>
      </c>
      <c r="F100" s="2384">
        <f t="shared" si="33"/>
        <v>0</v>
      </c>
      <c r="G100" s="2384">
        <f t="shared" si="33"/>
        <v>3.6123923356522016E-2</v>
      </c>
      <c r="H100" s="2384">
        <f t="shared" si="33"/>
        <v>3.0880006362865493E-2</v>
      </c>
      <c r="I100" s="2384">
        <f t="shared" si="33"/>
        <v>9.6725330830249017E-3</v>
      </c>
      <c r="J100" s="2384">
        <f t="shared" si="33"/>
        <v>6.3817199115688266E-3</v>
      </c>
    </row>
    <row r="101" spans="2:10">
      <c r="B101" s="720" t="str">
        <f t="shared" si="32"/>
        <v>Expected Options Grant</v>
      </c>
      <c r="D101" s="2384">
        <f t="shared" si="33"/>
        <v>0</v>
      </c>
      <c r="E101" s="2384">
        <f t="shared" si="33"/>
        <v>0</v>
      </c>
      <c r="F101" s="2384">
        <f t="shared" si="33"/>
        <v>0</v>
      </c>
      <c r="G101" s="2384">
        <f t="shared" si="33"/>
        <v>0</v>
      </c>
      <c r="H101" s="2384">
        <f t="shared" si="33"/>
        <v>0.14516465838724449</v>
      </c>
      <c r="I101" s="2384">
        <f t="shared" si="33"/>
        <v>4.5469872779078567E-2</v>
      </c>
      <c r="J101" s="2384">
        <f t="shared" si="33"/>
        <v>3.0000000000000002E-2</v>
      </c>
    </row>
    <row r="102" spans="2:10">
      <c r="B102" s="720" t="str">
        <f t="shared" si="32"/>
        <v>Common Stock</v>
      </c>
      <c r="D102" s="2384">
        <f t="shared" si="33"/>
        <v>0</v>
      </c>
      <c r="E102" s="2384">
        <f t="shared" si="33"/>
        <v>1</v>
      </c>
      <c r="F102" s="2384">
        <f t="shared" si="33"/>
        <v>0.98852235672744837</v>
      </c>
      <c r="G102" s="2384">
        <f t="shared" si="33"/>
        <v>0.95281305087681756</v>
      </c>
      <c r="H102" s="2384">
        <f t="shared" si="33"/>
        <v>0.81449826983937612</v>
      </c>
      <c r="I102" s="2384">
        <f t="shared" si="33"/>
        <v>0.25512499474617495</v>
      </c>
      <c r="J102" s="2384">
        <f t="shared" si="33"/>
        <v>0.16832573690214644</v>
      </c>
    </row>
    <row r="103" spans="2:10">
      <c r="D103" s="2385">
        <f t="shared" ref="D103:J103" si="34">SUM(D95:D102)</f>
        <v>1</v>
      </c>
      <c r="E103" s="2385">
        <f t="shared" si="34"/>
        <v>1</v>
      </c>
      <c r="F103" s="2385">
        <f t="shared" si="34"/>
        <v>0.99999999999999989</v>
      </c>
      <c r="G103" s="2385">
        <f t="shared" si="34"/>
        <v>1</v>
      </c>
      <c r="H103" s="2385">
        <f t="shared" si="34"/>
        <v>1</v>
      </c>
      <c r="I103" s="2385">
        <f t="shared" si="34"/>
        <v>1</v>
      </c>
      <c r="J103" s="2385">
        <f t="shared" si="34"/>
        <v>1</v>
      </c>
    </row>
    <row r="106" spans="2:10">
      <c r="D106" s="2384">
        <f t="shared" ref="D106:J106" si="35">NORMSDIST(D53)</f>
        <v>1</v>
      </c>
      <c r="E106" s="2384">
        <f t="shared" si="35"/>
        <v>0.26347344926196947</v>
      </c>
      <c r="F106" s="2384">
        <f t="shared" si="35"/>
        <v>0.25811253780128979</v>
      </c>
      <c r="G106" s="2384">
        <f t="shared" si="35"/>
        <v>0.25714808414439549</v>
      </c>
      <c r="H106" s="2384">
        <f t="shared" si="35"/>
        <v>0.24424970061017021</v>
      </c>
      <c r="I106" s="2384">
        <f t="shared" si="35"/>
        <v>0.21577275609444874</v>
      </c>
      <c r="J106" s="2384">
        <f t="shared" si="35"/>
        <v>0.12879196900995274</v>
      </c>
    </row>
    <row r="107" spans="2:10">
      <c r="B107" s="720" t="s">
        <v>1257</v>
      </c>
      <c r="D107" s="2386">
        <f>D106-E106</f>
        <v>0.73652655073803053</v>
      </c>
      <c r="E107" s="2384"/>
      <c r="F107" s="2384"/>
      <c r="G107" s="2384"/>
      <c r="H107" s="2384"/>
      <c r="I107" s="2384"/>
      <c r="J107" s="2384"/>
    </row>
  </sheetData>
  <conditionalFormatting sqref="B4:G4 I4">
    <cfRule type="cellIs" dxfId="92" priority="5" stopIfTrue="1" operator="equal">
      <formula>"input"</formula>
    </cfRule>
  </conditionalFormatting>
  <conditionalFormatting sqref="H4">
    <cfRule type="cellIs" dxfId="91" priority="3" stopIfTrue="1" operator="equal">
      <formula>"input"</formula>
    </cfRule>
  </conditionalFormatting>
  <conditionalFormatting sqref="H4">
    <cfRule type="cellIs" dxfId="90" priority="4" stopIfTrue="1" operator="equal">
      <formula>"input"</formula>
    </cfRule>
  </conditionalFormatting>
  <conditionalFormatting sqref="J4">
    <cfRule type="cellIs" dxfId="89" priority="1" stopIfTrue="1" operator="equal">
      <formula>"input"</formula>
    </cfRule>
  </conditionalFormatting>
  <conditionalFormatting sqref="J4">
    <cfRule type="cellIs" dxfId="88" priority="2" stopIfTrue="1" operator="equal">
      <formula>"input"</formula>
    </cfRule>
  </conditionalFormatting>
  <pageMargins left="0.5" right="0.5" top="0.5" bottom="0.5" header="0.5" footer="0.5"/>
  <pageSetup scale="65" fitToWidth="0" fitToHeight="0" pageOrder="overThenDown" orientation="landscape" r:id="rId1"/>
  <rowBreaks count="1" manualBreakCount="1">
    <brk id="61" max="19" man="1"/>
  </rowBreaks>
  <legacyDrawingHF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T46"/>
  <sheetViews>
    <sheetView showGridLines="0" view="pageBreakPreview" zoomScaleNormal="100" zoomScaleSheetLayoutView="100" workbookViewId="0">
      <selection activeCell="B2" sqref="B2"/>
    </sheetView>
  </sheetViews>
  <sheetFormatPr defaultRowHeight="12.75"/>
  <cols>
    <col min="1" max="1" width="4.5" style="720" customWidth="1"/>
    <col min="2" max="2" width="31.33203125" style="720" customWidth="1"/>
    <col min="3" max="3" width="2.83203125" style="720" customWidth="1"/>
    <col min="4" max="4" width="19.5" style="720" customWidth="1"/>
    <col min="5" max="5" width="2.83203125" style="720" customWidth="1"/>
    <col min="6" max="6" width="19.5" style="720" customWidth="1"/>
    <col min="7" max="7" width="2.83203125" style="720" customWidth="1"/>
    <col min="8" max="8" width="19.5" style="720" customWidth="1"/>
    <col min="9" max="9" width="2.83203125" style="720" customWidth="1"/>
    <col min="10" max="10" width="19.5" style="720" customWidth="1"/>
    <col min="11" max="11" width="2.83203125" style="720" customWidth="1"/>
    <col min="12" max="12" width="19.5" style="720" customWidth="1"/>
    <col min="13" max="13" width="4.5" style="720" customWidth="1"/>
    <col min="14" max="14" width="11.1640625" style="720" bestFit="1" customWidth="1"/>
    <col min="15" max="15" width="15.33203125" style="720" bestFit="1" customWidth="1"/>
    <col min="16" max="16" width="11.5" style="720" bestFit="1" customWidth="1"/>
    <col min="17" max="17" width="9.33203125" style="720"/>
    <col min="18" max="18" width="10.6640625" style="720" customWidth="1"/>
    <col min="19" max="16384" width="9.33203125" style="720"/>
  </cols>
  <sheetData>
    <row r="1" spans="2:18" ht="10.7" customHeight="1" thickBot="1"/>
    <row r="2" spans="2:18" ht="16.5" customHeight="1" thickTop="1">
      <c r="B2" s="10" t="s">
        <v>1608</v>
      </c>
      <c r="C2" s="10"/>
      <c r="D2" s="10"/>
      <c r="E2" s="10"/>
      <c r="F2" s="10"/>
      <c r="G2" s="10"/>
      <c r="H2" s="10"/>
      <c r="I2" s="10"/>
      <c r="J2" s="10"/>
      <c r="K2" s="10"/>
      <c r="L2" s="10"/>
      <c r="N2" s="2202"/>
      <c r="O2" s="2387"/>
      <c r="P2" s="2387"/>
      <c r="Q2" s="2202"/>
      <c r="R2" s="2202"/>
    </row>
    <row r="3" spans="2:18" ht="15.75" customHeight="1">
      <c r="B3" s="11" t="s">
        <v>2890</v>
      </c>
      <c r="C3" s="11"/>
      <c r="D3" s="11"/>
      <c r="E3" s="11"/>
      <c r="F3" s="11"/>
      <c r="G3" s="11"/>
      <c r="H3" s="11"/>
      <c r="I3" s="11"/>
      <c r="J3" s="11"/>
      <c r="K3" s="11"/>
      <c r="L3" s="11"/>
      <c r="N3" s="2202"/>
      <c r="O3" s="2202"/>
      <c r="P3" s="2202"/>
      <c r="Q3" s="2202"/>
      <c r="R3" s="2202"/>
    </row>
    <row r="4" spans="2:18" ht="16.5" customHeight="1" thickBot="1">
      <c r="B4" s="12" t="s">
        <v>2585</v>
      </c>
      <c r="C4" s="12"/>
      <c r="D4" s="12"/>
      <c r="E4" s="12"/>
      <c r="F4" s="12"/>
      <c r="G4" s="12"/>
      <c r="H4" s="12"/>
      <c r="I4" s="12"/>
      <c r="J4" s="13"/>
      <c r="K4" s="13"/>
      <c r="L4" s="13" t="s">
        <v>591</v>
      </c>
      <c r="N4" s="2202"/>
      <c r="O4" s="2202"/>
      <c r="P4" s="2388"/>
      <c r="Q4" s="2202"/>
      <c r="R4" s="2202"/>
    </row>
    <row r="5" spans="2:18" s="1171" customFormat="1" ht="12.75" customHeight="1" thickTop="1">
      <c r="B5" s="720"/>
      <c r="C5" s="720"/>
      <c r="D5" s="720"/>
      <c r="E5" s="720"/>
      <c r="F5" s="720"/>
      <c r="G5" s="720"/>
      <c r="H5" s="720"/>
      <c r="I5" s="720"/>
      <c r="J5" s="720"/>
      <c r="K5" s="720"/>
      <c r="L5" s="720"/>
      <c r="M5" s="720"/>
      <c r="N5" s="2202"/>
      <c r="O5" s="2202"/>
      <c r="P5" s="2389"/>
      <c r="Q5" s="2202"/>
      <c r="R5" s="2202"/>
    </row>
    <row r="6" spans="2:18" ht="12.75" customHeight="1">
      <c r="N6" s="2202"/>
      <c r="O6" s="2202"/>
      <c r="P6" s="2389"/>
      <c r="Q6" s="2202"/>
      <c r="R6" s="2202"/>
    </row>
    <row r="7" spans="2:18" ht="12.75" customHeight="1">
      <c r="B7" s="2390" t="s">
        <v>343</v>
      </c>
      <c r="C7" s="2391"/>
      <c r="D7" s="2392" t="s">
        <v>264</v>
      </c>
      <c r="E7" s="2392"/>
      <c r="F7" s="2392" t="s">
        <v>262</v>
      </c>
      <c r="G7" s="2392"/>
      <c r="H7" s="2392" t="s">
        <v>344</v>
      </c>
      <c r="I7" s="2392"/>
      <c r="J7" s="2392" t="s">
        <v>756</v>
      </c>
      <c r="K7" s="2392"/>
      <c r="L7" s="2393" t="s">
        <v>345</v>
      </c>
      <c r="N7" s="2202"/>
      <c r="O7" s="2202"/>
      <c r="P7" s="2394"/>
      <c r="Q7" s="2202"/>
      <c r="R7" s="2202"/>
    </row>
    <row r="8" spans="2:18" ht="6" customHeight="1">
      <c r="N8" s="2202"/>
      <c r="O8" s="2202"/>
      <c r="P8" s="2202"/>
      <c r="Q8" s="2202"/>
      <c r="R8" s="2202"/>
    </row>
    <row r="9" spans="2:18" ht="12.75" customHeight="1">
      <c r="B9" s="720" t="str">
        <f>'OPM 1 Series B Warrants'!B80</f>
        <v>Series A</v>
      </c>
      <c r="D9" s="2395">
        <f>'OPM 1 Series B Warrants'!$L80</f>
        <v>42643.798165628781</v>
      </c>
      <c r="E9" s="2395"/>
      <c r="F9" s="2396">
        <v>44050</v>
      </c>
      <c r="G9" s="2397"/>
      <c r="H9" s="2398">
        <f t="shared" ref="H9:H14" si="0">D9/F9</f>
        <v>0.96807714337409267</v>
      </c>
      <c r="I9" s="2398"/>
      <c r="J9" s="2399"/>
      <c r="K9" s="2334"/>
      <c r="L9" s="2399"/>
      <c r="N9" s="2202"/>
      <c r="O9" s="2202"/>
      <c r="P9" s="2202"/>
      <c r="Q9" s="2202"/>
      <c r="R9" s="2202"/>
    </row>
    <row r="10" spans="2:18" ht="12.75" customHeight="1">
      <c r="B10" s="720" t="str">
        <f>'OPM 1 Series B Warrants'!B81</f>
        <v>Series B Tranche I</v>
      </c>
      <c r="D10" s="2395">
        <f>'OPM 1 Series B Warrants'!$L81</f>
        <v>13767.862449874712</v>
      </c>
      <c r="E10" s="2395"/>
      <c r="F10" s="2396">
        <v>11025.008</v>
      </c>
      <c r="G10" s="2397"/>
      <c r="H10" s="2398">
        <f t="shared" si="0"/>
        <v>1.2487848035914997</v>
      </c>
      <c r="I10" s="2398"/>
      <c r="J10" s="2399"/>
      <c r="K10" s="2334"/>
      <c r="L10" s="2399"/>
      <c r="N10" s="2202"/>
      <c r="O10" s="2202"/>
      <c r="P10" s="2202"/>
      <c r="Q10" s="2202"/>
      <c r="R10" s="2202"/>
    </row>
    <row r="11" spans="2:18" ht="12.75" customHeight="1">
      <c r="B11" s="720" t="str">
        <f>'OPM 1 Series B Warrants'!B82</f>
        <v>Series B Tranche II Warrants</v>
      </c>
      <c r="D11" s="2395">
        <f>'OPM 1 Series B Warrants'!$L82</f>
        <v>4290.8702939883788</v>
      </c>
      <c r="E11" s="2395"/>
      <c r="F11" s="2396">
        <v>11024.995999999999</v>
      </c>
      <c r="G11" s="2397"/>
      <c r="H11" s="2398">
        <f t="shared" si="0"/>
        <v>0.38919472569317748</v>
      </c>
      <c r="I11" s="2398"/>
      <c r="J11" s="2399"/>
      <c r="K11" s="2334"/>
      <c r="L11" s="2399"/>
      <c r="N11" s="2202"/>
      <c r="O11" s="2202"/>
      <c r="P11" s="2202"/>
      <c r="Q11" s="2202"/>
      <c r="R11" s="2202"/>
    </row>
    <row r="12" spans="2:18" ht="12.75" customHeight="1">
      <c r="B12" s="720" t="str">
        <f>'OPM 1 Series B Warrants'!B83</f>
        <v>Series B Tranche III Warrants</v>
      </c>
      <c r="D12" s="2395">
        <f>'OPM 1 Series B Warrants'!$L83</f>
        <v>4290.8702939883788</v>
      </c>
      <c r="E12" s="2395"/>
      <c r="F12" s="2396">
        <v>11024.995999999999</v>
      </c>
      <c r="G12" s="2397"/>
      <c r="H12" s="2398">
        <f t="shared" si="0"/>
        <v>0.38919472569317748</v>
      </c>
      <c r="I12" s="2398"/>
      <c r="J12" s="2399"/>
      <c r="K12" s="2334"/>
      <c r="L12" s="2399"/>
      <c r="N12" s="2202"/>
      <c r="O12" s="2202"/>
      <c r="P12" s="2400"/>
      <c r="Q12" s="2202"/>
      <c r="R12" s="2202"/>
    </row>
    <row r="13" spans="2:18" ht="12.75" customHeight="1">
      <c r="B13" s="720" t="s">
        <v>2002</v>
      </c>
      <c r="D13" s="2395">
        <f>SUM('OPM 1 Series B Warrants'!L84:L86)</f>
        <v>2516.9670906140477</v>
      </c>
      <c r="E13" s="2395"/>
      <c r="F13" s="2396">
        <v>3726.8779690721649</v>
      </c>
      <c r="G13" s="2397"/>
      <c r="H13" s="2398">
        <f t="shared" si="0"/>
        <v>0.67535538096533554</v>
      </c>
      <c r="I13" s="2398"/>
      <c r="J13" s="2399"/>
      <c r="K13" s="2334"/>
      <c r="L13" s="2399"/>
      <c r="N13" s="2202"/>
      <c r="O13" s="2202"/>
      <c r="P13" s="2202"/>
      <c r="Q13" s="2202"/>
      <c r="R13" s="2202"/>
    </row>
    <row r="14" spans="2:18" ht="12.75" customHeight="1">
      <c r="B14" s="720" t="str">
        <f>'OPM 1 Series B Warrants'!B87</f>
        <v>Common Stock</v>
      </c>
      <c r="C14" s="2003"/>
      <c r="D14" s="2395">
        <f>'OPM 1 Series B Warrants'!L87</f>
        <v>12327.255014525959</v>
      </c>
      <c r="E14" s="2395"/>
      <c r="F14" s="2396">
        <v>16363.921</v>
      </c>
      <c r="G14" s="2397"/>
      <c r="H14" s="2401">
        <f t="shared" si="0"/>
        <v>0.75331914731964056</v>
      </c>
      <c r="I14" s="2398"/>
      <c r="J14" s="2341">
        <v>0.4</v>
      </c>
      <c r="K14" s="2334"/>
      <c r="L14" s="2398">
        <f>H14*(1-J14)</f>
        <v>0.45199148839178432</v>
      </c>
    </row>
    <row r="15" spans="2:18" ht="12.75" customHeight="1">
      <c r="B15" s="2177"/>
      <c r="C15" s="2177"/>
      <c r="D15" s="2402"/>
      <c r="E15" s="2402"/>
      <c r="F15" s="2402"/>
      <c r="G15" s="2177"/>
      <c r="H15" s="2369"/>
      <c r="I15" s="2177"/>
      <c r="J15" s="2369"/>
      <c r="K15" s="2369"/>
      <c r="L15" s="2369"/>
    </row>
    <row r="16" spans="2:18" ht="12.75" customHeight="1">
      <c r="B16" s="2223" t="str">
        <f>'OPM 1 Series B Warrants'!B89</f>
        <v>Total</v>
      </c>
      <c r="D16" s="2403">
        <f>SUM(D9:D14)</f>
        <v>79837.62330862027</v>
      </c>
      <c r="E16" s="2379"/>
      <c r="F16" s="2403">
        <f>SUM(F9:F14)</f>
        <v>97215.798969072173</v>
      </c>
      <c r="H16" s="2001"/>
      <c r="J16" s="2001"/>
      <c r="K16" s="2001"/>
      <c r="L16" s="2001"/>
    </row>
    <row r="17" spans="1:20" ht="12.75" customHeight="1"/>
    <row r="18" spans="1:20" ht="12.75" customHeight="1">
      <c r="B18" s="737"/>
    </row>
    <row r="19" spans="1:20" ht="12.75" customHeight="1">
      <c r="A19" s="762"/>
      <c r="B19" s="720" t="s">
        <v>2891</v>
      </c>
      <c r="G19" s="2396"/>
      <c r="L19" s="2396">
        <v>22050</v>
      </c>
    </row>
    <row r="20" spans="1:20" ht="12.75" customHeight="1">
      <c r="A20" s="762"/>
      <c r="B20" s="2223" t="s">
        <v>2892</v>
      </c>
      <c r="G20" s="2358"/>
      <c r="L20" s="2355">
        <f>SUM(D10:D12)</f>
        <v>22349.60303785147</v>
      </c>
      <c r="N20" s="2404">
        <f>L20-L19</f>
        <v>299.60303785146971</v>
      </c>
      <c r="O20" s="2182" t="s">
        <v>2893</v>
      </c>
      <c r="P20" s="2223"/>
    </row>
    <row r="21" spans="1:20" ht="12.75" customHeight="1">
      <c r="A21" s="762"/>
    </row>
    <row r="22" spans="1:20" ht="12.75" customHeight="1">
      <c r="A22" s="762"/>
      <c r="B22" s="720" t="s">
        <v>2894</v>
      </c>
      <c r="G22" s="2158"/>
      <c r="L22" s="2158">
        <v>79837.623308620343</v>
      </c>
    </row>
    <row r="23" spans="1:20" ht="12.75" customHeight="1">
      <c r="A23" s="762"/>
    </row>
    <row r="24" spans="1:20" ht="12.75" customHeight="1">
      <c r="A24" s="762"/>
      <c r="B24" s="720" t="s">
        <v>2895</v>
      </c>
      <c r="G24" s="2405">
        <f>C16-SUM(C11:C12)</f>
        <v>0</v>
      </c>
      <c r="L24" s="2337">
        <f>D16-SUM(D11:D12)</f>
        <v>71255.882720643509</v>
      </c>
    </row>
    <row r="25" spans="1:20" ht="12.75" customHeight="1">
      <c r="A25" s="762"/>
      <c r="B25" s="2406"/>
    </row>
    <row r="26" spans="1:20" ht="12.75" customHeight="1">
      <c r="A26" s="762"/>
      <c r="B26" s="2406"/>
    </row>
    <row r="27" spans="1:20" ht="12.75" customHeight="1">
      <c r="A27" s="762"/>
      <c r="B27" s="2406"/>
    </row>
    <row r="28" spans="1:20" ht="12.75" customHeight="1">
      <c r="A28" s="762"/>
      <c r="B28" s="2406"/>
    </row>
    <row r="29" spans="1:20" ht="12.75" customHeight="1">
      <c r="A29" s="762"/>
      <c r="B29" s="2406"/>
    </row>
    <row r="30" spans="1:20" ht="12.75" customHeight="1">
      <c r="A30" s="762"/>
      <c r="B30" s="2406"/>
    </row>
    <row r="31" spans="1:20" ht="12.75" customHeight="1">
      <c r="O31" s="1987" t="s">
        <v>2896</v>
      </c>
    </row>
    <row r="32" spans="1:20">
      <c r="D32" s="2407"/>
      <c r="O32" s="2177" t="s">
        <v>2897</v>
      </c>
      <c r="P32" s="2177"/>
      <c r="Q32" s="2177"/>
      <c r="R32" s="2177"/>
      <c r="S32" s="2177"/>
      <c r="T32" s="2177"/>
    </row>
    <row r="33" spans="2:20">
      <c r="B33" s="720" t="s">
        <v>1349</v>
      </c>
      <c r="D33" s="2408" t="str">
        <f>IF((D16&lt;&gt;'OPM 1 Series B Warrants'!L89),"Check","")</f>
        <v/>
      </c>
      <c r="P33" s="720">
        <f>+Q33-0.5</f>
        <v>3.0106712328767129</v>
      </c>
      <c r="Q33" s="720">
        <f>+R33-0.5</f>
        <v>3.5106712328767129</v>
      </c>
      <c r="R33" s="888">
        <f>+'OPM 1 Series B Warrants'!D10</f>
        <v>4.0106712328767129</v>
      </c>
      <c r="S33" s="720">
        <f>+R33+0.5</f>
        <v>4.5106712328767129</v>
      </c>
      <c r="T33" s="720">
        <f>+S33+0.5</f>
        <v>5.0106712328767129</v>
      </c>
    </row>
    <row r="34" spans="2:20" ht="13.5" thickBot="1">
      <c r="O34" s="731">
        <f>O35-5%</f>
        <v>0.71299999999999986</v>
      </c>
    </row>
    <row r="35" spans="2:20">
      <c r="O35" s="731">
        <f>O36-5%</f>
        <v>0.7629999999999999</v>
      </c>
      <c r="Q35" s="2409"/>
      <c r="R35" s="2410"/>
      <c r="S35" s="2411"/>
    </row>
    <row r="36" spans="2:20">
      <c r="O36" s="2412">
        <f>'OPM 1 Series B Warrants'!D11</f>
        <v>0.81299999999999994</v>
      </c>
      <c r="Q36" s="2413"/>
      <c r="R36" s="2368">
        <f>+H14</f>
        <v>0.75331914731964056</v>
      </c>
      <c r="S36" s="2414"/>
    </row>
    <row r="37" spans="2:20" ht="13.5" thickBot="1">
      <c r="O37" s="731">
        <f>O36+5%</f>
        <v>0.86299999999999999</v>
      </c>
      <c r="Q37" s="2415"/>
      <c r="R37" s="2416"/>
      <c r="S37" s="2417"/>
    </row>
    <row r="38" spans="2:20">
      <c r="O38" s="731">
        <f>O37+5%</f>
        <v>0.91300000000000003</v>
      </c>
    </row>
    <row r="40" spans="2:20">
      <c r="O40" s="2177" t="s">
        <v>2898</v>
      </c>
      <c r="P40" s="2177"/>
      <c r="Q40" s="2177"/>
      <c r="R40" s="2177"/>
      <c r="S40" s="2177"/>
      <c r="T40" s="2177"/>
    </row>
    <row r="41" spans="2:20">
      <c r="O41" s="720" t="s">
        <v>74</v>
      </c>
      <c r="P41" s="720">
        <f>+Q41-0.5</f>
        <v>3.0106712328767129</v>
      </c>
      <c r="Q41" s="720">
        <f>+R41-0.5</f>
        <v>3.5106712328767129</v>
      </c>
      <c r="R41" s="888">
        <f>+'OPM 1 Series B Warrants'!D10</f>
        <v>4.0106712328767129</v>
      </c>
      <c r="S41" s="720">
        <f>+R41+0.5</f>
        <v>4.5106712328767129</v>
      </c>
      <c r="T41" s="720">
        <f>+S41+0.5</f>
        <v>5.0106712328767129</v>
      </c>
    </row>
    <row r="42" spans="2:20" ht="13.5" thickBot="1">
      <c r="O42" s="2200">
        <f>O43-5%</f>
        <v>0.71299999999999986</v>
      </c>
    </row>
    <row r="43" spans="2:20">
      <c r="O43" s="2200">
        <f>O44-5%</f>
        <v>0.7629999999999999</v>
      </c>
      <c r="Q43" s="2409"/>
      <c r="R43" s="2410"/>
      <c r="S43" s="2411"/>
    </row>
    <row r="44" spans="2:20">
      <c r="O44" s="2418">
        <f>+'OPM 1 Series B Warrants'!D11</f>
        <v>0.81299999999999994</v>
      </c>
      <c r="Q44" s="2413"/>
      <c r="R44" s="2419">
        <f>+H35</f>
        <v>0</v>
      </c>
      <c r="S44" s="2414"/>
    </row>
    <row r="45" spans="2:20" ht="13.5" thickBot="1">
      <c r="O45" s="2200">
        <f>O44+5%</f>
        <v>0.86299999999999999</v>
      </c>
      <c r="Q45" s="2415"/>
      <c r="R45" s="2416"/>
      <c r="S45" s="2417"/>
    </row>
    <row r="46" spans="2:20">
      <c r="O46" s="2200">
        <f>O45+5%</f>
        <v>0.91300000000000003</v>
      </c>
    </row>
  </sheetData>
  <dataConsolidate link="1"/>
  <conditionalFormatting sqref="B4:I4">
    <cfRule type="cellIs" dxfId="87" priority="7" stopIfTrue="1" operator="equal">
      <formula>"input"</formula>
    </cfRule>
  </conditionalFormatting>
  <conditionalFormatting sqref="J4">
    <cfRule type="cellIs" dxfId="86" priority="5" stopIfTrue="1" operator="equal">
      <formula>"input"</formula>
    </cfRule>
  </conditionalFormatting>
  <conditionalFormatting sqref="J4">
    <cfRule type="cellIs" dxfId="85" priority="6" stopIfTrue="1" operator="equal">
      <formula>"input"</formula>
    </cfRule>
  </conditionalFormatting>
  <conditionalFormatting sqref="K4">
    <cfRule type="cellIs" dxfId="84" priority="3" stopIfTrue="1" operator="equal">
      <formula>"input"</formula>
    </cfRule>
  </conditionalFormatting>
  <conditionalFormatting sqref="K4">
    <cfRule type="cellIs" dxfId="83" priority="4" stopIfTrue="1" operator="equal">
      <formula>"input"</formula>
    </cfRule>
  </conditionalFormatting>
  <conditionalFormatting sqref="L4">
    <cfRule type="cellIs" dxfId="82" priority="1" stopIfTrue="1" operator="equal">
      <formula>"input"</formula>
    </cfRule>
  </conditionalFormatting>
  <conditionalFormatting sqref="L4">
    <cfRule type="cellIs" dxfId="81" priority="2" stopIfTrue="1" operator="equal">
      <formula>"input"</formula>
    </cfRule>
  </conditionalFormatting>
  <pageMargins left="0.5" right="0.5" top="0.5" bottom="0.5" header="0.5" footer="0.5"/>
  <pageSetup scale="97" fitToWidth="0" fitToHeight="0" orientation="landscape" r:id="rId1"/>
  <legacyDrawingHF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B1:F51"/>
  <sheetViews>
    <sheetView showGridLines="0" view="pageBreakPreview" topLeftCell="A8" zoomScaleNormal="100" zoomScaleSheetLayoutView="100" workbookViewId="0">
      <selection activeCell="D12" sqref="D12"/>
    </sheetView>
  </sheetViews>
  <sheetFormatPr defaultRowHeight="12.75" outlineLevelRow="1"/>
  <cols>
    <col min="1" max="1" width="4.5" style="405" customWidth="1"/>
    <col min="2" max="2" width="99.1640625" style="405" customWidth="1"/>
    <col min="3" max="3" width="2.83203125" style="405" customWidth="1"/>
    <col min="4" max="4" width="18.83203125" style="405" customWidth="1"/>
    <col min="5" max="5" width="2.83203125" style="405" customWidth="1"/>
    <col min="6" max="6" width="18.83203125" style="405" customWidth="1"/>
    <col min="7" max="7" width="4.5" style="405" customWidth="1"/>
    <col min="8" max="16384" width="9.33203125" style="405"/>
  </cols>
  <sheetData>
    <row r="1" spans="2:6" ht="10.7" customHeight="1" thickBot="1"/>
    <row r="2" spans="2:6" ht="16.5" customHeight="1" thickTop="1">
      <c r="B2" s="10" t="str">
        <f>'MASTER PubCo Inputs'!$C$5</f>
        <v>Kallyope, Inc.</v>
      </c>
      <c r="C2" s="10"/>
      <c r="D2" s="10"/>
      <c r="E2" s="10"/>
      <c r="F2" s="10"/>
    </row>
    <row r="3" spans="2:6" ht="15.75" customHeight="1">
      <c r="B3" s="11" t="e">
        <f>VLOOKUP(B4,Outline!$E$8:$G$69,COLUMNS(Outline!$E$8:$G$8),FALSE)</f>
        <v>#N/A</v>
      </c>
      <c r="C3" s="11"/>
      <c r="D3" s="11"/>
      <c r="E3" s="11"/>
      <c r="F3" s="11"/>
    </row>
    <row r="4" spans="2:6" ht="16.5" customHeight="1" thickBot="1">
      <c r="B4" s="12" t="s">
        <v>2582</v>
      </c>
      <c r="C4" s="12"/>
      <c r="D4" s="12"/>
      <c r="E4" s="12"/>
      <c r="F4" s="13"/>
    </row>
    <row r="5" spans="2:6" ht="12.75" customHeight="1" thickTop="1">
      <c r="B5" s="907"/>
    </row>
    <row r="6" spans="2:6" ht="12.75" customHeight="1">
      <c r="B6" s="907"/>
    </row>
    <row r="7" spans="2:6">
      <c r="B7" s="2046" t="s">
        <v>410</v>
      </c>
      <c r="C7" s="2047"/>
      <c r="D7" s="2048"/>
      <c r="F7" s="2012" t="s">
        <v>70</v>
      </c>
    </row>
    <row r="8" spans="2:6" ht="12.75" customHeight="1">
      <c r="D8" s="16"/>
    </row>
    <row r="9" spans="2:6" ht="12.75" customHeight="1">
      <c r="B9" s="2005" t="s">
        <v>71</v>
      </c>
      <c r="C9" s="2042"/>
      <c r="D9" s="2049">
        <f>'OPM 1_OIP'!Q12</f>
        <v>3.883328767123289</v>
      </c>
      <c r="F9" s="314" t="e">
        <f>'OPM 1_OIP'!B3</f>
        <v>#N/A</v>
      </c>
    </row>
    <row r="10" spans="2:6" ht="12.75" customHeight="1">
      <c r="B10" s="362" t="s">
        <v>72</v>
      </c>
      <c r="C10" s="16"/>
      <c r="D10" s="968">
        <f>'Risk-Free Rates_OPM'!E36</f>
        <v>2.6741664383561646E-2</v>
      </c>
      <c r="F10" s="944" t="e">
        <f>'Risk-Free Rates_OPM'!B3</f>
        <v>#N/A</v>
      </c>
    </row>
    <row r="11" spans="2:6" ht="12.75" customHeight="1">
      <c r="B11" s="362" t="s">
        <v>73</v>
      </c>
      <c r="C11" s="16"/>
      <c r="D11" s="202">
        <v>0</v>
      </c>
      <c r="F11" s="21"/>
    </row>
    <row r="12" spans="2:6" ht="12.75" customHeight="1">
      <c r="B12" s="932" t="s">
        <v>74</v>
      </c>
      <c r="C12" s="203"/>
      <c r="D12" s="964">
        <f>'Asset Vol_DLOM'!Q50</f>
        <v>0.81299999999999994</v>
      </c>
      <c r="F12" s="966" t="e">
        <f>'Asset Vol_DLOM'!B3</f>
        <v>#N/A</v>
      </c>
    </row>
    <row r="13" spans="2:6" ht="12.75" customHeight="1">
      <c r="B13" s="362"/>
      <c r="C13" s="16"/>
      <c r="D13" s="204"/>
    </row>
    <row r="14" spans="2:6" ht="12.75" customHeight="1">
      <c r="B14" s="362" t="s">
        <v>75</v>
      </c>
      <c r="C14" s="16"/>
      <c r="D14" s="205">
        <f>D12^2*D9</f>
        <v>2.5667599318767129</v>
      </c>
    </row>
    <row r="15" spans="2:6" ht="12.75" customHeight="1">
      <c r="B15" s="362" t="s">
        <v>76</v>
      </c>
      <c r="C15" s="16"/>
      <c r="D15" s="205">
        <f>(D12^2*D9+LN(2*(EXP(D14)-D12^2*D9-1))-2*LN(EXP(D14)-1))^0.5</f>
        <v>0.73000351773659955</v>
      </c>
    </row>
    <row r="16" spans="2:6" ht="12.75" customHeight="1">
      <c r="B16" s="362" t="s">
        <v>77</v>
      </c>
      <c r="C16" s="16"/>
      <c r="D16" s="205">
        <f>((D10-D11)*D9)/D15+0.5*D15</f>
        <v>0.50725679197200502</v>
      </c>
    </row>
    <row r="17" spans="2:6" ht="12.75" customHeight="1">
      <c r="B17" s="362" t="s">
        <v>78</v>
      </c>
      <c r="C17" s="16"/>
      <c r="D17" s="205">
        <f>((D10-D11)*D9)/D15-0.5*D15</f>
        <v>-0.22274672576459459</v>
      </c>
    </row>
    <row r="18" spans="2:6" ht="12.75" customHeight="1">
      <c r="B18" s="362"/>
      <c r="C18" s="16"/>
      <c r="D18" s="206"/>
    </row>
    <row r="19" spans="2:6" ht="12.75" customHeight="1">
      <c r="B19" s="933" t="s">
        <v>79</v>
      </c>
      <c r="C19" s="934"/>
      <c r="D19" s="935">
        <f>EXP((D10-D11)*D9)*NORMSDIST(D16)-NORMSDIST(D17)</f>
        <v>0.35809239938970772</v>
      </c>
    </row>
    <row r="20" spans="2:6" ht="12.75" customHeight="1">
      <c r="D20" s="16"/>
    </row>
    <row r="21" spans="2:6" hidden="1" outlineLevel="1">
      <c r="B21" s="2046" t="s">
        <v>80</v>
      </c>
      <c r="C21" s="2047"/>
      <c r="D21" s="2048"/>
    </row>
    <row r="22" spans="2:6" ht="12.75" hidden="1" customHeight="1" outlineLevel="1">
      <c r="D22" s="16"/>
    </row>
    <row r="23" spans="2:6" ht="12.75" hidden="1" customHeight="1" outlineLevel="1">
      <c r="B23" s="2005" t="s">
        <v>81</v>
      </c>
      <c r="C23" s="2042"/>
      <c r="D23" s="2050">
        <v>1</v>
      </c>
    </row>
    <row r="24" spans="2:6" ht="12.75" hidden="1" customHeight="1" outlineLevel="1">
      <c r="B24" s="932" t="s">
        <v>82</v>
      </c>
      <c r="C24" s="16"/>
      <c r="D24" s="207">
        <v>1</v>
      </c>
    </row>
    <row r="25" spans="2:6" ht="12.75" hidden="1" customHeight="1" outlineLevel="1">
      <c r="B25" s="932" t="s">
        <v>83</v>
      </c>
      <c r="C25" s="16"/>
      <c r="D25" s="47">
        <f>D9</f>
        <v>3.883328767123289</v>
      </c>
      <c r="F25" s="23"/>
    </row>
    <row r="26" spans="2:6" ht="12.75" hidden="1" customHeight="1" outlineLevel="1">
      <c r="B26" s="362" t="s">
        <v>72</v>
      </c>
      <c r="C26" s="16"/>
      <c r="D26" s="208">
        <f>D10</f>
        <v>2.6741664383561646E-2</v>
      </c>
      <c r="F26" s="23"/>
    </row>
    <row r="27" spans="2:6" ht="12.75" hidden="1" customHeight="1" outlineLevel="1">
      <c r="B27" s="362" t="s">
        <v>74</v>
      </c>
      <c r="C27" s="16"/>
      <c r="D27" s="421">
        <f>D12</f>
        <v>0.81299999999999994</v>
      </c>
      <c r="F27" s="23"/>
    </row>
    <row r="28" spans="2:6" ht="12.75" hidden="1" customHeight="1" outlineLevel="1">
      <c r="B28" s="362"/>
      <c r="C28" s="16"/>
      <c r="D28" s="204"/>
    </row>
    <row r="29" spans="2:6" ht="12.75" hidden="1" customHeight="1" outlineLevel="1">
      <c r="B29" s="362" t="s">
        <v>84</v>
      </c>
      <c r="C29" s="16"/>
      <c r="D29" s="205">
        <f>(LN(D23/D24)+(D26+D27^2/2)*D25)/(D27*SQRT(D25))</f>
        <v>0.86587419102460017</v>
      </c>
    </row>
    <row r="30" spans="2:6" ht="12.75" hidden="1" customHeight="1" outlineLevel="1">
      <c r="B30" s="362" t="s">
        <v>85</v>
      </c>
      <c r="C30" s="16"/>
      <c r="D30" s="205">
        <f>D29-D27*SQRT(D25)</f>
        <v>-0.73623689497309441</v>
      </c>
    </row>
    <row r="31" spans="2:6" ht="12.75" hidden="1" customHeight="1" outlineLevel="1">
      <c r="B31" s="362"/>
      <c r="C31" s="16"/>
      <c r="D31" s="204"/>
    </row>
    <row r="32" spans="2:6" ht="12.75" hidden="1" customHeight="1" outlineLevel="1">
      <c r="B32" s="933" t="s">
        <v>79</v>
      </c>
      <c r="C32" s="5"/>
      <c r="D32" s="935">
        <f>D24*EXP(-D26*D25)*NORMSDIST(-D30)-D23*NORMSDIST(-D29)</f>
        <v>0.50005528161687962</v>
      </c>
    </row>
    <row r="33" spans="2:6" ht="12.75" hidden="1" customHeight="1" outlineLevel="1">
      <c r="D33" s="16"/>
    </row>
    <row r="34" spans="2:6" collapsed="1">
      <c r="B34" s="2046" t="s">
        <v>406</v>
      </c>
      <c r="C34" s="2047"/>
      <c r="D34" s="2048"/>
    </row>
    <row r="35" spans="2:6" ht="12.75" customHeight="1">
      <c r="D35" s="16"/>
    </row>
    <row r="36" spans="2:6" ht="12.75" customHeight="1">
      <c r="B36" s="2005" t="s">
        <v>83</v>
      </c>
      <c r="C36" s="2042"/>
      <c r="D36" s="2051">
        <f>+D25</f>
        <v>3.883328767123289</v>
      </c>
      <c r="F36" s="23"/>
    </row>
    <row r="37" spans="2:6" ht="12.75" customHeight="1">
      <c r="B37" s="362" t="s">
        <v>81</v>
      </c>
      <c r="C37" s="16"/>
      <c r="D37" s="207">
        <f>+D23</f>
        <v>1</v>
      </c>
    </row>
    <row r="38" spans="2:6" ht="12.75" customHeight="1">
      <c r="B38" s="362" t="s">
        <v>82</v>
      </c>
      <c r="C38" s="16"/>
      <c r="D38" s="207">
        <f>+D24</f>
        <v>1</v>
      </c>
    </row>
    <row r="39" spans="2:6" ht="12.75" customHeight="1">
      <c r="B39" s="362" t="s">
        <v>73</v>
      </c>
      <c r="C39" s="16"/>
      <c r="D39" s="208">
        <f>+D11</f>
        <v>0</v>
      </c>
    </row>
    <row r="40" spans="2:6" ht="12.75" customHeight="1">
      <c r="B40" s="362" t="s">
        <v>74</v>
      </c>
      <c r="C40" s="16"/>
      <c r="D40" s="421">
        <f>+D12</f>
        <v>0.81299999999999994</v>
      </c>
      <c r="F40" s="23"/>
    </row>
    <row r="41" spans="2:6" ht="12.75" customHeight="1">
      <c r="B41" s="362"/>
      <c r="C41" s="16"/>
      <c r="D41" s="204"/>
    </row>
    <row r="42" spans="2:6" ht="12.75" customHeight="1">
      <c r="B42" s="362" t="s">
        <v>408</v>
      </c>
      <c r="C42" s="16"/>
      <c r="D42" s="205">
        <f>LN(2*(EXP((D40^2)*D36)-((D40^2)*D36)-1))-2*(LN((D40^2)*D36))</f>
        <v>1.0545923658491037</v>
      </c>
    </row>
    <row r="43" spans="2:6" ht="12.75" customHeight="1">
      <c r="B43" s="362" t="s">
        <v>409</v>
      </c>
      <c r="C43" s="16"/>
      <c r="D43" s="205">
        <f>SQRT(D42)</f>
        <v>1.0269334768372798</v>
      </c>
    </row>
    <row r="44" spans="2:6" ht="12.75" customHeight="1">
      <c r="B44" s="362"/>
      <c r="C44" s="16"/>
      <c r="D44" s="204"/>
    </row>
    <row r="45" spans="2:6" ht="12.75" customHeight="1">
      <c r="B45" s="933" t="s">
        <v>79</v>
      </c>
      <c r="C45" s="5"/>
      <c r="D45" s="935">
        <f>EXP(-D39*D36)*D38*(2*NORMSDIST(D43/2)-1)</f>
        <v>0.39237512818667053</v>
      </c>
    </row>
    <row r="46" spans="2:6" ht="12.75" customHeight="1">
      <c r="D46" s="16"/>
    </row>
    <row r="47" spans="2:6" ht="12.75" customHeight="1">
      <c r="B47" s="2039" t="s">
        <v>411</v>
      </c>
      <c r="C47" s="2040"/>
      <c r="D47" s="2052">
        <f>MROUND(AVERAGE(D45,D19),5%)</f>
        <v>0.4</v>
      </c>
    </row>
    <row r="48" spans="2:6" ht="12.75" customHeight="1"/>
    <row r="49" ht="12.75" customHeight="1"/>
    <row r="50" ht="12.75" customHeight="1"/>
    <row r="51" ht="12.75" customHeight="1"/>
  </sheetData>
  <conditionalFormatting sqref="B4:E4">
    <cfRule type="cellIs" dxfId="80" priority="3" stopIfTrue="1" operator="equal">
      <formula>"input"</formula>
    </cfRule>
  </conditionalFormatting>
  <conditionalFormatting sqref="F4">
    <cfRule type="cellIs" dxfId="79" priority="1" stopIfTrue="1" operator="equal">
      <formula>"input"</formula>
    </cfRule>
  </conditionalFormatting>
  <conditionalFormatting sqref="F4">
    <cfRule type="cellIs" dxfId="78" priority="2" stopIfTrue="1" operator="equal">
      <formula>"input"</formula>
    </cfRule>
  </conditionalFormatting>
  <pageMargins left="0.5" right="0.5" top="0.5" bottom="0.5" header="0.5" footer="0.5"/>
  <pageSetup fitToWidth="0" fitToHeight="0" orientation="landscape" r:id="rId1"/>
  <legacyDrawingHF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AI71"/>
  <sheetViews>
    <sheetView showGridLines="0" view="pageBreakPreview" topLeftCell="A16" zoomScale="85" zoomScaleNormal="100" zoomScaleSheetLayoutView="85" workbookViewId="0">
      <selection activeCell="AB53" sqref="AB53"/>
    </sheetView>
  </sheetViews>
  <sheetFormatPr defaultRowHeight="12.75" outlineLevelRow="1" outlineLevelCol="1"/>
  <cols>
    <col min="1" max="1" width="4.5" style="405" customWidth="1"/>
    <col min="2" max="2" width="42.1640625" style="405" customWidth="1"/>
    <col min="3" max="3" width="2.83203125" style="405" customWidth="1"/>
    <col min="4" max="4" width="12.83203125" style="405" customWidth="1"/>
    <col min="5" max="5" width="10.83203125" style="405" hidden="1" customWidth="1" outlineLevel="1"/>
    <col min="6" max="7" width="9.83203125" style="405" hidden="1" customWidth="1" outlineLevel="1"/>
    <col min="8" max="8" width="12.83203125" style="405" customWidth="1" collapsed="1"/>
    <col min="9" max="11" width="12.83203125" style="405" customWidth="1"/>
    <col min="12" max="12" width="2.83203125" style="405" customWidth="1"/>
    <col min="13" max="15" width="12.83203125" style="405" customWidth="1"/>
    <col min="16" max="16" width="2.83203125" style="21" customWidth="1"/>
    <col min="17" max="17" width="12.83203125" style="405" customWidth="1"/>
    <col min="18" max="18" width="2.83203125" style="405" customWidth="1"/>
    <col min="19" max="19" width="11.6640625" style="405" hidden="1" customWidth="1" outlineLevel="1"/>
    <col min="20" max="23" width="8.83203125" style="405" hidden="1" customWidth="1" outlineLevel="1"/>
    <col min="24" max="24" width="12.83203125" style="405" customWidth="1" collapsed="1"/>
    <col min="25" max="25" width="12.83203125" style="405" customWidth="1"/>
    <col min="26" max="26" width="4.5" style="405" customWidth="1"/>
    <col min="27" max="27" width="17.5" style="405" bestFit="1" customWidth="1"/>
    <col min="28" max="28" width="12.33203125" style="405" bestFit="1" customWidth="1"/>
    <col min="29" max="29" width="9.5" style="405" bestFit="1" customWidth="1"/>
    <col min="30" max="30" width="10.1640625" style="405" bestFit="1" customWidth="1"/>
    <col min="31" max="16384" width="9.33203125" style="405"/>
  </cols>
  <sheetData>
    <row r="1" spans="2:35" ht="10.7" customHeight="1" thickBot="1">
      <c r="P1" s="405"/>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AA2" s="303" t="s">
        <v>87</v>
      </c>
      <c r="AB2" s="304">
        <f>+'Comp.1'!$AL$2</f>
        <v>43281</v>
      </c>
    </row>
    <row r="3" spans="2:35"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X3" s="11"/>
      <c r="Y3" s="11"/>
      <c r="AA3" s="201" t="s">
        <v>398</v>
      </c>
      <c r="AB3" s="308" t="str">
        <f>+'Comp.1'!$AL$3</f>
        <v>F</v>
      </c>
    </row>
    <row r="4" spans="2:35" ht="16.5" customHeight="1" thickBot="1">
      <c r="B4" s="12" t="s">
        <v>2586</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201" t="s">
        <v>399</v>
      </c>
      <c r="AB4" s="308" t="str">
        <f>+'Comp.1'!$AL$4</f>
        <v>USD</v>
      </c>
    </row>
    <row r="5" spans="2:35" ht="12.75" customHeight="1" thickTop="1">
      <c r="B5" s="21"/>
      <c r="AA5" s="82" t="s">
        <v>89</v>
      </c>
      <c r="AB5" s="307" t="str">
        <f>+'Comp.1'!$AL$5</f>
        <v>H</v>
      </c>
    </row>
    <row r="6" spans="2:35" ht="12.75" hidden="1" customHeight="1" outlineLevel="1">
      <c r="N6" s="210">
        <f>'OPM 1_OIP'!D10</f>
        <v>3.5284794520547953</v>
      </c>
      <c r="O6" s="211">
        <f>'Risk-Free Rates'!E35</f>
        <v>2.63013698630137E-2</v>
      </c>
      <c r="Q6" s="212">
        <f>HLOOKUP(ROUND(N6,0),'Equity Vol'!$D$8:$K$8,1,TRUE)</f>
        <v>4</v>
      </c>
    </row>
    <row r="7" spans="2:35" ht="25.5" customHeight="1" collapsed="1">
      <c r="D7" s="198" t="s">
        <v>91</v>
      </c>
      <c r="E7" s="199"/>
      <c r="F7" s="199"/>
      <c r="G7" s="199"/>
      <c r="H7" s="199"/>
      <c r="I7" s="199"/>
      <c r="J7" s="199"/>
      <c r="K7" s="200"/>
      <c r="M7" s="198" t="s">
        <v>92</v>
      </c>
      <c r="N7" s="199"/>
      <c r="O7" s="199"/>
      <c r="P7" s="213"/>
      <c r="Q7" s="200"/>
      <c r="S7" s="198" t="s">
        <v>93</v>
      </c>
      <c r="T7" s="199"/>
      <c r="U7" s="199"/>
      <c r="V7" s="199"/>
      <c r="W7" s="199"/>
      <c r="X7" s="986" t="s">
        <v>93</v>
      </c>
      <c r="Y7" s="987"/>
    </row>
    <row r="8" spans="2:35" s="6" customFormat="1" ht="43.5" customHeight="1">
      <c r="B8" s="481" t="s">
        <v>633</v>
      </c>
      <c r="D8" s="612" t="s">
        <v>94</v>
      </c>
      <c r="E8" s="613" t="s">
        <v>95</v>
      </c>
      <c r="F8" s="613" t="s">
        <v>96</v>
      </c>
      <c r="G8" s="613" t="s">
        <v>97</v>
      </c>
      <c r="H8" s="613" t="s">
        <v>98</v>
      </c>
      <c r="I8" s="613" t="s">
        <v>99</v>
      </c>
      <c r="J8" s="613" t="s">
        <v>100</v>
      </c>
      <c r="K8" s="614" t="s">
        <v>101</v>
      </c>
      <c r="L8" s="330"/>
      <c r="M8" s="612" t="s">
        <v>73</v>
      </c>
      <c r="N8" s="613" t="s">
        <v>102</v>
      </c>
      <c r="O8" s="614" t="s">
        <v>72</v>
      </c>
      <c r="P8" s="599"/>
      <c r="Q8" s="615" t="s">
        <v>103</v>
      </c>
      <c r="R8" s="599"/>
      <c r="S8" s="612" t="s">
        <v>104</v>
      </c>
      <c r="T8" s="613" t="s">
        <v>84</v>
      </c>
      <c r="U8" s="613" t="s">
        <v>85</v>
      </c>
      <c r="V8" s="613" t="s">
        <v>105</v>
      </c>
      <c r="W8" s="613" t="s">
        <v>106</v>
      </c>
      <c r="X8" s="616" t="s">
        <v>107</v>
      </c>
      <c r="Y8" s="614" t="s">
        <v>645</v>
      </c>
      <c r="AA8" s="87" t="s">
        <v>108</v>
      </c>
      <c r="AB8" s="88" t="s">
        <v>109</v>
      </c>
      <c r="AC8" s="88" t="s">
        <v>110</v>
      </c>
      <c r="AD8" s="89"/>
    </row>
    <row r="9" spans="2:35" ht="12.75" customHeight="1">
      <c r="X9" s="2079"/>
    </row>
    <row r="10" spans="2:35" ht="12.75" customHeight="1">
      <c r="B10" s="405" t="str">
        <f>'Comp.1'!B12</f>
        <v>ACADIA Pharmaceuticals Inc.</v>
      </c>
      <c r="D10" s="406">
        <f>'Beta Calc'!K10</f>
        <v>1906.0925500000001</v>
      </c>
      <c r="E10" s="406">
        <f>'Beta Calc'!L10</f>
        <v>0</v>
      </c>
      <c r="F10" s="406">
        <f>'Beta Calc'!M10</f>
        <v>0</v>
      </c>
      <c r="G10" s="406">
        <f>'Beta Calc'!N10</f>
        <v>0</v>
      </c>
      <c r="H10" s="406">
        <f>SUM(E10:G10)</f>
        <v>0</v>
      </c>
      <c r="I10" s="406">
        <f>SUM(D10:G10)</f>
        <v>1906.0925500000001</v>
      </c>
      <c r="J10" s="406">
        <f>'Beta Calc'!Q10</f>
        <v>298.06299999999999</v>
      </c>
      <c r="K10" s="406">
        <f>I10-J10</f>
        <v>1608.0295500000002</v>
      </c>
      <c r="M10" s="56">
        <f>IFERROR('Capital IQ Sheet-GPC'!AT13,"n/a")</f>
        <v>0</v>
      </c>
      <c r="N10" s="406">
        <f t="shared" ref="N10:O24" si="0">N$6</f>
        <v>3.5284794520547953</v>
      </c>
      <c r="O10" s="214">
        <f t="shared" si="0"/>
        <v>2.63013698630137E-2</v>
      </c>
      <c r="P10" s="215"/>
      <c r="Q10" s="216">
        <f>IFERROR(HLOOKUP($Q$6,'Equity Vol'!$B$8:$K10,ROWS('Equity Vol'!$C$8:$C10),FALSE),"n/a")</f>
        <v>0.60104330440966869</v>
      </c>
      <c r="R10" s="45"/>
      <c r="S10" s="217">
        <f>IFERROR(IF(Q10="n/a","n/a",Q10^2),"n/a")</f>
        <v>0.36125305377569367</v>
      </c>
      <c r="T10" s="217">
        <f t="shared" ref="T10:T24" si="1">IF(OR(K10="n/a",S10="n/a"),"n/a",IF(H10=0,0,IF(M10=0,(LN(K10/H10)+((O10+(S10/2))*N10))/((S10*N10)^0.5),(LN(K10/H10)+((O10-M10+(S10/2))*N10))/((S10*N10)^0.5))))</f>
        <v>0</v>
      </c>
      <c r="U10" s="218">
        <f t="shared" ref="U10:U24" si="2">IF(T10="n/a","n/a",IF(H10=0,0,T10-(S10*N10)^0.5))</f>
        <v>0</v>
      </c>
      <c r="V10" s="218">
        <f t="shared" ref="V10:V24" si="3">IF(OR(T10="n/a",S10="n/a"),"n/a",IF(H10=0,0,NORMSDIST(T10)))</f>
        <v>0</v>
      </c>
      <c r="W10" s="218">
        <f t="shared" ref="W10:W24" si="4">IF(OR(U10="n/a",S10="n/a"),"n/a",IF(H10=0,0,NORMSDIST(U10)))</f>
        <v>0</v>
      </c>
      <c r="X10" s="2080">
        <f t="shared" ref="X10:X23" si="5">IF(OR(K10="n/a",S10="n/a"),"n/a",IF(M10=0,(K10*V10)-((H10*EXP(1)^(-O10*N10))*W10),(K10*(2.718^(-M10*N10))*V10)-(H10*(2.718^(-O10*N10))*W10)))</f>
        <v>0</v>
      </c>
      <c r="Y10" s="216">
        <f>IFERROR(IF(LEN(B10)&gt;0,IF(H10=0,Q10,IF(ISERROR(Q10/((K10/X10)*V10)),"n/a",Q10/((K10/X10)*V10)))),"n/a")</f>
        <v>0.60104330440966869</v>
      </c>
      <c r="AA10" s="93" t="str">
        <f>IF('MASTER PubCo Inputs'!B28=0,"",'MASTER PubCo Inputs'!B28)</f>
        <v>NasdaqGS:ACAD</v>
      </c>
      <c r="AB10" s="406">
        <f>'Beta Calc'!Z10</f>
        <v>1608.02955</v>
      </c>
      <c r="AC10" s="94">
        <f t="shared" ref="AC10:AC24" si="6">K10-AB10</f>
        <v>0</v>
      </c>
      <c r="AI10" s="95"/>
    </row>
    <row r="11" spans="2:35" ht="12.75" customHeight="1">
      <c r="B11" s="405" t="str">
        <f>'Comp.1'!B13</f>
        <v>Rhythm Pharmaceuticals, Inc.</v>
      </c>
      <c r="D11" s="406">
        <f>'Beta Calc'!K11</f>
        <v>1066.6532199999999</v>
      </c>
      <c r="E11" s="406">
        <f>'Beta Calc'!L11</f>
        <v>0</v>
      </c>
      <c r="F11" s="406">
        <f>'Beta Calc'!M11</f>
        <v>0</v>
      </c>
      <c r="G11" s="406">
        <f>'Beta Calc'!N11</f>
        <v>0</v>
      </c>
      <c r="H11" s="406">
        <f t="shared" ref="H11:H24" si="7">SUM(E11:G11)</f>
        <v>0</v>
      </c>
      <c r="I11" s="406">
        <f t="shared" ref="I11:I24" si="8">SUM(D11:G11)</f>
        <v>1066.6532199999999</v>
      </c>
      <c r="J11" s="406">
        <f>'Beta Calc'!Q11</f>
        <v>136.453</v>
      </c>
      <c r="K11" s="406">
        <f t="shared" ref="K11:K24" si="9">I11-J11</f>
        <v>930.20021999999994</v>
      </c>
      <c r="M11" s="56">
        <f>IFERROR('Capital IQ Sheet-GPC'!AT14,"n/a")</f>
        <v>0</v>
      </c>
      <c r="N11" s="406">
        <f t="shared" si="0"/>
        <v>3.5284794520547953</v>
      </c>
      <c r="O11" s="214">
        <f t="shared" si="0"/>
        <v>2.63013698630137E-2</v>
      </c>
      <c r="P11" s="215"/>
      <c r="Q11" s="216" t="str">
        <f>IFERROR(HLOOKUP($Q$6,'Equity Vol'!$B$8:$K11,ROWS('Equity Vol'!$C$8:$C11),FALSE),"n/a")</f>
        <v>NM</v>
      </c>
      <c r="R11" s="45"/>
      <c r="S11" s="217" t="str">
        <f t="shared" ref="S11:S24" si="10">IFERROR(IF(Q11="n/a","n/a",Q11^2),"n/a")</f>
        <v>n/a</v>
      </c>
      <c r="T11" s="217" t="str">
        <f t="shared" si="1"/>
        <v>n/a</v>
      </c>
      <c r="U11" s="218" t="str">
        <f t="shared" si="2"/>
        <v>n/a</v>
      </c>
      <c r="V11" s="218" t="str">
        <f t="shared" si="3"/>
        <v>n/a</v>
      </c>
      <c r="W11" s="218" t="str">
        <f t="shared" si="4"/>
        <v>n/a</v>
      </c>
      <c r="X11" s="2080" t="str">
        <f t="shared" si="5"/>
        <v>n/a</v>
      </c>
      <c r="Y11" s="216" t="str">
        <f t="shared" ref="Y11:Y24" si="11">IFERROR(IF(LEN(B11)&gt;0,IF(H11=0,Q11,IF(ISERROR(Q11/((K11/X11)*V11)),"n/a",Q11/((K11/X11)*V11)))),"n/a")</f>
        <v>NM</v>
      </c>
      <c r="AA11" s="93" t="str">
        <f>IF('MASTER PubCo Inputs'!B29=0,"",'MASTER PubCo Inputs'!B29)</f>
        <v>NasdaqGM:RYTM</v>
      </c>
      <c r="AB11" s="406">
        <f>'Beta Calc'!Z11</f>
        <v>930.20021999999994</v>
      </c>
      <c r="AC11" s="94">
        <f t="shared" si="6"/>
        <v>0</v>
      </c>
      <c r="AI11" s="95"/>
    </row>
    <row r="12" spans="2:35" ht="12.75" customHeight="1">
      <c r="B12" s="405" t="str">
        <f>'Comp.1'!B14</f>
        <v>Assembly Biosciences, Inc.</v>
      </c>
      <c r="D12" s="406">
        <f>'Beta Calc'!K12</f>
        <v>805.79364999999996</v>
      </c>
      <c r="E12" s="406">
        <f>'Beta Calc'!L12</f>
        <v>0</v>
      </c>
      <c r="F12" s="406">
        <f>'Beta Calc'!M12</f>
        <v>0</v>
      </c>
      <c r="G12" s="406">
        <f>'Beta Calc'!N12</f>
        <v>0</v>
      </c>
      <c r="H12" s="406">
        <f t="shared" si="7"/>
        <v>0</v>
      </c>
      <c r="I12" s="406">
        <f t="shared" si="8"/>
        <v>805.79364999999996</v>
      </c>
      <c r="J12" s="406">
        <f>'Beta Calc'!Q12</f>
        <v>109.15898</v>
      </c>
      <c r="K12" s="406">
        <f t="shared" si="9"/>
        <v>696.63466999999991</v>
      </c>
      <c r="M12" s="56">
        <f>IFERROR('Capital IQ Sheet-GPC'!AT15,"n/a")</f>
        <v>0</v>
      </c>
      <c r="N12" s="406">
        <f t="shared" si="0"/>
        <v>3.5284794520547953</v>
      </c>
      <c r="O12" s="214">
        <f t="shared" si="0"/>
        <v>2.63013698630137E-2</v>
      </c>
      <c r="P12" s="215"/>
      <c r="Q12" s="216">
        <f>IFERROR(HLOOKUP($Q$6,'Equity Vol'!$B$8:$K12,ROWS('Equity Vol'!$C$8:$C12),FALSE),"n/a")</f>
        <v>0.65170735229916987</v>
      </c>
      <c r="R12" s="45"/>
      <c r="S12" s="217">
        <f t="shared" si="10"/>
        <v>0.4247224730407943</v>
      </c>
      <c r="T12" s="217">
        <f t="shared" si="1"/>
        <v>0</v>
      </c>
      <c r="U12" s="218">
        <f t="shared" si="2"/>
        <v>0</v>
      </c>
      <c r="V12" s="218">
        <f t="shared" si="3"/>
        <v>0</v>
      </c>
      <c r="W12" s="218">
        <f t="shared" si="4"/>
        <v>0</v>
      </c>
      <c r="X12" s="2080">
        <f t="shared" si="5"/>
        <v>0</v>
      </c>
      <c r="Y12" s="216">
        <f t="shared" si="11"/>
        <v>0.65170735229916987</v>
      </c>
      <c r="AA12" s="93" t="str">
        <f>IF('MASTER PubCo Inputs'!B30=0,"",'MASTER PubCo Inputs'!B30)</f>
        <v>NasdaqCM:ASMB</v>
      </c>
      <c r="AB12" s="406">
        <f>'Beta Calc'!Z12</f>
        <v>696.63467000000003</v>
      </c>
      <c r="AC12" s="94">
        <f t="shared" si="6"/>
        <v>0</v>
      </c>
      <c r="AI12" s="95"/>
    </row>
    <row r="13" spans="2:35" ht="12.75" customHeight="1">
      <c r="B13" s="405" t="str">
        <f>'Comp.1'!B15</f>
        <v>Voyager Therapeutics, Inc.</v>
      </c>
      <c r="D13" s="406">
        <f>'Beta Calc'!K13</f>
        <v>631.55226000000005</v>
      </c>
      <c r="E13" s="406">
        <f>'Beta Calc'!L13</f>
        <v>0</v>
      </c>
      <c r="F13" s="406">
        <f>'Beta Calc'!M13</f>
        <v>0</v>
      </c>
      <c r="G13" s="406">
        <f>'Beta Calc'!N13</f>
        <v>0</v>
      </c>
      <c r="H13" s="406">
        <f t="shared" si="7"/>
        <v>0</v>
      </c>
      <c r="I13" s="406">
        <f t="shared" si="8"/>
        <v>631.55226000000005</v>
      </c>
      <c r="J13" s="406">
        <f>'Beta Calc'!Q13</f>
        <v>218.19800000000001</v>
      </c>
      <c r="K13" s="406">
        <f t="shared" si="9"/>
        <v>413.35426000000007</v>
      </c>
      <c r="M13" s="56">
        <f>IFERROR('Capital IQ Sheet-GPC'!AT16,"n/a")</f>
        <v>0</v>
      </c>
      <c r="N13" s="406">
        <f t="shared" si="0"/>
        <v>3.5284794520547953</v>
      </c>
      <c r="O13" s="214">
        <f t="shared" si="0"/>
        <v>2.63013698630137E-2</v>
      </c>
      <c r="P13" s="215"/>
      <c r="Q13" s="216">
        <f>IFERROR(HLOOKUP($Q$6,'Equity Vol'!$B$8:$K13,ROWS('Equity Vol'!$C$8:$C13),FALSE),"n/a")</f>
        <v>0.74099767206184253</v>
      </c>
      <c r="R13" s="45"/>
      <c r="S13" s="217">
        <f t="shared" si="10"/>
        <v>0.54907755000106995</v>
      </c>
      <c r="T13" s="217">
        <f t="shared" si="1"/>
        <v>0</v>
      </c>
      <c r="U13" s="218">
        <f t="shared" si="2"/>
        <v>0</v>
      </c>
      <c r="V13" s="218">
        <f t="shared" si="3"/>
        <v>0</v>
      </c>
      <c r="W13" s="218">
        <f t="shared" si="4"/>
        <v>0</v>
      </c>
      <c r="X13" s="2080">
        <f t="shared" si="5"/>
        <v>0</v>
      </c>
      <c r="Y13" s="216">
        <f t="shared" si="11"/>
        <v>0.74099767206184253</v>
      </c>
      <c r="AA13" s="93" t="str">
        <f>IF('MASTER PubCo Inputs'!B31=0,"",'MASTER PubCo Inputs'!B31)</f>
        <v>NasdaqGS:VYGR</v>
      </c>
      <c r="AB13" s="406">
        <f>'Beta Calc'!Z13</f>
        <v>413.35426000000001</v>
      </c>
      <c r="AC13" s="94">
        <f t="shared" si="6"/>
        <v>0</v>
      </c>
      <c r="AI13" s="95"/>
    </row>
    <row r="14" spans="2:35" ht="12.75" customHeight="1">
      <c r="B14" s="405" t="str">
        <f>'Comp.1'!B16</f>
        <v>Zafgen, Inc.</v>
      </c>
      <c r="D14" s="406">
        <f>'Beta Calc'!K14</f>
        <v>363.76737000000003</v>
      </c>
      <c r="E14" s="406">
        <f>'Beta Calc'!L14</f>
        <v>20.16</v>
      </c>
      <c r="F14" s="406">
        <f>'Beta Calc'!M14</f>
        <v>0</v>
      </c>
      <c r="G14" s="406">
        <f>'Beta Calc'!N14</f>
        <v>0</v>
      </c>
      <c r="H14" s="406">
        <f t="shared" si="7"/>
        <v>20.16</v>
      </c>
      <c r="I14" s="406">
        <f t="shared" si="8"/>
        <v>383.92737000000005</v>
      </c>
      <c r="J14" s="406">
        <f>'Beta Calc'!Q14</f>
        <v>89.07</v>
      </c>
      <c r="K14" s="406">
        <f t="shared" si="9"/>
        <v>294.85737000000006</v>
      </c>
      <c r="M14" s="56">
        <f>IFERROR('Capital IQ Sheet-GPC'!AT17,"n/a")</f>
        <v>0</v>
      </c>
      <c r="N14" s="406">
        <f t="shared" si="0"/>
        <v>3.5284794520547953</v>
      </c>
      <c r="O14" s="214">
        <f t="shared" si="0"/>
        <v>2.63013698630137E-2</v>
      </c>
      <c r="P14" s="215"/>
      <c r="Q14" s="216">
        <f>IFERROR(HLOOKUP($Q$6,'Equity Vol'!$B$8:$K14,ROWS('Equity Vol'!$C$8:$C14),FALSE),"n/a")</f>
        <v>1.020360192619892</v>
      </c>
      <c r="R14" s="45"/>
      <c r="S14" s="217">
        <f t="shared" si="10"/>
        <v>1.0411349226833031</v>
      </c>
      <c r="T14" s="217">
        <f t="shared" si="1"/>
        <v>2.4064691275234753</v>
      </c>
      <c r="U14" s="218">
        <f t="shared" si="2"/>
        <v>0.4897993120610693</v>
      </c>
      <c r="V14" s="218">
        <f t="shared" si="3"/>
        <v>0.99194621730391863</v>
      </c>
      <c r="W14" s="218">
        <f t="shared" si="4"/>
        <v>0.68786204121631278</v>
      </c>
      <c r="X14" s="2080">
        <f t="shared" si="5"/>
        <v>279.84438148646643</v>
      </c>
      <c r="Y14" s="216">
        <f t="shared" si="11"/>
        <v>0.97627009413467525</v>
      </c>
      <c r="AA14" s="93" t="str">
        <f>IF('MASTER PubCo Inputs'!B32=0,"",'MASTER PubCo Inputs'!B32)</f>
        <v>NasdaqGS:ZFGN</v>
      </c>
      <c r="AB14" s="406">
        <f>'Beta Calc'!Z14</f>
        <v>294.85737</v>
      </c>
      <c r="AC14" s="94">
        <f t="shared" si="6"/>
        <v>0</v>
      </c>
      <c r="AI14" s="95"/>
    </row>
    <row r="15" spans="2:35" ht="12.75" customHeight="1">
      <c r="B15" s="405" t="str">
        <f>'Comp.1'!B17</f>
        <v>Seres Therapeutics, Inc.</v>
      </c>
      <c r="D15" s="406">
        <f>'Beta Calc'!K15</f>
        <v>349.61295000000001</v>
      </c>
      <c r="E15" s="406">
        <f>'Beta Calc'!L15</f>
        <v>0</v>
      </c>
      <c r="F15" s="406">
        <f>'Beta Calc'!M15</f>
        <v>0</v>
      </c>
      <c r="G15" s="406">
        <f>'Beta Calc'!N15</f>
        <v>0</v>
      </c>
      <c r="H15" s="406">
        <f t="shared" si="7"/>
        <v>0</v>
      </c>
      <c r="I15" s="406">
        <f t="shared" si="8"/>
        <v>349.61295000000001</v>
      </c>
      <c r="J15" s="406">
        <f>'Beta Calc'!Q15</f>
        <v>122.194</v>
      </c>
      <c r="K15" s="406">
        <f t="shared" si="9"/>
        <v>227.41895</v>
      </c>
      <c r="M15" s="56">
        <f>IFERROR('Capital IQ Sheet-GPC'!AT18,"n/a")</f>
        <v>0</v>
      </c>
      <c r="N15" s="406">
        <f t="shared" si="0"/>
        <v>3.5284794520547953</v>
      </c>
      <c r="O15" s="214">
        <f t="shared" si="0"/>
        <v>2.63013698630137E-2</v>
      </c>
      <c r="P15" s="215"/>
      <c r="Q15" s="216">
        <f>IFERROR(HLOOKUP($Q$6,'Equity Vol'!$B$8:$K15,ROWS('Equity Vol'!$C$8:$C15),FALSE),"n/a")</f>
        <v>0.95360103062997992</v>
      </c>
      <c r="R15" s="45"/>
      <c r="S15" s="217">
        <f t="shared" si="10"/>
        <v>0.90935492561855991</v>
      </c>
      <c r="T15" s="217">
        <f t="shared" si="1"/>
        <v>0</v>
      </c>
      <c r="U15" s="218">
        <f t="shared" si="2"/>
        <v>0</v>
      </c>
      <c r="V15" s="218">
        <f t="shared" si="3"/>
        <v>0</v>
      </c>
      <c r="W15" s="218">
        <f t="shared" si="4"/>
        <v>0</v>
      </c>
      <c r="X15" s="2080">
        <f t="shared" si="5"/>
        <v>0</v>
      </c>
      <c r="Y15" s="216">
        <f t="shared" si="11"/>
        <v>0.95360103062997992</v>
      </c>
      <c r="AA15" s="93" t="str">
        <f>IF('MASTER PubCo Inputs'!B33=0,"",'MASTER PubCo Inputs'!B33)</f>
        <v>NasdaqGS:MCRB</v>
      </c>
      <c r="AB15" s="406">
        <f>'Beta Calc'!Z15</f>
        <v>227.41893999999999</v>
      </c>
      <c r="AC15" s="94">
        <f t="shared" si="6"/>
        <v>1.0000000003174137E-5</v>
      </c>
      <c r="AI15" s="95"/>
    </row>
    <row r="16" spans="2:35" ht="12.75" customHeight="1">
      <c r="B16" s="405" t="str">
        <f>'Comp.1'!B18</f>
        <v>CohBar, Inc.</v>
      </c>
      <c r="D16" s="406">
        <f>'Beta Calc'!K16</f>
        <v>211.81835000000001</v>
      </c>
      <c r="E16" s="406">
        <f>'Beta Calc'!L16</f>
        <v>1.40126</v>
      </c>
      <c r="F16" s="406">
        <f>'Beta Calc'!M16</f>
        <v>0</v>
      </c>
      <c r="G16" s="406">
        <f>'Beta Calc'!N16</f>
        <v>0</v>
      </c>
      <c r="H16" s="406">
        <f t="shared" si="7"/>
        <v>1.40126</v>
      </c>
      <c r="I16" s="406">
        <f t="shared" si="8"/>
        <v>213.21961000000002</v>
      </c>
      <c r="J16" s="406">
        <f>'Beta Calc'!Q16</f>
        <v>8.4566599999999994</v>
      </c>
      <c r="K16" s="406">
        <f t="shared" si="9"/>
        <v>204.76295000000002</v>
      </c>
      <c r="M16" s="56">
        <f>IFERROR('Capital IQ Sheet-GPC'!AT19,"n/a")</f>
        <v>0</v>
      </c>
      <c r="N16" s="406">
        <f t="shared" si="0"/>
        <v>3.5284794520547953</v>
      </c>
      <c r="O16" s="214">
        <f t="shared" si="0"/>
        <v>2.63013698630137E-2</v>
      </c>
      <c r="P16" s="215"/>
      <c r="Q16" s="216">
        <f>IFERROR(HLOOKUP($Q$6,'Equity Vol'!$B$8:$K16,ROWS('Equity Vol'!$C$8:$C16),FALSE),"n/a")</f>
        <v>0.89467871227668438</v>
      </c>
      <c r="R16" s="45"/>
      <c r="S16" s="217">
        <f t="shared" si="10"/>
        <v>0.80044999820106622</v>
      </c>
      <c r="T16" s="217">
        <f t="shared" si="1"/>
        <v>3.8614318398387701</v>
      </c>
      <c r="U16" s="218">
        <f t="shared" si="2"/>
        <v>2.1808452246803132</v>
      </c>
      <c r="V16" s="218">
        <f t="shared" si="3"/>
        <v>0.99994363776938189</v>
      </c>
      <c r="W16" s="218">
        <f t="shared" si="4"/>
        <v>0.98540256686353744</v>
      </c>
      <c r="X16" s="2080">
        <f t="shared" si="5"/>
        <v>203.49298155419709</v>
      </c>
      <c r="Y16" s="216">
        <f t="shared" si="11"/>
        <v>0.88917990597231866</v>
      </c>
      <c r="AA16" s="93" t="str">
        <f>IF('MASTER PubCo Inputs'!B34=0,"",'MASTER PubCo Inputs'!B34)</f>
        <v>TSXV:COB.U</v>
      </c>
      <c r="AB16" s="406">
        <f>'Beta Calc'!Z16</f>
        <v>204.76295999999999</v>
      </c>
      <c r="AC16" s="94">
        <f t="shared" si="6"/>
        <v>-9.9999999747524271E-6</v>
      </c>
      <c r="AI16" s="95"/>
    </row>
    <row r="17" spans="2:35" ht="12.75" customHeight="1">
      <c r="B17" s="405" t="str">
        <f>'Comp.1'!B19</f>
        <v>VIVUS, Inc.</v>
      </c>
      <c r="D17" s="406">
        <f>'Beta Calc'!K17</f>
        <v>74.768140000000002</v>
      </c>
      <c r="E17" s="406">
        <f>'Beta Calc'!L17</f>
        <v>236.50700000000001</v>
      </c>
      <c r="F17" s="406">
        <f>'Beta Calc'!M17</f>
        <v>0</v>
      </c>
      <c r="G17" s="406">
        <f>'Beta Calc'!N17</f>
        <v>0</v>
      </c>
      <c r="H17" s="406">
        <f t="shared" si="7"/>
        <v>236.50700000000001</v>
      </c>
      <c r="I17" s="406">
        <f t="shared" si="8"/>
        <v>311.27514000000002</v>
      </c>
      <c r="J17" s="406">
        <f>'Beta Calc'!Q17</f>
        <v>209.125</v>
      </c>
      <c r="K17" s="406">
        <f t="shared" si="9"/>
        <v>102.15014000000002</v>
      </c>
      <c r="M17" s="56">
        <f>IFERROR('Capital IQ Sheet-GPC'!AT20,"n/a")</f>
        <v>0</v>
      </c>
      <c r="N17" s="406">
        <f t="shared" si="0"/>
        <v>3.5284794520547953</v>
      </c>
      <c r="O17" s="214">
        <f t="shared" si="0"/>
        <v>2.63013698630137E-2</v>
      </c>
      <c r="P17" s="215"/>
      <c r="Q17" s="216">
        <f>IFERROR(HLOOKUP($Q$6,'Equity Vol'!$B$8:$K17,ROWS('Equity Vol'!$C$8:$C17),FALSE),"n/a")</f>
        <v>0.65477238914194269</v>
      </c>
      <c r="R17" s="45"/>
      <c r="S17" s="217">
        <f t="shared" si="10"/>
        <v>0.42872688158264766</v>
      </c>
      <c r="T17" s="217">
        <f t="shared" si="1"/>
        <v>7.8432445118081905E-3</v>
      </c>
      <c r="U17" s="218">
        <f t="shared" si="2"/>
        <v>-1.2220974012950949</v>
      </c>
      <c r="V17" s="218">
        <f t="shared" si="3"/>
        <v>0.50312896977071719</v>
      </c>
      <c r="W17" s="218">
        <f t="shared" si="4"/>
        <v>0.11083539786881318</v>
      </c>
      <c r="X17" s="2080">
        <f t="shared" si="5"/>
        <v>27.504577137099336</v>
      </c>
      <c r="Y17" s="216">
        <f t="shared" si="11"/>
        <v>0.35041044196241217</v>
      </c>
      <c r="AA17" s="93" t="str">
        <f>IF('MASTER PubCo Inputs'!B35=0,"",'MASTER PubCo Inputs'!B35)</f>
        <v>NasdaqGS:VVUS</v>
      </c>
      <c r="AB17" s="406">
        <f>'Beta Calc'!Z17</f>
        <v>102.15013999999999</v>
      </c>
      <c r="AC17" s="94">
        <f t="shared" si="6"/>
        <v>0</v>
      </c>
      <c r="AI17" s="95"/>
    </row>
    <row r="18" spans="2:35" ht="12.75" customHeight="1">
      <c r="B18" s="405" t="str">
        <f>'Comp.1'!B20</f>
        <v>Anavex Life Sciences Corp.</v>
      </c>
      <c r="D18" s="406">
        <f>'Beta Calc'!K18</f>
        <v>117.00936</v>
      </c>
      <c r="E18" s="406">
        <f>'Beta Calc'!L18</f>
        <v>0</v>
      </c>
      <c r="F18" s="406">
        <f>'Beta Calc'!M18</f>
        <v>0</v>
      </c>
      <c r="G18" s="406">
        <f>'Beta Calc'!N18</f>
        <v>0</v>
      </c>
      <c r="H18" s="406">
        <f t="shared" si="7"/>
        <v>0</v>
      </c>
      <c r="I18" s="406">
        <f t="shared" si="8"/>
        <v>117.00936</v>
      </c>
      <c r="J18" s="406">
        <f>'Beta Calc'!Q18</f>
        <v>25.656580000000002</v>
      </c>
      <c r="K18" s="406">
        <f t="shared" si="9"/>
        <v>91.352779999999996</v>
      </c>
      <c r="M18" s="56">
        <f>IFERROR('Capital IQ Sheet-GPC'!AT21,"n/a")</f>
        <v>0</v>
      </c>
      <c r="N18" s="406">
        <f t="shared" si="0"/>
        <v>3.5284794520547953</v>
      </c>
      <c r="O18" s="214">
        <f t="shared" si="0"/>
        <v>2.63013698630137E-2</v>
      </c>
      <c r="P18" s="215"/>
      <c r="Q18" s="216">
        <f>IFERROR(HLOOKUP($Q$6,'Equity Vol'!$B$8:$K18,ROWS('Equity Vol'!$C$8:$C18),FALSE),"n/a")</f>
        <v>1.026754180763048</v>
      </c>
      <c r="R18" s="45"/>
      <c r="S18" s="217">
        <f t="shared" si="10"/>
        <v>1.0542241477143979</v>
      </c>
      <c r="T18" s="217">
        <f t="shared" si="1"/>
        <v>0</v>
      </c>
      <c r="U18" s="218">
        <f t="shared" si="2"/>
        <v>0</v>
      </c>
      <c r="V18" s="218">
        <f t="shared" si="3"/>
        <v>0</v>
      </c>
      <c r="W18" s="218">
        <f t="shared" si="4"/>
        <v>0</v>
      </c>
      <c r="X18" s="2080">
        <f t="shared" si="5"/>
        <v>0</v>
      </c>
      <c r="Y18" s="216">
        <f t="shared" si="11"/>
        <v>1.026754180763048</v>
      </c>
      <c r="AA18" s="93" t="str">
        <f>IF('MASTER PubCo Inputs'!B36=0,"",'MASTER PubCo Inputs'!B36)</f>
        <v>NasdaqCM:AVXL</v>
      </c>
      <c r="AB18" s="406">
        <f>'Beta Calc'!Z18</f>
        <v>91.352779999999996</v>
      </c>
      <c r="AC18" s="94">
        <f t="shared" si="6"/>
        <v>0</v>
      </c>
      <c r="AI18" s="95"/>
    </row>
    <row r="19" spans="2:35" ht="12.75" customHeight="1">
      <c r="B19" s="405" t="str">
        <f>'Comp.1'!B21</f>
        <v>OptiBiotix Health plc</v>
      </c>
      <c r="D19" s="406">
        <f>'Beta Calc'!K19</f>
        <v>72.915899999999993</v>
      </c>
      <c r="E19" s="406">
        <f>'Beta Calc'!L19</f>
        <v>0</v>
      </c>
      <c r="F19" s="406">
        <f>'Beta Calc'!M19</f>
        <v>0</v>
      </c>
      <c r="G19" s="406">
        <f>'Beta Calc'!N19</f>
        <v>0</v>
      </c>
      <c r="H19" s="406">
        <f t="shared" si="7"/>
        <v>0</v>
      </c>
      <c r="I19" s="406">
        <f t="shared" si="8"/>
        <v>72.915899999999993</v>
      </c>
      <c r="J19" s="406">
        <f>'Beta Calc'!Q19</f>
        <v>1.6849400000000001</v>
      </c>
      <c r="K19" s="406">
        <f t="shared" si="9"/>
        <v>71.230959999999996</v>
      </c>
      <c r="M19" s="56">
        <f>IFERROR('Capital IQ Sheet-GPC'!AT22,"n/a")</f>
        <v>0</v>
      </c>
      <c r="N19" s="406">
        <f t="shared" si="0"/>
        <v>3.5284794520547953</v>
      </c>
      <c r="O19" s="214">
        <f t="shared" si="0"/>
        <v>2.63013698630137E-2</v>
      </c>
      <c r="P19" s="215"/>
      <c r="Q19" s="216">
        <f>IFERROR(HLOOKUP($Q$6,'Equity Vol'!$B$8:$K19,ROWS('Equity Vol'!$C$8:$C19),FALSE),"n/a")</f>
        <v>0.57731598641262194</v>
      </c>
      <c r="R19" s="45"/>
      <c r="S19" s="217">
        <f t="shared" si="10"/>
        <v>0.33329374816757867</v>
      </c>
      <c r="T19" s="217">
        <f t="shared" si="1"/>
        <v>0</v>
      </c>
      <c r="U19" s="218">
        <f t="shared" si="2"/>
        <v>0</v>
      </c>
      <c r="V19" s="218">
        <f t="shared" si="3"/>
        <v>0</v>
      </c>
      <c r="W19" s="218">
        <f t="shared" si="4"/>
        <v>0</v>
      </c>
      <c r="X19" s="2080">
        <f t="shared" si="5"/>
        <v>0</v>
      </c>
      <c r="Y19" s="216">
        <f t="shared" si="11"/>
        <v>0.57731598641262194</v>
      </c>
      <c r="AA19" s="93" t="str">
        <f>IF('MASTER PubCo Inputs'!B37=0,"",'MASTER PubCo Inputs'!B37)</f>
        <v>AIM:OPTI</v>
      </c>
      <c r="AB19" s="406">
        <f>'Beta Calc'!Z19</f>
        <v>71.269909999999996</v>
      </c>
      <c r="AC19" s="94">
        <f t="shared" si="6"/>
        <v>-3.8949999999999818E-2</v>
      </c>
      <c r="AI19" s="95"/>
    </row>
    <row r="20" spans="2:35" ht="12.75" customHeight="1">
      <c r="B20" s="405" t="str">
        <f>'Comp.1'!B22</f>
        <v>Soleno Therapeutics, Inc.</v>
      </c>
      <c r="D20" s="406">
        <f>'Beta Calc'!K20</f>
        <v>46.258000000000003</v>
      </c>
      <c r="E20" s="406">
        <f>'Beta Calc'!L20</f>
        <v>0</v>
      </c>
      <c r="F20" s="406">
        <f>'Beta Calc'!M20</f>
        <v>0</v>
      </c>
      <c r="G20" s="406">
        <f>'Beta Calc'!N20</f>
        <v>0</v>
      </c>
      <c r="H20" s="406">
        <f t="shared" si="7"/>
        <v>0</v>
      </c>
      <c r="I20" s="406">
        <f t="shared" si="8"/>
        <v>46.258000000000003</v>
      </c>
      <c r="J20" s="406">
        <f>'Beta Calc'!Q20</f>
        <v>14.866</v>
      </c>
      <c r="K20" s="406">
        <f t="shared" si="9"/>
        <v>31.392000000000003</v>
      </c>
      <c r="M20" s="56">
        <f>IFERROR('Capital IQ Sheet-GPC'!AT23,"n/a")</f>
        <v>0</v>
      </c>
      <c r="N20" s="406">
        <f t="shared" si="0"/>
        <v>3.5284794520547953</v>
      </c>
      <c r="O20" s="214">
        <f t="shared" si="0"/>
        <v>2.63013698630137E-2</v>
      </c>
      <c r="P20" s="215"/>
      <c r="Q20" s="216">
        <f>IFERROR(HLOOKUP($Q$6,'Equity Vol'!$B$8:$K20,ROWS('Equity Vol'!$C$8:$C20),FALSE),"n/a")</f>
        <v>1.1508768139771337</v>
      </c>
      <c r="R20" s="45"/>
      <c r="S20" s="217">
        <f t="shared" si="10"/>
        <v>1.3245174409501581</v>
      </c>
      <c r="T20" s="217">
        <f t="shared" si="1"/>
        <v>0</v>
      </c>
      <c r="U20" s="218">
        <f t="shared" si="2"/>
        <v>0</v>
      </c>
      <c r="V20" s="218">
        <f t="shared" si="3"/>
        <v>0</v>
      </c>
      <c r="W20" s="218">
        <f t="shared" si="4"/>
        <v>0</v>
      </c>
      <c r="X20" s="2080">
        <f t="shared" si="5"/>
        <v>0</v>
      </c>
      <c r="Y20" s="216">
        <f t="shared" si="11"/>
        <v>1.1508768139771337</v>
      </c>
      <c r="AA20" s="93" t="str">
        <f>IF('MASTER PubCo Inputs'!B38=0,"",'MASTER PubCo Inputs'!B38)</f>
        <v>NasdaqCM:SLNO</v>
      </c>
      <c r="AB20" s="406">
        <f>'Beta Calc'!Z20</f>
        <v>31.391999999999999</v>
      </c>
      <c r="AC20" s="94">
        <f t="shared" si="6"/>
        <v>0</v>
      </c>
      <c r="AI20" s="95"/>
    </row>
    <row r="21" spans="2:35" ht="12.75" customHeight="1">
      <c r="B21" s="405" t="str">
        <f>'Comp.1'!B23</f>
        <v>Synthetic Biologics, Inc.</v>
      </c>
      <c r="D21" s="406">
        <f>'Beta Calc'!K21</f>
        <v>30.72748</v>
      </c>
      <c r="E21" s="406">
        <f>'Beta Calc'!L21</f>
        <v>0</v>
      </c>
      <c r="F21" s="406">
        <f>'Beta Calc'!M21</f>
        <v>12.112</v>
      </c>
      <c r="G21" s="406">
        <f>'Beta Calc'!N21</f>
        <v>-1.923</v>
      </c>
      <c r="H21" s="406">
        <f t="shared" si="7"/>
        <v>10.189</v>
      </c>
      <c r="I21" s="406">
        <f t="shared" si="8"/>
        <v>40.91648</v>
      </c>
      <c r="J21" s="406">
        <f>'Beta Calc'!Q21</f>
        <v>11.037000000000001</v>
      </c>
      <c r="K21" s="406">
        <f t="shared" si="9"/>
        <v>29.879480000000001</v>
      </c>
      <c r="M21" s="56">
        <f>IFERROR('Capital IQ Sheet-GPC'!AT24,"n/a")</f>
        <v>0</v>
      </c>
      <c r="N21" s="406">
        <f t="shared" si="0"/>
        <v>3.5284794520547953</v>
      </c>
      <c r="O21" s="214">
        <f t="shared" si="0"/>
        <v>2.63013698630137E-2</v>
      </c>
      <c r="P21" s="215"/>
      <c r="Q21" s="216">
        <f>IFERROR(HLOOKUP($Q$6,'Equity Vol'!$B$8:$K21,ROWS('Equity Vol'!$C$8:$C21),FALSE),"n/a")</f>
        <v>0.84691152261417069</v>
      </c>
      <c r="R21" s="45"/>
      <c r="S21" s="217">
        <f t="shared" si="10"/>
        <v>0.71725912713665296</v>
      </c>
      <c r="T21" s="217">
        <f t="shared" si="1"/>
        <v>1.5300433950358163</v>
      </c>
      <c r="U21" s="218">
        <f t="shared" si="2"/>
        <v>-6.0816149958787591E-2</v>
      </c>
      <c r="V21" s="218">
        <f t="shared" si="3"/>
        <v>0.93699700604841596</v>
      </c>
      <c r="W21" s="218">
        <f t="shared" si="4"/>
        <v>0.4757528141608271</v>
      </c>
      <c r="X21" s="2080">
        <f t="shared" si="5"/>
        <v>23.579156037150486</v>
      </c>
      <c r="Y21" s="216">
        <f t="shared" si="11"/>
        <v>0.7132718095292595</v>
      </c>
      <c r="AA21" s="93" t="str">
        <f>IF('MASTER PubCo Inputs'!B39=0,"",'MASTER PubCo Inputs'!B39)</f>
        <v>AMEX:SYN</v>
      </c>
      <c r="AB21" s="406">
        <f>'Beta Calc'!Z21</f>
        <v>29.879480000000001</v>
      </c>
      <c r="AC21" s="94">
        <f t="shared" si="6"/>
        <v>0</v>
      </c>
      <c r="AI21" s="95"/>
    </row>
    <row r="22" spans="2:35" ht="12.75" customHeight="1">
      <c r="B22" s="405" t="str">
        <f>'Comp.1'!B24</f>
        <v>Nexus BioPharma, Inc.</v>
      </c>
      <c r="D22" s="406">
        <f>'Beta Calc'!K22</f>
        <v>3.8515700000000002</v>
      </c>
      <c r="E22" s="406">
        <f>'Beta Calc'!L22</f>
        <v>0.36752000000000001</v>
      </c>
      <c r="F22" s="406">
        <f>'Beta Calc'!M22</f>
        <v>0</v>
      </c>
      <c r="G22" s="406">
        <f>'Beta Calc'!N22</f>
        <v>0</v>
      </c>
      <c r="H22" s="406">
        <f t="shared" si="7"/>
        <v>0.36752000000000001</v>
      </c>
      <c r="I22" s="406">
        <f t="shared" si="8"/>
        <v>4.2190900000000005</v>
      </c>
      <c r="J22" s="406">
        <f>'Beta Calc'!Q22</f>
        <v>8.43E-3</v>
      </c>
      <c r="K22" s="406">
        <f t="shared" si="9"/>
        <v>4.2106600000000007</v>
      </c>
      <c r="M22" s="56">
        <f>IFERROR('Capital IQ Sheet-GPC'!AT25,"n/a")</f>
        <v>0</v>
      </c>
      <c r="N22" s="406">
        <f t="shared" si="0"/>
        <v>3.5284794520547953</v>
      </c>
      <c r="O22" s="214">
        <f t="shared" si="0"/>
        <v>2.63013698630137E-2</v>
      </c>
      <c r="P22" s="215"/>
      <c r="Q22" s="216" t="str">
        <f>IFERROR(HLOOKUP($Q$6,'Equity Vol'!$B$8:$K22,ROWS('Equity Vol'!$C$8:$C22),FALSE),"n/a")</f>
        <v>NM</v>
      </c>
      <c r="R22" s="45"/>
      <c r="S22" s="217" t="str">
        <f t="shared" si="10"/>
        <v>n/a</v>
      </c>
      <c r="T22" s="217" t="str">
        <f t="shared" si="1"/>
        <v>n/a</v>
      </c>
      <c r="U22" s="218" t="str">
        <f t="shared" si="2"/>
        <v>n/a</v>
      </c>
      <c r="V22" s="218" t="str">
        <f t="shared" si="3"/>
        <v>n/a</v>
      </c>
      <c r="W22" s="218" t="str">
        <f t="shared" si="4"/>
        <v>n/a</v>
      </c>
      <c r="X22" s="2080" t="str">
        <f t="shared" si="5"/>
        <v>n/a</v>
      </c>
      <c r="Y22" s="216" t="str">
        <f t="shared" si="11"/>
        <v>n/a</v>
      </c>
      <c r="AA22" s="93" t="str">
        <f>IF('MASTER PubCo Inputs'!B40=0,"",'MASTER PubCo Inputs'!B40)</f>
        <v>OTCPK:NEXS</v>
      </c>
      <c r="AB22" s="406">
        <f>'Beta Calc'!Z22</f>
        <v>4.2106599999999998</v>
      </c>
      <c r="AC22" s="94">
        <f t="shared" si="6"/>
        <v>0</v>
      </c>
      <c r="AI22" s="95"/>
    </row>
    <row r="23" spans="2:35" ht="12.75" customHeight="1">
      <c r="B23" s="405" t="str">
        <f>'Comp.1'!B25</f>
        <v>Ritter Pharmaceuticals, Inc.</v>
      </c>
      <c r="D23" s="406">
        <f>'Beta Calc'!K23</f>
        <v>12.90047</v>
      </c>
      <c r="E23" s="406">
        <f>'Beta Calc'!L23</f>
        <v>0</v>
      </c>
      <c r="F23" s="406">
        <f>'Beta Calc'!M23</f>
        <v>4.9489799999999997</v>
      </c>
      <c r="G23" s="406">
        <f>'Beta Calc'!N23</f>
        <v>0</v>
      </c>
      <c r="H23" s="406">
        <f t="shared" si="7"/>
        <v>4.9489799999999997</v>
      </c>
      <c r="I23" s="406">
        <f t="shared" si="8"/>
        <v>17.849450000000001</v>
      </c>
      <c r="J23" s="406">
        <f>'Beta Calc'!Q23</f>
        <v>18.91704</v>
      </c>
      <c r="K23" s="406">
        <f t="shared" si="9"/>
        <v>-1.0675899999999992</v>
      </c>
      <c r="M23" s="56">
        <f>IFERROR('Capital IQ Sheet-GPC'!AT26,"n/a")</f>
        <v>0</v>
      </c>
      <c r="N23" s="406">
        <f t="shared" si="0"/>
        <v>3.5284794520547953</v>
      </c>
      <c r="O23" s="214">
        <f t="shared" si="0"/>
        <v>2.63013698630137E-2</v>
      </c>
      <c r="P23" s="215"/>
      <c r="Q23" s="216">
        <f>IFERROR(HLOOKUP($Q$6,'Equity Vol'!$B$8:$K23,ROWS('Equity Vol'!$C$8:$C23),FALSE),"n/a")</f>
        <v>0.88587043357810058</v>
      </c>
      <c r="R23" s="45"/>
      <c r="S23" s="217">
        <f t="shared" si="10"/>
        <v>0.78476642508785188</v>
      </c>
      <c r="T23" s="217" t="e">
        <f t="shared" si="1"/>
        <v>#NUM!</v>
      </c>
      <c r="U23" s="218" t="e">
        <f t="shared" si="2"/>
        <v>#NUM!</v>
      </c>
      <c r="V23" s="218" t="e">
        <f t="shared" si="3"/>
        <v>#NUM!</v>
      </c>
      <c r="W23" s="218" t="e">
        <f t="shared" si="4"/>
        <v>#NUM!</v>
      </c>
      <c r="X23" s="2080" t="e">
        <f t="shared" si="5"/>
        <v>#NUM!</v>
      </c>
      <c r="Y23" s="216" t="str">
        <f t="shared" si="11"/>
        <v>n/a</v>
      </c>
      <c r="AA23" s="93" t="str">
        <f>IF('MASTER PubCo Inputs'!B41=0,"",'MASTER PubCo Inputs'!B41)</f>
        <v>NasdaqCM:RTTR</v>
      </c>
      <c r="AB23" s="406">
        <f>'Beta Calc'!Z23</f>
        <v>-1.06759</v>
      </c>
      <c r="AC23" s="94">
        <f t="shared" si="6"/>
        <v>0</v>
      </c>
      <c r="AI23" s="95"/>
    </row>
    <row r="24" spans="2:35" ht="12.75" customHeight="1">
      <c r="B24" s="405">
        <f>'Comp.1'!B26</f>
        <v>0</v>
      </c>
      <c r="D24" s="406" t="str">
        <f>'Beta Calc'!K24</f>
        <v>(Invalid Identifier)</v>
      </c>
      <c r="E24" s="406" t="str">
        <f>'Beta Calc'!L24</f>
        <v>(Invalid Identifier)</v>
      </c>
      <c r="F24" s="406" t="str">
        <f>'Beta Calc'!M24</f>
        <v>(Invalid Identifier)</v>
      </c>
      <c r="G24" s="406" t="str">
        <f>'Beta Calc'!N24</f>
        <v>(Invalid Identifier)</v>
      </c>
      <c r="H24" s="406">
        <f t="shared" si="7"/>
        <v>0</v>
      </c>
      <c r="I24" s="406">
        <f t="shared" si="8"/>
        <v>0</v>
      </c>
      <c r="J24" s="406" t="str">
        <f>'Beta Calc'!Q24</f>
        <v>(Invalid Identifier)</v>
      </c>
      <c r="K24" s="406" t="e">
        <f t="shared" si="9"/>
        <v>#VALUE!</v>
      </c>
      <c r="M24" s="56" t="str">
        <f>IFERROR('Capital IQ Sheet-GPC'!AT27,"n/a")</f>
        <v>n/a</v>
      </c>
      <c r="N24" s="406">
        <f t="shared" si="0"/>
        <v>3.5284794520547953</v>
      </c>
      <c r="O24" s="214">
        <f t="shared" si="0"/>
        <v>2.63013698630137E-2</v>
      </c>
      <c r="P24" s="215"/>
      <c r="Q24" s="216">
        <f>IFERROR(HLOOKUP($Q$6,'Equity Vol'!$B$8:$K23,ROWS('Equity Vol'!$C$8:$C23),FALSE),"n/a")</f>
        <v>0.88587043357810058</v>
      </c>
      <c r="R24" s="45"/>
      <c r="S24" s="217">
        <f t="shared" si="10"/>
        <v>0.78476642508785188</v>
      </c>
      <c r="T24" s="217" t="e">
        <f t="shared" si="1"/>
        <v>#VALUE!</v>
      </c>
      <c r="U24" s="218" t="e">
        <f t="shared" si="2"/>
        <v>#VALUE!</v>
      </c>
      <c r="V24" s="218" t="e">
        <f t="shared" si="3"/>
        <v>#VALUE!</v>
      </c>
      <c r="W24" s="218" t="e">
        <f t="shared" si="4"/>
        <v>#VALUE!</v>
      </c>
      <c r="X24" s="2080" t="str">
        <f>IFERROR(IF(OR(K24="n/a",S24="n/a"),"n/a",IF(M24=0,(K24*V24)-((H24*EXP(1)^(-O24*N24))*W24),(K24*(2.718^(-M24*N24))*V24)-(H24*(2.718^(-O24*N24))*W24))),"n/a")</f>
        <v>n/a</v>
      </c>
      <c r="Y24" s="216">
        <f t="shared" si="11"/>
        <v>0.88587043357810058</v>
      </c>
      <c r="AA24" s="93" t="str">
        <f>IF('MASTER PubCo Inputs'!B42=0,"",'MASTER PubCo Inputs'!B42)</f>
        <v>(Invalid Identifier)</v>
      </c>
      <c r="AB24" s="406" t="str">
        <f>'Beta Calc'!Z24</f>
        <v>(Invalid Identifier)</v>
      </c>
      <c r="AC24" s="94" t="e">
        <f t="shared" si="6"/>
        <v>#VALUE!</v>
      </c>
      <c r="AI24" s="95"/>
    </row>
    <row r="25" spans="2:35" ht="12.75" hidden="1" customHeight="1" outlineLevel="1">
      <c r="D25" s="406"/>
      <c r="E25" s="406"/>
      <c r="F25" s="406"/>
      <c r="G25" s="406"/>
      <c r="H25" s="406"/>
      <c r="I25" s="406"/>
      <c r="J25" s="406"/>
      <c r="K25" s="406"/>
      <c r="M25" s="56"/>
      <c r="N25" s="406"/>
      <c r="O25" s="214"/>
      <c r="P25" s="215"/>
      <c r="Q25" s="216"/>
      <c r="R25" s="45"/>
      <c r="S25" s="217"/>
      <c r="T25" s="217"/>
      <c r="U25" s="218"/>
      <c r="V25" s="218"/>
      <c r="W25" s="218"/>
      <c r="X25" s="406"/>
      <c r="Y25" s="216"/>
      <c r="AA25" s="93"/>
      <c r="AB25" s="406"/>
      <c r="AC25" s="94"/>
      <c r="AI25" s="95"/>
    </row>
    <row r="26" spans="2:35" ht="12.75" hidden="1" customHeight="1" outlineLevel="1">
      <c r="D26" s="406"/>
      <c r="E26" s="406"/>
      <c r="F26" s="406"/>
      <c r="G26" s="406"/>
      <c r="H26" s="406"/>
      <c r="I26" s="406"/>
      <c r="J26" s="406"/>
      <c r="K26" s="406"/>
      <c r="M26" s="56"/>
      <c r="N26" s="406"/>
      <c r="O26" s="214"/>
      <c r="P26" s="215"/>
      <c r="Q26" s="216"/>
      <c r="R26" s="45"/>
      <c r="S26" s="217"/>
      <c r="T26" s="217"/>
      <c r="U26" s="218"/>
      <c r="V26" s="218"/>
      <c r="W26" s="218"/>
      <c r="X26" s="406"/>
      <c r="Y26" s="216"/>
      <c r="AA26" s="93"/>
      <c r="AB26" s="406"/>
      <c r="AC26" s="94"/>
      <c r="AI26" s="95"/>
    </row>
    <row r="27" spans="2:35" ht="12.75" hidden="1" customHeight="1" outlineLevel="1">
      <c r="D27" s="406"/>
      <c r="E27" s="406"/>
      <c r="F27" s="406"/>
      <c r="G27" s="406"/>
      <c r="H27" s="406"/>
      <c r="I27" s="406"/>
      <c r="J27" s="406"/>
      <c r="K27" s="406"/>
      <c r="M27" s="56"/>
      <c r="N27" s="406"/>
      <c r="O27" s="214"/>
      <c r="P27" s="215"/>
      <c r="Q27" s="216"/>
      <c r="R27" s="45"/>
      <c r="S27" s="217"/>
      <c r="T27" s="217"/>
      <c r="U27" s="218"/>
      <c r="V27" s="218"/>
      <c r="W27" s="218"/>
      <c r="X27" s="406"/>
      <c r="Y27" s="216"/>
      <c r="AA27" s="93"/>
      <c r="AB27" s="406"/>
      <c r="AC27" s="94"/>
      <c r="AI27" s="95"/>
    </row>
    <row r="28" spans="2:35" ht="12.75" hidden="1" customHeight="1" outlineLevel="1">
      <c r="D28" s="406"/>
      <c r="E28" s="406"/>
      <c r="F28" s="406"/>
      <c r="G28" s="406"/>
      <c r="H28" s="406"/>
      <c r="I28" s="406"/>
      <c r="J28" s="406"/>
      <c r="K28" s="406"/>
      <c r="M28" s="56"/>
      <c r="N28" s="406"/>
      <c r="O28" s="214"/>
      <c r="P28" s="215"/>
      <c r="Q28" s="216"/>
      <c r="R28" s="45"/>
      <c r="S28" s="217"/>
      <c r="T28" s="217"/>
      <c r="U28" s="218"/>
      <c r="V28" s="218"/>
      <c r="W28" s="218"/>
      <c r="X28" s="406"/>
      <c r="Y28" s="216"/>
      <c r="AA28" s="93"/>
      <c r="AB28" s="406"/>
      <c r="AC28" s="94"/>
      <c r="AI28" s="95"/>
    </row>
    <row r="29" spans="2:35" ht="12.75" hidden="1" customHeight="1" outlineLevel="1">
      <c r="D29" s="406"/>
      <c r="E29" s="406"/>
      <c r="F29" s="406"/>
      <c r="G29" s="406"/>
      <c r="H29" s="406"/>
      <c r="I29" s="406"/>
      <c r="J29" s="406"/>
      <c r="K29" s="406"/>
      <c r="M29" s="56"/>
      <c r="N29" s="406"/>
      <c r="O29" s="214"/>
      <c r="P29" s="215"/>
      <c r="Q29" s="216"/>
      <c r="R29" s="45"/>
      <c r="S29" s="217"/>
      <c r="T29" s="217"/>
      <c r="U29" s="218"/>
      <c r="V29" s="218"/>
      <c r="W29" s="218"/>
      <c r="X29" s="406"/>
      <c r="Y29" s="216"/>
      <c r="AA29" s="93"/>
      <c r="AB29" s="406"/>
      <c r="AC29" s="94"/>
      <c r="AI29" s="95"/>
    </row>
    <row r="30" spans="2:35" ht="12.75" hidden="1" customHeight="1" outlineLevel="1">
      <c r="D30" s="406"/>
      <c r="E30" s="406"/>
      <c r="F30" s="406"/>
      <c r="G30" s="406"/>
      <c r="H30" s="406"/>
      <c r="I30" s="406"/>
      <c r="J30" s="406"/>
      <c r="K30" s="406"/>
      <c r="M30" s="56"/>
      <c r="N30" s="406"/>
      <c r="O30" s="214"/>
      <c r="P30" s="215"/>
      <c r="Q30" s="216"/>
      <c r="R30" s="45"/>
      <c r="S30" s="217"/>
      <c r="T30" s="217"/>
      <c r="U30" s="218"/>
      <c r="V30" s="218"/>
      <c r="W30" s="218"/>
      <c r="X30" s="406"/>
      <c r="Y30" s="216"/>
      <c r="AA30" s="93"/>
      <c r="AB30" s="406"/>
      <c r="AC30" s="94"/>
      <c r="AI30" s="95"/>
    </row>
    <row r="31" spans="2:35" ht="12.75" hidden="1" customHeight="1" outlineLevel="1">
      <c r="D31" s="406"/>
      <c r="E31" s="406"/>
      <c r="F31" s="406"/>
      <c r="G31" s="406"/>
      <c r="H31" s="406"/>
      <c r="I31" s="406"/>
      <c r="J31" s="406"/>
      <c r="K31" s="406"/>
      <c r="M31" s="56"/>
      <c r="N31" s="406"/>
      <c r="O31" s="214"/>
      <c r="P31" s="215"/>
      <c r="Q31" s="216"/>
      <c r="R31" s="45"/>
      <c r="S31" s="217"/>
      <c r="T31" s="217"/>
      <c r="U31" s="218"/>
      <c r="V31" s="218"/>
      <c r="W31" s="218"/>
      <c r="X31" s="406"/>
      <c r="Y31" s="216"/>
      <c r="AA31" s="93"/>
      <c r="AB31" s="406"/>
      <c r="AC31" s="94"/>
      <c r="AI31" s="95"/>
    </row>
    <row r="32" spans="2:35" ht="12.75" hidden="1" customHeight="1" outlineLevel="1">
      <c r="D32" s="406"/>
      <c r="E32" s="406"/>
      <c r="F32" s="406"/>
      <c r="G32" s="406"/>
      <c r="H32" s="406"/>
      <c r="I32" s="406"/>
      <c r="J32" s="406"/>
      <c r="K32" s="406"/>
      <c r="M32" s="56"/>
      <c r="N32" s="406"/>
      <c r="O32" s="214"/>
      <c r="P32" s="215"/>
      <c r="Q32" s="216"/>
      <c r="R32" s="45"/>
      <c r="S32" s="217"/>
      <c r="T32" s="217"/>
      <c r="U32" s="218"/>
      <c r="V32" s="218"/>
      <c r="W32" s="218"/>
      <c r="X32" s="406"/>
      <c r="Y32" s="216"/>
      <c r="AA32" s="93"/>
      <c r="AB32" s="406"/>
      <c r="AC32" s="94"/>
      <c r="AI32" s="95"/>
    </row>
    <row r="33" spans="2:35" ht="12.75" hidden="1" customHeight="1" outlineLevel="1">
      <c r="D33" s="406"/>
      <c r="E33" s="406"/>
      <c r="F33" s="406"/>
      <c r="G33" s="406"/>
      <c r="H33" s="406"/>
      <c r="I33" s="406"/>
      <c r="J33" s="406"/>
      <c r="K33" s="406"/>
      <c r="M33" s="56"/>
      <c r="N33" s="406"/>
      <c r="O33" s="214"/>
      <c r="P33" s="215"/>
      <c r="Q33" s="216"/>
      <c r="R33" s="45"/>
      <c r="S33" s="217"/>
      <c r="T33" s="217"/>
      <c r="U33" s="218"/>
      <c r="V33" s="218"/>
      <c r="W33" s="218"/>
      <c r="X33" s="406"/>
      <c r="Y33" s="216"/>
      <c r="AA33" s="93"/>
      <c r="AB33" s="406"/>
      <c r="AC33" s="94"/>
      <c r="AI33" s="95"/>
    </row>
    <row r="34" spans="2:35" ht="12.75" hidden="1" customHeight="1" outlineLevel="1">
      <c r="D34" s="406"/>
      <c r="E34" s="406"/>
      <c r="F34" s="406"/>
      <c r="G34" s="406"/>
      <c r="H34" s="406"/>
      <c r="I34" s="406"/>
      <c r="J34" s="406"/>
      <c r="K34" s="406"/>
      <c r="M34" s="56"/>
      <c r="N34" s="406"/>
      <c r="O34" s="214"/>
      <c r="P34" s="215"/>
      <c r="Q34" s="216"/>
      <c r="R34" s="45"/>
      <c r="S34" s="217"/>
      <c r="T34" s="217"/>
      <c r="U34" s="218"/>
      <c r="V34" s="218"/>
      <c r="W34" s="218"/>
      <c r="X34" s="406"/>
      <c r="Y34" s="216"/>
      <c r="AA34" s="93"/>
      <c r="AB34" s="406"/>
      <c r="AC34" s="94"/>
      <c r="AI34" s="95"/>
    </row>
    <row r="35" spans="2:35" ht="12.75" hidden="1" customHeight="1" outlineLevel="1">
      <c r="D35" s="406"/>
      <c r="E35" s="406"/>
      <c r="F35" s="406"/>
      <c r="G35" s="406"/>
      <c r="H35" s="406"/>
      <c r="I35" s="406"/>
      <c r="J35" s="406"/>
      <c r="K35" s="406"/>
      <c r="M35" s="56"/>
      <c r="N35" s="406"/>
      <c r="O35" s="214"/>
      <c r="P35" s="215"/>
      <c r="Q35" s="216"/>
      <c r="R35" s="45"/>
      <c r="S35" s="217"/>
      <c r="T35" s="217"/>
      <c r="U35" s="218"/>
      <c r="V35" s="218"/>
      <c r="W35" s="218"/>
      <c r="X35" s="406"/>
      <c r="Y35" s="216"/>
      <c r="AA35" s="93"/>
      <c r="AB35" s="406"/>
      <c r="AC35" s="94"/>
      <c r="AI35" s="95"/>
    </row>
    <row r="36" spans="2:35" ht="12.75" hidden="1" customHeight="1" outlineLevel="1">
      <c r="D36" s="406"/>
      <c r="E36" s="406"/>
      <c r="F36" s="406"/>
      <c r="G36" s="406"/>
      <c r="H36" s="406"/>
      <c r="I36" s="406"/>
      <c r="J36" s="406"/>
      <c r="K36" s="406"/>
      <c r="M36" s="56"/>
      <c r="N36" s="406"/>
      <c r="O36" s="214"/>
      <c r="P36" s="215"/>
      <c r="Q36" s="216"/>
      <c r="R36" s="45"/>
      <c r="S36" s="217"/>
      <c r="T36" s="217"/>
      <c r="U36" s="218"/>
      <c r="V36" s="218"/>
      <c r="W36" s="218"/>
      <c r="X36" s="406"/>
      <c r="Y36" s="216"/>
      <c r="AA36" s="93"/>
      <c r="AB36" s="406"/>
      <c r="AC36" s="94"/>
      <c r="AI36" s="95"/>
    </row>
    <row r="37" spans="2:35" ht="12.75" hidden="1" customHeight="1" outlineLevel="1">
      <c r="D37" s="406"/>
      <c r="E37" s="406"/>
      <c r="F37" s="406"/>
      <c r="G37" s="406"/>
      <c r="H37" s="406"/>
      <c r="I37" s="406"/>
      <c r="J37" s="406"/>
      <c r="K37" s="406"/>
      <c r="M37" s="56"/>
      <c r="N37" s="406"/>
      <c r="O37" s="214"/>
      <c r="P37" s="215"/>
      <c r="Q37" s="216"/>
      <c r="R37" s="45"/>
      <c r="S37" s="217"/>
      <c r="T37" s="217"/>
      <c r="U37" s="218"/>
      <c r="V37" s="218"/>
      <c r="W37" s="218"/>
      <c r="X37" s="406"/>
      <c r="Y37" s="216"/>
      <c r="AA37" s="93"/>
      <c r="AB37" s="406"/>
      <c r="AC37" s="94"/>
      <c r="AI37" s="95"/>
    </row>
    <row r="38" spans="2:35" ht="12.75" hidden="1" customHeight="1" outlineLevel="1">
      <c r="D38" s="406"/>
      <c r="E38" s="406"/>
      <c r="F38" s="406"/>
      <c r="G38" s="406"/>
      <c r="H38" s="406"/>
      <c r="I38" s="406"/>
      <c r="J38" s="406"/>
      <c r="K38" s="406"/>
      <c r="M38" s="56"/>
      <c r="N38" s="406"/>
      <c r="O38" s="214"/>
      <c r="P38" s="215"/>
      <c r="Q38" s="216"/>
      <c r="R38" s="45"/>
      <c r="S38" s="217"/>
      <c r="T38" s="217"/>
      <c r="U38" s="218"/>
      <c r="V38" s="218"/>
      <c r="W38" s="218"/>
      <c r="X38" s="406"/>
      <c r="Y38" s="216"/>
      <c r="AA38" s="93"/>
      <c r="AB38" s="406"/>
      <c r="AC38" s="94"/>
      <c r="AI38" s="95"/>
    </row>
    <row r="39" spans="2:35" ht="12.75" hidden="1" customHeight="1" outlineLevel="1">
      <c r="D39" s="406"/>
      <c r="E39" s="406"/>
      <c r="F39" s="406"/>
      <c r="G39" s="406"/>
      <c r="H39" s="406"/>
      <c r="I39" s="406"/>
      <c r="J39" s="406"/>
      <c r="K39" s="406"/>
      <c r="M39" s="56"/>
      <c r="N39" s="406"/>
      <c r="O39" s="214"/>
      <c r="P39" s="215"/>
      <c r="Q39" s="216"/>
      <c r="R39" s="45"/>
      <c r="S39" s="217"/>
      <c r="T39" s="217"/>
      <c r="U39" s="218"/>
      <c r="V39" s="218"/>
      <c r="W39" s="218"/>
      <c r="X39" s="406"/>
      <c r="Y39" s="216"/>
      <c r="AA39" s="93"/>
      <c r="AB39" s="406"/>
      <c r="AC39" s="94"/>
      <c r="AI39" s="95"/>
    </row>
    <row r="40" spans="2:35" ht="12.75" customHeight="1" collapsed="1">
      <c r="D40" s="406"/>
      <c r="E40" s="406"/>
      <c r="F40" s="406"/>
      <c r="G40" s="406"/>
      <c r="H40" s="406"/>
      <c r="I40" s="406"/>
      <c r="J40" s="406"/>
      <c r="K40" s="406"/>
      <c r="R40" s="21"/>
    </row>
    <row r="41" spans="2:35" ht="12.75" customHeight="1">
      <c r="B41" s="766" t="s">
        <v>111</v>
      </c>
      <c r="C41" s="782"/>
      <c r="D41" s="781">
        <f>MAX(D10:D39)</f>
        <v>1906.0925500000001</v>
      </c>
      <c r="E41" s="781">
        <f t="shared" ref="E41:K41" si="12">MAX(E10:E39)</f>
        <v>236.50700000000001</v>
      </c>
      <c r="F41" s="781">
        <f t="shared" si="12"/>
        <v>12.112</v>
      </c>
      <c r="G41" s="781">
        <f t="shared" si="12"/>
        <v>0</v>
      </c>
      <c r="H41" s="781">
        <f t="shared" si="12"/>
        <v>236.50700000000001</v>
      </c>
      <c r="I41" s="781">
        <f t="shared" si="12"/>
        <v>1906.0925500000001</v>
      </c>
      <c r="J41" s="781">
        <f t="shared" si="12"/>
        <v>298.06299999999999</v>
      </c>
      <c r="K41" s="781" t="e">
        <f t="shared" si="12"/>
        <v>#VALUE!</v>
      </c>
      <c r="L41" s="782"/>
      <c r="M41" s="786">
        <f>MAX(M10:M39)</f>
        <v>0</v>
      </c>
      <c r="N41" s="781">
        <f>MAX(N10:N39)</f>
        <v>3.5284794520547953</v>
      </c>
      <c r="O41" s="788">
        <f>MAX(O10:O39)</f>
        <v>2.63013698630137E-2</v>
      </c>
      <c r="P41" s="789"/>
      <c r="Q41" s="790">
        <f>MAX(Q10:Q39)</f>
        <v>1.1508768139771337</v>
      </c>
      <c r="R41" s="791"/>
      <c r="S41" s="792">
        <f>MAX(S10:S40)</f>
        <v>1.3245174409501581</v>
      </c>
      <c r="T41" s="792" t="e">
        <f>MAX(T10:T40)</f>
        <v>#NUM!</v>
      </c>
      <c r="U41" s="793" t="e">
        <f>MAX(U10:U40)</f>
        <v>#NUM!</v>
      </c>
      <c r="V41" s="793" t="e">
        <f>MAX(V10:V40)</f>
        <v>#NUM!</v>
      </c>
      <c r="W41" s="793" t="e">
        <f>MAX(W10:W40)</f>
        <v>#NUM!</v>
      </c>
      <c r="X41" s="781" t="e">
        <f>MAX(X10:X39)</f>
        <v>#NUM!</v>
      </c>
      <c r="Y41" s="794">
        <f>MAX(Y10:Y39)</f>
        <v>1.1508768139771337</v>
      </c>
      <c r="AB41" s="825">
        <f>+'Asset Vol_OPM_OIP'!Y48</f>
        <v>0.81299999999999994</v>
      </c>
      <c r="AC41" s="826" t="s">
        <v>1216</v>
      </c>
      <c r="AD41" s="826"/>
      <c r="AE41" s="826"/>
      <c r="AF41" s="803"/>
    </row>
    <row r="42" spans="2:35" ht="12.75" customHeight="1">
      <c r="B42" s="366" t="s">
        <v>115</v>
      </c>
      <c r="C42" s="79"/>
      <c r="D42" s="101">
        <f t="shared" ref="D42:K42" si="13">QUARTILE(D10:D39,3)</f>
        <v>564.60603750000007</v>
      </c>
      <c r="E42" s="101">
        <f t="shared" si="13"/>
        <v>0.27564</v>
      </c>
      <c r="F42" s="101">
        <f t="shared" si="13"/>
        <v>0</v>
      </c>
      <c r="G42" s="101">
        <f t="shared" si="13"/>
        <v>0</v>
      </c>
      <c r="H42" s="101">
        <f t="shared" si="13"/>
        <v>3.1751199999999997</v>
      </c>
      <c r="I42" s="101">
        <f t="shared" si="13"/>
        <v>507.73981500000002</v>
      </c>
      <c r="J42" s="101">
        <f t="shared" si="13"/>
        <v>132.88825</v>
      </c>
      <c r="K42" s="101" t="e">
        <f t="shared" si="13"/>
        <v>#VALUE!</v>
      </c>
      <c r="L42" s="79"/>
      <c r="M42" s="143">
        <f>QUARTILE(M10:M39,3)</f>
        <v>0</v>
      </c>
      <c r="N42" s="101">
        <f>QUARTILE(N10:N39,3)</f>
        <v>3.5284794520547953</v>
      </c>
      <c r="O42" s="219">
        <f>QUARTILE(O10:O39,3)</f>
        <v>2.63013698630137E-2</v>
      </c>
      <c r="P42" s="220"/>
      <c r="Q42" s="221">
        <f>QUARTILE(Q10:Q39,3)</f>
        <v>0.95360103062997992</v>
      </c>
      <c r="R42" s="222"/>
      <c r="S42" s="223">
        <f>QUARTILE(S10:S40,3)</f>
        <v>0.90935492561855991</v>
      </c>
      <c r="T42" s="223" t="e">
        <f>QUARTILE(T10:T40,3)</f>
        <v>#NUM!</v>
      </c>
      <c r="U42" s="224" t="e">
        <f>QUARTILE(U10:U40,3)</f>
        <v>#NUM!</v>
      </c>
      <c r="V42" s="224" t="e">
        <f>QUARTILE(V10:V40,3)</f>
        <v>#NUM!</v>
      </c>
      <c r="W42" s="224" t="e">
        <f>QUARTILE(W10:W40,3)</f>
        <v>#NUM!</v>
      </c>
      <c r="X42" s="101" t="e">
        <f>QUARTILE(X10:X39,3)</f>
        <v>#NUM!</v>
      </c>
      <c r="Y42" s="225">
        <f>QUARTILE(Y10:Y39,3)</f>
        <v>0.95926829650615375</v>
      </c>
      <c r="AB42" s="827">
        <f>+'Asset Vol_OPM_OIP'!Y50</f>
        <v>0.81299999999999994</v>
      </c>
      <c r="AC42" s="16" t="s">
        <v>1217</v>
      </c>
      <c r="AD42" s="16"/>
      <c r="AE42" s="16"/>
      <c r="AF42" s="204"/>
    </row>
    <row r="43" spans="2:35" ht="12.75" customHeight="1">
      <c r="B43" s="366" t="s">
        <v>113</v>
      </c>
      <c r="C43" s="79"/>
      <c r="D43" s="101">
        <f>AVERAGE(D10:D39)</f>
        <v>406.69437642857145</v>
      </c>
      <c r="E43" s="101">
        <f t="shared" ref="E43:K43" si="14">AVERAGE(E10:E39)</f>
        <v>18.459698571428572</v>
      </c>
      <c r="F43" s="101">
        <f t="shared" si="14"/>
        <v>1.2186414285714287</v>
      </c>
      <c r="G43" s="101">
        <f t="shared" si="14"/>
        <v>-0.13735714285714287</v>
      </c>
      <c r="H43" s="101">
        <f t="shared" si="14"/>
        <v>18.238250666666669</v>
      </c>
      <c r="I43" s="101">
        <f t="shared" si="14"/>
        <v>397.81966866666664</v>
      </c>
      <c r="J43" s="101">
        <f t="shared" si="14"/>
        <v>90.206330714285741</v>
      </c>
      <c r="K43" s="101" t="e">
        <f t="shared" si="14"/>
        <v>#VALUE!</v>
      </c>
      <c r="L43" s="79"/>
      <c r="M43" s="143">
        <f>AVERAGE(M10:M39)</f>
        <v>0</v>
      </c>
      <c r="N43" s="101">
        <f>AVERAGE(N10:N39)</f>
        <v>3.5284794520547957</v>
      </c>
      <c r="O43" s="219">
        <f>AVERAGE(O10:O39)</f>
        <v>2.6301369863013693E-2</v>
      </c>
      <c r="P43" s="220"/>
      <c r="Q43" s="221">
        <f>AVERAGE(Q10:Q39)</f>
        <v>0.83775077110479657</v>
      </c>
      <c r="R43" s="222"/>
      <c r="S43" s="223">
        <f>AVERAGE(S10:S40)</f>
        <v>0.73181131684981748</v>
      </c>
      <c r="T43" s="223" t="e">
        <f>AVERAGE(T10:T40)</f>
        <v>#NUM!</v>
      </c>
      <c r="U43" s="224" t="e">
        <f>AVERAGE(U10:U40)</f>
        <v>#NUM!</v>
      </c>
      <c r="V43" s="224" t="e">
        <f>AVERAGE(V10:V40)</f>
        <v>#NUM!</v>
      </c>
      <c r="W43" s="224" t="e">
        <f>AVERAGE(W10:W40)</f>
        <v>#NUM!</v>
      </c>
      <c r="X43" s="101" t="e">
        <f>AVERAGE(X10:X39)</f>
        <v>#NUM!</v>
      </c>
      <c r="Y43" s="225">
        <f>AVERAGE(Y10:Y39)</f>
        <v>0.79310825214418601</v>
      </c>
      <c r="AB43" s="827">
        <f>+'Asset Vol_OPM_OIP'!Y44</f>
        <v>0.8134340528199715</v>
      </c>
      <c r="AC43" s="16" t="s">
        <v>1215</v>
      </c>
      <c r="AD43" s="16"/>
      <c r="AE43" s="16"/>
      <c r="AF43" s="828" t="s">
        <v>1352</v>
      </c>
    </row>
    <row r="44" spans="2:35" ht="12.75" customHeight="1">
      <c r="B44" s="366" t="s">
        <v>44</v>
      </c>
      <c r="C44" s="79"/>
      <c r="D44" s="101">
        <f>MEDIAN(D10:D39)</f>
        <v>164.41385500000001</v>
      </c>
      <c r="E44" s="101">
        <f t="shared" ref="E44:K44" si="15">MEDIAN(E10:E39)</f>
        <v>0</v>
      </c>
      <c r="F44" s="101">
        <f t="shared" si="15"/>
        <v>0</v>
      </c>
      <c r="G44" s="101">
        <f t="shared" si="15"/>
        <v>0</v>
      </c>
      <c r="H44" s="101">
        <f t="shared" si="15"/>
        <v>0</v>
      </c>
      <c r="I44" s="101">
        <f t="shared" si="15"/>
        <v>213.21961000000002</v>
      </c>
      <c r="J44" s="101">
        <f t="shared" si="15"/>
        <v>57.363289999999992</v>
      </c>
      <c r="K44" s="101" t="e">
        <f t="shared" si="15"/>
        <v>#VALUE!</v>
      </c>
      <c r="L44" s="79"/>
      <c r="M44" s="143">
        <f>MEDIAN(M10:M39)</f>
        <v>0</v>
      </c>
      <c r="N44" s="101">
        <f>MEDIAN(N10:N39)</f>
        <v>3.5284794520547953</v>
      </c>
      <c r="O44" s="219">
        <f>MEDIAN(O10:O39)</f>
        <v>2.63013698630137E-2</v>
      </c>
      <c r="P44" s="220"/>
      <c r="Q44" s="221">
        <f>MEDIAN(Q10:Q39)</f>
        <v>0.88587043357810058</v>
      </c>
      <c r="R44" s="222"/>
      <c r="S44" s="223">
        <f>MEDIAN(S10:S40)</f>
        <v>0.78476642508785188</v>
      </c>
      <c r="T44" s="223" t="e">
        <f>MEDIAN(T10:T40)</f>
        <v>#NUM!</v>
      </c>
      <c r="U44" s="224" t="e">
        <f>MEDIAN(U10:U40)</f>
        <v>#NUM!</v>
      </c>
      <c r="V44" s="224" t="e">
        <f>MEDIAN(V10:V40)</f>
        <v>#NUM!</v>
      </c>
      <c r="W44" s="224" t="e">
        <f>MEDIAN(W10:W40)</f>
        <v>#NUM!</v>
      </c>
      <c r="X44" s="101" t="e">
        <f>MEDIAN(X10:X39)</f>
        <v>#NUM!</v>
      </c>
      <c r="Y44" s="225">
        <f>MEDIAN(Y10:Y39)</f>
        <v>0.8134340528199715</v>
      </c>
      <c r="AB44" s="829" t="str">
        <f>IF(ROUND(AB41,3)=ROUND(AB43,3),"","Update Volatility - OPM")</f>
        <v/>
      </c>
      <c r="AC44" s="16"/>
      <c r="AD44" s="16"/>
      <c r="AE44" s="16"/>
      <c r="AF44" s="204"/>
    </row>
    <row r="45" spans="2:35" ht="12.75" customHeight="1">
      <c r="B45" s="366" t="s">
        <v>114</v>
      </c>
      <c r="C45" s="79"/>
      <c r="D45" s="101">
        <f>QUARTILE(D10:D39,1)</f>
        <v>52.922474999999999</v>
      </c>
      <c r="E45" s="101">
        <f t="shared" ref="E45:K45" si="16">QUARTILE(E10:E39,1)</f>
        <v>0</v>
      </c>
      <c r="F45" s="101">
        <f t="shared" si="16"/>
        <v>0</v>
      </c>
      <c r="G45" s="101">
        <f t="shared" si="16"/>
        <v>0</v>
      </c>
      <c r="H45" s="101">
        <f t="shared" si="16"/>
        <v>0</v>
      </c>
      <c r="I45" s="101">
        <f t="shared" si="16"/>
        <v>43.587240000000001</v>
      </c>
      <c r="J45" s="101">
        <f t="shared" si="16"/>
        <v>11.994250000000001</v>
      </c>
      <c r="K45" s="101" t="e">
        <f t="shared" si="16"/>
        <v>#VALUE!</v>
      </c>
      <c r="L45" s="79"/>
      <c r="M45" s="143">
        <f>QUARTILE(M10:M39,1)</f>
        <v>0</v>
      </c>
      <c r="N45" s="101">
        <f>QUARTILE(N10:N39,1)</f>
        <v>3.5284794520547953</v>
      </c>
      <c r="O45" s="219">
        <f>QUARTILE(O10:O39,1)</f>
        <v>2.63013698630137E-2</v>
      </c>
      <c r="P45" s="220"/>
      <c r="Q45" s="221">
        <f>QUARTILE(Q10:Q39,1)</f>
        <v>0.65477238914194269</v>
      </c>
      <c r="R45" s="222"/>
      <c r="S45" s="223">
        <f>QUARTILE(S10:S40,1)</f>
        <v>0.42872688158264766</v>
      </c>
      <c r="T45" s="223" t="e">
        <f>QUARTILE(T10:T40,1)</f>
        <v>#NUM!</v>
      </c>
      <c r="U45" s="224" t="e">
        <f>QUARTILE(U10:U40,1)</f>
        <v>#NUM!</v>
      </c>
      <c r="V45" s="224" t="e">
        <f>QUARTILE(V10:V40,1)</f>
        <v>#NUM!</v>
      </c>
      <c r="W45" s="224" t="e">
        <f>QUARTILE(W10:W40,1)</f>
        <v>#NUM!</v>
      </c>
      <c r="X45" s="101" t="e">
        <f>QUARTILE(X10:X39,1)</f>
        <v>#NUM!</v>
      </c>
      <c r="Y45" s="225">
        <f>QUARTILE(Y10:Y39,1)</f>
        <v>0.6390413403267946</v>
      </c>
      <c r="AB45" s="830" t="str">
        <f>IF(ROUND(AB42,3)=ROUND(AB43,3),"","Update Volatility - DLOM")</f>
        <v/>
      </c>
      <c r="AC45" s="5"/>
      <c r="AD45" s="5"/>
      <c r="AE45" s="5"/>
      <c r="AF45" s="448"/>
    </row>
    <row r="46" spans="2:35" ht="12.75" customHeight="1">
      <c r="B46" s="103" t="s">
        <v>112</v>
      </c>
      <c r="C46" s="72"/>
      <c r="D46" s="75">
        <f t="shared" ref="D46:K46" si="17">MIN(D10:D39)</f>
        <v>3.8515700000000002</v>
      </c>
      <c r="E46" s="75">
        <f t="shared" si="17"/>
        <v>0</v>
      </c>
      <c r="F46" s="75">
        <f t="shared" si="17"/>
        <v>0</v>
      </c>
      <c r="G46" s="75">
        <f t="shared" si="17"/>
        <v>-1.923</v>
      </c>
      <c r="H46" s="75">
        <f t="shared" si="17"/>
        <v>0</v>
      </c>
      <c r="I46" s="75">
        <f t="shared" si="17"/>
        <v>0</v>
      </c>
      <c r="J46" s="75">
        <f t="shared" si="17"/>
        <v>8.43E-3</v>
      </c>
      <c r="K46" s="75" t="e">
        <f t="shared" si="17"/>
        <v>#VALUE!</v>
      </c>
      <c r="L46" s="72"/>
      <c r="M46" s="145">
        <f>MIN(M10:M39)</f>
        <v>0</v>
      </c>
      <c r="N46" s="75">
        <f>MIN(N10:N39)</f>
        <v>3.5284794520547953</v>
      </c>
      <c r="O46" s="795">
        <f>MIN(O10:O39)</f>
        <v>2.63013698630137E-2</v>
      </c>
      <c r="P46" s="796"/>
      <c r="Q46" s="797">
        <f>MIN(Q10:Q39)</f>
        <v>0.57731598641262194</v>
      </c>
      <c r="R46" s="798"/>
      <c r="S46" s="799">
        <f>MIN(S10:S40)</f>
        <v>0.33329374816757867</v>
      </c>
      <c r="T46" s="799" t="e">
        <f>MIN(T10:T40)</f>
        <v>#NUM!</v>
      </c>
      <c r="U46" s="800" t="e">
        <f>MIN(U10:U40)</f>
        <v>#NUM!</v>
      </c>
      <c r="V46" s="800" t="e">
        <f>MIN(V10:V40)</f>
        <v>#NUM!</v>
      </c>
      <c r="W46" s="800" t="e">
        <f>MIN(W10:W40)</f>
        <v>#NUM!</v>
      </c>
      <c r="X46" s="75" t="e">
        <f>MIN(X10:X39)</f>
        <v>#NUM!</v>
      </c>
      <c r="Y46" s="801">
        <f>MIN(Y10:Y39)</f>
        <v>0.35041044196241217</v>
      </c>
      <c r="AB46" s="515" t="str">
        <f>IF(K48&lt;&gt;K50,"Check","")</f>
        <v/>
      </c>
    </row>
    <row r="47" spans="2:35" ht="12.75" customHeight="1">
      <c r="AB47" s="958" t="str">
        <f>IF(AND(AB44=$AF$45,AB46=$AF$45,AB45=$AF$45),"","Check")</f>
        <v/>
      </c>
    </row>
    <row r="48" spans="2:35" ht="12.75" customHeight="1">
      <c r="B48" s="226" t="str">
        <f>B2</f>
        <v>Kallyope, Inc.</v>
      </c>
      <c r="C48" s="480" t="s">
        <v>209</v>
      </c>
      <c r="D48" s="1753">
        <f>'OPM 1_OIP'!D9/1000</f>
        <v>208.41936584352476</v>
      </c>
      <c r="E48" s="1754">
        <f>'Hist BS'!G55/1000</f>
        <v>0</v>
      </c>
      <c r="F48" s="227"/>
      <c r="G48" s="227"/>
      <c r="H48" s="228">
        <f>SUM(E48:G48)</f>
        <v>0</v>
      </c>
      <c r="I48" s="228">
        <f>SUM(D48:G48)</f>
        <v>208.41936584352476</v>
      </c>
      <c r="J48" s="227"/>
      <c r="K48" s="228">
        <f>I48-J48</f>
        <v>208.41936584352476</v>
      </c>
      <c r="L48" s="227"/>
      <c r="M48" s="229">
        <f>'PWERM Waterfall n Allocation'!D13</f>
        <v>0</v>
      </c>
      <c r="N48" s="230">
        <f>N$6</f>
        <v>3.5284794520547953</v>
      </c>
      <c r="O48" s="231">
        <f>O$6</f>
        <v>2.63013698630137E-2</v>
      </c>
      <c r="P48" s="232"/>
      <c r="Q48" s="233">
        <v>0.81299999999999994</v>
      </c>
      <c r="R48" s="227"/>
      <c r="S48" s="234">
        <f>IF(Q48="n/a","n/a",Q48^2)</f>
        <v>0.66096899999999992</v>
      </c>
      <c r="T48" s="234">
        <f>IF(OR(K48="n/a",S48="n/a"),"n/a",IF(H48=0,0,IF(M48=0,(LN(K48/H48)+((O48+(S48/2))*N48))/((S48*N48)^0.5),(LN(K48/H48)+((O48-M48+(S48/2))*N48))/((S48*N48)^0.5))))</f>
        <v>0</v>
      </c>
      <c r="U48" s="235">
        <f>IF(T48="n/a","n/a",IF(H48=0,0,T48-(S48*N48)^0.5))</f>
        <v>0</v>
      </c>
      <c r="V48" s="235">
        <f>IF(OR(T48="n/a",S48="n/a"),"n/a",IF(H48=0,0,NORMSDIST(T48)))</f>
        <v>0</v>
      </c>
      <c r="W48" s="235">
        <f>IF(OR(U48="n/a",S48="n/a"),"n/a",IF(H48=0,0,NORMSDIST(U48)))</f>
        <v>0</v>
      </c>
      <c r="X48" s="235">
        <f>IF(OR(K48="n/a",S48="n/a"),"n/a",IF(M48=0,(K48*V48)-((H48*EXP(1)^(-O48*N48))*W48),(K48*(2.718^(-M48*N48))*V48)-(H48*(2.718^(-O48*N48))*W48)))</f>
        <v>0</v>
      </c>
      <c r="Y48" s="236">
        <f>IF(LEN(B48)&gt;0,IF(H48=0,Q48,IF(ISERROR(Q48/((K48/X48)*V48)),"n/a",Q48/((K48/X48)*V48))))</f>
        <v>0.81299999999999994</v>
      </c>
    </row>
    <row r="49" spans="1:25" ht="12.75" customHeight="1">
      <c r="C49" s="78"/>
      <c r="D49" s="78"/>
      <c r="E49" s="78"/>
      <c r="F49" s="78"/>
      <c r="G49" s="78"/>
      <c r="H49" s="78"/>
      <c r="I49" s="78"/>
      <c r="J49" s="78"/>
    </row>
    <row r="50" spans="1:25" ht="12.75" customHeight="1" outlineLevel="1">
      <c r="B50" s="226" t="str">
        <f>B48</f>
        <v>Kallyope, Inc.</v>
      </c>
      <c r="C50" s="480" t="s">
        <v>209</v>
      </c>
      <c r="D50" s="1753">
        <f>D48</f>
        <v>208.41936584352476</v>
      </c>
      <c r="E50" s="1754">
        <v>0</v>
      </c>
      <c r="F50" s="227"/>
      <c r="G50" s="227"/>
      <c r="H50" s="228">
        <f>SUM(E50:G50)</f>
        <v>0</v>
      </c>
      <c r="I50" s="230">
        <f>I48</f>
        <v>208.41936584352476</v>
      </c>
      <c r="J50" s="227"/>
      <c r="K50" s="237">
        <f>K48</f>
        <v>208.41936584352476</v>
      </c>
      <c r="L50" s="227"/>
      <c r="M50" s="238">
        <f>M48</f>
        <v>0</v>
      </c>
      <c r="N50" s="230">
        <f>N$6</f>
        <v>3.5284794520547953</v>
      </c>
      <c r="O50" s="231">
        <f>O$6</f>
        <v>2.63013698630137E-2</v>
      </c>
      <c r="P50" s="232"/>
      <c r="Q50" s="233">
        <v>0.81299999999999994</v>
      </c>
      <c r="R50" s="227"/>
      <c r="S50" s="234">
        <f>IF(Q50="n/a","n/a",Q50^2)</f>
        <v>0.66096899999999992</v>
      </c>
      <c r="T50" s="234">
        <f>IF(OR(K50="n/a",S50="n/a"),"n/a",IF(H50=0,0,IF(M50=0,(LN(K50/H50)+((O50+(S50/2))*N50))/((S50*N50)^0.5),(LN(K50/H50)+((O50-M50+(S50/2))*N50))/((S50*N50)^0.5))))</f>
        <v>0</v>
      </c>
      <c r="U50" s="235">
        <f>IF(T50="n/a","n/a",IF(H50=0,0,T50-(S50*N50)^0.5))</f>
        <v>0</v>
      </c>
      <c r="V50" s="235">
        <f>IF(OR(T50="n/a",S50="n/a"),"n/a",IF(H50=0,0,NORMSDIST(T50)))</f>
        <v>0</v>
      </c>
      <c r="W50" s="235">
        <f>IF(OR(U50="n/a",S50="n/a"),"n/a",IF(H50=0,0,NORMSDIST(U50)))</f>
        <v>0</v>
      </c>
      <c r="X50" s="235">
        <f>IF(OR(K50="n/a",S50="n/a"),"n/a",IF(M50=0,(K50*V50)-((H50*EXP(1)^(-O50*N50))*W50),(K50*(2.718^(-M50*N50))*V50)-(H50*(2.718^(-O50*N50))*W50)))</f>
        <v>0</v>
      </c>
      <c r="Y50" s="236">
        <f>IF(LEN(B50)&gt;0,IF(H50=0,Q50,IF(ISERROR(Q50/((K50/X50)*V50)),"n/a",Q50/((K50/X50)*V50))))</f>
        <v>0.81299999999999994</v>
      </c>
    </row>
    <row r="51" spans="1:25" ht="12.75" customHeight="1" outlineLevel="1"/>
    <row r="52" spans="1:25" ht="12.75" customHeight="1">
      <c r="B52" s="8" t="s">
        <v>86</v>
      </c>
    </row>
    <row r="53" spans="1:25" ht="12.75" customHeight="1">
      <c r="A53" s="718" t="s">
        <v>210</v>
      </c>
      <c r="B53" s="17" t="s">
        <v>837</v>
      </c>
    </row>
    <row r="54" spans="1:25" s="78" customFormat="1" ht="12.75" customHeight="1">
      <c r="A54" s="719" t="s">
        <v>209</v>
      </c>
      <c r="B54" s="1752" t="s">
        <v>838</v>
      </c>
      <c r="P54" s="21"/>
    </row>
    <row r="55" spans="1:25" ht="12.75" customHeight="1"/>
    <row r="56" spans="1:25" ht="12.75" customHeight="1">
      <c r="B56" s="8" t="s">
        <v>116</v>
      </c>
    </row>
    <row r="57" spans="1:25" ht="12.75" customHeight="1"/>
    <row r="58" spans="1:25" ht="12.75" customHeight="1">
      <c r="B58" s="405" t="s">
        <v>1244</v>
      </c>
    </row>
    <row r="59" spans="1:25">
      <c r="B59" s="405" t="s">
        <v>1245</v>
      </c>
    </row>
    <row r="60" spans="1:25">
      <c r="B60" s="405" t="s">
        <v>1246</v>
      </c>
    </row>
    <row r="61" spans="1:25">
      <c r="B61" s="405" t="s">
        <v>1247</v>
      </c>
    </row>
    <row r="62" spans="1:25">
      <c r="B62" s="405" t="s">
        <v>1248</v>
      </c>
    </row>
    <row r="63" spans="1:25">
      <c r="B63" s="405" t="s">
        <v>1249</v>
      </c>
    </row>
    <row r="64" spans="1:25">
      <c r="B64" s="405" t="s">
        <v>1250</v>
      </c>
    </row>
    <row r="66" spans="2:2">
      <c r="B66" s="405" t="s">
        <v>1251</v>
      </c>
    </row>
    <row r="67" spans="2:2">
      <c r="B67" s="405" t="s">
        <v>1252</v>
      </c>
    </row>
    <row r="68" spans="2:2">
      <c r="B68" s="405" t="s">
        <v>1253</v>
      </c>
    </row>
    <row r="69" spans="2:2">
      <c r="B69" s="405" t="s">
        <v>1254</v>
      </c>
    </row>
    <row r="70" spans="2:2">
      <c r="B70" s="405" t="s">
        <v>1255</v>
      </c>
    </row>
    <row r="71" spans="2:2">
      <c r="B71" s="405" t="s">
        <v>1256</v>
      </c>
    </row>
  </sheetData>
  <conditionalFormatting sqref="B10:B39">
    <cfRule type="cellIs" dxfId="77" priority="10" operator="equal">
      <formula>"(Invalid Identifier)"</formula>
    </cfRule>
  </conditionalFormatting>
  <conditionalFormatting sqref="C4:I4">
    <cfRule type="cellIs" dxfId="76" priority="9" stopIfTrue="1" operator="equal">
      <formula>"input"</formula>
    </cfRule>
  </conditionalFormatting>
  <conditionalFormatting sqref="J4">
    <cfRule type="cellIs" dxfId="75" priority="7" stopIfTrue="1" operator="equal">
      <formula>"input"</formula>
    </cfRule>
  </conditionalFormatting>
  <conditionalFormatting sqref="J4">
    <cfRule type="cellIs" dxfId="74" priority="8" stopIfTrue="1" operator="equal">
      <formula>"input"</formula>
    </cfRule>
  </conditionalFormatting>
  <conditionalFormatting sqref="K4:X4">
    <cfRule type="cellIs" dxfId="73" priority="5" stopIfTrue="1" operator="equal">
      <formula>"input"</formula>
    </cfRule>
  </conditionalFormatting>
  <conditionalFormatting sqref="K4:X4">
    <cfRule type="cellIs" dxfId="72" priority="6" stopIfTrue="1" operator="equal">
      <formula>"input"</formula>
    </cfRule>
  </conditionalFormatting>
  <conditionalFormatting sqref="Y4">
    <cfRule type="cellIs" dxfId="71" priority="3" stopIfTrue="1" operator="equal">
      <formula>"input"</formula>
    </cfRule>
  </conditionalFormatting>
  <conditionalFormatting sqref="Y4">
    <cfRule type="cellIs" dxfId="70" priority="4" stopIfTrue="1" operator="equal">
      <formula>"input"</formula>
    </cfRule>
  </conditionalFormatting>
  <conditionalFormatting sqref="B4">
    <cfRule type="cellIs" dxfId="69" priority="1" stopIfTrue="1" operator="equal">
      <formula>"input"</formula>
    </cfRule>
  </conditionalFormatting>
  <pageMargins left="0.5" right="0.5" top="0.5" bottom="0.5" header="0.5" footer="0.5"/>
  <pageSetup scale="74" fitToWidth="0" fitToHeight="0" orientation="landscape" r:id="rId1"/>
  <legacyDrawingHF r:id="rId2"/>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B137"/>
  <sheetViews>
    <sheetView showGridLines="0" view="pageBreakPreview" topLeftCell="A65" zoomScale="85" zoomScaleNormal="85" zoomScaleSheetLayoutView="85" workbookViewId="0">
      <selection activeCell="B98" sqref="B98"/>
    </sheetView>
  </sheetViews>
  <sheetFormatPr defaultRowHeight="12.75" outlineLevelRow="1"/>
  <cols>
    <col min="1" max="1" width="4.5" style="405" customWidth="1"/>
    <col min="2" max="2" width="52.1640625" style="405" customWidth="1"/>
    <col min="3" max="3" width="2.83203125" style="405" customWidth="1"/>
    <col min="4" max="11" width="18.1640625" style="405" customWidth="1"/>
    <col min="12" max="12" width="4.5" style="405" customWidth="1"/>
    <col min="13" max="13" width="15.5" style="405" customWidth="1"/>
    <col min="14" max="14" width="1.83203125" style="405" customWidth="1"/>
    <col min="15" max="15" width="21.6640625" style="173" customWidth="1"/>
    <col min="16" max="16" width="2.5" style="405" customWidth="1"/>
    <col min="17" max="27" width="14" style="405" customWidth="1"/>
    <col min="28" max="16384" width="9.33203125" style="405"/>
  </cols>
  <sheetData>
    <row r="1" spans="2:28" ht="10.7" customHeight="1" thickBot="1"/>
    <row r="2" spans="2:28" ht="16.5" customHeight="1" thickTop="1">
      <c r="B2" s="10" t="str">
        <f>'MASTER PubCo Inputs'!$C$5</f>
        <v>Kallyope, Inc.</v>
      </c>
      <c r="C2" s="10"/>
      <c r="D2" s="10"/>
      <c r="E2" s="10"/>
      <c r="F2" s="10"/>
      <c r="G2" s="10"/>
      <c r="H2" s="10"/>
      <c r="I2" s="10"/>
      <c r="J2" s="10"/>
      <c r="K2" s="10"/>
    </row>
    <row r="3" spans="2:28" ht="15.75" customHeight="1">
      <c r="B3" s="11" t="e">
        <f>VLOOKUP(B4,Outline!$E$8:$G$69,COLUMNS(Outline!$E$8:$G$8),FALSE)</f>
        <v>#N/A</v>
      </c>
      <c r="C3" s="11"/>
      <c r="D3" s="11"/>
      <c r="E3" s="11"/>
      <c r="F3" s="11"/>
      <c r="G3" s="11"/>
      <c r="H3" s="11"/>
      <c r="I3" s="11"/>
      <c r="J3" s="11"/>
      <c r="K3" s="11"/>
    </row>
    <row r="4" spans="2:28" ht="16.5" customHeight="1" thickBot="1">
      <c r="B4" s="12" t="s">
        <v>538</v>
      </c>
      <c r="C4" s="12"/>
      <c r="D4" s="12"/>
      <c r="E4" s="12"/>
      <c r="F4" s="12"/>
      <c r="G4" s="12"/>
      <c r="H4" s="12"/>
      <c r="I4" s="12"/>
      <c r="J4" s="13"/>
      <c r="K4" s="13"/>
      <c r="O4" s="405"/>
      <c r="Q4" s="410" t="s">
        <v>2245</v>
      </c>
    </row>
    <row r="5" spans="2:28" s="16" customFormat="1" ht="12.75" customHeight="1" thickTop="1">
      <c r="B5" s="405"/>
      <c r="C5" s="405"/>
      <c r="D5" s="405"/>
      <c r="E5" s="405"/>
      <c r="F5" s="405"/>
      <c r="G5" s="405"/>
      <c r="H5" s="405"/>
      <c r="I5" s="405"/>
      <c r="J5" s="405"/>
      <c r="K5" s="405"/>
      <c r="L5" s="405"/>
      <c r="M5" s="405"/>
      <c r="O5" s="405"/>
      <c r="P5" s="405"/>
      <c r="Q5" s="1747" t="s">
        <v>2241</v>
      </c>
      <c r="R5" s="1747" t="s">
        <v>2242</v>
      </c>
      <c r="S5" s="1747" t="s">
        <v>2249</v>
      </c>
      <c r="T5" s="1747" t="s">
        <v>2250</v>
      </c>
      <c r="U5" s="1747" t="s">
        <v>2251</v>
      </c>
      <c r="V5" s="1747" t="s">
        <v>2252</v>
      </c>
      <c r="W5" s="1747" t="s">
        <v>2253</v>
      </c>
      <c r="X5" s="1747" t="s">
        <v>2254</v>
      </c>
      <c r="Y5" s="1747" t="s">
        <v>2255</v>
      </c>
      <c r="Z5" s="1747" t="s">
        <v>2256</v>
      </c>
      <c r="AA5" s="1747" t="s">
        <v>2257</v>
      </c>
      <c r="AB5" s="405"/>
    </row>
    <row r="6" spans="2:28" s="16" customFormat="1" ht="12.75" customHeight="1">
      <c r="B6" s="405"/>
      <c r="C6" s="405"/>
      <c r="D6" s="405"/>
      <c r="E6" s="405"/>
      <c r="F6" s="405"/>
      <c r="G6" s="405"/>
      <c r="H6" s="405"/>
      <c r="I6" s="405"/>
      <c r="J6" s="405"/>
      <c r="K6" s="405"/>
      <c r="L6" s="405"/>
      <c r="O6" s="405" t="s">
        <v>2246</v>
      </c>
      <c r="Q6" s="2054">
        <f>PWERM!D13</f>
        <v>3.0027397260273974</v>
      </c>
      <c r="R6" s="2054">
        <f>PWERM!E13</f>
        <v>6.0054794520547947</v>
      </c>
      <c r="S6" s="2054">
        <f>PWERM!F13</f>
        <v>2.0027397260273974</v>
      </c>
      <c r="T6" s="2054">
        <f>PWERM!G13</f>
        <v>2.0027397260273974</v>
      </c>
      <c r="U6" s="2054">
        <f>PWERM!H13</f>
        <v>3.0027397260273974</v>
      </c>
      <c r="V6" s="2054">
        <f>PWERM!I13</f>
        <v>3.0027397260273974</v>
      </c>
      <c r="W6" s="2054">
        <f>PWERM!J13</f>
        <v>6.0054794520547947</v>
      </c>
      <c r="X6" s="2054">
        <f>PWERM!K13</f>
        <v>6.0054794520547947</v>
      </c>
      <c r="Y6" s="2054">
        <f>PWERM!L13</f>
        <v>2.0027397260273974</v>
      </c>
      <c r="Z6" s="2054">
        <f>PWERM!M13</f>
        <v>3.0027397260273974</v>
      </c>
      <c r="AA6" s="2054">
        <f>PWERM!N13</f>
        <v>6.0054794520547947</v>
      </c>
    </row>
    <row r="7" spans="2:28" ht="12.75" customHeight="1">
      <c r="B7" s="77" t="s">
        <v>320</v>
      </c>
      <c r="C7" s="158"/>
      <c r="D7" s="158"/>
      <c r="E7" s="997" t="s">
        <v>70</v>
      </c>
      <c r="F7" s="158"/>
      <c r="G7" s="158"/>
      <c r="H7" s="158"/>
      <c r="I7" s="158"/>
      <c r="J7" s="158"/>
      <c r="K7" s="158"/>
      <c r="O7" s="16" t="s">
        <v>2247</v>
      </c>
      <c r="P7" s="16"/>
      <c r="Q7" s="1745">
        <f>PWERM!D116</f>
        <v>5.5E-2</v>
      </c>
      <c r="R7" s="1745">
        <f>PWERM!E116</f>
        <v>0.03</v>
      </c>
      <c r="S7" s="1745">
        <f>PWERM!F116</f>
        <v>0.09</v>
      </c>
      <c r="T7" s="1745">
        <f>PWERM!G116</f>
        <v>0.09</v>
      </c>
      <c r="U7" s="1745">
        <f>PWERM!H116</f>
        <v>5.5E-2</v>
      </c>
      <c r="V7" s="1745">
        <f>PWERM!I116</f>
        <v>0.155</v>
      </c>
      <c r="W7" s="1745">
        <f>PWERM!J116</f>
        <v>1.4999999999999999E-2</v>
      </c>
      <c r="X7" s="1745">
        <f>PWERM!K116</f>
        <v>0.115</v>
      </c>
      <c r="Y7" s="1745">
        <f>PWERM!L116</f>
        <v>0.105</v>
      </c>
      <c r="Z7" s="1745">
        <f>PWERM!M116</f>
        <v>0.18</v>
      </c>
      <c r="AA7" s="1745">
        <f>PWERM!N116</f>
        <v>0.1100000000000001</v>
      </c>
      <c r="AB7" s="16"/>
    </row>
    <row r="8" spans="2:28" s="21" customFormat="1" ht="12.75" customHeight="1">
      <c r="B8" s="49"/>
      <c r="C8" s="49"/>
      <c r="D8" s="49"/>
      <c r="E8" s="49"/>
      <c r="F8" s="49"/>
      <c r="G8" s="49"/>
      <c r="H8" s="49"/>
      <c r="I8" s="49"/>
      <c r="J8" s="49"/>
      <c r="K8" s="49"/>
      <c r="O8" s="21" t="s">
        <v>2248</v>
      </c>
      <c r="P8" s="405"/>
      <c r="Q8" s="1746">
        <f>SUMPRODUCT(Q6:AA6,Q7:AA7)</f>
        <v>3.5284794520547953</v>
      </c>
      <c r="R8" s="405"/>
      <c r="S8" s="405"/>
      <c r="T8" s="405"/>
      <c r="U8" s="405"/>
      <c r="V8" s="405"/>
      <c r="W8" s="405"/>
      <c r="X8" s="405"/>
      <c r="Y8" s="405"/>
      <c r="Z8" s="405"/>
      <c r="AA8" s="405"/>
      <c r="AB8" s="405"/>
    </row>
    <row r="9" spans="2:28" ht="12.75" customHeight="1">
      <c r="B9" s="405" t="s">
        <v>318</v>
      </c>
      <c r="C9" s="159"/>
      <c r="D9" s="452">
        <f>PWERM!B222</f>
        <v>143330</v>
      </c>
      <c r="E9" s="996" t="str">
        <f>PWERM!B3</f>
        <v>Exhibit B.1</v>
      </c>
    </row>
    <row r="10" spans="2:28" ht="12.75" customHeight="1">
      <c r="B10" s="405" t="s">
        <v>319</v>
      </c>
      <c r="D10" s="160">
        <f>Q8</f>
        <v>3.5284794520547953</v>
      </c>
      <c r="E10" s="996" t="s">
        <v>1582</v>
      </c>
    </row>
    <row r="11" spans="2:28" ht="12.75" customHeight="1">
      <c r="B11" s="21" t="s">
        <v>74</v>
      </c>
      <c r="C11" s="161"/>
      <c r="D11" s="451">
        <f>'Asset Vol_IPO Phase I'!$Q$47</f>
        <v>0.74099999999999999</v>
      </c>
      <c r="E11" s="996" t="str">
        <f>'Asset Vol_IPO Phase I'!$B$3</f>
        <v>Exhibit H.2</v>
      </c>
      <c r="G11" s="52"/>
    </row>
    <row r="12" spans="2:28" ht="12.75" customHeight="1">
      <c r="B12" s="405" t="s">
        <v>72</v>
      </c>
      <c r="C12" s="161"/>
      <c r="D12" s="453">
        <f>'Risk-Free Rates'!E27</f>
        <v>2.6564239726027398E-2</v>
      </c>
      <c r="E12" s="996" t="str">
        <f>'Risk-Free Rates'!B3</f>
        <v>Exhibit H.8</v>
      </c>
      <c r="G12" s="52"/>
    </row>
    <row r="13" spans="2:28" ht="12.75" customHeight="1">
      <c r="B13" s="405" t="s">
        <v>73</v>
      </c>
      <c r="D13" s="162">
        <v>0</v>
      </c>
      <c r="E13" s="996" t="s">
        <v>1582</v>
      </c>
      <c r="G13" s="52"/>
    </row>
    <row r="14" spans="2:28" ht="12.75" customHeight="1">
      <c r="D14" s="907"/>
      <c r="E14" s="78"/>
      <c r="F14" s="78"/>
      <c r="G14" s="190"/>
    </row>
    <row r="15" spans="2:28" ht="12.75" customHeight="1">
      <c r="D15" s="112">
        <v>1</v>
      </c>
      <c r="E15" s="113">
        <f>D15+1</f>
        <v>2</v>
      </c>
      <c r="F15" s="113">
        <f t="shared" ref="F15:K15" si="0">E15+1</f>
        <v>3</v>
      </c>
      <c r="G15" s="113">
        <f t="shared" si="0"/>
        <v>4</v>
      </c>
      <c r="H15" s="113">
        <f t="shared" si="0"/>
        <v>5</v>
      </c>
      <c r="I15" s="113">
        <f t="shared" si="0"/>
        <v>6</v>
      </c>
      <c r="J15" s="113">
        <f t="shared" si="0"/>
        <v>7</v>
      </c>
      <c r="K15" s="113">
        <f t="shared" si="0"/>
        <v>8</v>
      </c>
    </row>
    <row r="16" spans="2:28" s="6" customFormat="1" ht="59.25" customHeight="1">
      <c r="B16" s="163" t="s">
        <v>321</v>
      </c>
      <c r="D16" s="583" t="str">
        <f t="array" ref="D16:K16">TRANSPOSE('Cap Table'!N30:N37)</f>
        <v>Series A and Series B Receive Liquidation Preference</v>
      </c>
      <c r="E16" s="584" t="str">
        <v>Common Stock Starts Receiving Value</v>
      </c>
      <c r="F16" s="584" t="str">
        <v>Options at $0.11 Strike Price Exercise</v>
      </c>
      <c r="G16" s="584" t="str">
        <v>Options at $0.13 Strike Price Exercise</v>
      </c>
      <c r="H16" s="584" t="str">
        <v>Options at $0.40 Strike Price Exercise</v>
      </c>
      <c r="I16" s="584" t="str">
        <v>Options Expected to be Granted Exercise at $0.47 Strike Price</v>
      </c>
      <c r="J16" s="584" t="str">
        <v>Series A Converts</v>
      </c>
      <c r="K16" s="584" t="str">
        <v>Series B Converts</v>
      </c>
      <c r="M16" s="119"/>
      <c r="O16" s="330"/>
    </row>
    <row r="17" spans="2:17" ht="12.75" customHeight="1"/>
    <row r="18" spans="2:17" ht="12.75" customHeight="1">
      <c r="B18" s="1" t="s">
        <v>326</v>
      </c>
      <c r="O18" s="41" t="str">
        <f>B18</f>
        <v>Liquidation Preference</v>
      </c>
    </row>
    <row r="19" spans="2:17" ht="12.75" customHeight="1">
      <c r="B19" s="2" t="str">
        <f>'Cap Table'!D7</f>
        <v>Series A</v>
      </c>
      <c r="D19" s="387">
        <f t="shared" ref="D19:I19" si="1">$O$19</f>
        <v>44050</v>
      </c>
      <c r="E19" s="387">
        <f t="shared" si="1"/>
        <v>44050</v>
      </c>
      <c r="F19" s="387">
        <f t="shared" si="1"/>
        <v>44050</v>
      </c>
      <c r="G19" s="387">
        <f t="shared" si="1"/>
        <v>44050</v>
      </c>
      <c r="H19" s="387">
        <f t="shared" si="1"/>
        <v>44050</v>
      </c>
      <c r="I19" s="387">
        <f t="shared" si="1"/>
        <v>44050</v>
      </c>
      <c r="J19" s="387">
        <v>0</v>
      </c>
      <c r="K19" s="387">
        <v>0</v>
      </c>
      <c r="M19" s="406"/>
      <c r="O19" s="761">
        <f t="array" ref="O19:O22">TRANSPOSE('Econ Rights'!D13:G13)</f>
        <v>44050</v>
      </c>
    </row>
    <row r="20" spans="2:17" ht="12.75" customHeight="1">
      <c r="B20" s="2" t="str">
        <f>'Cap Table'!E7</f>
        <v>Series B Tranche I</v>
      </c>
      <c r="D20" s="387">
        <f>$O$20</f>
        <v>22049.991999999998</v>
      </c>
      <c r="E20" s="387">
        <f t="shared" ref="E20:J20" si="2">$O$20</f>
        <v>22049.991999999998</v>
      </c>
      <c r="F20" s="387">
        <f t="shared" si="2"/>
        <v>22049.991999999998</v>
      </c>
      <c r="G20" s="387">
        <f t="shared" si="2"/>
        <v>22049.991999999998</v>
      </c>
      <c r="H20" s="387">
        <f t="shared" si="2"/>
        <v>22049.991999999998</v>
      </c>
      <c r="I20" s="387">
        <f t="shared" si="2"/>
        <v>22049.991999999998</v>
      </c>
      <c r="J20" s="387">
        <f t="shared" si="2"/>
        <v>22049.991999999998</v>
      </c>
      <c r="K20" s="387">
        <v>0</v>
      </c>
      <c r="O20" s="761">
        <v>22049.991999999998</v>
      </c>
    </row>
    <row r="21" spans="2:17" ht="12.75" customHeight="1">
      <c r="B21" s="2" t="str">
        <f>'Cap Table'!F7</f>
        <v>Series B Tranche II</v>
      </c>
      <c r="D21" s="387">
        <f>$O$21</f>
        <v>22049.991999999998</v>
      </c>
      <c r="E21" s="387">
        <f t="shared" ref="E21:J21" si="3">$O$21</f>
        <v>22049.991999999998</v>
      </c>
      <c r="F21" s="387">
        <f t="shared" si="3"/>
        <v>22049.991999999998</v>
      </c>
      <c r="G21" s="387">
        <f t="shared" si="3"/>
        <v>22049.991999999998</v>
      </c>
      <c r="H21" s="387">
        <f t="shared" si="3"/>
        <v>22049.991999999998</v>
      </c>
      <c r="I21" s="387">
        <f t="shared" si="3"/>
        <v>22049.991999999998</v>
      </c>
      <c r="J21" s="387">
        <f t="shared" si="3"/>
        <v>22049.991999999998</v>
      </c>
      <c r="K21" s="387">
        <v>0</v>
      </c>
      <c r="O21" s="761">
        <v>22049.991999999998</v>
      </c>
    </row>
    <row r="22" spans="2:17" ht="14.25" customHeight="1">
      <c r="B22" s="2" t="str">
        <f>'Cap Table'!G7</f>
        <v>Series B Tranche III</v>
      </c>
      <c r="D22" s="387">
        <f>$O$22</f>
        <v>22049.991999999998</v>
      </c>
      <c r="E22" s="387">
        <f t="shared" ref="E22:J22" si="4">$O$22</f>
        <v>22049.991999999998</v>
      </c>
      <c r="F22" s="387">
        <f t="shared" si="4"/>
        <v>22049.991999999998</v>
      </c>
      <c r="G22" s="387">
        <f t="shared" si="4"/>
        <v>22049.991999999998</v>
      </c>
      <c r="H22" s="387">
        <f t="shared" si="4"/>
        <v>22049.991999999998</v>
      </c>
      <c r="I22" s="387">
        <f t="shared" si="4"/>
        <v>22049.991999999998</v>
      </c>
      <c r="J22" s="387">
        <f t="shared" si="4"/>
        <v>22049.991999999998</v>
      </c>
      <c r="K22" s="387">
        <v>0</v>
      </c>
      <c r="O22" s="761">
        <v>22049.991999999998</v>
      </c>
    </row>
    <row r="23" spans="2:17" ht="12.75" customHeight="1">
      <c r="B23" s="5"/>
      <c r="C23" s="5"/>
      <c r="D23" s="5"/>
      <c r="E23" s="5"/>
      <c r="F23" s="5"/>
      <c r="G23" s="5"/>
      <c r="H23" s="5"/>
      <c r="I23" s="5"/>
      <c r="J23" s="5"/>
      <c r="K23" s="5"/>
      <c r="O23" s="327"/>
    </row>
    <row r="24" spans="2:17" ht="12.75" customHeight="1">
      <c r="B24" s="41" t="s">
        <v>474</v>
      </c>
      <c r="D24" s="38">
        <f t="shared" ref="D24:K24" si="5">SUM(D19:D22)</f>
        <v>110199.976</v>
      </c>
      <c r="E24" s="38">
        <f t="shared" si="5"/>
        <v>110199.976</v>
      </c>
      <c r="F24" s="38">
        <f t="shared" si="5"/>
        <v>110199.976</v>
      </c>
      <c r="G24" s="38">
        <f t="shared" si="5"/>
        <v>110199.976</v>
      </c>
      <c r="H24" s="38">
        <f t="shared" si="5"/>
        <v>110199.976</v>
      </c>
      <c r="I24" s="38">
        <f t="shared" si="5"/>
        <v>110199.976</v>
      </c>
      <c r="J24" s="38">
        <f t="shared" si="5"/>
        <v>66149.975999999995</v>
      </c>
      <c r="K24" s="38">
        <f t="shared" si="5"/>
        <v>0</v>
      </c>
    </row>
    <row r="25" spans="2:17" ht="12.75" customHeight="1"/>
    <row r="26" spans="2:17" ht="12.75" customHeight="1">
      <c r="B26" s="81" t="s">
        <v>476</v>
      </c>
      <c r="O26" s="41" t="str">
        <f>+B26</f>
        <v>Shares Outstanding / Converted to Common Stock</v>
      </c>
    </row>
    <row r="27" spans="2:17" ht="12.75" customHeight="1">
      <c r="B27" s="165" t="str">
        <f>+$B19</f>
        <v>Series A</v>
      </c>
      <c r="D27" s="387">
        <f t="shared" ref="D27:K30" si="6">IF(D19&gt;0,0,$O27)</f>
        <v>0</v>
      </c>
      <c r="E27" s="387">
        <f t="shared" si="6"/>
        <v>0</v>
      </c>
      <c r="F27" s="387">
        <f t="shared" si="6"/>
        <v>0</v>
      </c>
      <c r="G27" s="387">
        <f t="shared" si="6"/>
        <v>0</v>
      </c>
      <c r="H27" s="387">
        <f t="shared" si="6"/>
        <v>0</v>
      </c>
      <c r="I27" s="387">
        <f t="shared" si="6"/>
        <v>0</v>
      </c>
      <c r="J27" s="387">
        <f t="shared" si="6"/>
        <v>44050</v>
      </c>
      <c r="K27" s="387">
        <f t="shared" si="6"/>
        <v>44050</v>
      </c>
      <c r="O27" s="761">
        <f>'Cap Table'!D11</f>
        <v>44050</v>
      </c>
    </row>
    <row r="28" spans="2:17" ht="12.75" customHeight="1">
      <c r="B28" s="165" t="str">
        <f>+$B20</f>
        <v>Series B Tranche I</v>
      </c>
      <c r="D28" s="387">
        <f t="shared" si="6"/>
        <v>0</v>
      </c>
      <c r="E28" s="387">
        <f t="shared" si="6"/>
        <v>0</v>
      </c>
      <c r="F28" s="387">
        <f t="shared" si="6"/>
        <v>0</v>
      </c>
      <c r="G28" s="387">
        <f t="shared" si="6"/>
        <v>0</v>
      </c>
      <c r="H28" s="387">
        <f t="shared" si="6"/>
        <v>0</v>
      </c>
      <c r="I28" s="387">
        <f t="shared" si="6"/>
        <v>0</v>
      </c>
      <c r="J28" s="387">
        <f t="shared" si="6"/>
        <v>0</v>
      </c>
      <c r="K28" s="387">
        <f t="shared" si="6"/>
        <v>11024.995999999999</v>
      </c>
      <c r="O28" s="761">
        <f>'Cap Table'!E11</f>
        <v>11024.995999999999</v>
      </c>
    </row>
    <row r="29" spans="2:17" ht="12.75" customHeight="1">
      <c r="B29" s="165" t="str">
        <f>+$B21</f>
        <v>Series B Tranche II</v>
      </c>
      <c r="D29" s="387">
        <f t="shared" si="6"/>
        <v>0</v>
      </c>
      <c r="E29" s="387">
        <f t="shared" si="6"/>
        <v>0</v>
      </c>
      <c r="F29" s="387">
        <f t="shared" si="6"/>
        <v>0</v>
      </c>
      <c r="G29" s="387">
        <f t="shared" si="6"/>
        <v>0</v>
      </c>
      <c r="H29" s="387">
        <f t="shared" si="6"/>
        <v>0</v>
      </c>
      <c r="I29" s="387">
        <f t="shared" si="6"/>
        <v>0</v>
      </c>
      <c r="J29" s="387">
        <f t="shared" si="6"/>
        <v>0</v>
      </c>
      <c r="K29" s="387">
        <f t="shared" si="6"/>
        <v>11024.995999999999</v>
      </c>
      <c r="O29" s="761">
        <f>'Cap Table'!F11</f>
        <v>11024.995999999999</v>
      </c>
    </row>
    <row r="30" spans="2:17" ht="12.75" customHeight="1">
      <c r="B30" s="165" t="str">
        <f>+$B22</f>
        <v>Series B Tranche III</v>
      </c>
      <c r="D30" s="387">
        <f t="shared" si="6"/>
        <v>0</v>
      </c>
      <c r="E30" s="387">
        <f t="shared" si="6"/>
        <v>0</v>
      </c>
      <c r="F30" s="387">
        <f t="shared" si="6"/>
        <v>0</v>
      </c>
      <c r="G30" s="387">
        <f t="shared" si="6"/>
        <v>0</v>
      </c>
      <c r="H30" s="387">
        <f t="shared" si="6"/>
        <v>0</v>
      </c>
      <c r="I30" s="387">
        <f t="shared" si="6"/>
        <v>0</v>
      </c>
      <c r="J30" s="387">
        <f t="shared" si="6"/>
        <v>0</v>
      </c>
      <c r="K30" s="387">
        <f t="shared" si="6"/>
        <v>11024.995999999999</v>
      </c>
      <c r="O30" s="761">
        <f>'Cap Table'!G11</f>
        <v>11024.995999999999</v>
      </c>
      <c r="Q30" s="1" t="s">
        <v>610</v>
      </c>
    </row>
    <row r="31" spans="2:17" ht="12.75" customHeight="1">
      <c r="B31" s="329" t="str">
        <f>'Cap Table'!B24</f>
        <v>Options at $0.11 Strike Price</v>
      </c>
      <c r="D31" s="387">
        <v>0</v>
      </c>
      <c r="E31" s="387">
        <v>0</v>
      </c>
      <c r="F31" s="387">
        <f>IF($Q31&lt;=F$39,$O31,0)</f>
        <v>190</v>
      </c>
      <c r="G31" s="387">
        <f t="shared" ref="G31:K34" si="7">IF($Q31&lt;=G$39,$O31,0)</f>
        <v>190</v>
      </c>
      <c r="H31" s="387">
        <f t="shared" si="7"/>
        <v>190</v>
      </c>
      <c r="I31" s="387">
        <f t="shared" si="7"/>
        <v>190</v>
      </c>
      <c r="J31" s="387">
        <f t="shared" si="7"/>
        <v>190</v>
      </c>
      <c r="K31" s="387">
        <f t="shared" si="7"/>
        <v>190</v>
      </c>
      <c r="O31" s="761">
        <f>'Cap Table'!D24</f>
        <v>190</v>
      </c>
      <c r="Q31" s="1661">
        <f>'Cap Table'!E24</f>
        <v>0.11</v>
      </c>
    </row>
    <row r="32" spans="2:17" ht="12.75" customHeight="1">
      <c r="B32" s="329" t="str">
        <f>'Cap Table'!B25</f>
        <v>Options at $0.13 Strike Price</v>
      </c>
      <c r="D32" s="387">
        <v>0</v>
      </c>
      <c r="E32" s="387">
        <v>0</v>
      </c>
      <c r="F32" s="387">
        <f>IF($Q32&lt;=F$39,$O32,0)</f>
        <v>0</v>
      </c>
      <c r="G32" s="387">
        <f t="shared" si="7"/>
        <v>620.404</v>
      </c>
      <c r="H32" s="387">
        <f t="shared" si="7"/>
        <v>620.404</v>
      </c>
      <c r="I32" s="387">
        <f t="shared" si="7"/>
        <v>620.404</v>
      </c>
      <c r="J32" s="387">
        <f t="shared" si="7"/>
        <v>620.404</v>
      </c>
      <c r="K32" s="387">
        <f t="shared" si="7"/>
        <v>620.404</v>
      </c>
      <c r="O32" s="761">
        <f>'Cap Table'!D25</f>
        <v>620.404</v>
      </c>
      <c r="Q32" s="847">
        <f>'Cap Table'!E25</f>
        <v>0.13</v>
      </c>
    </row>
    <row r="33" spans="1:17" ht="12.75" customHeight="1">
      <c r="B33" s="329" t="str">
        <f>'Cap Table'!B26</f>
        <v>Options at $0.40 Strike Price</v>
      </c>
      <c r="D33" s="387">
        <v>0</v>
      </c>
      <c r="E33" s="387">
        <v>0</v>
      </c>
      <c r="F33" s="387">
        <f>IF($Q33&lt;=F$39,$O33,0)</f>
        <v>0</v>
      </c>
      <c r="G33" s="387">
        <f t="shared" si="7"/>
        <v>0</v>
      </c>
      <c r="H33" s="387">
        <f t="shared" si="7"/>
        <v>826</v>
      </c>
      <c r="I33" s="387">
        <f t="shared" si="7"/>
        <v>826</v>
      </c>
      <c r="J33" s="387">
        <f t="shared" si="7"/>
        <v>826</v>
      </c>
      <c r="K33" s="387">
        <f t="shared" si="7"/>
        <v>826</v>
      </c>
      <c r="O33" s="761">
        <f>'Cap Table'!D26</f>
        <v>826</v>
      </c>
      <c r="Q33" s="847">
        <f>'Cap Table'!E26</f>
        <v>0.4</v>
      </c>
    </row>
    <row r="34" spans="1:17" ht="12.75" customHeight="1">
      <c r="B34" s="329" t="str">
        <f>'Cap Table'!B27</f>
        <v>Expected Options Grant</v>
      </c>
      <c r="D34" s="387">
        <v>0</v>
      </c>
      <c r="E34" s="387">
        <v>0</v>
      </c>
      <c r="F34" s="387">
        <f>IF($Q34&lt;=F$39,$O34,0)</f>
        <v>0</v>
      </c>
      <c r="G34" s="387">
        <f t="shared" si="7"/>
        <v>0</v>
      </c>
      <c r="H34" s="387">
        <f t="shared" si="7"/>
        <v>0</v>
      </c>
      <c r="I34" s="387">
        <f t="shared" si="7"/>
        <v>2127.3489690721649</v>
      </c>
      <c r="J34" s="387">
        <f t="shared" si="7"/>
        <v>2127.3489690721649</v>
      </c>
      <c r="K34" s="387">
        <f t="shared" si="7"/>
        <v>2127.3489690721649</v>
      </c>
      <c r="O34" s="761">
        <f>'Cap Table'!D27</f>
        <v>2127.3489690721649</v>
      </c>
      <c r="Q34" s="1662">
        <f>'Cap Table'!E27</f>
        <v>0.47</v>
      </c>
    </row>
    <row r="35" spans="1:17" ht="12.75" customHeight="1">
      <c r="B35" s="165" t="str">
        <f>'Cap Table'!H7</f>
        <v>Common</v>
      </c>
      <c r="D35" s="387">
        <v>0</v>
      </c>
      <c r="E35" s="387">
        <f>$O$35</f>
        <v>16327.046</v>
      </c>
      <c r="F35" s="387">
        <f t="shared" ref="F35:K35" si="8">$O$35</f>
        <v>16327.046</v>
      </c>
      <c r="G35" s="387">
        <f t="shared" si="8"/>
        <v>16327.046</v>
      </c>
      <c r="H35" s="387">
        <f t="shared" si="8"/>
        <v>16327.046</v>
      </c>
      <c r="I35" s="387">
        <f t="shared" si="8"/>
        <v>16327.046</v>
      </c>
      <c r="J35" s="387">
        <f t="shared" si="8"/>
        <v>16327.046</v>
      </c>
      <c r="K35" s="387">
        <f t="shared" si="8"/>
        <v>16327.046</v>
      </c>
      <c r="O35" s="761">
        <f>'Cap Table'!H11</f>
        <v>16327.046</v>
      </c>
    </row>
    <row r="36" spans="1:17" ht="12.75" customHeight="1" thickBot="1">
      <c r="B36" s="5"/>
      <c r="C36" s="5"/>
      <c r="D36" s="5"/>
      <c r="E36" s="5"/>
      <c r="F36" s="5"/>
      <c r="G36" s="5"/>
      <c r="H36" s="5"/>
      <c r="I36" s="5"/>
      <c r="J36" s="5"/>
      <c r="K36" s="5"/>
      <c r="O36" s="171"/>
    </row>
    <row r="37" spans="1:17" ht="12.75" customHeight="1" thickBot="1">
      <c r="B37" s="41" t="s">
        <v>1556</v>
      </c>
      <c r="D37" s="38">
        <f t="shared" ref="D37:K37" si="9">SUM(D27:D35)</f>
        <v>0</v>
      </c>
      <c r="E37" s="38">
        <f t="shared" si="9"/>
        <v>16327.046</v>
      </c>
      <c r="F37" s="38">
        <f t="shared" si="9"/>
        <v>16517.046000000002</v>
      </c>
      <c r="G37" s="38">
        <f t="shared" si="9"/>
        <v>17137.45</v>
      </c>
      <c r="H37" s="38">
        <f t="shared" si="9"/>
        <v>17963.45</v>
      </c>
      <c r="I37" s="38">
        <f t="shared" si="9"/>
        <v>20090.798969072166</v>
      </c>
      <c r="J37" s="38">
        <f t="shared" si="9"/>
        <v>64140.798969072166</v>
      </c>
      <c r="K37" s="38">
        <f t="shared" si="9"/>
        <v>97215.786969072156</v>
      </c>
      <c r="M37" s="404" t="str">
        <f>IF(O37&lt;&gt;('Cap Table'!J20-'Cap Table'!J14+'PWERM Waterfall n Allocation'!O34),"ERROR","")</f>
        <v/>
      </c>
      <c r="O37" s="38">
        <f>SUM(O27:O35)</f>
        <v>97215.786969072156</v>
      </c>
    </row>
    <row r="38" spans="1:17" ht="12.75" customHeight="1"/>
    <row r="39" spans="1:17" ht="12.75" customHeight="1">
      <c r="B39" s="2" t="s">
        <v>328</v>
      </c>
      <c r="D39" s="1663">
        <f t="array" ref="D39:K39">TRANSPOSE('Cap Table'!M30:M37)</f>
        <v>0</v>
      </c>
      <c r="E39" s="1663">
        <v>0</v>
      </c>
      <c r="F39" s="1663">
        <v>0.11</v>
      </c>
      <c r="G39" s="1663">
        <v>0.13</v>
      </c>
      <c r="H39" s="1663">
        <v>0.4</v>
      </c>
      <c r="I39" s="1663">
        <v>0.47</v>
      </c>
      <c r="J39" s="1663">
        <v>1</v>
      </c>
      <c r="K39" s="1663">
        <v>2</v>
      </c>
    </row>
    <row r="40" spans="1:17" ht="12.75" customHeight="1">
      <c r="B40" s="5"/>
      <c r="C40" s="5"/>
      <c r="D40" s="5"/>
      <c r="E40" s="5"/>
      <c r="F40" s="5"/>
      <c r="G40" s="5"/>
      <c r="H40" s="5"/>
      <c r="I40" s="5"/>
      <c r="J40" s="5"/>
      <c r="K40" s="5"/>
    </row>
    <row r="41" spans="1:17" ht="12.75" customHeight="1">
      <c r="B41" s="26" t="s">
        <v>1557</v>
      </c>
      <c r="C41" s="16"/>
      <c r="D41" s="998">
        <f>D37*D39</f>
        <v>0</v>
      </c>
      <c r="E41" s="998">
        <f t="shared" ref="E41:K41" si="10">E37*E39</f>
        <v>0</v>
      </c>
      <c r="F41" s="998">
        <f t="shared" si="10"/>
        <v>1816.8750600000003</v>
      </c>
      <c r="G41" s="998">
        <f t="shared" si="10"/>
        <v>2227.8685</v>
      </c>
      <c r="H41" s="998">
        <f t="shared" si="10"/>
        <v>7185.380000000001</v>
      </c>
      <c r="I41" s="998">
        <f t="shared" si="10"/>
        <v>9442.6755154639177</v>
      </c>
      <c r="J41" s="998">
        <f t="shared" si="10"/>
        <v>64140.798969072166</v>
      </c>
      <c r="K41" s="998">
        <f t="shared" si="10"/>
        <v>194431.57393814431</v>
      </c>
    </row>
    <row r="42" spans="1:17" ht="12.75" customHeight="1"/>
    <row r="43" spans="1:17" ht="12.75" customHeight="1">
      <c r="B43" s="2" t="s">
        <v>329</v>
      </c>
      <c r="D43" s="42">
        <f>-SUMPRODUCT(D31:D34,$Q$31:$Q$34)</f>
        <v>0</v>
      </c>
      <c r="E43" s="42">
        <f t="shared" ref="E43:K43" si="11">-SUMPRODUCT(E31:E34,$Q$31:$Q$34)</f>
        <v>0</v>
      </c>
      <c r="F43" s="42">
        <f t="shared" si="11"/>
        <v>-20.9</v>
      </c>
      <c r="G43" s="42">
        <f t="shared" si="11"/>
        <v>-101.55251999999999</v>
      </c>
      <c r="H43" s="42">
        <f t="shared" si="11"/>
        <v>-431.95252000000005</v>
      </c>
      <c r="I43" s="42">
        <f t="shared" si="11"/>
        <v>-1431.8065354639175</v>
      </c>
      <c r="J43" s="42">
        <f t="shared" si="11"/>
        <v>-1431.8065354639175</v>
      </c>
      <c r="K43" s="42">
        <f t="shared" si="11"/>
        <v>-1431.8065354639175</v>
      </c>
    </row>
    <row r="44" spans="1:17" ht="12.75" customHeight="1">
      <c r="B44" s="5"/>
      <c r="C44" s="5"/>
      <c r="D44" s="5"/>
      <c r="E44" s="5"/>
      <c r="F44" s="5"/>
      <c r="G44" s="5"/>
      <c r="H44" s="5"/>
      <c r="I44" s="5"/>
      <c r="J44" s="5"/>
      <c r="K44" s="5"/>
    </row>
    <row r="45" spans="1:17" ht="12.75" customHeight="1">
      <c r="B45" s="41" t="s">
        <v>330</v>
      </c>
      <c r="D45" s="998">
        <f t="shared" ref="D45:K45" si="12">SUM(D41:D43)+D24</f>
        <v>110199.976</v>
      </c>
      <c r="E45" s="998">
        <f t="shared" si="12"/>
        <v>110199.976</v>
      </c>
      <c r="F45" s="998">
        <f t="shared" si="12"/>
        <v>111995.95105999999</v>
      </c>
      <c r="G45" s="998">
        <f t="shared" si="12"/>
        <v>112326.29197999999</v>
      </c>
      <c r="H45" s="998">
        <f t="shared" si="12"/>
        <v>116953.40347999999</v>
      </c>
      <c r="I45" s="998">
        <f t="shared" si="12"/>
        <v>118210.84497999999</v>
      </c>
      <c r="J45" s="998">
        <f t="shared" si="12"/>
        <v>128858.96843360824</v>
      </c>
      <c r="K45" s="998">
        <f t="shared" si="12"/>
        <v>192999.76740268039</v>
      </c>
    </row>
    <row r="46" spans="1:17" ht="12.75" customHeight="1">
      <c r="B46" s="41"/>
      <c r="D46" s="38"/>
      <c r="E46" s="38"/>
      <c r="F46" s="38"/>
      <c r="G46" s="38"/>
      <c r="H46" s="38"/>
      <c r="I46" s="38"/>
      <c r="J46" s="38"/>
      <c r="K46" s="38"/>
    </row>
    <row r="47" spans="1:17" ht="12.75" customHeight="1"/>
    <row r="48" spans="1:17" s="6" customFormat="1" ht="12.75" customHeight="1">
      <c r="A48" s="76"/>
      <c r="B48" s="279" t="s">
        <v>332</v>
      </c>
      <c r="D48" s="280">
        <f>D$15</f>
        <v>1</v>
      </c>
      <c r="E48" s="281">
        <f t="shared" ref="E48:K48" si="13">E$15</f>
        <v>2</v>
      </c>
      <c r="F48" s="281">
        <f t="shared" si="13"/>
        <v>3</v>
      </c>
      <c r="G48" s="281">
        <f t="shared" si="13"/>
        <v>4</v>
      </c>
      <c r="H48" s="281">
        <f t="shared" si="13"/>
        <v>5</v>
      </c>
      <c r="I48" s="281">
        <f t="shared" si="13"/>
        <v>6</v>
      </c>
      <c r="J48" s="281">
        <f t="shared" si="13"/>
        <v>7</v>
      </c>
      <c r="K48" s="281">
        <f t="shared" si="13"/>
        <v>8</v>
      </c>
      <c r="O48" s="330"/>
    </row>
    <row r="49" spans="2:15" ht="12.75" customHeight="1"/>
    <row r="50" spans="2:15" ht="12.75" customHeight="1">
      <c r="B50" s="405" t="s">
        <v>333</v>
      </c>
      <c r="D50" s="92">
        <v>1E-10</v>
      </c>
      <c r="E50" s="92">
        <f>D51</f>
        <v>110199.976</v>
      </c>
      <c r="F50" s="92">
        <f t="shared" ref="F50:K50" si="14">E51</f>
        <v>111995.95105999999</v>
      </c>
      <c r="G50" s="92">
        <f t="shared" si="14"/>
        <v>112326.29197999999</v>
      </c>
      <c r="H50" s="92">
        <f t="shared" si="14"/>
        <v>116953.40347999999</v>
      </c>
      <c r="I50" s="92">
        <f t="shared" si="14"/>
        <v>118210.84497999999</v>
      </c>
      <c r="J50" s="92">
        <f t="shared" si="14"/>
        <v>128858.96843360824</v>
      </c>
      <c r="K50" s="92">
        <f t="shared" si="14"/>
        <v>192999.76740268039</v>
      </c>
    </row>
    <row r="51" spans="2:15" ht="12.75" customHeight="1">
      <c r="B51" s="405" t="s">
        <v>334</v>
      </c>
      <c r="D51" s="92">
        <f>D45</f>
        <v>110199.976</v>
      </c>
      <c r="E51" s="92">
        <f>IF(F45=0,"n/a",IF(D51=E45,F45,E45))</f>
        <v>111995.95105999999</v>
      </c>
      <c r="F51" s="92">
        <f t="shared" ref="F51:K51" si="15">IF(G45=0,"n/a",IF(E51=F45,G45,F45))</f>
        <v>112326.29197999999</v>
      </c>
      <c r="G51" s="92">
        <f t="shared" si="15"/>
        <v>116953.40347999999</v>
      </c>
      <c r="H51" s="92">
        <f t="shared" si="15"/>
        <v>118210.84497999999</v>
      </c>
      <c r="I51" s="92">
        <f t="shared" si="15"/>
        <v>128858.96843360824</v>
      </c>
      <c r="J51" s="92">
        <f t="shared" si="15"/>
        <v>192999.76740268039</v>
      </c>
      <c r="K51" s="92" t="str">
        <f t="shared" si="15"/>
        <v>n/a</v>
      </c>
    </row>
    <row r="52" spans="2:15" ht="12.75" customHeight="1"/>
    <row r="53" spans="2:15" ht="12.75" hidden="1" customHeight="1" outlineLevel="1">
      <c r="B53" s="405" t="s">
        <v>338</v>
      </c>
      <c r="D53" s="406">
        <f>(LN($D$9/D50)+($D$12+$D$11^2/2)*$D$10)/($D$11*SQRT($D$10))</f>
        <v>25.835813688802048</v>
      </c>
      <c r="E53" s="406">
        <f>(LN($D$9/E50)+($D$12+$D$11^2/2)*$D$10)/($D$11*SQRT($D$10))</f>
        <v>0.95213934823325974</v>
      </c>
      <c r="F53" s="406">
        <f t="shared" ref="F53:K53" si="16">(LN($D$9/F50)+($D$12+$D$11^2/2)*$D$10)/($D$11*SQRT($D$10))</f>
        <v>0.94052508521108236</v>
      </c>
      <c r="G53" s="406">
        <f t="shared" si="16"/>
        <v>0.93840912089051098</v>
      </c>
      <c r="H53" s="406">
        <f t="shared" si="16"/>
        <v>0.90940756287218993</v>
      </c>
      <c r="I53" s="406">
        <f t="shared" si="16"/>
        <v>0.90172442507423378</v>
      </c>
      <c r="J53" s="406">
        <f t="shared" si="16"/>
        <v>0.83976027666328124</v>
      </c>
      <c r="K53" s="406">
        <f t="shared" si="16"/>
        <v>0.54953342625549595</v>
      </c>
    </row>
    <row r="54" spans="2:15" ht="12.75" hidden="1" customHeight="1" outlineLevel="1">
      <c r="B54" s="405" t="s">
        <v>340</v>
      </c>
      <c r="D54" s="406">
        <f>D53-$D$11*SQRT($D$10)</f>
        <v>24.443900966676949</v>
      </c>
      <c r="E54" s="406">
        <f t="shared" ref="E54:K54" si="17">E53-$D$11*SQRT($D$10)</f>
        <v>-0.43977337389183779</v>
      </c>
      <c r="F54" s="406">
        <f t="shared" si="17"/>
        <v>-0.45138763691401518</v>
      </c>
      <c r="G54" s="406">
        <f t="shared" si="17"/>
        <v>-0.45350360123458655</v>
      </c>
      <c r="H54" s="406">
        <f t="shared" si="17"/>
        <v>-0.4825051592529076</v>
      </c>
      <c r="I54" s="406">
        <f t="shared" si="17"/>
        <v>-0.49018829705086375</v>
      </c>
      <c r="J54" s="406">
        <f t="shared" si="17"/>
        <v>-0.5521524454618163</v>
      </c>
      <c r="K54" s="406">
        <f t="shared" si="17"/>
        <v>-0.84237929586960159</v>
      </c>
    </row>
    <row r="55" spans="2:15" ht="12.75" hidden="1" customHeight="1" outlineLevel="1">
      <c r="D55" s="406"/>
      <c r="E55" s="406"/>
      <c r="F55" s="406"/>
      <c r="G55" s="406"/>
      <c r="H55" s="406"/>
      <c r="I55" s="406"/>
      <c r="J55" s="406"/>
      <c r="K55" s="406"/>
    </row>
    <row r="56" spans="2:15" ht="12.75" hidden="1" customHeight="1" outlineLevel="1">
      <c r="B56" s="405" t="s">
        <v>339</v>
      </c>
      <c r="D56" s="406">
        <f>(LN($D$9/D51)+($D$12+$D$11^2/2)*$D$10)/($D$11*SQRT($D$10))</f>
        <v>0.95213934823325974</v>
      </c>
      <c r="E56" s="92">
        <f>IF(E51="n/a","n/a",(LN($D$9/E51)+($D$12+$D$11^2/2)*$D$10)/($D$11*SQRT($D$10)))</f>
        <v>0.94052508521108236</v>
      </c>
      <c r="F56" s="92">
        <f t="shared" ref="F56:K56" si="18">IF(F51="n/a","n/a",(LN($D$9/F51)+($D$12+$D$11^2/2)*$D$10)/($D$11*SQRT($D$10)))</f>
        <v>0.93840912089051098</v>
      </c>
      <c r="G56" s="92">
        <f t="shared" si="18"/>
        <v>0.90940756287218993</v>
      </c>
      <c r="H56" s="92">
        <f t="shared" si="18"/>
        <v>0.90172442507423378</v>
      </c>
      <c r="I56" s="92">
        <f t="shared" si="18"/>
        <v>0.83976027666328124</v>
      </c>
      <c r="J56" s="92">
        <f t="shared" si="18"/>
        <v>0.54953342625549595</v>
      </c>
      <c r="K56" s="92" t="str">
        <f t="shared" si="18"/>
        <v>n/a</v>
      </c>
    </row>
    <row r="57" spans="2:15" ht="12.75" hidden="1" customHeight="1" outlineLevel="1">
      <c r="B57" s="405" t="s">
        <v>341</v>
      </c>
      <c r="D57" s="406">
        <f>D56-$D$11*SQRT($D$10)</f>
        <v>-0.43977337389183779</v>
      </c>
      <c r="E57" s="92">
        <f>IF(E51="n/a","n/a",E56-$D$11*SQRT($D$10))</f>
        <v>-0.45138763691401518</v>
      </c>
      <c r="F57" s="92">
        <f t="shared" ref="F57:K57" si="19">IF(F51="n/a","n/a",F56-$D$11*SQRT($D$10))</f>
        <v>-0.45350360123458655</v>
      </c>
      <c r="G57" s="92">
        <f t="shared" si="19"/>
        <v>-0.4825051592529076</v>
      </c>
      <c r="H57" s="92">
        <f t="shared" si="19"/>
        <v>-0.49018829705086375</v>
      </c>
      <c r="I57" s="92">
        <f t="shared" si="19"/>
        <v>-0.5521524454618163</v>
      </c>
      <c r="J57" s="92">
        <f t="shared" si="19"/>
        <v>-0.84237929586960159</v>
      </c>
      <c r="K57" s="92" t="str">
        <f t="shared" si="19"/>
        <v>n/a</v>
      </c>
    </row>
    <row r="58" spans="2:15" ht="12.75" hidden="1" customHeight="1" outlineLevel="1">
      <c r="D58" s="406"/>
      <c r="E58" s="406"/>
      <c r="F58" s="406"/>
      <c r="G58" s="406"/>
      <c r="H58" s="406"/>
      <c r="I58" s="406"/>
      <c r="J58" s="406"/>
      <c r="K58" s="406"/>
    </row>
    <row r="59" spans="2:15" ht="12.75" customHeight="1" collapsed="1">
      <c r="B59" s="405" t="s">
        <v>335</v>
      </c>
      <c r="D59" s="406">
        <f>$D$9*NORMSDIST(D53)-D50*EXP(-$D$12*$D$10)*NORMSDIST(D54)</f>
        <v>143329.99999999991</v>
      </c>
      <c r="E59" s="406">
        <f t="shared" ref="E59:K59" si="20">$D$9*NORMSDIST(E53)-E50*EXP(-$D$12*$D$10)*NORMSDIST(E54)</f>
        <v>85773.039834692972</v>
      </c>
      <c r="F59" s="406">
        <f t="shared" si="20"/>
        <v>85236.755851154798</v>
      </c>
      <c r="G59" s="406">
        <f t="shared" si="20"/>
        <v>85138.858387427172</v>
      </c>
      <c r="H59" s="406">
        <f t="shared" si="20"/>
        <v>83791.245354107319</v>
      </c>
      <c r="I59" s="406">
        <f t="shared" si="20"/>
        <v>83432.470090857256</v>
      </c>
      <c r="J59" s="406">
        <f t="shared" si="20"/>
        <v>80514.171800579847</v>
      </c>
      <c r="K59" s="406">
        <f t="shared" si="20"/>
        <v>66466.116258159964</v>
      </c>
    </row>
    <row r="60" spans="2:15" ht="12.75" customHeight="1">
      <c r="B60" s="405" t="s">
        <v>336</v>
      </c>
      <c r="D60" s="406">
        <f>$D$9*NORMSDIST(D56)-D51*EXP(-$D$12*$D$10)*NORMSDIST(D57)</f>
        <v>85773.039834692972</v>
      </c>
      <c r="E60" s="92">
        <f>IF(E51="n/a","n/a",$D$9*NORMSDIST(E56)-E51*EXP(-$D$12*$D$10)*NORMSDIST(E57))</f>
        <v>85236.755851154798</v>
      </c>
      <c r="F60" s="92">
        <f t="shared" ref="F60:K60" si="21">IF(F51="n/a","n/a",$D$9*NORMSDIST(F56)-F51*EXP(-$D$12*$D$10)*NORMSDIST(F57))</f>
        <v>85138.858387427172</v>
      </c>
      <c r="G60" s="92">
        <f t="shared" si="21"/>
        <v>83791.245354107319</v>
      </c>
      <c r="H60" s="92">
        <f t="shared" si="21"/>
        <v>83432.470090857256</v>
      </c>
      <c r="I60" s="92">
        <f t="shared" si="21"/>
        <v>80514.171800579847</v>
      </c>
      <c r="J60" s="92">
        <f t="shared" si="21"/>
        <v>66466.116258159964</v>
      </c>
      <c r="K60" s="92" t="str">
        <f t="shared" si="21"/>
        <v>n/a</v>
      </c>
    </row>
    <row r="61" spans="2:15" ht="12.75" customHeight="1"/>
    <row r="62" spans="2:15" ht="12.75" customHeight="1">
      <c r="B62" s="1" t="s">
        <v>337</v>
      </c>
      <c r="C62" s="1"/>
      <c r="D62" s="998">
        <f>D59-D60</f>
        <v>57556.96016530694</v>
      </c>
      <c r="E62" s="998">
        <f>IF(E51="n/a",E59,E59-E60)</f>
        <v>536.28398353817465</v>
      </c>
      <c r="F62" s="998">
        <f t="shared" ref="F62:K62" si="22">IF(F51="n/a",F59,F59-F60)</f>
        <v>97.897463727626018</v>
      </c>
      <c r="G62" s="998">
        <f t="shared" si="22"/>
        <v>1347.6130333198525</v>
      </c>
      <c r="H62" s="998">
        <f t="shared" si="22"/>
        <v>358.77526325006329</v>
      </c>
      <c r="I62" s="998">
        <f t="shared" si="22"/>
        <v>2918.2982902774093</v>
      </c>
      <c r="J62" s="998">
        <f t="shared" si="22"/>
        <v>14048.055542419883</v>
      </c>
      <c r="K62" s="998">
        <f t="shared" si="22"/>
        <v>66466.116258159964</v>
      </c>
    </row>
    <row r="63" spans="2:15" ht="12.75" customHeight="1"/>
    <row r="64" spans="2:15" s="6" customFormat="1" ht="12.75" customHeight="1">
      <c r="B64" s="279" t="s">
        <v>331</v>
      </c>
      <c r="D64" s="280">
        <f>D$15</f>
        <v>1</v>
      </c>
      <c r="E64" s="281">
        <f t="shared" ref="E64:K64" si="23">E$15</f>
        <v>2</v>
      </c>
      <c r="F64" s="281">
        <f t="shared" si="23"/>
        <v>3</v>
      </c>
      <c r="G64" s="281">
        <f t="shared" si="23"/>
        <v>4</v>
      </c>
      <c r="H64" s="281">
        <f t="shared" si="23"/>
        <v>5</v>
      </c>
      <c r="I64" s="281">
        <f t="shared" si="23"/>
        <v>6</v>
      </c>
      <c r="J64" s="281">
        <f t="shared" si="23"/>
        <v>7</v>
      </c>
      <c r="K64" s="281">
        <f t="shared" si="23"/>
        <v>8</v>
      </c>
      <c r="O64" s="330"/>
    </row>
    <row r="65" spans="2:11" ht="12.75" customHeight="1"/>
    <row r="66" spans="2:11" ht="12.75" customHeight="1">
      <c r="D66" s="999" t="s">
        <v>325</v>
      </c>
      <c r="E66" s="999" t="s">
        <v>262</v>
      </c>
      <c r="F66" s="999" t="s">
        <v>262</v>
      </c>
      <c r="G66" s="999" t="s">
        <v>262</v>
      </c>
      <c r="H66" s="999" t="s">
        <v>262</v>
      </c>
      <c r="I66" s="999" t="s">
        <v>262</v>
      </c>
      <c r="J66" s="999" t="s">
        <v>262</v>
      </c>
      <c r="K66" s="999" t="s">
        <v>262</v>
      </c>
    </row>
    <row r="67" spans="2:11" ht="12.75" customHeight="1"/>
    <row r="68" spans="2:11" ht="12.75" customHeight="1">
      <c r="B68" s="165" t="str">
        <f>B27</f>
        <v>Series A</v>
      </c>
      <c r="D68" s="387">
        <f>D19</f>
        <v>44050</v>
      </c>
      <c r="E68" s="387">
        <f>E27</f>
        <v>0</v>
      </c>
      <c r="F68" s="387">
        <f t="shared" ref="F68:K68" si="24">F27</f>
        <v>0</v>
      </c>
      <c r="G68" s="387">
        <f t="shared" si="24"/>
        <v>0</v>
      </c>
      <c r="H68" s="387">
        <f t="shared" si="24"/>
        <v>0</v>
      </c>
      <c r="I68" s="387">
        <f t="shared" si="24"/>
        <v>0</v>
      </c>
      <c r="J68" s="387">
        <f t="shared" si="24"/>
        <v>44050</v>
      </c>
      <c r="K68" s="387">
        <f t="shared" si="24"/>
        <v>44050</v>
      </c>
    </row>
    <row r="69" spans="2:11" ht="12.75" customHeight="1">
      <c r="B69" s="165" t="str">
        <f t="shared" ref="B69:B76" si="25">B28</f>
        <v>Series B Tranche I</v>
      </c>
      <c r="D69" s="387">
        <f>D20</f>
        <v>22049.991999999998</v>
      </c>
      <c r="E69" s="387">
        <f t="shared" ref="E69:K69" si="26">E28</f>
        <v>0</v>
      </c>
      <c r="F69" s="387">
        <f t="shared" si="26"/>
        <v>0</v>
      </c>
      <c r="G69" s="387">
        <f t="shared" si="26"/>
        <v>0</v>
      </c>
      <c r="H69" s="387">
        <f t="shared" si="26"/>
        <v>0</v>
      </c>
      <c r="I69" s="387">
        <f t="shared" si="26"/>
        <v>0</v>
      </c>
      <c r="J69" s="387">
        <f t="shared" si="26"/>
        <v>0</v>
      </c>
      <c r="K69" s="387">
        <f t="shared" si="26"/>
        <v>11024.995999999999</v>
      </c>
    </row>
    <row r="70" spans="2:11" ht="12.75" customHeight="1">
      <c r="B70" s="165" t="str">
        <f t="shared" si="25"/>
        <v>Series B Tranche II</v>
      </c>
      <c r="D70" s="387">
        <f>D21</f>
        <v>22049.991999999998</v>
      </c>
      <c r="E70" s="387">
        <f t="shared" ref="E70:K70" si="27">E29</f>
        <v>0</v>
      </c>
      <c r="F70" s="387">
        <f t="shared" si="27"/>
        <v>0</v>
      </c>
      <c r="G70" s="387">
        <f t="shared" si="27"/>
        <v>0</v>
      </c>
      <c r="H70" s="387">
        <f t="shared" si="27"/>
        <v>0</v>
      </c>
      <c r="I70" s="387">
        <f t="shared" si="27"/>
        <v>0</v>
      </c>
      <c r="J70" s="387">
        <f t="shared" si="27"/>
        <v>0</v>
      </c>
      <c r="K70" s="387">
        <f t="shared" si="27"/>
        <v>11024.995999999999</v>
      </c>
    </row>
    <row r="71" spans="2:11" ht="12.75" customHeight="1">
      <c r="B71" s="165" t="str">
        <f t="shared" si="25"/>
        <v>Series B Tranche III</v>
      </c>
      <c r="D71" s="387">
        <f>D22</f>
        <v>22049.991999999998</v>
      </c>
      <c r="E71" s="387">
        <f t="shared" ref="E71:K71" si="28">E30</f>
        <v>0</v>
      </c>
      <c r="F71" s="387">
        <f t="shared" si="28"/>
        <v>0</v>
      </c>
      <c r="G71" s="387">
        <f t="shared" si="28"/>
        <v>0</v>
      </c>
      <c r="H71" s="387">
        <f t="shared" si="28"/>
        <v>0</v>
      </c>
      <c r="I71" s="387">
        <f t="shared" si="28"/>
        <v>0</v>
      </c>
      <c r="J71" s="387">
        <f t="shared" si="28"/>
        <v>0</v>
      </c>
      <c r="K71" s="387">
        <f t="shared" si="28"/>
        <v>11024.995999999999</v>
      </c>
    </row>
    <row r="72" spans="2:11" ht="12.75" customHeight="1">
      <c r="B72" s="165" t="str">
        <f t="shared" si="25"/>
        <v>Options at $0.11 Strike Price</v>
      </c>
      <c r="D72" s="387">
        <v>0</v>
      </c>
      <c r="E72" s="387">
        <f t="shared" ref="E72:K72" si="29">E31</f>
        <v>0</v>
      </c>
      <c r="F72" s="387">
        <f t="shared" si="29"/>
        <v>190</v>
      </c>
      <c r="G72" s="387">
        <f t="shared" si="29"/>
        <v>190</v>
      </c>
      <c r="H72" s="387">
        <f t="shared" si="29"/>
        <v>190</v>
      </c>
      <c r="I72" s="387">
        <f t="shared" si="29"/>
        <v>190</v>
      </c>
      <c r="J72" s="387">
        <f t="shared" si="29"/>
        <v>190</v>
      </c>
      <c r="K72" s="387">
        <f t="shared" si="29"/>
        <v>190</v>
      </c>
    </row>
    <row r="73" spans="2:11" ht="12.75" customHeight="1">
      <c r="B73" s="165" t="str">
        <f t="shared" si="25"/>
        <v>Options at $0.13 Strike Price</v>
      </c>
      <c r="D73" s="387">
        <v>0</v>
      </c>
      <c r="E73" s="387">
        <f t="shared" ref="E73:K73" si="30">E32</f>
        <v>0</v>
      </c>
      <c r="F73" s="387">
        <f t="shared" si="30"/>
        <v>0</v>
      </c>
      <c r="G73" s="387">
        <f t="shared" si="30"/>
        <v>620.404</v>
      </c>
      <c r="H73" s="387">
        <f t="shared" si="30"/>
        <v>620.404</v>
      </c>
      <c r="I73" s="387">
        <f t="shared" si="30"/>
        <v>620.404</v>
      </c>
      <c r="J73" s="387">
        <f t="shared" si="30"/>
        <v>620.404</v>
      </c>
      <c r="K73" s="387">
        <f t="shared" si="30"/>
        <v>620.404</v>
      </c>
    </row>
    <row r="74" spans="2:11" ht="12.75" customHeight="1">
      <c r="B74" s="165" t="str">
        <f t="shared" si="25"/>
        <v>Options at $0.40 Strike Price</v>
      </c>
      <c r="D74" s="387">
        <v>0</v>
      </c>
      <c r="E74" s="387">
        <f t="shared" ref="E74:K74" si="31">E33</f>
        <v>0</v>
      </c>
      <c r="F74" s="387">
        <f t="shared" si="31"/>
        <v>0</v>
      </c>
      <c r="G74" s="387">
        <f t="shared" si="31"/>
        <v>0</v>
      </c>
      <c r="H74" s="387">
        <f t="shared" si="31"/>
        <v>826</v>
      </c>
      <c r="I74" s="387">
        <f t="shared" si="31"/>
        <v>826</v>
      </c>
      <c r="J74" s="387">
        <f t="shared" si="31"/>
        <v>826</v>
      </c>
      <c r="K74" s="387">
        <f t="shared" si="31"/>
        <v>826</v>
      </c>
    </row>
    <row r="75" spans="2:11" ht="12.75" customHeight="1">
      <c r="B75" s="165" t="str">
        <f t="shared" si="25"/>
        <v>Expected Options Grant</v>
      </c>
      <c r="D75" s="387">
        <v>0</v>
      </c>
      <c r="E75" s="387">
        <f t="shared" ref="E75:K75" si="32">E34</f>
        <v>0</v>
      </c>
      <c r="F75" s="387">
        <f t="shared" si="32"/>
        <v>0</v>
      </c>
      <c r="G75" s="387">
        <f t="shared" si="32"/>
        <v>0</v>
      </c>
      <c r="H75" s="387">
        <f t="shared" si="32"/>
        <v>0</v>
      </c>
      <c r="I75" s="387">
        <f t="shared" si="32"/>
        <v>2127.3489690721649</v>
      </c>
      <c r="J75" s="387">
        <f t="shared" si="32"/>
        <v>2127.3489690721649</v>
      </c>
      <c r="K75" s="387">
        <f t="shared" si="32"/>
        <v>2127.3489690721649</v>
      </c>
    </row>
    <row r="76" spans="2:11" ht="12.75" customHeight="1">
      <c r="B76" s="165" t="str">
        <f t="shared" si="25"/>
        <v>Common</v>
      </c>
      <c r="D76" s="387">
        <v>0</v>
      </c>
      <c r="E76" s="387">
        <f t="shared" ref="E76:K76" si="33">E35</f>
        <v>16327.046</v>
      </c>
      <c r="F76" s="387">
        <f t="shared" si="33"/>
        <v>16327.046</v>
      </c>
      <c r="G76" s="387">
        <f t="shared" si="33"/>
        <v>16327.046</v>
      </c>
      <c r="H76" s="387">
        <f t="shared" si="33"/>
        <v>16327.046</v>
      </c>
      <c r="I76" s="387">
        <f t="shared" si="33"/>
        <v>16327.046</v>
      </c>
      <c r="J76" s="387">
        <f t="shared" si="33"/>
        <v>16327.046</v>
      </c>
      <c r="K76" s="387">
        <f t="shared" si="33"/>
        <v>16327.046</v>
      </c>
    </row>
    <row r="77" spans="2:11" ht="12.75" customHeight="1">
      <c r="B77" s="5"/>
      <c r="C77" s="5"/>
      <c r="D77" s="5"/>
      <c r="E77" s="5"/>
      <c r="F77" s="5"/>
      <c r="G77" s="5"/>
      <c r="H77" s="5"/>
      <c r="I77" s="5"/>
      <c r="J77" s="5"/>
      <c r="K77" s="5"/>
    </row>
    <row r="78" spans="2:11" ht="12.75" customHeight="1">
      <c r="B78" s="41" t="s">
        <v>1558</v>
      </c>
      <c r="D78" s="38">
        <f t="shared" ref="D78:K78" si="34">SUM(D68:D76)</f>
        <v>110199.976</v>
      </c>
      <c r="E78" s="38">
        <f t="shared" si="34"/>
        <v>16327.046</v>
      </c>
      <c r="F78" s="38">
        <f t="shared" si="34"/>
        <v>16517.046000000002</v>
      </c>
      <c r="G78" s="38">
        <f t="shared" si="34"/>
        <v>17137.45</v>
      </c>
      <c r="H78" s="38">
        <f t="shared" si="34"/>
        <v>17963.45</v>
      </c>
      <c r="I78" s="38">
        <f t="shared" si="34"/>
        <v>20090.798969072166</v>
      </c>
      <c r="J78" s="38">
        <f t="shared" si="34"/>
        <v>64140.798969072166</v>
      </c>
      <c r="K78" s="38">
        <f t="shared" si="34"/>
        <v>97215.786969072156</v>
      </c>
    </row>
    <row r="79" spans="2:11" ht="12.75" customHeight="1"/>
    <row r="80" spans="2:11" ht="12.75" customHeight="1">
      <c r="B80" s="279" t="s">
        <v>1586</v>
      </c>
      <c r="C80" s="6"/>
      <c r="D80" s="280">
        <f>D$15</f>
        <v>1</v>
      </c>
      <c r="E80" s="281">
        <f t="shared" ref="E80:K80" si="35">E$15</f>
        <v>2</v>
      </c>
      <c r="F80" s="281">
        <f t="shared" si="35"/>
        <v>3</v>
      </c>
      <c r="G80" s="281">
        <f t="shared" si="35"/>
        <v>4</v>
      </c>
      <c r="H80" s="281">
        <f t="shared" si="35"/>
        <v>5</v>
      </c>
      <c r="I80" s="281">
        <f t="shared" si="35"/>
        <v>6</v>
      </c>
      <c r="J80" s="281">
        <f t="shared" si="35"/>
        <v>7</v>
      </c>
      <c r="K80" s="281">
        <f t="shared" si="35"/>
        <v>8</v>
      </c>
    </row>
    <row r="81" spans="2:15" ht="12.75" customHeight="1"/>
    <row r="82" spans="2:15" ht="12.75" customHeight="1">
      <c r="B82" s="2" t="str">
        <f t="shared" ref="B82:B90" si="36">B68</f>
        <v>Series A</v>
      </c>
      <c r="D82" s="1664">
        <f t="shared" ref="D82:K90" si="37">D68/D$78</f>
        <v>0.39972785475016803</v>
      </c>
      <c r="E82" s="1664">
        <f t="shared" si="37"/>
        <v>0</v>
      </c>
      <c r="F82" s="1664">
        <f t="shared" si="37"/>
        <v>0</v>
      </c>
      <c r="G82" s="1664">
        <f t="shared" si="37"/>
        <v>0</v>
      </c>
      <c r="H82" s="1664">
        <f t="shared" si="37"/>
        <v>0</v>
      </c>
      <c r="I82" s="1664">
        <f t="shared" si="37"/>
        <v>0</v>
      </c>
      <c r="J82" s="1664">
        <f t="shared" si="37"/>
        <v>0.6867703662569018</v>
      </c>
      <c r="K82" s="1664">
        <f t="shared" si="37"/>
        <v>0.4531157065468584</v>
      </c>
    </row>
    <row r="83" spans="2:15" ht="12.75" customHeight="1">
      <c r="B83" s="2" t="str">
        <f t="shared" si="36"/>
        <v>Series B Tranche I</v>
      </c>
      <c r="D83" s="1664">
        <f t="shared" si="37"/>
        <v>0.20009071508327733</v>
      </c>
      <c r="E83" s="1664">
        <f t="shared" si="37"/>
        <v>0</v>
      </c>
      <c r="F83" s="1664">
        <f t="shared" si="37"/>
        <v>0</v>
      </c>
      <c r="G83" s="1664">
        <f t="shared" si="37"/>
        <v>0</v>
      </c>
      <c r="H83" s="1664">
        <f t="shared" si="37"/>
        <v>0</v>
      </c>
      <c r="I83" s="1664">
        <f t="shared" si="37"/>
        <v>0</v>
      </c>
      <c r="J83" s="1664">
        <f t="shared" si="37"/>
        <v>0</v>
      </c>
      <c r="K83" s="1664">
        <f t="shared" si="37"/>
        <v>0.11340746543056271</v>
      </c>
    </row>
    <row r="84" spans="2:15" ht="12.75" customHeight="1">
      <c r="B84" s="2" t="str">
        <f t="shared" si="36"/>
        <v>Series B Tranche II</v>
      </c>
      <c r="D84" s="1664">
        <f t="shared" si="37"/>
        <v>0.20009071508327733</v>
      </c>
      <c r="E84" s="1664">
        <f t="shared" si="37"/>
        <v>0</v>
      </c>
      <c r="F84" s="1664">
        <f t="shared" si="37"/>
        <v>0</v>
      </c>
      <c r="G84" s="1664">
        <f t="shared" si="37"/>
        <v>0</v>
      </c>
      <c r="H84" s="1664">
        <f t="shared" si="37"/>
        <v>0</v>
      </c>
      <c r="I84" s="1664">
        <f t="shared" si="37"/>
        <v>0</v>
      </c>
      <c r="J84" s="1664">
        <f t="shared" si="37"/>
        <v>0</v>
      </c>
      <c r="K84" s="1664">
        <f t="shared" si="37"/>
        <v>0.11340746543056271</v>
      </c>
    </row>
    <row r="85" spans="2:15" ht="12.75" customHeight="1">
      <c r="B85" s="2" t="str">
        <f t="shared" si="36"/>
        <v>Series B Tranche III</v>
      </c>
      <c r="D85" s="1664">
        <f t="shared" si="37"/>
        <v>0.20009071508327733</v>
      </c>
      <c r="E85" s="1664">
        <f t="shared" si="37"/>
        <v>0</v>
      </c>
      <c r="F85" s="1664">
        <f t="shared" si="37"/>
        <v>0</v>
      </c>
      <c r="G85" s="1664">
        <f t="shared" si="37"/>
        <v>0</v>
      </c>
      <c r="H85" s="1664">
        <f t="shared" si="37"/>
        <v>0</v>
      </c>
      <c r="I85" s="1664">
        <f t="shared" si="37"/>
        <v>0</v>
      </c>
      <c r="J85" s="1664">
        <f t="shared" si="37"/>
        <v>0</v>
      </c>
      <c r="K85" s="1664">
        <f t="shared" si="37"/>
        <v>0.11340746543056271</v>
      </c>
    </row>
    <row r="86" spans="2:15" ht="12.75" customHeight="1">
      <c r="B86" s="2" t="str">
        <f t="shared" si="36"/>
        <v>Options at $0.11 Strike Price</v>
      </c>
      <c r="D86" s="1664">
        <f t="shared" si="37"/>
        <v>0</v>
      </c>
      <c r="E86" s="1664">
        <f t="shared" si="37"/>
        <v>0</v>
      </c>
      <c r="F86" s="1664">
        <f t="shared" si="37"/>
        <v>1.1503267593975337E-2</v>
      </c>
      <c r="G86" s="1664">
        <f t="shared" si="37"/>
        <v>1.1086830304391844E-2</v>
      </c>
      <c r="H86" s="1664">
        <f t="shared" si="37"/>
        <v>1.0577032808285713E-2</v>
      </c>
      <c r="I86" s="1664">
        <f t="shared" si="37"/>
        <v>9.4570654105138648E-3</v>
      </c>
      <c r="J86" s="1664">
        <f t="shared" si="37"/>
        <v>2.9622331348197807E-3</v>
      </c>
      <c r="K86" s="1664">
        <f t="shared" si="37"/>
        <v>1.954415079316756E-3</v>
      </c>
    </row>
    <row r="87" spans="2:15" ht="12.75" customHeight="1">
      <c r="B87" s="2" t="str">
        <f t="shared" si="36"/>
        <v>Options at $0.13 Strike Price</v>
      </c>
      <c r="D87" s="1664">
        <f t="shared" si="37"/>
        <v>0</v>
      </c>
      <c r="E87" s="1664">
        <f t="shared" si="37"/>
        <v>0</v>
      </c>
      <c r="F87" s="1664">
        <f t="shared" si="37"/>
        <v>0</v>
      </c>
      <c r="G87" s="1664">
        <f t="shared" si="37"/>
        <v>3.6201651937715351E-2</v>
      </c>
      <c r="H87" s="1664">
        <f t="shared" si="37"/>
        <v>3.4537018223114155E-2</v>
      </c>
      <c r="I87" s="1664">
        <f t="shared" si="37"/>
        <v>3.0880006362865493E-2</v>
      </c>
      <c r="J87" s="1664">
        <f t="shared" si="37"/>
        <v>9.6725330830249017E-3</v>
      </c>
      <c r="K87" s="1664">
        <f t="shared" si="37"/>
        <v>6.3817206993075403E-3</v>
      </c>
    </row>
    <row r="88" spans="2:15" ht="12.75" customHeight="1">
      <c r="B88" s="2" t="str">
        <f t="shared" si="36"/>
        <v>Options at $0.40 Strike Price</v>
      </c>
      <c r="D88" s="1664">
        <f t="shared" si="37"/>
        <v>0</v>
      </c>
      <c r="E88" s="1664">
        <f t="shared" si="37"/>
        <v>0</v>
      </c>
      <c r="F88" s="1664">
        <f t="shared" si="37"/>
        <v>0</v>
      </c>
      <c r="G88" s="1664">
        <f t="shared" si="37"/>
        <v>0</v>
      </c>
      <c r="H88" s="1664">
        <f t="shared" si="37"/>
        <v>4.598225841917894E-2</v>
      </c>
      <c r="I88" s="1664">
        <f t="shared" si="37"/>
        <v>4.1113347521497118E-2</v>
      </c>
      <c r="J88" s="1664">
        <f t="shared" si="37"/>
        <v>1.2877918786111256E-2</v>
      </c>
      <c r="K88" s="1664">
        <f t="shared" si="37"/>
        <v>8.4965623974507382E-3</v>
      </c>
    </row>
    <row r="89" spans="2:15" ht="12.75" customHeight="1">
      <c r="B89" s="2" t="str">
        <f t="shared" si="36"/>
        <v>Expected Options Grant</v>
      </c>
      <c r="D89" s="1664">
        <f t="shared" si="37"/>
        <v>0</v>
      </c>
      <c r="E89" s="1664">
        <f t="shared" si="37"/>
        <v>0</v>
      </c>
      <c r="F89" s="1664">
        <f t="shared" si="37"/>
        <v>0</v>
      </c>
      <c r="G89" s="1664">
        <f t="shared" si="37"/>
        <v>0</v>
      </c>
      <c r="H89" s="1664">
        <f t="shared" si="37"/>
        <v>0</v>
      </c>
      <c r="I89" s="1664">
        <f t="shared" si="37"/>
        <v>0.10588672816581421</v>
      </c>
      <c r="J89" s="1664">
        <f t="shared" si="37"/>
        <v>3.3166861081632991E-2</v>
      </c>
      <c r="K89" s="1664">
        <f t="shared" si="37"/>
        <v>2.1882752126966283E-2</v>
      </c>
    </row>
    <row r="90" spans="2:15" ht="12.75" customHeight="1">
      <c r="B90" s="2" t="str">
        <f t="shared" si="36"/>
        <v>Common</v>
      </c>
      <c r="D90" s="1664">
        <f t="shared" si="37"/>
        <v>0</v>
      </c>
      <c r="E90" s="1664">
        <f t="shared" si="37"/>
        <v>1</v>
      </c>
      <c r="F90" s="1664">
        <f t="shared" si="37"/>
        <v>0.98849673240602454</v>
      </c>
      <c r="G90" s="1664">
        <f t="shared" si="37"/>
        <v>0.95271151775789276</v>
      </c>
      <c r="H90" s="1664">
        <f t="shared" si="37"/>
        <v>0.90890369054942122</v>
      </c>
      <c r="I90" s="1664">
        <f t="shared" si="37"/>
        <v>0.81266285253930926</v>
      </c>
      <c r="J90" s="1664">
        <f t="shared" si="37"/>
        <v>0.25455008765750925</v>
      </c>
      <c r="K90" s="1664">
        <f t="shared" si="37"/>
        <v>0.16794644685841223</v>
      </c>
    </row>
    <row r="91" spans="2:15" ht="12.75" customHeight="1">
      <c r="B91" s="61"/>
      <c r="C91" s="61"/>
      <c r="D91" s="1665"/>
      <c r="E91" s="1665"/>
      <c r="F91" s="1665"/>
      <c r="G91" s="1665"/>
      <c r="H91" s="1665"/>
      <c r="I91" s="1665"/>
      <c r="J91" s="1665"/>
      <c r="K91" s="1665"/>
    </row>
    <row r="92" spans="2:15" ht="12.75" customHeight="1">
      <c r="B92" s="1" t="s">
        <v>1587</v>
      </c>
      <c r="D92" s="38">
        <f t="shared" ref="D92:K92" si="38">SUM(D82:D90)</f>
        <v>1</v>
      </c>
      <c r="E92" s="38">
        <f t="shared" si="38"/>
        <v>1</v>
      </c>
      <c r="F92" s="38">
        <f t="shared" si="38"/>
        <v>0.99999999999999989</v>
      </c>
      <c r="G92" s="38">
        <f t="shared" si="38"/>
        <v>1</v>
      </c>
      <c r="H92" s="38">
        <f t="shared" si="38"/>
        <v>1</v>
      </c>
      <c r="I92" s="38">
        <f t="shared" si="38"/>
        <v>1</v>
      </c>
      <c r="J92" s="38">
        <f t="shared" si="38"/>
        <v>1</v>
      </c>
      <c r="K92" s="38">
        <f t="shared" si="38"/>
        <v>1</v>
      </c>
    </row>
    <row r="93" spans="2:15" ht="12.75" customHeight="1">
      <c r="B93" s="1"/>
      <c r="D93" s="38"/>
      <c r="E93" s="38"/>
      <c r="F93" s="38"/>
      <c r="G93" s="38"/>
      <c r="H93" s="38"/>
      <c r="I93" s="38"/>
      <c r="J93" s="38"/>
      <c r="K93" s="38"/>
    </row>
    <row r="94" spans="2:15" s="6" customFormat="1" ht="12.75" customHeight="1">
      <c r="B94" s="279" t="s">
        <v>342</v>
      </c>
      <c r="D94" s="280">
        <f>D$15</f>
        <v>1</v>
      </c>
      <c r="E94" s="281">
        <f t="shared" ref="E94:K94" si="39">E$15</f>
        <v>2</v>
      </c>
      <c r="F94" s="281">
        <f t="shared" si="39"/>
        <v>3</v>
      </c>
      <c r="G94" s="281">
        <f t="shared" si="39"/>
        <v>4</v>
      </c>
      <c r="H94" s="281">
        <f t="shared" si="39"/>
        <v>5</v>
      </c>
      <c r="I94" s="281">
        <f t="shared" si="39"/>
        <v>6</v>
      </c>
      <c r="J94" s="281">
        <f t="shared" si="39"/>
        <v>7</v>
      </c>
      <c r="K94" s="281">
        <f t="shared" si="39"/>
        <v>8</v>
      </c>
      <c r="M94" s="115" t="s">
        <v>160</v>
      </c>
      <c r="O94" s="330"/>
    </row>
    <row r="95" spans="2:15" ht="12.75" customHeight="1"/>
    <row r="96" spans="2:15" ht="12.75" customHeight="1">
      <c r="B96" s="2" t="str">
        <f>B68</f>
        <v>Series A</v>
      </c>
      <c r="D96" s="1000">
        <f t="shared" ref="D96:K104" si="40">D$62*D68/D$78</f>
        <v>23007.12021281902</v>
      </c>
      <c r="E96" s="1000">
        <f t="shared" si="40"/>
        <v>0</v>
      </c>
      <c r="F96" s="1000">
        <f t="shared" si="40"/>
        <v>0</v>
      </c>
      <c r="G96" s="1000">
        <f t="shared" si="40"/>
        <v>0</v>
      </c>
      <c r="H96" s="1000">
        <f t="shared" si="40"/>
        <v>0</v>
      </c>
      <c r="I96" s="1000">
        <f t="shared" si="40"/>
        <v>0</v>
      </c>
      <c r="J96" s="1000">
        <f t="shared" si="40"/>
        <v>9647.7882500650012</v>
      </c>
      <c r="K96" s="1000">
        <f t="shared" si="40"/>
        <v>30116.841229741785</v>
      </c>
      <c r="M96" s="406">
        <f t="shared" ref="M96:M104" si="41">SUM(D96:K96)</f>
        <v>62771.749692625803</v>
      </c>
    </row>
    <row r="97" spans="2:15" ht="12.75" customHeight="1">
      <c r="B97" s="2" t="str">
        <f t="shared" ref="B97:B104" si="42">B69</f>
        <v>Series B Tranche I</v>
      </c>
      <c r="D97" s="406">
        <f t="shared" si="40"/>
        <v>11516.613317495972</v>
      </c>
      <c r="E97" s="406">
        <f t="shared" si="40"/>
        <v>0</v>
      </c>
      <c r="F97" s="406">
        <f t="shared" si="40"/>
        <v>0</v>
      </c>
      <c r="G97" s="406">
        <f t="shared" si="40"/>
        <v>0</v>
      </c>
      <c r="H97" s="406">
        <f t="shared" si="40"/>
        <v>0</v>
      </c>
      <c r="I97" s="406">
        <f t="shared" si="40"/>
        <v>0</v>
      </c>
      <c r="J97" s="406">
        <f t="shared" si="40"/>
        <v>0</v>
      </c>
      <c r="K97" s="406">
        <f t="shared" si="40"/>
        <v>7537.7537818510382</v>
      </c>
      <c r="M97" s="406">
        <f t="shared" si="41"/>
        <v>19054.367099347011</v>
      </c>
    </row>
    <row r="98" spans="2:15" ht="12.75" customHeight="1">
      <c r="B98" s="2" t="str">
        <f t="shared" si="42"/>
        <v>Series B Tranche II</v>
      </c>
      <c r="D98" s="406">
        <f t="shared" si="40"/>
        <v>11516.613317495972</v>
      </c>
      <c r="E98" s="406">
        <f t="shared" si="40"/>
        <v>0</v>
      </c>
      <c r="F98" s="406">
        <f t="shared" si="40"/>
        <v>0</v>
      </c>
      <c r="G98" s="406">
        <f t="shared" si="40"/>
        <v>0</v>
      </c>
      <c r="H98" s="406">
        <f t="shared" si="40"/>
        <v>0</v>
      </c>
      <c r="I98" s="406">
        <f t="shared" si="40"/>
        <v>0</v>
      </c>
      <c r="J98" s="406">
        <f t="shared" si="40"/>
        <v>0</v>
      </c>
      <c r="K98" s="406">
        <f t="shared" si="40"/>
        <v>7537.7537818510382</v>
      </c>
      <c r="M98" s="406">
        <f t="shared" si="41"/>
        <v>19054.367099347011</v>
      </c>
    </row>
    <row r="99" spans="2:15" ht="12.75" customHeight="1">
      <c r="B99" s="2" t="str">
        <f t="shared" si="42"/>
        <v>Series B Tranche III</v>
      </c>
      <c r="D99" s="406">
        <f t="shared" si="40"/>
        <v>11516.613317495972</v>
      </c>
      <c r="E99" s="406">
        <f t="shared" si="40"/>
        <v>0</v>
      </c>
      <c r="F99" s="406">
        <f t="shared" si="40"/>
        <v>0</v>
      </c>
      <c r="G99" s="406">
        <f t="shared" si="40"/>
        <v>0</v>
      </c>
      <c r="H99" s="406">
        <f t="shared" si="40"/>
        <v>0</v>
      </c>
      <c r="I99" s="406">
        <f t="shared" si="40"/>
        <v>0</v>
      </c>
      <c r="J99" s="406">
        <f t="shared" si="40"/>
        <v>0</v>
      </c>
      <c r="K99" s="406">
        <f t="shared" si="40"/>
        <v>7537.7537818510382</v>
      </c>
      <c r="M99" s="406">
        <f t="shared" si="41"/>
        <v>19054.367099347011</v>
      </c>
    </row>
    <row r="100" spans="2:15" ht="12.75" customHeight="1">
      <c r="B100" s="2" t="str">
        <f t="shared" si="42"/>
        <v>Options at $0.11 Strike Price</v>
      </c>
      <c r="D100" s="406">
        <f t="shared" si="40"/>
        <v>0</v>
      </c>
      <c r="E100" s="406">
        <f t="shared" si="40"/>
        <v>0</v>
      </c>
      <c r="F100" s="406">
        <f t="shared" si="40"/>
        <v>1.1261407220303765</v>
      </c>
      <c r="G100" s="406">
        <f t="shared" si="40"/>
        <v>14.940757016403955</v>
      </c>
      <c r="H100" s="406">
        <f t="shared" si="40"/>
        <v>3.7947777301972629</v>
      </c>
      <c r="I100" s="406">
        <f t="shared" si="40"/>
        <v>27.598537818544237</v>
      </c>
      <c r="J100" s="406">
        <f t="shared" si="40"/>
        <v>41.613615607544844</v>
      </c>
      <c r="K100" s="406">
        <f t="shared" si="40"/>
        <v>129.90237987856844</v>
      </c>
      <c r="M100" s="406">
        <f t="shared" si="41"/>
        <v>218.9762087732891</v>
      </c>
    </row>
    <row r="101" spans="2:15" ht="12.75" customHeight="1">
      <c r="B101" s="2" t="str">
        <f t="shared" si="42"/>
        <v>Options at $0.13 Strike Price</v>
      </c>
      <c r="D101" s="406">
        <f t="shared" si="40"/>
        <v>0</v>
      </c>
      <c r="E101" s="406">
        <f t="shared" si="40"/>
        <v>0</v>
      </c>
      <c r="F101" s="406">
        <f t="shared" si="40"/>
        <v>0</v>
      </c>
      <c r="G101" s="406">
        <f t="shared" si="40"/>
        <v>48.785817978974109</v>
      </c>
      <c r="H101" s="406">
        <f t="shared" si="40"/>
        <v>12.391027804870015</v>
      </c>
      <c r="I101" s="406">
        <f t="shared" si="40"/>
        <v>90.1170697725059</v>
      </c>
      <c r="J101" s="406">
        <f t="shared" si="40"/>
        <v>135.88028198622763</v>
      </c>
      <c r="K101" s="406">
        <f t="shared" si="40"/>
        <v>424.16818992728082</v>
      </c>
      <c r="M101" s="406">
        <f t="shared" si="41"/>
        <v>711.34238746985852</v>
      </c>
    </row>
    <row r="102" spans="2:15" ht="12.75" customHeight="1">
      <c r="B102" s="2" t="str">
        <f t="shared" si="42"/>
        <v>Options at $0.40 Strike Price</v>
      </c>
      <c r="D102" s="406">
        <f t="shared" si="40"/>
        <v>0</v>
      </c>
      <c r="E102" s="406">
        <f t="shared" si="40"/>
        <v>0</v>
      </c>
      <c r="F102" s="406">
        <f t="shared" si="40"/>
        <v>0</v>
      </c>
      <c r="G102" s="406">
        <f t="shared" si="40"/>
        <v>0</v>
      </c>
      <c r="H102" s="406">
        <f t="shared" si="40"/>
        <v>16.497296869173361</v>
      </c>
      <c r="I102" s="406">
        <f t="shared" si="40"/>
        <v>119.98101177956599</v>
      </c>
      <c r="J102" s="406">
        <f t="shared" si="40"/>
        <v>180.90971837806339</v>
      </c>
      <c r="K102" s="406">
        <f t="shared" si="40"/>
        <v>564.73350410367118</v>
      </c>
      <c r="M102" s="406">
        <f t="shared" si="41"/>
        <v>882.12153113047395</v>
      </c>
    </row>
    <row r="103" spans="2:15" ht="12.75" customHeight="1">
      <c r="B103" s="2" t="str">
        <f t="shared" si="42"/>
        <v>Expected Options Grant</v>
      </c>
      <c r="D103" s="406">
        <f t="shared" si="40"/>
        <v>0</v>
      </c>
      <c r="E103" s="406">
        <f t="shared" si="40"/>
        <v>0</v>
      </c>
      <c r="F103" s="406">
        <f t="shared" si="40"/>
        <v>0</v>
      </c>
      <c r="G103" s="406">
        <f t="shared" si="40"/>
        <v>0</v>
      </c>
      <c r="H103" s="406">
        <f t="shared" si="40"/>
        <v>0</v>
      </c>
      <c r="I103" s="406">
        <f t="shared" si="40"/>
        <v>309.0090577693644</v>
      </c>
      <c r="J103" s="406">
        <f t="shared" si="40"/>
        <v>465.92990664250459</v>
      </c>
      <c r="K103" s="406">
        <f t="shared" si="40"/>
        <v>1454.4615469194382</v>
      </c>
      <c r="M103" s="406">
        <f t="shared" si="41"/>
        <v>2229.4005113313069</v>
      </c>
    </row>
    <row r="104" spans="2:15" ht="12.75" customHeight="1">
      <c r="B104" s="2" t="str">
        <f t="shared" si="42"/>
        <v>Common</v>
      </c>
      <c r="D104" s="406">
        <f t="shared" si="40"/>
        <v>0</v>
      </c>
      <c r="E104" s="406">
        <f t="shared" si="40"/>
        <v>536.28398353817465</v>
      </c>
      <c r="F104" s="406">
        <f t="shared" si="40"/>
        <v>96.771323005595633</v>
      </c>
      <c r="G104" s="406">
        <f t="shared" si="40"/>
        <v>1283.8864583244745</v>
      </c>
      <c r="H104" s="406">
        <f t="shared" si="40"/>
        <v>326.09216084582266</v>
      </c>
      <c r="I104" s="406">
        <f t="shared" si="40"/>
        <v>2371.5926131374285</v>
      </c>
      <c r="J104" s="406">
        <f t="shared" si="40"/>
        <v>3575.9337697405404</v>
      </c>
      <c r="K104" s="406">
        <f t="shared" si="40"/>
        <v>11162.748062036113</v>
      </c>
      <c r="M104" s="406">
        <f t="shared" si="41"/>
        <v>19353.308370628147</v>
      </c>
    </row>
    <row r="105" spans="2:15" ht="12.75" customHeight="1">
      <c r="B105" s="61"/>
      <c r="C105" s="61"/>
      <c r="D105" s="5"/>
      <c r="E105" s="5"/>
      <c r="F105" s="5"/>
      <c r="G105" s="5"/>
      <c r="H105" s="5"/>
      <c r="I105" s="5"/>
      <c r="J105" s="5"/>
      <c r="K105" s="5"/>
      <c r="M105" s="5"/>
    </row>
    <row r="106" spans="2:15" ht="12.75" customHeight="1">
      <c r="B106" s="1" t="s">
        <v>1559</v>
      </c>
      <c r="D106" s="1001">
        <f t="shared" ref="D106:K106" si="43">SUM(D96:D104)</f>
        <v>57556.960165306926</v>
      </c>
      <c r="E106" s="1001">
        <f t="shared" si="43"/>
        <v>536.28398353817465</v>
      </c>
      <c r="F106" s="1001">
        <f t="shared" si="43"/>
        <v>97.897463727626004</v>
      </c>
      <c r="G106" s="1001">
        <f t="shared" si="43"/>
        <v>1347.6130333198525</v>
      </c>
      <c r="H106" s="1001">
        <f t="shared" si="43"/>
        <v>358.77526325006329</v>
      </c>
      <c r="I106" s="1001">
        <f t="shared" si="43"/>
        <v>2918.2982902774093</v>
      </c>
      <c r="J106" s="1001">
        <f t="shared" si="43"/>
        <v>14048.055542419883</v>
      </c>
      <c r="K106" s="1001">
        <f t="shared" si="43"/>
        <v>66466.116258159978</v>
      </c>
      <c r="M106" s="38">
        <f>SUM(M96:M104)</f>
        <v>143329.99999999994</v>
      </c>
      <c r="O106" s="331">
        <f>M106-D9</f>
        <v>0</v>
      </c>
    </row>
    <row r="107" spans="2:15" ht="12.75" customHeight="1"/>
    <row r="108" spans="2:15" ht="12.75" customHeight="1"/>
    <row r="110" spans="2:15">
      <c r="B110" s="405" t="s">
        <v>1588</v>
      </c>
      <c r="D110" s="1002">
        <f>D45</f>
        <v>110199.976</v>
      </c>
      <c r="E110" s="1002">
        <f t="shared" ref="E110:J110" si="44">F45-E45</f>
        <v>1795.975059999997</v>
      </c>
      <c r="F110" s="1002">
        <f t="shared" si="44"/>
        <v>330.34092000000237</v>
      </c>
      <c r="G110" s="1002">
        <f t="shared" si="44"/>
        <v>4627.1114999999991</v>
      </c>
      <c r="H110" s="1002">
        <f t="shared" si="44"/>
        <v>1257.4415000000008</v>
      </c>
      <c r="I110" s="1002">
        <f t="shared" si="44"/>
        <v>10648.123453608248</v>
      </c>
      <c r="J110" s="1002">
        <f t="shared" si="44"/>
        <v>64140.798969072144</v>
      </c>
      <c r="K110" s="1002"/>
    </row>
    <row r="111" spans="2:15">
      <c r="D111" s="1002"/>
      <c r="E111" s="1002"/>
      <c r="F111" s="1002"/>
      <c r="G111" s="1002"/>
      <c r="H111" s="1002"/>
      <c r="I111" s="1002"/>
      <c r="J111" s="1002"/>
      <c r="K111" s="1002"/>
    </row>
    <row r="112" spans="2:15">
      <c r="B112" s="1003" t="s">
        <v>1589</v>
      </c>
      <c r="C112" s="6"/>
      <c r="D112" s="1004">
        <f t="shared" ref="D112:J112" si="45">D94</f>
        <v>1</v>
      </c>
      <c r="E112" s="1005">
        <f t="shared" si="45"/>
        <v>2</v>
      </c>
      <c r="F112" s="1005">
        <f t="shared" si="45"/>
        <v>3</v>
      </c>
      <c r="G112" s="1005">
        <f t="shared" si="45"/>
        <v>4</v>
      </c>
      <c r="H112" s="1005">
        <f t="shared" si="45"/>
        <v>5</v>
      </c>
      <c r="I112" s="1005">
        <f t="shared" si="45"/>
        <v>6</v>
      </c>
      <c r="J112" s="1005">
        <f t="shared" si="45"/>
        <v>7</v>
      </c>
      <c r="K112" s="1005"/>
    </row>
    <row r="113" spans="2:11">
      <c r="D113" s="1002"/>
      <c r="E113" s="1002"/>
      <c r="F113" s="1002"/>
      <c r="G113" s="1002"/>
      <c r="H113" s="1002"/>
      <c r="I113" s="1002"/>
      <c r="J113" s="1002"/>
      <c r="K113" s="1002"/>
    </row>
    <row r="114" spans="2:11">
      <c r="B114" s="405" t="str">
        <f>B96</f>
        <v>Series A</v>
      </c>
      <c r="D114" s="406">
        <f t="shared" ref="D114:J122" si="46">D68/D$78*D$110</f>
        <v>44050</v>
      </c>
      <c r="E114" s="406">
        <f t="shared" si="46"/>
        <v>0</v>
      </c>
      <c r="F114" s="406">
        <f t="shared" si="46"/>
        <v>0</v>
      </c>
      <c r="G114" s="406">
        <f t="shared" si="46"/>
        <v>0</v>
      </c>
      <c r="H114" s="406">
        <f t="shared" si="46"/>
        <v>0</v>
      </c>
      <c r="I114" s="406">
        <f t="shared" si="46"/>
        <v>0</v>
      </c>
      <c r="J114" s="406">
        <f t="shared" si="46"/>
        <v>44049.999999999985</v>
      </c>
      <c r="K114" s="406"/>
    </row>
    <row r="115" spans="2:11">
      <c r="B115" s="405" t="str">
        <f t="shared" ref="B115:B122" si="47">B97</f>
        <v>Series B Tranche I</v>
      </c>
      <c r="D115" s="406">
        <f t="shared" si="46"/>
        <v>22049.991999999998</v>
      </c>
      <c r="E115" s="406">
        <f t="shared" si="46"/>
        <v>0</v>
      </c>
      <c r="F115" s="406">
        <f t="shared" si="46"/>
        <v>0</v>
      </c>
      <c r="G115" s="406">
        <f t="shared" si="46"/>
        <v>0</v>
      </c>
      <c r="H115" s="406">
        <f t="shared" si="46"/>
        <v>0</v>
      </c>
      <c r="I115" s="406">
        <f t="shared" si="46"/>
        <v>0</v>
      </c>
      <c r="J115" s="406">
        <f t="shared" si="46"/>
        <v>0</v>
      </c>
      <c r="K115" s="406"/>
    </row>
    <row r="116" spans="2:11">
      <c r="B116" s="405" t="str">
        <f t="shared" si="47"/>
        <v>Series B Tranche II</v>
      </c>
      <c r="D116" s="406">
        <f t="shared" si="46"/>
        <v>22049.991999999998</v>
      </c>
      <c r="E116" s="406">
        <f t="shared" si="46"/>
        <v>0</v>
      </c>
      <c r="F116" s="406">
        <f t="shared" si="46"/>
        <v>0</v>
      </c>
      <c r="G116" s="406">
        <f t="shared" si="46"/>
        <v>0</v>
      </c>
      <c r="H116" s="406">
        <f t="shared" si="46"/>
        <v>0</v>
      </c>
      <c r="I116" s="406">
        <f t="shared" si="46"/>
        <v>0</v>
      </c>
      <c r="J116" s="406">
        <f t="shared" si="46"/>
        <v>0</v>
      </c>
      <c r="K116" s="406"/>
    </row>
    <row r="117" spans="2:11">
      <c r="B117" s="405" t="str">
        <f t="shared" si="47"/>
        <v>Series B Tranche III</v>
      </c>
      <c r="D117" s="406">
        <f t="shared" si="46"/>
        <v>22049.991999999998</v>
      </c>
      <c r="E117" s="406">
        <f t="shared" si="46"/>
        <v>0</v>
      </c>
      <c r="F117" s="406">
        <f t="shared" si="46"/>
        <v>0</v>
      </c>
      <c r="G117" s="406">
        <f t="shared" si="46"/>
        <v>0</v>
      </c>
      <c r="H117" s="406">
        <f t="shared" si="46"/>
        <v>0</v>
      </c>
      <c r="I117" s="406">
        <f t="shared" si="46"/>
        <v>0</v>
      </c>
      <c r="J117" s="406">
        <f t="shared" si="46"/>
        <v>0</v>
      </c>
      <c r="K117" s="406"/>
    </row>
    <row r="118" spans="2:11">
      <c r="B118" s="405" t="str">
        <f t="shared" si="47"/>
        <v>Options at $0.11 Strike Price</v>
      </c>
      <c r="D118" s="406">
        <f t="shared" si="46"/>
        <v>0</v>
      </c>
      <c r="E118" s="406">
        <f t="shared" si="46"/>
        <v>0</v>
      </c>
      <c r="F118" s="406">
        <f t="shared" si="46"/>
        <v>3.8000000000000265</v>
      </c>
      <c r="G118" s="406">
        <f t="shared" si="46"/>
        <v>51.29999999999999</v>
      </c>
      <c r="H118" s="406">
        <f t="shared" si="46"/>
        <v>13.300000000000008</v>
      </c>
      <c r="I118" s="406">
        <f t="shared" si="46"/>
        <v>100.7</v>
      </c>
      <c r="J118" s="406">
        <f t="shared" si="46"/>
        <v>189.99999999999994</v>
      </c>
      <c r="K118" s="406"/>
    </row>
    <row r="119" spans="2:11">
      <c r="B119" s="405" t="str">
        <f t="shared" si="47"/>
        <v>Options at $0.13 Strike Price</v>
      </c>
      <c r="D119" s="406">
        <f t="shared" si="46"/>
        <v>0</v>
      </c>
      <c r="E119" s="406">
        <f t="shared" si="46"/>
        <v>0</v>
      </c>
      <c r="F119" s="406">
        <f t="shared" si="46"/>
        <v>0</v>
      </c>
      <c r="G119" s="406">
        <f t="shared" si="46"/>
        <v>167.50907999999995</v>
      </c>
      <c r="H119" s="406">
        <f t="shared" si="46"/>
        <v>43.428280000000022</v>
      </c>
      <c r="I119" s="406">
        <f t="shared" si="46"/>
        <v>328.81412</v>
      </c>
      <c r="J119" s="406">
        <f t="shared" si="46"/>
        <v>620.40399999999977</v>
      </c>
      <c r="K119" s="406"/>
    </row>
    <row r="120" spans="2:11">
      <c r="B120" s="405" t="str">
        <f t="shared" si="47"/>
        <v>Options at $0.40 Strike Price</v>
      </c>
      <c r="D120" s="406">
        <f t="shared" si="46"/>
        <v>0</v>
      </c>
      <c r="E120" s="406">
        <f t="shared" si="46"/>
        <v>0</v>
      </c>
      <c r="F120" s="406">
        <f t="shared" si="46"/>
        <v>0</v>
      </c>
      <c r="G120" s="406">
        <f t="shared" si="46"/>
        <v>0</v>
      </c>
      <c r="H120" s="406">
        <f t="shared" si="46"/>
        <v>57.820000000000029</v>
      </c>
      <c r="I120" s="406">
        <f t="shared" si="46"/>
        <v>437.78000000000003</v>
      </c>
      <c r="J120" s="406">
        <f t="shared" si="46"/>
        <v>825.99999999999966</v>
      </c>
      <c r="K120" s="406"/>
    </row>
    <row r="121" spans="2:11">
      <c r="B121" s="405" t="str">
        <f t="shared" si="47"/>
        <v>Expected Options Grant</v>
      </c>
      <c r="D121" s="406">
        <f t="shared" si="46"/>
        <v>0</v>
      </c>
      <c r="E121" s="406">
        <f t="shared" si="46"/>
        <v>0</v>
      </c>
      <c r="F121" s="406">
        <f t="shared" si="46"/>
        <v>0</v>
      </c>
      <c r="G121" s="406">
        <f t="shared" si="46"/>
        <v>0</v>
      </c>
      <c r="H121" s="406">
        <f t="shared" si="46"/>
        <v>0</v>
      </c>
      <c r="I121" s="406">
        <f t="shared" si="46"/>
        <v>1127.4949536082474</v>
      </c>
      <c r="J121" s="406">
        <f t="shared" si="46"/>
        <v>2127.3489690721644</v>
      </c>
      <c r="K121" s="406"/>
    </row>
    <row r="122" spans="2:11">
      <c r="B122" s="405" t="str">
        <f t="shared" si="47"/>
        <v>Common</v>
      </c>
      <c r="D122" s="406">
        <f t="shared" si="46"/>
        <v>0</v>
      </c>
      <c r="E122" s="406">
        <f t="shared" si="46"/>
        <v>1795.975059999997</v>
      </c>
      <c r="F122" s="406">
        <f t="shared" si="46"/>
        <v>326.5409200000023</v>
      </c>
      <c r="G122" s="406">
        <f t="shared" si="46"/>
        <v>4408.3024199999991</v>
      </c>
      <c r="H122" s="406">
        <f t="shared" si="46"/>
        <v>1142.8932200000008</v>
      </c>
      <c r="I122" s="406">
        <f t="shared" si="46"/>
        <v>8653.3343800000002</v>
      </c>
      <c r="J122" s="406">
        <f t="shared" si="46"/>
        <v>16327.045999999993</v>
      </c>
      <c r="K122" s="406"/>
    </row>
    <row r="123" spans="2:11">
      <c r="D123" s="412"/>
      <c r="E123" s="412"/>
      <c r="F123" s="412"/>
      <c r="G123" s="412"/>
      <c r="H123" s="412"/>
      <c r="I123" s="412"/>
      <c r="J123" s="412"/>
      <c r="K123" s="412"/>
    </row>
    <row r="124" spans="2:11">
      <c r="B124" s="1003" t="s">
        <v>1590</v>
      </c>
      <c r="C124" s="6"/>
      <c r="D124" s="1004">
        <f t="shared" ref="D124:J124" si="48">D112</f>
        <v>1</v>
      </c>
      <c r="E124" s="1005">
        <f t="shared" si="48"/>
        <v>2</v>
      </c>
      <c r="F124" s="1005">
        <f t="shared" si="48"/>
        <v>3</v>
      </c>
      <c r="G124" s="1005">
        <f t="shared" si="48"/>
        <v>4</v>
      </c>
      <c r="H124" s="1005">
        <f t="shared" si="48"/>
        <v>5</v>
      </c>
      <c r="I124" s="1005">
        <f t="shared" si="48"/>
        <v>6</v>
      </c>
      <c r="J124" s="1005">
        <f t="shared" si="48"/>
        <v>7</v>
      </c>
      <c r="K124" s="1005"/>
    </row>
    <row r="125" spans="2:11">
      <c r="D125" s="412"/>
      <c r="E125" s="412"/>
      <c r="F125" s="412"/>
      <c r="G125" s="412"/>
      <c r="H125" s="412"/>
      <c r="I125" s="412"/>
      <c r="J125" s="412"/>
      <c r="K125" s="412"/>
    </row>
    <row r="126" spans="2:11">
      <c r="B126" s="405" t="str">
        <f t="shared" ref="B126:B134" si="49">B114</f>
        <v>Series A</v>
      </c>
      <c r="D126" s="1006">
        <f>SUM($D114:D114)/$O27</f>
        <v>1</v>
      </c>
      <c r="E126" s="1006">
        <f>SUM($D114:E114)/$O27</f>
        <v>1</v>
      </c>
      <c r="F126" s="1006">
        <f>SUM($D114:F114)/$O27</f>
        <v>1</v>
      </c>
      <c r="G126" s="1006">
        <f>SUM($D114:G114)/$O27</f>
        <v>1</v>
      </c>
      <c r="H126" s="1006">
        <f>SUM($D114:H114)/$O27</f>
        <v>1</v>
      </c>
      <c r="I126" s="1006">
        <f>SUM($D114:I114)/$O27</f>
        <v>1</v>
      </c>
      <c r="J126" s="1006">
        <f>SUM($D114:J114)/$O27</f>
        <v>1.9999999999999998</v>
      </c>
      <c r="K126" s="1006"/>
    </row>
    <row r="127" spans="2:11">
      <c r="B127" s="405" t="str">
        <f t="shared" si="49"/>
        <v>Series B Tranche I</v>
      </c>
      <c r="D127" s="1006">
        <f>SUM($D115:D115)/$O28</f>
        <v>2</v>
      </c>
      <c r="E127" s="1006">
        <f>SUM($D115:E115)/$O28</f>
        <v>2</v>
      </c>
      <c r="F127" s="1006">
        <f>SUM($D115:F115)/$O28</f>
        <v>2</v>
      </c>
      <c r="G127" s="1006">
        <f>SUM($D115:G115)/$O28</f>
        <v>2</v>
      </c>
      <c r="H127" s="1006">
        <f>SUM($D115:H115)/$O28</f>
        <v>2</v>
      </c>
      <c r="I127" s="1006">
        <f>SUM($D115:I115)/$O28</f>
        <v>2</v>
      </c>
      <c r="J127" s="1006">
        <f>SUM($D115:J115)/$O28</f>
        <v>2</v>
      </c>
      <c r="K127" s="1006"/>
    </row>
    <row r="128" spans="2:11">
      <c r="B128" s="405" t="str">
        <f t="shared" si="49"/>
        <v>Series B Tranche II</v>
      </c>
      <c r="D128" s="1006">
        <f>SUM($D116:D116)/$O29</f>
        <v>2</v>
      </c>
      <c r="E128" s="1006">
        <f>SUM($D116:E116)/$O29</f>
        <v>2</v>
      </c>
      <c r="F128" s="1006">
        <f>SUM($D116:F116)/$O29</f>
        <v>2</v>
      </c>
      <c r="G128" s="1006">
        <f>SUM($D116:G116)/$O29</f>
        <v>2</v>
      </c>
      <c r="H128" s="1006">
        <f>SUM($D116:H116)/$O29</f>
        <v>2</v>
      </c>
      <c r="I128" s="1006">
        <f>SUM($D116:I116)/$O29</f>
        <v>2</v>
      </c>
      <c r="J128" s="1006">
        <f>SUM($D116:J116)/$O29</f>
        <v>2</v>
      </c>
      <c r="K128" s="1006"/>
    </row>
    <row r="129" spans="2:11">
      <c r="B129" s="405" t="str">
        <f t="shared" si="49"/>
        <v>Series B Tranche III</v>
      </c>
      <c r="D129" s="1006">
        <f>SUM($D117:D117)/$O30</f>
        <v>2</v>
      </c>
      <c r="E129" s="1006">
        <f>SUM($D117:E117)/$O30</f>
        <v>2</v>
      </c>
      <c r="F129" s="1006">
        <f>SUM($D117:F117)/$O30</f>
        <v>2</v>
      </c>
      <c r="G129" s="1006">
        <f>SUM($D117:G117)/$O30</f>
        <v>2</v>
      </c>
      <c r="H129" s="1006">
        <f>SUM($D117:H117)/$O30</f>
        <v>2</v>
      </c>
      <c r="I129" s="1006">
        <f>SUM($D117:I117)/$O30</f>
        <v>2</v>
      </c>
      <c r="J129" s="1006">
        <f>SUM($D117:J117)/$O30</f>
        <v>2</v>
      </c>
      <c r="K129" s="1006"/>
    </row>
    <row r="130" spans="2:11">
      <c r="B130" s="405" t="str">
        <f t="shared" si="49"/>
        <v>Options at $0.11 Strike Price</v>
      </c>
      <c r="D130" s="1006">
        <f>SUM($D118:D118)/$O31</f>
        <v>0</v>
      </c>
      <c r="E130" s="1006">
        <f>SUM($D118:E118)/$O31</f>
        <v>0</v>
      </c>
      <c r="F130" s="1006">
        <f>SUM($D118:F118)/$O31</f>
        <v>2.0000000000000139E-2</v>
      </c>
      <c r="G130" s="1006">
        <f>SUM($D118:G118)/$O31</f>
        <v>0.29000000000000009</v>
      </c>
      <c r="H130" s="1006">
        <f>SUM($D118:H118)/$O31</f>
        <v>0.3600000000000001</v>
      </c>
      <c r="I130" s="1006">
        <f>SUM($D118:I118)/$O31</f>
        <v>0.89000000000000012</v>
      </c>
      <c r="J130" s="1006">
        <f>SUM($D118:J118)/$O31</f>
        <v>1.89</v>
      </c>
      <c r="K130" s="1006"/>
    </row>
    <row r="131" spans="2:11">
      <c r="B131" s="405" t="str">
        <f t="shared" si="49"/>
        <v>Options at $0.13 Strike Price</v>
      </c>
      <c r="D131" s="1006">
        <f>SUM($D119:D119)/$O32</f>
        <v>0</v>
      </c>
      <c r="E131" s="1006">
        <f>SUM($D119:E119)/$O32</f>
        <v>0</v>
      </c>
      <c r="F131" s="1006">
        <f>SUM($D119:F119)/$O32</f>
        <v>0</v>
      </c>
      <c r="G131" s="1006">
        <f>SUM($D119:G119)/$O32</f>
        <v>0.26999999999999991</v>
      </c>
      <c r="H131" s="1006">
        <f>SUM($D119:H119)/$O32</f>
        <v>0.33999999999999997</v>
      </c>
      <c r="I131" s="1006">
        <f>SUM($D119:I119)/$O32</f>
        <v>0.87</v>
      </c>
      <c r="J131" s="1006">
        <f>SUM($D119:J119)/$O32</f>
        <v>1.8699999999999999</v>
      </c>
      <c r="K131" s="1006"/>
    </row>
    <row r="132" spans="2:11">
      <c r="B132" s="405" t="str">
        <f t="shared" si="49"/>
        <v>Options at $0.40 Strike Price</v>
      </c>
      <c r="D132" s="1006">
        <f>SUM($D120:D120)/$O33</f>
        <v>0</v>
      </c>
      <c r="E132" s="1006">
        <f>SUM($D120:E120)/$O33</f>
        <v>0</v>
      </c>
      <c r="F132" s="1006">
        <f>SUM($D120:F120)/$O33</f>
        <v>0</v>
      </c>
      <c r="G132" s="1006">
        <f>SUM($D120:G120)/$O33</f>
        <v>0</v>
      </c>
      <c r="H132" s="1006">
        <f>SUM($D120:H120)/$O33</f>
        <v>7.0000000000000034E-2</v>
      </c>
      <c r="I132" s="1006">
        <f>SUM($D120:I120)/$O33</f>
        <v>0.60000000000000009</v>
      </c>
      <c r="J132" s="1006">
        <f>SUM($D120:J120)/$O33</f>
        <v>1.5999999999999996</v>
      </c>
      <c r="K132" s="1006"/>
    </row>
    <row r="133" spans="2:11">
      <c r="B133" s="405" t="str">
        <f t="shared" si="49"/>
        <v>Expected Options Grant</v>
      </c>
      <c r="D133" s="1006">
        <f>SUM($D121:D121)/$O34</f>
        <v>0</v>
      </c>
      <c r="E133" s="1006">
        <f>SUM($D121:E121)/$O34</f>
        <v>0</v>
      </c>
      <c r="F133" s="1006">
        <f>SUM($D121:F121)/$O34</f>
        <v>0</v>
      </c>
      <c r="G133" s="1006">
        <f>SUM($D121:G121)/$O34</f>
        <v>0</v>
      </c>
      <c r="H133" s="1006">
        <f>SUM($D121:H121)/$O34</f>
        <v>0</v>
      </c>
      <c r="I133" s="1006">
        <f>SUM($D121:I121)/$O34</f>
        <v>0.53</v>
      </c>
      <c r="J133" s="1006">
        <f>SUM($D121:J121)/$O34</f>
        <v>1.53</v>
      </c>
      <c r="K133" s="1006"/>
    </row>
    <row r="134" spans="2:11">
      <c r="B134" s="405" t="str">
        <f t="shared" si="49"/>
        <v>Common</v>
      </c>
      <c r="D134" s="1006">
        <f>SUM($D122:D122)/$O35</f>
        <v>0</v>
      </c>
      <c r="E134" s="1006">
        <f>SUM($D122:E122)/$O35</f>
        <v>0.10999999999999982</v>
      </c>
      <c r="F134" s="1006">
        <f>SUM($D122:F122)/$O35</f>
        <v>0.12999999999999995</v>
      </c>
      <c r="G134" s="1006">
        <f>SUM($D122:G122)/$O35</f>
        <v>0.39999999999999991</v>
      </c>
      <c r="H134" s="1006">
        <f>SUM($D122:H122)/$O35</f>
        <v>0.46999999999999992</v>
      </c>
      <c r="I134" s="1006">
        <f>SUM($D122:I122)/$O35</f>
        <v>0.99999999999999989</v>
      </c>
      <c r="J134" s="1006">
        <f>SUM($D122:J122)/$O35</f>
        <v>1.9999999999999993</v>
      </c>
      <c r="K134" s="1006"/>
    </row>
    <row r="135" spans="2:11">
      <c r="D135" s="412"/>
      <c r="E135" s="412"/>
      <c r="F135" s="412"/>
      <c r="G135" s="412"/>
      <c r="H135" s="412"/>
      <c r="I135" s="412"/>
      <c r="J135" s="412"/>
      <c r="K135" s="412"/>
    </row>
    <row r="136" spans="2:11">
      <c r="D136" s="412">
        <f t="shared" ref="D136:K136" si="50">NORMSDIST(D53)</f>
        <v>1</v>
      </c>
      <c r="E136" s="412">
        <f t="shared" si="50"/>
        <v>0.82948684212451895</v>
      </c>
      <c r="F136" s="412">
        <f t="shared" si="50"/>
        <v>0.82652585570938752</v>
      </c>
      <c r="G136" s="412">
        <f t="shared" si="50"/>
        <v>0.82598289977899708</v>
      </c>
      <c r="H136" s="412">
        <f t="shared" si="50"/>
        <v>0.81843248441335936</v>
      </c>
      <c r="I136" s="412">
        <f t="shared" si="50"/>
        <v>0.81639836262803167</v>
      </c>
      <c r="J136" s="412">
        <f t="shared" si="50"/>
        <v>0.79947859501952678</v>
      </c>
      <c r="K136" s="412">
        <f t="shared" si="50"/>
        <v>0.70868028408676487</v>
      </c>
    </row>
    <row r="137" spans="2:11">
      <c r="B137" s="405" t="s">
        <v>1257</v>
      </c>
      <c r="D137" s="884">
        <f>D136-E136</f>
        <v>0.17051315787548105</v>
      </c>
      <c r="E137" s="412"/>
      <c r="F137" s="412"/>
      <c r="G137" s="412"/>
      <c r="H137" s="412"/>
      <c r="I137" s="412"/>
      <c r="J137" s="412"/>
      <c r="K137" s="412"/>
    </row>
  </sheetData>
  <conditionalFormatting sqref="B4:I4">
    <cfRule type="cellIs" dxfId="68" priority="11" stopIfTrue="1" operator="equal">
      <formula>"input"</formula>
    </cfRule>
  </conditionalFormatting>
  <conditionalFormatting sqref="J4">
    <cfRule type="cellIs" dxfId="67" priority="9" stopIfTrue="1" operator="equal">
      <formula>"input"</formula>
    </cfRule>
  </conditionalFormatting>
  <conditionalFormatting sqref="J4">
    <cfRule type="cellIs" dxfId="66" priority="10" stopIfTrue="1" operator="equal">
      <formula>"input"</formula>
    </cfRule>
  </conditionalFormatting>
  <conditionalFormatting sqref="K4">
    <cfRule type="cellIs" dxfId="65" priority="7" stopIfTrue="1" operator="equal">
      <formula>"input"</formula>
    </cfRule>
  </conditionalFormatting>
  <conditionalFormatting sqref="K4">
    <cfRule type="cellIs" dxfId="64" priority="8" stopIfTrue="1" operator="equal">
      <formula>"input"</formula>
    </cfRule>
  </conditionalFormatting>
  <pageMargins left="0.5" right="0.5" top="0.5" bottom="0.5" header="0.5" footer="0.5"/>
  <pageSetup scale="71" fitToWidth="0" fitToHeight="0" pageOrder="overThenDown" orientation="landscape" r:id="rId1"/>
  <rowBreaks count="3" manualBreakCount="3">
    <brk id="24" max="19" man="1"/>
    <brk id="46" max="19" man="1"/>
    <brk id="78" max="19" man="1"/>
  </rowBreaks>
  <legacyDrawing r:id="rId2"/>
  <legacyDrawingHF r:id="rId3"/>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dimension ref="A1:AB137"/>
  <sheetViews>
    <sheetView showGridLines="0" view="pageBreakPreview" zoomScale="85" zoomScaleNormal="85" zoomScaleSheetLayoutView="85" workbookViewId="0">
      <selection activeCell="E13" sqref="E13"/>
    </sheetView>
  </sheetViews>
  <sheetFormatPr defaultRowHeight="12.75" outlineLevelRow="1"/>
  <cols>
    <col min="1" max="1" width="4.5" style="405" customWidth="1"/>
    <col min="2" max="2" width="52.1640625" style="405" customWidth="1"/>
    <col min="3" max="3" width="2.83203125" style="405" customWidth="1"/>
    <col min="4" max="11" width="18.1640625" style="405" customWidth="1"/>
    <col min="12" max="12" width="4.5" style="405" customWidth="1"/>
    <col min="13" max="13" width="15.5" style="405" customWidth="1"/>
    <col min="14" max="14" width="1.83203125" style="405" customWidth="1"/>
    <col min="15" max="15" width="21.6640625" style="173" customWidth="1"/>
    <col min="16" max="16" width="2.5" style="405" customWidth="1"/>
    <col min="17" max="27" width="14" style="405" customWidth="1"/>
    <col min="28" max="16384" width="9.33203125" style="405"/>
  </cols>
  <sheetData>
    <row r="1" spans="2:28" ht="10.7" customHeight="1" thickBot="1"/>
    <row r="2" spans="2:28" ht="16.5" customHeight="1" thickTop="1">
      <c r="B2" s="10" t="str">
        <f>'MASTER PubCo Inputs'!$C$5</f>
        <v>Kallyope, Inc.</v>
      </c>
      <c r="C2" s="10"/>
      <c r="D2" s="10"/>
      <c r="E2" s="10"/>
      <c r="F2" s="10"/>
      <c r="G2" s="10"/>
      <c r="H2" s="10"/>
      <c r="I2" s="10"/>
      <c r="J2" s="10"/>
      <c r="K2" s="10"/>
    </row>
    <row r="3" spans="2:28" ht="15.75" customHeight="1">
      <c r="B3" s="11" t="e">
        <f>VLOOKUP(B4,Outline!$E$8:$G$69,COLUMNS(Outline!$E$8:$G$8),FALSE)</f>
        <v>#N/A</v>
      </c>
      <c r="C3" s="11"/>
      <c r="D3" s="11"/>
      <c r="E3" s="11"/>
      <c r="F3" s="11"/>
      <c r="G3" s="11"/>
      <c r="H3" s="11"/>
      <c r="I3" s="11"/>
      <c r="J3" s="11"/>
      <c r="K3" s="11"/>
    </row>
    <row r="4" spans="2:28" ht="16.5" customHeight="1" thickBot="1">
      <c r="B4" s="12" t="s">
        <v>538</v>
      </c>
      <c r="C4" s="12"/>
      <c r="D4" s="12"/>
      <c r="E4" s="12"/>
      <c r="F4" s="12"/>
      <c r="G4" s="12"/>
      <c r="H4" s="12"/>
      <c r="I4" s="12"/>
      <c r="J4" s="13"/>
      <c r="K4" s="13"/>
      <c r="O4" s="405"/>
      <c r="Q4" s="410" t="s">
        <v>2245</v>
      </c>
    </row>
    <row r="5" spans="2:28" s="16" customFormat="1" ht="12.75" customHeight="1" thickTop="1">
      <c r="B5" s="405"/>
      <c r="C5" s="405"/>
      <c r="D5" s="405"/>
      <c r="E5" s="405"/>
      <c r="F5" s="405"/>
      <c r="G5" s="405"/>
      <c r="H5" s="405"/>
      <c r="I5" s="405"/>
      <c r="J5" s="405"/>
      <c r="K5" s="405"/>
      <c r="L5" s="405"/>
      <c r="M5" s="405"/>
      <c r="O5" s="405"/>
      <c r="P5" s="405"/>
      <c r="Q5" s="1747" t="s">
        <v>2241</v>
      </c>
      <c r="R5" s="1747" t="s">
        <v>2242</v>
      </c>
      <c r="S5" s="1747" t="s">
        <v>2249</v>
      </c>
      <c r="T5" s="1747" t="s">
        <v>2250</v>
      </c>
      <c r="U5" s="1747" t="s">
        <v>2251</v>
      </c>
      <c r="V5" s="1747" t="s">
        <v>2252</v>
      </c>
      <c r="W5" s="1747" t="s">
        <v>2253</v>
      </c>
      <c r="X5" s="1747" t="s">
        <v>2254</v>
      </c>
      <c r="Y5" s="1747" t="s">
        <v>2255</v>
      </c>
      <c r="Z5" s="1747" t="s">
        <v>2256</v>
      </c>
      <c r="AA5" s="1747" t="s">
        <v>2257</v>
      </c>
      <c r="AB5" s="405"/>
    </row>
    <row r="6" spans="2:28" s="16" customFormat="1" ht="12.75" customHeight="1">
      <c r="B6" s="405"/>
      <c r="C6" s="405"/>
      <c r="D6" s="405"/>
      <c r="E6" s="405"/>
      <c r="F6" s="405"/>
      <c r="G6" s="405"/>
      <c r="H6" s="405"/>
      <c r="I6" s="405"/>
      <c r="J6" s="405"/>
      <c r="K6" s="405"/>
      <c r="L6" s="405"/>
      <c r="O6" s="405" t="s">
        <v>2246</v>
      </c>
      <c r="Q6" s="1748">
        <f t="array" ref="Q6:AA6">TRANSPOSE(PWERM!D13:N13)</f>
        <v>3.0027397260273974</v>
      </c>
      <c r="R6" s="1748">
        <v>3.0027397260273974</v>
      </c>
      <c r="S6" s="1748">
        <v>3.0027397260273974</v>
      </c>
      <c r="T6" s="1748">
        <v>3.0027397260273974</v>
      </c>
      <c r="U6" s="1748">
        <v>3.0027397260273974</v>
      </c>
      <c r="V6" s="1748">
        <v>3.0027397260273974</v>
      </c>
      <c r="W6" s="1748">
        <v>3.0027397260273974</v>
      </c>
      <c r="X6" s="1748">
        <v>3.0027397260273974</v>
      </c>
      <c r="Y6" s="1748">
        <v>3.0027397260273974</v>
      </c>
      <c r="Z6" s="1748">
        <v>3.0027397260273974</v>
      </c>
      <c r="AA6" s="1748">
        <v>3.0027397260273974</v>
      </c>
    </row>
    <row r="7" spans="2:28" ht="12.75" customHeight="1">
      <c r="B7" s="77" t="s">
        <v>320</v>
      </c>
      <c r="C7" s="158"/>
      <c r="D7" s="158"/>
      <c r="E7" s="997" t="s">
        <v>70</v>
      </c>
      <c r="F7" s="158"/>
      <c r="G7" s="158"/>
      <c r="H7" s="158"/>
      <c r="I7" s="158"/>
      <c r="J7" s="158"/>
      <c r="K7" s="158"/>
      <c r="O7" s="16" t="s">
        <v>2247</v>
      </c>
      <c r="P7" s="16"/>
      <c r="Q7" s="1745">
        <f>PWERM!D116</f>
        <v>5.5E-2</v>
      </c>
      <c r="R7" s="1745">
        <f>PWERM!E116</f>
        <v>0.03</v>
      </c>
      <c r="S7" s="1745">
        <f>PWERM!F116</f>
        <v>0.09</v>
      </c>
      <c r="T7" s="1745">
        <f>PWERM!G116</f>
        <v>0.09</v>
      </c>
      <c r="U7" s="1745">
        <f>PWERM!H116</f>
        <v>5.5E-2</v>
      </c>
      <c r="V7" s="1745">
        <f>PWERM!I116</f>
        <v>0.155</v>
      </c>
      <c r="W7" s="1745">
        <f>PWERM!J116</f>
        <v>1.4999999999999999E-2</v>
      </c>
      <c r="X7" s="1745">
        <f>PWERM!K116</f>
        <v>0.115</v>
      </c>
      <c r="Y7" s="1745">
        <f>PWERM!L116</f>
        <v>0.105</v>
      </c>
      <c r="Z7" s="1745">
        <f>PWERM!M116</f>
        <v>0.18</v>
      </c>
      <c r="AA7" s="1745">
        <f>PWERM!N116</f>
        <v>0.1100000000000001</v>
      </c>
      <c r="AB7" s="16"/>
    </row>
    <row r="8" spans="2:28" s="21" customFormat="1" ht="12.75" customHeight="1">
      <c r="B8" s="49"/>
      <c r="C8" s="49"/>
      <c r="D8" s="49"/>
      <c r="E8" s="49"/>
      <c r="F8" s="49"/>
      <c r="G8" s="49"/>
      <c r="H8" s="49"/>
      <c r="I8" s="49"/>
      <c r="J8" s="49"/>
      <c r="K8" s="49"/>
      <c r="O8" s="21" t="s">
        <v>2248</v>
      </c>
      <c r="P8" s="405"/>
      <c r="Q8" s="1746">
        <f>SUMPRODUCT(Q6:AA6,Q7:AA7)</f>
        <v>3.0027397260273978</v>
      </c>
      <c r="R8" s="405"/>
      <c r="S8" s="405"/>
      <c r="T8" s="405"/>
      <c r="U8" s="405"/>
      <c r="V8" s="405"/>
      <c r="W8" s="405"/>
      <c r="X8" s="405"/>
      <c r="Y8" s="405"/>
      <c r="Z8" s="405"/>
      <c r="AA8" s="405"/>
      <c r="AB8" s="405"/>
    </row>
    <row r="9" spans="2:28" ht="12.75" customHeight="1">
      <c r="B9" s="405" t="s">
        <v>318</v>
      </c>
      <c r="C9" s="159"/>
      <c r="D9" s="452">
        <f>'PWERM Waterfall n Allocation'!D9</f>
        <v>143330</v>
      </c>
      <c r="E9" s="996" t="str">
        <f>PWERM!B3</f>
        <v>Exhibit B.1</v>
      </c>
    </row>
    <row r="10" spans="2:28" ht="12.75" customHeight="1">
      <c r="B10" s="405" t="s">
        <v>319</v>
      </c>
      <c r="D10" s="160">
        <f>Q8</f>
        <v>3.0027397260273978</v>
      </c>
      <c r="E10" s="996" t="s">
        <v>1582</v>
      </c>
    </row>
    <row r="11" spans="2:28" ht="12.75" customHeight="1">
      <c r="B11" s="21" t="s">
        <v>74</v>
      </c>
      <c r="C11" s="161"/>
      <c r="D11" s="451">
        <f>'Asset Vol_IPO Phase I'!$Q$47</f>
        <v>0.74099999999999999</v>
      </c>
      <c r="E11" s="996" t="str">
        <f>'Asset Vol_IPO Phase I'!$B$3</f>
        <v>Exhibit H.2</v>
      </c>
      <c r="G11" s="52"/>
    </row>
    <row r="12" spans="2:28" ht="12.75" customHeight="1">
      <c r="B12" s="405" t="s">
        <v>72</v>
      </c>
      <c r="C12" s="161"/>
      <c r="D12" s="453">
        <f>'Risk-Free Rates'!E27</f>
        <v>2.6564239726027398E-2</v>
      </c>
      <c r="E12" s="996" t="str">
        <f>'Risk-Free Rates'!B3</f>
        <v>Exhibit H.8</v>
      </c>
      <c r="G12" s="52"/>
    </row>
    <row r="13" spans="2:28" ht="12.75" customHeight="1">
      <c r="B13" s="405" t="s">
        <v>73</v>
      </c>
      <c r="D13" s="162">
        <v>0</v>
      </c>
      <c r="E13" s="996" t="s">
        <v>1582</v>
      </c>
      <c r="G13" s="52"/>
    </row>
    <row r="14" spans="2:28" ht="12.75" customHeight="1">
      <c r="D14" s="907"/>
      <c r="E14" s="78"/>
      <c r="F14" s="78"/>
      <c r="G14" s="190"/>
    </row>
    <row r="15" spans="2:28" ht="12.75" customHeight="1">
      <c r="D15" s="112">
        <v>1</v>
      </c>
      <c r="E15" s="113">
        <f>D15+1</f>
        <v>2</v>
      </c>
      <c r="F15" s="113">
        <f t="shared" ref="F15:K15" si="0">E15+1</f>
        <v>3</v>
      </c>
      <c r="G15" s="113">
        <f t="shared" si="0"/>
        <v>4</v>
      </c>
      <c r="H15" s="113">
        <f t="shared" si="0"/>
        <v>5</v>
      </c>
      <c r="I15" s="113">
        <f t="shared" si="0"/>
        <v>6</v>
      </c>
      <c r="J15" s="113">
        <f t="shared" si="0"/>
        <v>7</v>
      </c>
      <c r="K15" s="113">
        <f t="shared" si="0"/>
        <v>8</v>
      </c>
    </row>
    <row r="16" spans="2:28" s="6" customFormat="1" ht="59.25" customHeight="1">
      <c r="B16" s="163" t="s">
        <v>321</v>
      </c>
      <c r="D16" s="583" t="str">
        <f t="array" ref="D16:K16">TRANSPOSE('Cap Table'!N30:N37)</f>
        <v>Series A and Series B Receive Liquidation Preference</v>
      </c>
      <c r="E16" s="584" t="str">
        <v>Common Stock Starts Receiving Value</v>
      </c>
      <c r="F16" s="584" t="str">
        <v>Options at $0.11 Strike Price Exercise</v>
      </c>
      <c r="G16" s="584" t="str">
        <v>Options at $0.13 Strike Price Exercise</v>
      </c>
      <c r="H16" s="584" t="str">
        <v>Options at $0.40 Strike Price Exercise</v>
      </c>
      <c r="I16" s="584" t="str">
        <v>Options Expected to be Granted Exercise at $0.47 Strike Price</v>
      </c>
      <c r="J16" s="584" t="str">
        <v>Series A Converts</v>
      </c>
      <c r="K16" s="584" t="str">
        <v>Series B Converts</v>
      </c>
      <c r="M16" s="119"/>
      <c r="O16" s="330"/>
    </row>
    <row r="17" spans="2:17" ht="12.75" customHeight="1"/>
    <row r="18" spans="2:17" ht="12.75" customHeight="1">
      <c r="B18" s="1" t="s">
        <v>326</v>
      </c>
      <c r="O18" s="41" t="str">
        <f>B18</f>
        <v>Liquidation Preference</v>
      </c>
    </row>
    <row r="19" spans="2:17" ht="12.75" customHeight="1">
      <c r="B19" s="2" t="str">
        <f>'Cap Table'!D7</f>
        <v>Series A</v>
      </c>
      <c r="D19" s="387">
        <f t="shared" ref="D19:I19" si="1">$O$19</f>
        <v>44050</v>
      </c>
      <c r="E19" s="387">
        <f t="shared" si="1"/>
        <v>44050</v>
      </c>
      <c r="F19" s="387">
        <f t="shared" si="1"/>
        <v>44050</v>
      </c>
      <c r="G19" s="387">
        <f t="shared" si="1"/>
        <v>44050</v>
      </c>
      <c r="H19" s="387">
        <f t="shared" si="1"/>
        <v>44050</v>
      </c>
      <c r="I19" s="387">
        <f t="shared" si="1"/>
        <v>44050</v>
      </c>
      <c r="J19" s="387">
        <v>0</v>
      </c>
      <c r="K19" s="387">
        <v>0</v>
      </c>
      <c r="M19" s="406"/>
      <c r="O19" s="761">
        <f t="array" ref="O19:O22">TRANSPOSE('Econ Rights'!D13:G13)</f>
        <v>44050</v>
      </c>
    </row>
    <row r="20" spans="2:17" ht="12.75" customHeight="1">
      <c r="B20" s="2" t="str">
        <f>'Cap Table'!E7</f>
        <v>Series B Tranche I</v>
      </c>
      <c r="D20" s="387">
        <f>$O$20</f>
        <v>22049.991999999998</v>
      </c>
      <c r="E20" s="387">
        <f t="shared" ref="E20:J20" si="2">$O$20</f>
        <v>22049.991999999998</v>
      </c>
      <c r="F20" s="387">
        <f t="shared" si="2"/>
        <v>22049.991999999998</v>
      </c>
      <c r="G20" s="387">
        <f t="shared" si="2"/>
        <v>22049.991999999998</v>
      </c>
      <c r="H20" s="387">
        <f t="shared" si="2"/>
        <v>22049.991999999998</v>
      </c>
      <c r="I20" s="387">
        <f t="shared" si="2"/>
        <v>22049.991999999998</v>
      </c>
      <c r="J20" s="387">
        <f t="shared" si="2"/>
        <v>22049.991999999998</v>
      </c>
      <c r="K20" s="387">
        <v>0</v>
      </c>
      <c r="O20" s="761">
        <v>22049.991999999998</v>
      </c>
    </row>
    <row r="21" spans="2:17" ht="12.75" customHeight="1">
      <c r="B21" s="2" t="str">
        <f>'Cap Table'!F7</f>
        <v>Series B Tranche II</v>
      </c>
      <c r="D21" s="387">
        <f>$O$21</f>
        <v>22049.991999999998</v>
      </c>
      <c r="E21" s="387">
        <f t="shared" ref="E21:J21" si="3">$O$21</f>
        <v>22049.991999999998</v>
      </c>
      <c r="F21" s="387">
        <f t="shared" si="3"/>
        <v>22049.991999999998</v>
      </c>
      <c r="G21" s="387">
        <f t="shared" si="3"/>
        <v>22049.991999999998</v>
      </c>
      <c r="H21" s="387">
        <f t="shared" si="3"/>
        <v>22049.991999999998</v>
      </c>
      <c r="I21" s="387">
        <f t="shared" si="3"/>
        <v>22049.991999999998</v>
      </c>
      <c r="J21" s="387">
        <f t="shared" si="3"/>
        <v>22049.991999999998</v>
      </c>
      <c r="K21" s="387">
        <v>0</v>
      </c>
      <c r="O21" s="761">
        <v>22049.991999999998</v>
      </c>
    </row>
    <row r="22" spans="2:17" ht="14.25" customHeight="1">
      <c r="B22" s="2" t="str">
        <f>'Cap Table'!G7</f>
        <v>Series B Tranche III</v>
      </c>
      <c r="D22" s="387">
        <f>$O$22</f>
        <v>22049.991999999998</v>
      </c>
      <c r="E22" s="387">
        <f t="shared" ref="E22:J22" si="4">$O$22</f>
        <v>22049.991999999998</v>
      </c>
      <c r="F22" s="387">
        <f t="shared" si="4"/>
        <v>22049.991999999998</v>
      </c>
      <c r="G22" s="387">
        <f t="shared" si="4"/>
        <v>22049.991999999998</v>
      </c>
      <c r="H22" s="387">
        <f t="shared" si="4"/>
        <v>22049.991999999998</v>
      </c>
      <c r="I22" s="387">
        <f t="shared" si="4"/>
        <v>22049.991999999998</v>
      </c>
      <c r="J22" s="387">
        <f t="shared" si="4"/>
        <v>22049.991999999998</v>
      </c>
      <c r="K22" s="387">
        <v>0</v>
      </c>
      <c r="O22" s="761">
        <v>22049.991999999998</v>
      </c>
    </row>
    <row r="23" spans="2:17" ht="12.75" customHeight="1">
      <c r="B23" s="5"/>
      <c r="C23" s="5"/>
      <c r="D23" s="5"/>
      <c r="E23" s="5"/>
      <c r="F23" s="5"/>
      <c r="G23" s="5"/>
      <c r="H23" s="5"/>
      <c r="I23" s="5"/>
      <c r="J23" s="5"/>
      <c r="K23" s="5"/>
      <c r="O23" s="327"/>
    </row>
    <row r="24" spans="2:17" ht="12.75" customHeight="1">
      <c r="B24" s="41" t="s">
        <v>474</v>
      </c>
      <c r="D24" s="38">
        <f t="shared" ref="D24:K24" si="5">SUM(D19:D22)</f>
        <v>110199.976</v>
      </c>
      <c r="E24" s="38">
        <f t="shared" si="5"/>
        <v>110199.976</v>
      </c>
      <c r="F24" s="38">
        <f t="shared" si="5"/>
        <v>110199.976</v>
      </c>
      <c r="G24" s="38">
        <f t="shared" si="5"/>
        <v>110199.976</v>
      </c>
      <c r="H24" s="38">
        <f t="shared" si="5"/>
        <v>110199.976</v>
      </c>
      <c r="I24" s="38">
        <f t="shared" si="5"/>
        <v>110199.976</v>
      </c>
      <c r="J24" s="38">
        <f t="shared" si="5"/>
        <v>66149.975999999995</v>
      </c>
      <c r="K24" s="38">
        <f t="shared" si="5"/>
        <v>0</v>
      </c>
    </row>
    <row r="25" spans="2:17" ht="12.75" customHeight="1"/>
    <row r="26" spans="2:17" ht="12.75" customHeight="1">
      <c r="B26" s="81" t="s">
        <v>476</v>
      </c>
      <c r="O26" s="41" t="str">
        <f>+B26</f>
        <v>Shares Outstanding / Converted to Common Stock</v>
      </c>
    </row>
    <row r="27" spans="2:17" ht="12.75" customHeight="1">
      <c r="B27" s="165" t="str">
        <f>+$B19</f>
        <v>Series A</v>
      </c>
      <c r="D27" s="387">
        <f t="shared" ref="D27:K30" si="6">IF(D19&gt;0,0,$O27)</f>
        <v>0</v>
      </c>
      <c r="E27" s="387">
        <f t="shared" si="6"/>
        <v>0</v>
      </c>
      <c r="F27" s="387">
        <f t="shared" si="6"/>
        <v>0</v>
      </c>
      <c r="G27" s="387">
        <f t="shared" si="6"/>
        <v>0</v>
      </c>
      <c r="H27" s="387">
        <f t="shared" si="6"/>
        <v>0</v>
      </c>
      <c r="I27" s="387">
        <f t="shared" si="6"/>
        <v>0</v>
      </c>
      <c r="J27" s="387">
        <f t="shared" si="6"/>
        <v>44050</v>
      </c>
      <c r="K27" s="387">
        <f t="shared" si="6"/>
        <v>44050</v>
      </c>
      <c r="O27" s="761">
        <f>'Cap Table'!D11</f>
        <v>44050</v>
      </c>
    </row>
    <row r="28" spans="2:17" ht="12.75" customHeight="1">
      <c r="B28" s="165" t="str">
        <f>+$B20</f>
        <v>Series B Tranche I</v>
      </c>
      <c r="D28" s="387">
        <f t="shared" si="6"/>
        <v>0</v>
      </c>
      <c r="E28" s="387">
        <f t="shared" si="6"/>
        <v>0</v>
      </c>
      <c r="F28" s="387">
        <f t="shared" si="6"/>
        <v>0</v>
      </c>
      <c r="G28" s="387">
        <f t="shared" si="6"/>
        <v>0</v>
      </c>
      <c r="H28" s="387">
        <f t="shared" si="6"/>
        <v>0</v>
      </c>
      <c r="I28" s="387">
        <f t="shared" si="6"/>
        <v>0</v>
      </c>
      <c r="J28" s="387">
        <f t="shared" si="6"/>
        <v>0</v>
      </c>
      <c r="K28" s="387">
        <f t="shared" si="6"/>
        <v>11024.995999999999</v>
      </c>
      <c r="O28" s="761">
        <f>'Cap Table'!E11</f>
        <v>11024.995999999999</v>
      </c>
    </row>
    <row r="29" spans="2:17" ht="12.75" customHeight="1">
      <c r="B29" s="165" t="str">
        <f>+$B21</f>
        <v>Series B Tranche II</v>
      </c>
      <c r="D29" s="387">
        <f t="shared" si="6"/>
        <v>0</v>
      </c>
      <c r="E29" s="387">
        <f t="shared" si="6"/>
        <v>0</v>
      </c>
      <c r="F29" s="387">
        <f t="shared" si="6"/>
        <v>0</v>
      </c>
      <c r="G29" s="387">
        <f t="shared" si="6"/>
        <v>0</v>
      </c>
      <c r="H29" s="387">
        <f t="shared" si="6"/>
        <v>0</v>
      </c>
      <c r="I29" s="387">
        <f t="shared" si="6"/>
        <v>0</v>
      </c>
      <c r="J29" s="387">
        <f t="shared" si="6"/>
        <v>0</v>
      </c>
      <c r="K29" s="387">
        <f t="shared" si="6"/>
        <v>11024.995999999999</v>
      </c>
      <c r="O29" s="761">
        <f>'Cap Table'!F11</f>
        <v>11024.995999999999</v>
      </c>
    </row>
    <row r="30" spans="2:17" ht="12.75" customHeight="1">
      <c r="B30" s="165" t="str">
        <f>+$B22</f>
        <v>Series B Tranche III</v>
      </c>
      <c r="D30" s="387">
        <f t="shared" si="6"/>
        <v>0</v>
      </c>
      <c r="E30" s="387">
        <f t="shared" si="6"/>
        <v>0</v>
      </c>
      <c r="F30" s="387">
        <f t="shared" si="6"/>
        <v>0</v>
      </c>
      <c r="G30" s="387">
        <f t="shared" si="6"/>
        <v>0</v>
      </c>
      <c r="H30" s="387">
        <f t="shared" si="6"/>
        <v>0</v>
      </c>
      <c r="I30" s="387">
        <f t="shared" si="6"/>
        <v>0</v>
      </c>
      <c r="J30" s="387">
        <f t="shared" si="6"/>
        <v>0</v>
      </c>
      <c r="K30" s="387">
        <f t="shared" si="6"/>
        <v>11024.995999999999</v>
      </c>
      <c r="O30" s="761">
        <f>'Cap Table'!G11</f>
        <v>11024.995999999999</v>
      </c>
      <c r="Q30" s="1" t="s">
        <v>610</v>
      </c>
    </row>
    <row r="31" spans="2:17" ht="12.75" customHeight="1">
      <c r="B31" s="329" t="str">
        <f>'Cap Table'!B24</f>
        <v>Options at $0.11 Strike Price</v>
      </c>
      <c r="D31" s="387">
        <v>0</v>
      </c>
      <c r="E31" s="387">
        <v>0</v>
      </c>
      <c r="F31" s="387">
        <f>IF($Q31&lt;=F$39,$O31,0)</f>
        <v>190</v>
      </c>
      <c r="G31" s="387">
        <f t="shared" ref="G31:K34" si="7">IF($Q31&lt;=G$39,$O31,0)</f>
        <v>190</v>
      </c>
      <c r="H31" s="387">
        <f t="shared" si="7"/>
        <v>190</v>
      </c>
      <c r="I31" s="387">
        <f t="shared" si="7"/>
        <v>190</v>
      </c>
      <c r="J31" s="387">
        <f t="shared" si="7"/>
        <v>190</v>
      </c>
      <c r="K31" s="387">
        <f t="shared" si="7"/>
        <v>190</v>
      </c>
      <c r="O31" s="761">
        <f>'Cap Table'!D24</f>
        <v>190</v>
      </c>
      <c r="Q31" s="1661">
        <f>'Cap Table'!E24</f>
        <v>0.11</v>
      </c>
    </row>
    <row r="32" spans="2:17" ht="12.75" customHeight="1">
      <c r="B32" s="329" t="str">
        <f>'Cap Table'!B25</f>
        <v>Options at $0.13 Strike Price</v>
      </c>
      <c r="D32" s="387">
        <v>0</v>
      </c>
      <c r="E32" s="387">
        <v>0</v>
      </c>
      <c r="F32" s="387">
        <f>IF($Q32&lt;=F$39,$O32,0)</f>
        <v>0</v>
      </c>
      <c r="G32" s="387">
        <f t="shared" si="7"/>
        <v>620.404</v>
      </c>
      <c r="H32" s="387">
        <f t="shared" si="7"/>
        <v>620.404</v>
      </c>
      <c r="I32" s="387">
        <f t="shared" si="7"/>
        <v>620.404</v>
      </c>
      <c r="J32" s="387">
        <f t="shared" si="7"/>
        <v>620.404</v>
      </c>
      <c r="K32" s="387">
        <f t="shared" si="7"/>
        <v>620.404</v>
      </c>
      <c r="O32" s="761">
        <f>'Cap Table'!D25</f>
        <v>620.404</v>
      </c>
      <c r="Q32" s="847">
        <f>'Cap Table'!E25</f>
        <v>0.13</v>
      </c>
    </row>
    <row r="33" spans="1:17" ht="12.75" customHeight="1">
      <c r="B33" s="329" t="str">
        <f>'Cap Table'!B26</f>
        <v>Options at $0.40 Strike Price</v>
      </c>
      <c r="D33" s="387">
        <v>0</v>
      </c>
      <c r="E33" s="387">
        <v>0</v>
      </c>
      <c r="F33" s="387">
        <f>IF($Q33&lt;=F$39,$O33,0)</f>
        <v>0</v>
      </c>
      <c r="G33" s="387">
        <f t="shared" si="7"/>
        <v>0</v>
      </c>
      <c r="H33" s="387">
        <f t="shared" si="7"/>
        <v>826</v>
      </c>
      <c r="I33" s="387">
        <f t="shared" si="7"/>
        <v>826</v>
      </c>
      <c r="J33" s="387">
        <f t="shared" si="7"/>
        <v>826</v>
      </c>
      <c r="K33" s="387">
        <f t="shared" si="7"/>
        <v>826</v>
      </c>
      <c r="O33" s="761">
        <f>'Cap Table'!D26</f>
        <v>826</v>
      </c>
      <c r="Q33" s="847">
        <f>'Cap Table'!E26</f>
        <v>0.4</v>
      </c>
    </row>
    <row r="34" spans="1:17" ht="12.75" customHeight="1">
      <c r="B34" s="329" t="str">
        <f>'Cap Table'!B27</f>
        <v>Expected Options Grant</v>
      </c>
      <c r="D34" s="387">
        <v>0</v>
      </c>
      <c r="E34" s="387">
        <v>0</v>
      </c>
      <c r="F34" s="387">
        <f>IF($Q34&lt;=F$39,$O34,0)</f>
        <v>0</v>
      </c>
      <c r="G34" s="387">
        <f t="shared" si="7"/>
        <v>0</v>
      </c>
      <c r="H34" s="387">
        <f t="shared" si="7"/>
        <v>0</v>
      </c>
      <c r="I34" s="387">
        <f t="shared" si="7"/>
        <v>2127.3489690721649</v>
      </c>
      <c r="J34" s="387">
        <f t="shared" si="7"/>
        <v>2127.3489690721649</v>
      </c>
      <c r="K34" s="387">
        <f t="shared" si="7"/>
        <v>2127.3489690721649</v>
      </c>
      <c r="O34" s="761">
        <f>'Cap Table'!D27</f>
        <v>2127.3489690721649</v>
      </c>
      <c r="Q34" s="1662">
        <f>'Cap Table'!E27</f>
        <v>0.47</v>
      </c>
    </row>
    <row r="35" spans="1:17" ht="12.75" customHeight="1">
      <c r="B35" s="165" t="str">
        <f>'Cap Table'!H7</f>
        <v>Common</v>
      </c>
      <c r="D35" s="387">
        <v>0</v>
      </c>
      <c r="E35" s="387">
        <f>$O$35</f>
        <v>16327.046</v>
      </c>
      <c r="F35" s="387">
        <f t="shared" ref="F35:K35" si="8">$O$35</f>
        <v>16327.046</v>
      </c>
      <c r="G35" s="387">
        <f t="shared" si="8"/>
        <v>16327.046</v>
      </c>
      <c r="H35" s="387">
        <f t="shared" si="8"/>
        <v>16327.046</v>
      </c>
      <c r="I35" s="387">
        <f t="shared" si="8"/>
        <v>16327.046</v>
      </c>
      <c r="J35" s="387">
        <f t="shared" si="8"/>
        <v>16327.046</v>
      </c>
      <c r="K35" s="387">
        <f t="shared" si="8"/>
        <v>16327.046</v>
      </c>
      <c r="O35" s="761">
        <f>'Cap Table'!H11</f>
        <v>16327.046</v>
      </c>
    </row>
    <row r="36" spans="1:17" ht="12.75" customHeight="1" thickBot="1">
      <c r="B36" s="5"/>
      <c r="C36" s="5"/>
      <c r="D36" s="5"/>
      <c r="E36" s="5"/>
      <c r="F36" s="5"/>
      <c r="G36" s="5"/>
      <c r="H36" s="5"/>
      <c r="I36" s="5"/>
      <c r="J36" s="5"/>
      <c r="K36" s="5"/>
      <c r="O36" s="171"/>
    </row>
    <row r="37" spans="1:17" ht="12.75" customHeight="1" thickBot="1">
      <c r="B37" s="41" t="s">
        <v>1556</v>
      </c>
      <c r="D37" s="38">
        <f t="shared" ref="D37:K37" si="9">SUM(D27:D35)</f>
        <v>0</v>
      </c>
      <c r="E37" s="38">
        <f t="shared" si="9"/>
        <v>16327.046</v>
      </c>
      <c r="F37" s="38">
        <f t="shared" si="9"/>
        <v>16517.046000000002</v>
      </c>
      <c r="G37" s="38">
        <f t="shared" si="9"/>
        <v>17137.45</v>
      </c>
      <c r="H37" s="38">
        <f t="shared" si="9"/>
        <v>17963.45</v>
      </c>
      <c r="I37" s="38">
        <f t="shared" si="9"/>
        <v>20090.798969072166</v>
      </c>
      <c r="J37" s="38">
        <f t="shared" si="9"/>
        <v>64140.798969072166</v>
      </c>
      <c r="K37" s="38">
        <f t="shared" si="9"/>
        <v>97215.786969072156</v>
      </c>
      <c r="M37" s="404" t="str">
        <f>IF(O37&lt;&gt;('Cap Table'!J20-'Cap Table'!J14+'PWERM Waterfall n Allocation_B'!O34),"ERROR","")</f>
        <v/>
      </c>
      <c r="O37" s="38">
        <f>SUM(O27:O35)</f>
        <v>97215.786969072156</v>
      </c>
    </row>
    <row r="38" spans="1:17" ht="12.75" customHeight="1"/>
    <row r="39" spans="1:17" ht="12.75" customHeight="1">
      <c r="B39" s="2" t="s">
        <v>328</v>
      </c>
      <c r="D39" s="1663">
        <f t="array" ref="D39:K39">TRANSPOSE('Cap Table'!M30:M37)</f>
        <v>0</v>
      </c>
      <c r="E39" s="1663">
        <v>0</v>
      </c>
      <c r="F39" s="1663">
        <v>0.11</v>
      </c>
      <c r="G39" s="1663">
        <v>0.13</v>
      </c>
      <c r="H39" s="1663">
        <v>0.4</v>
      </c>
      <c r="I39" s="1663">
        <v>0.47</v>
      </c>
      <c r="J39" s="1663">
        <v>1</v>
      </c>
      <c r="K39" s="1663">
        <v>2</v>
      </c>
    </row>
    <row r="40" spans="1:17" ht="12.75" customHeight="1">
      <c r="B40" s="5"/>
      <c r="C40" s="5"/>
      <c r="D40" s="5"/>
      <c r="E40" s="5"/>
      <c r="F40" s="5"/>
      <c r="G40" s="5"/>
      <c r="H40" s="5"/>
      <c r="I40" s="5"/>
      <c r="J40" s="5"/>
      <c r="K40" s="5"/>
    </row>
    <row r="41" spans="1:17" ht="12.75" customHeight="1">
      <c r="B41" s="26" t="s">
        <v>1557</v>
      </c>
      <c r="C41" s="16"/>
      <c r="D41" s="998">
        <f>D37*D39</f>
        <v>0</v>
      </c>
      <c r="E41" s="998">
        <f t="shared" ref="E41:K41" si="10">E37*E39</f>
        <v>0</v>
      </c>
      <c r="F41" s="998">
        <f t="shared" si="10"/>
        <v>1816.8750600000003</v>
      </c>
      <c r="G41" s="998">
        <f t="shared" si="10"/>
        <v>2227.8685</v>
      </c>
      <c r="H41" s="998">
        <f t="shared" si="10"/>
        <v>7185.380000000001</v>
      </c>
      <c r="I41" s="998">
        <f t="shared" si="10"/>
        <v>9442.6755154639177</v>
      </c>
      <c r="J41" s="998">
        <f t="shared" si="10"/>
        <v>64140.798969072166</v>
      </c>
      <c r="K41" s="998">
        <f t="shared" si="10"/>
        <v>194431.57393814431</v>
      </c>
    </row>
    <row r="42" spans="1:17" ht="12.75" customHeight="1"/>
    <row r="43" spans="1:17" ht="12.75" customHeight="1">
      <c r="B43" s="2" t="s">
        <v>329</v>
      </c>
      <c r="D43" s="42">
        <f>-SUMPRODUCT(D31:D34,$Q$31:$Q$34)</f>
        <v>0</v>
      </c>
      <c r="E43" s="42">
        <f t="shared" ref="E43:K43" si="11">-SUMPRODUCT(E31:E34,$Q$31:$Q$34)</f>
        <v>0</v>
      </c>
      <c r="F43" s="42">
        <f t="shared" si="11"/>
        <v>-20.9</v>
      </c>
      <c r="G43" s="42">
        <f t="shared" si="11"/>
        <v>-101.55251999999999</v>
      </c>
      <c r="H43" s="42">
        <f t="shared" si="11"/>
        <v>-431.95252000000005</v>
      </c>
      <c r="I43" s="42">
        <f t="shared" si="11"/>
        <v>-1431.8065354639175</v>
      </c>
      <c r="J43" s="42">
        <f t="shared" si="11"/>
        <v>-1431.8065354639175</v>
      </c>
      <c r="K43" s="42">
        <f t="shared" si="11"/>
        <v>-1431.8065354639175</v>
      </c>
    </row>
    <row r="44" spans="1:17" ht="12.75" customHeight="1">
      <c r="B44" s="5"/>
      <c r="C44" s="5"/>
      <c r="D44" s="5"/>
      <c r="E44" s="5"/>
      <c r="F44" s="5"/>
      <c r="G44" s="5"/>
      <c r="H44" s="5"/>
      <c r="I44" s="5"/>
      <c r="J44" s="5"/>
      <c r="K44" s="5"/>
    </row>
    <row r="45" spans="1:17" ht="12.75" customHeight="1">
      <c r="B45" s="41" t="s">
        <v>330</v>
      </c>
      <c r="D45" s="998">
        <f t="shared" ref="D45:K45" si="12">SUM(D41:D43)+D24</f>
        <v>110199.976</v>
      </c>
      <c r="E45" s="998">
        <f t="shared" si="12"/>
        <v>110199.976</v>
      </c>
      <c r="F45" s="998">
        <f t="shared" si="12"/>
        <v>111995.95105999999</v>
      </c>
      <c r="G45" s="998">
        <f t="shared" si="12"/>
        <v>112326.29197999999</v>
      </c>
      <c r="H45" s="998">
        <f t="shared" si="12"/>
        <v>116953.40347999999</v>
      </c>
      <c r="I45" s="998">
        <f t="shared" si="12"/>
        <v>118210.84497999999</v>
      </c>
      <c r="J45" s="998">
        <f t="shared" si="12"/>
        <v>128858.96843360824</v>
      </c>
      <c r="K45" s="998">
        <f t="shared" si="12"/>
        <v>192999.76740268039</v>
      </c>
    </row>
    <row r="46" spans="1:17" ht="12.75" customHeight="1">
      <c r="B46" s="41"/>
      <c r="D46" s="38"/>
      <c r="E46" s="38"/>
      <c r="F46" s="38"/>
      <c r="G46" s="38"/>
      <c r="H46" s="38"/>
      <c r="I46" s="38"/>
      <c r="J46" s="38"/>
      <c r="K46" s="38"/>
    </row>
    <row r="47" spans="1:17" ht="12.75" customHeight="1"/>
    <row r="48" spans="1:17" s="6" customFormat="1" ht="12.75" customHeight="1">
      <c r="A48" s="76"/>
      <c r="B48" s="279" t="s">
        <v>332</v>
      </c>
      <c r="D48" s="280">
        <f>D$15</f>
        <v>1</v>
      </c>
      <c r="E48" s="281">
        <f t="shared" ref="E48:K48" si="13">E$15</f>
        <v>2</v>
      </c>
      <c r="F48" s="281">
        <f t="shared" si="13"/>
        <v>3</v>
      </c>
      <c r="G48" s="281">
        <f t="shared" si="13"/>
        <v>4</v>
      </c>
      <c r="H48" s="281">
        <f t="shared" si="13"/>
        <v>5</v>
      </c>
      <c r="I48" s="281">
        <f t="shared" si="13"/>
        <v>6</v>
      </c>
      <c r="J48" s="281">
        <f t="shared" si="13"/>
        <v>7</v>
      </c>
      <c r="K48" s="281">
        <f t="shared" si="13"/>
        <v>8</v>
      </c>
      <c r="O48" s="330"/>
    </row>
    <row r="49" spans="2:15" ht="12.75" customHeight="1"/>
    <row r="50" spans="2:15" ht="12.75" customHeight="1">
      <c r="B50" s="405" t="s">
        <v>333</v>
      </c>
      <c r="D50" s="92">
        <v>1E-10</v>
      </c>
      <c r="E50" s="92">
        <f>D51</f>
        <v>110199.976</v>
      </c>
      <c r="F50" s="92">
        <f t="shared" ref="F50:K50" si="14">E51</f>
        <v>111995.95105999999</v>
      </c>
      <c r="G50" s="92">
        <f t="shared" si="14"/>
        <v>112326.29197999999</v>
      </c>
      <c r="H50" s="92">
        <f t="shared" si="14"/>
        <v>116953.40347999999</v>
      </c>
      <c r="I50" s="92">
        <f t="shared" si="14"/>
        <v>118210.84497999999</v>
      </c>
      <c r="J50" s="92">
        <f t="shared" si="14"/>
        <v>128858.96843360824</v>
      </c>
      <c r="K50" s="92">
        <f t="shared" si="14"/>
        <v>192999.76740268039</v>
      </c>
    </row>
    <row r="51" spans="2:15" ht="12.75" customHeight="1">
      <c r="B51" s="405" t="s">
        <v>334</v>
      </c>
      <c r="D51" s="92">
        <f>D45</f>
        <v>110199.976</v>
      </c>
      <c r="E51" s="92">
        <f>IF(F45=0,"n/a",IF(D51=E45,F45,E45))</f>
        <v>111995.95105999999</v>
      </c>
      <c r="F51" s="92">
        <f t="shared" ref="F51:K51" si="15">IF(G45=0,"n/a",IF(E51=F45,G45,F45))</f>
        <v>112326.29197999999</v>
      </c>
      <c r="G51" s="92">
        <f t="shared" si="15"/>
        <v>116953.40347999999</v>
      </c>
      <c r="H51" s="92">
        <f t="shared" si="15"/>
        <v>118210.84497999999</v>
      </c>
      <c r="I51" s="92">
        <f t="shared" si="15"/>
        <v>128858.96843360824</v>
      </c>
      <c r="J51" s="92">
        <f t="shared" si="15"/>
        <v>192999.76740268039</v>
      </c>
      <c r="K51" s="92" t="str">
        <f t="shared" si="15"/>
        <v>n/a</v>
      </c>
    </row>
    <row r="52" spans="2:15" ht="12.75" customHeight="1"/>
    <row r="53" spans="2:15" ht="12.75" hidden="1" customHeight="1" outlineLevel="1">
      <c r="B53" s="405" t="s">
        <v>338</v>
      </c>
      <c r="D53" s="406">
        <f>(LN($D$9/D50)+($D$12+$D$11^2/2)*$D$10)/($D$11*SQRT($D$10))</f>
        <v>27.883102321928192</v>
      </c>
      <c r="E53" s="406">
        <f>(LN($D$9/E50)+($D$12+$D$11^2/2)*$D$10)/($D$11*SQRT($D$10))</f>
        <v>0.9088472163250505</v>
      </c>
      <c r="F53" s="406">
        <f t="shared" ref="F53:K53" si="16">(LN($D$9/F50)+($D$12+$D$11^2/2)*$D$10)/($D$11*SQRT($D$10))</f>
        <v>0.89625719085951761</v>
      </c>
      <c r="G53" s="406">
        <f t="shared" si="16"/>
        <v>0.8939634555937257</v>
      </c>
      <c r="H53" s="406">
        <f t="shared" si="16"/>
        <v>0.8625253563106654</v>
      </c>
      <c r="I53" s="406">
        <f t="shared" si="16"/>
        <v>0.85419672621620668</v>
      </c>
      <c r="J53" s="406">
        <f t="shared" si="16"/>
        <v>0.78702671250510925</v>
      </c>
      <c r="K53" s="406">
        <f t="shared" si="16"/>
        <v>0.47241669976145378</v>
      </c>
    </row>
    <row r="54" spans="2:15" ht="12.75" hidden="1" customHeight="1" outlineLevel="1">
      <c r="B54" s="405" t="s">
        <v>340</v>
      </c>
      <c r="D54" s="406">
        <f>D53-$D$11*SQRT($D$10)</f>
        <v>26.599066757192212</v>
      </c>
      <c r="E54" s="406">
        <f t="shared" ref="E54:K54" si="17">E53-$D$11*SQRT($D$10)</f>
        <v>-0.37518834841093041</v>
      </c>
      <c r="F54" s="406">
        <f t="shared" si="17"/>
        <v>-0.3877783738764633</v>
      </c>
      <c r="G54" s="406">
        <f t="shared" si="17"/>
        <v>-0.39007210914225521</v>
      </c>
      <c r="H54" s="406">
        <f t="shared" si="17"/>
        <v>-0.4215102084253155</v>
      </c>
      <c r="I54" s="406">
        <f t="shared" si="17"/>
        <v>-0.42983883851977422</v>
      </c>
      <c r="J54" s="406">
        <f t="shared" si="17"/>
        <v>-0.49700885223087166</v>
      </c>
      <c r="K54" s="406">
        <f t="shared" si="17"/>
        <v>-0.81161886497452707</v>
      </c>
    </row>
    <row r="55" spans="2:15" ht="12.75" hidden="1" customHeight="1" outlineLevel="1">
      <c r="D55" s="406"/>
      <c r="E55" s="406"/>
      <c r="F55" s="406"/>
      <c r="G55" s="406"/>
      <c r="H55" s="406"/>
      <c r="I55" s="406"/>
      <c r="J55" s="406"/>
      <c r="K55" s="406"/>
    </row>
    <row r="56" spans="2:15" ht="12.75" hidden="1" customHeight="1" outlineLevel="1">
      <c r="B56" s="405" t="s">
        <v>339</v>
      </c>
      <c r="D56" s="406">
        <f>(LN($D$9/D51)+($D$12+$D$11^2/2)*$D$10)/($D$11*SQRT($D$10))</f>
        <v>0.9088472163250505</v>
      </c>
      <c r="E56" s="92">
        <f>IF(E51="n/a","n/a",(LN($D$9/E51)+($D$12+$D$11^2/2)*$D$10)/($D$11*SQRT($D$10)))</f>
        <v>0.89625719085951761</v>
      </c>
      <c r="F56" s="92">
        <f t="shared" ref="F56:K56" si="18">IF(F51="n/a","n/a",(LN($D$9/F51)+($D$12+$D$11^2/2)*$D$10)/($D$11*SQRT($D$10)))</f>
        <v>0.8939634555937257</v>
      </c>
      <c r="G56" s="92">
        <f t="shared" si="18"/>
        <v>0.8625253563106654</v>
      </c>
      <c r="H56" s="92">
        <f t="shared" si="18"/>
        <v>0.85419672621620668</v>
      </c>
      <c r="I56" s="92">
        <f t="shared" si="18"/>
        <v>0.78702671250510925</v>
      </c>
      <c r="J56" s="92">
        <f t="shared" si="18"/>
        <v>0.47241669976145378</v>
      </c>
      <c r="K56" s="92" t="str">
        <f t="shared" si="18"/>
        <v>n/a</v>
      </c>
    </row>
    <row r="57" spans="2:15" ht="12.75" hidden="1" customHeight="1" outlineLevel="1">
      <c r="B57" s="405" t="s">
        <v>341</v>
      </c>
      <c r="D57" s="406">
        <f>D56-$D$11*SQRT($D$10)</f>
        <v>-0.37518834841093041</v>
      </c>
      <c r="E57" s="92">
        <f>IF(E51="n/a","n/a",E56-$D$11*SQRT($D$10))</f>
        <v>-0.3877783738764633</v>
      </c>
      <c r="F57" s="92">
        <f t="shared" ref="F57:K57" si="19">IF(F51="n/a","n/a",F56-$D$11*SQRT($D$10))</f>
        <v>-0.39007210914225521</v>
      </c>
      <c r="G57" s="92">
        <f t="shared" si="19"/>
        <v>-0.4215102084253155</v>
      </c>
      <c r="H57" s="92">
        <f t="shared" si="19"/>
        <v>-0.42983883851977422</v>
      </c>
      <c r="I57" s="92">
        <f t="shared" si="19"/>
        <v>-0.49700885223087166</v>
      </c>
      <c r="J57" s="92">
        <f t="shared" si="19"/>
        <v>-0.81161886497452707</v>
      </c>
      <c r="K57" s="92" t="str">
        <f t="shared" si="19"/>
        <v>n/a</v>
      </c>
    </row>
    <row r="58" spans="2:15" ht="12.75" hidden="1" customHeight="1" outlineLevel="1">
      <c r="D58" s="406"/>
      <c r="E58" s="406"/>
      <c r="F58" s="406"/>
      <c r="G58" s="406"/>
      <c r="H58" s="406"/>
      <c r="I58" s="406"/>
      <c r="J58" s="406"/>
      <c r="K58" s="406"/>
    </row>
    <row r="59" spans="2:15" ht="12.75" customHeight="1" collapsed="1">
      <c r="B59" s="405" t="s">
        <v>335</v>
      </c>
      <c r="D59" s="406">
        <f>$D$9*NORMSDIST(D53)-D50*EXP(-$D$12*$D$10)*NORMSDIST(D54)</f>
        <v>143329.99999999991</v>
      </c>
      <c r="E59" s="406">
        <f t="shared" ref="E59:K59" si="20">$D$9*NORMSDIST(E53)-E50*EXP(-$D$12*$D$10)*NORMSDIST(E54)</f>
        <v>81289.188332738471</v>
      </c>
      <c r="F59" s="406">
        <f t="shared" si="20"/>
        <v>80706.439661430777</v>
      </c>
      <c r="G59" s="406">
        <f t="shared" si="20"/>
        <v>80600.091571358498</v>
      </c>
      <c r="H59" s="406">
        <f t="shared" si="20"/>
        <v>79137.168706297773</v>
      </c>
      <c r="I59" s="406">
        <f t="shared" si="20"/>
        <v>78748.023623070272</v>
      </c>
      <c r="J59" s="406">
        <f t="shared" si="20"/>
        <v>75588.207741017031</v>
      </c>
      <c r="K59" s="406">
        <f t="shared" si="20"/>
        <v>60549.701088559406</v>
      </c>
    </row>
    <row r="60" spans="2:15" ht="12.75" customHeight="1">
      <c r="B60" s="405" t="s">
        <v>336</v>
      </c>
      <c r="D60" s="406">
        <f>$D$9*NORMSDIST(D56)-D51*EXP(-$D$12*$D$10)*NORMSDIST(D57)</f>
        <v>81289.188332738471</v>
      </c>
      <c r="E60" s="92">
        <f>IF(E51="n/a","n/a",$D$9*NORMSDIST(E56)-E51*EXP(-$D$12*$D$10)*NORMSDIST(E57))</f>
        <v>80706.439661430777</v>
      </c>
      <c r="F60" s="92">
        <f t="shared" ref="F60:K60" si="21">IF(F51="n/a","n/a",$D$9*NORMSDIST(F56)-F51*EXP(-$D$12*$D$10)*NORMSDIST(F57))</f>
        <v>80600.091571358498</v>
      </c>
      <c r="G60" s="92">
        <f t="shared" si="21"/>
        <v>79137.168706297773</v>
      </c>
      <c r="H60" s="92">
        <f t="shared" si="21"/>
        <v>78748.023623070272</v>
      </c>
      <c r="I60" s="92">
        <f t="shared" si="21"/>
        <v>75588.207741017031</v>
      </c>
      <c r="J60" s="92">
        <f t="shared" si="21"/>
        <v>60549.701088559406</v>
      </c>
      <c r="K60" s="92" t="str">
        <f t="shared" si="21"/>
        <v>n/a</v>
      </c>
    </row>
    <row r="61" spans="2:15" ht="12.75" customHeight="1"/>
    <row r="62" spans="2:15" ht="12.75" customHeight="1">
      <c r="B62" s="1" t="s">
        <v>337</v>
      </c>
      <c r="C62" s="1"/>
      <c r="D62" s="998">
        <f>D59-D60</f>
        <v>62040.811667261441</v>
      </c>
      <c r="E62" s="998">
        <f>IF(E51="n/a",E59,E59-E60)</f>
        <v>582.74867130769417</v>
      </c>
      <c r="F62" s="998">
        <f t="shared" ref="F62:K62" si="22">IF(F51="n/a",F59,F59-F60)</f>
        <v>106.34809007227886</v>
      </c>
      <c r="G62" s="998">
        <f t="shared" si="22"/>
        <v>1462.9228650607256</v>
      </c>
      <c r="H62" s="998">
        <f t="shared" si="22"/>
        <v>389.14508322750044</v>
      </c>
      <c r="I62" s="998">
        <f t="shared" si="22"/>
        <v>3159.8158820532408</v>
      </c>
      <c r="J62" s="998">
        <f t="shared" si="22"/>
        <v>15038.506652457625</v>
      </c>
      <c r="K62" s="998">
        <f t="shared" si="22"/>
        <v>60549.701088559406</v>
      </c>
    </row>
    <row r="63" spans="2:15" ht="12.75" customHeight="1"/>
    <row r="64" spans="2:15" s="6" customFormat="1" ht="12.75" customHeight="1">
      <c r="B64" s="279" t="s">
        <v>331</v>
      </c>
      <c r="D64" s="280">
        <f>D$15</f>
        <v>1</v>
      </c>
      <c r="E64" s="281">
        <f t="shared" ref="E64:K64" si="23">E$15</f>
        <v>2</v>
      </c>
      <c r="F64" s="281">
        <f t="shared" si="23"/>
        <v>3</v>
      </c>
      <c r="G64" s="281">
        <f t="shared" si="23"/>
        <v>4</v>
      </c>
      <c r="H64" s="281">
        <f t="shared" si="23"/>
        <v>5</v>
      </c>
      <c r="I64" s="281">
        <f t="shared" si="23"/>
        <v>6</v>
      </c>
      <c r="J64" s="281">
        <f t="shared" si="23"/>
        <v>7</v>
      </c>
      <c r="K64" s="281">
        <f t="shared" si="23"/>
        <v>8</v>
      </c>
      <c r="O64" s="330"/>
    </row>
    <row r="65" spans="2:11" ht="12.75" customHeight="1"/>
    <row r="66" spans="2:11" ht="12.75" customHeight="1">
      <c r="D66" s="999" t="s">
        <v>325</v>
      </c>
      <c r="E66" s="999" t="s">
        <v>262</v>
      </c>
      <c r="F66" s="999" t="s">
        <v>262</v>
      </c>
      <c r="G66" s="999" t="s">
        <v>262</v>
      </c>
      <c r="H66" s="999" t="s">
        <v>262</v>
      </c>
      <c r="I66" s="999" t="s">
        <v>262</v>
      </c>
      <c r="J66" s="999" t="s">
        <v>262</v>
      </c>
      <c r="K66" s="999" t="s">
        <v>262</v>
      </c>
    </row>
    <row r="67" spans="2:11" ht="12.75" customHeight="1"/>
    <row r="68" spans="2:11" ht="12.75" customHeight="1">
      <c r="B68" s="165" t="str">
        <f>B27</f>
        <v>Series A</v>
      </c>
      <c r="D68" s="387">
        <f>D19</f>
        <v>44050</v>
      </c>
      <c r="E68" s="387">
        <f>E27</f>
        <v>0</v>
      </c>
      <c r="F68" s="387">
        <f t="shared" ref="F68:K68" si="24">F27</f>
        <v>0</v>
      </c>
      <c r="G68" s="387">
        <f t="shared" si="24"/>
        <v>0</v>
      </c>
      <c r="H68" s="387">
        <f t="shared" si="24"/>
        <v>0</v>
      </c>
      <c r="I68" s="387">
        <f t="shared" si="24"/>
        <v>0</v>
      </c>
      <c r="J68" s="387">
        <f t="shared" si="24"/>
        <v>44050</v>
      </c>
      <c r="K68" s="387">
        <f t="shared" si="24"/>
        <v>44050</v>
      </c>
    </row>
    <row r="69" spans="2:11" ht="12.75" customHeight="1">
      <c r="B69" s="165" t="str">
        <f t="shared" ref="B69:B76" si="25">B28</f>
        <v>Series B Tranche I</v>
      </c>
      <c r="D69" s="387">
        <f>D20</f>
        <v>22049.991999999998</v>
      </c>
      <c r="E69" s="387">
        <f t="shared" ref="E69:K76" si="26">E28</f>
        <v>0</v>
      </c>
      <c r="F69" s="387">
        <f t="shared" si="26"/>
        <v>0</v>
      </c>
      <c r="G69" s="387">
        <f t="shared" si="26"/>
        <v>0</v>
      </c>
      <c r="H69" s="387">
        <f t="shared" si="26"/>
        <v>0</v>
      </c>
      <c r="I69" s="387">
        <f t="shared" si="26"/>
        <v>0</v>
      </c>
      <c r="J69" s="387">
        <f t="shared" si="26"/>
        <v>0</v>
      </c>
      <c r="K69" s="387">
        <f t="shared" si="26"/>
        <v>11024.995999999999</v>
      </c>
    </row>
    <row r="70" spans="2:11" ht="12.75" customHeight="1">
      <c r="B70" s="165" t="str">
        <f t="shared" si="25"/>
        <v>Series B Tranche II</v>
      </c>
      <c r="D70" s="387">
        <f>D21</f>
        <v>22049.991999999998</v>
      </c>
      <c r="E70" s="387">
        <f t="shared" si="26"/>
        <v>0</v>
      </c>
      <c r="F70" s="387">
        <f t="shared" si="26"/>
        <v>0</v>
      </c>
      <c r="G70" s="387">
        <f t="shared" si="26"/>
        <v>0</v>
      </c>
      <c r="H70" s="387">
        <f t="shared" si="26"/>
        <v>0</v>
      </c>
      <c r="I70" s="387">
        <f t="shared" si="26"/>
        <v>0</v>
      </c>
      <c r="J70" s="387">
        <f t="shared" si="26"/>
        <v>0</v>
      </c>
      <c r="K70" s="387">
        <f t="shared" si="26"/>
        <v>11024.995999999999</v>
      </c>
    </row>
    <row r="71" spans="2:11" ht="12.75" customHeight="1">
      <c r="B71" s="165" t="str">
        <f t="shared" si="25"/>
        <v>Series B Tranche III</v>
      </c>
      <c r="D71" s="387">
        <f>D22</f>
        <v>22049.991999999998</v>
      </c>
      <c r="E71" s="387">
        <f t="shared" si="26"/>
        <v>0</v>
      </c>
      <c r="F71" s="387">
        <f t="shared" si="26"/>
        <v>0</v>
      </c>
      <c r="G71" s="387">
        <f t="shared" si="26"/>
        <v>0</v>
      </c>
      <c r="H71" s="387">
        <f t="shared" si="26"/>
        <v>0</v>
      </c>
      <c r="I71" s="387">
        <f t="shared" si="26"/>
        <v>0</v>
      </c>
      <c r="J71" s="387">
        <f t="shared" si="26"/>
        <v>0</v>
      </c>
      <c r="K71" s="387">
        <f t="shared" si="26"/>
        <v>11024.995999999999</v>
      </c>
    </row>
    <row r="72" spans="2:11" ht="12.75" customHeight="1">
      <c r="B72" s="165" t="str">
        <f t="shared" si="25"/>
        <v>Options at $0.11 Strike Price</v>
      </c>
      <c r="D72" s="387">
        <v>0</v>
      </c>
      <c r="E72" s="387">
        <f t="shared" si="26"/>
        <v>0</v>
      </c>
      <c r="F72" s="387">
        <f t="shared" si="26"/>
        <v>190</v>
      </c>
      <c r="G72" s="387">
        <f t="shared" si="26"/>
        <v>190</v>
      </c>
      <c r="H72" s="387">
        <f t="shared" si="26"/>
        <v>190</v>
      </c>
      <c r="I72" s="387">
        <f t="shared" si="26"/>
        <v>190</v>
      </c>
      <c r="J72" s="387">
        <f t="shared" si="26"/>
        <v>190</v>
      </c>
      <c r="K72" s="387">
        <f t="shared" si="26"/>
        <v>190</v>
      </c>
    </row>
    <row r="73" spans="2:11" ht="12.75" customHeight="1">
      <c r="B73" s="165" t="str">
        <f t="shared" si="25"/>
        <v>Options at $0.13 Strike Price</v>
      </c>
      <c r="D73" s="387">
        <v>0</v>
      </c>
      <c r="E73" s="387">
        <f t="shared" si="26"/>
        <v>0</v>
      </c>
      <c r="F73" s="387">
        <f t="shared" si="26"/>
        <v>0</v>
      </c>
      <c r="G73" s="387">
        <f t="shared" si="26"/>
        <v>620.404</v>
      </c>
      <c r="H73" s="387">
        <f t="shared" si="26"/>
        <v>620.404</v>
      </c>
      <c r="I73" s="387">
        <f t="shared" si="26"/>
        <v>620.404</v>
      </c>
      <c r="J73" s="387">
        <f t="shared" si="26"/>
        <v>620.404</v>
      </c>
      <c r="K73" s="387">
        <f t="shared" si="26"/>
        <v>620.404</v>
      </c>
    </row>
    <row r="74" spans="2:11" ht="12.75" customHeight="1">
      <c r="B74" s="165" t="str">
        <f t="shared" si="25"/>
        <v>Options at $0.40 Strike Price</v>
      </c>
      <c r="D74" s="387">
        <v>0</v>
      </c>
      <c r="E74" s="387">
        <f t="shared" si="26"/>
        <v>0</v>
      </c>
      <c r="F74" s="387">
        <f t="shared" si="26"/>
        <v>0</v>
      </c>
      <c r="G74" s="387">
        <f t="shared" si="26"/>
        <v>0</v>
      </c>
      <c r="H74" s="387">
        <f t="shared" si="26"/>
        <v>826</v>
      </c>
      <c r="I74" s="387">
        <f t="shared" si="26"/>
        <v>826</v>
      </c>
      <c r="J74" s="387">
        <f t="shared" si="26"/>
        <v>826</v>
      </c>
      <c r="K74" s="387">
        <f t="shared" si="26"/>
        <v>826</v>
      </c>
    </row>
    <row r="75" spans="2:11" ht="12.75" customHeight="1">
      <c r="B75" s="165" t="str">
        <f t="shared" si="25"/>
        <v>Expected Options Grant</v>
      </c>
      <c r="D75" s="387">
        <v>0</v>
      </c>
      <c r="E75" s="387">
        <f t="shared" si="26"/>
        <v>0</v>
      </c>
      <c r="F75" s="387">
        <f t="shared" si="26"/>
        <v>0</v>
      </c>
      <c r="G75" s="387">
        <f t="shared" si="26"/>
        <v>0</v>
      </c>
      <c r="H75" s="387">
        <f t="shared" si="26"/>
        <v>0</v>
      </c>
      <c r="I75" s="387">
        <f t="shared" si="26"/>
        <v>2127.3489690721649</v>
      </c>
      <c r="J75" s="387">
        <f t="shared" si="26"/>
        <v>2127.3489690721649</v>
      </c>
      <c r="K75" s="387">
        <f t="shared" si="26"/>
        <v>2127.3489690721649</v>
      </c>
    </row>
    <row r="76" spans="2:11" ht="12.75" customHeight="1">
      <c r="B76" s="165" t="str">
        <f t="shared" si="25"/>
        <v>Common</v>
      </c>
      <c r="D76" s="387">
        <v>0</v>
      </c>
      <c r="E76" s="387">
        <f t="shared" si="26"/>
        <v>16327.046</v>
      </c>
      <c r="F76" s="387">
        <f t="shared" si="26"/>
        <v>16327.046</v>
      </c>
      <c r="G76" s="387">
        <f t="shared" si="26"/>
        <v>16327.046</v>
      </c>
      <c r="H76" s="387">
        <f t="shared" si="26"/>
        <v>16327.046</v>
      </c>
      <c r="I76" s="387">
        <f t="shared" si="26"/>
        <v>16327.046</v>
      </c>
      <c r="J76" s="387">
        <f t="shared" si="26"/>
        <v>16327.046</v>
      </c>
      <c r="K76" s="387">
        <f t="shared" si="26"/>
        <v>16327.046</v>
      </c>
    </row>
    <row r="77" spans="2:11" ht="12.75" customHeight="1">
      <c r="B77" s="5"/>
      <c r="C77" s="5"/>
      <c r="D77" s="5"/>
      <c r="E77" s="5"/>
      <c r="F77" s="5"/>
      <c r="G77" s="5"/>
      <c r="H77" s="5"/>
      <c r="I77" s="5"/>
      <c r="J77" s="5"/>
      <c r="K77" s="5"/>
    </row>
    <row r="78" spans="2:11" ht="12.75" customHeight="1">
      <c r="B78" s="41" t="s">
        <v>1558</v>
      </c>
      <c r="D78" s="38">
        <f t="shared" ref="D78:K78" si="27">SUM(D68:D76)</f>
        <v>110199.976</v>
      </c>
      <c r="E78" s="38">
        <f t="shared" si="27"/>
        <v>16327.046</v>
      </c>
      <c r="F78" s="38">
        <f t="shared" si="27"/>
        <v>16517.046000000002</v>
      </c>
      <c r="G78" s="38">
        <f t="shared" si="27"/>
        <v>17137.45</v>
      </c>
      <c r="H78" s="38">
        <f t="shared" si="27"/>
        <v>17963.45</v>
      </c>
      <c r="I78" s="38">
        <f t="shared" si="27"/>
        <v>20090.798969072166</v>
      </c>
      <c r="J78" s="38">
        <f t="shared" si="27"/>
        <v>64140.798969072166</v>
      </c>
      <c r="K78" s="38">
        <f t="shared" si="27"/>
        <v>97215.786969072156</v>
      </c>
    </row>
    <row r="79" spans="2:11" ht="12.75" customHeight="1"/>
    <row r="80" spans="2:11" ht="12.75" customHeight="1">
      <c r="B80" s="279" t="s">
        <v>1586</v>
      </c>
      <c r="C80" s="6"/>
      <c r="D80" s="280">
        <f>D$15</f>
        <v>1</v>
      </c>
      <c r="E80" s="281">
        <f t="shared" ref="E80:K80" si="28">E$15</f>
        <v>2</v>
      </c>
      <c r="F80" s="281">
        <f t="shared" si="28"/>
        <v>3</v>
      </c>
      <c r="G80" s="281">
        <f t="shared" si="28"/>
        <v>4</v>
      </c>
      <c r="H80" s="281">
        <f t="shared" si="28"/>
        <v>5</v>
      </c>
      <c r="I80" s="281">
        <f t="shared" si="28"/>
        <v>6</v>
      </c>
      <c r="J80" s="281">
        <f t="shared" si="28"/>
        <v>7</v>
      </c>
      <c r="K80" s="281">
        <f t="shared" si="28"/>
        <v>8</v>
      </c>
    </row>
    <row r="81" spans="2:15" ht="12.75" customHeight="1"/>
    <row r="82" spans="2:15" ht="12.75" customHeight="1">
      <c r="B82" s="2" t="str">
        <f t="shared" ref="B82:B90" si="29">B68</f>
        <v>Series A</v>
      </c>
      <c r="D82" s="1664">
        <f t="shared" ref="D82:K90" si="30">D68/D$78</f>
        <v>0.39972785475016803</v>
      </c>
      <c r="E82" s="1664">
        <f t="shared" si="30"/>
        <v>0</v>
      </c>
      <c r="F82" s="1664">
        <f t="shared" si="30"/>
        <v>0</v>
      </c>
      <c r="G82" s="1664">
        <f t="shared" si="30"/>
        <v>0</v>
      </c>
      <c r="H82" s="1664">
        <f t="shared" si="30"/>
        <v>0</v>
      </c>
      <c r="I82" s="1664">
        <f t="shared" si="30"/>
        <v>0</v>
      </c>
      <c r="J82" s="1664">
        <f t="shared" si="30"/>
        <v>0.6867703662569018</v>
      </c>
      <c r="K82" s="1664">
        <f t="shared" si="30"/>
        <v>0.4531157065468584</v>
      </c>
    </row>
    <row r="83" spans="2:15" ht="12.75" customHeight="1">
      <c r="B83" s="2" t="str">
        <f t="shared" si="29"/>
        <v>Series B Tranche I</v>
      </c>
      <c r="D83" s="1664">
        <f t="shared" si="30"/>
        <v>0.20009071508327733</v>
      </c>
      <c r="E83" s="1664">
        <f t="shared" si="30"/>
        <v>0</v>
      </c>
      <c r="F83" s="1664">
        <f t="shared" si="30"/>
        <v>0</v>
      </c>
      <c r="G83" s="1664">
        <f t="shared" si="30"/>
        <v>0</v>
      </c>
      <c r="H83" s="1664">
        <f t="shared" si="30"/>
        <v>0</v>
      </c>
      <c r="I83" s="1664">
        <f t="shared" si="30"/>
        <v>0</v>
      </c>
      <c r="J83" s="1664">
        <f t="shared" si="30"/>
        <v>0</v>
      </c>
      <c r="K83" s="1664">
        <f t="shared" si="30"/>
        <v>0.11340746543056271</v>
      </c>
    </row>
    <row r="84" spans="2:15" ht="12.75" customHeight="1">
      <c r="B84" s="2" t="str">
        <f t="shared" si="29"/>
        <v>Series B Tranche II</v>
      </c>
      <c r="D84" s="1664">
        <f t="shared" si="30"/>
        <v>0.20009071508327733</v>
      </c>
      <c r="E84" s="1664">
        <f t="shared" si="30"/>
        <v>0</v>
      </c>
      <c r="F84" s="1664">
        <f t="shared" si="30"/>
        <v>0</v>
      </c>
      <c r="G84" s="1664">
        <f t="shared" si="30"/>
        <v>0</v>
      </c>
      <c r="H84" s="1664">
        <f t="shared" si="30"/>
        <v>0</v>
      </c>
      <c r="I84" s="1664">
        <f t="shared" si="30"/>
        <v>0</v>
      </c>
      <c r="J84" s="1664">
        <f t="shared" si="30"/>
        <v>0</v>
      </c>
      <c r="K84" s="1664">
        <f t="shared" si="30"/>
        <v>0.11340746543056271</v>
      </c>
    </row>
    <row r="85" spans="2:15" ht="12.75" customHeight="1">
      <c r="B85" s="2" t="str">
        <f t="shared" si="29"/>
        <v>Series B Tranche III</v>
      </c>
      <c r="D85" s="1664">
        <f t="shared" si="30"/>
        <v>0.20009071508327733</v>
      </c>
      <c r="E85" s="1664">
        <f t="shared" si="30"/>
        <v>0</v>
      </c>
      <c r="F85" s="1664">
        <f t="shared" si="30"/>
        <v>0</v>
      </c>
      <c r="G85" s="1664">
        <f t="shared" si="30"/>
        <v>0</v>
      </c>
      <c r="H85" s="1664">
        <f t="shared" si="30"/>
        <v>0</v>
      </c>
      <c r="I85" s="1664">
        <f t="shared" si="30"/>
        <v>0</v>
      </c>
      <c r="J85" s="1664">
        <f t="shared" si="30"/>
        <v>0</v>
      </c>
      <c r="K85" s="1664">
        <f t="shared" si="30"/>
        <v>0.11340746543056271</v>
      </c>
    </row>
    <row r="86" spans="2:15" ht="12.75" customHeight="1">
      <c r="B86" s="2" t="str">
        <f t="shared" si="29"/>
        <v>Options at $0.11 Strike Price</v>
      </c>
      <c r="D86" s="1664">
        <f t="shared" si="30"/>
        <v>0</v>
      </c>
      <c r="E86" s="1664">
        <f t="shared" si="30"/>
        <v>0</v>
      </c>
      <c r="F86" s="1664">
        <f t="shared" si="30"/>
        <v>1.1503267593975337E-2</v>
      </c>
      <c r="G86" s="1664">
        <f t="shared" si="30"/>
        <v>1.1086830304391844E-2</v>
      </c>
      <c r="H86" s="1664">
        <f t="shared" si="30"/>
        <v>1.0577032808285713E-2</v>
      </c>
      <c r="I86" s="1664">
        <f t="shared" si="30"/>
        <v>9.4570654105138648E-3</v>
      </c>
      <c r="J86" s="1664">
        <f t="shared" si="30"/>
        <v>2.9622331348197807E-3</v>
      </c>
      <c r="K86" s="1664">
        <f t="shared" si="30"/>
        <v>1.954415079316756E-3</v>
      </c>
    </row>
    <row r="87" spans="2:15" ht="12.75" customHeight="1">
      <c r="B87" s="2" t="str">
        <f t="shared" si="29"/>
        <v>Options at $0.13 Strike Price</v>
      </c>
      <c r="D87" s="1664">
        <f t="shared" si="30"/>
        <v>0</v>
      </c>
      <c r="E87" s="1664">
        <f t="shared" si="30"/>
        <v>0</v>
      </c>
      <c r="F87" s="1664">
        <f t="shared" si="30"/>
        <v>0</v>
      </c>
      <c r="G87" s="1664">
        <f t="shared" si="30"/>
        <v>3.6201651937715351E-2</v>
      </c>
      <c r="H87" s="1664">
        <f t="shared" si="30"/>
        <v>3.4537018223114155E-2</v>
      </c>
      <c r="I87" s="1664">
        <f t="shared" si="30"/>
        <v>3.0880006362865493E-2</v>
      </c>
      <c r="J87" s="1664">
        <f t="shared" si="30"/>
        <v>9.6725330830249017E-3</v>
      </c>
      <c r="K87" s="1664">
        <f t="shared" si="30"/>
        <v>6.3817206993075403E-3</v>
      </c>
    </row>
    <row r="88" spans="2:15" ht="12.75" customHeight="1">
      <c r="B88" s="2" t="str">
        <f t="shared" si="29"/>
        <v>Options at $0.40 Strike Price</v>
      </c>
      <c r="D88" s="1664">
        <f t="shared" si="30"/>
        <v>0</v>
      </c>
      <c r="E88" s="1664">
        <f t="shared" si="30"/>
        <v>0</v>
      </c>
      <c r="F88" s="1664">
        <f t="shared" si="30"/>
        <v>0</v>
      </c>
      <c r="G88" s="1664">
        <f t="shared" si="30"/>
        <v>0</v>
      </c>
      <c r="H88" s="1664">
        <f t="shared" si="30"/>
        <v>4.598225841917894E-2</v>
      </c>
      <c r="I88" s="1664">
        <f t="shared" si="30"/>
        <v>4.1113347521497118E-2</v>
      </c>
      <c r="J88" s="1664">
        <f t="shared" si="30"/>
        <v>1.2877918786111256E-2</v>
      </c>
      <c r="K88" s="1664">
        <f t="shared" si="30"/>
        <v>8.4965623974507382E-3</v>
      </c>
    </row>
    <row r="89" spans="2:15" ht="12.75" customHeight="1">
      <c r="B89" s="2" t="str">
        <f t="shared" si="29"/>
        <v>Expected Options Grant</v>
      </c>
      <c r="D89" s="1664">
        <f t="shared" si="30"/>
        <v>0</v>
      </c>
      <c r="E89" s="1664">
        <f t="shared" si="30"/>
        <v>0</v>
      </c>
      <c r="F89" s="1664">
        <f t="shared" si="30"/>
        <v>0</v>
      </c>
      <c r="G89" s="1664">
        <f t="shared" si="30"/>
        <v>0</v>
      </c>
      <c r="H89" s="1664">
        <f t="shared" si="30"/>
        <v>0</v>
      </c>
      <c r="I89" s="1664">
        <f t="shared" si="30"/>
        <v>0.10588672816581421</v>
      </c>
      <c r="J89" s="1664">
        <f t="shared" si="30"/>
        <v>3.3166861081632991E-2</v>
      </c>
      <c r="K89" s="1664">
        <f t="shared" si="30"/>
        <v>2.1882752126966283E-2</v>
      </c>
    </row>
    <row r="90" spans="2:15" ht="12.75" customHeight="1">
      <c r="B90" s="2" t="str">
        <f t="shared" si="29"/>
        <v>Common</v>
      </c>
      <c r="D90" s="1664">
        <f t="shared" si="30"/>
        <v>0</v>
      </c>
      <c r="E90" s="1664">
        <f t="shared" si="30"/>
        <v>1</v>
      </c>
      <c r="F90" s="1664">
        <f t="shared" si="30"/>
        <v>0.98849673240602454</v>
      </c>
      <c r="G90" s="1664">
        <f t="shared" si="30"/>
        <v>0.95271151775789276</v>
      </c>
      <c r="H90" s="1664">
        <f t="shared" si="30"/>
        <v>0.90890369054942122</v>
      </c>
      <c r="I90" s="1664">
        <f t="shared" si="30"/>
        <v>0.81266285253930926</v>
      </c>
      <c r="J90" s="1664">
        <f t="shared" si="30"/>
        <v>0.25455008765750925</v>
      </c>
      <c r="K90" s="1664">
        <f t="shared" si="30"/>
        <v>0.16794644685841223</v>
      </c>
    </row>
    <row r="91" spans="2:15" ht="12.75" customHeight="1">
      <c r="B91" s="61"/>
      <c r="C91" s="61"/>
      <c r="D91" s="1665"/>
      <c r="E91" s="1665"/>
      <c r="F91" s="1665"/>
      <c r="G91" s="1665"/>
      <c r="H91" s="1665"/>
      <c r="I91" s="1665"/>
      <c r="J91" s="1665"/>
      <c r="K91" s="1665"/>
    </row>
    <row r="92" spans="2:15" ht="12.75" customHeight="1">
      <c r="B92" s="1" t="s">
        <v>1587</v>
      </c>
      <c r="D92" s="38">
        <f t="shared" ref="D92:K92" si="31">SUM(D82:D90)</f>
        <v>1</v>
      </c>
      <c r="E92" s="38">
        <f t="shared" si="31"/>
        <v>1</v>
      </c>
      <c r="F92" s="38">
        <f t="shared" si="31"/>
        <v>0.99999999999999989</v>
      </c>
      <c r="G92" s="38">
        <f t="shared" si="31"/>
        <v>1</v>
      </c>
      <c r="H92" s="38">
        <f t="shared" si="31"/>
        <v>1</v>
      </c>
      <c r="I92" s="38">
        <f t="shared" si="31"/>
        <v>1</v>
      </c>
      <c r="J92" s="38">
        <f t="shared" si="31"/>
        <v>1</v>
      </c>
      <c r="K92" s="38">
        <f t="shared" si="31"/>
        <v>1</v>
      </c>
    </row>
    <row r="93" spans="2:15" ht="12.75" customHeight="1">
      <c r="B93" s="1"/>
      <c r="D93" s="38"/>
      <c r="E93" s="38"/>
      <c r="F93" s="38"/>
      <c r="G93" s="38"/>
      <c r="H93" s="38"/>
      <c r="I93" s="38"/>
      <c r="J93" s="38"/>
      <c r="K93" s="38"/>
    </row>
    <row r="94" spans="2:15" s="6" customFormat="1" ht="12.75" customHeight="1">
      <c r="B94" s="279" t="s">
        <v>342</v>
      </c>
      <c r="D94" s="280">
        <f>D$15</f>
        <v>1</v>
      </c>
      <c r="E94" s="281">
        <f t="shared" ref="E94:K94" si="32">E$15</f>
        <v>2</v>
      </c>
      <c r="F94" s="281">
        <f t="shared" si="32"/>
        <v>3</v>
      </c>
      <c r="G94" s="281">
        <f t="shared" si="32"/>
        <v>4</v>
      </c>
      <c r="H94" s="281">
        <f t="shared" si="32"/>
        <v>5</v>
      </c>
      <c r="I94" s="281">
        <f t="shared" si="32"/>
        <v>6</v>
      </c>
      <c r="J94" s="281">
        <f t="shared" si="32"/>
        <v>7</v>
      </c>
      <c r="K94" s="281">
        <f t="shared" si="32"/>
        <v>8</v>
      </c>
      <c r="M94" s="115" t="s">
        <v>160</v>
      </c>
      <c r="O94" s="330"/>
    </row>
    <row r="95" spans="2:15" ht="12.75" customHeight="1"/>
    <row r="96" spans="2:15" ht="12.75" customHeight="1">
      <c r="B96" s="2" t="str">
        <f>B68</f>
        <v>Series A</v>
      </c>
      <c r="D96" s="1000">
        <f t="shared" ref="D96:K104" si="33">D$62*D68/D$78</f>
        <v>24799.440554713608</v>
      </c>
      <c r="E96" s="1000">
        <f t="shared" si="33"/>
        <v>0</v>
      </c>
      <c r="F96" s="1000">
        <f t="shared" si="33"/>
        <v>0</v>
      </c>
      <c r="G96" s="1000">
        <f t="shared" si="33"/>
        <v>0</v>
      </c>
      <c r="H96" s="1000">
        <f t="shared" si="33"/>
        <v>0</v>
      </c>
      <c r="I96" s="1000">
        <f t="shared" si="33"/>
        <v>0</v>
      </c>
      <c r="J96" s="1000">
        <f t="shared" si="33"/>
        <v>10328.000721665177</v>
      </c>
      <c r="K96" s="1000">
        <f t="shared" si="33"/>
        <v>27436.020589943673</v>
      </c>
      <c r="M96" s="406">
        <f t="shared" ref="M96:M104" si="34">SUM(D96:K96)</f>
        <v>62563.461866322454</v>
      </c>
    </row>
    <row r="97" spans="2:15" ht="12.75" customHeight="1">
      <c r="B97" s="2" t="str">
        <f t="shared" ref="B97:B104" si="35">B69</f>
        <v>Series B Tranche I</v>
      </c>
      <c r="D97" s="406">
        <f t="shared" si="33"/>
        <v>12413.790370849278</v>
      </c>
      <c r="E97" s="406">
        <f t="shared" si="33"/>
        <v>0</v>
      </c>
      <c r="F97" s="406">
        <f t="shared" si="33"/>
        <v>0</v>
      </c>
      <c r="G97" s="406">
        <f t="shared" si="33"/>
        <v>0</v>
      </c>
      <c r="H97" s="406">
        <f t="shared" si="33"/>
        <v>0</v>
      </c>
      <c r="I97" s="406">
        <f t="shared" si="33"/>
        <v>0</v>
      </c>
      <c r="J97" s="406">
        <f t="shared" si="33"/>
        <v>0</v>
      </c>
      <c r="K97" s="406">
        <f t="shared" si="33"/>
        <v>6866.7881330317059</v>
      </c>
      <c r="M97" s="406">
        <f t="shared" si="34"/>
        <v>19280.578503880984</v>
      </c>
    </row>
    <row r="98" spans="2:15" ht="12.75" customHeight="1">
      <c r="B98" s="2" t="str">
        <f t="shared" si="35"/>
        <v>Series B Tranche II</v>
      </c>
      <c r="D98" s="406">
        <f t="shared" si="33"/>
        <v>12413.790370849278</v>
      </c>
      <c r="E98" s="406">
        <f t="shared" si="33"/>
        <v>0</v>
      </c>
      <c r="F98" s="406">
        <f t="shared" si="33"/>
        <v>0</v>
      </c>
      <c r="G98" s="406">
        <f t="shared" si="33"/>
        <v>0</v>
      </c>
      <c r="H98" s="406">
        <f t="shared" si="33"/>
        <v>0</v>
      </c>
      <c r="I98" s="406">
        <f t="shared" si="33"/>
        <v>0</v>
      </c>
      <c r="J98" s="406">
        <f t="shared" si="33"/>
        <v>0</v>
      </c>
      <c r="K98" s="406">
        <f t="shared" si="33"/>
        <v>6866.7881330317059</v>
      </c>
      <c r="M98" s="406">
        <f t="shared" si="34"/>
        <v>19280.578503880984</v>
      </c>
    </row>
    <row r="99" spans="2:15" ht="12.75" customHeight="1">
      <c r="B99" s="2" t="str">
        <f t="shared" si="35"/>
        <v>Series B Tranche III</v>
      </c>
      <c r="D99" s="406">
        <f t="shared" si="33"/>
        <v>12413.790370849278</v>
      </c>
      <c r="E99" s="406">
        <f t="shared" si="33"/>
        <v>0</v>
      </c>
      <c r="F99" s="406">
        <f t="shared" si="33"/>
        <v>0</v>
      </c>
      <c r="G99" s="406">
        <f t="shared" si="33"/>
        <v>0</v>
      </c>
      <c r="H99" s="406">
        <f t="shared" si="33"/>
        <v>0</v>
      </c>
      <c r="I99" s="406">
        <f t="shared" si="33"/>
        <v>0</v>
      </c>
      <c r="J99" s="406">
        <f t="shared" si="33"/>
        <v>0</v>
      </c>
      <c r="K99" s="406">
        <f t="shared" si="33"/>
        <v>6866.7881330317059</v>
      </c>
      <c r="M99" s="406">
        <f t="shared" si="34"/>
        <v>19280.578503880984</v>
      </c>
    </row>
    <row r="100" spans="2:15" ht="12.75" customHeight="1">
      <c r="B100" s="2" t="str">
        <f t="shared" si="35"/>
        <v>Options at $0.11 Strike Price</v>
      </c>
      <c r="D100" s="406">
        <f t="shared" si="33"/>
        <v>0</v>
      </c>
      <c r="E100" s="406">
        <f t="shared" si="33"/>
        <v>0</v>
      </c>
      <c r="F100" s="406">
        <f t="shared" si="33"/>
        <v>1.2233505382096157</v>
      </c>
      <c r="G100" s="406">
        <f t="shared" si="33"/>
        <v>16.219177553342991</v>
      </c>
      <c r="H100" s="406">
        <f t="shared" si="33"/>
        <v>4.1160003124803461</v>
      </c>
      <c r="I100" s="406">
        <f t="shared" si="33"/>
        <v>29.882585481758063</v>
      </c>
      <c r="J100" s="406">
        <f t="shared" si="33"/>
        <v>44.547562704117674</v>
      </c>
      <c r="K100" s="406">
        <f t="shared" si="33"/>
        <v>118.33924885560268</v>
      </c>
      <c r="M100" s="406">
        <f t="shared" si="34"/>
        <v>214.32792544551137</v>
      </c>
    </row>
    <row r="101" spans="2:15" ht="12.75" customHeight="1">
      <c r="B101" s="2" t="str">
        <f t="shared" si="35"/>
        <v>Options at $0.13 Strike Price</v>
      </c>
      <c r="D101" s="406">
        <f t="shared" si="33"/>
        <v>0</v>
      </c>
      <c r="E101" s="406">
        <f t="shared" si="33"/>
        <v>0</v>
      </c>
      <c r="F101" s="406">
        <f t="shared" si="33"/>
        <v>0</v>
      </c>
      <c r="G101" s="406">
        <f t="shared" si="33"/>
        <v>52.960224372653713</v>
      </c>
      <c r="H101" s="406">
        <f t="shared" si="33"/>
        <v>13.439910830863457</v>
      </c>
      <c r="I101" s="406">
        <f t="shared" si="33"/>
        <v>97.575134543287518</v>
      </c>
      <c r="J101" s="406">
        <f t="shared" si="33"/>
        <v>145.46045311518645</v>
      </c>
      <c r="K101" s="406">
        <f t="shared" si="33"/>
        <v>386.4112807737439</v>
      </c>
      <c r="M101" s="406">
        <f t="shared" si="34"/>
        <v>695.84700363573506</v>
      </c>
    </row>
    <row r="102" spans="2:15" ht="12.75" customHeight="1">
      <c r="B102" s="2" t="str">
        <f t="shared" si="35"/>
        <v>Options at $0.40 Strike Price</v>
      </c>
      <c r="D102" s="406">
        <f t="shared" si="33"/>
        <v>0</v>
      </c>
      <c r="E102" s="406">
        <f t="shared" si="33"/>
        <v>0</v>
      </c>
      <c r="F102" s="406">
        <f t="shared" si="33"/>
        <v>0</v>
      </c>
      <c r="G102" s="406">
        <f t="shared" si="33"/>
        <v>0</v>
      </c>
      <c r="H102" s="406">
        <f t="shared" si="33"/>
        <v>17.893769779519822</v>
      </c>
      <c r="I102" s="406">
        <f t="shared" si="33"/>
        <v>129.91060846280084</v>
      </c>
      <c r="J102" s="406">
        <f t="shared" si="33"/>
        <v>193.66466733474317</v>
      </c>
      <c r="K102" s="406">
        <f t="shared" si="33"/>
        <v>514.46431344593589</v>
      </c>
      <c r="M102" s="406">
        <f t="shared" si="34"/>
        <v>855.93335902299975</v>
      </c>
    </row>
    <row r="103" spans="2:15" ht="12.75" customHeight="1">
      <c r="B103" s="2" t="str">
        <f t="shared" si="35"/>
        <v>Expected Options Grant</v>
      </c>
      <c r="D103" s="406">
        <f t="shared" si="33"/>
        <v>0</v>
      </c>
      <c r="E103" s="406">
        <f t="shared" si="33"/>
        <v>0</v>
      </c>
      <c r="F103" s="406">
        <f t="shared" si="33"/>
        <v>0</v>
      </c>
      <c r="G103" s="406">
        <f t="shared" si="33"/>
        <v>0</v>
      </c>
      <c r="H103" s="406">
        <f t="shared" si="33"/>
        <v>0</v>
      </c>
      <c r="I103" s="406">
        <f t="shared" si="33"/>
        <v>334.582565356994</v>
      </c>
      <c r="J103" s="406">
        <f t="shared" si="33"/>
        <v>498.78006101727556</v>
      </c>
      <c r="K103" s="406">
        <f t="shared" si="33"/>
        <v>1324.9941002828461</v>
      </c>
      <c r="M103" s="406">
        <f t="shared" si="34"/>
        <v>2158.3567266571158</v>
      </c>
    </row>
    <row r="104" spans="2:15" ht="12.75" customHeight="1">
      <c r="B104" s="2" t="str">
        <f t="shared" si="35"/>
        <v>Common</v>
      </c>
      <c r="D104" s="406">
        <f t="shared" si="33"/>
        <v>0</v>
      </c>
      <c r="E104" s="406">
        <f t="shared" si="33"/>
        <v>582.74867130769417</v>
      </c>
      <c r="F104" s="406">
        <f t="shared" si="33"/>
        <v>105.12473953406923</v>
      </c>
      <c r="G104" s="406">
        <f t="shared" si="33"/>
        <v>1393.7434631347287</v>
      </c>
      <c r="H104" s="406">
        <f t="shared" si="33"/>
        <v>353.69540230463679</v>
      </c>
      <c r="I104" s="406">
        <f t="shared" si="33"/>
        <v>2567.8649882084005</v>
      </c>
      <c r="J104" s="406">
        <f t="shared" si="33"/>
        <v>3828.0531866211245</v>
      </c>
      <c r="K104" s="406">
        <f t="shared" si="33"/>
        <v>10169.107156162487</v>
      </c>
      <c r="M104" s="406">
        <f t="shared" si="34"/>
        <v>19000.337607273141</v>
      </c>
    </row>
    <row r="105" spans="2:15" ht="12.75" customHeight="1">
      <c r="B105" s="61"/>
      <c r="C105" s="61"/>
      <c r="D105" s="5"/>
      <c r="E105" s="5"/>
      <c r="F105" s="5"/>
      <c r="G105" s="5"/>
      <c r="H105" s="5"/>
      <c r="I105" s="5"/>
      <c r="J105" s="5"/>
      <c r="K105" s="5"/>
      <c r="M105" s="5"/>
    </row>
    <row r="106" spans="2:15" ht="12.75" customHeight="1">
      <c r="B106" s="1" t="s">
        <v>1559</v>
      </c>
      <c r="D106" s="1001">
        <f t="shared" ref="D106:K106" si="36">SUM(D96:D104)</f>
        <v>62040.811667261441</v>
      </c>
      <c r="E106" s="1001">
        <f t="shared" si="36"/>
        <v>582.74867130769417</v>
      </c>
      <c r="F106" s="1001">
        <f t="shared" si="36"/>
        <v>106.34809007227885</v>
      </c>
      <c r="G106" s="1001">
        <f t="shared" si="36"/>
        <v>1462.9228650607254</v>
      </c>
      <c r="H106" s="1001">
        <f t="shared" si="36"/>
        <v>389.14508322750044</v>
      </c>
      <c r="I106" s="1001">
        <f t="shared" si="36"/>
        <v>3159.8158820532408</v>
      </c>
      <c r="J106" s="1001">
        <f t="shared" si="36"/>
        <v>15038.506652457627</v>
      </c>
      <c r="K106" s="1001">
        <f t="shared" si="36"/>
        <v>60549.701088559406</v>
      </c>
      <c r="M106" s="38">
        <f>SUM(M96:M104)</f>
        <v>143329.99999999991</v>
      </c>
      <c r="O106" s="331">
        <f>M106-D9</f>
        <v>0</v>
      </c>
    </row>
    <row r="107" spans="2:15" ht="12.75" customHeight="1"/>
    <row r="108" spans="2:15" ht="12.75" customHeight="1"/>
    <row r="110" spans="2:15">
      <c r="B110" s="405" t="s">
        <v>1588</v>
      </c>
      <c r="D110" s="1002">
        <f>D45</f>
        <v>110199.976</v>
      </c>
      <c r="E110" s="1002">
        <f t="shared" ref="E110:J110" si="37">F45-E45</f>
        <v>1795.975059999997</v>
      </c>
      <c r="F110" s="1002">
        <f t="shared" si="37"/>
        <v>330.34092000000237</v>
      </c>
      <c r="G110" s="1002">
        <f t="shared" si="37"/>
        <v>4627.1114999999991</v>
      </c>
      <c r="H110" s="1002">
        <f t="shared" si="37"/>
        <v>1257.4415000000008</v>
      </c>
      <c r="I110" s="1002">
        <f t="shared" si="37"/>
        <v>10648.123453608248</v>
      </c>
      <c r="J110" s="1002">
        <f t="shared" si="37"/>
        <v>64140.798969072144</v>
      </c>
      <c r="K110" s="1002"/>
    </row>
    <row r="111" spans="2:15">
      <c r="D111" s="1002"/>
      <c r="E111" s="1002"/>
      <c r="F111" s="1002"/>
      <c r="G111" s="1002"/>
      <c r="H111" s="1002"/>
      <c r="I111" s="1002"/>
      <c r="J111" s="1002"/>
      <c r="K111" s="1002"/>
    </row>
    <row r="112" spans="2:15">
      <c r="B112" s="1003" t="s">
        <v>1589</v>
      </c>
      <c r="C112" s="6"/>
      <c r="D112" s="1004">
        <f t="shared" ref="D112:J112" si="38">D94</f>
        <v>1</v>
      </c>
      <c r="E112" s="1005">
        <f t="shared" si="38"/>
        <v>2</v>
      </c>
      <c r="F112" s="1005">
        <f t="shared" si="38"/>
        <v>3</v>
      </c>
      <c r="G112" s="1005">
        <f t="shared" si="38"/>
        <v>4</v>
      </c>
      <c r="H112" s="1005">
        <f t="shared" si="38"/>
        <v>5</v>
      </c>
      <c r="I112" s="1005">
        <f t="shared" si="38"/>
        <v>6</v>
      </c>
      <c r="J112" s="1005">
        <f t="shared" si="38"/>
        <v>7</v>
      </c>
      <c r="K112" s="1005"/>
    </row>
    <row r="113" spans="2:11">
      <c r="D113" s="1002"/>
      <c r="E113" s="1002"/>
      <c r="F113" s="1002"/>
      <c r="G113" s="1002"/>
      <c r="H113" s="1002"/>
      <c r="I113" s="1002"/>
      <c r="J113" s="1002"/>
      <c r="K113" s="1002"/>
    </row>
    <row r="114" spans="2:11">
      <c r="B114" s="405" t="str">
        <f>B96</f>
        <v>Series A</v>
      </c>
      <c r="D114" s="406">
        <f t="shared" ref="D114:J122" si="39">D68/D$78*D$110</f>
        <v>44050</v>
      </c>
      <c r="E114" s="406">
        <f t="shared" si="39"/>
        <v>0</v>
      </c>
      <c r="F114" s="406">
        <f t="shared" si="39"/>
        <v>0</v>
      </c>
      <c r="G114" s="406">
        <f t="shared" si="39"/>
        <v>0</v>
      </c>
      <c r="H114" s="406">
        <f t="shared" si="39"/>
        <v>0</v>
      </c>
      <c r="I114" s="406">
        <f t="shared" si="39"/>
        <v>0</v>
      </c>
      <c r="J114" s="406">
        <f t="shared" si="39"/>
        <v>44049.999999999985</v>
      </c>
      <c r="K114" s="406"/>
    </row>
    <row r="115" spans="2:11">
      <c r="B115" s="405" t="str">
        <f t="shared" ref="B115:B122" si="40">B97</f>
        <v>Series B Tranche I</v>
      </c>
      <c r="D115" s="406">
        <f t="shared" si="39"/>
        <v>22049.991999999998</v>
      </c>
      <c r="E115" s="406">
        <f t="shared" si="39"/>
        <v>0</v>
      </c>
      <c r="F115" s="406">
        <f t="shared" si="39"/>
        <v>0</v>
      </c>
      <c r="G115" s="406">
        <f t="shared" si="39"/>
        <v>0</v>
      </c>
      <c r="H115" s="406">
        <f t="shared" si="39"/>
        <v>0</v>
      </c>
      <c r="I115" s="406">
        <f t="shared" si="39"/>
        <v>0</v>
      </c>
      <c r="J115" s="406">
        <f t="shared" si="39"/>
        <v>0</v>
      </c>
      <c r="K115" s="406"/>
    </row>
    <row r="116" spans="2:11">
      <c r="B116" s="405" t="str">
        <f t="shared" si="40"/>
        <v>Series B Tranche II</v>
      </c>
      <c r="D116" s="406">
        <f t="shared" si="39"/>
        <v>22049.991999999998</v>
      </c>
      <c r="E116" s="406">
        <f t="shared" si="39"/>
        <v>0</v>
      </c>
      <c r="F116" s="406">
        <f t="shared" si="39"/>
        <v>0</v>
      </c>
      <c r="G116" s="406">
        <f t="shared" si="39"/>
        <v>0</v>
      </c>
      <c r="H116" s="406">
        <f t="shared" si="39"/>
        <v>0</v>
      </c>
      <c r="I116" s="406">
        <f t="shared" si="39"/>
        <v>0</v>
      </c>
      <c r="J116" s="406">
        <f t="shared" si="39"/>
        <v>0</v>
      </c>
      <c r="K116" s="406"/>
    </row>
    <row r="117" spans="2:11">
      <c r="B117" s="405" t="str">
        <f t="shared" si="40"/>
        <v>Series B Tranche III</v>
      </c>
      <c r="D117" s="406">
        <f t="shared" si="39"/>
        <v>22049.991999999998</v>
      </c>
      <c r="E117" s="406">
        <f t="shared" si="39"/>
        <v>0</v>
      </c>
      <c r="F117" s="406">
        <f t="shared" si="39"/>
        <v>0</v>
      </c>
      <c r="G117" s="406">
        <f t="shared" si="39"/>
        <v>0</v>
      </c>
      <c r="H117" s="406">
        <f t="shared" si="39"/>
        <v>0</v>
      </c>
      <c r="I117" s="406">
        <f t="shared" si="39"/>
        <v>0</v>
      </c>
      <c r="J117" s="406">
        <f t="shared" si="39"/>
        <v>0</v>
      </c>
      <c r="K117" s="406"/>
    </row>
    <row r="118" spans="2:11">
      <c r="B118" s="405" t="str">
        <f t="shared" si="40"/>
        <v>Options at $0.11 Strike Price</v>
      </c>
      <c r="D118" s="406">
        <f t="shared" si="39"/>
        <v>0</v>
      </c>
      <c r="E118" s="406">
        <f t="shared" si="39"/>
        <v>0</v>
      </c>
      <c r="F118" s="406">
        <f t="shared" si="39"/>
        <v>3.8000000000000265</v>
      </c>
      <c r="G118" s="406">
        <f t="shared" si="39"/>
        <v>51.29999999999999</v>
      </c>
      <c r="H118" s="406">
        <f t="shared" si="39"/>
        <v>13.300000000000008</v>
      </c>
      <c r="I118" s="406">
        <f t="shared" si="39"/>
        <v>100.7</v>
      </c>
      <c r="J118" s="406">
        <f t="shared" si="39"/>
        <v>189.99999999999994</v>
      </c>
      <c r="K118" s="406"/>
    </row>
    <row r="119" spans="2:11">
      <c r="B119" s="405" t="str">
        <f t="shared" si="40"/>
        <v>Options at $0.13 Strike Price</v>
      </c>
      <c r="D119" s="406">
        <f t="shared" si="39"/>
        <v>0</v>
      </c>
      <c r="E119" s="406">
        <f t="shared" si="39"/>
        <v>0</v>
      </c>
      <c r="F119" s="406">
        <f t="shared" si="39"/>
        <v>0</v>
      </c>
      <c r="G119" s="406">
        <f t="shared" si="39"/>
        <v>167.50907999999995</v>
      </c>
      <c r="H119" s="406">
        <f t="shared" si="39"/>
        <v>43.428280000000022</v>
      </c>
      <c r="I119" s="406">
        <f t="shared" si="39"/>
        <v>328.81412</v>
      </c>
      <c r="J119" s="406">
        <f t="shared" si="39"/>
        <v>620.40399999999977</v>
      </c>
      <c r="K119" s="406"/>
    </row>
    <row r="120" spans="2:11">
      <c r="B120" s="405" t="str">
        <f t="shared" si="40"/>
        <v>Options at $0.40 Strike Price</v>
      </c>
      <c r="D120" s="406">
        <f t="shared" si="39"/>
        <v>0</v>
      </c>
      <c r="E120" s="406">
        <f t="shared" si="39"/>
        <v>0</v>
      </c>
      <c r="F120" s="406">
        <f t="shared" si="39"/>
        <v>0</v>
      </c>
      <c r="G120" s="406">
        <f t="shared" si="39"/>
        <v>0</v>
      </c>
      <c r="H120" s="406">
        <f t="shared" si="39"/>
        <v>57.820000000000029</v>
      </c>
      <c r="I120" s="406">
        <f t="shared" si="39"/>
        <v>437.78000000000003</v>
      </c>
      <c r="J120" s="406">
        <f t="shared" si="39"/>
        <v>825.99999999999966</v>
      </c>
      <c r="K120" s="406"/>
    </row>
    <row r="121" spans="2:11">
      <c r="B121" s="405" t="str">
        <f t="shared" si="40"/>
        <v>Expected Options Grant</v>
      </c>
      <c r="D121" s="406">
        <f t="shared" si="39"/>
        <v>0</v>
      </c>
      <c r="E121" s="406">
        <f t="shared" si="39"/>
        <v>0</v>
      </c>
      <c r="F121" s="406">
        <f t="shared" si="39"/>
        <v>0</v>
      </c>
      <c r="G121" s="406">
        <f t="shared" si="39"/>
        <v>0</v>
      </c>
      <c r="H121" s="406">
        <f t="shared" si="39"/>
        <v>0</v>
      </c>
      <c r="I121" s="406">
        <f t="shared" si="39"/>
        <v>1127.4949536082474</v>
      </c>
      <c r="J121" s="406">
        <f t="shared" si="39"/>
        <v>2127.3489690721644</v>
      </c>
      <c r="K121" s="406"/>
    </row>
    <row r="122" spans="2:11">
      <c r="B122" s="405" t="str">
        <f t="shared" si="40"/>
        <v>Common</v>
      </c>
      <c r="D122" s="406">
        <f t="shared" si="39"/>
        <v>0</v>
      </c>
      <c r="E122" s="406">
        <f t="shared" si="39"/>
        <v>1795.975059999997</v>
      </c>
      <c r="F122" s="406">
        <f t="shared" si="39"/>
        <v>326.5409200000023</v>
      </c>
      <c r="G122" s="406">
        <f t="shared" si="39"/>
        <v>4408.3024199999991</v>
      </c>
      <c r="H122" s="406">
        <f t="shared" si="39"/>
        <v>1142.8932200000008</v>
      </c>
      <c r="I122" s="406">
        <f t="shared" si="39"/>
        <v>8653.3343800000002</v>
      </c>
      <c r="J122" s="406">
        <f t="shared" si="39"/>
        <v>16327.045999999993</v>
      </c>
      <c r="K122" s="406"/>
    </row>
    <row r="123" spans="2:11">
      <c r="D123" s="412"/>
      <c r="E123" s="412"/>
      <c r="F123" s="412"/>
      <c r="G123" s="412"/>
      <c r="H123" s="412"/>
      <c r="I123" s="412"/>
      <c r="J123" s="412"/>
      <c r="K123" s="412"/>
    </row>
    <row r="124" spans="2:11">
      <c r="B124" s="1003" t="s">
        <v>1590</v>
      </c>
      <c r="C124" s="6"/>
      <c r="D124" s="1004">
        <f t="shared" ref="D124:J124" si="41">D112</f>
        <v>1</v>
      </c>
      <c r="E124" s="1005">
        <f t="shared" si="41"/>
        <v>2</v>
      </c>
      <c r="F124" s="1005">
        <f t="shared" si="41"/>
        <v>3</v>
      </c>
      <c r="G124" s="1005">
        <f t="shared" si="41"/>
        <v>4</v>
      </c>
      <c r="H124" s="1005">
        <f t="shared" si="41"/>
        <v>5</v>
      </c>
      <c r="I124" s="1005">
        <f t="shared" si="41"/>
        <v>6</v>
      </c>
      <c r="J124" s="1005">
        <f t="shared" si="41"/>
        <v>7</v>
      </c>
      <c r="K124" s="1005"/>
    </row>
    <row r="125" spans="2:11">
      <c r="D125" s="412"/>
      <c r="E125" s="412"/>
      <c r="F125" s="412"/>
      <c r="G125" s="412"/>
      <c r="H125" s="412"/>
      <c r="I125" s="412"/>
      <c r="J125" s="412"/>
      <c r="K125" s="412"/>
    </row>
    <row r="126" spans="2:11">
      <c r="B126" s="405" t="str">
        <f t="shared" ref="B126:B134" si="42">B114</f>
        <v>Series A</v>
      </c>
      <c r="D126" s="1006">
        <f>SUM($D114:D114)/$O27</f>
        <v>1</v>
      </c>
      <c r="E126" s="1006">
        <f>SUM($D114:E114)/$O27</f>
        <v>1</v>
      </c>
      <c r="F126" s="1006">
        <f>SUM($D114:F114)/$O27</f>
        <v>1</v>
      </c>
      <c r="G126" s="1006">
        <f>SUM($D114:G114)/$O27</f>
        <v>1</v>
      </c>
      <c r="H126" s="1006">
        <f>SUM($D114:H114)/$O27</f>
        <v>1</v>
      </c>
      <c r="I126" s="1006">
        <f>SUM($D114:I114)/$O27</f>
        <v>1</v>
      </c>
      <c r="J126" s="1006">
        <f>SUM($D114:J114)/$O27</f>
        <v>1.9999999999999998</v>
      </c>
      <c r="K126" s="1006"/>
    </row>
    <row r="127" spans="2:11">
      <c r="B127" s="405" t="str">
        <f t="shared" si="42"/>
        <v>Series B Tranche I</v>
      </c>
      <c r="D127" s="1006">
        <f>SUM($D115:D115)/$O28</f>
        <v>2</v>
      </c>
      <c r="E127" s="1006">
        <f>SUM($D115:E115)/$O28</f>
        <v>2</v>
      </c>
      <c r="F127" s="1006">
        <f>SUM($D115:F115)/$O28</f>
        <v>2</v>
      </c>
      <c r="G127" s="1006">
        <f>SUM($D115:G115)/$O28</f>
        <v>2</v>
      </c>
      <c r="H127" s="1006">
        <f>SUM($D115:H115)/$O28</f>
        <v>2</v>
      </c>
      <c r="I127" s="1006">
        <f>SUM($D115:I115)/$O28</f>
        <v>2</v>
      </c>
      <c r="J127" s="1006">
        <f>SUM($D115:J115)/$O28</f>
        <v>2</v>
      </c>
      <c r="K127" s="1006"/>
    </row>
    <row r="128" spans="2:11">
      <c r="B128" s="405" t="str">
        <f t="shared" si="42"/>
        <v>Series B Tranche II</v>
      </c>
      <c r="D128" s="1006">
        <f>SUM($D116:D116)/$O29</f>
        <v>2</v>
      </c>
      <c r="E128" s="1006">
        <f>SUM($D116:E116)/$O29</f>
        <v>2</v>
      </c>
      <c r="F128" s="1006">
        <f>SUM($D116:F116)/$O29</f>
        <v>2</v>
      </c>
      <c r="G128" s="1006">
        <f>SUM($D116:G116)/$O29</f>
        <v>2</v>
      </c>
      <c r="H128" s="1006">
        <f>SUM($D116:H116)/$O29</f>
        <v>2</v>
      </c>
      <c r="I128" s="1006">
        <f>SUM($D116:I116)/$O29</f>
        <v>2</v>
      </c>
      <c r="J128" s="1006">
        <f>SUM($D116:J116)/$O29</f>
        <v>2</v>
      </c>
      <c r="K128" s="1006"/>
    </row>
    <row r="129" spans="2:11">
      <c r="B129" s="405" t="str">
        <f t="shared" si="42"/>
        <v>Series B Tranche III</v>
      </c>
      <c r="D129" s="1006">
        <f>SUM($D117:D117)/$O30</f>
        <v>2</v>
      </c>
      <c r="E129" s="1006">
        <f>SUM($D117:E117)/$O30</f>
        <v>2</v>
      </c>
      <c r="F129" s="1006">
        <f>SUM($D117:F117)/$O30</f>
        <v>2</v>
      </c>
      <c r="G129" s="1006">
        <f>SUM($D117:G117)/$O30</f>
        <v>2</v>
      </c>
      <c r="H129" s="1006">
        <f>SUM($D117:H117)/$O30</f>
        <v>2</v>
      </c>
      <c r="I129" s="1006">
        <f>SUM($D117:I117)/$O30</f>
        <v>2</v>
      </c>
      <c r="J129" s="1006">
        <f>SUM($D117:J117)/$O30</f>
        <v>2</v>
      </c>
      <c r="K129" s="1006"/>
    </row>
    <row r="130" spans="2:11">
      <c r="B130" s="405" t="str">
        <f t="shared" si="42"/>
        <v>Options at $0.11 Strike Price</v>
      </c>
      <c r="D130" s="1006">
        <f>SUM($D118:D118)/$O31</f>
        <v>0</v>
      </c>
      <c r="E130" s="1006">
        <f>SUM($D118:E118)/$O31</f>
        <v>0</v>
      </c>
      <c r="F130" s="1006">
        <f>SUM($D118:F118)/$O31</f>
        <v>2.0000000000000139E-2</v>
      </c>
      <c r="G130" s="1006">
        <f>SUM($D118:G118)/$O31</f>
        <v>0.29000000000000009</v>
      </c>
      <c r="H130" s="1006">
        <f>SUM($D118:H118)/$O31</f>
        <v>0.3600000000000001</v>
      </c>
      <c r="I130" s="1006">
        <f>SUM($D118:I118)/$O31</f>
        <v>0.89000000000000012</v>
      </c>
      <c r="J130" s="1006">
        <f>SUM($D118:J118)/$O31</f>
        <v>1.89</v>
      </c>
      <c r="K130" s="1006"/>
    </row>
    <row r="131" spans="2:11">
      <c r="B131" s="405" t="str">
        <f t="shared" si="42"/>
        <v>Options at $0.13 Strike Price</v>
      </c>
      <c r="D131" s="1006">
        <f>SUM($D119:D119)/$O32</f>
        <v>0</v>
      </c>
      <c r="E131" s="1006">
        <f>SUM($D119:E119)/$O32</f>
        <v>0</v>
      </c>
      <c r="F131" s="1006">
        <f>SUM($D119:F119)/$O32</f>
        <v>0</v>
      </c>
      <c r="G131" s="1006">
        <f>SUM($D119:G119)/$O32</f>
        <v>0.26999999999999991</v>
      </c>
      <c r="H131" s="1006">
        <f>SUM($D119:H119)/$O32</f>
        <v>0.33999999999999997</v>
      </c>
      <c r="I131" s="1006">
        <f>SUM($D119:I119)/$O32</f>
        <v>0.87</v>
      </c>
      <c r="J131" s="1006">
        <f>SUM($D119:J119)/$O32</f>
        <v>1.8699999999999999</v>
      </c>
      <c r="K131" s="1006"/>
    </row>
    <row r="132" spans="2:11">
      <c r="B132" s="405" t="str">
        <f t="shared" si="42"/>
        <v>Options at $0.40 Strike Price</v>
      </c>
      <c r="D132" s="1006">
        <f>SUM($D120:D120)/$O33</f>
        <v>0</v>
      </c>
      <c r="E132" s="1006">
        <f>SUM($D120:E120)/$O33</f>
        <v>0</v>
      </c>
      <c r="F132" s="1006">
        <f>SUM($D120:F120)/$O33</f>
        <v>0</v>
      </c>
      <c r="G132" s="1006">
        <f>SUM($D120:G120)/$O33</f>
        <v>0</v>
      </c>
      <c r="H132" s="1006">
        <f>SUM($D120:H120)/$O33</f>
        <v>7.0000000000000034E-2</v>
      </c>
      <c r="I132" s="1006">
        <f>SUM($D120:I120)/$O33</f>
        <v>0.60000000000000009</v>
      </c>
      <c r="J132" s="1006">
        <f>SUM($D120:J120)/$O33</f>
        <v>1.5999999999999996</v>
      </c>
      <c r="K132" s="1006"/>
    </row>
    <row r="133" spans="2:11">
      <c r="B133" s="405" t="str">
        <f t="shared" si="42"/>
        <v>Expected Options Grant</v>
      </c>
      <c r="D133" s="1006">
        <f>SUM($D121:D121)/$O34</f>
        <v>0</v>
      </c>
      <c r="E133" s="1006">
        <f>SUM($D121:E121)/$O34</f>
        <v>0</v>
      </c>
      <c r="F133" s="1006">
        <f>SUM($D121:F121)/$O34</f>
        <v>0</v>
      </c>
      <c r="G133" s="1006">
        <f>SUM($D121:G121)/$O34</f>
        <v>0</v>
      </c>
      <c r="H133" s="1006">
        <f>SUM($D121:H121)/$O34</f>
        <v>0</v>
      </c>
      <c r="I133" s="1006">
        <f>SUM($D121:I121)/$O34</f>
        <v>0.53</v>
      </c>
      <c r="J133" s="1006">
        <f>SUM($D121:J121)/$O34</f>
        <v>1.53</v>
      </c>
      <c r="K133" s="1006"/>
    </row>
    <row r="134" spans="2:11">
      <c r="B134" s="405" t="str">
        <f t="shared" si="42"/>
        <v>Common</v>
      </c>
      <c r="D134" s="1006">
        <f>SUM($D122:D122)/$O35</f>
        <v>0</v>
      </c>
      <c r="E134" s="1006">
        <f>SUM($D122:E122)/$O35</f>
        <v>0.10999999999999982</v>
      </c>
      <c r="F134" s="1006">
        <f>SUM($D122:F122)/$O35</f>
        <v>0.12999999999999995</v>
      </c>
      <c r="G134" s="1006">
        <f>SUM($D122:G122)/$O35</f>
        <v>0.39999999999999991</v>
      </c>
      <c r="H134" s="1006">
        <f>SUM($D122:H122)/$O35</f>
        <v>0.46999999999999992</v>
      </c>
      <c r="I134" s="1006">
        <f>SUM($D122:I122)/$O35</f>
        <v>0.99999999999999989</v>
      </c>
      <c r="J134" s="1006">
        <f>SUM($D122:J122)/$O35</f>
        <v>1.9999999999999993</v>
      </c>
      <c r="K134" s="1006"/>
    </row>
    <row r="135" spans="2:11">
      <c r="D135" s="412"/>
      <c r="E135" s="412"/>
      <c r="F135" s="412"/>
      <c r="G135" s="412"/>
      <c r="H135" s="412"/>
      <c r="I135" s="412"/>
      <c r="J135" s="412"/>
      <c r="K135" s="412"/>
    </row>
    <row r="136" spans="2:11">
      <c r="D136" s="412">
        <f t="shared" ref="D136:K136" si="43">NORMSDIST(D53)</f>
        <v>1</v>
      </c>
      <c r="E136" s="412">
        <f t="shared" si="43"/>
        <v>0.81828461040951961</v>
      </c>
      <c r="F136" s="412">
        <f t="shared" si="43"/>
        <v>0.81494229142460206</v>
      </c>
      <c r="G136" s="412">
        <f t="shared" si="43"/>
        <v>0.81432927785872555</v>
      </c>
      <c r="H136" s="412">
        <f t="shared" si="43"/>
        <v>0.80580075701037324</v>
      </c>
      <c r="I136" s="412">
        <f t="shared" si="43"/>
        <v>0.80350200158825213</v>
      </c>
      <c r="J136" s="412">
        <f t="shared" si="43"/>
        <v>0.78436688546349709</v>
      </c>
      <c r="K136" s="412">
        <f t="shared" si="43"/>
        <v>0.68168530662886773</v>
      </c>
    </row>
    <row r="137" spans="2:11">
      <c r="B137" s="405" t="s">
        <v>1257</v>
      </c>
      <c r="D137" s="884">
        <f>D136-E136</f>
        <v>0.18171538959048039</v>
      </c>
      <c r="E137" s="412"/>
      <c r="F137" s="412"/>
      <c r="G137" s="412"/>
      <c r="H137" s="412"/>
      <c r="I137" s="412"/>
      <c r="J137" s="412"/>
      <c r="K137" s="412"/>
    </row>
  </sheetData>
  <conditionalFormatting sqref="B4:I4">
    <cfRule type="cellIs" dxfId="63" priority="5" stopIfTrue="1" operator="equal">
      <formula>"input"</formula>
    </cfRule>
  </conditionalFormatting>
  <conditionalFormatting sqref="J4">
    <cfRule type="cellIs" dxfId="62" priority="3" stopIfTrue="1" operator="equal">
      <formula>"input"</formula>
    </cfRule>
  </conditionalFormatting>
  <conditionalFormatting sqref="J4">
    <cfRule type="cellIs" dxfId="61" priority="4" stopIfTrue="1" operator="equal">
      <formula>"input"</formula>
    </cfRule>
  </conditionalFormatting>
  <conditionalFormatting sqref="K4">
    <cfRule type="cellIs" dxfId="60" priority="1" stopIfTrue="1" operator="equal">
      <formula>"input"</formula>
    </cfRule>
  </conditionalFormatting>
  <conditionalFormatting sqref="K4">
    <cfRule type="cellIs" dxfId="59" priority="2" stopIfTrue="1" operator="equal">
      <formula>"input"</formula>
    </cfRule>
  </conditionalFormatting>
  <pageMargins left="0.5" right="0.5" top="0.5" bottom="0.5" header="0.5" footer="0.5"/>
  <pageSetup scale="71" fitToWidth="0" fitToHeight="0" pageOrder="overThenDown" orientation="landscape" r:id="rId1"/>
  <rowBreaks count="3" manualBreakCount="3">
    <brk id="24" max="19" man="1"/>
    <brk id="46" max="19" man="1"/>
    <brk id="78" max="19" man="1"/>
  </rowBreaks>
  <legacyDrawing r:id="rId2"/>
  <legacyDrawingHF r:id="rId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B1:AG49"/>
  <sheetViews>
    <sheetView showGridLines="0" view="pageBreakPreview" zoomScale="85" zoomScaleNormal="100" zoomScaleSheetLayoutView="85" workbookViewId="0">
      <selection activeCell="AD2" sqref="AD2"/>
    </sheetView>
  </sheetViews>
  <sheetFormatPr defaultRowHeight="12.75" outlineLevelRow="1" outlineLevelCol="1"/>
  <cols>
    <col min="1" max="1" width="2.83203125" style="405" customWidth="1"/>
    <col min="2" max="2" width="42.33203125" style="405" customWidth="1"/>
    <col min="3" max="3" width="2.83203125" style="405" customWidth="1"/>
    <col min="4" max="4" width="12.6640625" style="405" customWidth="1"/>
    <col min="5" max="5" width="11.83203125" style="405" customWidth="1"/>
    <col min="6" max="11" width="11.83203125" style="405" hidden="1" customWidth="1" outlineLevel="1"/>
    <col min="12" max="12" width="11.83203125" style="405" customWidth="1" collapsed="1"/>
    <col min="13" max="13" width="2.83203125" style="405" customWidth="1"/>
    <col min="14" max="14" width="13.6640625" style="405" customWidth="1"/>
    <col min="15" max="15" width="11.83203125" style="405" customWidth="1"/>
    <col min="16" max="17" width="12.83203125" style="405" hidden="1" customWidth="1" outlineLevel="1"/>
    <col min="18" max="18" width="21.5" style="405" hidden="1" customWidth="1" outlineLevel="1"/>
    <col min="19" max="21" width="12.83203125" style="405" hidden="1" customWidth="1" outlineLevel="1"/>
    <col min="22" max="22" width="11.83203125" style="405" customWidth="1" collapsed="1"/>
    <col min="23" max="23" width="2.83203125" style="405" customWidth="1"/>
    <col min="24" max="24" width="12.5" style="405" customWidth="1"/>
    <col min="25" max="26" width="11.83203125" style="405" customWidth="1"/>
    <col min="27" max="28" width="2.83203125" style="405" customWidth="1"/>
    <col min="29" max="29" width="18.83203125" style="405" bestFit="1" customWidth="1"/>
    <col min="30" max="30" width="19.83203125" style="405" customWidth="1"/>
    <col min="31" max="31" width="17.83203125" style="405" bestFit="1" customWidth="1"/>
    <col min="32" max="32" width="20.5" style="405" customWidth="1"/>
    <col min="33" max="33" width="17" style="405" customWidth="1"/>
    <col min="34" max="16384" width="9.33203125" style="405"/>
  </cols>
  <sheetData>
    <row r="1" spans="2:33" ht="10.7" customHeight="1" thickBot="1"/>
    <row r="2" spans="2:33"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Z2" s="10"/>
      <c r="AC2" s="422" t="s">
        <v>617</v>
      </c>
      <c r="AD2" s="423">
        <f>'Capital IQ Sheet-GPC'!B8</f>
        <v>43105</v>
      </c>
      <c r="AF2" s="422" t="s">
        <v>385</v>
      </c>
      <c r="AG2" s="423">
        <f>'Capital IQ Sheet-GPC'!L2</f>
        <v>43281</v>
      </c>
    </row>
    <row r="3" spans="2:33"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X3" s="11"/>
      <c r="Y3" s="11"/>
      <c r="Z3" s="11"/>
      <c r="AC3" s="362" t="s">
        <v>398</v>
      </c>
      <c r="AD3" s="305" t="str">
        <f>'Capital IQ Sheet-GPC'!L3</f>
        <v>F</v>
      </c>
      <c r="AF3" s="362" t="s">
        <v>398</v>
      </c>
      <c r="AG3" s="305" t="str">
        <f>AD3</f>
        <v>F</v>
      </c>
    </row>
    <row r="4" spans="2:33" ht="16.5" customHeight="1" thickBot="1">
      <c r="B4" s="12" t="s">
        <v>632</v>
      </c>
      <c r="C4" s="12"/>
      <c r="D4" s="12"/>
      <c r="E4" s="13"/>
      <c r="F4" s="13"/>
      <c r="G4" s="13"/>
      <c r="H4" s="13"/>
      <c r="I4" s="13"/>
      <c r="J4" s="13"/>
      <c r="K4" s="13"/>
      <c r="L4" s="13"/>
      <c r="M4" s="13"/>
      <c r="N4" s="13"/>
      <c r="O4" s="13"/>
      <c r="P4" s="13"/>
      <c r="Q4" s="13"/>
      <c r="R4" s="13"/>
      <c r="S4" s="13"/>
      <c r="T4" s="13"/>
      <c r="U4" s="13"/>
      <c r="V4" s="13"/>
      <c r="W4" s="13"/>
      <c r="X4" s="13"/>
      <c r="Y4" s="13"/>
      <c r="Z4" s="13" t="str">
        <f>+'MASTER PubCo Inputs'!$C$25</f>
        <v>(in millions of USD, except stock price)</v>
      </c>
      <c r="AC4" s="362" t="s">
        <v>399</v>
      </c>
      <c r="AD4" s="305" t="str">
        <f>'Capital IQ Sheet-GPC'!L4</f>
        <v>LFR</v>
      </c>
      <c r="AF4" s="362" t="s">
        <v>399</v>
      </c>
      <c r="AG4" s="305" t="str">
        <f>AD4</f>
        <v>LFR</v>
      </c>
    </row>
    <row r="5" spans="2:33" ht="13.5" thickTop="1">
      <c r="B5" s="15"/>
      <c r="C5" s="15"/>
      <c r="D5" s="15"/>
      <c r="N5" s="15"/>
      <c r="AC5" s="82" t="s">
        <v>89</v>
      </c>
      <c r="AD5" s="424" t="str">
        <f>'Capital IQ Sheet-GPC'!L6</f>
        <v>H</v>
      </c>
      <c r="AF5" s="82" t="s">
        <v>89</v>
      </c>
      <c r="AG5" s="424" t="str">
        <f>AD5</f>
        <v>H</v>
      </c>
    </row>
    <row r="6" spans="2:33">
      <c r="D6" s="239" t="s">
        <v>634</v>
      </c>
      <c r="E6" s="239"/>
      <c r="F6" s="239"/>
      <c r="G6" s="239"/>
      <c r="H6" s="239"/>
      <c r="I6" s="239"/>
      <c r="J6" s="239"/>
      <c r="K6" s="239"/>
      <c r="L6" s="239"/>
      <c r="N6" s="239" t="s">
        <v>635</v>
      </c>
      <c r="O6" s="368"/>
      <c r="P6" s="368"/>
      <c r="Q6" s="368"/>
      <c r="R6" s="368"/>
      <c r="S6" s="368"/>
      <c r="T6" s="368"/>
      <c r="U6" s="368"/>
      <c r="V6" s="368"/>
    </row>
    <row r="7" spans="2:33">
      <c r="D7" s="474" t="str">
        <f>"As of "&amp;TEXT($AD$2,"MM/DD/YY")</f>
        <v>As of 01/05/18</v>
      </c>
      <c r="E7" s="426"/>
      <c r="F7" s="426"/>
      <c r="G7" s="426"/>
      <c r="H7" s="426"/>
      <c r="I7" s="426"/>
      <c r="J7" s="426"/>
      <c r="K7" s="426"/>
      <c r="L7" s="427"/>
      <c r="N7" s="474" t="str">
        <f>"As of "&amp;TEXT($AG$2,"MM/DD/YY")</f>
        <v>As of 06/30/18</v>
      </c>
      <c r="O7" s="426"/>
      <c r="P7" s="426"/>
      <c r="Q7" s="426"/>
      <c r="R7" s="426"/>
      <c r="S7" s="426"/>
      <c r="T7" s="426"/>
      <c r="U7" s="426"/>
      <c r="V7" s="427"/>
      <c r="W7" s="334"/>
      <c r="X7" s="425" t="s">
        <v>614</v>
      </c>
      <c r="Y7" s="426"/>
      <c r="Z7" s="427"/>
      <c r="AC7" s="988" t="s">
        <v>835</v>
      </c>
      <c r="AD7" s="994">
        <v>1</v>
      </c>
      <c r="AE7" s="988" t="s">
        <v>836</v>
      </c>
      <c r="AF7" s="994">
        <v>-0.3</v>
      </c>
    </row>
    <row r="8" spans="2:33" s="6" customFormat="1" ht="25.5">
      <c r="B8" s="748" t="s">
        <v>633</v>
      </c>
      <c r="C8" s="747"/>
      <c r="D8" s="749" t="s">
        <v>615</v>
      </c>
      <c r="E8" s="620" t="s">
        <v>94</v>
      </c>
      <c r="F8" s="620" t="s">
        <v>95</v>
      </c>
      <c r="G8" s="620" t="s">
        <v>96</v>
      </c>
      <c r="H8" s="620" t="s">
        <v>97</v>
      </c>
      <c r="I8" s="620" t="s">
        <v>98</v>
      </c>
      <c r="J8" s="620" t="s">
        <v>99</v>
      </c>
      <c r="K8" s="620" t="s">
        <v>100</v>
      </c>
      <c r="L8" s="621" t="s">
        <v>101</v>
      </c>
      <c r="M8" s="330"/>
      <c r="N8" s="619" t="s">
        <v>615</v>
      </c>
      <c r="O8" s="620" t="s">
        <v>94</v>
      </c>
      <c r="P8" s="620" t="s">
        <v>95</v>
      </c>
      <c r="Q8" s="620" t="s">
        <v>96</v>
      </c>
      <c r="R8" s="620" t="s">
        <v>97</v>
      </c>
      <c r="S8" s="620" t="s">
        <v>98</v>
      </c>
      <c r="T8" s="620" t="s">
        <v>99</v>
      </c>
      <c r="U8" s="620" t="s">
        <v>100</v>
      </c>
      <c r="V8" s="621" t="s">
        <v>101</v>
      </c>
      <c r="W8" s="622"/>
      <c r="X8" s="749" t="s">
        <v>616</v>
      </c>
      <c r="Y8" s="620" t="s">
        <v>94</v>
      </c>
      <c r="Z8" s="621" t="s">
        <v>101</v>
      </c>
      <c r="AA8" s="330"/>
      <c r="AB8" s="330"/>
      <c r="AC8" s="87" t="s">
        <v>108</v>
      </c>
    </row>
    <row r="9" spans="2:33" ht="12.75" customHeight="1">
      <c r="B9" s="310"/>
      <c r="C9" s="310"/>
      <c r="D9" s="310"/>
      <c r="N9" s="310"/>
      <c r="AC9" s="95"/>
    </row>
    <row r="10" spans="2:33" s="58" customFormat="1" ht="12.75" customHeight="1">
      <c r="B10" s="49"/>
      <c r="C10" s="49"/>
      <c r="D10" s="49"/>
      <c r="E10" s="405"/>
      <c r="F10" s="405"/>
      <c r="G10" s="405"/>
      <c r="H10" s="405"/>
      <c r="I10" s="405"/>
      <c r="J10" s="405"/>
      <c r="K10" s="405"/>
      <c r="L10" s="405"/>
      <c r="N10" s="49"/>
      <c r="O10" s="405"/>
      <c r="P10" s="405"/>
      <c r="Q10" s="405"/>
      <c r="R10" s="405"/>
      <c r="S10" s="405"/>
      <c r="T10" s="405"/>
      <c r="U10" s="405"/>
      <c r="V10" s="405"/>
      <c r="Y10" s="381"/>
    </row>
    <row r="11" spans="2:33" ht="12.75" customHeight="1">
      <c r="B11" s="499" t="str">
        <f>'Capital IQ Sheet-GPC'!C13</f>
        <v>ACADIA Pharmaceuticals Inc.</v>
      </c>
      <c r="C11" s="527"/>
      <c r="D11" s="403" t="str">
        <f>'Capital IQ Sheet-GPC'!BE13</f>
        <v>#REFRESH</v>
      </c>
      <c r="E11" s="403" t="str">
        <f>'Capital IQ Sheet-GPC'!BF13</f>
        <v>#REFRESH</v>
      </c>
      <c r="F11" s="403" t="str">
        <f>'Capital IQ Sheet-GPC'!BG13</f>
        <v>#REFRESH</v>
      </c>
      <c r="G11" s="403" t="str">
        <f>'Capital IQ Sheet-GPC'!BH13</f>
        <v>#REFRESH</v>
      </c>
      <c r="H11" s="403" t="str">
        <f>'Capital IQ Sheet-GPC'!BI13</f>
        <v>#REFRESH</v>
      </c>
      <c r="I11" s="403">
        <f>SUM(F11:H11)</f>
        <v>0</v>
      </c>
      <c r="J11" s="403">
        <f>SUM(E11:H11)</f>
        <v>0</v>
      </c>
      <c r="K11" s="403" t="str">
        <f>'Capital IQ Sheet-GPC'!BJ13</f>
        <v>#REFRESH</v>
      </c>
      <c r="L11" s="403" t="str">
        <f>IF(ISERROR(J11-K11), "n/a", J11-K11)</f>
        <v>n/a</v>
      </c>
      <c r="M11" s="407"/>
      <c r="N11" s="403">
        <f>'Capital IQ Sheet-GPC'!I13</f>
        <v>15.27</v>
      </c>
      <c r="O11" s="403">
        <f>'Capital IQ Sheet-GPC'!J13</f>
        <v>1906.0925500000001</v>
      </c>
      <c r="P11" s="403">
        <f>'Capital IQ Sheet-GPC'!K13</f>
        <v>0</v>
      </c>
      <c r="Q11" s="403">
        <f>'Capital IQ Sheet-GPC'!L13</f>
        <v>0</v>
      </c>
      <c r="R11" s="403">
        <f>'Capital IQ Sheet-GPC'!M13</f>
        <v>0</v>
      </c>
      <c r="S11" s="403">
        <f>SUM(P11:R11)</f>
        <v>0</v>
      </c>
      <c r="T11" s="403">
        <f>SUM(O11:R11)</f>
        <v>1906.0925500000001</v>
      </c>
      <c r="U11" s="403">
        <f>'Capital IQ Sheet-GPC'!N13</f>
        <v>298.06299999999999</v>
      </c>
      <c r="V11" s="403">
        <f>IF(ISERROR(T11-U11), "n/a", T11-U11)</f>
        <v>1608.0295500000002</v>
      </c>
      <c r="X11" s="381" t="str">
        <f>IFERROR(IF(OR(N11/D11-1&gt;$AD$7,N11/D11-1&lt;$AF$7),"NM",N11/D11-1),"n/a")</f>
        <v>n/a</v>
      </c>
      <c r="Y11" s="381" t="str">
        <f>IFERROR(IF(OR(O11/E11-1&gt;$AD$7,O11/E11-1&lt;$AF$7),"NM",O11/E11-1),"n/a")</f>
        <v>n/a</v>
      </c>
      <c r="Z11" s="381" t="str">
        <f>IFERROR(IF(OR(V11/L11-1&gt;$AD$7,V11/L11-1&lt;$AF$7),"NM",V11/L11-1),"n/a")</f>
        <v>n/a</v>
      </c>
      <c r="AC11" s="93" t="str">
        <f>IF('MASTER PubCo Inputs'!C28="","",'MASTER PubCo Inputs'!C28)</f>
        <v>IQ683713</v>
      </c>
      <c r="AD11" s="405" t="str">
        <f>'Capital IQ Sheet-GPC'!AP13</f>
        <v>ACADIA Pharmaceuticals Inc., a biopharmaceutical company, focuses on the development and commercialization of small molecule drugs that address unmet medical needs in central nervous system disorders. The company offers NUPLAZID (pimavanserin) for the treatment of hallucinations and delusions associated with Parkinson’s disease psychosis. It is also developing pimavanserin as a treatment for dementia-related psychosis and as an adjunctive treatment for schizophrenia that are in phase III clinical trials; and pimavanserin as an adjunctive treatment for major depressive disorder. ACADIA Pharmaceuticals Inc. was founded in 1993 and is headquartered in San Diego, California.</v>
      </c>
    </row>
    <row r="12" spans="2:33" ht="12.75" customHeight="1">
      <c r="B12" s="499" t="str">
        <f>'Capital IQ Sheet-GPC'!C14</f>
        <v>Rhythm Pharmaceuticals, Inc.</v>
      </c>
      <c r="C12" s="527"/>
      <c r="D12" s="403" t="str">
        <f>'Capital IQ Sheet-GPC'!BE14</f>
        <v>#REFRESH</v>
      </c>
      <c r="E12" s="403" t="str">
        <f>'Capital IQ Sheet-GPC'!BF14</f>
        <v>#REFRESH</v>
      </c>
      <c r="F12" s="403" t="str">
        <f>'Capital IQ Sheet-GPC'!BG14</f>
        <v>#REFRESH</v>
      </c>
      <c r="G12" s="403" t="str">
        <f>'Capital IQ Sheet-GPC'!BH14</f>
        <v>#REFRESH</v>
      </c>
      <c r="H12" s="403" t="str">
        <f>'Capital IQ Sheet-GPC'!BI14</f>
        <v>#REFRESH</v>
      </c>
      <c r="I12" s="403">
        <f t="shared" ref="I12:I25" si="0">SUM(F12:H12)</f>
        <v>0</v>
      </c>
      <c r="J12" s="403">
        <f t="shared" ref="J12:J25" si="1">SUM(E12:H12)</f>
        <v>0</v>
      </c>
      <c r="K12" s="403" t="str">
        <f>'Capital IQ Sheet-GPC'!BJ14</f>
        <v>#REFRESH</v>
      </c>
      <c r="L12" s="403" t="str">
        <f t="shared" ref="L12:L25" si="2">IF(ISERROR(J12-K12), "n/a", J12-K12)</f>
        <v>n/a</v>
      </c>
      <c r="M12" s="407"/>
      <c r="N12" s="403">
        <f>'Capital IQ Sheet-GPC'!I14</f>
        <v>31.26</v>
      </c>
      <c r="O12" s="403">
        <f>'Capital IQ Sheet-GPC'!J14</f>
        <v>1066.6532199999999</v>
      </c>
      <c r="P12" s="403">
        <f>'Capital IQ Sheet-GPC'!K14</f>
        <v>0</v>
      </c>
      <c r="Q12" s="403">
        <f>'Capital IQ Sheet-GPC'!L14</f>
        <v>0</v>
      </c>
      <c r="R12" s="403">
        <f>'Capital IQ Sheet-GPC'!M14</f>
        <v>0</v>
      </c>
      <c r="S12" s="403">
        <f t="shared" ref="S12:S25" si="3">SUM(P12:R12)</f>
        <v>0</v>
      </c>
      <c r="T12" s="403">
        <f t="shared" ref="T12:T25" si="4">SUM(O12:R12)</f>
        <v>1066.6532199999999</v>
      </c>
      <c r="U12" s="403">
        <f>'Capital IQ Sheet-GPC'!N14</f>
        <v>136.453</v>
      </c>
      <c r="V12" s="403">
        <f t="shared" ref="V12:V25" si="5">IF(ISERROR(T12-U12), "n/a", T12-U12)</f>
        <v>930.20021999999994</v>
      </c>
      <c r="X12" s="381" t="str">
        <f t="shared" ref="X12:X25" si="6">IFERROR(IF(OR(N12/D12-1&gt;$AD$7,N12/D12-1&lt;$AF$7),"NM",N12/D12-1),"n/a")</f>
        <v>n/a</v>
      </c>
      <c r="Y12" s="381" t="str">
        <f t="shared" ref="Y12:Y25" si="7">IFERROR(IF(OR(O12/E12-1&gt;$AD$7,O12/E12-1&lt;$AF$7),"NM",O12/E12-1),"n/a")</f>
        <v>n/a</v>
      </c>
      <c r="Z12" s="381" t="str">
        <f t="shared" ref="Z12:Z25" si="8">IFERROR(IF(OR(V12/L12-1&gt;$AD$7,V12/L12-1&lt;$AF$7),"NM",V12/L12-1),"n/a")</f>
        <v>n/a</v>
      </c>
      <c r="AC12" s="93" t="str">
        <f>IF('MASTER PubCo Inputs'!C29="","",'MASTER PubCo Inputs'!C29)</f>
        <v>IQ309184792</v>
      </c>
      <c r="AD12" s="405" t="str">
        <f>'Capital IQ Sheet-GPC'!AP14</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row>
    <row r="13" spans="2:33" ht="12.75" customHeight="1">
      <c r="B13" s="499" t="str">
        <f>'Capital IQ Sheet-GPC'!C15</f>
        <v>Assembly Biosciences, Inc.</v>
      </c>
      <c r="C13" s="527"/>
      <c r="D13" s="403" t="str">
        <f>'Capital IQ Sheet-GPC'!BE15</f>
        <v>#REFRESH</v>
      </c>
      <c r="E13" s="403" t="str">
        <f>'Capital IQ Sheet-GPC'!BF15</f>
        <v>#REFRESH</v>
      </c>
      <c r="F13" s="403" t="str">
        <f>'Capital IQ Sheet-GPC'!BG15</f>
        <v>#REFRESH</v>
      </c>
      <c r="G13" s="403" t="str">
        <f>'Capital IQ Sheet-GPC'!BH15</f>
        <v>#REFRESH</v>
      </c>
      <c r="H13" s="403" t="str">
        <f>'Capital IQ Sheet-GPC'!BI15</f>
        <v>#REFRESH</v>
      </c>
      <c r="I13" s="403">
        <f t="shared" si="0"/>
        <v>0</v>
      </c>
      <c r="J13" s="403">
        <f t="shared" si="1"/>
        <v>0</v>
      </c>
      <c r="K13" s="403" t="str">
        <f>'Capital IQ Sheet-GPC'!BJ15</f>
        <v>#REFRESH</v>
      </c>
      <c r="L13" s="403" t="str">
        <f t="shared" si="2"/>
        <v>n/a</v>
      </c>
      <c r="M13" s="407"/>
      <c r="N13" s="403">
        <f>'Capital IQ Sheet-GPC'!I15</f>
        <v>39.21</v>
      </c>
      <c r="O13" s="403">
        <f>'Capital IQ Sheet-GPC'!J15</f>
        <v>805.79364999999996</v>
      </c>
      <c r="P13" s="403">
        <f>'Capital IQ Sheet-GPC'!K15</f>
        <v>0</v>
      </c>
      <c r="Q13" s="403">
        <f>'Capital IQ Sheet-GPC'!L15</f>
        <v>0</v>
      </c>
      <c r="R13" s="403">
        <f>'Capital IQ Sheet-GPC'!M15</f>
        <v>0</v>
      </c>
      <c r="S13" s="403">
        <f t="shared" si="3"/>
        <v>0</v>
      </c>
      <c r="T13" s="403">
        <f t="shared" si="4"/>
        <v>805.79364999999996</v>
      </c>
      <c r="U13" s="403">
        <f>'Capital IQ Sheet-GPC'!N15</f>
        <v>109.15898</v>
      </c>
      <c r="V13" s="403">
        <f t="shared" si="5"/>
        <v>696.63466999999991</v>
      </c>
      <c r="X13" s="381" t="str">
        <f t="shared" si="6"/>
        <v>n/a</v>
      </c>
      <c r="Y13" s="381" t="str">
        <f t="shared" si="7"/>
        <v>n/a</v>
      </c>
      <c r="Z13" s="381" t="str">
        <f t="shared" si="8"/>
        <v>n/a</v>
      </c>
      <c r="AC13" s="93" t="str">
        <f>IF('MASTER PubCo Inputs'!C30="","",'MASTER PubCo Inputs'!C30)</f>
        <v>IQ99715344</v>
      </c>
      <c r="AD13" s="405" t="str">
        <f>'Capital IQ Sheet-GPC'!AP15</f>
        <v>Assembly Biosciences, Inc. operates as a clinical stage biotechnology company. It develops oral therapeutic candidates for the treatment of hepatitis B virus (HBV) infection and novel class of oral synthetic live biotherapeutic candidates to treat disorders associated with the microbiome in the United States. It is involved in the development of core protein allosteric modulators that modulate the HBV core protein at various points in the viral lifecycle. The company also develops microbiome program, a platform that includes the identification and selection process to strain isolation and growth under current good manufacturing practice conditions; and a patent pending delivery system, GEMICEL, which allows for targeted oral delivery of live biologic and conventional therapies to the lower gastrointestinal tract. In addition, it engages in the development of product candidates for various disease indications, such as ulcerative colitis, Crohn’s disease, irritable bowel syndrome, non-alcoholic steatohepatitis, immuno-oncology, and clostridium difficile infections by using its microbiome platform. It has a collaboration agreement with Allergan Pharmaceuticals International Limited for the development and commercialization of selected microbiome gastrointestinal programs. The company was formerly known as Ventrus Biosciences, Inc. and changed its name to Assembly Biosciences, Inc. in June 2014. Assembly Biosciences, Inc. was founded in 2005 and is headquartered in Carmel, Indiana.</v>
      </c>
    </row>
    <row r="14" spans="2:33" ht="12.75" customHeight="1">
      <c r="B14" s="499" t="str">
        <f>'Capital IQ Sheet-GPC'!C16</f>
        <v>Voyager Therapeutics, Inc.</v>
      </c>
      <c r="C14" s="527"/>
      <c r="D14" s="403" t="str">
        <f>'Capital IQ Sheet-GPC'!BE16</f>
        <v>#REFRESH</v>
      </c>
      <c r="E14" s="403" t="str">
        <f>'Capital IQ Sheet-GPC'!BF16</f>
        <v>#REFRESH</v>
      </c>
      <c r="F14" s="403" t="str">
        <f>'Capital IQ Sheet-GPC'!BG16</f>
        <v>#REFRESH</v>
      </c>
      <c r="G14" s="403" t="str">
        <f>'Capital IQ Sheet-GPC'!BH16</f>
        <v>#REFRESH</v>
      </c>
      <c r="H14" s="403" t="str">
        <f>'Capital IQ Sheet-GPC'!BI16</f>
        <v>#REFRESH</v>
      </c>
      <c r="I14" s="403">
        <f t="shared" si="0"/>
        <v>0</v>
      </c>
      <c r="J14" s="403">
        <f t="shared" si="1"/>
        <v>0</v>
      </c>
      <c r="K14" s="403" t="str">
        <f>'Capital IQ Sheet-GPC'!BJ16</f>
        <v>#REFRESH</v>
      </c>
      <c r="L14" s="403" t="str">
        <f t="shared" si="2"/>
        <v>n/a</v>
      </c>
      <c r="M14" s="407"/>
      <c r="N14" s="403">
        <f>'Capital IQ Sheet-GPC'!I16</f>
        <v>19.54</v>
      </c>
      <c r="O14" s="403">
        <f>'Capital IQ Sheet-GPC'!J16</f>
        <v>631.55226000000005</v>
      </c>
      <c r="P14" s="403">
        <f>'Capital IQ Sheet-GPC'!K16</f>
        <v>0</v>
      </c>
      <c r="Q14" s="403">
        <f>'Capital IQ Sheet-GPC'!L16</f>
        <v>0</v>
      </c>
      <c r="R14" s="403">
        <f>'Capital IQ Sheet-GPC'!M16</f>
        <v>0</v>
      </c>
      <c r="S14" s="403">
        <f t="shared" si="3"/>
        <v>0</v>
      </c>
      <c r="T14" s="403">
        <f t="shared" si="4"/>
        <v>631.55226000000005</v>
      </c>
      <c r="U14" s="403">
        <f>'Capital IQ Sheet-GPC'!N16</f>
        <v>218.19800000000001</v>
      </c>
      <c r="V14" s="403">
        <f t="shared" si="5"/>
        <v>413.35426000000007</v>
      </c>
      <c r="X14" s="381" t="str">
        <f t="shared" si="6"/>
        <v>n/a</v>
      </c>
      <c r="Y14" s="381" t="str">
        <f t="shared" si="7"/>
        <v>n/a</v>
      </c>
      <c r="Z14" s="381" t="str">
        <f t="shared" si="8"/>
        <v>n/a</v>
      </c>
      <c r="AC14" s="93" t="str">
        <f>IF('MASTER PubCo Inputs'!C31="","",'MASTER PubCo Inputs'!C31)</f>
        <v>IQ256887902</v>
      </c>
      <c r="AD14" s="405" t="str">
        <f>'Capital IQ Sheet-GPC'!AP16</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Voyager Therapeutics, Inc. was founded in 2013 and is headquartered in Cambridge, Massachusetts.</v>
      </c>
    </row>
    <row r="15" spans="2:33" ht="12.75" customHeight="1">
      <c r="B15" s="499" t="str">
        <f>'Capital IQ Sheet-GPC'!C17</f>
        <v>Zafgen, Inc.</v>
      </c>
      <c r="C15" s="527"/>
      <c r="D15" s="403" t="str">
        <f>'Capital IQ Sheet-GPC'!BE17</f>
        <v>#REFRESH</v>
      </c>
      <c r="E15" s="403" t="str">
        <f>'Capital IQ Sheet-GPC'!BF17</f>
        <v>#REFRESH</v>
      </c>
      <c r="F15" s="403" t="str">
        <f>'Capital IQ Sheet-GPC'!BG17</f>
        <v>#REFRESH</v>
      </c>
      <c r="G15" s="403" t="str">
        <f>'Capital IQ Sheet-GPC'!BH17</f>
        <v>#REFRESH</v>
      </c>
      <c r="H15" s="403" t="str">
        <f>'Capital IQ Sheet-GPC'!BI17</f>
        <v>#REFRESH</v>
      </c>
      <c r="I15" s="403">
        <f t="shared" si="0"/>
        <v>0</v>
      </c>
      <c r="J15" s="403">
        <f t="shared" si="1"/>
        <v>0</v>
      </c>
      <c r="K15" s="403" t="str">
        <f>'Capital IQ Sheet-GPC'!BJ17</f>
        <v>#REFRESH</v>
      </c>
      <c r="L15" s="403" t="str">
        <f t="shared" si="2"/>
        <v>n/a</v>
      </c>
      <c r="M15" s="407"/>
      <c r="N15" s="403">
        <f>'Capital IQ Sheet-GPC'!I17</f>
        <v>10.23</v>
      </c>
      <c r="O15" s="403">
        <f>'Capital IQ Sheet-GPC'!J17</f>
        <v>363.76737000000003</v>
      </c>
      <c r="P15" s="403">
        <f>'Capital IQ Sheet-GPC'!K17</f>
        <v>20.16</v>
      </c>
      <c r="Q15" s="403">
        <f>'Capital IQ Sheet-GPC'!L17</f>
        <v>0</v>
      </c>
      <c r="R15" s="403">
        <f>'Capital IQ Sheet-GPC'!M17</f>
        <v>0</v>
      </c>
      <c r="S15" s="403">
        <f t="shared" si="3"/>
        <v>20.16</v>
      </c>
      <c r="T15" s="403">
        <f t="shared" si="4"/>
        <v>383.92737000000005</v>
      </c>
      <c r="U15" s="403">
        <f>'Capital IQ Sheet-GPC'!N17</f>
        <v>89.07</v>
      </c>
      <c r="V15" s="403">
        <f t="shared" si="5"/>
        <v>294.85737000000006</v>
      </c>
      <c r="X15" s="381" t="str">
        <f t="shared" si="6"/>
        <v>n/a</v>
      </c>
      <c r="Y15" s="381" t="str">
        <f t="shared" si="7"/>
        <v>n/a</v>
      </c>
      <c r="Z15" s="381" t="str">
        <f t="shared" si="8"/>
        <v>n/a</v>
      </c>
      <c r="AC15" s="93" t="str">
        <f>IF('MASTER PubCo Inputs'!C32="","",'MASTER PubCo Inputs'!C32)</f>
        <v>IQ29016215</v>
      </c>
      <c r="AD15" s="405" t="str">
        <f>'Capital IQ Sheet-GPC'!AP17</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row>
    <row r="16" spans="2:33" ht="12.75" customHeight="1">
      <c r="B16" s="499" t="str">
        <f>'Capital IQ Sheet-GPC'!C18</f>
        <v>Seres Therapeutics, Inc.</v>
      </c>
      <c r="C16" s="527"/>
      <c r="D16" s="403" t="str">
        <f>'Capital IQ Sheet-GPC'!BE18</f>
        <v>#REFRESH</v>
      </c>
      <c r="E16" s="403" t="str">
        <f>'Capital IQ Sheet-GPC'!BF18</f>
        <v>#REFRESH</v>
      </c>
      <c r="F16" s="403" t="str">
        <f>'Capital IQ Sheet-GPC'!BG18</f>
        <v>#REFRESH</v>
      </c>
      <c r="G16" s="403" t="str">
        <f>'Capital IQ Sheet-GPC'!BH18</f>
        <v>#REFRESH</v>
      </c>
      <c r="H16" s="403" t="str">
        <f>'Capital IQ Sheet-GPC'!BI18</f>
        <v>#REFRESH</v>
      </c>
      <c r="I16" s="403">
        <f t="shared" si="0"/>
        <v>0</v>
      </c>
      <c r="J16" s="403">
        <f t="shared" si="1"/>
        <v>0</v>
      </c>
      <c r="K16" s="403" t="str">
        <f>'Capital IQ Sheet-GPC'!BJ18</f>
        <v>#REFRESH</v>
      </c>
      <c r="L16" s="403" t="str">
        <f t="shared" si="2"/>
        <v>n/a</v>
      </c>
      <c r="M16" s="407"/>
      <c r="N16" s="403">
        <f>'Capital IQ Sheet-GPC'!I18</f>
        <v>8.6</v>
      </c>
      <c r="O16" s="403">
        <f>'Capital IQ Sheet-GPC'!J18</f>
        <v>349.61295000000001</v>
      </c>
      <c r="P16" s="403">
        <f>'Capital IQ Sheet-GPC'!K18</f>
        <v>0</v>
      </c>
      <c r="Q16" s="403">
        <f>'Capital IQ Sheet-GPC'!L18</f>
        <v>0</v>
      </c>
      <c r="R16" s="403">
        <f>'Capital IQ Sheet-GPC'!M18</f>
        <v>0</v>
      </c>
      <c r="S16" s="403">
        <f t="shared" si="3"/>
        <v>0</v>
      </c>
      <c r="T16" s="403">
        <f t="shared" si="4"/>
        <v>349.61295000000001</v>
      </c>
      <c r="U16" s="403">
        <f>'Capital IQ Sheet-GPC'!N18</f>
        <v>122.194</v>
      </c>
      <c r="V16" s="403">
        <f t="shared" si="5"/>
        <v>227.41895</v>
      </c>
      <c r="X16" s="381" t="str">
        <f t="shared" si="6"/>
        <v>n/a</v>
      </c>
      <c r="Y16" s="381" t="str">
        <f t="shared" si="7"/>
        <v>n/a</v>
      </c>
      <c r="Z16" s="381" t="str">
        <f t="shared" si="8"/>
        <v>n/a</v>
      </c>
      <c r="AC16" s="93" t="str">
        <f>IF('MASTER PubCo Inputs'!C33="","",'MASTER PubCo Inputs'!C33)</f>
        <v>IQ222388947</v>
      </c>
      <c r="AD16" s="405" t="str">
        <f>'Capital IQ Sheet-GPC'!AP18</f>
        <v>Seres Therapeutics, Inc., a microbiome therapeutics platform company, engages in developing biological drugs designed to restore health by repairing the function of a dysbiotic microbiome. Its lead product candidate is SER-109, a bacterial spore ecology, which is in Phase III clinical study to treat multiply recurrent Clostridium difficile infection (CDI). The company is also developing SER-287 that is in Phase Ib clinical study in patients with mild-to-moderate ulcerative colitis; and SER-262, a multi-strain Ecobiotic microbiome therapeutic candidate, which is in Phase Ib study in patients with primary CDI. In addition, its product candidates in pre-clinical development comprise SER-301, an Ecobiotic microbiome therapeutic candidate for the treatment of inflammatory bowel disease; SER-401 for use with checkpoint inhibitors in patients with solid tumors; and SER-155, an Ecobiotic microbiome therapeutic candidate for the prevention of transplant-related mortality. Seres Therapeutics, Inc. has a strategic collaboration with Nestle Health Science and Memorial Sloan Kettering Cancer Center. The company was formerly known as Seres Health, Inc. and changed its name to Seres Therapeutics, Inc. in May 2015. Seres Therapeutics, Inc. was founded in 2010 and is headquartered in Cambridge, Massachusetts.</v>
      </c>
    </row>
    <row r="17" spans="2:30" ht="12.75" customHeight="1">
      <c r="B17" s="499" t="str">
        <f>'Capital IQ Sheet-GPC'!C19</f>
        <v>CohBar, Inc.</v>
      </c>
      <c r="C17" s="527"/>
      <c r="D17" s="403" t="str">
        <f>'Capital IQ Sheet-GPC'!BE19</f>
        <v>#REFRESH</v>
      </c>
      <c r="E17" s="403" t="str">
        <f>'Capital IQ Sheet-GPC'!BF19</f>
        <v>#REFRESH</v>
      </c>
      <c r="F17" s="403" t="str">
        <f>'Capital IQ Sheet-GPC'!BG19</f>
        <v>#REFRESH</v>
      </c>
      <c r="G17" s="403" t="str">
        <f>'Capital IQ Sheet-GPC'!BH19</f>
        <v>#REFRESH</v>
      </c>
      <c r="H17" s="403" t="str">
        <f>'Capital IQ Sheet-GPC'!BI19</f>
        <v>#REFRESH</v>
      </c>
      <c r="I17" s="403">
        <f t="shared" si="0"/>
        <v>0</v>
      </c>
      <c r="J17" s="403">
        <f t="shared" si="1"/>
        <v>0</v>
      </c>
      <c r="K17" s="403" t="str">
        <f>'Capital IQ Sheet-GPC'!BJ19</f>
        <v>#REFRESH</v>
      </c>
      <c r="L17" s="403" t="str">
        <f t="shared" si="2"/>
        <v>n/a</v>
      </c>
      <c r="M17" s="407"/>
      <c r="N17" s="403">
        <f>'Capital IQ Sheet-GPC'!I19</f>
        <v>5</v>
      </c>
      <c r="O17" s="403">
        <f>'Capital IQ Sheet-GPC'!J19</f>
        <v>211.81835000000001</v>
      </c>
      <c r="P17" s="403">
        <f>'Capital IQ Sheet-GPC'!K19</f>
        <v>1.40126</v>
      </c>
      <c r="Q17" s="403">
        <f>'Capital IQ Sheet-GPC'!L19</f>
        <v>0</v>
      </c>
      <c r="R17" s="403">
        <f>'Capital IQ Sheet-GPC'!M19</f>
        <v>0</v>
      </c>
      <c r="S17" s="403">
        <f t="shared" si="3"/>
        <v>1.40126</v>
      </c>
      <c r="T17" s="403">
        <f t="shared" si="4"/>
        <v>213.21961000000002</v>
      </c>
      <c r="U17" s="403">
        <f>'Capital IQ Sheet-GPC'!N19</f>
        <v>8.4566599999999994</v>
      </c>
      <c r="V17" s="403">
        <f t="shared" si="5"/>
        <v>204.76295000000002</v>
      </c>
      <c r="X17" s="381" t="str">
        <f t="shared" si="6"/>
        <v>n/a</v>
      </c>
      <c r="Y17" s="381" t="str">
        <f t="shared" si="7"/>
        <v>n/a</v>
      </c>
      <c r="Z17" s="381" t="str">
        <f t="shared" si="8"/>
        <v>n/a</v>
      </c>
      <c r="AC17" s="93" t="str">
        <f>IF('MASTER PubCo Inputs'!C34="","",'MASTER PubCo Inputs'!C34)</f>
        <v>IQ134282175</v>
      </c>
      <c r="AD17" s="405" t="str">
        <f>'Capital IQ Sheet-GPC'!AP19</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row>
    <row r="18" spans="2:30" ht="12.75" customHeight="1">
      <c r="B18" s="499" t="str">
        <f>'Capital IQ Sheet-GPC'!C20</f>
        <v>VIVUS, Inc.</v>
      </c>
      <c r="C18" s="527"/>
      <c r="D18" s="403" t="str">
        <f>'Capital IQ Sheet-GPC'!BE20</f>
        <v>#REFRESH</v>
      </c>
      <c r="E18" s="403" t="str">
        <f>'Capital IQ Sheet-GPC'!BF20</f>
        <v>#REFRESH</v>
      </c>
      <c r="F18" s="403" t="str">
        <f>'Capital IQ Sheet-GPC'!BG20</f>
        <v>#REFRESH</v>
      </c>
      <c r="G18" s="403" t="str">
        <f>'Capital IQ Sheet-GPC'!BH20</f>
        <v>#REFRESH</v>
      </c>
      <c r="H18" s="403" t="str">
        <f>'Capital IQ Sheet-GPC'!BI20</f>
        <v>#REFRESH</v>
      </c>
      <c r="I18" s="403">
        <f t="shared" si="0"/>
        <v>0</v>
      </c>
      <c r="J18" s="403">
        <f t="shared" si="1"/>
        <v>0</v>
      </c>
      <c r="K18" s="403" t="str">
        <f>'Capital IQ Sheet-GPC'!BJ20</f>
        <v>#REFRESH</v>
      </c>
      <c r="L18" s="403" t="str">
        <f t="shared" si="2"/>
        <v>n/a</v>
      </c>
      <c r="M18" s="407"/>
      <c r="N18" s="403">
        <f>'Capital IQ Sheet-GPC'!I20</f>
        <v>0.70499999999999996</v>
      </c>
      <c r="O18" s="403">
        <f>'Capital IQ Sheet-GPC'!J20</f>
        <v>74.768140000000002</v>
      </c>
      <c r="P18" s="403">
        <f>'Capital IQ Sheet-GPC'!K20</f>
        <v>236.50700000000001</v>
      </c>
      <c r="Q18" s="403">
        <f>'Capital IQ Sheet-GPC'!L20</f>
        <v>0</v>
      </c>
      <c r="R18" s="403">
        <f>'Capital IQ Sheet-GPC'!M20</f>
        <v>0</v>
      </c>
      <c r="S18" s="403">
        <f t="shared" si="3"/>
        <v>236.50700000000001</v>
      </c>
      <c r="T18" s="403">
        <f t="shared" si="4"/>
        <v>311.27514000000002</v>
      </c>
      <c r="U18" s="403">
        <f>'Capital IQ Sheet-GPC'!N20</f>
        <v>209.125</v>
      </c>
      <c r="V18" s="403">
        <f t="shared" si="5"/>
        <v>102.15014000000002</v>
      </c>
      <c r="X18" s="381" t="str">
        <f t="shared" si="6"/>
        <v>n/a</v>
      </c>
      <c r="Y18" s="381" t="str">
        <f t="shared" si="7"/>
        <v>n/a</v>
      </c>
      <c r="Z18" s="381" t="str">
        <f t="shared" si="8"/>
        <v>n/a</v>
      </c>
      <c r="AC18" s="93" t="str">
        <f>IF('MASTER PubCo Inputs'!C35="","",'MASTER PubCo Inputs'!C35)</f>
        <v>IQ36398</v>
      </c>
      <c r="AD18" s="405" t="str">
        <f>'Capital IQ Sheet-GPC'!AP20</f>
        <v>VIVUS, Inc., a biopharmaceutical company, develops and commercializes novel therapeutic products to address unmet medical needs in human health in the United States and the European Union. The company offers Qsymia for the treatment of obesity as an adjunct to a reduced-calorie diet and increased physical activity for chronic weight management in adult patients with an initial body mass index of 30 or greater, or obese patients, or 27 or greater, or overweight patients in the presence of at least one weight-related comorbidity, such as hypertension, type 2 diabetes mellitus or high cholesterol; and STENDRA, an oral phosphodiesterase type 5 inhibitor for the treatment of erectile dysfunction. It is also involved in developing Qsymia, which has been completed Phase II studies for the treatment of various diseases, including obstructive sleep apnea and diabetes, nonalcoholic steatohepatitis and fatty liver disease, hyperlipidemia, and hypertension, as well as Tacrolimus that has been completed Phase IIa studies for the treatment of pulmonary arterial hypertension. The company has development, license and clinical trial, and commercial supply agreement with Mitsubishi Tanabe Pharma Corporation for the development and commercialization of avanafil, a PDE5 inhibitor compound for the oral and local treatment of male and female sexual dysfunction. It also has license and commercialization agreements with Berlin Chemie AG to commercialize and promote STENDRA. VIVUS, Inc. was founded in 1991 and is headquartered in Campbell, California.</v>
      </c>
    </row>
    <row r="19" spans="2:30" ht="12.75" customHeight="1">
      <c r="B19" s="499" t="str">
        <f>'Capital IQ Sheet-GPC'!C21</f>
        <v>Anavex Life Sciences Corp.</v>
      </c>
      <c r="C19" s="527"/>
      <c r="D19" s="403" t="str">
        <f>'Capital IQ Sheet-GPC'!BE21</f>
        <v>#REFRESH</v>
      </c>
      <c r="E19" s="403" t="str">
        <f>'Capital IQ Sheet-GPC'!BF21</f>
        <v>#REFRESH</v>
      </c>
      <c r="F19" s="403" t="str">
        <f>'Capital IQ Sheet-GPC'!BG21</f>
        <v>#REFRESH</v>
      </c>
      <c r="G19" s="403" t="str">
        <f>'Capital IQ Sheet-GPC'!BH21</f>
        <v>#REFRESH</v>
      </c>
      <c r="H19" s="403" t="str">
        <f>'Capital IQ Sheet-GPC'!BI21</f>
        <v>#REFRESH</v>
      </c>
      <c r="I19" s="403">
        <f t="shared" si="0"/>
        <v>0</v>
      </c>
      <c r="J19" s="403">
        <f t="shared" si="1"/>
        <v>0</v>
      </c>
      <c r="K19" s="403" t="str">
        <f>'Capital IQ Sheet-GPC'!BJ21</f>
        <v>#REFRESH</v>
      </c>
      <c r="L19" s="403" t="str">
        <f t="shared" si="2"/>
        <v>n/a</v>
      </c>
      <c r="M19" s="407"/>
      <c r="N19" s="403">
        <f>'Capital IQ Sheet-GPC'!I21</f>
        <v>2.62</v>
      </c>
      <c r="O19" s="403">
        <f>'Capital IQ Sheet-GPC'!J21</f>
        <v>117.00936</v>
      </c>
      <c r="P19" s="403">
        <f>'Capital IQ Sheet-GPC'!K21</f>
        <v>0</v>
      </c>
      <c r="Q19" s="403">
        <f>'Capital IQ Sheet-GPC'!L21</f>
        <v>0</v>
      </c>
      <c r="R19" s="403">
        <f>'Capital IQ Sheet-GPC'!M21</f>
        <v>0</v>
      </c>
      <c r="S19" s="403">
        <f t="shared" si="3"/>
        <v>0</v>
      </c>
      <c r="T19" s="403">
        <f t="shared" si="4"/>
        <v>117.00936</v>
      </c>
      <c r="U19" s="403">
        <f>'Capital IQ Sheet-GPC'!N21</f>
        <v>25.656580000000002</v>
      </c>
      <c r="V19" s="403">
        <f t="shared" si="5"/>
        <v>91.352779999999996</v>
      </c>
      <c r="X19" s="381" t="str">
        <f t="shared" si="6"/>
        <v>n/a</v>
      </c>
      <c r="Y19" s="381" t="str">
        <f t="shared" si="7"/>
        <v>n/a</v>
      </c>
      <c r="Z19" s="381" t="str">
        <f t="shared" si="8"/>
        <v>n/a</v>
      </c>
      <c r="AC19" s="93" t="str">
        <f>IF('MASTER PubCo Inputs'!C36="","",'MASTER PubCo Inputs'!C36)</f>
        <v>IQ13580387</v>
      </c>
      <c r="AD19" s="405" t="str">
        <f>'Capital IQ Sheet-GPC'!AP21</f>
        <v>Anavex Life Sciences Corp., a clinical stage biopharmaceutical company, engages in the development of drug candidates for the treatment of Alzheimer’s disease, other central nervous system diseases, pain, and various cancers. The company’s lead drug candidates include ANAVEX 2-73, which has completed Phase IIa clinical trials for the treatment of Alzheimer’s disease; and in preclinical clinical trials to treat Parkinson’s disease, epilepsy, Rett syndrome, Angelman syndrome, multiple sclerosis, and Fragile X syndrome. Its preclinical drug candidates include ANAVEX 3-71 to treat Alzheimer’s disease; ANAVEX 1-41, a sigma-1 agonist; ANAVEX 1037 for the treatment of prostate cancer; and ANAVEX 1066, a mixed sigma-1/sigma-2 ligand for the treatment of neuropathic and visceral pain. The company was founded in 2006 and is based in New York, New York.</v>
      </c>
    </row>
    <row r="20" spans="2:30" ht="12.75" customHeight="1">
      <c r="B20" s="499" t="str">
        <f>'Capital IQ Sheet-GPC'!C22</f>
        <v>OptiBiotix Health plc</v>
      </c>
      <c r="C20" s="527"/>
      <c r="D20" s="403" t="str">
        <f>'Capital IQ Sheet-GPC'!BE22</f>
        <v>#REFRESH</v>
      </c>
      <c r="E20" s="403" t="str">
        <f>'Capital IQ Sheet-GPC'!BF22</f>
        <v>#REFRESH</v>
      </c>
      <c r="F20" s="403" t="str">
        <f>'Capital IQ Sheet-GPC'!BG22</f>
        <v>#REFRESH</v>
      </c>
      <c r="G20" s="403" t="str">
        <f>'Capital IQ Sheet-GPC'!BH22</f>
        <v>#REFRESH</v>
      </c>
      <c r="H20" s="403" t="str">
        <f>'Capital IQ Sheet-GPC'!BI22</f>
        <v>#REFRESH</v>
      </c>
      <c r="I20" s="403">
        <f t="shared" si="0"/>
        <v>0</v>
      </c>
      <c r="J20" s="403">
        <f t="shared" si="1"/>
        <v>0</v>
      </c>
      <c r="K20" s="403" t="str">
        <f>'Capital IQ Sheet-GPC'!BJ22</f>
        <v>#REFRESH</v>
      </c>
      <c r="L20" s="403" t="str">
        <f t="shared" si="2"/>
        <v>n/a</v>
      </c>
      <c r="M20" s="407"/>
      <c r="N20" s="403">
        <f>'Capital IQ Sheet-GPC'!I22</f>
        <v>0.86428000000000005</v>
      </c>
      <c r="O20" s="403">
        <f>'Capital IQ Sheet-GPC'!J22</f>
        <v>72.915899999999993</v>
      </c>
      <c r="P20" s="403">
        <f>'Capital IQ Sheet-GPC'!K22</f>
        <v>0</v>
      </c>
      <c r="Q20" s="403">
        <f>'Capital IQ Sheet-GPC'!L22</f>
        <v>0</v>
      </c>
      <c r="R20" s="403">
        <f>'Capital IQ Sheet-GPC'!M22</f>
        <v>0</v>
      </c>
      <c r="S20" s="403">
        <f t="shared" si="3"/>
        <v>0</v>
      </c>
      <c r="T20" s="403">
        <f t="shared" si="4"/>
        <v>72.915899999999993</v>
      </c>
      <c r="U20" s="403">
        <f>'Capital IQ Sheet-GPC'!N22</f>
        <v>1.6849400000000001</v>
      </c>
      <c r="V20" s="403">
        <f t="shared" si="5"/>
        <v>71.230959999999996</v>
      </c>
      <c r="X20" s="381" t="str">
        <f t="shared" si="6"/>
        <v>n/a</v>
      </c>
      <c r="Y20" s="381" t="str">
        <f t="shared" si="7"/>
        <v>n/a</v>
      </c>
      <c r="Z20" s="381" t="str">
        <f t="shared" si="8"/>
        <v>n/a</v>
      </c>
      <c r="AC20" s="93" t="str">
        <f>IF('MASTER PubCo Inputs'!C37="","",'MASTER PubCo Inputs'!C37)</f>
        <v>IQ129358643</v>
      </c>
      <c r="AD20" s="405" t="str">
        <f>'Capital IQ Sheet-GPC'!AP22</f>
        <v>Optibiotix Health Plc, a life sciences company, engages in the research and development of microbiome modulators primarily in the United Kingdom. The company is developing microbial strains, compounds, and formulations, which modulates the human microbiome and impacts lipid and cholesterol management, energy harvest, and appetite suppression activities. Its products include Slimbiome, a natural ingredient, which supports scientifically substantiated weight loss claims; CholBiome, a food supplement that combines natural ingredients and maintains healthy cholesterol levels from within; CardioBiome, a non-pharmaceutical approach for the maintenance of cardiovascular and heart health; and Sweetbiotix, a sweet calorie free natural healthy sugar. Optibiotix Health Plc was founded in 2012 and is based in York, the United Kingdom.</v>
      </c>
    </row>
    <row r="21" spans="2:30" ht="12.75" customHeight="1">
      <c r="B21" s="499" t="str">
        <f>'Capital IQ Sheet-GPC'!C23</f>
        <v>Soleno Therapeutics, Inc.</v>
      </c>
      <c r="C21" s="527"/>
      <c r="D21" s="403" t="str">
        <f>'Capital IQ Sheet-GPC'!BE23</f>
        <v>#REFRESH</v>
      </c>
      <c r="E21" s="403" t="str">
        <f>'Capital IQ Sheet-GPC'!BF23</f>
        <v>#REFRESH</v>
      </c>
      <c r="F21" s="403" t="str">
        <f>'Capital IQ Sheet-GPC'!BG23</f>
        <v>#REFRESH</v>
      </c>
      <c r="G21" s="403" t="str">
        <f>'Capital IQ Sheet-GPC'!BH23</f>
        <v>#REFRESH</v>
      </c>
      <c r="H21" s="403" t="str">
        <f>'Capital IQ Sheet-GPC'!BI23</f>
        <v>#REFRESH</v>
      </c>
      <c r="I21" s="403">
        <f t="shared" si="0"/>
        <v>0</v>
      </c>
      <c r="J21" s="403">
        <f t="shared" si="1"/>
        <v>0</v>
      </c>
      <c r="K21" s="403" t="str">
        <f>'Capital IQ Sheet-GPC'!BJ23</f>
        <v>#REFRESH</v>
      </c>
      <c r="L21" s="403" t="str">
        <f t="shared" si="2"/>
        <v>n/a</v>
      </c>
      <c r="M21" s="407"/>
      <c r="N21" s="403">
        <f>'Capital IQ Sheet-GPC'!I23</f>
        <v>2.34</v>
      </c>
      <c r="O21" s="403">
        <f>'Capital IQ Sheet-GPC'!J23</f>
        <v>46.258000000000003</v>
      </c>
      <c r="P21" s="403">
        <f>'Capital IQ Sheet-GPC'!K23</f>
        <v>0</v>
      </c>
      <c r="Q21" s="403">
        <f>'Capital IQ Sheet-GPC'!L23</f>
        <v>0</v>
      </c>
      <c r="R21" s="403">
        <f>'Capital IQ Sheet-GPC'!M23</f>
        <v>0</v>
      </c>
      <c r="S21" s="403">
        <f t="shared" si="3"/>
        <v>0</v>
      </c>
      <c r="T21" s="403">
        <f t="shared" si="4"/>
        <v>46.258000000000003</v>
      </c>
      <c r="U21" s="403">
        <f>'Capital IQ Sheet-GPC'!N23</f>
        <v>14.866</v>
      </c>
      <c r="V21" s="403">
        <f t="shared" si="5"/>
        <v>31.392000000000003</v>
      </c>
      <c r="X21" s="381" t="str">
        <f t="shared" si="6"/>
        <v>n/a</v>
      </c>
      <c r="Y21" s="381" t="str">
        <f t="shared" si="7"/>
        <v>n/a</v>
      </c>
      <c r="Z21" s="381" t="str">
        <f t="shared" si="8"/>
        <v>n/a</v>
      </c>
      <c r="AC21" s="93" t="str">
        <f>IF('MASTER PubCo Inputs'!C38="","",'MASTER PubCo Inputs'!C38)</f>
        <v>IQ2520553</v>
      </c>
      <c r="AD21" s="405" t="str">
        <f>'Capital IQ Sheet-GPC'!AP23</f>
        <v>Soleno Therapeutics, Inc. focuses on the development and commercialization of novel therapeutics for the treatment of rare diseases. Its lead candidate, diazoxide choline controlled-release (DCCR), a tablet for the treatment of Prader-Willi Syndrome (PWS), is entering into late-stage clinical development. The company was formerly known as Capnia, Inc. and changed its name to Soleno Therapeutics, Inc. in May 2017. Soleno Therapeutics, Inc. was founded in 1999 and is based in Redwood City, California.</v>
      </c>
    </row>
    <row r="22" spans="2:30" ht="12.75" customHeight="1">
      <c r="B22" s="499" t="str">
        <f>'Capital IQ Sheet-GPC'!C24</f>
        <v>Synthetic Biologics, Inc.</v>
      </c>
      <c r="C22" s="527"/>
      <c r="D22" s="403" t="str">
        <f>'Capital IQ Sheet-GPC'!BE24</f>
        <v>#REFRESH</v>
      </c>
      <c r="E22" s="403" t="str">
        <f>'Capital IQ Sheet-GPC'!BF24</f>
        <v>#REFRESH</v>
      </c>
      <c r="F22" s="403" t="str">
        <f>'Capital IQ Sheet-GPC'!BG24</f>
        <v>#REFRESH</v>
      </c>
      <c r="G22" s="403" t="str">
        <f>'Capital IQ Sheet-GPC'!BH24</f>
        <v>#REFRESH</v>
      </c>
      <c r="H22" s="403" t="str">
        <f>'Capital IQ Sheet-GPC'!BI24</f>
        <v>#REFRESH</v>
      </c>
      <c r="I22" s="403">
        <f t="shared" si="0"/>
        <v>0</v>
      </c>
      <c r="J22" s="403">
        <f t="shared" si="1"/>
        <v>0</v>
      </c>
      <c r="K22" s="403" t="str">
        <f>'Capital IQ Sheet-GPC'!BJ24</f>
        <v>#REFRESH</v>
      </c>
      <c r="L22" s="403" t="str">
        <f t="shared" si="2"/>
        <v>n/a</v>
      </c>
      <c r="M22" s="407"/>
      <c r="N22" s="403">
        <f>'Capital IQ Sheet-GPC'!I24</f>
        <v>8.3650000000000002</v>
      </c>
      <c r="O22" s="403">
        <f>'Capital IQ Sheet-GPC'!J24</f>
        <v>30.72748</v>
      </c>
      <c r="P22" s="403">
        <f>'Capital IQ Sheet-GPC'!K24</f>
        <v>0</v>
      </c>
      <c r="Q22" s="403">
        <f>'Capital IQ Sheet-GPC'!L24</f>
        <v>12.112</v>
      </c>
      <c r="R22" s="403">
        <f>'Capital IQ Sheet-GPC'!M24</f>
        <v>-1.923</v>
      </c>
      <c r="S22" s="403">
        <f t="shared" si="3"/>
        <v>10.189</v>
      </c>
      <c r="T22" s="403">
        <f t="shared" si="4"/>
        <v>40.91648</v>
      </c>
      <c r="U22" s="403">
        <f>'Capital IQ Sheet-GPC'!N24</f>
        <v>11.037000000000001</v>
      </c>
      <c r="V22" s="403">
        <f t="shared" si="5"/>
        <v>29.879480000000001</v>
      </c>
      <c r="X22" s="381" t="str">
        <f t="shared" si="6"/>
        <v>n/a</v>
      </c>
      <c r="Y22" s="381" t="str">
        <f t="shared" si="7"/>
        <v>n/a</v>
      </c>
      <c r="Z22" s="381" t="str">
        <f t="shared" si="8"/>
        <v>n/a</v>
      </c>
      <c r="AC22" s="93" t="str">
        <f>IF('MASTER PubCo Inputs'!C39="","",'MASTER PubCo Inputs'!C39)</f>
        <v>IQ24424557</v>
      </c>
      <c r="AD22" s="405" t="str">
        <f>'Capital IQ Sheet-GPC'!AP24</f>
        <v>Synthetic Biologics, Inc., a late-stage clinical company, develops therapeutics designed to preserve the microbiome to protect and restore the health of patients. Its lead product candidates are in Phase III development, such as SYN-004 that is designed to protect the gut microbiome from the effects of commonly used intravenous (IV) beta-lactam antibiotics for the prevention of C. difficile infection, overgrowth of pathogenic organisms, and the emergence of antimicrobial resistance; and SYN-010 which is intended to reduce the impact of methane-producing organisms in the gut microbiome to treat an underlying cause of irritable bowel syndrome with constipation. The company’s preclinical products include an oral formulation of the enzyme intestinal alkaline phosphatase to treat local GI disorders and systemic diseases; monoclonal antibody therapies for the prevention and treatment of pertussis; and novel discovery stage biotherapeutics for the treatment of phenylketonuria. Synthetic Biologics, Inc. has collaborations with Intrexon Corporation, The University of Texas at Austin, and Cedars-Sinai Medical Center. The company was formerly known as Adeona Pharmaceuticals, Inc. and changed its name to Synthetic Biologics, Inc. in February 2012. Synthetic Biologics, Inc. was founded in 2001 and is headquartered in Rockville, Maryland.</v>
      </c>
    </row>
    <row r="23" spans="2:30" ht="12.75" customHeight="1">
      <c r="B23" s="499" t="str">
        <f>'Capital IQ Sheet-GPC'!C25</f>
        <v>Nexus BioPharma, Inc.</v>
      </c>
      <c r="C23" s="527"/>
      <c r="D23" s="403" t="str">
        <f>'Capital IQ Sheet-GPC'!BE25</f>
        <v>#REFRESH</v>
      </c>
      <c r="E23" s="403" t="str">
        <f>'Capital IQ Sheet-GPC'!BF25</f>
        <v>#REFRESH</v>
      </c>
      <c r="F23" s="403" t="str">
        <f>'Capital IQ Sheet-GPC'!BG25</f>
        <v>#REFRESH</v>
      </c>
      <c r="G23" s="403" t="str">
        <f>'Capital IQ Sheet-GPC'!BH25</f>
        <v>#REFRESH</v>
      </c>
      <c r="H23" s="403" t="str">
        <f>'Capital IQ Sheet-GPC'!BI25</f>
        <v>#REFRESH</v>
      </c>
      <c r="I23" s="403">
        <f t="shared" si="0"/>
        <v>0</v>
      </c>
      <c r="J23" s="403">
        <f t="shared" si="1"/>
        <v>0</v>
      </c>
      <c r="K23" s="403" t="str">
        <f>'Capital IQ Sheet-GPC'!BJ25</f>
        <v>#REFRESH</v>
      </c>
      <c r="L23" s="403" t="str">
        <f t="shared" si="2"/>
        <v>n/a</v>
      </c>
      <c r="M23" s="407"/>
      <c r="N23" s="403">
        <f>'Capital IQ Sheet-GPC'!I25</f>
        <v>5.9900000000000002E-2</v>
      </c>
      <c r="O23" s="403">
        <f>'Capital IQ Sheet-GPC'!J25</f>
        <v>3.8515700000000002</v>
      </c>
      <c r="P23" s="403">
        <f>'Capital IQ Sheet-GPC'!K25</f>
        <v>0.36752000000000001</v>
      </c>
      <c r="Q23" s="403">
        <f>'Capital IQ Sheet-GPC'!L25</f>
        <v>0</v>
      </c>
      <c r="R23" s="403">
        <f>'Capital IQ Sheet-GPC'!M25</f>
        <v>0</v>
      </c>
      <c r="S23" s="403">
        <f t="shared" si="3"/>
        <v>0.36752000000000001</v>
      </c>
      <c r="T23" s="403">
        <f t="shared" si="4"/>
        <v>4.2190900000000005</v>
      </c>
      <c r="U23" s="403">
        <f>'Capital IQ Sheet-GPC'!N25</f>
        <v>8.43E-3</v>
      </c>
      <c r="V23" s="403">
        <f t="shared" si="5"/>
        <v>4.2106600000000007</v>
      </c>
      <c r="X23" s="381" t="str">
        <f t="shared" si="6"/>
        <v>n/a</v>
      </c>
      <c r="Y23" s="381" t="str">
        <f t="shared" si="7"/>
        <v>n/a</v>
      </c>
      <c r="Z23" s="381" t="str">
        <f t="shared" si="8"/>
        <v>n/a</v>
      </c>
      <c r="AC23" s="93" t="str">
        <f>IF('MASTER PubCo Inputs'!C40="","",'MASTER PubCo Inputs'!C40)</f>
        <v>IQ340704541</v>
      </c>
      <c r="AD23" s="405" t="str">
        <f>'Capital IQ Sheet-GPC'!AP25</f>
        <v>Nexus BioPharma, Inc., a life science company, focuses on the development and commercialization of a pharmaceutical preparation to treat obesity and the symptoms of type 2 diabetes. The company is headquartered in Houston, Texas.</v>
      </c>
    </row>
    <row r="24" spans="2:30" ht="12.75" customHeight="1">
      <c r="B24" s="499" t="str">
        <f>'Capital IQ Sheet-GPC'!C26</f>
        <v>Ritter Pharmaceuticals, Inc.</v>
      </c>
      <c r="C24" s="527"/>
      <c r="D24" s="403" t="str">
        <f>'Capital IQ Sheet-GPC'!BE26</f>
        <v>#REFRESH</v>
      </c>
      <c r="E24" s="403" t="str">
        <f>'Capital IQ Sheet-GPC'!BF26</f>
        <v>#REFRESH</v>
      </c>
      <c r="F24" s="403" t="str">
        <f>'Capital IQ Sheet-GPC'!BG26</f>
        <v>#REFRESH</v>
      </c>
      <c r="G24" s="403" t="str">
        <f>'Capital IQ Sheet-GPC'!BH26</f>
        <v>#REFRESH</v>
      </c>
      <c r="H24" s="403" t="str">
        <f>'Capital IQ Sheet-GPC'!BI26</f>
        <v>#REFRESH</v>
      </c>
      <c r="I24" s="403">
        <f t="shared" si="0"/>
        <v>0</v>
      </c>
      <c r="J24" s="403">
        <f t="shared" si="1"/>
        <v>0</v>
      </c>
      <c r="K24" s="403" t="str">
        <f>'Capital IQ Sheet-GPC'!BJ26</f>
        <v>#REFRESH</v>
      </c>
      <c r="L24" s="403" t="str">
        <f t="shared" si="2"/>
        <v>n/a</v>
      </c>
      <c r="M24" s="407"/>
      <c r="N24" s="403">
        <f>'Capital IQ Sheet-GPC'!I26</f>
        <v>2.57</v>
      </c>
      <c r="O24" s="403">
        <f>'Capital IQ Sheet-GPC'!J26</f>
        <v>12.90047</v>
      </c>
      <c r="P24" s="403">
        <f>'Capital IQ Sheet-GPC'!K26</f>
        <v>0</v>
      </c>
      <c r="Q24" s="403">
        <f>'Capital IQ Sheet-GPC'!L26</f>
        <v>4.9489799999999997</v>
      </c>
      <c r="R24" s="403">
        <f>'Capital IQ Sheet-GPC'!M26</f>
        <v>0</v>
      </c>
      <c r="S24" s="403">
        <f t="shared" si="3"/>
        <v>4.9489799999999997</v>
      </c>
      <c r="T24" s="403">
        <f t="shared" si="4"/>
        <v>17.849450000000001</v>
      </c>
      <c r="U24" s="403">
        <f>'Capital IQ Sheet-GPC'!N26</f>
        <v>18.91704</v>
      </c>
      <c r="V24" s="403">
        <f t="shared" si="5"/>
        <v>-1.0675899999999992</v>
      </c>
      <c r="X24" s="381" t="str">
        <f t="shared" si="6"/>
        <v>n/a</v>
      </c>
      <c r="Y24" s="381" t="str">
        <f t="shared" si="7"/>
        <v>n/a</v>
      </c>
      <c r="Z24" s="381" t="str">
        <f t="shared" si="8"/>
        <v>n/a</v>
      </c>
      <c r="AC24" s="93" t="str">
        <f>IF('MASTER PubCo Inputs'!C41="","",'MASTER PubCo Inputs'!C41)</f>
        <v>IQ62102047</v>
      </c>
      <c r="AD24" s="405" t="str">
        <f>'Capital IQ Sheet-GPC'!AP26</f>
        <v>Ritter Pharmaceuticals, Inc. develops and sells novel therapeutic products that modulate the human gut microbiome to treat gastrointestinal diseases. Its lead product candidate is RP-G28, a novel microbiome modulator, which has completed Phase 2b clinical trial for the reduction of symptoms associated with lactose intolerance. The company’s product, RP-G28 is designed to stimulate the growth of lactose-metabolizing bacteria in the colon, thereby adapting the gut microbiome to assist in digesting the lactose that reaches the large intestine. The company was formerly known as Ritter Natural Sciences, LLC and changed its name to Ritter Pharmaceuticals, Inc. in September 2008. Ritter Pharmaceuticals, Inc. was founded in 2004 and is headquartered in Los Angeles, California.</v>
      </c>
    </row>
    <row r="25" spans="2:30" ht="12.75" customHeight="1">
      <c r="B25" s="499" t="str">
        <f>'Capital IQ Sheet-GPC'!C27</f>
        <v>(Invalid Identifier)</v>
      </c>
      <c r="C25" s="527"/>
      <c r="D25" s="403" t="str">
        <f>'Capital IQ Sheet-GPC'!BE27</f>
        <v>#REFRESH</v>
      </c>
      <c r="E25" s="403" t="str">
        <f>'Capital IQ Sheet-GPC'!BF27</f>
        <v>#REFRESH</v>
      </c>
      <c r="F25" s="403" t="str">
        <f>'Capital IQ Sheet-GPC'!BG27</f>
        <v>#REFRESH</v>
      </c>
      <c r="G25" s="403" t="str">
        <f>'Capital IQ Sheet-GPC'!BH27</f>
        <v>#REFRESH</v>
      </c>
      <c r="H25" s="403" t="str">
        <f>'Capital IQ Sheet-GPC'!BI27</f>
        <v>#REFRESH</v>
      </c>
      <c r="I25" s="403">
        <f t="shared" si="0"/>
        <v>0</v>
      </c>
      <c r="J25" s="403">
        <f t="shared" si="1"/>
        <v>0</v>
      </c>
      <c r="K25" s="403" t="str">
        <f>'Capital IQ Sheet-GPC'!BJ27</f>
        <v>#REFRESH</v>
      </c>
      <c r="L25" s="403" t="str">
        <f t="shared" si="2"/>
        <v>n/a</v>
      </c>
      <c r="M25" s="407"/>
      <c r="N25" s="403" t="str">
        <f>'Capital IQ Sheet-GPC'!I27</f>
        <v>(Invalid Identifier)</v>
      </c>
      <c r="O25" s="403" t="str">
        <f>'Capital IQ Sheet-GPC'!J27</f>
        <v>(Invalid Identifier)</v>
      </c>
      <c r="P25" s="403" t="str">
        <f>'Capital IQ Sheet-GPC'!K27</f>
        <v>(Invalid Identifier)</v>
      </c>
      <c r="Q25" s="403" t="str">
        <f>'Capital IQ Sheet-GPC'!L27</f>
        <v>(Invalid Identifier)</v>
      </c>
      <c r="R25" s="403" t="str">
        <f>'Capital IQ Sheet-GPC'!M27</f>
        <v>(Invalid Identifier)</v>
      </c>
      <c r="S25" s="403">
        <f t="shared" si="3"/>
        <v>0</v>
      </c>
      <c r="T25" s="403">
        <f t="shared" si="4"/>
        <v>0</v>
      </c>
      <c r="U25" s="403" t="str">
        <f>'Capital IQ Sheet-GPC'!N27</f>
        <v>(Invalid Identifier)</v>
      </c>
      <c r="V25" s="403" t="str">
        <f t="shared" si="5"/>
        <v>n/a</v>
      </c>
      <c r="X25" s="381" t="str">
        <f t="shared" si="6"/>
        <v>n/a</v>
      </c>
      <c r="Y25" s="381" t="str">
        <f t="shared" si="7"/>
        <v>n/a</v>
      </c>
      <c r="Z25" s="381" t="str">
        <f t="shared" si="8"/>
        <v>n/a</v>
      </c>
      <c r="AC25" s="93" t="str">
        <f>IF('MASTER PubCo Inputs'!C42="","",'MASTER PubCo Inputs'!C42)</f>
        <v>(Invalid Identifier)</v>
      </c>
      <c r="AD25" s="405" t="str">
        <f>'Capital IQ Sheet-GPC'!AP27</f>
        <v>(Invalid Identifier)</v>
      </c>
    </row>
    <row r="26" spans="2:30" ht="12.75" hidden="1" customHeight="1" outlineLevel="1">
      <c r="B26" s="499"/>
      <c r="C26" s="527"/>
      <c r="D26" s="403"/>
      <c r="E26" s="403"/>
      <c r="F26" s="403"/>
      <c r="G26" s="403"/>
      <c r="H26" s="403"/>
      <c r="I26" s="403"/>
      <c r="J26" s="403"/>
      <c r="K26" s="403"/>
      <c r="L26" s="403"/>
      <c r="M26" s="407"/>
      <c r="N26" s="403"/>
      <c r="O26" s="403"/>
      <c r="P26" s="403"/>
      <c r="Q26" s="403"/>
      <c r="R26" s="403"/>
      <c r="S26" s="403"/>
      <c r="T26" s="403"/>
      <c r="U26" s="403"/>
      <c r="V26" s="403"/>
      <c r="X26" s="381"/>
      <c r="Y26" s="381"/>
      <c r="Z26" s="381"/>
      <c r="AC26" s="93"/>
    </row>
    <row r="27" spans="2:30" ht="12.75" hidden="1" customHeight="1" outlineLevel="1">
      <c r="B27" s="499"/>
      <c r="C27" s="527"/>
      <c r="D27" s="403"/>
      <c r="E27" s="403"/>
      <c r="F27" s="403"/>
      <c r="G27" s="403"/>
      <c r="H27" s="403"/>
      <c r="I27" s="403"/>
      <c r="J27" s="403"/>
      <c r="K27" s="403"/>
      <c r="L27" s="403"/>
      <c r="M27" s="407"/>
      <c r="N27" s="403"/>
      <c r="O27" s="403"/>
      <c r="P27" s="403"/>
      <c r="Q27" s="403"/>
      <c r="R27" s="403"/>
      <c r="S27" s="403"/>
      <c r="T27" s="403"/>
      <c r="U27" s="403"/>
      <c r="V27" s="403"/>
      <c r="X27" s="381"/>
      <c r="Y27" s="381"/>
      <c r="Z27" s="381"/>
      <c r="AC27" s="93"/>
    </row>
    <row r="28" spans="2:30" ht="12.75" hidden="1" customHeight="1" outlineLevel="1">
      <c r="B28" s="499"/>
      <c r="C28" s="527"/>
      <c r="D28" s="403"/>
      <c r="E28" s="403"/>
      <c r="F28" s="403"/>
      <c r="G28" s="403"/>
      <c r="H28" s="403"/>
      <c r="I28" s="403"/>
      <c r="J28" s="403"/>
      <c r="K28" s="403"/>
      <c r="L28" s="403"/>
      <c r="M28" s="407"/>
      <c r="N28" s="403"/>
      <c r="O28" s="403"/>
      <c r="P28" s="403"/>
      <c r="Q28" s="403"/>
      <c r="R28" s="403"/>
      <c r="S28" s="403"/>
      <c r="T28" s="403"/>
      <c r="U28" s="403"/>
      <c r="V28" s="403"/>
      <c r="X28" s="381"/>
      <c r="Y28" s="381"/>
      <c r="Z28" s="381"/>
      <c r="AC28" s="93"/>
    </row>
    <row r="29" spans="2:30" ht="12.75" hidden="1" customHeight="1" outlineLevel="1">
      <c r="B29" s="499"/>
      <c r="C29" s="527"/>
      <c r="D29" s="403"/>
      <c r="E29" s="403"/>
      <c r="F29" s="403"/>
      <c r="G29" s="403"/>
      <c r="H29" s="403"/>
      <c r="I29" s="403"/>
      <c r="J29" s="403"/>
      <c r="K29" s="403"/>
      <c r="L29" s="403"/>
      <c r="M29" s="407"/>
      <c r="N29" s="403"/>
      <c r="O29" s="403"/>
      <c r="P29" s="403"/>
      <c r="Q29" s="403"/>
      <c r="R29" s="403"/>
      <c r="S29" s="403"/>
      <c r="T29" s="403"/>
      <c r="U29" s="403"/>
      <c r="V29" s="403"/>
      <c r="X29" s="381"/>
      <c r="Y29" s="381"/>
      <c r="Z29" s="381"/>
      <c r="AC29" s="93"/>
    </row>
    <row r="30" spans="2:30" ht="12.75" hidden="1" customHeight="1" outlineLevel="1">
      <c r="B30" s="499"/>
      <c r="C30" s="527"/>
      <c r="D30" s="403"/>
      <c r="E30" s="403"/>
      <c r="F30" s="403"/>
      <c r="G30" s="403"/>
      <c r="H30" s="403"/>
      <c r="I30" s="403"/>
      <c r="J30" s="403"/>
      <c r="K30" s="403"/>
      <c r="L30" s="403"/>
      <c r="M30" s="407"/>
      <c r="N30" s="403"/>
      <c r="O30" s="403"/>
      <c r="P30" s="403"/>
      <c r="Q30" s="403"/>
      <c r="R30" s="403"/>
      <c r="S30" s="403"/>
      <c r="T30" s="403"/>
      <c r="U30" s="403"/>
      <c r="V30" s="403"/>
      <c r="X30" s="381"/>
      <c r="Y30" s="381"/>
      <c r="Z30" s="381"/>
      <c r="AC30" s="93"/>
    </row>
    <row r="31" spans="2:30" ht="12.75" hidden="1" customHeight="1" outlineLevel="1">
      <c r="B31" s="499"/>
      <c r="C31" s="527"/>
      <c r="D31" s="403"/>
      <c r="E31" s="403"/>
      <c r="F31" s="403"/>
      <c r="G31" s="403"/>
      <c r="H31" s="403"/>
      <c r="I31" s="403"/>
      <c r="J31" s="403"/>
      <c r="K31" s="403"/>
      <c r="L31" s="403"/>
      <c r="M31" s="407"/>
      <c r="N31" s="403"/>
      <c r="O31" s="403"/>
      <c r="P31" s="403"/>
      <c r="Q31" s="403"/>
      <c r="R31" s="403"/>
      <c r="S31" s="403"/>
      <c r="T31" s="403"/>
      <c r="U31" s="403"/>
      <c r="V31" s="403"/>
      <c r="X31" s="381"/>
      <c r="Y31" s="381"/>
      <c r="Z31" s="381"/>
      <c r="AC31" s="93"/>
    </row>
    <row r="32" spans="2:30" ht="12.75" hidden="1" customHeight="1" outlineLevel="1">
      <c r="B32" s="499"/>
      <c r="C32" s="527"/>
      <c r="D32" s="403"/>
      <c r="E32" s="403"/>
      <c r="F32" s="403"/>
      <c r="G32" s="403"/>
      <c r="H32" s="403"/>
      <c r="I32" s="403"/>
      <c r="J32" s="403"/>
      <c r="K32" s="403"/>
      <c r="L32" s="403"/>
      <c r="M32" s="407"/>
      <c r="N32" s="403"/>
      <c r="O32" s="403"/>
      <c r="P32" s="403"/>
      <c r="Q32" s="403"/>
      <c r="R32" s="403"/>
      <c r="S32" s="403"/>
      <c r="T32" s="403"/>
      <c r="U32" s="403"/>
      <c r="V32" s="403"/>
      <c r="X32" s="381"/>
      <c r="Y32" s="381"/>
      <c r="Z32" s="381"/>
      <c r="AC32" s="93"/>
    </row>
    <row r="33" spans="2:29" ht="12.75" hidden="1" customHeight="1" outlineLevel="1">
      <c r="B33" s="499"/>
      <c r="C33" s="527"/>
      <c r="D33" s="403"/>
      <c r="E33" s="403"/>
      <c r="F33" s="403"/>
      <c r="G33" s="403"/>
      <c r="H33" s="403"/>
      <c r="I33" s="403"/>
      <c r="J33" s="403"/>
      <c r="K33" s="403"/>
      <c r="L33" s="403"/>
      <c r="M33" s="407"/>
      <c r="N33" s="403"/>
      <c r="O33" s="403"/>
      <c r="P33" s="403"/>
      <c r="Q33" s="403"/>
      <c r="R33" s="403"/>
      <c r="S33" s="403"/>
      <c r="T33" s="403"/>
      <c r="U33" s="403"/>
      <c r="V33" s="403"/>
      <c r="X33" s="381"/>
      <c r="Y33" s="381"/>
      <c r="Z33" s="381"/>
      <c r="AC33" s="93"/>
    </row>
    <row r="34" spans="2:29" ht="12.75" hidden="1" customHeight="1" outlineLevel="1">
      <c r="B34" s="499"/>
      <c r="C34" s="527"/>
      <c r="D34" s="403"/>
      <c r="E34" s="403"/>
      <c r="F34" s="403"/>
      <c r="G34" s="403"/>
      <c r="H34" s="403"/>
      <c r="I34" s="403"/>
      <c r="J34" s="403"/>
      <c r="K34" s="403"/>
      <c r="L34" s="403"/>
      <c r="M34" s="407"/>
      <c r="N34" s="403"/>
      <c r="O34" s="403"/>
      <c r="P34" s="403"/>
      <c r="Q34" s="403"/>
      <c r="R34" s="403"/>
      <c r="S34" s="403"/>
      <c r="T34" s="403"/>
      <c r="U34" s="403"/>
      <c r="V34" s="403"/>
      <c r="X34" s="381"/>
      <c r="Y34" s="381"/>
      <c r="Z34" s="381"/>
      <c r="AC34" s="93"/>
    </row>
    <row r="35" spans="2:29" ht="12.75" hidden="1" customHeight="1" outlineLevel="1">
      <c r="B35" s="499"/>
      <c r="C35" s="527"/>
      <c r="D35" s="403"/>
      <c r="E35" s="403"/>
      <c r="F35" s="403"/>
      <c r="G35" s="403"/>
      <c r="H35" s="403"/>
      <c r="I35" s="403"/>
      <c r="J35" s="403"/>
      <c r="K35" s="403"/>
      <c r="L35" s="403"/>
      <c r="M35" s="407"/>
      <c r="N35" s="403"/>
      <c r="O35" s="403"/>
      <c r="P35" s="403"/>
      <c r="Q35" s="403"/>
      <c r="R35" s="403"/>
      <c r="S35" s="403"/>
      <c r="T35" s="403"/>
      <c r="U35" s="403"/>
      <c r="V35" s="403"/>
      <c r="X35" s="381"/>
      <c r="Y35" s="381"/>
      <c r="Z35" s="381"/>
      <c r="AC35" s="93"/>
    </row>
    <row r="36" spans="2:29" ht="12.75" hidden="1" customHeight="1" outlineLevel="1">
      <c r="B36" s="499"/>
      <c r="C36" s="527"/>
      <c r="D36" s="403"/>
      <c r="E36" s="403"/>
      <c r="F36" s="403"/>
      <c r="G36" s="403"/>
      <c r="H36" s="403"/>
      <c r="I36" s="403"/>
      <c r="J36" s="403"/>
      <c r="K36" s="403"/>
      <c r="L36" s="403"/>
      <c r="M36" s="407"/>
      <c r="N36" s="403"/>
      <c r="O36" s="403"/>
      <c r="P36" s="403"/>
      <c r="Q36" s="403"/>
      <c r="R36" s="403"/>
      <c r="S36" s="403"/>
      <c r="T36" s="403"/>
      <c r="U36" s="403"/>
      <c r="V36" s="403"/>
      <c r="X36" s="381"/>
      <c r="Y36" s="381"/>
      <c r="Z36" s="381"/>
      <c r="AC36" s="93"/>
    </row>
    <row r="37" spans="2:29" ht="12.75" hidden="1" customHeight="1" outlineLevel="1">
      <c r="B37" s="499"/>
      <c r="C37" s="527"/>
      <c r="D37" s="403"/>
      <c r="E37" s="403"/>
      <c r="F37" s="403"/>
      <c r="G37" s="403"/>
      <c r="H37" s="403"/>
      <c r="I37" s="403"/>
      <c r="J37" s="403"/>
      <c r="K37" s="403"/>
      <c r="L37" s="403"/>
      <c r="M37" s="407"/>
      <c r="N37" s="403"/>
      <c r="O37" s="403"/>
      <c r="P37" s="403"/>
      <c r="Q37" s="403"/>
      <c r="R37" s="403"/>
      <c r="S37" s="403"/>
      <c r="T37" s="403"/>
      <c r="U37" s="403"/>
      <c r="V37" s="403"/>
      <c r="X37" s="381"/>
      <c r="Y37" s="381"/>
      <c r="Z37" s="381"/>
      <c r="AC37" s="93"/>
    </row>
    <row r="38" spans="2:29" ht="12.75" hidden="1" customHeight="1" outlineLevel="1">
      <c r="B38" s="499"/>
      <c r="C38" s="527"/>
      <c r="D38" s="403"/>
      <c r="E38" s="403"/>
      <c r="F38" s="403"/>
      <c r="G38" s="403"/>
      <c r="H38" s="403"/>
      <c r="I38" s="403"/>
      <c r="J38" s="403"/>
      <c r="K38" s="403"/>
      <c r="L38" s="403"/>
      <c r="M38" s="407"/>
      <c r="N38" s="403"/>
      <c r="O38" s="403"/>
      <c r="P38" s="403"/>
      <c r="Q38" s="403"/>
      <c r="R38" s="403"/>
      <c r="S38" s="403"/>
      <c r="T38" s="403"/>
      <c r="U38" s="403"/>
      <c r="V38" s="403"/>
      <c r="X38" s="381"/>
      <c r="Y38" s="381"/>
      <c r="Z38" s="381"/>
      <c r="AC38" s="93"/>
    </row>
    <row r="39" spans="2:29" ht="12.75" hidden="1" customHeight="1" outlineLevel="1">
      <c r="B39" s="499"/>
      <c r="C39" s="527"/>
      <c r="D39" s="403"/>
      <c r="E39" s="403"/>
      <c r="F39" s="403"/>
      <c r="G39" s="403"/>
      <c r="H39" s="403"/>
      <c r="I39" s="403"/>
      <c r="J39" s="403"/>
      <c r="K39" s="403"/>
      <c r="L39" s="403"/>
      <c r="M39" s="407"/>
      <c r="N39" s="403"/>
      <c r="O39" s="403"/>
      <c r="P39" s="403"/>
      <c r="Q39" s="403"/>
      <c r="R39" s="403"/>
      <c r="S39" s="403"/>
      <c r="T39" s="403"/>
      <c r="U39" s="403"/>
      <c r="V39" s="403"/>
      <c r="X39" s="381"/>
      <c r="Y39" s="381"/>
      <c r="Z39" s="381"/>
      <c r="AC39" s="93"/>
    </row>
    <row r="40" spans="2:29" ht="12.75" hidden="1" customHeight="1" outlineLevel="1">
      <c r="B40" s="499"/>
      <c r="C40" s="527"/>
      <c r="D40" s="403"/>
      <c r="E40" s="403"/>
      <c r="F40" s="403"/>
      <c r="G40" s="403"/>
      <c r="H40" s="403"/>
      <c r="I40" s="403"/>
      <c r="J40" s="403"/>
      <c r="K40" s="403"/>
      <c r="L40" s="403"/>
      <c r="M40" s="407"/>
      <c r="N40" s="403"/>
      <c r="O40" s="403"/>
      <c r="P40" s="403"/>
      <c r="Q40" s="403"/>
      <c r="R40" s="403"/>
      <c r="S40" s="403"/>
      <c r="T40" s="403"/>
      <c r="U40" s="403"/>
      <c r="V40" s="403"/>
      <c r="X40" s="381"/>
      <c r="Y40" s="381"/>
      <c r="Z40" s="381"/>
      <c r="AC40" s="93"/>
    </row>
    <row r="41" spans="2:29" ht="12.75" customHeight="1" collapsed="1"/>
    <row r="42" spans="2:29" ht="12.75" customHeight="1">
      <c r="B42" s="428" t="s">
        <v>111</v>
      </c>
      <c r="C42" s="746"/>
      <c r="D42" s="429">
        <f>MAX(D11:D40)</f>
        <v>0</v>
      </c>
      <c r="E42" s="429">
        <f t="shared" ref="E42:Z42" si="9">MAX(E11:E40)</f>
        <v>0</v>
      </c>
      <c r="F42" s="429">
        <f t="shared" si="9"/>
        <v>0</v>
      </c>
      <c r="G42" s="429">
        <f t="shared" si="9"/>
        <v>0</v>
      </c>
      <c r="H42" s="429">
        <f t="shared" si="9"/>
        <v>0</v>
      </c>
      <c r="I42" s="429">
        <f t="shared" si="9"/>
        <v>0</v>
      </c>
      <c r="J42" s="429">
        <f t="shared" si="9"/>
        <v>0</v>
      </c>
      <c r="K42" s="429">
        <f t="shared" si="9"/>
        <v>0</v>
      </c>
      <c r="L42" s="429">
        <f t="shared" si="9"/>
        <v>0</v>
      </c>
      <c r="M42" s="430"/>
      <c r="N42" s="429">
        <f t="shared" si="9"/>
        <v>39.21</v>
      </c>
      <c r="O42" s="429">
        <f t="shared" si="9"/>
        <v>1906.0925500000001</v>
      </c>
      <c r="P42" s="429">
        <f t="shared" si="9"/>
        <v>236.50700000000001</v>
      </c>
      <c r="Q42" s="429">
        <f t="shared" si="9"/>
        <v>12.112</v>
      </c>
      <c r="R42" s="429">
        <f t="shared" si="9"/>
        <v>0</v>
      </c>
      <c r="S42" s="429">
        <f t="shared" si="9"/>
        <v>236.50700000000001</v>
      </c>
      <c r="T42" s="429">
        <f t="shared" si="9"/>
        <v>1906.0925500000001</v>
      </c>
      <c r="U42" s="429">
        <f t="shared" si="9"/>
        <v>298.06299999999999</v>
      </c>
      <c r="V42" s="429">
        <f t="shared" si="9"/>
        <v>1608.0295500000002</v>
      </c>
      <c r="W42" s="429"/>
      <c r="X42" s="431">
        <f t="shared" si="9"/>
        <v>0</v>
      </c>
      <c r="Y42" s="431">
        <f t="shared" si="9"/>
        <v>0</v>
      </c>
      <c r="Z42" s="750">
        <f t="shared" si="9"/>
        <v>0</v>
      </c>
    </row>
    <row r="43" spans="2:29" ht="12.75" customHeight="1">
      <c r="B43" s="366" t="s">
        <v>115</v>
      </c>
      <c r="C43" s="79"/>
      <c r="D43" s="101" t="e">
        <f>QUARTILE(D11:D40,3)</f>
        <v>#NUM!</v>
      </c>
      <c r="E43" s="101" t="e">
        <f t="shared" ref="E43:Z43" si="10">QUARTILE(E11:E40,3)</f>
        <v>#NUM!</v>
      </c>
      <c r="F43" s="101" t="e">
        <f t="shared" si="10"/>
        <v>#NUM!</v>
      </c>
      <c r="G43" s="101" t="e">
        <f t="shared" si="10"/>
        <v>#NUM!</v>
      </c>
      <c r="H43" s="101" t="e">
        <f t="shared" si="10"/>
        <v>#NUM!</v>
      </c>
      <c r="I43" s="101">
        <f t="shared" si="10"/>
        <v>0</v>
      </c>
      <c r="J43" s="101">
        <f t="shared" si="10"/>
        <v>0</v>
      </c>
      <c r="K43" s="101" t="e">
        <f t="shared" si="10"/>
        <v>#NUM!</v>
      </c>
      <c r="L43" s="101" t="e">
        <f t="shared" si="10"/>
        <v>#NUM!</v>
      </c>
      <c r="M43" s="101"/>
      <c r="N43" s="101">
        <f t="shared" si="10"/>
        <v>14.01</v>
      </c>
      <c r="O43" s="101">
        <f t="shared" si="10"/>
        <v>564.60603750000007</v>
      </c>
      <c r="P43" s="101">
        <f t="shared" si="10"/>
        <v>0.27564</v>
      </c>
      <c r="Q43" s="101">
        <f t="shared" si="10"/>
        <v>0</v>
      </c>
      <c r="R43" s="101">
        <f t="shared" si="10"/>
        <v>0</v>
      </c>
      <c r="S43" s="101">
        <f t="shared" si="10"/>
        <v>3.1751199999999997</v>
      </c>
      <c r="T43" s="101">
        <f t="shared" si="10"/>
        <v>507.73981500000002</v>
      </c>
      <c r="U43" s="101">
        <f t="shared" si="10"/>
        <v>132.88825</v>
      </c>
      <c r="V43" s="101">
        <f t="shared" si="10"/>
        <v>383.73003750000009</v>
      </c>
      <c r="W43" s="101"/>
      <c r="X43" s="143" t="e">
        <f t="shared" si="10"/>
        <v>#NUM!</v>
      </c>
      <c r="Y43" s="143" t="e">
        <f t="shared" si="10"/>
        <v>#NUM!</v>
      </c>
      <c r="Z43" s="144" t="e">
        <f t="shared" si="10"/>
        <v>#NUM!</v>
      </c>
    </row>
    <row r="44" spans="2:29" ht="12.75" customHeight="1">
      <c r="B44" s="366" t="s">
        <v>113</v>
      </c>
      <c r="C44" s="79"/>
      <c r="D44" s="101" t="e">
        <f>AVERAGE(D11:D40)</f>
        <v>#DIV/0!</v>
      </c>
      <c r="E44" s="101" t="e">
        <f t="shared" ref="E44:Z44" si="11">AVERAGE(E11:E40)</f>
        <v>#DIV/0!</v>
      </c>
      <c r="F44" s="101" t="e">
        <f t="shared" si="11"/>
        <v>#DIV/0!</v>
      </c>
      <c r="G44" s="101" t="e">
        <f t="shared" si="11"/>
        <v>#DIV/0!</v>
      </c>
      <c r="H44" s="101" t="e">
        <f t="shared" si="11"/>
        <v>#DIV/0!</v>
      </c>
      <c r="I44" s="101">
        <f t="shared" si="11"/>
        <v>0</v>
      </c>
      <c r="J44" s="101">
        <f t="shared" si="11"/>
        <v>0</v>
      </c>
      <c r="K44" s="101" t="e">
        <f t="shared" si="11"/>
        <v>#DIV/0!</v>
      </c>
      <c r="L44" s="101" t="e">
        <f t="shared" si="11"/>
        <v>#DIV/0!</v>
      </c>
      <c r="M44" s="79"/>
      <c r="N44" s="101">
        <f t="shared" si="11"/>
        <v>10.473870000000003</v>
      </c>
      <c r="O44" s="101">
        <f t="shared" si="11"/>
        <v>406.69437642857145</v>
      </c>
      <c r="P44" s="101">
        <f t="shared" si="11"/>
        <v>18.459698571428572</v>
      </c>
      <c r="Q44" s="101">
        <f t="shared" si="11"/>
        <v>1.2186414285714287</v>
      </c>
      <c r="R44" s="101">
        <f t="shared" si="11"/>
        <v>-0.13735714285714287</v>
      </c>
      <c r="S44" s="101">
        <f t="shared" si="11"/>
        <v>18.238250666666669</v>
      </c>
      <c r="T44" s="101">
        <f t="shared" si="11"/>
        <v>397.81966866666664</v>
      </c>
      <c r="U44" s="101">
        <f t="shared" si="11"/>
        <v>90.206330714285741</v>
      </c>
      <c r="V44" s="101">
        <f t="shared" si="11"/>
        <v>336.02902857142857</v>
      </c>
      <c r="W44" s="101"/>
      <c r="X44" s="432" t="e">
        <f t="shared" si="11"/>
        <v>#DIV/0!</v>
      </c>
      <c r="Y44" s="432" t="e">
        <f t="shared" si="11"/>
        <v>#DIV/0!</v>
      </c>
      <c r="Z44" s="745" t="e">
        <f t="shared" si="11"/>
        <v>#DIV/0!</v>
      </c>
    </row>
    <row r="45" spans="2:29" ht="12.75" customHeight="1">
      <c r="B45" s="366" t="s">
        <v>44</v>
      </c>
      <c r="C45" s="79"/>
      <c r="D45" s="101" t="e">
        <f>MEDIAN(D11:D40)</f>
        <v>#NUM!</v>
      </c>
      <c r="E45" s="101" t="e">
        <f t="shared" ref="E45:Z45" si="12">MEDIAN(E11:E40)</f>
        <v>#NUM!</v>
      </c>
      <c r="F45" s="101" t="e">
        <f t="shared" si="12"/>
        <v>#NUM!</v>
      </c>
      <c r="G45" s="101" t="e">
        <f t="shared" si="12"/>
        <v>#NUM!</v>
      </c>
      <c r="H45" s="101" t="e">
        <f t="shared" si="12"/>
        <v>#NUM!</v>
      </c>
      <c r="I45" s="101">
        <f t="shared" si="12"/>
        <v>0</v>
      </c>
      <c r="J45" s="101">
        <f t="shared" si="12"/>
        <v>0</v>
      </c>
      <c r="K45" s="101" t="e">
        <f t="shared" si="12"/>
        <v>#NUM!</v>
      </c>
      <c r="L45" s="101" t="e">
        <f t="shared" si="12"/>
        <v>#NUM!</v>
      </c>
      <c r="M45" s="79"/>
      <c r="N45" s="101">
        <f t="shared" si="12"/>
        <v>6.6825000000000001</v>
      </c>
      <c r="O45" s="101">
        <f t="shared" si="12"/>
        <v>164.41385500000001</v>
      </c>
      <c r="P45" s="101">
        <f t="shared" si="12"/>
        <v>0</v>
      </c>
      <c r="Q45" s="101">
        <f t="shared" si="12"/>
        <v>0</v>
      </c>
      <c r="R45" s="101">
        <f t="shared" si="12"/>
        <v>0</v>
      </c>
      <c r="S45" s="101">
        <f t="shared" si="12"/>
        <v>0</v>
      </c>
      <c r="T45" s="101">
        <f t="shared" si="12"/>
        <v>213.21961000000002</v>
      </c>
      <c r="U45" s="101">
        <f t="shared" si="12"/>
        <v>57.363289999999992</v>
      </c>
      <c r="V45" s="101">
        <f t="shared" si="12"/>
        <v>153.45654500000001</v>
      </c>
      <c r="W45" s="101"/>
      <c r="X45" s="432" t="e">
        <f t="shared" si="12"/>
        <v>#NUM!</v>
      </c>
      <c r="Y45" s="432" t="e">
        <f t="shared" si="12"/>
        <v>#NUM!</v>
      </c>
      <c r="Z45" s="745" t="e">
        <f t="shared" si="12"/>
        <v>#NUM!</v>
      </c>
    </row>
    <row r="46" spans="2:29" ht="12.75" customHeight="1">
      <c r="B46" s="366" t="s">
        <v>114</v>
      </c>
      <c r="C46" s="79"/>
      <c r="D46" s="101" t="e">
        <f>QUARTILE(D11:D40,1)</f>
        <v>#NUM!</v>
      </c>
      <c r="E46" s="101" t="e">
        <f t="shared" ref="E46:Z46" si="13">QUARTILE(E11:E40,1)</f>
        <v>#NUM!</v>
      </c>
      <c r="F46" s="101" t="e">
        <f t="shared" si="13"/>
        <v>#NUM!</v>
      </c>
      <c r="G46" s="101" t="e">
        <f t="shared" si="13"/>
        <v>#NUM!</v>
      </c>
      <c r="H46" s="101" t="e">
        <f t="shared" si="13"/>
        <v>#NUM!</v>
      </c>
      <c r="I46" s="101">
        <f t="shared" si="13"/>
        <v>0</v>
      </c>
      <c r="J46" s="101">
        <f t="shared" si="13"/>
        <v>0</v>
      </c>
      <c r="K46" s="101" t="e">
        <f t="shared" si="13"/>
        <v>#NUM!</v>
      </c>
      <c r="L46" s="101" t="e">
        <f t="shared" si="13"/>
        <v>#NUM!</v>
      </c>
      <c r="M46" s="79"/>
      <c r="N46" s="101">
        <f t="shared" si="13"/>
        <v>2.3975</v>
      </c>
      <c r="O46" s="101">
        <f t="shared" si="13"/>
        <v>52.922474999999999</v>
      </c>
      <c r="P46" s="101">
        <f t="shared" si="13"/>
        <v>0</v>
      </c>
      <c r="Q46" s="101">
        <f t="shared" si="13"/>
        <v>0</v>
      </c>
      <c r="R46" s="101">
        <f t="shared" si="13"/>
        <v>0</v>
      </c>
      <c r="S46" s="101">
        <f t="shared" si="13"/>
        <v>0</v>
      </c>
      <c r="T46" s="101">
        <f t="shared" si="13"/>
        <v>43.587240000000001</v>
      </c>
      <c r="U46" s="101">
        <f t="shared" si="13"/>
        <v>11.994250000000001</v>
      </c>
      <c r="V46" s="101">
        <f t="shared" si="13"/>
        <v>41.351739999999999</v>
      </c>
      <c r="W46" s="101"/>
      <c r="X46" s="432" t="e">
        <f t="shared" si="13"/>
        <v>#NUM!</v>
      </c>
      <c r="Y46" s="432" t="e">
        <f t="shared" si="13"/>
        <v>#NUM!</v>
      </c>
      <c r="Z46" s="745" t="e">
        <f t="shared" si="13"/>
        <v>#NUM!</v>
      </c>
    </row>
    <row r="47" spans="2:29" ht="12.75" customHeight="1">
      <c r="B47" s="103" t="s">
        <v>112</v>
      </c>
      <c r="C47" s="72"/>
      <c r="D47" s="75">
        <f>MIN(D11:D40)</f>
        <v>0</v>
      </c>
      <c r="E47" s="75">
        <f t="shared" ref="E47:Z47" si="14">MIN(E11:E40)</f>
        <v>0</v>
      </c>
      <c r="F47" s="75">
        <f t="shared" si="14"/>
        <v>0</v>
      </c>
      <c r="G47" s="75">
        <f t="shared" si="14"/>
        <v>0</v>
      </c>
      <c r="H47" s="75">
        <f t="shared" si="14"/>
        <v>0</v>
      </c>
      <c r="I47" s="75">
        <f t="shared" si="14"/>
        <v>0</v>
      </c>
      <c r="J47" s="75">
        <f t="shared" si="14"/>
        <v>0</v>
      </c>
      <c r="K47" s="75">
        <f t="shared" si="14"/>
        <v>0</v>
      </c>
      <c r="L47" s="75">
        <f t="shared" si="14"/>
        <v>0</v>
      </c>
      <c r="M47" s="157"/>
      <c r="N47" s="75">
        <f t="shared" si="14"/>
        <v>5.9900000000000002E-2</v>
      </c>
      <c r="O47" s="75">
        <f t="shared" si="14"/>
        <v>3.8515700000000002</v>
      </c>
      <c r="P47" s="75">
        <f t="shared" si="14"/>
        <v>0</v>
      </c>
      <c r="Q47" s="75">
        <f t="shared" si="14"/>
        <v>0</v>
      </c>
      <c r="R47" s="75">
        <f t="shared" si="14"/>
        <v>-1.923</v>
      </c>
      <c r="S47" s="75">
        <f t="shared" si="14"/>
        <v>0</v>
      </c>
      <c r="T47" s="75">
        <f t="shared" si="14"/>
        <v>0</v>
      </c>
      <c r="U47" s="75">
        <f t="shared" si="14"/>
        <v>8.43E-3</v>
      </c>
      <c r="V47" s="75">
        <f t="shared" si="14"/>
        <v>-1.0675899999999992</v>
      </c>
      <c r="W47" s="157"/>
      <c r="X47" s="145">
        <f t="shared" si="14"/>
        <v>0</v>
      </c>
      <c r="Y47" s="145">
        <f t="shared" si="14"/>
        <v>0</v>
      </c>
      <c r="Z47" s="418">
        <f t="shared" si="14"/>
        <v>0</v>
      </c>
    </row>
    <row r="48" spans="2:29" ht="12.75" customHeight="1"/>
    <row r="49" spans="2:14" ht="12.75" customHeight="1">
      <c r="B49" s="8" t="s">
        <v>116</v>
      </c>
      <c r="C49" s="8"/>
      <c r="D49" s="8"/>
      <c r="N49" s="8"/>
    </row>
  </sheetData>
  <conditionalFormatting sqref="B4:Y4">
    <cfRule type="cellIs" dxfId="58" priority="20" stopIfTrue="1" operator="equal">
      <formula>"input"</formula>
    </cfRule>
  </conditionalFormatting>
  <conditionalFormatting sqref="B11:C40 N11:N40">
    <cfRule type="cellIs" dxfId="57" priority="19" operator="equal">
      <formula>"(Invalid Identifier)"</formula>
    </cfRule>
  </conditionalFormatting>
  <conditionalFormatting sqref="Z4">
    <cfRule type="cellIs" dxfId="56" priority="17" stopIfTrue="1" operator="equal">
      <formula>"input"</formula>
    </cfRule>
  </conditionalFormatting>
  <conditionalFormatting sqref="Z4">
    <cfRule type="cellIs" dxfId="55" priority="18" stopIfTrue="1" operator="equal">
      <formula>"input"</formula>
    </cfRule>
  </conditionalFormatting>
  <conditionalFormatting sqref="D11:D40">
    <cfRule type="cellIs" dxfId="54" priority="16" operator="equal">
      <formula>"(Invalid Identifier)"</formula>
    </cfRule>
  </conditionalFormatting>
  <conditionalFormatting sqref="E11:E40">
    <cfRule type="cellIs" dxfId="53" priority="10" operator="equal">
      <formula>"(Invalid Identifier)"</formula>
    </cfRule>
  </conditionalFormatting>
  <conditionalFormatting sqref="F11:F40">
    <cfRule type="cellIs" dxfId="52" priority="9" operator="equal">
      <formula>"(Invalid Identifier)"</formula>
    </cfRule>
  </conditionalFormatting>
  <conditionalFormatting sqref="G11:G40">
    <cfRule type="cellIs" dxfId="51" priority="8" operator="equal">
      <formula>"(Invalid Identifier)"</formula>
    </cfRule>
  </conditionalFormatting>
  <conditionalFormatting sqref="H11:H40">
    <cfRule type="cellIs" dxfId="50" priority="7" operator="equal">
      <formula>"(Invalid Identifier)"</formula>
    </cfRule>
  </conditionalFormatting>
  <conditionalFormatting sqref="K11:K40">
    <cfRule type="cellIs" dxfId="49" priority="6" operator="equal">
      <formula>"(Invalid Identifier)"</formula>
    </cfRule>
  </conditionalFormatting>
  <conditionalFormatting sqref="O11:O40">
    <cfRule type="cellIs" dxfId="48" priority="5" operator="equal">
      <formula>"(Invalid Identifier)"</formula>
    </cfRule>
  </conditionalFormatting>
  <conditionalFormatting sqref="P11:P40">
    <cfRule type="cellIs" dxfId="47" priority="4" operator="equal">
      <formula>"(Invalid Identifier)"</formula>
    </cfRule>
  </conditionalFormatting>
  <conditionalFormatting sqref="Q11:Q40">
    <cfRule type="cellIs" dxfId="46" priority="3" operator="equal">
      <formula>"(Invalid Identifier)"</formula>
    </cfRule>
  </conditionalFormatting>
  <conditionalFormatting sqref="R11:R40">
    <cfRule type="cellIs" dxfId="45" priority="2" operator="equal">
      <formula>"(Invalid Identifier)"</formula>
    </cfRule>
  </conditionalFormatting>
  <conditionalFormatting sqref="U11:U40">
    <cfRule type="cellIs" dxfId="44" priority="1" operator="equal">
      <formula>"(Invalid Identifier)"</formula>
    </cfRule>
  </conditionalFormatting>
  <pageMargins left="0.5" right="0.5" top="0.5" bottom="0.5" header="0.5" footer="0.5"/>
  <pageSetup scale="71" fitToWidth="0" fitToHeight="0" orientation="landscape" r:id="rId1"/>
  <legacyDrawingHF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I71"/>
  <sheetViews>
    <sheetView showGridLines="0" view="pageBreakPreview" zoomScale="85" zoomScaleNormal="100" zoomScaleSheetLayoutView="85" workbookViewId="0">
      <selection activeCell="AB47" sqref="AB47"/>
    </sheetView>
  </sheetViews>
  <sheetFormatPr defaultRowHeight="12.75" outlineLevelRow="1" outlineLevelCol="1"/>
  <cols>
    <col min="1" max="1" width="4.5" style="405" customWidth="1"/>
    <col min="2" max="2" width="42.1640625" style="405" customWidth="1"/>
    <col min="3" max="3" width="2.83203125" style="405" customWidth="1"/>
    <col min="4" max="4" width="12.83203125" style="405" customWidth="1"/>
    <col min="5" max="5" width="10.83203125" style="405" hidden="1" customWidth="1" outlineLevel="1"/>
    <col min="6" max="7" width="9.83203125" style="405" hidden="1" customWidth="1" outlineLevel="1"/>
    <col min="8" max="8" width="12.83203125" style="405" customWidth="1" collapsed="1"/>
    <col min="9" max="11" width="12.83203125" style="405" customWidth="1"/>
    <col min="12" max="12" width="2.83203125" style="405" customWidth="1"/>
    <col min="13" max="15" width="12.83203125" style="405" customWidth="1"/>
    <col min="16" max="16" width="2.83203125" style="21" customWidth="1"/>
    <col min="17" max="17" width="12.83203125" style="405" customWidth="1"/>
    <col min="18" max="18" width="2.83203125" style="405" customWidth="1"/>
    <col min="19" max="19" width="11.6640625" style="405" hidden="1" customWidth="1" outlineLevel="1"/>
    <col min="20" max="23" width="8.83203125" style="405" hidden="1" customWidth="1" outlineLevel="1"/>
    <col min="24" max="24" width="12.83203125" style="405" customWidth="1" collapsed="1"/>
    <col min="25" max="25" width="12.83203125" style="405" customWidth="1"/>
    <col min="26" max="26" width="4.5" style="405" customWidth="1"/>
    <col min="27" max="27" width="17.5" style="405" bestFit="1" customWidth="1"/>
    <col min="28" max="28" width="12.33203125" style="405" bestFit="1" customWidth="1"/>
    <col min="29" max="29" width="9.5" style="405" bestFit="1" customWidth="1"/>
    <col min="30" max="30" width="10.1640625" style="405" bestFit="1" customWidth="1"/>
    <col min="31" max="16384" width="9.33203125" style="405"/>
  </cols>
  <sheetData>
    <row r="1" spans="2:35" ht="10.7" customHeight="1" thickBot="1">
      <c r="P1" s="405"/>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X2" s="10"/>
      <c r="Y2" s="10"/>
      <c r="AA2" s="303" t="s">
        <v>87</v>
      </c>
      <c r="AB2" s="304">
        <f>+'Comp.1'!$AL$2</f>
        <v>43281</v>
      </c>
    </row>
    <row r="3" spans="2:35"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X3" s="11"/>
      <c r="Y3" s="11"/>
      <c r="AA3" s="201" t="s">
        <v>398</v>
      </c>
      <c r="AB3" s="308" t="str">
        <f>+'Comp.1'!$AL$3</f>
        <v>F</v>
      </c>
    </row>
    <row r="4" spans="2:35" ht="16.5" customHeight="1" thickBot="1">
      <c r="B4" s="12" t="s">
        <v>2587</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201" t="s">
        <v>399</v>
      </c>
      <c r="AB4" s="308" t="str">
        <f>+'Comp.1'!$AL$4</f>
        <v>USD</v>
      </c>
    </row>
    <row r="5" spans="2:35" ht="12.75" customHeight="1" thickTop="1">
      <c r="B5" s="21"/>
      <c r="AA5" s="82" t="s">
        <v>89</v>
      </c>
      <c r="AB5" s="307" t="str">
        <f>+'Comp.1'!$AL$5</f>
        <v>H</v>
      </c>
    </row>
    <row r="6" spans="2:35" ht="12.75" hidden="1" customHeight="1" outlineLevel="1">
      <c r="N6" s="210">
        <f>'OPM 1_OIP'!Q12</f>
        <v>3.883328767123289</v>
      </c>
      <c r="O6" s="211">
        <f>'Risk-Free Rates_OPM'!E36</f>
        <v>2.6741664383561646E-2</v>
      </c>
      <c r="Q6" s="212">
        <f>HLOOKUP(ROUND(N6,0),'Equity Vol'!$D$8:$K$8,1,TRUE)</f>
        <v>4</v>
      </c>
    </row>
    <row r="7" spans="2:35" ht="25.5" customHeight="1" collapsed="1">
      <c r="D7" s="198" t="s">
        <v>91</v>
      </c>
      <c r="E7" s="199"/>
      <c r="F7" s="199"/>
      <c r="G7" s="199"/>
      <c r="H7" s="199"/>
      <c r="I7" s="199"/>
      <c r="J7" s="199"/>
      <c r="K7" s="200"/>
      <c r="M7" s="198" t="s">
        <v>92</v>
      </c>
      <c r="N7" s="199"/>
      <c r="O7" s="199"/>
      <c r="P7" s="213"/>
      <c r="Q7" s="200"/>
      <c r="S7" s="198" t="s">
        <v>93</v>
      </c>
      <c r="T7" s="199"/>
      <c r="U7" s="199"/>
      <c r="V7" s="199"/>
      <c r="W7" s="199"/>
      <c r="X7" s="986" t="s">
        <v>93</v>
      </c>
      <c r="Y7" s="987"/>
    </row>
    <row r="8" spans="2:35" s="6" customFormat="1" ht="43.5" customHeight="1">
      <c r="B8" s="481" t="s">
        <v>633</v>
      </c>
      <c r="D8" s="612" t="s">
        <v>94</v>
      </c>
      <c r="E8" s="613" t="s">
        <v>95</v>
      </c>
      <c r="F8" s="613" t="s">
        <v>96</v>
      </c>
      <c r="G8" s="613" t="s">
        <v>97</v>
      </c>
      <c r="H8" s="613" t="s">
        <v>98</v>
      </c>
      <c r="I8" s="613" t="s">
        <v>99</v>
      </c>
      <c r="J8" s="613" t="s">
        <v>100</v>
      </c>
      <c r="K8" s="614" t="s">
        <v>101</v>
      </c>
      <c r="L8" s="330"/>
      <c r="M8" s="612" t="s">
        <v>73</v>
      </c>
      <c r="N8" s="613" t="s">
        <v>102</v>
      </c>
      <c r="O8" s="614" t="s">
        <v>72</v>
      </c>
      <c r="P8" s="599"/>
      <c r="Q8" s="615" t="s">
        <v>103</v>
      </c>
      <c r="R8" s="599"/>
      <c r="S8" s="612" t="s">
        <v>104</v>
      </c>
      <c r="T8" s="613" t="s">
        <v>84</v>
      </c>
      <c r="U8" s="613" t="s">
        <v>85</v>
      </c>
      <c r="V8" s="613" t="s">
        <v>105</v>
      </c>
      <c r="W8" s="613" t="s">
        <v>106</v>
      </c>
      <c r="X8" s="616" t="s">
        <v>107</v>
      </c>
      <c r="Y8" s="614" t="s">
        <v>645</v>
      </c>
      <c r="AA8" s="87" t="s">
        <v>108</v>
      </c>
      <c r="AB8" s="88" t="s">
        <v>109</v>
      </c>
      <c r="AC8" s="88" t="s">
        <v>110</v>
      </c>
      <c r="AD8" s="89"/>
    </row>
    <row r="9" spans="2:35" ht="12.75" customHeight="1">
      <c r="X9" s="173"/>
    </row>
    <row r="10" spans="2:35" ht="12.75" customHeight="1">
      <c r="B10" s="405" t="str">
        <f>'Comp.1'!B12</f>
        <v>ACADIA Pharmaceuticals Inc.</v>
      </c>
      <c r="D10" s="406">
        <f>'Beta Calc'!K10</f>
        <v>1906.0925500000001</v>
      </c>
      <c r="E10" s="406">
        <f>'Beta Calc'!L10</f>
        <v>0</v>
      </c>
      <c r="F10" s="406">
        <f>'Beta Calc'!M10</f>
        <v>0</v>
      </c>
      <c r="G10" s="406">
        <f>'Beta Calc'!N10</f>
        <v>0</v>
      </c>
      <c r="H10" s="406">
        <f>SUM(E10:G10)</f>
        <v>0</v>
      </c>
      <c r="I10" s="406">
        <f>SUM(D10:G10)</f>
        <v>1906.0925500000001</v>
      </c>
      <c r="J10" s="406">
        <f>'Beta Calc'!Q10</f>
        <v>298.06299999999999</v>
      </c>
      <c r="K10" s="406">
        <f>I10-J10</f>
        <v>1608.0295500000002</v>
      </c>
      <c r="M10" s="56">
        <f>IFERROR('Capital IQ Sheet-GPC'!AT13,"n/a")</f>
        <v>0</v>
      </c>
      <c r="N10" s="406">
        <f t="shared" ref="N10:O24" si="0">N$6</f>
        <v>3.883328767123289</v>
      </c>
      <c r="O10" s="214">
        <f t="shared" si="0"/>
        <v>2.6741664383561646E-2</v>
      </c>
      <c r="P10" s="215"/>
      <c r="Q10" s="216">
        <f>IFERROR(HLOOKUP($Q$6,'Equity Vol'!$B$8:$K10,ROWS('Equity Vol'!$C$8:$C10),FALSE),"n/a")</f>
        <v>0.60104330440966869</v>
      </c>
      <c r="R10" s="45"/>
      <c r="S10" s="217">
        <f>IFERROR(IF(Q10="n/a","n/a",Q10^2),"n/a")</f>
        <v>0.36125305377569367</v>
      </c>
      <c r="T10" s="217">
        <f t="shared" ref="T10:T24" si="1">IF(OR(K10="n/a",S10="n/a"),"n/a",IF(H10=0,0,IF(M10=0,(LN(K10/H10)+((O10+(S10/2))*N10))/((S10*N10)^0.5),(LN(K10/H10)+((O10-M10+(S10/2))*N10))/((S10*N10)^0.5))))</f>
        <v>0</v>
      </c>
      <c r="U10" s="218">
        <f t="shared" ref="U10:U24" si="2">IF(T10="n/a","n/a",IF(H10=0,0,T10-(S10*N10)^0.5))</f>
        <v>0</v>
      </c>
      <c r="V10" s="218">
        <f t="shared" ref="V10:V24" si="3">IF(OR(T10="n/a",S10="n/a"),"n/a",IF(H10=0,0,NORMSDIST(T10)))</f>
        <v>0</v>
      </c>
      <c r="W10" s="218">
        <f t="shared" ref="W10:W24" si="4">IF(OR(U10="n/a",S10="n/a"),"n/a",IF(H10=0,0,NORMSDIST(U10)))</f>
        <v>0</v>
      </c>
      <c r="X10" s="92">
        <f t="shared" ref="X10:X23" si="5">IF(OR(K10="n/a",S10="n/a"),"n/a",IF(M10=0,(K10*V10)-((H10*EXP(1)^(-O10*N10))*W10),(K10*(2.718^(-M10*N10))*V10)-(H10*(2.718^(-O10*N10))*W10)))</f>
        <v>0</v>
      </c>
      <c r="Y10" s="216">
        <f>IFERROR(IF(LEN(B10)&gt;0,IF(H10=0,Q10,IF(ISERROR(Q10/((K10/X10)*V10)),"n/a",Q10/((K10/X10)*V10)))),"n/a")</f>
        <v>0.60104330440966869</v>
      </c>
      <c r="AA10" s="93" t="str">
        <f>IF('MASTER PubCo Inputs'!B28=0,"",'MASTER PubCo Inputs'!B28)</f>
        <v>NasdaqGS:ACAD</v>
      </c>
      <c r="AB10" s="406">
        <f>'Beta Calc'!Z10</f>
        <v>1608.02955</v>
      </c>
      <c r="AC10" s="94">
        <f t="shared" ref="AC10:AC24" si="6">K10-AB10</f>
        <v>0</v>
      </c>
      <c r="AI10" s="95"/>
    </row>
    <row r="11" spans="2:35" ht="12.75" customHeight="1">
      <c r="B11" s="405" t="str">
        <f>'Comp.1'!B13</f>
        <v>Rhythm Pharmaceuticals, Inc.</v>
      </c>
      <c r="D11" s="406">
        <f>'Beta Calc'!K11</f>
        <v>1066.6532199999999</v>
      </c>
      <c r="E11" s="406">
        <f>'Beta Calc'!L11</f>
        <v>0</v>
      </c>
      <c r="F11" s="406">
        <f>'Beta Calc'!M11</f>
        <v>0</v>
      </c>
      <c r="G11" s="406">
        <f>'Beta Calc'!N11</f>
        <v>0</v>
      </c>
      <c r="H11" s="406">
        <f t="shared" ref="H11:H24" si="7">SUM(E11:G11)</f>
        <v>0</v>
      </c>
      <c r="I11" s="406">
        <f t="shared" ref="I11:I24" si="8">SUM(D11:G11)</f>
        <v>1066.6532199999999</v>
      </c>
      <c r="J11" s="406">
        <f>'Beta Calc'!Q11</f>
        <v>136.453</v>
      </c>
      <c r="K11" s="406">
        <f t="shared" ref="K11:K24" si="9">I11-J11</f>
        <v>930.20021999999994</v>
      </c>
      <c r="M11" s="56">
        <f>IFERROR('Capital IQ Sheet-GPC'!AT14,"n/a")</f>
        <v>0</v>
      </c>
      <c r="N11" s="406">
        <f t="shared" si="0"/>
        <v>3.883328767123289</v>
      </c>
      <c r="O11" s="214">
        <f t="shared" si="0"/>
        <v>2.6741664383561646E-2</v>
      </c>
      <c r="P11" s="215"/>
      <c r="Q11" s="216" t="str">
        <f>IFERROR(HLOOKUP($Q$6,'Equity Vol'!$B$8:$K11,ROWS('Equity Vol'!$C$8:$C11),FALSE),"n/a")</f>
        <v>NM</v>
      </c>
      <c r="R11" s="45"/>
      <c r="S11" s="217" t="str">
        <f t="shared" ref="S11:S24" si="10">IFERROR(IF(Q11="n/a","n/a",Q11^2),"n/a")</f>
        <v>n/a</v>
      </c>
      <c r="T11" s="217" t="str">
        <f t="shared" si="1"/>
        <v>n/a</v>
      </c>
      <c r="U11" s="218" t="str">
        <f t="shared" si="2"/>
        <v>n/a</v>
      </c>
      <c r="V11" s="218" t="str">
        <f t="shared" si="3"/>
        <v>n/a</v>
      </c>
      <c r="W11" s="218" t="str">
        <f t="shared" si="4"/>
        <v>n/a</v>
      </c>
      <c r="X11" s="92" t="str">
        <f t="shared" si="5"/>
        <v>n/a</v>
      </c>
      <c r="Y11" s="216" t="str">
        <f t="shared" ref="Y11:Y24" si="11">IFERROR(IF(LEN(B11)&gt;0,IF(H11=0,Q11,IF(ISERROR(Q11/((K11/X11)*V11)),"n/a",Q11/((K11/X11)*V11)))),"n/a")</f>
        <v>NM</v>
      </c>
      <c r="AA11" s="93" t="str">
        <f>IF('MASTER PubCo Inputs'!B29=0,"",'MASTER PubCo Inputs'!B29)</f>
        <v>NasdaqGM:RYTM</v>
      </c>
      <c r="AB11" s="406">
        <f>'Beta Calc'!Z11</f>
        <v>930.20021999999994</v>
      </c>
      <c r="AC11" s="94">
        <f t="shared" si="6"/>
        <v>0</v>
      </c>
      <c r="AI11" s="95"/>
    </row>
    <row r="12" spans="2:35" ht="12.75" customHeight="1">
      <c r="B12" s="405" t="str">
        <f>'Comp.1'!B14</f>
        <v>Assembly Biosciences, Inc.</v>
      </c>
      <c r="D12" s="406">
        <f>'Beta Calc'!K12</f>
        <v>805.79364999999996</v>
      </c>
      <c r="E12" s="406">
        <f>'Beta Calc'!L12</f>
        <v>0</v>
      </c>
      <c r="F12" s="406">
        <f>'Beta Calc'!M12</f>
        <v>0</v>
      </c>
      <c r="G12" s="406">
        <f>'Beta Calc'!N12</f>
        <v>0</v>
      </c>
      <c r="H12" s="406">
        <f t="shared" si="7"/>
        <v>0</v>
      </c>
      <c r="I12" s="406">
        <f t="shared" si="8"/>
        <v>805.79364999999996</v>
      </c>
      <c r="J12" s="406">
        <f>'Beta Calc'!Q12</f>
        <v>109.15898</v>
      </c>
      <c r="K12" s="406">
        <f t="shared" si="9"/>
        <v>696.63466999999991</v>
      </c>
      <c r="M12" s="56">
        <f>IFERROR('Capital IQ Sheet-GPC'!AT15,"n/a")</f>
        <v>0</v>
      </c>
      <c r="N12" s="406">
        <f t="shared" si="0"/>
        <v>3.883328767123289</v>
      </c>
      <c r="O12" s="214">
        <f t="shared" si="0"/>
        <v>2.6741664383561646E-2</v>
      </c>
      <c r="P12" s="215"/>
      <c r="Q12" s="216">
        <f>IFERROR(HLOOKUP($Q$6,'Equity Vol'!$B$8:$K12,ROWS('Equity Vol'!$C$8:$C12),FALSE),"n/a")</f>
        <v>0.65170735229916987</v>
      </c>
      <c r="R12" s="45"/>
      <c r="S12" s="217">
        <f t="shared" si="10"/>
        <v>0.4247224730407943</v>
      </c>
      <c r="T12" s="217">
        <f t="shared" si="1"/>
        <v>0</v>
      </c>
      <c r="U12" s="218">
        <f t="shared" si="2"/>
        <v>0</v>
      </c>
      <c r="V12" s="218">
        <f t="shared" si="3"/>
        <v>0</v>
      </c>
      <c r="W12" s="218">
        <f t="shared" si="4"/>
        <v>0</v>
      </c>
      <c r="X12" s="92">
        <f t="shared" si="5"/>
        <v>0</v>
      </c>
      <c r="Y12" s="216">
        <f t="shared" si="11"/>
        <v>0.65170735229916987</v>
      </c>
      <c r="AA12" s="93" t="str">
        <f>IF('MASTER PubCo Inputs'!B30=0,"",'MASTER PubCo Inputs'!B30)</f>
        <v>NasdaqCM:ASMB</v>
      </c>
      <c r="AB12" s="406">
        <f>'Beta Calc'!Z12</f>
        <v>696.63467000000003</v>
      </c>
      <c r="AC12" s="94">
        <f t="shared" si="6"/>
        <v>0</v>
      </c>
      <c r="AI12" s="95"/>
    </row>
    <row r="13" spans="2:35" ht="12.75" customHeight="1">
      <c r="B13" s="405" t="str">
        <f>'Comp.1'!B15</f>
        <v>Voyager Therapeutics, Inc.</v>
      </c>
      <c r="D13" s="406">
        <f>'Beta Calc'!K13</f>
        <v>631.55226000000005</v>
      </c>
      <c r="E13" s="406">
        <f>'Beta Calc'!L13</f>
        <v>0</v>
      </c>
      <c r="F13" s="406">
        <f>'Beta Calc'!M13</f>
        <v>0</v>
      </c>
      <c r="G13" s="406">
        <f>'Beta Calc'!N13</f>
        <v>0</v>
      </c>
      <c r="H13" s="406">
        <f t="shared" si="7"/>
        <v>0</v>
      </c>
      <c r="I13" s="406">
        <f t="shared" si="8"/>
        <v>631.55226000000005</v>
      </c>
      <c r="J13" s="406">
        <f>'Beta Calc'!Q13</f>
        <v>218.19800000000001</v>
      </c>
      <c r="K13" s="406">
        <f t="shared" si="9"/>
        <v>413.35426000000007</v>
      </c>
      <c r="M13" s="56">
        <f>IFERROR('Capital IQ Sheet-GPC'!AT16,"n/a")</f>
        <v>0</v>
      </c>
      <c r="N13" s="406">
        <f t="shared" si="0"/>
        <v>3.883328767123289</v>
      </c>
      <c r="O13" s="214">
        <f t="shared" si="0"/>
        <v>2.6741664383561646E-2</v>
      </c>
      <c r="P13" s="215"/>
      <c r="Q13" s="216">
        <f>IFERROR(HLOOKUP($Q$6,'Equity Vol'!$B$8:$K13,ROWS('Equity Vol'!$C$8:$C13),FALSE),"n/a")</f>
        <v>0.74099767206184253</v>
      </c>
      <c r="R13" s="45"/>
      <c r="S13" s="217">
        <f t="shared" si="10"/>
        <v>0.54907755000106995</v>
      </c>
      <c r="T13" s="217">
        <f t="shared" si="1"/>
        <v>0</v>
      </c>
      <c r="U13" s="218">
        <f t="shared" si="2"/>
        <v>0</v>
      </c>
      <c r="V13" s="218">
        <f t="shared" si="3"/>
        <v>0</v>
      </c>
      <c r="W13" s="218">
        <f t="shared" si="4"/>
        <v>0</v>
      </c>
      <c r="X13" s="92">
        <f t="shared" si="5"/>
        <v>0</v>
      </c>
      <c r="Y13" s="216">
        <f t="shared" si="11"/>
        <v>0.74099767206184253</v>
      </c>
      <c r="AA13" s="93" t="str">
        <f>IF('MASTER PubCo Inputs'!B31=0,"",'MASTER PubCo Inputs'!B31)</f>
        <v>NasdaqGS:VYGR</v>
      </c>
      <c r="AB13" s="406">
        <f>'Beta Calc'!Z13</f>
        <v>413.35426000000001</v>
      </c>
      <c r="AC13" s="94">
        <f t="shared" si="6"/>
        <v>0</v>
      </c>
      <c r="AI13" s="95"/>
    </row>
    <row r="14" spans="2:35" ht="12.75" customHeight="1">
      <c r="B14" s="405" t="str">
        <f>'Comp.1'!B16</f>
        <v>Zafgen, Inc.</v>
      </c>
      <c r="D14" s="406">
        <f>'Beta Calc'!K14</f>
        <v>363.76737000000003</v>
      </c>
      <c r="E14" s="406">
        <f>'Beta Calc'!L14</f>
        <v>20.16</v>
      </c>
      <c r="F14" s="406">
        <f>'Beta Calc'!M14</f>
        <v>0</v>
      </c>
      <c r="G14" s="406">
        <f>'Beta Calc'!N14</f>
        <v>0</v>
      </c>
      <c r="H14" s="406">
        <f t="shared" si="7"/>
        <v>20.16</v>
      </c>
      <c r="I14" s="406">
        <f t="shared" si="8"/>
        <v>383.92737000000005</v>
      </c>
      <c r="J14" s="406">
        <f>'Beta Calc'!Q14</f>
        <v>89.07</v>
      </c>
      <c r="K14" s="406">
        <f t="shared" si="9"/>
        <v>294.85737000000006</v>
      </c>
      <c r="M14" s="56">
        <f>IFERROR('Capital IQ Sheet-GPC'!AT17,"n/a")</f>
        <v>0</v>
      </c>
      <c r="N14" s="406">
        <f t="shared" si="0"/>
        <v>3.883328767123289</v>
      </c>
      <c r="O14" s="214">
        <f t="shared" si="0"/>
        <v>2.6741664383561646E-2</v>
      </c>
      <c r="P14" s="215"/>
      <c r="Q14" s="216">
        <f>IFERROR(HLOOKUP($Q$6,'Equity Vol'!$B$8:$K14,ROWS('Equity Vol'!$C$8:$C14),FALSE),"n/a")</f>
        <v>1.020360192619892</v>
      </c>
      <c r="R14" s="45"/>
      <c r="S14" s="217">
        <f t="shared" si="10"/>
        <v>1.0411349226833031</v>
      </c>
      <c r="T14" s="217">
        <f t="shared" si="1"/>
        <v>2.3912471205415833</v>
      </c>
      <c r="U14" s="218">
        <f t="shared" si="2"/>
        <v>0.38050865029918191</v>
      </c>
      <c r="V14" s="218">
        <f t="shared" si="3"/>
        <v>0.9916043766492455</v>
      </c>
      <c r="W14" s="218">
        <f t="shared" si="4"/>
        <v>0.64821606170387891</v>
      </c>
      <c r="X14" s="92">
        <f t="shared" si="5"/>
        <v>280.60280823578381</v>
      </c>
      <c r="Y14" s="216">
        <f t="shared" si="11"/>
        <v>0.97925342171496554</v>
      </c>
      <c r="AA14" s="93" t="str">
        <f>IF('MASTER PubCo Inputs'!B32=0,"",'MASTER PubCo Inputs'!B32)</f>
        <v>NasdaqGS:ZFGN</v>
      </c>
      <c r="AB14" s="406">
        <f>'Beta Calc'!Z14</f>
        <v>294.85737</v>
      </c>
      <c r="AC14" s="94">
        <f t="shared" si="6"/>
        <v>0</v>
      </c>
      <c r="AI14" s="95"/>
    </row>
    <row r="15" spans="2:35" ht="12.75" customHeight="1">
      <c r="B15" s="405" t="str">
        <f>'Comp.1'!B17</f>
        <v>Seres Therapeutics, Inc.</v>
      </c>
      <c r="D15" s="406">
        <f>'Beta Calc'!K15</f>
        <v>349.61295000000001</v>
      </c>
      <c r="E15" s="406">
        <f>'Beta Calc'!L15</f>
        <v>0</v>
      </c>
      <c r="F15" s="406">
        <f>'Beta Calc'!M15</f>
        <v>0</v>
      </c>
      <c r="G15" s="406">
        <f>'Beta Calc'!N15</f>
        <v>0</v>
      </c>
      <c r="H15" s="406">
        <f t="shared" si="7"/>
        <v>0</v>
      </c>
      <c r="I15" s="406">
        <f t="shared" si="8"/>
        <v>349.61295000000001</v>
      </c>
      <c r="J15" s="406">
        <f>'Beta Calc'!Q15</f>
        <v>122.194</v>
      </c>
      <c r="K15" s="406">
        <f t="shared" si="9"/>
        <v>227.41895</v>
      </c>
      <c r="M15" s="56">
        <f>IFERROR('Capital IQ Sheet-GPC'!AT18,"n/a")</f>
        <v>0</v>
      </c>
      <c r="N15" s="406">
        <f t="shared" si="0"/>
        <v>3.883328767123289</v>
      </c>
      <c r="O15" s="214">
        <f t="shared" si="0"/>
        <v>2.6741664383561646E-2</v>
      </c>
      <c r="P15" s="215"/>
      <c r="Q15" s="216">
        <f>IFERROR(HLOOKUP($Q$6,'Equity Vol'!$B$8:$K15,ROWS('Equity Vol'!$C$8:$C15),FALSE),"n/a")</f>
        <v>0.95360103062997992</v>
      </c>
      <c r="R15" s="45"/>
      <c r="S15" s="217">
        <f t="shared" si="10"/>
        <v>0.90935492561855991</v>
      </c>
      <c r="T15" s="217">
        <f t="shared" si="1"/>
        <v>0</v>
      </c>
      <c r="U15" s="218">
        <f t="shared" si="2"/>
        <v>0</v>
      </c>
      <c r="V15" s="218">
        <f t="shared" si="3"/>
        <v>0</v>
      </c>
      <c r="W15" s="218">
        <f t="shared" si="4"/>
        <v>0</v>
      </c>
      <c r="X15" s="92">
        <f t="shared" si="5"/>
        <v>0</v>
      </c>
      <c r="Y15" s="216">
        <f t="shared" si="11"/>
        <v>0.95360103062997992</v>
      </c>
      <c r="AA15" s="93" t="str">
        <f>IF('MASTER PubCo Inputs'!B33=0,"",'MASTER PubCo Inputs'!B33)</f>
        <v>NasdaqGS:MCRB</v>
      </c>
      <c r="AB15" s="406">
        <f>'Beta Calc'!Z15</f>
        <v>227.41893999999999</v>
      </c>
      <c r="AC15" s="94">
        <f t="shared" si="6"/>
        <v>1.0000000003174137E-5</v>
      </c>
      <c r="AI15" s="95"/>
    </row>
    <row r="16" spans="2:35" ht="12.75" customHeight="1">
      <c r="B16" s="405" t="str">
        <f>'Comp.1'!B18</f>
        <v>CohBar, Inc.</v>
      </c>
      <c r="D16" s="406">
        <f>'Beta Calc'!K16</f>
        <v>211.81835000000001</v>
      </c>
      <c r="E16" s="406">
        <f>'Beta Calc'!L16</f>
        <v>1.40126</v>
      </c>
      <c r="F16" s="406">
        <f>'Beta Calc'!M16</f>
        <v>0</v>
      </c>
      <c r="G16" s="406">
        <f>'Beta Calc'!N16</f>
        <v>0</v>
      </c>
      <c r="H16" s="406">
        <f t="shared" si="7"/>
        <v>1.40126</v>
      </c>
      <c r="I16" s="406">
        <f t="shared" si="8"/>
        <v>213.21961000000002</v>
      </c>
      <c r="J16" s="406">
        <f>'Beta Calc'!Q16</f>
        <v>8.4566599999999994</v>
      </c>
      <c r="K16" s="406">
        <f t="shared" si="9"/>
        <v>204.76295000000002</v>
      </c>
      <c r="M16" s="56">
        <f>IFERROR('Capital IQ Sheet-GPC'!AT19,"n/a")</f>
        <v>0</v>
      </c>
      <c r="N16" s="406">
        <f t="shared" si="0"/>
        <v>3.883328767123289</v>
      </c>
      <c r="O16" s="214">
        <f t="shared" si="0"/>
        <v>2.6741664383561646E-2</v>
      </c>
      <c r="P16" s="215"/>
      <c r="Q16" s="216">
        <f>IFERROR(HLOOKUP($Q$6,'Equity Vol'!$B$8:$K16,ROWS('Equity Vol'!$C$8:$C16),FALSE),"n/a")</f>
        <v>0.89467871227668438</v>
      </c>
      <c r="R16" s="45"/>
      <c r="S16" s="217">
        <f t="shared" si="10"/>
        <v>0.80044999820106622</v>
      </c>
      <c r="T16" s="217">
        <f t="shared" si="1"/>
        <v>3.7675978538565924</v>
      </c>
      <c r="U16" s="218">
        <f t="shared" si="2"/>
        <v>2.0045293626578005</v>
      </c>
      <c r="V16" s="218">
        <f t="shared" si="3"/>
        <v>0.99991758702999578</v>
      </c>
      <c r="W16" s="218">
        <f t="shared" si="4"/>
        <v>0.97749330759445319</v>
      </c>
      <c r="X16" s="92">
        <f t="shared" si="5"/>
        <v>203.51145723124003</v>
      </c>
      <c r="Y16" s="216">
        <f t="shared" si="11"/>
        <v>0.88928380482239511</v>
      </c>
      <c r="AA16" s="93" t="str">
        <f>IF('MASTER PubCo Inputs'!B34=0,"",'MASTER PubCo Inputs'!B34)</f>
        <v>TSXV:COB.U</v>
      </c>
      <c r="AB16" s="406">
        <f>'Beta Calc'!Z16</f>
        <v>204.76295999999999</v>
      </c>
      <c r="AC16" s="94">
        <f t="shared" si="6"/>
        <v>-9.9999999747524271E-6</v>
      </c>
      <c r="AI16" s="95"/>
    </row>
    <row r="17" spans="2:35" ht="12.75" customHeight="1">
      <c r="B17" s="405" t="str">
        <f>'Comp.1'!B19</f>
        <v>VIVUS, Inc.</v>
      </c>
      <c r="D17" s="406">
        <f>'Beta Calc'!K17</f>
        <v>74.768140000000002</v>
      </c>
      <c r="E17" s="406">
        <f>'Beta Calc'!L17</f>
        <v>236.50700000000001</v>
      </c>
      <c r="F17" s="406">
        <f>'Beta Calc'!M17</f>
        <v>0</v>
      </c>
      <c r="G17" s="406">
        <f>'Beta Calc'!N17</f>
        <v>0</v>
      </c>
      <c r="H17" s="406">
        <f t="shared" si="7"/>
        <v>236.50700000000001</v>
      </c>
      <c r="I17" s="406">
        <f t="shared" si="8"/>
        <v>311.27514000000002</v>
      </c>
      <c r="J17" s="406">
        <f>'Beta Calc'!Q17</f>
        <v>209.125</v>
      </c>
      <c r="K17" s="406">
        <f t="shared" si="9"/>
        <v>102.15014000000002</v>
      </c>
      <c r="M17" s="56">
        <f>IFERROR('Capital IQ Sheet-GPC'!AT20,"n/a")</f>
        <v>0</v>
      </c>
      <c r="N17" s="406">
        <f t="shared" si="0"/>
        <v>3.883328767123289</v>
      </c>
      <c r="O17" s="214">
        <f t="shared" si="0"/>
        <v>2.6741664383561646E-2</v>
      </c>
      <c r="P17" s="215"/>
      <c r="Q17" s="216">
        <f>IFERROR(HLOOKUP($Q$6,'Equity Vol'!$B$8:$K17,ROWS('Equity Vol'!$C$8:$C17),FALSE),"n/a")</f>
        <v>0.65477238914194269</v>
      </c>
      <c r="R17" s="45"/>
      <c r="S17" s="217">
        <f t="shared" si="10"/>
        <v>0.42872688158264766</v>
      </c>
      <c r="T17" s="217">
        <f t="shared" si="1"/>
        <v>7.4987126338039181E-2</v>
      </c>
      <c r="U17" s="218">
        <f t="shared" si="2"/>
        <v>-1.2153180439565525</v>
      </c>
      <c r="V17" s="218">
        <f t="shared" si="3"/>
        <v>0.52988752262664174</v>
      </c>
      <c r="W17" s="218">
        <f t="shared" si="4"/>
        <v>0.1121224062606745</v>
      </c>
      <c r="X17" s="92">
        <f t="shared" si="5"/>
        <v>30.225967444629681</v>
      </c>
      <c r="Y17" s="216">
        <f t="shared" si="11"/>
        <v>0.36563512373625734</v>
      </c>
      <c r="AA17" s="93" t="str">
        <f>IF('MASTER PubCo Inputs'!B35=0,"",'MASTER PubCo Inputs'!B35)</f>
        <v>NasdaqGS:VVUS</v>
      </c>
      <c r="AB17" s="406">
        <f>'Beta Calc'!Z17</f>
        <v>102.15013999999999</v>
      </c>
      <c r="AC17" s="94">
        <f t="shared" si="6"/>
        <v>0</v>
      </c>
      <c r="AI17" s="95"/>
    </row>
    <row r="18" spans="2:35" ht="12.75" customHeight="1">
      <c r="B18" s="405" t="str">
        <f>'Comp.1'!B20</f>
        <v>Anavex Life Sciences Corp.</v>
      </c>
      <c r="D18" s="406">
        <f>'Beta Calc'!K18</f>
        <v>117.00936</v>
      </c>
      <c r="E18" s="406">
        <f>'Beta Calc'!L18</f>
        <v>0</v>
      </c>
      <c r="F18" s="406">
        <f>'Beta Calc'!M18</f>
        <v>0</v>
      </c>
      <c r="G18" s="406">
        <f>'Beta Calc'!N18</f>
        <v>0</v>
      </c>
      <c r="H18" s="406">
        <f t="shared" si="7"/>
        <v>0</v>
      </c>
      <c r="I18" s="406">
        <f t="shared" si="8"/>
        <v>117.00936</v>
      </c>
      <c r="J18" s="406">
        <f>'Beta Calc'!Q18</f>
        <v>25.656580000000002</v>
      </c>
      <c r="K18" s="406">
        <f t="shared" si="9"/>
        <v>91.352779999999996</v>
      </c>
      <c r="M18" s="56">
        <f>IFERROR('Capital IQ Sheet-GPC'!AT21,"n/a")</f>
        <v>0</v>
      </c>
      <c r="N18" s="406">
        <f t="shared" si="0"/>
        <v>3.883328767123289</v>
      </c>
      <c r="O18" s="214">
        <f t="shared" si="0"/>
        <v>2.6741664383561646E-2</v>
      </c>
      <c r="P18" s="215"/>
      <c r="Q18" s="216">
        <f>IFERROR(HLOOKUP($Q$6,'Equity Vol'!$B$8:$K18,ROWS('Equity Vol'!$C$8:$C18),FALSE),"n/a")</f>
        <v>1.026754180763048</v>
      </c>
      <c r="R18" s="45"/>
      <c r="S18" s="217">
        <f t="shared" si="10"/>
        <v>1.0542241477143979</v>
      </c>
      <c r="T18" s="217">
        <f t="shared" si="1"/>
        <v>0</v>
      </c>
      <c r="U18" s="218">
        <f t="shared" si="2"/>
        <v>0</v>
      </c>
      <c r="V18" s="218">
        <f t="shared" si="3"/>
        <v>0</v>
      </c>
      <c r="W18" s="218">
        <f t="shared" si="4"/>
        <v>0</v>
      </c>
      <c r="X18" s="92">
        <f t="shared" si="5"/>
        <v>0</v>
      </c>
      <c r="Y18" s="216">
        <f t="shared" si="11"/>
        <v>1.026754180763048</v>
      </c>
      <c r="AA18" s="93" t="str">
        <f>IF('MASTER PubCo Inputs'!B36=0,"",'MASTER PubCo Inputs'!B36)</f>
        <v>NasdaqCM:AVXL</v>
      </c>
      <c r="AB18" s="406">
        <f>'Beta Calc'!Z18</f>
        <v>91.352779999999996</v>
      </c>
      <c r="AC18" s="94">
        <f t="shared" si="6"/>
        <v>0</v>
      </c>
      <c r="AI18" s="95"/>
    </row>
    <row r="19" spans="2:35" ht="12.75" customHeight="1">
      <c r="B19" s="405" t="str">
        <f>'Comp.1'!B21</f>
        <v>OptiBiotix Health plc</v>
      </c>
      <c r="D19" s="406">
        <f>'Beta Calc'!K19</f>
        <v>72.915899999999993</v>
      </c>
      <c r="E19" s="406">
        <f>'Beta Calc'!L19</f>
        <v>0</v>
      </c>
      <c r="F19" s="406">
        <f>'Beta Calc'!M19</f>
        <v>0</v>
      </c>
      <c r="G19" s="406">
        <f>'Beta Calc'!N19</f>
        <v>0</v>
      </c>
      <c r="H19" s="406">
        <f t="shared" si="7"/>
        <v>0</v>
      </c>
      <c r="I19" s="406">
        <f t="shared" si="8"/>
        <v>72.915899999999993</v>
      </c>
      <c r="J19" s="406">
        <f>'Beta Calc'!Q19</f>
        <v>1.6849400000000001</v>
      </c>
      <c r="K19" s="406">
        <f t="shared" si="9"/>
        <v>71.230959999999996</v>
      </c>
      <c r="M19" s="56">
        <f>IFERROR('Capital IQ Sheet-GPC'!AT22,"n/a")</f>
        <v>0</v>
      </c>
      <c r="N19" s="406">
        <f t="shared" si="0"/>
        <v>3.883328767123289</v>
      </c>
      <c r="O19" s="214">
        <f t="shared" si="0"/>
        <v>2.6741664383561646E-2</v>
      </c>
      <c r="P19" s="215"/>
      <c r="Q19" s="216">
        <f>IFERROR(HLOOKUP($Q$6,'Equity Vol'!$B$8:$K19,ROWS('Equity Vol'!$C$8:$C19),FALSE),"n/a")</f>
        <v>0.57731598641262194</v>
      </c>
      <c r="R19" s="45"/>
      <c r="S19" s="217">
        <f t="shared" si="10"/>
        <v>0.33329374816757867</v>
      </c>
      <c r="T19" s="217">
        <f t="shared" si="1"/>
        <v>0</v>
      </c>
      <c r="U19" s="218">
        <f t="shared" si="2"/>
        <v>0</v>
      </c>
      <c r="V19" s="218">
        <f t="shared" si="3"/>
        <v>0</v>
      </c>
      <c r="W19" s="218">
        <f t="shared" si="4"/>
        <v>0</v>
      </c>
      <c r="X19" s="92">
        <f t="shared" si="5"/>
        <v>0</v>
      </c>
      <c r="Y19" s="216">
        <f t="shared" si="11"/>
        <v>0.57731598641262194</v>
      </c>
      <c r="AA19" s="93" t="str">
        <f>IF('MASTER PubCo Inputs'!B37=0,"",'MASTER PubCo Inputs'!B37)</f>
        <v>AIM:OPTI</v>
      </c>
      <c r="AB19" s="406">
        <f>'Beta Calc'!Z19</f>
        <v>71.269909999999996</v>
      </c>
      <c r="AC19" s="94">
        <f t="shared" si="6"/>
        <v>-3.8949999999999818E-2</v>
      </c>
      <c r="AI19" s="95"/>
    </row>
    <row r="20" spans="2:35" ht="12.75" customHeight="1">
      <c r="B20" s="405" t="str">
        <f>'Comp.1'!B22</f>
        <v>Soleno Therapeutics, Inc.</v>
      </c>
      <c r="D20" s="406">
        <f>'Beta Calc'!K20</f>
        <v>46.258000000000003</v>
      </c>
      <c r="E20" s="406">
        <f>'Beta Calc'!L20</f>
        <v>0</v>
      </c>
      <c r="F20" s="406">
        <f>'Beta Calc'!M20</f>
        <v>0</v>
      </c>
      <c r="G20" s="406">
        <f>'Beta Calc'!N20</f>
        <v>0</v>
      </c>
      <c r="H20" s="406">
        <f t="shared" si="7"/>
        <v>0</v>
      </c>
      <c r="I20" s="406">
        <f t="shared" si="8"/>
        <v>46.258000000000003</v>
      </c>
      <c r="J20" s="406">
        <f>'Beta Calc'!Q20</f>
        <v>14.866</v>
      </c>
      <c r="K20" s="406">
        <f t="shared" si="9"/>
        <v>31.392000000000003</v>
      </c>
      <c r="M20" s="56">
        <f>IFERROR('Capital IQ Sheet-GPC'!AT23,"n/a")</f>
        <v>0</v>
      </c>
      <c r="N20" s="406">
        <f t="shared" si="0"/>
        <v>3.883328767123289</v>
      </c>
      <c r="O20" s="214">
        <f t="shared" si="0"/>
        <v>2.6741664383561646E-2</v>
      </c>
      <c r="P20" s="215"/>
      <c r="Q20" s="216">
        <f>IFERROR(HLOOKUP($Q$6,'Equity Vol'!$B$8:$K20,ROWS('Equity Vol'!$C$8:$C20),FALSE),"n/a")</f>
        <v>1.1508768139771337</v>
      </c>
      <c r="R20" s="45"/>
      <c r="S20" s="217">
        <f t="shared" si="10"/>
        <v>1.3245174409501581</v>
      </c>
      <c r="T20" s="217">
        <f t="shared" si="1"/>
        <v>0</v>
      </c>
      <c r="U20" s="218">
        <f t="shared" si="2"/>
        <v>0</v>
      </c>
      <c r="V20" s="218">
        <f t="shared" si="3"/>
        <v>0</v>
      </c>
      <c r="W20" s="218">
        <f t="shared" si="4"/>
        <v>0</v>
      </c>
      <c r="X20" s="92">
        <f t="shared" si="5"/>
        <v>0</v>
      </c>
      <c r="Y20" s="216">
        <f t="shared" si="11"/>
        <v>1.1508768139771337</v>
      </c>
      <c r="AA20" s="93" t="str">
        <f>IF('MASTER PubCo Inputs'!B38=0,"",'MASTER PubCo Inputs'!B38)</f>
        <v>NasdaqCM:SLNO</v>
      </c>
      <c r="AB20" s="406">
        <f>'Beta Calc'!Z20</f>
        <v>31.391999999999999</v>
      </c>
      <c r="AC20" s="94">
        <f t="shared" si="6"/>
        <v>0</v>
      </c>
      <c r="AI20" s="95"/>
    </row>
    <row r="21" spans="2:35" ht="12.75" customHeight="1">
      <c r="B21" s="405" t="str">
        <f>'Comp.1'!B23</f>
        <v>Synthetic Biologics, Inc.</v>
      </c>
      <c r="D21" s="406">
        <f>'Beta Calc'!K21</f>
        <v>30.72748</v>
      </c>
      <c r="E21" s="406">
        <f>'Beta Calc'!L21</f>
        <v>0</v>
      </c>
      <c r="F21" s="406">
        <f>'Beta Calc'!M21</f>
        <v>12.112</v>
      </c>
      <c r="G21" s="406">
        <f>'Beta Calc'!N21</f>
        <v>-1.923</v>
      </c>
      <c r="H21" s="406">
        <f t="shared" si="7"/>
        <v>10.189</v>
      </c>
      <c r="I21" s="406">
        <f t="shared" si="8"/>
        <v>40.91648</v>
      </c>
      <c r="J21" s="406">
        <f>'Beta Calc'!Q21</f>
        <v>11.037000000000001</v>
      </c>
      <c r="K21" s="406">
        <f t="shared" si="9"/>
        <v>29.879480000000001</v>
      </c>
      <c r="M21" s="56">
        <f>IFERROR('Capital IQ Sheet-GPC'!AT24,"n/a")</f>
        <v>0</v>
      </c>
      <c r="N21" s="406">
        <f t="shared" si="0"/>
        <v>3.883328767123289</v>
      </c>
      <c r="O21" s="214">
        <f t="shared" si="0"/>
        <v>2.6741664383561646E-2</v>
      </c>
      <c r="P21" s="215"/>
      <c r="Q21" s="216">
        <f>IFERROR(HLOOKUP($Q$6,'Equity Vol'!$B$8:$K21,ROWS('Equity Vol'!$C$8:$C21),FALSE),"n/a")</f>
        <v>0.84691152261417069</v>
      </c>
      <c r="R21" s="45"/>
      <c r="S21" s="217">
        <f t="shared" si="10"/>
        <v>0.71725912713665296</v>
      </c>
      <c r="T21" s="217">
        <f t="shared" si="1"/>
        <v>1.54133161848603</v>
      </c>
      <c r="U21" s="218">
        <f t="shared" si="2"/>
        <v>-0.12760606815523734</v>
      </c>
      <c r="V21" s="218">
        <f t="shared" si="3"/>
        <v>0.93838195132740188</v>
      </c>
      <c r="W21" s="218">
        <f t="shared" si="4"/>
        <v>0.4492303643514311</v>
      </c>
      <c r="X21" s="92">
        <f t="shared" si="5"/>
        <v>23.912636410995596</v>
      </c>
      <c r="Y21" s="216">
        <f t="shared" si="11"/>
        <v>0.72229202720131835</v>
      </c>
      <c r="AA21" s="93" t="str">
        <f>IF('MASTER PubCo Inputs'!B39=0,"",'MASTER PubCo Inputs'!B39)</f>
        <v>AMEX:SYN</v>
      </c>
      <c r="AB21" s="406">
        <f>'Beta Calc'!Z21</f>
        <v>29.879480000000001</v>
      </c>
      <c r="AC21" s="94">
        <f t="shared" si="6"/>
        <v>0</v>
      </c>
      <c r="AI21" s="95"/>
    </row>
    <row r="22" spans="2:35" ht="12.75" customHeight="1">
      <c r="B22" s="405" t="str">
        <f>'Comp.1'!B24</f>
        <v>Nexus BioPharma, Inc.</v>
      </c>
      <c r="D22" s="406">
        <f>'Beta Calc'!K22</f>
        <v>3.8515700000000002</v>
      </c>
      <c r="E22" s="406">
        <f>'Beta Calc'!L22</f>
        <v>0.36752000000000001</v>
      </c>
      <c r="F22" s="406">
        <f>'Beta Calc'!M22</f>
        <v>0</v>
      </c>
      <c r="G22" s="406">
        <f>'Beta Calc'!N22</f>
        <v>0</v>
      </c>
      <c r="H22" s="406">
        <f t="shared" si="7"/>
        <v>0.36752000000000001</v>
      </c>
      <c r="I22" s="406">
        <f t="shared" si="8"/>
        <v>4.2190900000000005</v>
      </c>
      <c r="J22" s="406">
        <f>'Beta Calc'!Q22</f>
        <v>8.43E-3</v>
      </c>
      <c r="K22" s="406">
        <f t="shared" si="9"/>
        <v>4.2106600000000007</v>
      </c>
      <c r="M22" s="56">
        <f>IFERROR('Capital IQ Sheet-GPC'!AT25,"n/a")</f>
        <v>0</v>
      </c>
      <c r="N22" s="406">
        <f t="shared" si="0"/>
        <v>3.883328767123289</v>
      </c>
      <c r="O22" s="214">
        <f t="shared" si="0"/>
        <v>2.6741664383561646E-2</v>
      </c>
      <c r="P22" s="215"/>
      <c r="Q22" s="216" t="str">
        <f>IFERROR(HLOOKUP($Q$6,'Equity Vol'!$B$8:$K22,ROWS('Equity Vol'!$C$8:$C22),FALSE),"n/a")</f>
        <v>NM</v>
      </c>
      <c r="R22" s="45"/>
      <c r="S22" s="217" t="str">
        <f t="shared" si="10"/>
        <v>n/a</v>
      </c>
      <c r="T22" s="217" t="str">
        <f t="shared" si="1"/>
        <v>n/a</v>
      </c>
      <c r="U22" s="218" t="str">
        <f t="shared" si="2"/>
        <v>n/a</v>
      </c>
      <c r="V22" s="218" t="str">
        <f t="shared" si="3"/>
        <v>n/a</v>
      </c>
      <c r="W22" s="218" t="str">
        <f t="shared" si="4"/>
        <v>n/a</v>
      </c>
      <c r="X22" s="92" t="str">
        <f t="shared" si="5"/>
        <v>n/a</v>
      </c>
      <c r="Y22" s="216" t="str">
        <f t="shared" si="11"/>
        <v>n/a</v>
      </c>
      <c r="AA22" s="93" t="str">
        <f>IF('MASTER PubCo Inputs'!B40=0,"",'MASTER PubCo Inputs'!B40)</f>
        <v>OTCPK:NEXS</v>
      </c>
      <c r="AB22" s="406">
        <f>'Beta Calc'!Z22</f>
        <v>4.2106599999999998</v>
      </c>
      <c r="AC22" s="94">
        <f t="shared" si="6"/>
        <v>0</v>
      </c>
      <c r="AI22" s="95"/>
    </row>
    <row r="23" spans="2:35" ht="12.75" customHeight="1">
      <c r="B23" s="405" t="str">
        <f>'Comp.1'!B25</f>
        <v>Ritter Pharmaceuticals, Inc.</v>
      </c>
      <c r="D23" s="406">
        <f>'Beta Calc'!K23</f>
        <v>12.90047</v>
      </c>
      <c r="E23" s="406">
        <f>'Beta Calc'!L23</f>
        <v>0</v>
      </c>
      <c r="F23" s="406">
        <f>'Beta Calc'!M23</f>
        <v>4.9489799999999997</v>
      </c>
      <c r="G23" s="406">
        <f>'Beta Calc'!N23</f>
        <v>0</v>
      </c>
      <c r="H23" s="406">
        <f t="shared" si="7"/>
        <v>4.9489799999999997</v>
      </c>
      <c r="I23" s="406">
        <f t="shared" si="8"/>
        <v>17.849450000000001</v>
      </c>
      <c r="J23" s="406">
        <f>'Beta Calc'!Q23</f>
        <v>18.91704</v>
      </c>
      <c r="K23" s="406">
        <f t="shared" si="9"/>
        <v>-1.0675899999999992</v>
      </c>
      <c r="M23" s="56">
        <f>IFERROR('Capital IQ Sheet-GPC'!AT26,"n/a")</f>
        <v>0</v>
      </c>
      <c r="N23" s="406">
        <f t="shared" si="0"/>
        <v>3.883328767123289</v>
      </c>
      <c r="O23" s="214">
        <f t="shared" si="0"/>
        <v>2.6741664383561646E-2</v>
      </c>
      <c r="P23" s="215"/>
      <c r="Q23" s="216">
        <f>IFERROR(HLOOKUP($Q$6,'Equity Vol'!$B$8:$K23,ROWS('Equity Vol'!$C$8:$C23),FALSE),"n/a")</f>
        <v>0.88587043357810058</v>
      </c>
      <c r="R23" s="45"/>
      <c r="S23" s="217">
        <f t="shared" si="10"/>
        <v>0.78476642508785188</v>
      </c>
      <c r="T23" s="217" t="e">
        <f t="shared" si="1"/>
        <v>#NUM!</v>
      </c>
      <c r="U23" s="218" t="e">
        <f t="shared" si="2"/>
        <v>#NUM!</v>
      </c>
      <c r="V23" s="218" t="e">
        <f t="shared" si="3"/>
        <v>#NUM!</v>
      </c>
      <c r="W23" s="218" t="e">
        <f t="shared" si="4"/>
        <v>#NUM!</v>
      </c>
      <c r="X23" s="92" t="e">
        <f t="shared" si="5"/>
        <v>#NUM!</v>
      </c>
      <c r="Y23" s="216" t="str">
        <f t="shared" si="11"/>
        <v>n/a</v>
      </c>
      <c r="AA23" s="93" t="str">
        <f>IF('MASTER PubCo Inputs'!B41=0,"",'MASTER PubCo Inputs'!B41)</f>
        <v>NasdaqCM:RTTR</v>
      </c>
      <c r="AB23" s="406">
        <f>'Beta Calc'!Z23</f>
        <v>-1.06759</v>
      </c>
      <c r="AC23" s="94">
        <f t="shared" si="6"/>
        <v>0</v>
      </c>
      <c r="AI23" s="95"/>
    </row>
    <row r="24" spans="2:35" ht="12.75" customHeight="1">
      <c r="B24" s="405">
        <f>'Comp.1'!B26</f>
        <v>0</v>
      </c>
      <c r="D24" s="406" t="str">
        <f>'Beta Calc'!K24</f>
        <v>(Invalid Identifier)</v>
      </c>
      <c r="E24" s="406" t="str">
        <f>'Beta Calc'!L24</f>
        <v>(Invalid Identifier)</v>
      </c>
      <c r="F24" s="406" t="str">
        <f>'Beta Calc'!M24</f>
        <v>(Invalid Identifier)</v>
      </c>
      <c r="G24" s="406" t="str">
        <f>'Beta Calc'!N24</f>
        <v>(Invalid Identifier)</v>
      </c>
      <c r="H24" s="406">
        <f t="shared" si="7"/>
        <v>0</v>
      </c>
      <c r="I24" s="406">
        <f t="shared" si="8"/>
        <v>0</v>
      </c>
      <c r="J24" s="406" t="str">
        <f>'Beta Calc'!Q24</f>
        <v>(Invalid Identifier)</v>
      </c>
      <c r="K24" s="406" t="e">
        <f t="shared" si="9"/>
        <v>#VALUE!</v>
      </c>
      <c r="M24" s="56" t="str">
        <f>IFERROR('Capital IQ Sheet-GPC'!AT27,"n/a")</f>
        <v>n/a</v>
      </c>
      <c r="N24" s="406">
        <f t="shared" si="0"/>
        <v>3.883328767123289</v>
      </c>
      <c r="O24" s="214">
        <f t="shared" si="0"/>
        <v>2.6741664383561646E-2</v>
      </c>
      <c r="P24" s="215"/>
      <c r="Q24" s="216">
        <f>IFERROR(HLOOKUP($Q$6,'Equity Vol'!$B$8:$K23,ROWS('Equity Vol'!$C$8:$C23),FALSE),"n/a")</f>
        <v>0.88587043357810058</v>
      </c>
      <c r="R24" s="45"/>
      <c r="S24" s="217">
        <f t="shared" si="10"/>
        <v>0.78476642508785188</v>
      </c>
      <c r="T24" s="217" t="e">
        <f t="shared" si="1"/>
        <v>#VALUE!</v>
      </c>
      <c r="U24" s="218" t="e">
        <f t="shared" si="2"/>
        <v>#VALUE!</v>
      </c>
      <c r="V24" s="218" t="e">
        <f t="shared" si="3"/>
        <v>#VALUE!</v>
      </c>
      <c r="W24" s="218" t="e">
        <f t="shared" si="4"/>
        <v>#VALUE!</v>
      </c>
      <c r="X24" s="92" t="str">
        <f>IFERROR(IF(OR(K24="n/a",S24="n/a"),"n/a",IF(M24=0,(K24*V24)-((H24*EXP(1)^(-O24*N24))*W24),(K24*(2.718^(-M24*N24))*V24)-(H24*(2.718^(-O24*N24))*W24))),"n/a")</f>
        <v>n/a</v>
      </c>
      <c r="Y24" s="216">
        <f t="shared" si="11"/>
        <v>0.88587043357810058</v>
      </c>
      <c r="AA24" s="93" t="str">
        <f>IF('MASTER PubCo Inputs'!B42=0,"",'MASTER PubCo Inputs'!B42)</f>
        <v>(Invalid Identifier)</v>
      </c>
      <c r="AB24" s="406" t="str">
        <f>'Beta Calc'!Z24</f>
        <v>(Invalid Identifier)</v>
      </c>
      <c r="AC24" s="94" t="e">
        <f t="shared" si="6"/>
        <v>#VALUE!</v>
      </c>
      <c r="AI24" s="95"/>
    </row>
    <row r="25" spans="2:35" ht="12.75" hidden="1" customHeight="1" outlineLevel="1">
      <c r="D25" s="406"/>
      <c r="E25" s="406"/>
      <c r="F25" s="406"/>
      <c r="G25" s="406"/>
      <c r="H25" s="406"/>
      <c r="I25" s="406"/>
      <c r="J25" s="406"/>
      <c r="K25" s="406"/>
      <c r="M25" s="56"/>
      <c r="N25" s="406"/>
      <c r="O25" s="214"/>
      <c r="P25" s="215"/>
      <c r="Q25" s="216"/>
      <c r="R25" s="45"/>
      <c r="S25" s="217"/>
      <c r="T25" s="217"/>
      <c r="U25" s="218"/>
      <c r="V25" s="218"/>
      <c r="W25" s="218"/>
      <c r="X25" s="406"/>
      <c r="Y25" s="216"/>
      <c r="AA25" s="93"/>
      <c r="AB25" s="406"/>
      <c r="AC25" s="94"/>
      <c r="AI25" s="95"/>
    </row>
    <row r="26" spans="2:35" ht="12.75" hidden="1" customHeight="1" outlineLevel="1">
      <c r="D26" s="406"/>
      <c r="E26" s="406"/>
      <c r="F26" s="406"/>
      <c r="G26" s="406"/>
      <c r="H26" s="406"/>
      <c r="I26" s="406"/>
      <c r="J26" s="406"/>
      <c r="K26" s="406"/>
      <c r="M26" s="56"/>
      <c r="N26" s="406"/>
      <c r="O26" s="214"/>
      <c r="P26" s="215"/>
      <c r="Q26" s="216"/>
      <c r="R26" s="45"/>
      <c r="S26" s="217"/>
      <c r="T26" s="217"/>
      <c r="U26" s="218"/>
      <c r="V26" s="218"/>
      <c r="W26" s="218"/>
      <c r="X26" s="406"/>
      <c r="Y26" s="216"/>
      <c r="AA26" s="93"/>
      <c r="AB26" s="406"/>
      <c r="AC26" s="94"/>
      <c r="AI26" s="95"/>
    </row>
    <row r="27" spans="2:35" ht="12.75" hidden="1" customHeight="1" outlineLevel="1">
      <c r="D27" s="406"/>
      <c r="E27" s="406"/>
      <c r="F27" s="406"/>
      <c r="G27" s="406"/>
      <c r="H27" s="406"/>
      <c r="I27" s="406"/>
      <c r="J27" s="406"/>
      <c r="K27" s="406"/>
      <c r="M27" s="56"/>
      <c r="N27" s="406"/>
      <c r="O27" s="214"/>
      <c r="P27" s="215"/>
      <c r="Q27" s="216"/>
      <c r="R27" s="45"/>
      <c r="S27" s="217"/>
      <c r="T27" s="217"/>
      <c r="U27" s="218"/>
      <c r="V27" s="218"/>
      <c r="W27" s="218"/>
      <c r="X27" s="406"/>
      <c r="Y27" s="216"/>
      <c r="AA27" s="93"/>
      <c r="AB27" s="406"/>
      <c r="AC27" s="94"/>
      <c r="AI27" s="95"/>
    </row>
    <row r="28" spans="2:35" ht="12.75" hidden="1" customHeight="1" outlineLevel="1">
      <c r="D28" s="406"/>
      <c r="E28" s="406"/>
      <c r="F28" s="406"/>
      <c r="G28" s="406"/>
      <c r="H28" s="406"/>
      <c r="I28" s="406"/>
      <c r="J28" s="406"/>
      <c r="K28" s="406"/>
      <c r="M28" s="56"/>
      <c r="N28" s="406"/>
      <c r="O28" s="214"/>
      <c r="P28" s="215"/>
      <c r="Q28" s="216"/>
      <c r="R28" s="45"/>
      <c r="S28" s="217"/>
      <c r="T28" s="217"/>
      <c r="U28" s="218"/>
      <c r="V28" s="218"/>
      <c r="W28" s="218"/>
      <c r="X28" s="406"/>
      <c r="Y28" s="216"/>
      <c r="AA28" s="93"/>
      <c r="AB28" s="406"/>
      <c r="AC28" s="94"/>
      <c r="AI28" s="95"/>
    </row>
    <row r="29" spans="2:35" ht="12.75" hidden="1" customHeight="1" outlineLevel="1">
      <c r="D29" s="406"/>
      <c r="E29" s="406"/>
      <c r="F29" s="406"/>
      <c r="G29" s="406"/>
      <c r="H29" s="406"/>
      <c r="I29" s="406"/>
      <c r="J29" s="406"/>
      <c r="K29" s="406"/>
      <c r="M29" s="56"/>
      <c r="N29" s="406"/>
      <c r="O29" s="214"/>
      <c r="P29" s="215"/>
      <c r="Q29" s="216"/>
      <c r="R29" s="45"/>
      <c r="S29" s="217"/>
      <c r="T29" s="217"/>
      <c r="U29" s="218"/>
      <c r="V29" s="218"/>
      <c r="W29" s="218"/>
      <c r="X29" s="406"/>
      <c r="Y29" s="216"/>
      <c r="AA29" s="93"/>
      <c r="AB29" s="406"/>
      <c r="AC29" s="94"/>
      <c r="AI29" s="95"/>
    </row>
    <row r="30" spans="2:35" ht="12.75" hidden="1" customHeight="1" outlineLevel="1">
      <c r="D30" s="406"/>
      <c r="E30" s="406"/>
      <c r="F30" s="406"/>
      <c r="G30" s="406"/>
      <c r="H30" s="406"/>
      <c r="I30" s="406"/>
      <c r="J30" s="406"/>
      <c r="K30" s="406"/>
      <c r="M30" s="56"/>
      <c r="N30" s="406"/>
      <c r="O30" s="214"/>
      <c r="P30" s="215"/>
      <c r="Q30" s="216"/>
      <c r="R30" s="45"/>
      <c r="S30" s="217"/>
      <c r="T30" s="217"/>
      <c r="U30" s="218"/>
      <c r="V30" s="218"/>
      <c r="W30" s="218"/>
      <c r="X30" s="406"/>
      <c r="Y30" s="216"/>
      <c r="AA30" s="93"/>
      <c r="AB30" s="406"/>
      <c r="AC30" s="94"/>
      <c r="AI30" s="95"/>
    </row>
    <row r="31" spans="2:35" ht="12.75" hidden="1" customHeight="1" outlineLevel="1">
      <c r="D31" s="406"/>
      <c r="E31" s="406"/>
      <c r="F31" s="406"/>
      <c r="G31" s="406"/>
      <c r="H31" s="406"/>
      <c r="I31" s="406"/>
      <c r="J31" s="406"/>
      <c r="K31" s="406"/>
      <c r="M31" s="56"/>
      <c r="N31" s="406"/>
      <c r="O31" s="214"/>
      <c r="P31" s="215"/>
      <c r="Q31" s="216"/>
      <c r="R31" s="45"/>
      <c r="S31" s="217"/>
      <c r="T31" s="217"/>
      <c r="U31" s="218"/>
      <c r="V31" s="218"/>
      <c r="W31" s="218"/>
      <c r="X31" s="406"/>
      <c r="Y31" s="216"/>
      <c r="AA31" s="93"/>
      <c r="AB31" s="406"/>
      <c r="AC31" s="94"/>
      <c r="AI31" s="95"/>
    </row>
    <row r="32" spans="2:35" ht="12.75" hidden="1" customHeight="1" outlineLevel="1">
      <c r="D32" s="406"/>
      <c r="E32" s="406"/>
      <c r="F32" s="406"/>
      <c r="G32" s="406"/>
      <c r="H32" s="406"/>
      <c r="I32" s="406"/>
      <c r="J32" s="406"/>
      <c r="K32" s="406"/>
      <c r="M32" s="56"/>
      <c r="N32" s="406"/>
      <c r="O32" s="214"/>
      <c r="P32" s="215"/>
      <c r="Q32" s="216"/>
      <c r="R32" s="45"/>
      <c r="S32" s="217"/>
      <c r="T32" s="217"/>
      <c r="U32" s="218"/>
      <c r="V32" s="218"/>
      <c r="W32" s="218"/>
      <c r="X32" s="406"/>
      <c r="Y32" s="216"/>
      <c r="AA32" s="93"/>
      <c r="AB32" s="406"/>
      <c r="AC32" s="94"/>
      <c r="AI32" s="95"/>
    </row>
    <row r="33" spans="2:35" ht="12.75" hidden="1" customHeight="1" outlineLevel="1">
      <c r="D33" s="406"/>
      <c r="E33" s="406"/>
      <c r="F33" s="406"/>
      <c r="G33" s="406"/>
      <c r="H33" s="406"/>
      <c r="I33" s="406"/>
      <c r="J33" s="406"/>
      <c r="K33" s="406"/>
      <c r="M33" s="56"/>
      <c r="N33" s="406"/>
      <c r="O33" s="214"/>
      <c r="P33" s="215"/>
      <c r="Q33" s="216"/>
      <c r="R33" s="45"/>
      <c r="S33" s="217"/>
      <c r="T33" s="217"/>
      <c r="U33" s="218"/>
      <c r="V33" s="218"/>
      <c r="W33" s="218"/>
      <c r="X33" s="406"/>
      <c r="Y33" s="216"/>
      <c r="AA33" s="93"/>
      <c r="AB33" s="406"/>
      <c r="AC33" s="94"/>
      <c r="AI33" s="95"/>
    </row>
    <row r="34" spans="2:35" ht="12.75" hidden="1" customHeight="1" outlineLevel="1">
      <c r="D34" s="406"/>
      <c r="E34" s="406"/>
      <c r="F34" s="406"/>
      <c r="G34" s="406"/>
      <c r="H34" s="406"/>
      <c r="I34" s="406"/>
      <c r="J34" s="406"/>
      <c r="K34" s="406"/>
      <c r="M34" s="56"/>
      <c r="N34" s="406"/>
      <c r="O34" s="214"/>
      <c r="P34" s="215"/>
      <c r="Q34" s="216"/>
      <c r="R34" s="45"/>
      <c r="S34" s="217"/>
      <c r="T34" s="217"/>
      <c r="U34" s="218"/>
      <c r="V34" s="218"/>
      <c r="W34" s="218"/>
      <c r="X34" s="406"/>
      <c r="Y34" s="216"/>
      <c r="AA34" s="93"/>
      <c r="AB34" s="406"/>
      <c r="AC34" s="94"/>
      <c r="AI34" s="95"/>
    </row>
    <row r="35" spans="2:35" ht="12.75" hidden="1" customHeight="1" outlineLevel="1">
      <c r="D35" s="406"/>
      <c r="E35" s="406"/>
      <c r="F35" s="406"/>
      <c r="G35" s="406"/>
      <c r="H35" s="406"/>
      <c r="I35" s="406"/>
      <c r="J35" s="406"/>
      <c r="K35" s="406"/>
      <c r="M35" s="56"/>
      <c r="N35" s="406"/>
      <c r="O35" s="214"/>
      <c r="P35" s="215"/>
      <c r="Q35" s="216"/>
      <c r="R35" s="45"/>
      <c r="S35" s="217"/>
      <c r="T35" s="217"/>
      <c r="U35" s="218"/>
      <c r="V35" s="218"/>
      <c r="W35" s="218"/>
      <c r="X35" s="406"/>
      <c r="Y35" s="216"/>
      <c r="AA35" s="93"/>
      <c r="AB35" s="406"/>
      <c r="AC35" s="94"/>
      <c r="AI35" s="95"/>
    </row>
    <row r="36" spans="2:35" ht="12.75" hidden="1" customHeight="1" outlineLevel="1">
      <c r="D36" s="406"/>
      <c r="E36" s="406"/>
      <c r="F36" s="406"/>
      <c r="G36" s="406"/>
      <c r="H36" s="406"/>
      <c r="I36" s="406"/>
      <c r="J36" s="406"/>
      <c r="K36" s="406"/>
      <c r="M36" s="56"/>
      <c r="N36" s="406"/>
      <c r="O36" s="214"/>
      <c r="P36" s="215"/>
      <c r="Q36" s="216"/>
      <c r="R36" s="45"/>
      <c r="S36" s="217"/>
      <c r="T36" s="217"/>
      <c r="U36" s="218"/>
      <c r="V36" s="218"/>
      <c r="W36" s="218"/>
      <c r="X36" s="406"/>
      <c r="Y36" s="216"/>
      <c r="AA36" s="93"/>
      <c r="AB36" s="406"/>
      <c r="AC36" s="94"/>
      <c r="AI36" s="95"/>
    </row>
    <row r="37" spans="2:35" ht="12.75" hidden="1" customHeight="1" outlineLevel="1">
      <c r="D37" s="406"/>
      <c r="E37" s="406"/>
      <c r="F37" s="406"/>
      <c r="G37" s="406"/>
      <c r="H37" s="406"/>
      <c r="I37" s="406"/>
      <c r="J37" s="406"/>
      <c r="K37" s="406"/>
      <c r="M37" s="56"/>
      <c r="N37" s="406"/>
      <c r="O37" s="214"/>
      <c r="P37" s="215"/>
      <c r="Q37" s="216"/>
      <c r="R37" s="45"/>
      <c r="S37" s="217"/>
      <c r="T37" s="217"/>
      <c r="U37" s="218"/>
      <c r="V37" s="218"/>
      <c r="W37" s="218"/>
      <c r="X37" s="406"/>
      <c r="Y37" s="216"/>
      <c r="AA37" s="93"/>
      <c r="AB37" s="406"/>
      <c r="AC37" s="94"/>
      <c r="AI37" s="95"/>
    </row>
    <row r="38" spans="2:35" ht="12.75" hidden="1" customHeight="1" outlineLevel="1">
      <c r="D38" s="406"/>
      <c r="E38" s="406"/>
      <c r="F38" s="406"/>
      <c r="G38" s="406"/>
      <c r="H38" s="406"/>
      <c r="I38" s="406"/>
      <c r="J38" s="406"/>
      <c r="K38" s="406"/>
      <c r="M38" s="56"/>
      <c r="N38" s="406"/>
      <c r="O38" s="214"/>
      <c r="P38" s="215"/>
      <c r="Q38" s="216"/>
      <c r="R38" s="45"/>
      <c r="S38" s="217"/>
      <c r="T38" s="217"/>
      <c r="U38" s="218"/>
      <c r="V38" s="218"/>
      <c r="W38" s="218"/>
      <c r="X38" s="406"/>
      <c r="Y38" s="216"/>
      <c r="AA38" s="93"/>
      <c r="AB38" s="406"/>
      <c r="AC38" s="94"/>
      <c r="AI38" s="95"/>
    </row>
    <row r="39" spans="2:35" ht="12.75" hidden="1" customHeight="1" outlineLevel="1">
      <c r="D39" s="406"/>
      <c r="E39" s="406"/>
      <c r="F39" s="406"/>
      <c r="G39" s="406"/>
      <c r="H39" s="406"/>
      <c r="I39" s="406"/>
      <c r="J39" s="406"/>
      <c r="K39" s="406"/>
      <c r="M39" s="56"/>
      <c r="N39" s="406"/>
      <c r="O39" s="214"/>
      <c r="P39" s="215"/>
      <c r="Q39" s="216"/>
      <c r="R39" s="45"/>
      <c r="S39" s="217"/>
      <c r="T39" s="217"/>
      <c r="U39" s="218"/>
      <c r="V39" s="218"/>
      <c r="W39" s="218"/>
      <c r="X39" s="406"/>
      <c r="Y39" s="216"/>
      <c r="AA39" s="93"/>
      <c r="AB39" s="406"/>
      <c r="AC39" s="94"/>
      <c r="AI39" s="95"/>
    </row>
    <row r="40" spans="2:35" ht="12.75" customHeight="1" collapsed="1">
      <c r="D40" s="406"/>
      <c r="E40" s="406"/>
      <c r="F40" s="406"/>
      <c r="G40" s="406"/>
      <c r="H40" s="406"/>
      <c r="I40" s="406"/>
      <c r="J40" s="406"/>
      <c r="K40" s="406"/>
      <c r="R40" s="21"/>
    </row>
    <row r="41" spans="2:35" ht="12.75" customHeight="1">
      <c r="B41" s="766" t="s">
        <v>111</v>
      </c>
      <c r="C41" s="782"/>
      <c r="D41" s="781">
        <f>MAX(D10:D39)</f>
        <v>1906.0925500000001</v>
      </c>
      <c r="E41" s="781">
        <f t="shared" ref="E41:K41" si="12">MAX(E10:E39)</f>
        <v>236.50700000000001</v>
      </c>
      <c r="F41" s="781">
        <f t="shared" si="12"/>
        <v>12.112</v>
      </c>
      <c r="G41" s="781">
        <f t="shared" si="12"/>
        <v>0</v>
      </c>
      <c r="H41" s="781">
        <f t="shared" si="12"/>
        <v>236.50700000000001</v>
      </c>
      <c r="I41" s="781">
        <f t="shared" si="12"/>
        <v>1906.0925500000001</v>
      </c>
      <c r="J41" s="781">
        <f t="shared" si="12"/>
        <v>298.06299999999999</v>
      </c>
      <c r="K41" s="781" t="e">
        <f t="shared" si="12"/>
        <v>#VALUE!</v>
      </c>
      <c r="L41" s="782"/>
      <c r="M41" s="786">
        <f>MAX(M10:M39)</f>
        <v>0</v>
      </c>
      <c r="N41" s="781">
        <f>MAX(N10:N39)</f>
        <v>3.883328767123289</v>
      </c>
      <c r="O41" s="788">
        <f>MAX(O10:O39)</f>
        <v>2.6741664383561646E-2</v>
      </c>
      <c r="P41" s="789"/>
      <c r="Q41" s="790">
        <f>MAX(Q10:Q39)</f>
        <v>1.1508768139771337</v>
      </c>
      <c r="R41" s="791"/>
      <c r="S41" s="792">
        <f>MAX(S10:S40)</f>
        <v>1.3245174409501581</v>
      </c>
      <c r="T41" s="792" t="e">
        <f>MAX(T10:T40)</f>
        <v>#NUM!</v>
      </c>
      <c r="U41" s="793" t="e">
        <f>MAX(U10:U40)</f>
        <v>#NUM!</v>
      </c>
      <c r="V41" s="793" t="e">
        <f>MAX(V10:V40)</f>
        <v>#NUM!</v>
      </c>
      <c r="W41" s="793" t="e">
        <f>MAX(W10:W40)</f>
        <v>#NUM!</v>
      </c>
      <c r="X41" s="781" t="e">
        <f>MAX(X10:X39)</f>
        <v>#NUM!</v>
      </c>
      <c r="Y41" s="794">
        <f>MAX(Y10:Y39)</f>
        <v>1.1508768139771337</v>
      </c>
      <c r="AB41" s="825">
        <f>+'Asset Vol_DLOM'!Y48</f>
        <v>0.81299999999999994</v>
      </c>
      <c r="AC41" s="826" t="s">
        <v>1216</v>
      </c>
      <c r="AD41" s="826"/>
      <c r="AE41" s="826"/>
      <c r="AF41" s="803"/>
    </row>
    <row r="42" spans="2:35" ht="12.75" customHeight="1">
      <c r="B42" s="366" t="s">
        <v>115</v>
      </c>
      <c r="C42" s="79"/>
      <c r="D42" s="101">
        <f t="shared" ref="D42:K42" si="13">QUARTILE(D10:D39,3)</f>
        <v>564.60603750000007</v>
      </c>
      <c r="E42" s="101">
        <f t="shared" si="13"/>
        <v>0.27564</v>
      </c>
      <c r="F42" s="101">
        <f t="shared" si="13"/>
        <v>0</v>
      </c>
      <c r="G42" s="101">
        <f t="shared" si="13"/>
        <v>0</v>
      </c>
      <c r="H42" s="101">
        <f t="shared" si="13"/>
        <v>3.1751199999999997</v>
      </c>
      <c r="I42" s="101">
        <f t="shared" si="13"/>
        <v>507.73981500000002</v>
      </c>
      <c r="J42" s="101">
        <f t="shared" si="13"/>
        <v>132.88825</v>
      </c>
      <c r="K42" s="101" t="e">
        <f t="shared" si="13"/>
        <v>#VALUE!</v>
      </c>
      <c r="L42" s="79"/>
      <c r="M42" s="143">
        <f>QUARTILE(M10:M39,3)</f>
        <v>0</v>
      </c>
      <c r="N42" s="101">
        <f>QUARTILE(N10:N39,3)</f>
        <v>3.883328767123289</v>
      </c>
      <c r="O42" s="219">
        <f>QUARTILE(O10:O39,3)</f>
        <v>2.6741664383561646E-2</v>
      </c>
      <c r="P42" s="220"/>
      <c r="Q42" s="221">
        <f>QUARTILE(Q10:Q39,3)</f>
        <v>0.95360103062997992</v>
      </c>
      <c r="R42" s="222"/>
      <c r="S42" s="223">
        <f>QUARTILE(S10:S40,3)</f>
        <v>0.90935492561855991</v>
      </c>
      <c r="T42" s="223" t="e">
        <f>QUARTILE(T10:T40,3)</f>
        <v>#NUM!</v>
      </c>
      <c r="U42" s="224" t="e">
        <f>QUARTILE(U10:U40,3)</f>
        <v>#NUM!</v>
      </c>
      <c r="V42" s="224" t="e">
        <f>QUARTILE(V10:V40,3)</f>
        <v>#NUM!</v>
      </c>
      <c r="W42" s="224" t="e">
        <f>QUARTILE(W10:W40,3)</f>
        <v>#NUM!</v>
      </c>
      <c r="X42" s="101" t="e">
        <f>QUARTILE(X10:X39,3)</f>
        <v>#NUM!</v>
      </c>
      <c r="Y42" s="225">
        <f>QUARTILE(Y10:Y39,3)</f>
        <v>0.96001412840122635</v>
      </c>
      <c r="AB42" s="827">
        <f>+'Asset Vol_DLOM'!Y50</f>
        <v>0.81299999999999994</v>
      </c>
      <c r="AC42" s="16" t="s">
        <v>1217</v>
      </c>
      <c r="AD42" s="16"/>
      <c r="AE42" s="16"/>
      <c r="AF42" s="204"/>
    </row>
    <row r="43" spans="2:35" ht="12.75" customHeight="1">
      <c r="B43" s="366" t="s">
        <v>113</v>
      </c>
      <c r="C43" s="79"/>
      <c r="D43" s="101">
        <f>AVERAGE(D10:D39)</f>
        <v>406.69437642857145</v>
      </c>
      <c r="E43" s="101">
        <f t="shared" ref="E43:K43" si="14">AVERAGE(E10:E39)</f>
        <v>18.459698571428572</v>
      </c>
      <c r="F43" s="101">
        <f t="shared" si="14"/>
        <v>1.2186414285714287</v>
      </c>
      <c r="G43" s="101">
        <f t="shared" si="14"/>
        <v>-0.13735714285714287</v>
      </c>
      <c r="H43" s="101">
        <f t="shared" si="14"/>
        <v>18.238250666666669</v>
      </c>
      <c r="I43" s="101">
        <f t="shared" si="14"/>
        <v>397.81966866666664</v>
      </c>
      <c r="J43" s="101">
        <f t="shared" si="14"/>
        <v>90.206330714285741</v>
      </c>
      <c r="K43" s="101" t="e">
        <f t="shared" si="14"/>
        <v>#VALUE!</v>
      </c>
      <c r="L43" s="79"/>
      <c r="M43" s="143">
        <f>AVERAGE(M10:M39)</f>
        <v>0</v>
      </c>
      <c r="N43" s="101">
        <f>AVERAGE(N10:N39)</f>
        <v>3.8833287671232886</v>
      </c>
      <c r="O43" s="219">
        <f>AVERAGE(O10:O39)</f>
        <v>2.6741664383561639E-2</v>
      </c>
      <c r="P43" s="220"/>
      <c r="Q43" s="221">
        <f>AVERAGE(Q10:Q39)</f>
        <v>0.83775077110479657</v>
      </c>
      <c r="R43" s="222"/>
      <c r="S43" s="223">
        <f>AVERAGE(S10:S40)</f>
        <v>0.73181131684981748</v>
      </c>
      <c r="T43" s="223" t="e">
        <f>AVERAGE(T10:T40)</f>
        <v>#NUM!</v>
      </c>
      <c r="U43" s="224" t="e">
        <f>AVERAGE(U10:U40)</f>
        <v>#NUM!</v>
      </c>
      <c r="V43" s="224" t="e">
        <f>AVERAGE(V10:V40)</f>
        <v>#NUM!</v>
      </c>
      <c r="W43" s="224" t="e">
        <f>AVERAGE(W10:W40)</f>
        <v>#NUM!</v>
      </c>
      <c r="X43" s="101" t="e">
        <f>AVERAGE(X10:X39)</f>
        <v>#NUM!</v>
      </c>
      <c r="Y43" s="225">
        <f>AVERAGE(Y10:Y39)</f>
        <v>0.79538592930054175</v>
      </c>
      <c r="AB43" s="827">
        <f>+'Asset Vol_DLOM'!Y44</f>
        <v>0.8134340528199715</v>
      </c>
      <c r="AC43" s="16" t="s">
        <v>1215</v>
      </c>
      <c r="AD43" s="16"/>
      <c r="AE43" s="16"/>
      <c r="AF43" s="828" t="s">
        <v>1352</v>
      </c>
    </row>
    <row r="44" spans="2:35" ht="12.75" customHeight="1">
      <c r="B44" s="366" t="s">
        <v>44</v>
      </c>
      <c r="C44" s="79"/>
      <c r="D44" s="101">
        <f>MEDIAN(D10:D39)</f>
        <v>164.41385500000001</v>
      </c>
      <c r="E44" s="101">
        <f t="shared" ref="E44:K44" si="15">MEDIAN(E10:E39)</f>
        <v>0</v>
      </c>
      <c r="F44" s="101">
        <f t="shared" si="15"/>
        <v>0</v>
      </c>
      <c r="G44" s="101">
        <f t="shared" si="15"/>
        <v>0</v>
      </c>
      <c r="H44" s="101">
        <f t="shared" si="15"/>
        <v>0</v>
      </c>
      <c r="I44" s="101">
        <f t="shared" si="15"/>
        <v>213.21961000000002</v>
      </c>
      <c r="J44" s="101">
        <f t="shared" si="15"/>
        <v>57.363289999999992</v>
      </c>
      <c r="K44" s="101" t="e">
        <f t="shared" si="15"/>
        <v>#VALUE!</v>
      </c>
      <c r="L44" s="79"/>
      <c r="M44" s="143">
        <f>MEDIAN(M10:M39)</f>
        <v>0</v>
      </c>
      <c r="N44" s="101">
        <f>MEDIAN(N10:N39)</f>
        <v>3.883328767123289</v>
      </c>
      <c r="O44" s="219">
        <f>MEDIAN(O10:O39)</f>
        <v>2.6741664383561646E-2</v>
      </c>
      <c r="P44" s="220"/>
      <c r="Q44" s="221">
        <f>MEDIAN(Q10:Q39)</f>
        <v>0.88587043357810058</v>
      </c>
      <c r="R44" s="222"/>
      <c r="S44" s="223">
        <f>MEDIAN(S10:S40)</f>
        <v>0.78476642508785188</v>
      </c>
      <c r="T44" s="223" t="e">
        <f>MEDIAN(T10:T40)</f>
        <v>#NUM!</v>
      </c>
      <c r="U44" s="224" t="e">
        <f>MEDIAN(U10:U40)</f>
        <v>#NUM!</v>
      </c>
      <c r="V44" s="224" t="e">
        <f>MEDIAN(V10:V40)</f>
        <v>#NUM!</v>
      </c>
      <c r="W44" s="224" t="e">
        <f>MEDIAN(W10:W40)</f>
        <v>#NUM!</v>
      </c>
      <c r="X44" s="101" t="e">
        <f>MEDIAN(X10:X39)</f>
        <v>#NUM!</v>
      </c>
      <c r="Y44" s="225">
        <f>MEDIAN(Y10:Y39)</f>
        <v>0.8134340528199715</v>
      </c>
      <c r="AB44" s="829" t="str">
        <f>IF(ROUND(AB41,3)=ROUND(AB43,3),"","Update Volatility - OPM")</f>
        <v/>
      </c>
      <c r="AC44" s="16"/>
      <c r="AD44" s="16"/>
      <c r="AE44" s="16"/>
      <c r="AF44" s="204"/>
    </row>
    <row r="45" spans="2:35" ht="12.75" customHeight="1">
      <c r="B45" s="366" t="s">
        <v>114</v>
      </c>
      <c r="C45" s="79"/>
      <c r="D45" s="101">
        <f>QUARTILE(D10:D39,1)</f>
        <v>52.922474999999999</v>
      </c>
      <c r="E45" s="101">
        <f t="shared" ref="E45:K45" si="16">QUARTILE(E10:E39,1)</f>
        <v>0</v>
      </c>
      <c r="F45" s="101">
        <f t="shared" si="16"/>
        <v>0</v>
      </c>
      <c r="G45" s="101">
        <f t="shared" si="16"/>
        <v>0</v>
      </c>
      <c r="H45" s="101">
        <f t="shared" si="16"/>
        <v>0</v>
      </c>
      <c r="I45" s="101">
        <f t="shared" si="16"/>
        <v>43.587240000000001</v>
      </c>
      <c r="J45" s="101">
        <f t="shared" si="16"/>
        <v>11.994250000000001</v>
      </c>
      <c r="K45" s="101" t="e">
        <f t="shared" si="16"/>
        <v>#VALUE!</v>
      </c>
      <c r="L45" s="79"/>
      <c r="M45" s="143">
        <f>QUARTILE(M10:M39,1)</f>
        <v>0</v>
      </c>
      <c r="N45" s="101">
        <f>QUARTILE(N10:N39,1)</f>
        <v>3.883328767123289</v>
      </c>
      <c r="O45" s="219">
        <f>QUARTILE(O10:O39,1)</f>
        <v>2.6741664383561646E-2</v>
      </c>
      <c r="P45" s="220"/>
      <c r="Q45" s="221">
        <f>QUARTILE(Q10:Q39,1)</f>
        <v>0.65477238914194269</v>
      </c>
      <c r="R45" s="222"/>
      <c r="S45" s="223">
        <f>QUARTILE(S10:S40,1)</f>
        <v>0.42872688158264766</v>
      </c>
      <c r="T45" s="223" t="e">
        <f>QUARTILE(T10:T40,1)</f>
        <v>#NUM!</v>
      </c>
      <c r="U45" s="224" t="e">
        <f>QUARTILE(U10:U40,1)</f>
        <v>#NUM!</v>
      </c>
      <c r="V45" s="224" t="e">
        <f>QUARTILE(V10:V40,1)</f>
        <v>#NUM!</v>
      </c>
      <c r="W45" s="224" t="e">
        <f>QUARTILE(W10:W40,1)</f>
        <v>#NUM!</v>
      </c>
      <c r="X45" s="101" t="e">
        <f>QUARTILE(X10:X39,1)</f>
        <v>#NUM!</v>
      </c>
      <c r="Y45" s="225">
        <f>QUARTILE(Y10:Y39,1)</f>
        <v>0.6390413403267946</v>
      </c>
      <c r="AB45" s="830" t="str">
        <f>IF(ROUND(AB42,3)=ROUND(AB43,3),"","Update Volatility - DLOM")</f>
        <v/>
      </c>
      <c r="AC45" s="5"/>
      <c r="AD45" s="5"/>
      <c r="AE45" s="5"/>
      <c r="AF45" s="448"/>
    </row>
    <row r="46" spans="2:35" ht="12.75" customHeight="1">
      <c r="B46" s="103" t="s">
        <v>112</v>
      </c>
      <c r="C46" s="72"/>
      <c r="D46" s="75">
        <f t="shared" ref="D46:K46" si="17">MIN(D10:D39)</f>
        <v>3.8515700000000002</v>
      </c>
      <c r="E46" s="75">
        <f t="shared" si="17"/>
        <v>0</v>
      </c>
      <c r="F46" s="75">
        <f t="shared" si="17"/>
        <v>0</v>
      </c>
      <c r="G46" s="75">
        <f t="shared" si="17"/>
        <v>-1.923</v>
      </c>
      <c r="H46" s="75">
        <f t="shared" si="17"/>
        <v>0</v>
      </c>
      <c r="I46" s="75">
        <f t="shared" si="17"/>
        <v>0</v>
      </c>
      <c r="J46" s="75">
        <f t="shared" si="17"/>
        <v>8.43E-3</v>
      </c>
      <c r="K46" s="75" t="e">
        <f t="shared" si="17"/>
        <v>#VALUE!</v>
      </c>
      <c r="L46" s="72"/>
      <c r="M46" s="145">
        <f>MIN(M10:M39)</f>
        <v>0</v>
      </c>
      <c r="N46" s="75">
        <f>MIN(N10:N39)</f>
        <v>3.883328767123289</v>
      </c>
      <c r="O46" s="795">
        <f>MIN(O10:O39)</f>
        <v>2.6741664383561646E-2</v>
      </c>
      <c r="P46" s="796"/>
      <c r="Q46" s="797">
        <f>MIN(Q10:Q39)</f>
        <v>0.57731598641262194</v>
      </c>
      <c r="R46" s="798"/>
      <c r="S46" s="799">
        <f>MIN(S10:S40)</f>
        <v>0.33329374816757867</v>
      </c>
      <c r="T46" s="799" t="e">
        <f>MIN(T10:T40)</f>
        <v>#NUM!</v>
      </c>
      <c r="U46" s="800" t="e">
        <f>MIN(U10:U40)</f>
        <v>#NUM!</v>
      </c>
      <c r="V46" s="800" t="e">
        <f>MIN(V10:V40)</f>
        <v>#NUM!</v>
      </c>
      <c r="W46" s="800" t="e">
        <f>MIN(W10:W40)</f>
        <v>#NUM!</v>
      </c>
      <c r="X46" s="75" t="e">
        <f>MIN(X10:X39)</f>
        <v>#NUM!</v>
      </c>
      <c r="Y46" s="801">
        <f>MIN(Y10:Y39)</f>
        <v>0.36563512373625734</v>
      </c>
      <c r="AB46" s="515" t="str">
        <f>IF(K48&lt;&gt;K50,"Check","")</f>
        <v/>
      </c>
    </row>
    <row r="47" spans="2:35" ht="12.75" customHeight="1">
      <c r="AB47" s="958" t="str">
        <f>IF(AND(AB44=$AF$45,AB46=$AF$45,AB45=$AF$45),"","Check")</f>
        <v/>
      </c>
    </row>
    <row r="48" spans="2:35" ht="12.75" hidden="1" customHeight="1" outlineLevel="1">
      <c r="B48" s="226" t="str">
        <f>B2</f>
        <v>Kallyope, Inc.</v>
      </c>
      <c r="C48" s="480" t="s">
        <v>209</v>
      </c>
      <c r="D48" s="1753">
        <f>'OPM 1_OIP'!D9/1000</f>
        <v>208.41936584352476</v>
      </c>
      <c r="E48" s="1754">
        <f>'Hist BS'!G55/1000</f>
        <v>0</v>
      </c>
      <c r="F48" s="227"/>
      <c r="G48" s="227"/>
      <c r="H48" s="228">
        <f>SUM(E48:G48)</f>
        <v>0</v>
      </c>
      <c r="I48" s="228">
        <f>SUM(D48:G48)</f>
        <v>208.41936584352476</v>
      </c>
      <c r="J48" s="227"/>
      <c r="K48" s="228">
        <f>I48-J48</f>
        <v>208.41936584352476</v>
      </c>
      <c r="L48" s="227"/>
      <c r="M48" s="229">
        <f>'PWERM Waterfall n Allocation'!D13</f>
        <v>0</v>
      </c>
      <c r="N48" s="230">
        <f>N$6</f>
        <v>3.883328767123289</v>
      </c>
      <c r="O48" s="231">
        <f>O$6</f>
        <v>2.6741664383561646E-2</v>
      </c>
      <c r="P48" s="232"/>
      <c r="Q48" s="233">
        <v>0.81299999999999994</v>
      </c>
      <c r="R48" s="227"/>
      <c r="S48" s="234">
        <f>IF(Q48="n/a","n/a",Q48^2)</f>
        <v>0.66096899999999992</v>
      </c>
      <c r="T48" s="234">
        <f>IF(OR(K48="n/a",S48="n/a"),"n/a",IF(H48=0,0,IF(M48=0,(LN(K48/H48)+((O48+(S48/2))*N48))/((S48*N48)^0.5),(LN(K48/H48)+((O48-M48+(S48/2))*N48))/((S48*N48)^0.5))))</f>
        <v>0</v>
      </c>
      <c r="U48" s="235">
        <f>IF(T48="n/a","n/a",IF(H48=0,0,T48-(S48*N48)^0.5))</f>
        <v>0</v>
      </c>
      <c r="V48" s="235">
        <f>IF(OR(T48="n/a",S48="n/a"),"n/a",IF(H48=0,0,NORMSDIST(T48)))</f>
        <v>0</v>
      </c>
      <c r="W48" s="235">
        <f>IF(OR(U48="n/a",S48="n/a"),"n/a",IF(H48=0,0,NORMSDIST(U48)))</f>
        <v>0</v>
      </c>
      <c r="X48" s="235">
        <f>IF(OR(K48="n/a",S48="n/a"),"n/a",IF(M48=0,(K48*V48)-((H48*EXP(1)^(-O48*N48))*W48),(K48*(2.718^(-M48*N48))*V48)-(H48*(2.718^(-O48*N48))*W48)))</f>
        <v>0</v>
      </c>
      <c r="Y48" s="236">
        <f>IF(LEN(B48)&gt;0,IF(H48=0,Q48,IF(ISERROR(Q48/((K48/X48)*V48)),"n/a",Q48/((K48/X48)*V48))))</f>
        <v>0.81299999999999994</v>
      </c>
    </row>
    <row r="49" spans="1:25" ht="12.75" customHeight="1" collapsed="1">
      <c r="C49" s="78"/>
      <c r="D49" s="78"/>
      <c r="E49" s="78"/>
      <c r="F49" s="78"/>
      <c r="G49" s="78"/>
      <c r="H49" s="78"/>
      <c r="I49" s="78"/>
      <c r="J49" s="78"/>
    </row>
    <row r="50" spans="1:25" ht="12.75" customHeight="1">
      <c r="B50" s="226" t="str">
        <f>B48</f>
        <v>Kallyope, Inc.</v>
      </c>
      <c r="C50" s="480" t="s">
        <v>209</v>
      </c>
      <c r="D50" s="1753">
        <f>D48</f>
        <v>208.41936584352476</v>
      </c>
      <c r="E50" s="1754">
        <f>PWERM!B131/1000+E48</f>
        <v>64.359807910807731</v>
      </c>
      <c r="F50" s="227"/>
      <c r="G50" s="227"/>
      <c r="H50" s="228">
        <v>0</v>
      </c>
      <c r="I50" s="230">
        <f>I48</f>
        <v>208.41936584352476</v>
      </c>
      <c r="J50" s="227"/>
      <c r="K50" s="237">
        <f>K48</f>
        <v>208.41936584352476</v>
      </c>
      <c r="L50" s="227"/>
      <c r="M50" s="238">
        <f>M48</f>
        <v>0</v>
      </c>
      <c r="N50" s="230">
        <f>N$6</f>
        <v>3.883328767123289</v>
      </c>
      <c r="O50" s="231">
        <f>O$6</f>
        <v>2.6741664383561646E-2</v>
      </c>
      <c r="P50" s="232"/>
      <c r="Q50" s="233">
        <v>0.81299999999999994</v>
      </c>
      <c r="R50" s="227"/>
      <c r="S50" s="234">
        <f>IF(Q50="n/a","n/a",Q50^2)</f>
        <v>0.66096899999999992</v>
      </c>
      <c r="T50" s="234">
        <f>IF(OR(K50="n/a",S50="n/a"),"n/a",IF(H50=0,0,IF(M50=0,(LN(K50/H50)+((O50+(S50/2))*N50))/((S50*N50)^0.5),(LN(K50/H50)+((O50-M50+(S50/2))*N50))/((S50*N50)^0.5))))</f>
        <v>0</v>
      </c>
      <c r="U50" s="235">
        <f>IF(T50="n/a","n/a",IF(H50=0,0,T50-(S50*N50)^0.5))</f>
        <v>0</v>
      </c>
      <c r="V50" s="235">
        <f>IF(OR(T50="n/a",S50="n/a"),"n/a",IF(H50=0,0,NORMSDIST(T50)))</f>
        <v>0</v>
      </c>
      <c r="W50" s="235">
        <f>IF(OR(U50="n/a",S50="n/a"),"n/a",IF(H50=0,0,NORMSDIST(U50)))</f>
        <v>0</v>
      </c>
      <c r="X50" s="235">
        <f>IF(OR(K50="n/a",S50="n/a"),"n/a",IF(M50=0,(K50*V50)-((H50*EXP(1)^(-O50*N50))*W50),(K50*(2.718^(-M50*N50))*V50)-(H50*(2.718^(-O50*N50))*W50)))</f>
        <v>0</v>
      </c>
      <c r="Y50" s="236">
        <f>IF(LEN(B50)&gt;0,IF(H50=0,Q50,IF(ISERROR(Q50/((K50/X50)*V50)),"n/a",Q50/((K50/X50)*V50))))</f>
        <v>0.81299999999999994</v>
      </c>
    </row>
    <row r="51" spans="1:25" ht="12.75" customHeight="1"/>
    <row r="52" spans="1:25" ht="12.75" customHeight="1">
      <c r="B52" s="8" t="s">
        <v>86</v>
      </c>
    </row>
    <row r="53" spans="1:25" ht="12.75" customHeight="1">
      <c r="A53" s="718" t="s">
        <v>210</v>
      </c>
      <c r="B53" s="17" t="s">
        <v>837</v>
      </c>
    </row>
    <row r="54" spans="1:25" s="78" customFormat="1" ht="12.75" customHeight="1">
      <c r="A54" s="719" t="str">
        <f>C50</f>
        <v>(2)</v>
      </c>
      <c r="B54" s="1752" t="s">
        <v>839</v>
      </c>
      <c r="P54" s="21"/>
    </row>
    <row r="55" spans="1:25" ht="12.75" customHeight="1"/>
    <row r="56" spans="1:25" ht="12.75" customHeight="1">
      <c r="B56" s="8" t="s">
        <v>116</v>
      </c>
    </row>
    <row r="57" spans="1:25" ht="12.75" customHeight="1"/>
    <row r="58" spans="1:25" ht="12.75" customHeight="1">
      <c r="B58" s="405" t="s">
        <v>1244</v>
      </c>
    </row>
    <row r="59" spans="1:25">
      <c r="B59" s="405" t="s">
        <v>1245</v>
      </c>
    </row>
    <row r="60" spans="1:25">
      <c r="B60" s="405" t="s">
        <v>1246</v>
      </c>
    </row>
    <row r="61" spans="1:25">
      <c r="B61" s="405" t="s">
        <v>1247</v>
      </c>
    </row>
    <row r="62" spans="1:25">
      <c r="B62" s="405" t="s">
        <v>1248</v>
      </c>
    </row>
    <row r="63" spans="1:25">
      <c r="B63" s="405" t="s">
        <v>1249</v>
      </c>
    </row>
    <row r="64" spans="1:25">
      <c r="B64" s="405" t="s">
        <v>1250</v>
      </c>
    </row>
    <row r="66" spans="2:2">
      <c r="B66" s="405" t="s">
        <v>1251</v>
      </c>
    </row>
    <row r="67" spans="2:2">
      <c r="B67" s="405" t="s">
        <v>1252</v>
      </c>
    </row>
    <row r="68" spans="2:2">
      <c r="B68" s="405" t="s">
        <v>1253</v>
      </c>
    </row>
    <row r="69" spans="2:2">
      <c r="B69" s="405" t="s">
        <v>1254</v>
      </c>
    </row>
    <row r="70" spans="2:2">
      <c r="B70" s="405" t="s">
        <v>1255</v>
      </c>
    </row>
    <row r="71" spans="2:2">
      <c r="B71" s="405" t="s">
        <v>1256</v>
      </c>
    </row>
  </sheetData>
  <conditionalFormatting sqref="B10:B39">
    <cfRule type="cellIs" dxfId="43" priority="11" operator="equal">
      <formula>"(Invalid Identifier)"</formula>
    </cfRule>
  </conditionalFormatting>
  <conditionalFormatting sqref="C4:I4">
    <cfRule type="cellIs" dxfId="42" priority="10" stopIfTrue="1" operator="equal">
      <formula>"input"</formula>
    </cfRule>
  </conditionalFormatting>
  <conditionalFormatting sqref="J4">
    <cfRule type="cellIs" dxfId="41" priority="8" stopIfTrue="1" operator="equal">
      <formula>"input"</formula>
    </cfRule>
  </conditionalFormatting>
  <conditionalFormatting sqref="J4">
    <cfRule type="cellIs" dxfId="40" priority="9" stopIfTrue="1" operator="equal">
      <formula>"input"</formula>
    </cfRule>
  </conditionalFormatting>
  <conditionalFormatting sqref="K4:X4">
    <cfRule type="cellIs" dxfId="39" priority="6" stopIfTrue="1" operator="equal">
      <formula>"input"</formula>
    </cfRule>
  </conditionalFormatting>
  <conditionalFormatting sqref="K4:X4">
    <cfRule type="cellIs" dxfId="38" priority="7" stopIfTrue="1" operator="equal">
      <formula>"input"</formula>
    </cfRule>
  </conditionalFormatting>
  <conditionalFormatting sqref="Y4">
    <cfRule type="cellIs" dxfId="37" priority="4" stopIfTrue="1" operator="equal">
      <formula>"input"</formula>
    </cfRule>
  </conditionalFormatting>
  <conditionalFormatting sqref="Y4">
    <cfRule type="cellIs" dxfId="36" priority="5" stopIfTrue="1" operator="equal">
      <formula>"input"</formula>
    </cfRule>
  </conditionalFormatting>
  <conditionalFormatting sqref="B4">
    <cfRule type="cellIs" dxfId="35" priority="1" stopIfTrue="1" operator="equal">
      <formula>"input"</formula>
    </cfRule>
  </conditionalFormatting>
  <pageMargins left="0.5" right="0.5" top="0.5" bottom="0.5" header="0.5" footer="0.5"/>
  <pageSetup scale="74" fitToWidth="0" fitToHeight="0" orientation="landscape" r:id="rId1"/>
  <legacyDrawingHF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B1:BQ88"/>
  <sheetViews>
    <sheetView showGridLines="0" view="pageBreakPreview" zoomScale="80" zoomScaleNormal="100" zoomScaleSheetLayoutView="80" workbookViewId="0">
      <selection activeCell="J30" sqref="J30"/>
    </sheetView>
  </sheetViews>
  <sheetFormatPr defaultRowHeight="12.75" outlineLevelCol="1"/>
  <cols>
    <col min="1" max="1" width="4.5" style="405" customWidth="1"/>
    <col min="2" max="2" width="45.5" style="405" customWidth="1"/>
    <col min="3" max="3" width="14.83203125" style="405" customWidth="1"/>
    <col min="4" max="4" width="2.83203125" style="405" customWidth="1"/>
    <col min="5" max="6" width="14.83203125" style="405" hidden="1" customWidth="1" outlineLevel="1"/>
    <col min="7" max="7" width="14.83203125" style="405" customWidth="1" collapsed="1"/>
    <col min="8" max="8" width="2.83203125" style="405" hidden="1" customWidth="1" outlineLevel="1"/>
    <col min="9" max="9" width="14.83203125" style="405" customWidth="1" collapsed="1"/>
    <col min="10" max="10" width="17.1640625" style="405" customWidth="1"/>
    <col min="11" max="11" width="2.83203125" style="405" customWidth="1"/>
    <col min="12" max="13" width="14.83203125" style="405" hidden="1" customWidth="1" outlineLevel="1"/>
    <col min="14" max="14" width="14.83203125" style="405" customWidth="1" collapsed="1"/>
    <col min="15" max="15" width="2.83203125" style="405" hidden="1" customWidth="1" outlineLevel="1"/>
    <col min="16" max="16" width="14.83203125" style="405" customWidth="1" collapsed="1"/>
    <col min="17" max="17" width="14.83203125" style="405" customWidth="1"/>
    <col min="18" max="18" width="4.5" style="405" customWidth="1"/>
    <col min="19" max="19" width="21.5" style="405" bestFit="1" customWidth="1"/>
    <col min="20" max="21" width="12.83203125" style="405" customWidth="1"/>
    <col min="22" max="22" width="5.83203125" style="405" customWidth="1"/>
    <col min="23" max="23" width="16.33203125" style="405" customWidth="1"/>
    <col min="24" max="26" width="12.83203125" style="405" customWidth="1"/>
    <col min="27" max="27" width="19.83203125" style="405" bestFit="1" customWidth="1"/>
    <col min="28" max="28" width="15.33203125" style="405" bestFit="1" customWidth="1"/>
    <col min="29" max="29" width="5.83203125" style="405" customWidth="1"/>
    <col min="30" max="30" width="17.83203125" style="405" bestFit="1" customWidth="1"/>
    <col min="31" max="31" width="10.6640625" style="405" bestFit="1" customWidth="1"/>
    <col min="32" max="32" width="9.33203125" style="405"/>
    <col min="33" max="39" width="14.83203125" style="405" customWidth="1"/>
    <col min="40" max="40" width="19.1640625" style="405" customWidth="1"/>
    <col min="41" max="41" width="9.33203125" style="405"/>
    <col min="42" max="42" width="14.5" style="405" customWidth="1"/>
    <col min="43" max="43" width="19.5" style="405" customWidth="1"/>
    <col min="44" max="16384" width="9.33203125" style="405"/>
  </cols>
  <sheetData>
    <row r="1" spans="2:69" ht="10.7" customHeight="1" thickBot="1"/>
    <row r="2" spans="2:69" ht="16.5" customHeight="1" thickTop="1">
      <c r="B2" s="10" t="str">
        <f>'MASTER PubCo Inputs'!$C$5</f>
        <v>Kallyope, Inc.</v>
      </c>
      <c r="C2" s="10"/>
      <c r="D2" s="10"/>
      <c r="E2" s="10"/>
      <c r="F2" s="10"/>
      <c r="G2" s="10"/>
      <c r="H2" s="10"/>
      <c r="I2" s="10"/>
      <c r="J2" s="10"/>
      <c r="K2" s="10"/>
      <c r="L2" s="10"/>
      <c r="M2" s="10"/>
      <c r="N2" s="10"/>
      <c r="O2" s="10"/>
      <c r="P2" s="10"/>
      <c r="Q2" s="10"/>
      <c r="AO2" s="303" t="s">
        <v>87</v>
      </c>
      <c r="AP2" s="304">
        <f>'MASTER PubCo Inputs'!$C$6</f>
        <v>43281</v>
      </c>
    </row>
    <row r="3" spans="2:69" ht="15.75" customHeight="1">
      <c r="B3" s="11" t="e">
        <f>VLOOKUP(B4,Outline!$E$8:$G$69,COLUMNS(Outline!$E$8:$G$8),FALSE)</f>
        <v>#N/A</v>
      </c>
      <c r="C3" s="11"/>
      <c r="D3" s="11"/>
      <c r="E3" s="11"/>
      <c r="F3" s="11"/>
      <c r="G3" s="11"/>
      <c r="H3" s="11"/>
      <c r="I3" s="11"/>
      <c r="J3" s="11"/>
      <c r="K3" s="11"/>
      <c r="L3" s="11"/>
      <c r="M3" s="11"/>
      <c r="N3" s="11"/>
      <c r="O3" s="11"/>
      <c r="P3" s="11"/>
      <c r="Q3" s="11"/>
      <c r="AO3" s="201" t="s">
        <v>398</v>
      </c>
      <c r="AP3" s="305" t="s">
        <v>400</v>
      </c>
    </row>
    <row r="4" spans="2:69" ht="16.5" customHeight="1" thickBot="1">
      <c r="B4" s="12" t="s">
        <v>638</v>
      </c>
      <c r="C4" s="12"/>
      <c r="D4" s="399"/>
      <c r="E4" s="12"/>
      <c r="F4" s="12"/>
      <c r="G4" s="12"/>
      <c r="H4" s="12"/>
      <c r="I4" s="12"/>
      <c r="J4" s="13"/>
      <c r="K4" s="13"/>
      <c r="L4" s="13"/>
      <c r="M4" s="13"/>
      <c r="N4" s="13"/>
      <c r="O4" s="13"/>
      <c r="P4" s="13"/>
      <c r="Q4" s="13" t="str">
        <f>+'MASTER PubCo Inputs'!$C$24</f>
        <v>(in millions of USD)</v>
      </c>
      <c r="AO4" s="201" t="s">
        <v>399</v>
      </c>
      <c r="AP4" s="305" t="s">
        <v>401</v>
      </c>
    </row>
    <row r="5" spans="2:69" ht="13.5" thickTop="1">
      <c r="B5" s="15"/>
      <c r="C5" s="15"/>
      <c r="AO5" s="82" t="s">
        <v>89</v>
      </c>
      <c r="AP5" s="306" t="s">
        <v>90</v>
      </c>
    </row>
    <row r="6" spans="2:69">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row>
    <row r="7" spans="2:69">
      <c r="E7" s="16"/>
      <c r="F7" s="16"/>
      <c r="G7" s="16"/>
      <c r="H7" s="16"/>
      <c r="I7" s="465" t="s">
        <v>278</v>
      </c>
      <c r="J7" s="468"/>
      <c r="K7" s="16"/>
      <c r="L7" s="16"/>
      <c r="M7" s="16"/>
      <c r="N7" s="16"/>
      <c r="O7" s="16"/>
      <c r="P7" s="465" t="s">
        <v>278</v>
      </c>
      <c r="Q7" s="468"/>
    </row>
    <row r="8" spans="2:69">
      <c r="E8" s="414" t="s">
        <v>630</v>
      </c>
      <c r="F8" s="415"/>
      <c r="G8" s="408" t="s">
        <v>629</v>
      </c>
      <c r="H8" s="445"/>
      <c r="I8" s="414" t="s">
        <v>629</v>
      </c>
      <c r="J8" s="415"/>
      <c r="K8" s="16"/>
      <c r="L8" s="414" t="s">
        <v>279</v>
      </c>
      <c r="M8" s="415"/>
      <c r="N8" s="408" t="s">
        <v>629</v>
      </c>
      <c r="O8" s="445"/>
      <c r="P8" s="414" t="s">
        <v>279</v>
      </c>
      <c r="Q8" s="415"/>
      <c r="AG8" s="357" t="s">
        <v>91</v>
      </c>
      <c r="AH8" s="364"/>
      <c r="AI8" s="364"/>
      <c r="AJ8" s="364"/>
      <c r="AK8" s="364"/>
      <c r="AL8" s="364"/>
      <c r="AM8" s="364"/>
      <c r="AN8" s="365"/>
    </row>
    <row r="9" spans="2:69" s="6" customFormat="1" ht="25.5">
      <c r="B9" s="475" t="s">
        <v>633</v>
      </c>
      <c r="C9" s="594" t="s">
        <v>147</v>
      </c>
      <c r="D9" s="330"/>
      <c r="E9" s="596" t="s">
        <v>290</v>
      </c>
      <c r="F9" s="605" t="s">
        <v>276</v>
      </c>
      <c r="G9" s="598" t="s">
        <v>277</v>
      </c>
      <c r="H9" s="599"/>
      <c r="I9" s="602">
        <f>J9-1</f>
        <v>2016</v>
      </c>
      <c r="J9" s="607">
        <f>YEAR($AP$2)-1</f>
        <v>2017</v>
      </c>
      <c r="K9" s="608"/>
      <c r="L9" s="596" t="str">
        <f>E9</f>
        <v>LTM-2</v>
      </c>
      <c r="M9" s="605" t="str">
        <f>F9</f>
        <v>LTM-1</v>
      </c>
      <c r="N9" s="595" t="str">
        <f>G9</f>
        <v>LTM</v>
      </c>
      <c r="O9" s="599"/>
      <c r="P9" s="602">
        <f>I9</f>
        <v>2016</v>
      </c>
      <c r="Q9" s="604">
        <f>J9</f>
        <v>2017</v>
      </c>
      <c r="AG9" s="376" t="s">
        <v>94</v>
      </c>
      <c r="AH9" s="377" t="s">
        <v>95</v>
      </c>
      <c r="AI9" s="377" t="s">
        <v>96</v>
      </c>
      <c r="AJ9" s="377" t="s">
        <v>97</v>
      </c>
      <c r="AK9" s="377" t="s">
        <v>98</v>
      </c>
      <c r="AL9" s="377" t="s">
        <v>99</v>
      </c>
      <c r="AM9" s="377" t="s">
        <v>100</v>
      </c>
      <c r="AN9" s="378" t="s">
        <v>101</v>
      </c>
      <c r="AP9" s="87" t="s">
        <v>108</v>
      </c>
    </row>
    <row r="10" spans="2:69" ht="12.75" customHeight="1"/>
    <row r="11" spans="2:69" ht="12.75" customHeight="1">
      <c r="C11" s="311"/>
      <c r="D11" s="312"/>
      <c r="E11" s="522" t="s">
        <v>480</v>
      </c>
      <c r="F11" s="523"/>
      <c r="G11" s="522" t="s">
        <v>480</v>
      </c>
      <c r="H11" s="523"/>
      <c r="I11" s="524"/>
      <c r="J11" s="525"/>
      <c r="K11" s="203"/>
      <c r="L11" s="522" t="s">
        <v>527</v>
      </c>
      <c r="M11" s="523"/>
      <c r="N11" s="522" t="s">
        <v>527</v>
      </c>
      <c r="O11" s="523"/>
      <c r="P11" s="524"/>
      <c r="Q11" s="525"/>
      <c r="S11" s="368" t="s">
        <v>528</v>
      </c>
      <c r="T11" s="368"/>
      <c r="U11" s="368"/>
      <c r="V11" s="368"/>
      <c r="W11" s="368"/>
      <c r="X11" s="368"/>
      <c r="Z11" s="368" t="s">
        <v>529</v>
      </c>
      <c r="AA11" s="368"/>
      <c r="AB11" s="368"/>
      <c r="AC11" s="368"/>
      <c r="AD11" s="368"/>
      <c r="AE11" s="368"/>
      <c r="AP11" s="95"/>
    </row>
    <row r="12" spans="2:69" s="58" customFormat="1" ht="12.75" customHeight="1">
      <c r="B12" s="49"/>
      <c r="C12" s="136"/>
      <c r="D12" s="49"/>
      <c r="E12" s="136"/>
      <c r="F12" s="136"/>
      <c r="G12" s="136"/>
      <c r="H12" s="136"/>
      <c r="I12" s="136"/>
      <c r="J12" s="136"/>
      <c r="L12" s="136"/>
      <c r="M12" s="136"/>
      <c r="N12" s="136"/>
      <c r="O12" s="49"/>
      <c r="P12" s="49"/>
      <c r="Q12" s="49"/>
      <c r="S12" s="173" t="str">
        <f>+E9</f>
        <v>LTM-2</v>
      </c>
      <c r="T12" s="173" t="str">
        <f>+F9</f>
        <v>LTM-1</v>
      </c>
      <c r="U12" s="173" t="str">
        <f>+G9</f>
        <v>LTM</v>
      </c>
      <c r="V12" s="367"/>
      <c r="W12" s="173">
        <f>+I9</f>
        <v>2016</v>
      </c>
      <c r="X12" s="173">
        <f>+J9</f>
        <v>2017</v>
      </c>
      <c r="Z12" s="173" t="str">
        <f>+L9</f>
        <v>LTM-2</v>
      </c>
      <c r="AA12" s="173" t="str">
        <f>+M9</f>
        <v>LTM-1</v>
      </c>
      <c r="AB12" s="173" t="str">
        <f>+N9</f>
        <v>LTM</v>
      </c>
      <c r="AC12" s="367"/>
      <c r="AD12" s="173">
        <f>+P9</f>
        <v>2016</v>
      </c>
      <c r="AE12" s="173">
        <f>+Q9</f>
        <v>2017</v>
      </c>
      <c r="AG12" s="405"/>
      <c r="AH12" s="405"/>
      <c r="AI12" s="405"/>
      <c r="AJ12" s="405"/>
      <c r="AK12" s="405"/>
      <c r="AL12" s="405"/>
      <c r="AM12" s="405"/>
      <c r="AN12" s="405"/>
    </row>
    <row r="13" spans="2:69" ht="12.75" customHeight="1">
      <c r="B13" s="405" t="str">
        <f>'Comp.1'!B12</f>
        <v>ACADIA Pharmaceuticals Inc.</v>
      </c>
      <c r="C13" s="92">
        <f>AG13</f>
        <v>1906.0925500000001</v>
      </c>
      <c r="E13" s="90" t="str">
        <f>IF(IF(ISERROR($AG13/S13),"n/a",$AG$13/S13)&lt;0,"n/a",IF(ISERROR($AG$13/S13),"n/a",$AG$13/S13))</f>
        <v>n/a</v>
      </c>
      <c r="F13" s="90" t="str">
        <f>IF(IF(ISERROR($AG13/T13),"n/a",$AG$13/T13)&lt;0,"n/a",IF(ISERROR($AG$13/T13),"n/a",$AG$13/T13))</f>
        <v>n/a</v>
      </c>
      <c r="G13" s="90" t="str">
        <f>IF(IF(ISERROR($AG13/U13),"n/a",$AG$13/U13)&lt;0,"n/a",IF(ISERROR($AG$13/U13),"n/a",$AG$13/U13))</f>
        <v>n/a</v>
      </c>
      <c r="H13" s="406"/>
      <c r="I13" s="90" t="str">
        <f>IF(IF(ISERROR($AG13/W13),"n/a",$AG$13/W13)&lt;0,"n/a",IF(ISERROR($AG$13/W13),"n/a",$AG$13/W13))</f>
        <v>n/a</v>
      </c>
      <c r="J13" s="90" t="str">
        <f>IF(IF(ISERROR($AG13/X13),"n/a",$AG$13/X13)&lt;0,"n/a",IF(ISERROR($AG$13/X13),"n/a",$AG$13/X13))</f>
        <v>n/a</v>
      </c>
      <c r="L13" s="90">
        <f>IF(IF(ISERROR($AG13/Z13),"n/a",$AG$13/Z13)&lt;0,"n/a",IF(ISERROR($AG$13/Z13),"n/a",$AG$13/Z13))</f>
        <v>4.280939402718916</v>
      </c>
      <c r="M13" s="90">
        <f>IF(IF(ISERROR($AG13/AA13),"n/a",$AG$13/AA13)&lt;0,"n/a",IF(ISERROR($AG$13/AA13),"n/a",$AG$13/AA13))</f>
        <v>4.1661039639450612</v>
      </c>
      <c r="N13" s="90">
        <f>IF(IF(ISERROR($AG13/AB13),"n/a",$AG$13/AB13)&lt;0,"n/a",IF(ISERROR($AG$13/AB13),"n/a",$AG$13/AB13))</f>
        <v>6.2665575716131503</v>
      </c>
      <c r="P13" s="90">
        <f>IF(IF(ISERROR($AG13/AD13),"n/a",$AG$13/AD13)&lt;0,"n/a",IF(ISERROR($AG$13/AD13),"n/a",$AG$13/AD13))</f>
        <v>3.6767980424798092</v>
      </c>
      <c r="Q13" s="90">
        <f>IF(IF(ISERROR($AG13/AE13),"n/a",$AG$13/AE13)&lt;0,"n/a",IF(ISERROR($AG$13/AE13),"n/a",$AG$13/AE13))</f>
        <v>5.6849920217128709</v>
      </c>
      <c r="S13" s="137">
        <f>'Capital IQ Sheet-GPC'!AU13</f>
        <v>-173.83</v>
      </c>
      <c r="T13" s="137">
        <f>'Capital IQ Sheet-GPC'!AV13</f>
        <v>-309.47399999999999</v>
      </c>
      <c r="U13" s="137">
        <f>'Capital IQ Sheet-GPC'!AW13</f>
        <v>-255.85599999999999</v>
      </c>
      <c r="V13" s="137"/>
      <c r="W13" s="137">
        <f>'Capital IQ Sheet-GPC'!AX13</f>
        <v>-271.39299999999997</v>
      </c>
      <c r="X13" s="137">
        <f>'Capital IQ Sheet-GPC'!AY13</f>
        <v>-289.40300000000002</v>
      </c>
      <c r="Z13" s="137">
        <f>'Capital IQ Sheet-GPC'!AZ13</f>
        <v>445.25099999999998</v>
      </c>
      <c r="AA13" s="137">
        <f>'Capital IQ Sheet-GPC'!BA13</f>
        <v>457.524</v>
      </c>
      <c r="AB13" s="137">
        <f>'Capital IQ Sheet-GPC'!BB13</f>
        <v>304.16899999999998</v>
      </c>
      <c r="AD13" s="137">
        <f>'Capital IQ Sheet-GPC'!BC13</f>
        <v>518.41099999999994</v>
      </c>
      <c r="AE13" s="137">
        <f>'Capital IQ Sheet-GPC'!BD13</f>
        <v>335.28500000000003</v>
      </c>
      <c r="AG13" s="406">
        <f>'Beta Calc'!K10</f>
        <v>1906.0925500000001</v>
      </c>
      <c r="AH13" s="406">
        <f>'Beta Calc'!L10</f>
        <v>0</v>
      </c>
      <c r="AI13" s="406">
        <f>'Beta Calc'!M10</f>
        <v>0</v>
      </c>
      <c r="AJ13" s="406">
        <f>'Beta Calc'!N10</f>
        <v>0</v>
      </c>
      <c r="AK13" s="406">
        <f>SUM(AH13:AJ13)</f>
        <v>0</v>
      </c>
      <c r="AL13" s="406">
        <f>SUM(AG13:AJ13)</f>
        <v>1906.0925500000001</v>
      </c>
      <c r="AM13" s="406">
        <f>'Beta Calc'!Q10</f>
        <v>298.06299999999999</v>
      </c>
      <c r="AN13" s="92">
        <f>IF(ISERROR(AL13-AM13), "n/a", AL13-AM13)</f>
        <v>1608.0295500000002</v>
      </c>
      <c r="AP13" s="93" t="str">
        <f>IF('MASTER PubCo Inputs'!C28="","",'MASTER PubCo Inputs'!C28)</f>
        <v>IQ683713</v>
      </c>
      <c r="AQ13" s="527" t="str">
        <f>'Comp.1'!AL12</f>
        <v>ACADIA Pharmaceuticals Inc., a biopharmaceutical company, focuses on the development and commercialization of small molecule drugs that address unmet medical needs in central nervous system disorders. The company offers NUPLAZID (pimavanserin) for the treatment of hallucinations and delusions associated with Parkinson’s disease psychosis. It is also developing pimavanserin as a treatment for dementia-related psychosis and as an adjunctive treatment for schizophrenia that are in phase III clinical trials; and pimavanserin as an adjunctive treatment for major depressive disorder. ACADIA Pharmaceuticals Inc. was founded in 1993 and is headquartered in San Diego, California.</v>
      </c>
    </row>
    <row r="14" spans="2:69" ht="12.75" customHeight="1">
      <c r="B14" s="405" t="str">
        <f>'Comp.1'!B13</f>
        <v>Rhythm Pharmaceuticals, Inc.</v>
      </c>
      <c r="C14" s="92">
        <f t="shared" ref="C14:C42" si="0">AG14</f>
        <v>1066.6532199999999</v>
      </c>
      <c r="E14" s="90" t="str">
        <f t="shared" ref="E14:E42" si="1">IF(IF(ISERROR($AG14/S14),"n/a",$AG$13/S14)&lt;0,"n/a",IF(ISERROR($AG$13/S14),"n/a",$AG$13/S14))</f>
        <v>n/a</v>
      </c>
      <c r="F14" s="90" t="str">
        <f t="shared" ref="F14:F42" si="2">IF(IF(ISERROR($AG14/T14),"n/a",$AG$13/T14)&lt;0,"n/a",IF(ISERROR($AG$13/T14),"n/a",$AG$13/T14))</f>
        <v>n/a</v>
      </c>
      <c r="G14" s="90" t="str">
        <f t="shared" ref="G14:G42" si="3">IF(IF(ISERROR($AG14/U14),"n/a",$AG$13/U14)&lt;0,"n/a",IF(ISERROR($AG$13/U14),"n/a",$AG$13/U14))</f>
        <v>n/a</v>
      </c>
      <c r="H14" s="406"/>
      <c r="I14" s="90" t="str">
        <f t="shared" ref="I14:I42" si="4">IF(IF(ISERROR($AG14/W14),"n/a",$AG$13/W14)&lt;0,"n/a",IF(ISERROR($AG$13/W14),"n/a",$AG$13/W14))</f>
        <v>n/a</v>
      </c>
      <c r="J14" s="90" t="str">
        <f t="shared" ref="J14:J42" si="5">IF(IF(ISERROR($AG14/X14),"n/a",$AG$13/X14)&lt;0,"n/a",IF(ISERROR($AG$13/X14),"n/a",$AG$13/X14))</f>
        <v>n/a</v>
      </c>
      <c r="L14" s="90">
        <f t="shared" ref="L14:L42" si="6">IF(IF(ISERROR($AG14/Z14),"n/a",$AG$13/Z14)&lt;0,"n/a",IF(ISERROR($AG$13/Z14),"n/a",$AG$13/Z14))</f>
        <v>59.563530827161657</v>
      </c>
      <c r="M14" s="90">
        <f t="shared" ref="M14:M42" si="7">IF(IF(ISERROR($AG14/AA14),"n/a",$AG$13/AA14)&lt;0,"n/a",IF(ISERROR($AG$13/AA14),"n/a",$AG$13/AA14))</f>
        <v>88.347279258400931</v>
      </c>
      <c r="N14" s="90">
        <f t="shared" ref="N14:N42" si="8">IF(IF(ISERROR($AG14/AB14),"n/a",$AG$13/AB14)&lt;0,"n/a",IF(ISERROR($AG$13/AB14),"n/a",$AG$13/AB14))</f>
        <v>14.260968666297567</v>
      </c>
      <c r="P14" s="90">
        <f t="shared" ref="P14:P42" si="9">IF(IF(ISERROR($AG14/AD14),"n/a",$AG$13/AD14)&lt;0,"n/a",IF(ISERROR($AG$13/AD14),"n/a",$AG$13/AD14))</f>
        <v>261.21591750034264</v>
      </c>
      <c r="Q14" s="90">
        <f t="shared" ref="Q14:Q42" si="10">IF(IF(ISERROR($AG14/AE14),"n/a",$AG$13/AE14)&lt;0,"n/a",IF(ISERROR($AG$13/AE14),"n/a",$AG$13/AE14))</f>
        <v>13.164713581236013</v>
      </c>
      <c r="S14" s="137">
        <f>'Capital IQ Sheet-GPC'!AU14</f>
        <v>-15.553000000000001</v>
      </c>
      <c r="T14" s="137">
        <f>'Capital IQ Sheet-GPC'!AV14</f>
        <v>-26.847000000000001</v>
      </c>
      <c r="U14" s="137">
        <f>'Capital IQ Sheet-GPC'!AW14</f>
        <v>-43.808</v>
      </c>
      <c r="V14" s="137"/>
      <c r="W14" s="137">
        <f>'Capital IQ Sheet-GPC'!AX14</f>
        <v>-25.872</v>
      </c>
      <c r="X14" s="137">
        <f>'Capital IQ Sheet-GPC'!AY14</f>
        <v>-33.709000000000003</v>
      </c>
      <c r="Z14" s="137">
        <f>'Capital IQ Sheet-GPC'!AZ14</f>
        <v>32.000999999999998</v>
      </c>
      <c r="AA14" s="137">
        <f>'Capital IQ Sheet-GPC'!BA14</f>
        <v>21.574999999999999</v>
      </c>
      <c r="AB14" s="137">
        <f>'Capital IQ Sheet-GPC'!BB14</f>
        <v>133.65799999999999</v>
      </c>
      <c r="AD14" s="137">
        <f>'Capital IQ Sheet-GPC'!BC14</f>
        <v>7.2969999999999997</v>
      </c>
      <c r="AE14" s="137">
        <f>'Capital IQ Sheet-GPC'!BD14</f>
        <v>144.78800000000001</v>
      </c>
      <c r="AG14" s="406">
        <f>'Beta Calc'!K11</f>
        <v>1066.6532199999999</v>
      </c>
      <c r="AH14" s="406">
        <f>'Beta Calc'!L11</f>
        <v>0</v>
      </c>
      <c r="AI14" s="406">
        <f>'Beta Calc'!M11</f>
        <v>0</v>
      </c>
      <c r="AJ14" s="406">
        <f>'Beta Calc'!N11</f>
        <v>0</v>
      </c>
      <c r="AK14" s="406">
        <f t="shared" ref="AK14:AK42" si="11">SUM(AH14:AJ14)</f>
        <v>0</v>
      </c>
      <c r="AL14" s="406">
        <f t="shared" ref="AL14:AL42" si="12">SUM(AG14:AJ14)</f>
        <v>1066.6532199999999</v>
      </c>
      <c r="AM14" s="406">
        <f>'Beta Calc'!Q11</f>
        <v>136.453</v>
      </c>
      <c r="AN14" s="92">
        <f t="shared" ref="AN14:AN42" si="13">IF(ISERROR(AL14-AM14), "n/a", AL14-AM14)</f>
        <v>930.20021999999994</v>
      </c>
      <c r="AP14" s="93" t="str">
        <f>IF('MASTER PubCo Inputs'!C29="","",'MASTER PubCo Inputs'!C29)</f>
        <v>IQ309184792</v>
      </c>
      <c r="AQ14" s="527" t="str">
        <f>'Comp.1'!AL13</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row>
    <row r="15" spans="2:69" ht="12.75" customHeight="1">
      <c r="B15" s="405" t="str">
        <f>'Comp.1'!B14</f>
        <v>Assembly Biosciences, Inc.</v>
      </c>
      <c r="C15" s="92">
        <f t="shared" si="0"/>
        <v>805.79364999999996</v>
      </c>
      <c r="E15" s="90" t="str">
        <f t="shared" si="1"/>
        <v>n/a</v>
      </c>
      <c r="F15" s="90" t="str">
        <f t="shared" si="2"/>
        <v>n/a</v>
      </c>
      <c r="G15" s="90" t="str">
        <f t="shared" si="3"/>
        <v>n/a</v>
      </c>
      <c r="H15" s="406"/>
      <c r="I15" s="90" t="str">
        <f t="shared" si="4"/>
        <v>n/a</v>
      </c>
      <c r="J15" s="90" t="str">
        <f t="shared" si="5"/>
        <v>n/a</v>
      </c>
      <c r="L15" s="90">
        <f t="shared" si="6"/>
        <v>17.441486927114777</v>
      </c>
      <c r="M15" s="90">
        <f t="shared" si="7"/>
        <v>28.076951120784539</v>
      </c>
      <c r="N15" s="90">
        <f t="shared" si="8"/>
        <v>18.617594041877787</v>
      </c>
      <c r="P15" s="90">
        <f t="shared" si="9"/>
        <v>23.862547259570846</v>
      </c>
      <c r="Q15" s="90">
        <f t="shared" si="10"/>
        <v>16.8502159260048</v>
      </c>
      <c r="S15" s="137">
        <f>'Capital IQ Sheet-GPC'!AU15</f>
        <v>-32.297440000000002</v>
      </c>
      <c r="T15" s="137">
        <f>'Capital IQ Sheet-GPC'!AV15</f>
        <v>-47.203600000000002</v>
      </c>
      <c r="U15" s="137">
        <f>'Capital IQ Sheet-GPC'!AW15</f>
        <v>-45.126710000000003</v>
      </c>
      <c r="V15" s="137"/>
      <c r="W15" s="137">
        <f>'Capital IQ Sheet-GPC'!AX15</f>
        <v>-44.261560000000003</v>
      </c>
      <c r="X15" s="137">
        <f>'Capital IQ Sheet-GPC'!AY15</f>
        <v>-42.808549999999997</v>
      </c>
      <c r="Z15" s="137">
        <f>'Capital IQ Sheet-GPC'!AZ15</f>
        <v>109.28498</v>
      </c>
      <c r="AA15" s="137">
        <f>'Capital IQ Sheet-GPC'!BA15</f>
        <v>67.888159999999999</v>
      </c>
      <c r="AB15" s="137">
        <f>'Capital IQ Sheet-GPC'!BB15</f>
        <v>102.38124999999999</v>
      </c>
      <c r="AD15" s="137">
        <f>'Capital IQ Sheet-GPC'!BC15</f>
        <v>79.878</v>
      </c>
      <c r="AE15" s="137">
        <f>'Capital IQ Sheet-GPC'!BD15</f>
        <v>113.11977</v>
      </c>
      <c r="AG15" s="406">
        <f>'Beta Calc'!K12</f>
        <v>805.79364999999996</v>
      </c>
      <c r="AH15" s="406">
        <f>'Beta Calc'!L12</f>
        <v>0</v>
      </c>
      <c r="AI15" s="406">
        <f>'Beta Calc'!M12</f>
        <v>0</v>
      </c>
      <c r="AJ15" s="406">
        <f>'Beta Calc'!N12</f>
        <v>0</v>
      </c>
      <c r="AK15" s="406">
        <f t="shared" si="11"/>
        <v>0</v>
      </c>
      <c r="AL15" s="406">
        <f t="shared" si="12"/>
        <v>805.79364999999996</v>
      </c>
      <c r="AM15" s="406">
        <f>'Beta Calc'!Q12</f>
        <v>109.15898</v>
      </c>
      <c r="AN15" s="92">
        <f t="shared" si="13"/>
        <v>696.63466999999991</v>
      </c>
      <c r="AP15" s="93" t="str">
        <f>IF('MASTER PubCo Inputs'!C30="","",'MASTER PubCo Inputs'!C30)</f>
        <v>IQ99715344</v>
      </c>
      <c r="AQ15" s="527" t="str">
        <f>'Comp.1'!AL14</f>
        <v>Assembly Biosciences, Inc. operates as a clinical stage biotechnology company. It develops oral therapeutic candidates for the treatment of hepatitis B virus (HBV) infection and novel class of oral synthetic live biotherapeutic candidates to treat disorders associated with the microbiome in the United States. It is involved in the development of core protein allosteric modulators that modulate the HBV core protein at various points in the viral lifecycle. The company also develops microbiome program, a platform that includes the identification and selection process to strain isolation and growth under current good manufacturing practice conditions; and a patent pending delivery system, GEMICEL, which allows for targeted oral delivery of live biologic and conventional therapies to the lower gastrointestinal tract. In addition, it engages in the development of product candidates for various disease indications, such as ulcerative colitis, Crohn’s disease, irritable bowel syndrome, non-alcoholic steatohepatitis, immuno-oncology, and clostridium difficile infections by using its microbiome platform. It has a collaboration agreement with Allergan Pharmaceuticals International Limited for the development and commercialization of selected microbiome gastrointestinal programs. The company was formerly known as Ventrus Biosciences, Inc. and changed its name to Assembly Biosciences, Inc. in June 2014. Assembly Biosciences, Inc. was founded in 2005 and is headquartered in Carmel, Indiana.</v>
      </c>
    </row>
    <row r="16" spans="2:69" ht="12.75" customHeight="1">
      <c r="B16" s="405" t="str">
        <f>'Comp.1'!B15</f>
        <v>Voyager Therapeutics, Inc.</v>
      </c>
      <c r="C16" s="92">
        <f t="shared" si="0"/>
        <v>631.55226000000005</v>
      </c>
      <c r="E16" s="90" t="str">
        <f t="shared" si="1"/>
        <v>n/a</v>
      </c>
      <c r="F16" s="90" t="str">
        <f t="shared" si="2"/>
        <v>n/a</v>
      </c>
      <c r="G16" s="90" t="str">
        <f t="shared" si="3"/>
        <v>n/a</v>
      </c>
      <c r="H16" s="406"/>
      <c r="I16" s="90" t="str">
        <f t="shared" si="4"/>
        <v>n/a</v>
      </c>
      <c r="J16" s="90" t="str">
        <f t="shared" si="5"/>
        <v>n/a</v>
      </c>
      <c r="L16" s="90">
        <f t="shared" si="6"/>
        <v>11.65114610903623</v>
      </c>
      <c r="M16" s="90">
        <f t="shared" si="7"/>
        <v>15.534956437402707</v>
      </c>
      <c r="N16" s="90">
        <f t="shared" si="8"/>
        <v>19.391946018536416</v>
      </c>
      <c r="P16" s="90">
        <f t="shared" si="9"/>
        <v>14.023429246185312</v>
      </c>
      <c r="Q16" s="90">
        <f t="shared" si="10"/>
        <v>14.219159498996653</v>
      </c>
      <c r="S16" s="137">
        <f>'Capital IQ Sheet-GPC'!AU16</f>
        <v>-22.283000000000001</v>
      </c>
      <c r="T16" s="137">
        <f>'Capital IQ Sheet-GPC'!AV16</f>
        <v>-49.652999999999999</v>
      </c>
      <c r="U16" s="137">
        <f>'Capital IQ Sheet-GPC'!AW16</f>
        <v>-73.975999999999999</v>
      </c>
      <c r="V16" s="137"/>
      <c r="W16" s="137">
        <f>'Capital IQ Sheet-GPC'!AX16</f>
        <v>-40.192999999999998</v>
      </c>
      <c r="X16" s="137">
        <f>'Capital IQ Sheet-GPC'!AY16</f>
        <v>-70.697999999999993</v>
      </c>
      <c r="Z16" s="137">
        <f>'Capital IQ Sheet-GPC'!AZ16</f>
        <v>163.59700000000001</v>
      </c>
      <c r="AA16" s="137">
        <f>'Capital IQ Sheet-GPC'!BA16</f>
        <v>122.697</v>
      </c>
      <c r="AB16" s="137">
        <f>'Capital IQ Sheet-GPC'!BB16</f>
        <v>98.293000000000006</v>
      </c>
      <c r="AD16" s="137">
        <f>'Capital IQ Sheet-GPC'!BC16</f>
        <v>135.922</v>
      </c>
      <c r="AE16" s="137">
        <f>'Capital IQ Sheet-GPC'!BD16</f>
        <v>134.05099999999999</v>
      </c>
      <c r="AG16" s="406">
        <f>'Beta Calc'!K13</f>
        <v>631.55226000000005</v>
      </c>
      <c r="AH16" s="406">
        <f>'Beta Calc'!L13</f>
        <v>0</v>
      </c>
      <c r="AI16" s="406">
        <f>'Beta Calc'!M13</f>
        <v>0</v>
      </c>
      <c r="AJ16" s="406">
        <f>'Beta Calc'!N13</f>
        <v>0</v>
      </c>
      <c r="AK16" s="406">
        <f t="shared" si="11"/>
        <v>0</v>
      </c>
      <c r="AL16" s="406">
        <f t="shared" si="12"/>
        <v>631.55226000000005</v>
      </c>
      <c r="AM16" s="406">
        <f>'Beta Calc'!Q13</f>
        <v>218.19800000000001</v>
      </c>
      <c r="AN16" s="92">
        <f t="shared" si="13"/>
        <v>413.35426000000007</v>
      </c>
      <c r="AP16" s="93" t="str">
        <f>IF('MASTER PubCo Inputs'!C31="","",'MASTER PubCo Inputs'!C31)</f>
        <v>IQ256887902</v>
      </c>
      <c r="AQ16" s="527" t="str">
        <f>'Comp.1'!AL15</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Voyager Therapeutics, Inc. was founded in 2013 and is headquartered in Cambridge, Massachusetts.</v>
      </c>
    </row>
    <row r="17" spans="2:43" ht="12.75" customHeight="1">
      <c r="B17" s="405" t="str">
        <f>'Comp.1'!B16</f>
        <v>Zafgen, Inc.</v>
      </c>
      <c r="C17" s="92">
        <f t="shared" si="0"/>
        <v>363.76737000000003</v>
      </c>
      <c r="E17" s="90" t="str">
        <f t="shared" si="1"/>
        <v>n/a</v>
      </c>
      <c r="F17" s="90" t="str">
        <f t="shared" si="2"/>
        <v>n/a</v>
      </c>
      <c r="G17" s="90" t="str">
        <f t="shared" si="3"/>
        <v>n/a</v>
      </c>
      <c r="H17" s="406"/>
      <c r="I17" s="90" t="str">
        <f t="shared" si="4"/>
        <v>n/a</v>
      </c>
      <c r="J17" s="90" t="str">
        <f t="shared" si="5"/>
        <v>n/a</v>
      </c>
      <c r="L17" s="90">
        <f t="shared" si="6"/>
        <v>12.342920649105086</v>
      </c>
      <c r="M17" s="90">
        <f t="shared" si="7"/>
        <v>17.207039106649574</v>
      </c>
      <c r="N17" s="90">
        <f t="shared" si="8"/>
        <v>29.325854270197087</v>
      </c>
      <c r="P17" s="90">
        <f t="shared" si="9"/>
        <v>15.658749086069648</v>
      </c>
      <c r="Q17" s="90">
        <f t="shared" si="10"/>
        <v>24.369287367196392</v>
      </c>
      <c r="S17" s="137">
        <f>'Capital IQ Sheet-GPC'!AU17</f>
        <v>-78.55</v>
      </c>
      <c r="T17" s="137">
        <f>'Capital IQ Sheet-GPC'!AV17</f>
        <v>-53.152999999999999</v>
      </c>
      <c r="U17" s="137">
        <f>'Capital IQ Sheet-GPC'!AW17</f>
        <v>-54.972999999999999</v>
      </c>
      <c r="V17" s="137"/>
      <c r="W17" s="137">
        <f>'Capital IQ Sheet-GPC'!AX17</f>
        <v>-57.878</v>
      </c>
      <c r="X17" s="137">
        <f>'Capital IQ Sheet-GPC'!AY17</f>
        <v>-52.027999999999999</v>
      </c>
      <c r="Z17" s="137">
        <f>'Capital IQ Sheet-GPC'!AZ17</f>
        <v>154.428</v>
      </c>
      <c r="AA17" s="137">
        <f>'Capital IQ Sheet-GPC'!BA17</f>
        <v>110.774</v>
      </c>
      <c r="AB17" s="137">
        <f>'Capital IQ Sheet-GPC'!BB17</f>
        <v>64.997</v>
      </c>
      <c r="AD17" s="137">
        <f>'Capital IQ Sheet-GPC'!BC17</f>
        <v>121.727</v>
      </c>
      <c r="AE17" s="137">
        <f>'Capital IQ Sheet-GPC'!BD17</f>
        <v>78.216999999999999</v>
      </c>
      <c r="AG17" s="406">
        <f>'Beta Calc'!K14</f>
        <v>363.76737000000003</v>
      </c>
      <c r="AH17" s="406">
        <f>'Beta Calc'!L14</f>
        <v>20.16</v>
      </c>
      <c r="AI17" s="406">
        <f>'Beta Calc'!M14</f>
        <v>0</v>
      </c>
      <c r="AJ17" s="406">
        <f>'Beta Calc'!N14</f>
        <v>0</v>
      </c>
      <c r="AK17" s="406">
        <f t="shared" si="11"/>
        <v>20.16</v>
      </c>
      <c r="AL17" s="406">
        <f t="shared" si="12"/>
        <v>383.92737000000005</v>
      </c>
      <c r="AM17" s="406">
        <f>'Beta Calc'!Q14</f>
        <v>89.07</v>
      </c>
      <c r="AN17" s="92">
        <f t="shared" si="13"/>
        <v>294.85737000000006</v>
      </c>
      <c r="AP17" s="93" t="str">
        <f>IF('MASTER PubCo Inputs'!C32="","",'MASTER PubCo Inputs'!C32)</f>
        <v>IQ29016215</v>
      </c>
      <c r="AQ17" s="527" t="str">
        <f>'Comp.1'!AL16</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row>
    <row r="18" spans="2:43" ht="12.75" customHeight="1">
      <c r="B18" s="405" t="str">
        <f>'Comp.1'!B17</f>
        <v>Seres Therapeutics, Inc.</v>
      </c>
      <c r="C18" s="92">
        <f t="shared" si="0"/>
        <v>349.61295000000001</v>
      </c>
      <c r="E18" s="90" t="str">
        <f t="shared" si="1"/>
        <v>n/a</v>
      </c>
      <c r="F18" s="90" t="str">
        <f t="shared" si="2"/>
        <v>n/a</v>
      </c>
      <c r="G18" s="90" t="str">
        <f t="shared" si="3"/>
        <v>n/a</v>
      </c>
      <c r="H18" s="406"/>
      <c r="I18" s="90" t="str">
        <f t="shared" si="4"/>
        <v>n/a</v>
      </c>
      <c r="J18" s="90" t="str">
        <f t="shared" si="5"/>
        <v>n/a</v>
      </c>
      <c r="L18" s="90">
        <f t="shared" si="6"/>
        <v>10.041103045372415</v>
      </c>
      <c r="M18" s="90">
        <f t="shared" si="7"/>
        <v>17.10220945151768</v>
      </c>
      <c r="N18" s="90">
        <f t="shared" si="8"/>
        <v>189.98231336589257</v>
      </c>
      <c r="P18" s="90">
        <f t="shared" si="9"/>
        <v>14.371395450535697</v>
      </c>
      <c r="Q18" s="90">
        <f t="shared" si="10"/>
        <v>31.402371538246101</v>
      </c>
      <c r="S18" s="137">
        <f>'Capital IQ Sheet-GPC'!AU18</f>
        <v>-66.513000000000005</v>
      </c>
      <c r="T18" s="137">
        <f>'Capital IQ Sheet-GPC'!AV18</f>
        <v>-97.349000000000004</v>
      </c>
      <c r="U18" s="137">
        <f>'Capital IQ Sheet-GPC'!AW18</f>
        <v>-91.825000000000003</v>
      </c>
      <c r="V18" s="137"/>
      <c r="W18" s="137">
        <f>'Capital IQ Sheet-GPC'!AX18</f>
        <v>-91.578999999999994</v>
      </c>
      <c r="X18" s="137">
        <f>'Capital IQ Sheet-GPC'!AY18</f>
        <v>-89.38</v>
      </c>
      <c r="Z18" s="137">
        <f>'Capital IQ Sheet-GPC'!AZ18</f>
        <v>189.82900000000001</v>
      </c>
      <c r="AA18" s="137">
        <f>'Capital IQ Sheet-GPC'!BA18</f>
        <v>111.453</v>
      </c>
      <c r="AB18" s="137">
        <f>'Capital IQ Sheet-GPC'!BB18</f>
        <v>10.032999999999999</v>
      </c>
      <c r="AD18" s="137">
        <f>'Capital IQ Sheet-GPC'!BC18</f>
        <v>132.631</v>
      </c>
      <c r="AE18" s="137">
        <f>'Capital IQ Sheet-GPC'!BD18</f>
        <v>60.698999999999998</v>
      </c>
      <c r="AG18" s="406">
        <f>'Beta Calc'!K15</f>
        <v>349.61295000000001</v>
      </c>
      <c r="AH18" s="406">
        <f>'Beta Calc'!L15</f>
        <v>0</v>
      </c>
      <c r="AI18" s="406">
        <f>'Beta Calc'!M15</f>
        <v>0</v>
      </c>
      <c r="AJ18" s="406">
        <f>'Beta Calc'!N15</f>
        <v>0</v>
      </c>
      <c r="AK18" s="406">
        <f t="shared" si="11"/>
        <v>0</v>
      </c>
      <c r="AL18" s="406">
        <f t="shared" si="12"/>
        <v>349.61295000000001</v>
      </c>
      <c r="AM18" s="406">
        <f>'Beta Calc'!Q15</f>
        <v>122.194</v>
      </c>
      <c r="AN18" s="92">
        <f t="shared" si="13"/>
        <v>227.41895</v>
      </c>
      <c r="AP18" s="93" t="str">
        <f>IF('MASTER PubCo Inputs'!C33="","",'MASTER PubCo Inputs'!C33)</f>
        <v>IQ222388947</v>
      </c>
      <c r="AQ18" s="527" t="str">
        <f>'Comp.1'!AL17</f>
        <v>Seres Therapeutics, Inc., a microbiome therapeutics platform company, engages in developing biological drugs designed to restore health by repairing the function of a dysbiotic microbiome. Its lead product candidate is SER-109, a bacterial spore ecology, which is in Phase III clinical study to treat multiply recurrent Clostridium difficile infection (CDI). The company is also developing SER-287 that is in Phase Ib clinical study in patients with mild-to-moderate ulcerative colitis; and SER-262, a multi-strain Ecobiotic microbiome therapeutic candidate, which is in Phase Ib study in patients with primary CDI. In addition, its product candidates in pre-clinical development comprise SER-301, an Ecobiotic microbiome therapeutic candidate for the treatment of inflammatory bowel disease; SER-401 for use with checkpoint inhibitors in patients with solid tumors; and SER-155, an Ecobiotic microbiome therapeutic candidate for the prevention of transplant-related mortality. Seres Therapeutics, Inc. has a strategic collaboration with Nestle Health Science and Memorial Sloan Kettering Cancer Center. The company was formerly known as Seres Health, Inc. and changed its name to Seres Therapeutics, Inc. in May 2015. Seres Therapeutics, Inc. was founded in 2010 and is headquartered in Cambridge, Massachusetts.</v>
      </c>
    </row>
    <row r="19" spans="2:43" ht="12.75" customHeight="1">
      <c r="B19" s="405" t="str">
        <f>'Comp.1'!B18</f>
        <v>CohBar, Inc.</v>
      </c>
      <c r="C19" s="92">
        <f t="shared" si="0"/>
        <v>211.81835000000001</v>
      </c>
      <c r="E19" s="90" t="str">
        <f t="shared" si="1"/>
        <v>n/a</v>
      </c>
      <c r="F19" s="90" t="str">
        <f t="shared" si="2"/>
        <v>n/a</v>
      </c>
      <c r="G19" s="90" t="str">
        <f t="shared" si="3"/>
        <v>n/a</v>
      </c>
      <c r="H19" s="406"/>
      <c r="I19" s="90" t="str">
        <f t="shared" si="4"/>
        <v>n/a</v>
      </c>
      <c r="J19" s="90" t="str">
        <f t="shared" si="5"/>
        <v>n/a</v>
      </c>
      <c r="L19" s="90">
        <f t="shared" si="6"/>
        <v>218.37122566069553</v>
      </c>
      <c r="M19" s="90">
        <f t="shared" si="7"/>
        <v>217.0238828537824</v>
      </c>
      <c r="N19" s="90">
        <f t="shared" si="8"/>
        <v>295.18505469795332</v>
      </c>
      <c r="P19" s="90">
        <f t="shared" si="9"/>
        <v>219.14223088835672</v>
      </c>
      <c r="Q19" s="90">
        <f t="shared" si="10"/>
        <v>250.17916604868677</v>
      </c>
      <c r="S19" s="137">
        <f>'Capital IQ Sheet-GPC'!AU19</f>
        <v>-4.31325</v>
      </c>
      <c r="T19" s="137">
        <f>'Capital IQ Sheet-GPC'!AV19</f>
        <v>-7.0908100000000003</v>
      </c>
      <c r="U19" s="137">
        <f>'Capital IQ Sheet-GPC'!AW19</f>
        <v>-11.18763</v>
      </c>
      <c r="V19" s="137"/>
      <c r="W19" s="137">
        <f>'Capital IQ Sheet-GPC'!AX19</f>
        <v>-6.0750000000000002</v>
      </c>
      <c r="X19" s="137">
        <f>'Capital IQ Sheet-GPC'!AY19</f>
        <v>-9.8331499999999998</v>
      </c>
      <c r="Z19" s="137">
        <f>'Capital IQ Sheet-GPC'!AZ19</f>
        <v>8.7286800000000007</v>
      </c>
      <c r="AA19" s="137">
        <f>'Capital IQ Sheet-GPC'!BA19</f>
        <v>8.7828700000000008</v>
      </c>
      <c r="AB19" s="137">
        <f>'Capital IQ Sheet-GPC'!BB19</f>
        <v>6.4572799999999999</v>
      </c>
      <c r="AD19" s="137">
        <f>'Capital IQ Sheet-GPC'!BC19</f>
        <v>8.6979699999999998</v>
      </c>
      <c r="AE19" s="137">
        <f>'Capital IQ Sheet-GPC'!BD19</f>
        <v>7.6189099999999996</v>
      </c>
      <c r="AG19" s="406">
        <f>'Beta Calc'!K16</f>
        <v>211.81835000000001</v>
      </c>
      <c r="AH19" s="406">
        <f>'Beta Calc'!L16</f>
        <v>1.40126</v>
      </c>
      <c r="AI19" s="406">
        <f>'Beta Calc'!M16</f>
        <v>0</v>
      </c>
      <c r="AJ19" s="406">
        <f>'Beta Calc'!N16</f>
        <v>0</v>
      </c>
      <c r="AK19" s="406">
        <f t="shared" si="11"/>
        <v>1.40126</v>
      </c>
      <c r="AL19" s="406">
        <f t="shared" si="12"/>
        <v>213.21961000000002</v>
      </c>
      <c r="AM19" s="406">
        <f>'Beta Calc'!Q16</f>
        <v>8.4566599999999994</v>
      </c>
      <c r="AN19" s="92">
        <f t="shared" si="13"/>
        <v>204.76295000000002</v>
      </c>
      <c r="AP19" s="93" t="str">
        <f>IF('MASTER PubCo Inputs'!C34="","",'MASTER PubCo Inputs'!C34)</f>
        <v>IQ134282175</v>
      </c>
      <c r="AQ19" s="527" t="str">
        <f>'Comp.1'!AL18</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row>
    <row r="20" spans="2:43" ht="12.75" customHeight="1">
      <c r="B20" s="405" t="str">
        <f>'Comp.1'!B19</f>
        <v>VIVUS, Inc.</v>
      </c>
      <c r="C20" s="92">
        <f t="shared" si="0"/>
        <v>74.768140000000002</v>
      </c>
      <c r="E20" s="90" t="str">
        <f t="shared" si="1"/>
        <v>n/a</v>
      </c>
      <c r="F20" s="90">
        <f t="shared" si="2"/>
        <v>54.531457057847454</v>
      </c>
      <c r="G20" s="90" t="str">
        <f t="shared" si="3"/>
        <v>n/a</v>
      </c>
      <c r="H20" s="406"/>
      <c r="I20" s="90">
        <f t="shared" si="4"/>
        <v>81.79952579177754</v>
      </c>
      <c r="J20" s="90" t="str">
        <f t="shared" si="5"/>
        <v>n/a</v>
      </c>
      <c r="L20" s="90" t="str">
        <f t="shared" si="6"/>
        <v>n/a</v>
      </c>
      <c r="M20" s="90">
        <f t="shared" si="7"/>
        <v>106.00592569934931</v>
      </c>
      <c r="N20" s="90" t="str">
        <f t="shared" si="8"/>
        <v>n/a</v>
      </c>
      <c r="P20" s="90">
        <f t="shared" si="9"/>
        <v>104.81674731921915</v>
      </c>
      <c r="Q20" s="90" t="str">
        <f t="shared" si="10"/>
        <v>n/a</v>
      </c>
      <c r="S20" s="137">
        <f>'Capital IQ Sheet-GPC'!AU20</f>
        <v>-90.349000000000004</v>
      </c>
      <c r="T20" s="137">
        <f>'Capital IQ Sheet-GPC'!AV20</f>
        <v>34.954000000000001</v>
      </c>
      <c r="U20" s="137">
        <f>'Capital IQ Sheet-GPC'!AW20</f>
        <v>-40.107999999999997</v>
      </c>
      <c r="V20" s="137"/>
      <c r="W20" s="137">
        <f>'Capital IQ Sheet-GPC'!AX20</f>
        <v>23.302</v>
      </c>
      <c r="X20" s="137">
        <f>'Capital IQ Sheet-GPC'!AY20</f>
        <v>-30.510999999999999</v>
      </c>
      <c r="Z20" s="137">
        <f>'Capital IQ Sheet-GPC'!AZ20</f>
        <v>-19.103999999999999</v>
      </c>
      <c r="AA20" s="137">
        <f>'Capital IQ Sheet-GPC'!BA20</f>
        <v>17.981000000000002</v>
      </c>
      <c r="AB20" s="137">
        <f>'Capital IQ Sheet-GPC'!BB20</f>
        <v>-19.542999999999999</v>
      </c>
      <c r="AD20" s="137">
        <f>'Capital IQ Sheet-GPC'!BC20</f>
        <v>18.184999999999999</v>
      </c>
      <c r="AE20" s="137">
        <f>'Capital IQ Sheet-GPC'!BD20</f>
        <v>-9.3379999999999992</v>
      </c>
      <c r="AG20" s="406">
        <f>'Beta Calc'!K17</f>
        <v>74.768140000000002</v>
      </c>
      <c r="AH20" s="406">
        <f>'Beta Calc'!L17</f>
        <v>236.50700000000001</v>
      </c>
      <c r="AI20" s="406">
        <f>'Beta Calc'!M17</f>
        <v>0</v>
      </c>
      <c r="AJ20" s="406">
        <f>'Beta Calc'!N17</f>
        <v>0</v>
      </c>
      <c r="AK20" s="406">
        <f t="shared" si="11"/>
        <v>236.50700000000001</v>
      </c>
      <c r="AL20" s="406">
        <f t="shared" si="12"/>
        <v>311.27514000000002</v>
      </c>
      <c r="AM20" s="406">
        <f>'Beta Calc'!Q17</f>
        <v>209.125</v>
      </c>
      <c r="AN20" s="92">
        <f t="shared" si="13"/>
        <v>102.15014000000002</v>
      </c>
      <c r="AP20" s="93" t="str">
        <f>IF('MASTER PubCo Inputs'!C35="","",'MASTER PubCo Inputs'!C35)</f>
        <v>IQ36398</v>
      </c>
      <c r="AQ20" s="527" t="str">
        <f>'Comp.1'!AL19</f>
        <v>VIVUS, Inc., a biopharmaceutical company, develops and commercializes novel therapeutic products to address unmet medical needs in human health in the United States and the European Union. The company offers Qsymia for the treatment of obesity as an adjunct to a reduced-calorie diet and increased physical activity for chronic weight management in adult patients with an initial body mass index of 30 or greater, or obese patients, or 27 or greater, or overweight patients in the presence of at least one weight-related comorbidity, such as hypertension, type 2 diabetes mellitus or high cholesterol; and STENDRA, an oral phosphodiesterase type 5 inhibitor for the treatment of erectile dysfunction. It is also involved in developing Qsymia, which has been completed Phase II studies for the treatment of various diseases, including obstructive sleep apnea and diabetes, nonalcoholic steatohepatitis and fatty liver disease, hyperlipidemia, and hypertension, as well as Tacrolimus that has been completed Phase IIa studies for the treatment of pulmonary arterial hypertension. The company has development, license and clinical trial, and commercial supply agreement with Mitsubishi Tanabe Pharma Corporation for the development and commercialization of avanafil, a PDE5 inhibitor compound for the oral and local treatment of male and female sexual dysfunction. It also has license and commercialization agreements with Berlin Chemie AG to commercialize and promote STENDRA. VIVUS, Inc. was founded in 1991 and is headquartered in Campbell, California.</v>
      </c>
    </row>
    <row r="21" spans="2:43" ht="12.75" customHeight="1">
      <c r="B21" s="405" t="str">
        <f>'Comp.1'!B20</f>
        <v>Anavex Life Sciences Corp.</v>
      </c>
      <c r="C21" s="92">
        <f t="shared" si="0"/>
        <v>117.00936</v>
      </c>
      <c r="E21" s="90" t="str">
        <f t="shared" si="1"/>
        <v>n/a</v>
      </c>
      <c r="F21" s="90" t="str">
        <f t="shared" si="2"/>
        <v>n/a</v>
      </c>
      <c r="G21" s="90" t="str">
        <f t="shared" si="3"/>
        <v>n/a</v>
      </c>
      <c r="H21" s="406"/>
      <c r="I21" s="90" t="str">
        <f t="shared" si="4"/>
        <v>n/a</v>
      </c>
      <c r="J21" s="90" t="str">
        <f t="shared" si="5"/>
        <v>n/a</v>
      </c>
      <c r="L21" s="90">
        <f t="shared" si="6"/>
        <v>196.84551785103878</v>
      </c>
      <c r="M21" s="90">
        <f t="shared" si="7"/>
        <v>88.710385359494651</v>
      </c>
      <c r="N21" s="90">
        <f t="shared" si="8"/>
        <v>84.794893958145565</v>
      </c>
      <c r="P21" s="90">
        <f t="shared" si="9"/>
        <v>99.384148007408086</v>
      </c>
      <c r="Q21" s="90">
        <f t="shared" si="10"/>
        <v>74.616057175202997</v>
      </c>
      <c r="S21" s="137">
        <f>'Capital IQ Sheet-GPC'!AU21</f>
        <v>-15.581860000000001</v>
      </c>
      <c r="T21" s="137">
        <f>'Capital IQ Sheet-GPC'!AV21</f>
        <v>-13.44713</v>
      </c>
      <c r="U21" s="137">
        <f>'Capital IQ Sheet-GPC'!AW21</f>
        <v>-17.575849999999999</v>
      </c>
      <c r="V21" s="137"/>
      <c r="W21" s="137">
        <f>'Capital IQ Sheet-GPC'!AX21</f>
        <v>-13.928850000000001</v>
      </c>
      <c r="X21" s="137">
        <f>'Capital IQ Sheet-GPC'!AY21</f>
        <v>-14.372909999999999</v>
      </c>
      <c r="Z21" s="137">
        <f>'Capital IQ Sheet-GPC'!AZ21</f>
        <v>9.6831899999999997</v>
      </c>
      <c r="AA21" s="137">
        <f>'Capital IQ Sheet-GPC'!BA21</f>
        <v>21.486689999999999</v>
      </c>
      <c r="AB21" s="137">
        <f>'Capital IQ Sheet-GPC'!BB21</f>
        <v>22.478860000000001</v>
      </c>
      <c r="AD21" s="137">
        <f>'Capital IQ Sheet-GPC'!BC21</f>
        <v>19.179040000000001</v>
      </c>
      <c r="AE21" s="137">
        <f>'Capital IQ Sheet-GPC'!BD21</f>
        <v>25.545339999999999</v>
      </c>
      <c r="AG21" s="406">
        <f>'Beta Calc'!K18</f>
        <v>117.00936</v>
      </c>
      <c r="AH21" s="406">
        <f>'Beta Calc'!L18</f>
        <v>0</v>
      </c>
      <c r="AI21" s="406">
        <f>'Beta Calc'!M18</f>
        <v>0</v>
      </c>
      <c r="AJ21" s="406">
        <f>'Beta Calc'!N18</f>
        <v>0</v>
      </c>
      <c r="AK21" s="406">
        <f t="shared" si="11"/>
        <v>0</v>
      </c>
      <c r="AL21" s="406">
        <f t="shared" si="12"/>
        <v>117.00936</v>
      </c>
      <c r="AM21" s="406">
        <f>'Beta Calc'!Q18</f>
        <v>25.656580000000002</v>
      </c>
      <c r="AN21" s="92">
        <f t="shared" si="13"/>
        <v>91.352779999999996</v>
      </c>
      <c r="AP21" s="93" t="str">
        <f>IF('MASTER PubCo Inputs'!C36="","",'MASTER PubCo Inputs'!C36)</f>
        <v>IQ13580387</v>
      </c>
      <c r="AQ21" s="527" t="str">
        <f>'Comp.1'!AL20</f>
        <v>Anavex Life Sciences Corp., a clinical stage biopharmaceutical company, engages in the development of drug candidates for the treatment of Alzheimer’s disease, other central nervous system diseases, pain, and various cancers. The company’s lead drug candidates include ANAVEX 2-73, which has completed Phase IIa clinical trials for the treatment of Alzheimer’s disease; and in preclinical clinical trials to treat Parkinson’s disease, epilepsy, Rett syndrome, Angelman syndrome, multiple sclerosis, and Fragile X syndrome. Its preclinical drug candidates include ANAVEX 3-71 to treat Alzheimer’s disease; ANAVEX 1-41, a sigma-1 agonist; ANAVEX 1037 for the treatment of prostate cancer; and ANAVEX 1066, a mixed sigma-1/sigma-2 ligand for the treatment of neuropathic and visceral pain. The company was founded in 2006 and is based in New York, New York.</v>
      </c>
    </row>
    <row r="22" spans="2:43" ht="12.75" customHeight="1">
      <c r="B22" s="405" t="str">
        <f>'Comp.1'!B21</f>
        <v>OptiBiotix Health plc</v>
      </c>
      <c r="C22" s="92">
        <f t="shared" si="0"/>
        <v>72.915899999999993</v>
      </c>
      <c r="E22" s="90" t="str">
        <f t="shared" si="1"/>
        <v>n/a</v>
      </c>
      <c r="F22" s="90" t="str">
        <f t="shared" si="2"/>
        <v>n/a</v>
      </c>
      <c r="G22" s="90">
        <f t="shared" si="3"/>
        <v>735.88056226884203</v>
      </c>
      <c r="H22" s="406"/>
      <c r="I22" s="90" t="str">
        <f t="shared" si="4"/>
        <v>n/a</v>
      </c>
      <c r="J22" s="90">
        <f t="shared" si="5"/>
        <v>735.88056226884203</v>
      </c>
      <c r="L22" s="90">
        <f t="shared" si="6"/>
        <v>331.77362336296989</v>
      </c>
      <c r="M22" s="90">
        <f t="shared" si="7"/>
        <v>305.1266390155742</v>
      </c>
      <c r="N22" s="90">
        <f t="shared" si="8"/>
        <v>200.28565589316653</v>
      </c>
      <c r="P22" s="90">
        <f t="shared" si="9"/>
        <v>305.1266390155742</v>
      </c>
      <c r="Q22" s="90">
        <f t="shared" si="10"/>
        <v>200.28565589316653</v>
      </c>
      <c r="S22" s="137">
        <f>'Capital IQ Sheet-GPC'!AU22</f>
        <v>-1.92764</v>
      </c>
      <c r="T22" s="137">
        <f>'Capital IQ Sheet-GPC'!AV22</f>
        <v>-1.67452</v>
      </c>
      <c r="U22" s="137">
        <f>'Capital IQ Sheet-GPC'!AW22</f>
        <v>2.59022</v>
      </c>
      <c r="V22" s="137"/>
      <c r="W22" s="137">
        <f>'Capital IQ Sheet-GPC'!AX22</f>
        <v>-1.67452</v>
      </c>
      <c r="X22" s="137">
        <f>'Capital IQ Sheet-GPC'!AY22</f>
        <v>2.59022</v>
      </c>
      <c r="Z22" s="137">
        <f>'Capital IQ Sheet-GPC'!AZ22</f>
        <v>5.7451600000000003</v>
      </c>
      <c r="AA22" s="137">
        <f>'Capital IQ Sheet-GPC'!BA22</f>
        <v>6.2468899999999996</v>
      </c>
      <c r="AB22" s="137">
        <f>'Capital IQ Sheet-GPC'!BB22</f>
        <v>9.5168700000000008</v>
      </c>
      <c r="AD22" s="137">
        <f>'Capital IQ Sheet-GPC'!BC22</f>
        <v>6.2468899999999996</v>
      </c>
      <c r="AE22" s="137">
        <f>'Capital IQ Sheet-GPC'!BD22</f>
        <v>9.5168700000000008</v>
      </c>
      <c r="AG22" s="406">
        <f>'Beta Calc'!K19</f>
        <v>72.915899999999993</v>
      </c>
      <c r="AH22" s="406">
        <f>'Beta Calc'!L19</f>
        <v>0</v>
      </c>
      <c r="AI22" s="406">
        <f>'Beta Calc'!M19</f>
        <v>0</v>
      </c>
      <c r="AJ22" s="406">
        <f>'Beta Calc'!N19</f>
        <v>0</v>
      </c>
      <c r="AK22" s="406">
        <f t="shared" si="11"/>
        <v>0</v>
      </c>
      <c r="AL22" s="406">
        <f t="shared" si="12"/>
        <v>72.915899999999993</v>
      </c>
      <c r="AM22" s="406">
        <f>'Beta Calc'!Q19</f>
        <v>1.6849400000000001</v>
      </c>
      <c r="AN22" s="92">
        <f t="shared" si="13"/>
        <v>71.230959999999996</v>
      </c>
      <c r="AP22" s="93" t="str">
        <f>IF('MASTER PubCo Inputs'!C37="","",'MASTER PubCo Inputs'!C37)</f>
        <v>IQ129358643</v>
      </c>
      <c r="AQ22" s="527" t="str">
        <f>'Comp.1'!AL21</f>
        <v>Optibiotix Health Plc, a life sciences company, engages in the research and development of microbiome modulators primarily in the United Kingdom. The company is developing microbial strains, compounds, and formulations, which modulates the human microbiome and impacts lipid and cholesterol management, energy harvest, and appetite suppression activities. Its products include Slimbiome, a natural ingredient, which supports scientifically substantiated weight loss claims; CholBiome, a food supplement that combines natural ingredients and maintains healthy cholesterol levels from within; CardioBiome, a non-pharmaceutical approach for the maintenance of cardiovascular and heart health; and Sweetbiotix, a sweet calorie free natural healthy sugar. Optibiotix Health Plc was founded in 2012 and is based in York, the United Kingdom.</v>
      </c>
    </row>
    <row r="23" spans="2:43" ht="12.75" customHeight="1">
      <c r="B23" s="405" t="str">
        <f>'Comp.1'!B22</f>
        <v>Soleno Therapeutics, Inc.</v>
      </c>
      <c r="C23" s="92">
        <f t="shared" si="0"/>
        <v>46.258000000000003</v>
      </c>
      <c r="E23" s="90" t="str">
        <f t="shared" si="1"/>
        <v>n/a</v>
      </c>
      <c r="F23" s="90" t="str">
        <f t="shared" si="2"/>
        <v>n/a</v>
      </c>
      <c r="G23" s="90" t="str">
        <f t="shared" si="3"/>
        <v>n/a</v>
      </c>
      <c r="H23" s="406"/>
      <c r="I23" s="90" t="str">
        <f t="shared" si="4"/>
        <v>n/a</v>
      </c>
      <c r="J23" s="90" t="str">
        <f t="shared" si="5"/>
        <v>n/a</v>
      </c>
      <c r="L23" s="90">
        <f t="shared" si="6"/>
        <v>326.72138327048339</v>
      </c>
      <c r="M23" s="90">
        <f t="shared" si="7"/>
        <v>63.23290041135882</v>
      </c>
      <c r="N23" s="90">
        <f t="shared" si="8"/>
        <v>82.805184847300069</v>
      </c>
      <c r="P23" s="90">
        <f t="shared" si="9"/>
        <v>554.87090999068471</v>
      </c>
      <c r="Q23" s="90">
        <f t="shared" si="10"/>
        <v>71.83339042793061</v>
      </c>
      <c r="S23" s="137">
        <f>'Capital IQ Sheet-GPC'!AU23</f>
        <v>-7.4465500000000002</v>
      </c>
      <c r="T23" s="137">
        <f>'Capital IQ Sheet-GPC'!AV23</f>
        <v>-5.5936199999999996</v>
      </c>
      <c r="U23" s="137">
        <f>'Capital IQ Sheet-GPC'!AW23</f>
        <v>-13.26985</v>
      </c>
      <c r="V23" s="137"/>
      <c r="W23" s="137">
        <f>'Capital IQ Sheet-GPC'!AX23</f>
        <v>-6.7376199999999997</v>
      </c>
      <c r="X23" s="137">
        <f>'Capital IQ Sheet-GPC'!AY23</f>
        <v>-12.07385</v>
      </c>
      <c r="Z23" s="137">
        <f>'Capital IQ Sheet-GPC'!AZ23</f>
        <v>5.8339999999999996</v>
      </c>
      <c r="AA23" s="137">
        <f>'Capital IQ Sheet-GPC'!BA23</f>
        <v>30.143999999999998</v>
      </c>
      <c r="AB23" s="137">
        <f>'Capital IQ Sheet-GPC'!BB23</f>
        <v>23.018999999999998</v>
      </c>
      <c r="AD23" s="137">
        <f>'Capital IQ Sheet-GPC'!BC23</f>
        <v>3.4352</v>
      </c>
      <c r="AE23" s="137">
        <f>'Capital IQ Sheet-GPC'!BD23</f>
        <v>26.53491</v>
      </c>
      <c r="AG23" s="406">
        <f>'Beta Calc'!K20</f>
        <v>46.258000000000003</v>
      </c>
      <c r="AH23" s="406">
        <f>'Beta Calc'!L20</f>
        <v>0</v>
      </c>
      <c r="AI23" s="406">
        <f>'Beta Calc'!M20</f>
        <v>0</v>
      </c>
      <c r="AJ23" s="406">
        <f>'Beta Calc'!N20</f>
        <v>0</v>
      </c>
      <c r="AK23" s="406">
        <f t="shared" si="11"/>
        <v>0</v>
      </c>
      <c r="AL23" s="406">
        <f t="shared" si="12"/>
        <v>46.258000000000003</v>
      </c>
      <c r="AM23" s="406">
        <f>'Beta Calc'!Q20</f>
        <v>14.866</v>
      </c>
      <c r="AN23" s="92">
        <f t="shared" si="13"/>
        <v>31.392000000000003</v>
      </c>
      <c r="AP23" s="93" t="str">
        <f>IF('MASTER PubCo Inputs'!C38="","",'MASTER PubCo Inputs'!C38)</f>
        <v>IQ2520553</v>
      </c>
      <c r="AQ23" s="527" t="str">
        <f>'Comp.1'!AL22</f>
        <v>Soleno Therapeutics, Inc. focuses on the development and commercialization of novel therapeutics for the treatment of rare diseases. Its lead candidate, diazoxide choline controlled-release (DCCR), a tablet for the treatment of Prader-Willi Syndrome (PWS), is entering into late-stage clinical development. The company was formerly known as Capnia, Inc. and changed its name to Soleno Therapeutics, Inc. in May 2017. Soleno Therapeutics, Inc. was founded in 1999 and is based in Redwood City, California.</v>
      </c>
    </row>
    <row r="24" spans="2:43" ht="12.75" customHeight="1">
      <c r="B24" s="405" t="str">
        <f>'Comp.1'!B23</f>
        <v>Synthetic Biologics, Inc.</v>
      </c>
      <c r="C24" s="92">
        <f t="shared" si="0"/>
        <v>30.72748</v>
      </c>
      <c r="E24" s="90" t="str">
        <f t="shared" si="1"/>
        <v>n/a</v>
      </c>
      <c r="F24" s="90" t="str">
        <f t="shared" si="2"/>
        <v>n/a</v>
      </c>
      <c r="G24" s="90" t="str">
        <f t="shared" si="3"/>
        <v>n/a</v>
      </c>
      <c r="H24" s="406"/>
      <c r="I24" s="90" t="str">
        <f t="shared" si="4"/>
        <v>n/a</v>
      </c>
      <c r="J24" s="90" t="str">
        <f t="shared" si="5"/>
        <v>n/a</v>
      </c>
      <c r="L24" s="90">
        <f t="shared" si="6"/>
        <v>382.98021900743419</v>
      </c>
      <c r="M24" s="90">
        <f t="shared" si="7"/>
        <v>2504.7208278580815</v>
      </c>
      <c r="N24" s="90">
        <f t="shared" si="8"/>
        <v>272.182286163073</v>
      </c>
      <c r="P24" s="90">
        <f t="shared" si="9"/>
        <v>847.52892396620723</v>
      </c>
      <c r="Q24" s="90">
        <f t="shared" si="10"/>
        <v>220.53598866134442</v>
      </c>
      <c r="S24" s="137">
        <f>'Capital IQ Sheet-GPC'!AU24</f>
        <v>-43.505000000000003</v>
      </c>
      <c r="T24" s="137">
        <f>'Capital IQ Sheet-GPC'!AV24</f>
        <v>-19.783000000000001</v>
      </c>
      <c r="U24" s="137">
        <f>'Capital IQ Sheet-GPC'!AW24</f>
        <v>-14.76</v>
      </c>
      <c r="V24" s="137"/>
      <c r="W24" s="137">
        <f>'Capital IQ Sheet-GPC'!AX24</f>
        <v>-27.803000000000001</v>
      </c>
      <c r="X24" s="137">
        <f>'Capital IQ Sheet-GPC'!AY24</f>
        <v>-15.492000000000001</v>
      </c>
      <c r="Z24" s="137">
        <f>'Capital IQ Sheet-GPC'!AZ24</f>
        <v>4.9770000000000003</v>
      </c>
      <c r="AA24" s="137">
        <f>'Capital IQ Sheet-GPC'!BA24</f>
        <v>0.76100000000000001</v>
      </c>
      <c r="AB24" s="137">
        <f>'Capital IQ Sheet-GPC'!BB24</f>
        <v>7.0030000000000001</v>
      </c>
      <c r="AD24" s="137">
        <f>'Capital IQ Sheet-GPC'!BC24</f>
        <v>2.2490000000000001</v>
      </c>
      <c r="AE24" s="137">
        <f>'Capital IQ Sheet-GPC'!BD24</f>
        <v>8.6430000000000007</v>
      </c>
      <c r="AG24" s="406">
        <f>'Beta Calc'!K21</f>
        <v>30.72748</v>
      </c>
      <c r="AH24" s="406">
        <f>'Beta Calc'!L21</f>
        <v>0</v>
      </c>
      <c r="AI24" s="406">
        <f>'Beta Calc'!M21</f>
        <v>12.112</v>
      </c>
      <c r="AJ24" s="406">
        <f>'Beta Calc'!N21</f>
        <v>-1.923</v>
      </c>
      <c r="AK24" s="406">
        <f t="shared" si="11"/>
        <v>10.189</v>
      </c>
      <c r="AL24" s="406">
        <f t="shared" si="12"/>
        <v>40.91648</v>
      </c>
      <c r="AM24" s="406">
        <f>'Beta Calc'!Q21</f>
        <v>11.037000000000001</v>
      </c>
      <c r="AN24" s="92">
        <f t="shared" si="13"/>
        <v>29.879480000000001</v>
      </c>
      <c r="AP24" s="93" t="str">
        <f>IF('MASTER PubCo Inputs'!C39="","",'MASTER PubCo Inputs'!C39)</f>
        <v>IQ24424557</v>
      </c>
      <c r="AQ24" s="527" t="str">
        <f>'Comp.1'!AL23</f>
        <v>Synthetic Biologics, Inc., a late-stage clinical company, develops therapeutics designed to preserve the microbiome to protect and restore the health of patients. Its lead product candidates are in Phase III development, such as SYN-004 that is designed to protect the gut microbiome from the effects of commonly used intravenous (IV) beta-lactam antibiotics for the prevention of C. difficile infection, overgrowth of pathogenic organisms, and the emergence of antimicrobial resistance; and SYN-010 which is intended to reduce the impact of methane-producing organisms in the gut microbiome to treat an underlying cause of irritable bowel syndrome with constipation. The company’s preclinical products include an oral formulation of the enzyme intestinal alkaline phosphatase to treat local GI disorders and systemic diseases; monoclonal antibody therapies for the prevention and treatment of pertussis; and novel discovery stage biotherapeutics for the treatment of phenylketonuria. Synthetic Biologics, Inc. has collaborations with Intrexon Corporation, The University of Texas at Austin, and Cedars-Sinai Medical Center. The company was formerly known as Adeona Pharmaceuticals, Inc. and changed its name to Synthetic Biologics, Inc. in February 2012. Synthetic Biologics, Inc. was founded in 2001 and is headquartered in Rockville, Maryland.</v>
      </c>
    </row>
    <row r="25" spans="2:43" ht="12.75" customHeight="1">
      <c r="B25" s="405" t="str">
        <f>'Comp.1'!B24</f>
        <v>Nexus BioPharma, Inc.</v>
      </c>
      <c r="C25" s="92">
        <f t="shared" si="0"/>
        <v>3.8515700000000002</v>
      </c>
      <c r="E25" s="90" t="str">
        <f t="shared" si="1"/>
        <v>n/a</v>
      </c>
      <c r="F25" s="90" t="str">
        <f t="shared" si="2"/>
        <v>n/a</v>
      </c>
      <c r="G25" s="90" t="str">
        <f t="shared" si="3"/>
        <v>n/a</v>
      </c>
      <c r="H25" s="406"/>
      <c r="I25" s="90" t="str">
        <f t="shared" si="4"/>
        <v>n/a</v>
      </c>
      <c r="J25" s="90" t="str">
        <f t="shared" si="5"/>
        <v>n/a</v>
      </c>
      <c r="L25" s="90" t="str">
        <f t="shared" si="6"/>
        <v>n/a</v>
      </c>
      <c r="M25" s="90" t="str">
        <f t="shared" si="7"/>
        <v>n/a</v>
      </c>
      <c r="N25" s="90" t="str">
        <f t="shared" si="8"/>
        <v>n/a</v>
      </c>
      <c r="P25" s="90" t="str">
        <f t="shared" si="9"/>
        <v>n/a</v>
      </c>
      <c r="Q25" s="90" t="str">
        <f t="shared" si="10"/>
        <v>n/a</v>
      </c>
      <c r="S25" s="137">
        <f>'Capital IQ Sheet-GPC'!AU25</f>
        <v>0</v>
      </c>
      <c r="T25" s="137">
        <f>'Capital IQ Sheet-GPC'!AV25</f>
        <v>-1.26711</v>
      </c>
      <c r="U25" s="137">
        <f>'Capital IQ Sheet-GPC'!AW25</f>
        <v>-0.81664000000000003</v>
      </c>
      <c r="V25" s="137"/>
      <c r="W25" s="137">
        <f>'Capital IQ Sheet-GPC'!AX25</f>
        <v>-0.65646000000000004</v>
      </c>
      <c r="X25" s="137">
        <f>'Capital IQ Sheet-GPC'!AY25</f>
        <v>-0.81664000000000003</v>
      </c>
      <c r="Z25" s="137">
        <f>'Capital IQ Sheet-GPC'!AZ25</f>
        <v>0</v>
      </c>
      <c r="AA25" s="137">
        <f>'Capital IQ Sheet-GPC'!BA25</f>
        <v>-0.93464999999999998</v>
      </c>
      <c r="AB25" s="137">
        <f>'Capital IQ Sheet-GPC'!BB25</f>
        <v>-1.8492</v>
      </c>
      <c r="AD25" s="137">
        <f>'Capital IQ Sheet-GPC'!BC25</f>
        <v>-1.34463</v>
      </c>
      <c r="AE25" s="137">
        <f>'Capital IQ Sheet-GPC'!BD25</f>
        <v>-1.8492</v>
      </c>
      <c r="AG25" s="406">
        <f>'Beta Calc'!K22</f>
        <v>3.8515700000000002</v>
      </c>
      <c r="AH25" s="406">
        <f>'Beta Calc'!L22</f>
        <v>0.36752000000000001</v>
      </c>
      <c r="AI25" s="406">
        <f>'Beta Calc'!M22</f>
        <v>0</v>
      </c>
      <c r="AJ25" s="406">
        <f>'Beta Calc'!N22</f>
        <v>0</v>
      </c>
      <c r="AK25" s="406">
        <f t="shared" si="11"/>
        <v>0.36752000000000001</v>
      </c>
      <c r="AL25" s="406">
        <f t="shared" si="12"/>
        <v>4.2190900000000005</v>
      </c>
      <c r="AM25" s="406">
        <f>'Beta Calc'!Q22</f>
        <v>8.43E-3</v>
      </c>
      <c r="AN25" s="92">
        <f t="shared" si="13"/>
        <v>4.2106600000000007</v>
      </c>
      <c r="AP25" s="93" t="str">
        <f>IF('MASTER PubCo Inputs'!C40="","",'MASTER PubCo Inputs'!C40)</f>
        <v>IQ340704541</v>
      </c>
      <c r="AQ25" s="527" t="str">
        <f>'Comp.1'!AL24</f>
        <v>Nexus BioPharma, Inc., a life science company, focuses on the development and commercialization of a pharmaceutical preparation to treat obesity and the symptoms of type 2 diabetes. The company is headquartered in Houston, Texas.</v>
      </c>
    </row>
    <row r="26" spans="2:43" ht="12.75" customHeight="1">
      <c r="B26" s="405" t="str">
        <f>'Comp.1'!B25</f>
        <v>Ritter Pharmaceuticals, Inc.</v>
      </c>
      <c r="C26" s="92">
        <f t="shared" si="0"/>
        <v>12.90047</v>
      </c>
      <c r="E26" s="90" t="str">
        <f t="shared" si="1"/>
        <v>n/a</v>
      </c>
      <c r="F26" s="90" t="str">
        <f t="shared" si="2"/>
        <v>n/a</v>
      </c>
      <c r="G26" s="90" t="str">
        <f t="shared" si="3"/>
        <v>n/a</v>
      </c>
      <c r="H26" s="406"/>
      <c r="I26" s="90" t="str">
        <f t="shared" si="4"/>
        <v>n/a</v>
      </c>
      <c r="J26" s="90" t="str">
        <f t="shared" si="5"/>
        <v>n/a</v>
      </c>
      <c r="L26" s="90">
        <f t="shared" si="6"/>
        <v>159.68912817823323</v>
      </c>
      <c r="M26" s="90">
        <f t="shared" si="7"/>
        <v>699.74029001468432</v>
      </c>
      <c r="N26" s="90">
        <f t="shared" si="8"/>
        <v>104.01085621988551</v>
      </c>
      <c r="P26" s="90">
        <f t="shared" si="9"/>
        <v>464.55390610909905</v>
      </c>
      <c r="Q26" s="90">
        <f t="shared" si="10"/>
        <v>94.708061421108454</v>
      </c>
      <c r="S26" s="137">
        <f>'Capital IQ Sheet-GPC'!AU26</f>
        <v>-10.52922</v>
      </c>
      <c r="T26" s="137">
        <f>'Capital IQ Sheet-GPC'!AV26</f>
        <v>-16.92942</v>
      </c>
      <c r="U26" s="137">
        <f>'Capital IQ Sheet-GPC'!AW26</f>
        <v>-8.2033100000000001</v>
      </c>
      <c r="V26" s="137"/>
      <c r="W26" s="137">
        <f>'Capital IQ Sheet-GPC'!AX26</f>
        <v>-18.384630000000001</v>
      </c>
      <c r="X26" s="137">
        <f>'Capital IQ Sheet-GPC'!AY26</f>
        <v>-7.8638599999999999</v>
      </c>
      <c r="Z26" s="137">
        <f>'Capital IQ Sheet-GPC'!AZ26</f>
        <v>11.93627</v>
      </c>
      <c r="AA26" s="137">
        <f>'Capital IQ Sheet-GPC'!BA26</f>
        <v>2.7240000000000002</v>
      </c>
      <c r="AB26" s="137">
        <f>'Capital IQ Sheet-GPC'!BB26</f>
        <v>18.325900000000001</v>
      </c>
      <c r="AD26" s="137">
        <f>'Capital IQ Sheet-GPC'!BC26</f>
        <v>4.1030600000000002</v>
      </c>
      <c r="AE26" s="137">
        <f>'Capital IQ Sheet-GPC'!BD26</f>
        <v>20.125979999999998</v>
      </c>
      <c r="AG26" s="406">
        <f>'Beta Calc'!K23</f>
        <v>12.90047</v>
      </c>
      <c r="AH26" s="406">
        <f>'Beta Calc'!L23</f>
        <v>0</v>
      </c>
      <c r="AI26" s="406">
        <f>'Beta Calc'!M23</f>
        <v>4.9489799999999997</v>
      </c>
      <c r="AJ26" s="406">
        <f>'Beta Calc'!N23</f>
        <v>0</v>
      </c>
      <c r="AK26" s="406">
        <f t="shared" si="11"/>
        <v>4.9489799999999997</v>
      </c>
      <c r="AL26" s="406">
        <f t="shared" si="12"/>
        <v>17.849450000000001</v>
      </c>
      <c r="AM26" s="406">
        <f>'Beta Calc'!Q23</f>
        <v>18.91704</v>
      </c>
      <c r="AN26" s="92">
        <f t="shared" si="13"/>
        <v>-1.0675899999999992</v>
      </c>
      <c r="AP26" s="93" t="str">
        <f>IF('MASTER PubCo Inputs'!C41="","",'MASTER PubCo Inputs'!C41)</f>
        <v>IQ62102047</v>
      </c>
      <c r="AQ26" s="527" t="str">
        <f>'Comp.1'!AL25</f>
        <v>Ritter Pharmaceuticals, Inc. develops and sells novel therapeutic products that modulate the human gut microbiome to treat gastrointestinal diseases. Its lead product candidate is RP-G28, a novel microbiome modulator, which has completed Phase 2b clinical trial for the reduction of symptoms associated with lactose intolerance. The company’s product, RP-G28 is designed to stimulate the growth of lactose-metabolizing bacteria in the colon, thereby adapting the gut microbiome to assist in digesting the lactose that reaches the large intestine. The company was formerly known as Ritter Natural Sciences, LLC and changed its name to Ritter Pharmaceuticals, Inc. in September 2008. Ritter Pharmaceuticals, Inc. was founded in 2004 and is headquartered in Los Angeles, California.</v>
      </c>
    </row>
    <row r="27" spans="2:43" ht="12.75" customHeight="1">
      <c r="B27" s="405">
        <f>'Comp.1'!B26</f>
        <v>0</v>
      </c>
      <c r="C27" s="92" t="str">
        <f t="shared" si="0"/>
        <v>(Invalid Identifier)</v>
      </c>
      <c r="E27" s="90" t="str">
        <f t="shared" si="1"/>
        <v>n/a</v>
      </c>
      <c r="F27" s="90" t="str">
        <f t="shared" si="2"/>
        <v>n/a</v>
      </c>
      <c r="G27" s="90" t="str">
        <f t="shared" si="3"/>
        <v>n/a</v>
      </c>
      <c r="H27" s="406"/>
      <c r="I27" s="90" t="str">
        <f t="shared" si="4"/>
        <v>n/a</v>
      </c>
      <c r="J27" s="90" t="str">
        <f t="shared" si="5"/>
        <v>n/a</v>
      </c>
      <c r="L27" s="90" t="str">
        <f t="shared" si="6"/>
        <v>n/a</v>
      </c>
      <c r="M27" s="90" t="str">
        <f t="shared" si="7"/>
        <v>n/a</v>
      </c>
      <c r="N27" s="90" t="str">
        <f t="shared" si="8"/>
        <v>n/a</v>
      </c>
      <c r="P27" s="90" t="str">
        <f t="shared" si="9"/>
        <v>n/a</v>
      </c>
      <c r="Q27" s="90" t="str">
        <f t="shared" si="10"/>
        <v>n/a</v>
      </c>
      <c r="S27" s="137" t="str">
        <f>'Capital IQ Sheet-GPC'!AU27</f>
        <v>(Invalid Identifier)</v>
      </c>
      <c r="T27" s="137" t="str">
        <f>'Capital IQ Sheet-GPC'!AV27</f>
        <v>(Invalid Identifier)</v>
      </c>
      <c r="U27" s="137" t="str">
        <f>'Capital IQ Sheet-GPC'!AW27</f>
        <v>(Invalid Identifier)</v>
      </c>
      <c r="V27" s="137"/>
      <c r="W27" s="137" t="str">
        <f>'Capital IQ Sheet-GPC'!AX27</f>
        <v>(Invalid Identifier)</v>
      </c>
      <c r="X27" s="137" t="str">
        <f>'Capital IQ Sheet-GPC'!AY27</f>
        <v>(Invalid Identifier)</v>
      </c>
      <c r="Z27" s="137" t="str">
        <f>'Capital IQ Sheet-GPC'!AZ27</f>
        <v>(Invalid Identifier)</v>
      </c>
      <c r="AA27" s="137" t="str">
        <f>'Capital IQ Sheet-GPC'!BA27</f>
        <v>(Invalid Identifier)</v>
      </c>
      <c r="AB27" s="137" t="str">
        <f>'Capital IQ Sheet-GPC'!BB27</f>
        <v>(Invalid Identifier)</v>
      </c>
      <c r="AD27" s="137" t="str">
        <f>'Capital IQ Sheet-GPC'!BC27</f>
        <v>(Invalid Identifier)</v>
      </c>
      <c r="AE27" s="137" t="str">
        <f>'Capital IQ Sheet-GPC'!BD27</f>
        <v>(Invalid Identifier)</v>
      </c>
      <c r="AG27" s="406" t="str">
        <f>'Beta Calc'!K24</f>
        <v>(Invalid Identifier)</v>
      </c>
      <c r="AH27" s="406" t="str">
        <f>'Beta Calc'!L24</f>
        <v>(Invalid Identifier)</v>
      </c>
      <c r="AI27" s="406" t="str">
        <f>'Beta Calc'!M24</f>
        <v>(Invalid Identifier)</v>
      </c>
      <c r="AJ27" s="406" t="str">
        <f>'Beta Calc'!N24</f>
        <v>(Invalid Identifier)</v>
      </c>
      <c r="AK27" s="406">
        <f t="shared" si="11"/>
        <v>0</v>
      </c>
      <c r="AL27" s="406">
        <f t="shared" si="12"/>
        <v>0</v>
      </c>
      <c r="AM27" s="406" t="str">
        <f>'Beta Calc'!Q24</f>
        <v>(Invalid Identifier)</v>
      </c>
      <c r="AN27" s="92" t="str">
        <f t="shared" si="13"/>
        <v>n/a</v>
      </c>
      <c r="AP27" s="93" t="str">
        <f>IF('MASTER PubCo Inputs'!C42="","",'MASTER PubCo Inputs'!C42)</f>
        <v>(Invalid Identifier)</v>
      </c>
      <c r="AQ27" s="527">
        <f>'Comp.1'!AL26</f>
        <v>0</v>
      </c>
    </row>
    <row r="28" spans="2:43" ht="12.75" customHeight="1">
      <c r="B28" s="405">
        <f>'Comp.1'!B27</f>
        <v>0</v>
      </c>
      <c r="C28" s="92">
        <f t="shared" si="0"/>
        <v>0</v>
      </c>
      <c r="E28" s="90" t="str">
        <f t="shared" si="1"/>
        <v>n/a</v>
      </c>
      <c r="F28" s="90" t="str">
        <f t="shared" si="2"/>
        <v>n/a</v>
      </c>
      <c r="G28" s="90" t="str">
        <f t="shared" si="3"/>
        <v>n/a</v>
      </c>
      <c r="H28" s="406"/>
      <c r="I28" s="90" t="str">
        <f t="shared" si="4"/>
        <v>n/a</v>
      </c>
      <c r="J28" s="90" t="str">
        <f t="shared" si="5"/>
        <v>n/a</v>
      </c>
      <c r="L28" s="90" t="str">
        <f t="shared" si="6"/>
        <v>n/a</v>
      </c>
      <c r="M28" s="90" t="str">
        <f t="shared" si="7"/>
        <v>n/a</v>
      </c>
      <c r="N28" s="90" t="str">
        <f t="shared" si="8"/>
        <v>n/a</v>
      </c>
      <c r="P28" s="90" t="str">
        <f t="shared" si="9"/>
        <v>n/a</v>
      </c>
      <c r="Q28" s="90" t="str">
        <f t="shared" si="10"/>
        <v>n/a</v>
      </c>
      <c r="S28" s="137" t="str">
        <f>'Capital IQ Sheet-GPC'!AU28</f>
        <v>(Invalid Identifier)</v>
      </c>
      <c r="T28" s="137" t="str">
        <f>'Capital IQ Sheet-GPC'!AV28</f>
        <v>(Invalid Identifier)</v>
      </c>
      <c r="U28" s="137" t="str">
        <f>'Capital IQ Sheet-GPC'!AW28</f>
        <v>(Invalid Identifier)</v>
      </c>
      <c r="V28" s="137"/>
      <c r="W28" s="137" t="str">
        <f>'Capital IQ Sheet-GPC'!AX28</f>
        <v>(Invalid Identifier)</v>
      </c>
      <c r="X28" s="137" t="str">
        <f>'Capital IQ Sheet-GPC'!AY28</f>
        <v>(Invalid Identifier)</v>
      </c>
      <c r="Z28" s="137" t="str">
        <f>'Capital IQ Sheet-GPC'!AZ28</f>
        <v>(Invalid Identifier)</v>
      </c>
      <c r="AA28" s="137" t="str">
        <f>'Capital IQ Sheet-GPC'!BA28</f>
        <v>(Invalid Identifier)</v>
      </c>
      <c r="AB28" s="137" t="str">
        <f>'Capital IQ Sheet-GPC'!BB28</f>
        <v>(Invalid Identifier)</v>
      </c>
      <c r="AD28" s="137" t="str">
        <f>'Capital IQ Sheet-GPC'!BC28</f>
        <v>(Invalid Identifier)</v>
      </c>
      <c r="AE28" s="137" t="str">
        <f>'Capital IQ Sheet-GPC'!BD28</f>
        <v>(Invalid Identifier)</v>
      </c>
      <c r="AG28" s="406">
        <f>'Beta Calc'!K25</f>
        <v>0</v>
      </c>
      <c r="AH28" s="406">
        <f>'Beta Calc'!L25</f>
        <v>0</v>
      </c>
      <c r="AI28" s="406">
        <f>'Beta Calc'!M25</f>
        <v>0</v>
      </c>
      <c r="AJ28" s="406">
        <f>'Beta Calc'!N25</f>
        <v>0</v>
      </c>
      <c r="AK28" s="406">
        <f t="shared" si="11"/>
        <v>0</v>
      </c>
      <c r="AL28" s="406">
        <f t="shared" si="12"/>
        <v>0</v>
      </c>
      <c r="AM28" s="406">
        <f>'Beta Calc'!Q25</f>
        <v>0</v>
      </c>
      <c r="AN28" s="92">
        <f t="shared" si="13"/>
        <v>0</v>
      </c>
      <c r="AP28" s="93" t="str">
        <f>IF('MASTER PubCo Inputs'!C43="","",'MASTER PubCo Inputs'!C43)</f>
        <v>(Invalid Identifier)</v>
      </c>
      <c r="AQ28" s="527">
        <f>'Comp.1'!AL27</f>
        <v>0</v>
      </c>
    </row>
    <row r="29" spans="2:43" ht="12.75" customHeight="1">
      <c r="B29" s="405">
        <f>'Comp.1'!B28</f>
        <v>0</v>
      </c>
      <c r="C29" s="92">
        <f t="shared" si="0"/>
        <v>0</v>
      </c>
      <c r="E29" s="90" t="str">
        <f t="shared" si="1"/>
        <v>n/a</v>
      </c>
      <c r="F29" s="90" t="str">
        <f t="shared" si="2"/>
        <v>n/a</v>
      </c>
      <c r="G29" s="90" t="str">
        <f t="shared" si="3"/>
        <v>n/a</v>
      </c>
      <c r="H29" s="406"/>
      <c r="I29" s="90" t="str">
        <f t="shared" si="4"/>
        <v>n/a</v>
      </c>
      <c r="J29" s="90" t="str">
        <f t="shared" si="5"/>
        <v>n/a</v>
      </c>
      <c r="L29" s="90" t="str">
        <f t="shared" si="6"/>
        <v>n/a</v>
      </c>
      <c r="M29" s="90" t="str">
        <f t="shared" si="7"/>
        <v>n/a</v>
      </c>
      <c r="N29" s="90" t="str">
        <f t="shared" si="8"/>
        <v>n/a</v>
      </c>
      <c r="P29" s="90" t="str">
        <f t="shared" si="9"/>
        <v>n/a</v>
      </c>
      <c r="Q29" s="90" t="str">
        <f t="shared" si="10"/>
        <v>n/a</v>
      </c>
      <c r="S29" s="137" t="str">
        <f>'Capital IQ Sheet-GPC'!AU29</f>
        <v>(Invalid Identifier)</v>
      </c>
      <c r="T29" s="137" t="str">
        <f>'Capital IQ Sheet-GPC'!AV29</f>
        <v>(Invalid Identifier)</v>
      </c>
      <c r="U29" s="137" t="str">
        <f>'Capital IQ Sheet-GPC'!AW29</f>
        <v>(Invalid Identifier)</v>
      </c>
      <c r="V29" s="137"/>
      <c r="W29" s="137" t="str">
        <f>'Capital IQ Sheet-GPC'!AX29</f>
        <v>(Invalid Identifier)</v>
      </c>
      <c r="X29" s="137" t="str">
        <f>'Capital IQ Sheet-GPC'!AY29</f>
        <v>(Invalid Identifier)</v>
      </c>
      <c r="Z29" s="137" t="str">
        <f>'Capital IQ Sheet-GPC'!AZ29</f>
        <v>(Invalid Identifier)</v>
      </c>
      <c r="AA29" s="137" t="str">
        <f>'Capital IQ Sheet-GPC'!BA29</f>
        <v>(Invalid Identifier)</v>
      </c>
      <c r="AB29" s="137" t="str">
        <f>'Capital IQ Sheet-GPC'!BB29</f>
        <v>(Invalid Identifier)</v>
      </c>
      <c r="AD29" s="137" t="str">
        <f>'Capital IQ Sheet-GPC'!BC29</f>
        <v>(Invalid Identifier)</v>
      </c>
      <c r="AE29" s="137" t="str">
        <f>'Capital IQ Sheet-GPC'!BD29</f>
        <v>(Invalid Identifier)</v>
      </c>
      <c r="AG29" s="406">
        <f>'Beta Calc'!K26</f>
        <v>0</v>
      </c>
      <c r="AH29" s="406">
        <f>'Beta Calc'!L26</f>
        <v>0</v>
      </c>
      <c r="AI29" s="406">
        <f>'Beta Calc'!M26</f>
        <v>0</v>
      </c>
      <c r="AJ29" s="406">
        <f>'Beta Calc'!N26</f>
        <v>0</v>
      </c>
      <c r="AK29" s="406">
        <f t="shared" si="11"/>
        <v>0</v>
      </c>
      <c r="AL29" s="406">
        <f t="shared" si="12"/>
        <v>0</v>
      </c>
      <c r="AM29" s="406">
        <f>'Beta Calc'!Q26</f>
        <v>0</v>
      </c>
      <c r="AN29" s="92">
        <f t="shared" si="13"/>
        <v>0</v>
      </c>
      <c r="AP29" s="93" t="str">
        <f>IF('MASTER PubCo Inputs'!C44="","",'MASTER PubCo Inputs'!C44)</f>
        <v>(Invalid Identifier)</v>
      </c>
      <c r="AQ29" s="527">
        <f>'Comp.1'!AL28</f>
        <v>0</v>
      </c>
    </row>
    <row r="30" spans="2:43" ht="12.75" customHeight="1">
      <c r="B30" s="405">
        <f>'Comp.1'!B29</f>
        <v>0</v>
      </c>
      <c r="C30" s="92">
        <f t="shared" si="0"/>
        <v>0</v>
      </c>
      <c r="E30" s="90" t="str">
        <f t="shared" si="1"/>
        <v>n/a</v>
      </c>
      <c r="F30" s="90" t="str">
        <f t="shared" si="2"/>
        <v>n/a</v>
      </c>
      <c r="G30" s="90" t="str">
        <f t="shared" si="3"/>
        <v>n/a</v>
      </c>
      <c r="H30" s="406"/>
      <c r="I30" s="90" t="str">
        <f t="shared" si="4"/>
        <v>n/a</v>
      </c>
      <c r="J30" s="90" t="str">
        <f t="shared" si="5"/>
        <v>n/a</v>
      </c>
      <c r="L30" s="90" t="str">
        <f t="shared" si="6"/>
        <v>n/a</v>
      </c>
      <c r="M30" s="90" t="str">
        <f t="shared" si="7"/>
        <v>n/a</v>
      </c>
      <c r="N30" s="90" t="str">
        <f t="shared" si="8"/>
        <v>n/a</v>
      </c>
      <c r="P30" s="90" t="str">
        <f t="shared" si="9"/>
        <v>n/a</v>
      </c>
      <c r="Q30" s="90" t="str">
        <f t="shared" si="10"/>
        <v>n/a</v>
      </c>
      <c r="S30" s="137" t="str">
        <f>'Capital IQ Sheet-GPC'!AU30</f>
        <v>(Invalid Identifier)</v>
      </c>
      <c r="T30" s="137" t="str">
        <f>'Capital IQ Sheet-GPC'!AV30</f>
        <v>(Invalid Identifier)</v>
      </c>
      <c r="U30" s="137" t="str">
        <f>'Capital IQ Sheet-GPC'!AW30</f>
        <v>(Invalid Identifier)</v>
      </c>
      <c r="V30" s="137"/>
      <c r="W30" s="137" t="str">
        <f>'Capital IQ Sheet-GPC'!AX30</f>
        <v>(Invalid Identifier)</v>
      </c>
      <c r="X30" s="137" t="str">
        <f>'Capital IQ Sheet-GPC'!AY30</f>
        <v>(Invalid Identifier)</v>
      </c>
      <c r="Z30" s="137" t="str">
        <f>'Capital IQ Sheet-GPC'!AZ30</f>
        <v>(Invalid Identifier)</v>
      </c>
      <c r="AA30" s="137" t="str">
        <f>'Capital IQ Sheet-GPC'!BA30</f>
        <v>(Invalid Identifier)</v>
      </c>
      <c r="AB30" s="137" t="str">
        <f>'Capital IQ Sheet-GPC'!BB30</f>
        <v>(Invalid Identifier)</v>
      </c>
      <c r="AD30" s="137" t="str">
        <f>'Capital IQ Sheet-GPC'!BC30</f>
        <v>(Invalid Identifier)</v>
      </c>
      <c r="AE30" s="137" t="str">
        <f>'Capital IQ Sheet-GPC'!BD30</f>
        <v>(Invalid Identifier)</v>
      </c>
      <c r="AG30" s="406">
        <f>'Beta Calc'!K27</f>
        <v>0</v>
      </c>
      <c r="AH30" s="406">
        <f>'Beta Calc'!L27</f>
        <v>0</v>
      </c>
      <c r="AI30" s="406">
        <f>'Beta Calc'!M27</f>
        <v>0</v>
      </c>
      <c r="AJ30" s="406">
        <f>'Beta Calc'!N27</f>
        <v>0</v>
      </c>
      <c r="AK30" s="406">
        <f t="shared" si="11"/>
        <v>0</v>
      </c>
      <c r="AL30" s="406">
        <f t="shared" si="12"/>
        <v>0</v>
      </c>
      <c r="AM30" s="406">
        <f>'Beta Calc'!Q27</f>
        <v>0</v>
      </c>
      <c r="AN30" s="92">
        <f t="shared" si="13"/>
        <v>0</v>
      </c>
      <c r="AP30" s="93" t="str">
        <f>IF('MASTER PubCo Inputs'!C45="","",'MASTER PubCo Inputs'!C45)</f>
        <v>(Invalid Identifier)</v>
      </c>
      <c r="AQ30" s="527">
        <f>'Comp.1'!AL29</f>
        <v>0</v>
      </c>
    </row>
    <row r="31" spans="2:43" ht="12.75" customHeight="1">
      <c r="B31" s="405">
        <f>'Comp.1'!B30</f>
        <v>0</v>
      </c>
      <c r="C31" s="92">
        <f t="shared" si="0"/>
        <v>0</v>
      </c>
      <c r="E31" s="90" t="str">
        <f t="shared" si="1"/>
        <v>n/a</v>
      </c>
      <c r="F31" s="90" t="str">
        <f t="shared" si="2"/>
        <v>n/a</v>
      </c>
      <c r="G31" s="90" t="str">
        <f t="shared" si="3"/>
        <v>n/a</v>
      </c>
      <c r="H31" s="406"/>
      <c r="I31" s="90" t="str">
        <f t="shared" si="4"/>
        <v>n/a</v>
      </c>
      <c r="J31" s="90" t="str">
        <f t="shared" si="5"/>
        <v>n/a</v>
      </c>
      <c r="L31" s="90" t="str">
        <f t="shared" si="6"/>
        <v>n/a</v>
      </c>
      <c r="M31" s="90" t="str">
        <f t="shared" si="7"/>
        <v>n/a</v>
      </c>
      <c r="N31" s="90" t="str">
        <f t="shared" si="8"/>
        <v>n/a</v>
      </c>
      <c r="P31" s="90" t="str">
        <f t="shared" si="9"/>
        <v>n/a</v>
      </c>
      <c r="Q31" s="90" t="str">
        <f t="shared" si="10"/>
        <v>n/a</v>
      </c>
      <c r="S31" s="137" t="str">
        <f>'Capital IQ Sheet-GPC'!AU31</f>
        <v>(Invalid Identifier)</v>
      </c>
      <c r="T31" s="137" t="str">
        <f>'Capital IQ Sheet-GPC'!AV31</f>
        <v>(Invalid Identifier)</v>
      </c>
      <c r="U31" s="137" t="str">
        <f>'Capital IQ Sheet-GPC'!AW31</f>
        <v>(Invalid Identifier)</v>
      </c>
      <c r="V31" s="137"/>
      <c r="W31" s="137" t="str">
        <f>'Capital IQ Sheet-GPC'!AX31</f>
        <v>(Invalid Identifier)</v>
      </c>
      <c r="X31" s="137" t="str">
        <f>'Capital IQ Sheet-GPC'!AY31</f>
        <v>(Invalid Identifier)</v>
      </c>
      <c r="Z31" s="137" t="str">
        <f>'Capital IQ Sheet-GPC'!AZ31</f>
        <v>(Invalid Identifier)</v>
      </c>
      <c r="AA31" s="137" t="str">
        <f>'Capital IQ Sheet-GPC'!BA31</f>
        <v>(Invalid Identifier)</v>
      </c>
      <c r="AB31" s="137" t="str">
        <f>'Capital IQ Sheet-GPC'!BB31</f>
        <v>(Invalid Identifier)</v>
      </c>
      <c r="AD31" s="137" t="str">
        <f>'Capital IQ Sheet-GPC'!BC31</f>
        <v>(Invalid Identifier)</v>
      </c>
      <c r="AE31" s="137" t="str">
        <f>'Capital IQ Sheet-GPC'!BD31</f>
        <v>(Invalid Identifier)</v>
      </c>
      <c r="AG31" s="406">
        <f>'Beta Calc'!K28</f>
        <v>0</v>
      </c>
      <c r="AH31" s="406">
        <f>'Beta Calc'!L28</f>
        <v>0</v>
      </c>
      <c r="AI31" s="406">
        <f>'Beta Calc'!M28</f>
        <v>0</v>
      </c>
      <c r="AJ31" s="406">
        <f>'Beta Calc'!N28</f>
        <v>0</v>
      </c>
      <c r="AK31" s="406">
        <f t="shared" si="11"/>
        <v>0</v>
      </c>
      <c r="AL31" s="406">
        <f t="shared" si="12"/>
        <v>0</v>
      </c>
      <c r="AM31" s="406">
        <f>'Beta Calc'!Q28</f>
        <v>0</v>
      </c>
      <c r="AN31" s="92">
        <f t="shared" si="13"/>
        <v>0</v>
      </c>
      <c r="AP31" s="93" t="str">
        <f>IF('MASTER PubCo Inputs'!C46="","",'MASTER PubCo Inputs'!C46)</f>
        <v>(Invalid Identifier)</v>
      </c>
      <c r="AQ31" s="527">
        <f>'Comp.1'!AL30</f>
        <v>0</v>
      </c>
    </row>
    <row r="32" spans="2:43" ht="12.75" customHeight="1">
      <c r="B32" s="405">
        <f>'Comp.1'!B31</f>
        <v>0</v>
      </c>
      <c r="C32" s="92">
        <f t="shared" si="0"/>
        <v>0</v>
      </c>
      <c r="E32" s="90" t="str">
        <f t="shared" si="1"/>
        <v>n/a</v>
      </c>
      <c r="F32" s="90" t="str">
        <f t="shared" si="2"/>
        <v>n/a</v>
      </c>
      <c r="G32" s="90" t="str">
        <f t="shared" si="3"/>
        <v>n/a</v>
      </c>
      <c r="H32" s="406"/>
      <c r="I32" s="90" t="str">
        <f t="shared" si="4"/>
        <v>n/a</v>
      </c>
      <c r="J32" s="90" t="str">
        <f t="shared" si="5"/>
        <v>n/a</v>
      </c>
      <c r="L32" s="90" t="str">
        <f t="shared" si="6"/>
        <v>n/a</v>
      </c>
      <c r="M32" s="90" t="str">
        <f t="shared" si="7"/>
        <v>n/a</v>
      </c>
      <c r="N32" s="90" t="str">
        <f t="shared" si="8"/>
        <v>n/a</v>
      </c>
      <c r="P32" s="90" t="str">
        <f t="shared" si="9"/>
        <v>n/a</v>
      </c>
      <c r="Q32" s="90" t="str">
        <f t="shared" si="10"/>
        <v>n/a</v>
      </c>
      <c r="S32" s="137" t="str">
        <f>'Capital IQ Sheet-GPC'!AU32</f>
        <v>(Invalid Identifier)</v>
      </c>
      <c r="T32" s="137" t="str">
        <f>'Capital IQ Sheet-GPC'!AV32</f>
        <v>(Invalid Identifier)</v>
      </c>
      <c r="U32" s="137" t="str">
        <f>'Capital IQ Sheet-GPC'!AW32</f>
        <v>(Invalid Identifier)</v>
      </c>
      <c r="V32" s="137"/>
      <c r="W32" s="137" t="str">
        <f>'Capital IQ Sheet-GPC'!AX32</f>
        <v>(Invalid Identifier)</v>
      </c>
      <c r="X32" s="137" t="str">
        <f>'Capital IQ Sheet-GPC'!AY32</f>
        <v>(Invalid Identifier)</v>
      </c>
      <c r="Z32" s="137" t="str">
        <f>'Capital IQ Sheet-GPC'!AZ32</f>
        <v>(Invalid Identifier)</v>
      </c>
      <c r="AA32" s="137" t="str">
        <f>'Capital IQ Sheet-GPC'!BA32</f>
        <v>(Invalid Identifier)</v>
      </c>
      <c r="AB32" s="137" t="str">
        <f>'Capital IQ Sheet-GPC'!BB32</f>
        <v>(Invalid Identifier)</v>
      </c>
      <c r="AD32" s="137" t="str">
        <f>'Capital IQ Sheet-GPC'!BC32</f>
        <v>(Invalid Identifier)</v>
      </c>
      <c r="AE32" s="137" t="str">
        <f>'Capital IQ Sheet-GPC'!BD32</f>
        <v>(Invalid Identifier)</v>
      </c>
      <c r="AG32" s="406">
        <f>'Beta Calc'!K29</f>
        <v>0</v>
      </c>
      <c r="AH32" s="406">
        <f>'Beta Calc'!L29</f>
        <v>0</v>
      </c>
      <c r="AI32" s="406">
        <f>'Beta Calc'!M29</f>
        <v>0</v>
      </c>
      <c r="AJ32" s="406">
        <f>'Beta Calc'!N29</f>
        <v>0</v>
      </c>
      <c r="AK32" s="406">
        <f t="shared" si="11"/>
        <v>0</v>
      </c>
      <c r="AL32" s="406">
        <f t="shared" si="12"/>
        <v>0</v>
      </c>
      <c r="AM32" s="406">
        <f>'Beta Calc'!Q29</f>
        <v>0</v>
      </c>
      <c r="AN32" s="92">
        <f t="shared" si="13"/>
        <v>0</v>
      </c>
      <c r="AP32" s="93" t="str">
        <f>IF('MASTER PubCo Inputs'!C47="","",'MASTER PubCo Inputs'!C47)</f>
        <v>(Invalid Identifier)</v>
      </c>
      <c r="AQ32" s="527">
        <f>'Comp.1'!AL31</f>
        <v>0</v>
      </c>
    </row>
    <row r="33" spans="2:43" ht="12.75" customHeight="1">
      <c r="B33" s="405">
        <f>'Comp.1'!B32</f>
        <v>0</v>
      </c>
      <c r="C33" s="92">
        <f t="shared" si="0"/>
        <v>0</v>
      </c>
      <c r="E33" s="90" t="str">
        <f t="shared" si="1"/>
        <v>n/a</v>
      </c>
      <c r="F33" s="90" t="str">
        <f t="shared" si="2"/>
        <v>n/a</v>
      </c>
      <c r="G33" s="90" t="str">
        <f t="shared" si="3"/>
        <v>n/a</v>
      </c>
      <c r="H33" s="406"/>
      <c r="I33" s="90" t="str">
        <f t="shared" si="4"/>
        <v>n/a</v>
      </c>
      <c r="J33" s="90" t="str">
        <f t="shared" si="5"/>
        <v>n/a</v>
      </c>
      <c r="L33" s="90" t="str">
        <f t="shared" si="6"/>
        <v>n/a</v>
      </c>
      <c r="M33" s="90" t="str">
        <f t="shared" si="7"/>
        <v>n/a</v>
      </c>
      <c r="N33" s="90" t="str">
        <f t="shared" si="8"/>
        <v>n/a</v>
      </c>
      <c r="P33" s="90" t="str">
        <f t="shared" si="9"/>
        <v>n/a</v>
      </c>
      <c r="Q33" s="90" t="str">
        <f t="shared" si="10"/>
        <v>n/a</v>
      </c>
      <c r="S33" s="137" t="str">
        <f>'Capital IQ Sheet-GPC'!AU33</f>
        <v>(Invalid Identifier)</v>
      </c>
      <c r="T33" s="137" t="str">
        <f>'Capital IQ Sheet-GPC'!AV33</f>
        <v>(Invalid Identifier)</v>
      </c>
      <c r="U33" s="137" t="str">
        <f>'Capital IQ Sheet-GPC'!AW33</f>
        <v>(Invalid Identifier)</v>
      </c>
      <c r="V33" s="137"/>
      <c r="W33" s="137" t="str">
        <f>'Capital IQ Sheet-GPC'!AX33</f>
        <v>(Invalid Identifier)</v>
      </c>
      <c r="X33" s="137" t="str">
        <f>'Capital IQ Sheet-GPC'!AY33</f>
        <v>(Invalid Identifier)</v>
      </c>
      <c r="Z33" s="137" t="str">
        <f>'Capital IQ Sheet-GPC'!AZ33</f>
        <v>(Invalid Identifier)</v>
      </c>
      <c r="AA33" s="137" t="str">
        <f>'Capital IQ Sheet-GPC'!BA33</f>
        <v>(Invalid Identifier)</v>
      </c>
      <c r="AB33" s="137" t="str">
        <f>'Capital IQ Sheet-GPC'!BB33</f>
        <v>(Invalid Identifier)</v>
      </c>
      <c r="AD33" s="137" t="str">
        <f>'Capital IQ Sheet-GPC'!BC33</f>
        <v>(Invalid Identifier)</v>
      </c>
      <c r="AE33" s="137" t="str">
        <f>'Capital IQ Sheet-GPC'!BD33</f>
        <v>(Invalid Identifier)</v>
      </c>
      <c r="AG33" s="406">
        <f>'Beta Calc'!K30</f>
        <v>0</v>
      </c>
      <c r="AH33" s="406">
        <f>'Beta Calc'!L30</f>
        <v>0</v>
      </c>
      <c r="AI33" s="406">
        <f>'Beta Calc'!M30</f>
        <v>0</v>
      </c>
      <c r="AJ33" s="406">
        <f>'Beta Calc'!N30</f>
        <v>0</v>
      </c>
      <c r="AK33" s="406">
        <f t="shared" si="11"/>
        <v>0</v>
      </c>
      <c r="AL33" s="406">
        <f t="shared" si="12"/>
        <v>0</v>
      </c>
      <c r="AM33" s="406">
        <f>'Beta Calc'!Q30</f>
        <v>0</v>
      </c>
      <c r="AN33" s="92">
        <f t="shared" si="13"/>
        <v>0</v>
      </c>
      <c r="AP33" s="93" t="str">
        <f>IF('MASTER PubCo Inputs'!C48="","",'MASTER PubCo Inputs'!C48)</f>
        <v>(Invalid Identifier)</v>
      </c>
      <c r="AQ33" s="527">
        <f>'Comp.1'!AL32</f>
        <v>0</v>
      </c>
    </row>
    <row r="34" spans="2:43" ht="12.75" customHeight="1">
      <c r="B34" s="405">
        <f>'Comp.1'!B33</f>
        <v>0</v>
      </c>
      <c r="C34" s="92">
        <f t="shared" si="0"/>
        <v>0</v>
      </c>
      <c r="E34" s="90" t="str">
        <f t="shared" si="1"/>
        <v>n/a</v>
      </c>
      <c r="F34" s="90" t="str">
        <f t="shared" si="2"/>
        <v>n/a</v>
      </c>
      <c r="G34" s="90" t="str">
        <f t="shared" si="3"/>
        <v>n/a</v>
      </c>
      <c r="H34" s="406"/>
      <c r="I34" s="90" t="str">
        <f t="shared" si="4"/>
        <v>n/a</v>
      </c>
      <c r="J34" s="90" t="str">
        <f t="shared" si="5"/>
        <v>n/a</v>
      </c>
      <c r="L34" s="90" t="str">
        <f t="shared" si="6"/>
        <v>n/a</v>
      </c>
      <c r="M34" s="90" t="str">
        <f t="shared" si="7"/>
        <v>n/a</v>
      </c>
      <c r="N34" s="90" t="str">
        <f t="shared" si="8"/>
        <v>n/a</v>
      </c>
      <c r="P34" s="90" t="str">
        <f t="shared" si="9"/>
        <v>n/a</v>
      </c>
      <c r="Q34" s="90" t="str">
        <f t="shared" si="10"/>
        <v>n/a</v>
      </c>
      <c r="S34" s="137" t="str">
        <f>'Capital IQ Sheet-GPC'!AU34</f>
        <v>(Invalid Identifier)</v>
      </c>
      <c r="T34" s="137" t="str">
        <f>'Capital IQ Sheet-GPC'!AV34</f>
        <v>(Invalid Identifier)</v>
      </c>
      <c r="U34" s="137" t="str">
        <f>'Capital IQ Sheet-GPC'!AW34</f>
        <v>(Invalid Identifier)</v>
      </c>
      <c r="V34" s="137"/>
      <c r="W34" s="137" t="str">
        <f>'Capital IQ Sheet-GPC'!AX34</f>
        <v>(Invalid Identifier)</v>
      </c>
      <c r="X34" s="137" t="str">
        <f>'Capital IQ Sheet-GPC'!AY34</f>
        <v>(Invalid Identifier)</v>
      </c>
      <c r="Z34" s="137" t="str">
        <f>'Capital IQ Sheet-GPC'!AZ34</f>
        <v>(Invalid Identifier)</v>
      </c>
      <c r="AA34" s="137" t="str">
        <f>'Capital IQ Sheet-GPC'!BA34</f>
        <v>(Invalid Identifier)</v>
      </c>
      <c r="AB34" s="137" t="str">
        <f>'Capital IQ Sheet-GPC'!BB34</f>
        <v>(Invalid Identifier)</v>
      </c>
      <c r="AD34" s="137" t="str">
        <f>'Capital IQ Sheet-GPC'!BC34</f>
        <v>(Invalid Identifier)</v>
      </c>
      <c r="AE34" s="137" t="str">
        <f>'Capital IQ Sheet-GPC'!BD34</f>
        <v>(Invalid Identifier)</v>
      </c>
      <c r="AG34" s="406">
        <f>'Beta Calc'!K31</f>
        <v>0</v>
      </c>
      <c r="AH34" s="406">
        <f>'Beta Calc'!L31</f>
        <v>0</v>
      </c>
      <c r="AI34" s="406">
        <f>'Beta Calc'!M31</f>
        <v>0</v>
      </c>
      <c r="AJ34" s="406">
        <f>'Beta Calc'!N31</f>
        <v>0</v>
      </c>
      <c r="AK34" s="406">
        <f t="shared" si="11"/>
        <v>0</v>
      </c>
      <c r="AL34" s="406">
        <f t="shared" si="12"/>
        <v>0</v>
      </c>
      <c r="AM34" s="406">
        <f>'Beta Calc'!Q31</f>
        <v>0</v>
      </c>
      <c r="AN34" s="92">
        <f t="shared" si="13"/>
        <v>0</v>
      </c>
      <c r="AP34" s="93" t="str">
        <f>IF('MASTER PubCo Inputs'!C49="","",'MASTER PubCo Inputs'!C49)</f>
        <v>(Invalid Identifier)</v>
      </c>
      <c r="AQ34" s="527">
        <f>'Comp.1'!AL33</f>
        <v>0</v>
      </c>
    </row>
    <row r="35" spans="2:43" ht="12.75" customHeight="1">
      <c r="B35" s="405">
        <f>'Comp.1'!B34</f>
        <v>0</v>
      </c>
      <c r="C35" s="92">
        <f t="shared" si="0"/>
        <v>0</v>
      </c>
      <c r="E35" s="90" t="str">
        <f t="shared" si="1"/>
        <v>n/a</v>
      </c>
      <c r="F35" s="90" t="str">
        <f t="shared" si="2"/>
        <v>n/a</v>
      </c>
      <c r="G35" s="90" t="str">
        <f t="shared" si="3"/>
        <v>n/a</v>
      </c>
      <c r="H35" s="406"/>
      <c r="I35" s="90" t="str">
        <f t="shared" si="4"/>
        <v>n/a</v>
      </c>
      <c r="J35" s="90" t="str">
        <f t="shared" si="5"/>
        <v>n/a</v>
      </c>
      <c r="L35" s="90" t="str">
        <f t="shared" si="6"/>
        <v>n/a</v>
      </c>
      <c r="M35" s="90" t="str">
        <f t="shared" si="7"/>
        <v>n/a</v>
      </c>
      <c r="N35" s="90" t="str">
        <f t="shared" si="8"/>
        <v>n/a</v>
      </c>
      <c r="P35" s="90" t="str">
        <f t="shared" si="9"/>
        <v>n/a</v>
      </c>
      <c r="Q35" s="90" t="str">
        <f t="shared" si="10"/>
        <v>n/a</v>
      </c>
      <c r="S35" s="137" t="str">
        <f>'Capital IQ Sheet-GPC'!AU35</f>
        <v>(Invalid Identifier)</v>
      </c>
      <c r="T35" s="137" t="str">
        <f>'Capital IQ Sheet-GPC'!AV35</f>
        <v>(Invalid Identifier)</v>
      </c>
      <c r="U35" s="137" t="str">
        <f>'Capital IQ Sheet-GPC'!AW35</f>
        <v>(Invalid Identifier)</v>
      </c>
      <c r="V35" s="137"/>
      <c r="W35" s="137" t="str">
        <f>'Capital IQ Sheet-GPC'!AX35</f>
        <v>(Invalid Identifier)</v>
      </c>
      <c r="X35" s="137" t="str">
        <f>'Capital IQ Sheet-GPC'!AY35</f>
        <v>(Invalid Identifier)</v>
      </c>
      <c r="Z35" s="137" t="str">
        <f>'Capital IQ Sheet-GPC'!AZ35</f>
        <v>(Invalid Identifier)</v>
      </c>
      <c r="AA35" s="137" t="str">
        <f>'Capital IQ Sheet-GPC'!BA35</f>
        <v>(Invalid Identifier)</v>
      </c>
      <c r="AB35" s="137" t="str">
        <f>'Capital IQ Sheet-GPC'!BB35</f>
        <v>(Invalid Identifier)</v>
      </c>
      <c r="AD35" s="137" t="str">
        <f>'Capital IQ Sheet-GPC'!BC35</f>
        <v>(Invalid Identifier)</v>
      </c>
      <c r="AE35" s="137" t="str">
        <f>'Capital IQ Sheet-GPC'!BD35</f>
        <v>(Invalid Identifier)</v>
      </c>
      <c r="AG35" s="406">
        <f>'Beta Calc'!K32</f>
        <v>0</v>
      </c>
      <c r="AH35" s="406">
        <f>'Beta Calc'!L32</f>
        <v>0</v>
      </c>
      <c r="AI35" s="406">
        <f>'Beta Calc'!M32</f>
        <v>0</v>
      </c>
      <c r="AJ35" s="406">
        <f>'Beta Calc'!N32</f>
        <v>0</v>
      </c>
      <c r="AK35" s="406">
        <f t="shared" si="11"/>
        <v>0</v>
      </c>
      <c r="AL35" s="406">
        <f t="shared" si="12"/>
        <v>0</v>
      </c>
      <c r="AM35" s="406">
        <f>'Beta Calc'!Q32</f>
        <v>0</v>
      </c>
      <c r="AN35" s="92">
        <f t="shared" si="13"/>
        <v>0</v>
      </c>
      <c r="AP35" s="93" t="str">
        <f>IF('MASTER PubCo Inputs'!C50="","",'MASTER PubCo Inputs'!C50)</f>
        <v>(Invalid Identifier)</v>
      </c>
      <c r="AQ35" s="527">
        <f>'Comp.1'!AL34</f>
        <v>0</v>
      </c>
    </row>
    <row r="36" spans="2:43" ht="12.75" customHeight="1">
      <c r="B36" s="405">
        <f>'Comp.1'!B35</f>
        <v>0</v>
      </c>
      <c r="C36" s="92">
        <f t="shared" si="0"/>
        <v>0</v>
      </c>
      <c r="E36" s="90" t="str">
        <f t="shared" si="1"/>
        <v>n/a</v>
      </c>
      <c r="F36" s="90" t="str">
        <f t="shared" si="2"/>
        <v>n/a</v>
      </c>
      <c r="G36" s="90" t="str">
        <f t="shared" si="3"/>
        <v>n/a</v>
      </c>
      <c r="H36" s="406"/>
      <c r="I36" s="90" t="str">
        <f t="shared" si="4"/>
        <v>n/a</v>
      </c>
      <c r="J36" s="90" t="str">
        <f t="shared" si="5"/>
        <v>n/a</v>
      </c>
      <c r="L36" s="90" t="str">
        <f t="shared" si="6"/>
        <v>n/a</v>
      </c>
      <c r="M36" s="90" t="str">
        <f t="shared" si="7"/>
        <v>n/a</v>
      </c>
      <c r="N36" s="90" t="str">
        <f t="shared" si="8"/>
        <v>n/a</v>
      </c>
      <c r="P36" s="90" t="str">
        <f t="shared" si="9"/>
        <v>n/a</v>
      </c>
      <c r="Q36" s="90" t="str">
        <f t="shared" si="10"/>
        <v>n/a</v>
      </c>
      <c r="S36" s="137" t="str">
        <f>'Capital IQ Sheet-GPC'!AU36</f>
        <v>(Invalid Identifier)</v>
      </c>
      <c r="T36" s="137" t="str">
        <f>'Capital IQ Sheet-GPC'!AV36</f>
        <v>(Invalid Identifier)</v>
      </c>
      <c r="U36" s="137" t="str">
        <f>'Capital IQ Sheet-GPC'!AW36</f>
        <v>(Invalid Identifier)</v>
      </c>
      <c r="V36" s="137"/>
      <c r="W36" s="137" t="str">
        <f>'Capital IQ Sheet-GPC'!AX36</f>
        <v>(Invalid Identifier)</v>
      </c>
      <c r="X36" s="137" t="str">
        <f>'Capital IQ Sheet-GPC'!AY36</f>
        <v>(Invalid Identifier)</v>
      </c>
      <c r="Z36" s="137" t="str">
        <f>'Capital IQ Sheet-GPC'!AZ36</f>
        <v>(Invalid Identifier)</v>
      </c>
      <c r="AA36" s="137" t="str">
        <f>'Capital IQ Sheet-GPC'!BA36</f>
        <v>(Invalid Identifier)</v>
      </c>
      <c r="AB36" s="137" t="str">
        <f>'Capital IQ Sheet-GPC'!BB36</f>
        <v>(Invalid Identifier)</v>
      </c>
      <c r="AD36" s="137" t="str">
        <f>'Capital IQ Sheet-GPC'!BC36</f>
        <v>(Invalid Identifier)</v>
      </c>
      <c r="AE36" s="137" t="str">
        <f>'Capital IQ Sheet-GPC'!BD36</f>
        <v>(Invalid Identifier)</v>
      </c>
      <c r="AG36" s="406">
        <f>'Beta Calc'!K33</f>
        <v>0</v>
      </c>
      <c r="AH36" s="406">
        <f>'Beta Calc'!L33</f>
        <v>0</v>
      </c>
      <c r="AI36" s="406">
        <f>'Beta Calc'!M33</f>
        <v>0</v>
      </c>
      <c r="AJ36" s="406">
        <f>'Beta Calc'!N33</f>
        <v>0</v>
      </c>
      <c r="AK36" s="406">
        <f t="shared" si="11"/>
        <v>0</v>
      </c>
      <c r="AL36" s="406">
        <f t="shared" si="12"/>
        <v>0</v>
      </c>
      <c r="AM36" s="406">
        <f>'Beta Calc'!Q33</f>
        <v>0</v>
      </c>
      <c r="AN36" s="92">
        <f t="shared" si="13"/>
        <v>0</v>
      </c>
      <c r="AP36" s="93" t="str">
        <f>IF('MASTER PubCo Inputs'!C51="","",'MASTER PubCo Inputs'!C51)</f>
        <v>(Invalid Identifier)</v>
      </c>
      <c r="AQ36" s="527">
        <f>'Comp.1'!AL35</f>
        <v>0</v>
      </c>
    </row>
    <row r="37" spans="2:43" ht="12.75" customHeight="1">
      <c r="B37" s="405">
        <f>'Comp.1'!B36</f>
        <v>0</v>
      </c>
      <c r="C37" s="92">
        <f t="shared" si="0"/>
        <v>0</v>
      </c>
      <c r="E37" s="90" t="str">
        <f t="shared" si="1"/>
        <v>n/a</v>
      </c>
      <c r="F37" s="90" t="str">
        <f t="shared" si="2"/>
        <v>n/a</v>
      </c>
      <c r="G37" s="90" t="str">
        <f t="shared" si="3"/>
        <v>n/a</v>
      </c>
      <c r="H37" s="406"/>
      <c r="I37" s="90" t="str">
        <f t="shared" si="4"/>
        <v>n/a</v>
      </c>
      <c r="J37" s="90" t="str">
        <f t="shared" si="5"/>
        <v>n/a</v>
      </c>
      <c r="L37" s="90" t="str">
        <f t="shared" si="6"/>
        <v>n/a</v>
      </c>
      <c r="M37" s="90" t="str">
        <f t="shared" si="7"/>
        <v>n/a</v>
      </c>
      <c r="N37" s="90" t="str">
        <f t="shared" si="8"/>
        <v>n/a</v>
      </c>
      <c r="P37" s="90" t="str">
        <f t="shared" si="9"/>
        <v>n/a</v>
      </c>
      <c r="Q37" s="90" t="str">
        <f t="shared" si="10"/>
        <v>n/a</v>
      </c>
      <c r="S37" s="137" t="str">
        <f>'Capital IQ Sheet-GPC'!AU37</f>
        <v>(Invalid Identifier)</v>
      </c>
      <c r="T37" s="137" t="str">
        <f>'Capital IQ Sheet-GPC'!AV37</f>
        <v>(Invalid Identifier)</v>
      </c>
      <c r="U37" s="137" t="str">
        <f>'Capital IQ Sheet-GPC'!AW37</f>
        <v>(Invalid Identifier)</v>
      </c>
      <c r="V37" s="137"/>
      <c r="W37" s="137" t="str">
        <f>'Capital IQ Sheet-GPC'!AX37</f>
        <v>(Invalid Identifier)</v>
      </c>
      <c r="X37" s="137" t="str">
        <f>'Capital IQ Sheet-GPC'!AY37</f>
        <v>(Invalid Identifier)</v>
      </c>
      <c r="Z37" s="137" t="str">
        <f>'Capital IQ Sheet-GPC'!AZ37</f>
        <v>(Invalid Identifier)</v>
      </c>
      <c r="AA37" s="137" t="str">
        <f>'Capital IQ Sheet-GPC'!BA37</f>
        <v>(Invalid Identifier)</v>
      </c>
      <c r="AB37" s="137" t="str">
        <f>'Capital IQ Sheet-GPC'!BB37</f>
        <v>(Invalid Identifier)</v>
      </c>
      <c r="AD37" s="137" t="str">
        <f>'Capital IQ Sheet-GPC'!BC37</f>
        <v>(Invalid Identifier)</v>
      </c>
      <c r="AE37" s="137" t="str">
        <f>'Capital IQ Sheet-GPC'!BD37</f>
        <v>(Invalid Identifier)</v>
      </c>
      <c r="AG37" s="406">
        <f>'Beta Calc'!K34</f>
        <v>0</v>
      </c>
      <c r="AH37" s="406">
        <f>'Beta Calc'!L34</f>
        <v>0</v>
      </c>
      <c r="AI37" s="406">
        <f>'Beta Calc'!M34</f>
        <v>0</v>
      </c>
      <c r="AJ37" s="406">
        <f>'Beta Calc'!N34</f>
        <v>0</v>
      </c>
      <c r="AK37" s="406">
        <f t="shared" si="11"/>
        <v>0</v>
      </c>
      <c r="AL37" s="406">
        <f t="shared" si="12"/>
        <v>0</v>
      </c>
      <c r="AM37" s="406">
        <f>'Beta Calc'!Q34</f>
        <v>0</v>
      </c>
      <c r="AN37" s="92">
        <f t="shared" si="13"/>
        <v>0</v>
      </c>
      <c r="AP37" s="93" t="str">
        <f>IF('MASTER PubCo Inputs'!C52="","",'MASTER PubCo Inputs'!C52)</f>
        <v>(Invalid Identifier)</v>
      </c>
      <c r="AQ37" s="527">
        <f>'Comp.1'!AL36</f>
        <v>0</v>
      </c>
    </row>
    <row r="38" spans="2:43" ht="12.75" customHeight="1">
      <c r="B38" s="405">
        <f>'Comp.1'!B37</f>
        <v>0</v>
      </c>
      <c r="C38" s="92">
        <f t="shared" si="0"/>
        <v>0</v>
      </c>
      <c r="E38" s="90" t="str">
        <f t="shared" si="1"/>
        <v>n/a</v>
      </c>
      <c r="F38" s="90" t="str">
        <f t="shared" si="2"/>
        <v>n/a</v>
      </c>
      <c r="G38" s="90" t="str">
        <f t="shared" si="3"/>
        <v>n/a</v>
      </c>
      <c r="H38" s="406"/>
      <c r="I38" s="90" t="str">
        <f t="shared" si="4"/>
        <v>n/a</v>
      </c>
      <c r="J38" s="90" t="str">
        <f t="shared" si="5"/>
        <v>n/a</v>
      </c>
      <c r="L38" s="90" t="str">
        <f t="shared" si="6"/>
        <v>n/a</v>
      </c>
      <c r="M38" s="90" t="str">
        <f t="shared" si="7"/>
        <v>n/a</v>
      </c>
      <c r="N38" s="90" t="str">
        <f t="shared" si="8"/>
        <v>n/a</v>
      </c>
      <c r="P38" s="90" t="str">
        <f t="shared" si="9"/>
        <v>n/a</v>
      </c>
      <c r="Q38" s="90" t="str">
        <f t="shared" si="10"/>
        <v>n/a</v>
      </c>
      <c r="S38" s="137" t="str">
        <f>'Capital IQ Sheet-GPC'!AU38</f>
        <v>(Invalid Identifier)</v>
      </c>
      <c r="T38" s="137" t="str">
        <f>'Capital IQ Sheet-GPC'!AV38</f>
        <v>(Invalid Identifier)</v>
      </c>
      <c r="U38" s="137" t="str">
        <f>'Capital IQ Sheet-GPC'!AW38</f>
        <v>(Invalid Identifier)</v>
      </c>
      <c r="V38" s="137"/>
      <c r="W38" s="137" t="str">
        <f>'Capital IQ Sheet-GPC'!AX38</f>
        <v>(Invalid Identifier)</v>
      </c>
      <c r="X38" s="137" t="str">
        <f>'Capital IQ Sheet-GPC'!AY38</f>
        <v>(Invalid Identifier)</v>
      </c>
      <c r="Z38" s="137" t="str">
        <f>'Capital IQ Sheet-GPC'!AZ38</f>
        <v>(Invalid Identifier)</v>
      </c>
      <c r="AA38" s="137" t="str">
        <f>'Capital IQ Sheet-GPC'!BA38</f>
        <v>(Invalid Identifier)</v>
      </c>
      <c r="AB38" s="137" t="str">
        <f>'Capital IQ Sheet-GPC'!BB38</f>
        <v>(Invalid Identifier)</v>
      </c>
      <c r="AD38" s="137" t="str">
        <f>'Capital IQ Sheet-GPC'!BC38</f>
        <v>(Invalid Identifier)</v>
      </c>
      <c r="AE38" s="137" t="str">
        <f>'Capital IQ Sheet-GPC'!BD38</f>
        <v>(Invalid Identifier)</v>
      </c>
      <c r="AG38" s="406">
        <f>'Beta Calc'!K35</f>
        <v>0</v>
      </c>
      <c r="AH38" s="406">
        <f>'Beta Calc'!L35</f>
        <v>0</v>
      </c>
      <c r="AI38" s="406">
        <f>'Beta Calc'!M35</f>
        <v>0</v>
      </c>
      <c r="AJ38" s="406">
        <f>'Beta Calc'!N35</f>
        <v>0</v>
      </c>
      <c r="AK38" s="406">
        <f t="shared" si="11"/>
        <v>0</v>
      </c>
      <c r="AL38" s="406">
        <f t="shared" si="12"/>
        <v>0</v>
      </c>
      <c r="AM38" s="406">
        <f>'Beta Calc'!Q35</f>
        <v>0</v>
      </c>
      <c r="AN38" s="92">
        <f t="shared" si="13"/>
        <v>0</v>
      </c>
      <c r="AP38" s="93" t="str">
        <f>IF('MASTER PubCo Inputs'!C53="","",'MASTER PubCo Inputs'!C53)</f>
        <v>(Invalid Identifier)</v>
      </c>
      <c r="AQ38" s="527">
        <f>'Comp.1'!AL37</f>
        <v>0</v>
      </c>
    </row>
    <row r="39" spans="2:43" ht="12.75" customHeight="1">
      <c r="B39" s="405">
        <f>'Comp.1'!B38</f>
        <v>0</v>
      </c>
      <c r="C39" s="92">
        <f t="shared" si="0"/>
        <v>0</v>
      </c>
      <c r="E39" s="90" t="str">
        <f t="shared" si="1"/>
        <v>n/a</v>
      </c>
      <c r="F39" s="90" t="str">
        <f t="shared" si="2"/>
        <v>n/a</v>
      </c>
      <c r="G39" s="90" t="str">
        <f t="shared" si="3"/>
        <v>n/a</v>
      </c>
      <c r="H39" s="406"/>
      <c r="I39" s="90" t="str">
        <f t="shared" si="4"/>
        <v>n/a</v>
      </c>
      <c r="J39" s="90" t="str">
        <f t="shared" si="5"/>
        <v>n/a</v>
      </c>
      <c r="L39" s="90" t="str">
        <f t="shared" si="6"/>
        <v>n/a</v>
      </c>
      <c r="M39" s="90" t="str">
        <f t="shared" si="7"/>
        <v>n/a</v>
      </c>
      <c r="N39" s="90" t="str">
        <f t="shared" si="8"/>
        <v>n/a</v>
      </c>
      <c r="P39" s="90" t="str">
        <f t="shared" si="9"/>
        <v>n/a</v>
      </c>
      <c r="Q39" s="90" t="str">
        <f t="shared" si="10"/>
        <v>n/a</v>
      </c>
      <c r="S39" s="137" t="str">
        <f>'Capital IQ Sheet-GPC'!AU39</f>
        <v>(Invalid Identifier)</v>
      </c>
      <c r="T39" s="137" t="str">
        <f>'Capital IQ Sheet-GPC'!AV39</f>
        <v>(Invalid Identifier)</v>
      </c>
      <c r="U39" s="137" t="str">
        <f>'Capital IQ Sheet-GPC'!AW39</f>
        <v>(Invalid Identifier)</v>
      </c>
      <c r="V39" s="137"/>
      <c r="W39" s="137" t="str">
        <f>'Capital IQ Sheet-GPC'!AX39</f>
        <v>(Invalid Identifier)</v>
      </c>
      <c r="X39" s="137" t="str">
        <f>'Capital IQ Sheet-GPC'!AY39</f>
        <v>(Invalid Identifier)</v>
      </c>
      <c r="Z39" s="137" t="str">
        <f>'Capital IQ Sheet-GPC'!AZ39</f>
        <v>(Invalid Identifier)</v>
      </c>
      <c r="AA39" s="137" t="str">
        <f>'Capital IQ Sheet-GPC'!BA39</f>
        <v>(Invalid Identifier)</v>
      </c>
      <c r="AB39" s="137" t="str">
        <f>'Capital IQ Sheet-GPC'!BB39</f>
        <v>(Invalid Identifier)</v>
      </c>
      <c r="AD39" s="137" t="str">
        <f>'Capital IQ Sheet-GPC'!BC39</f>
        <v>(Invalid Identifier)</v>
      </c>
      <c r="AE39" s="137" t="str">
        <f>'Capital IQ Sheet-GPC'!BD39</f>
        <v>(Invalid Identifier)</v>
      </c>
      <c r="AG39" s="406">
        <f>'Beta Calc'!K36</f>
        <v>0</v>
      </c>
      <c r="AH39" s="406">
        <f>'Beta Calc'!L36</f>
        <v>0</v>
      </c>
      <c r="AI39" s="406">
        <f>'Beta Calc'!M36</f>
        <v>0</v>
      </c>
      <c r="AJ39" s="406">
        <f>'Beta Calc'!N36</f>
        <v>0</v>
      </c>
      <c r="AK39" s="406">
        <f t="shared" si="11"/>
        <v>0</v>
      </c>
      <c r="AL39" s="406">
        <f t="shared" si="12"/>
        <v>0</v>
      </c>
      <c r="AM39" s="406">
        <f>'Beta Calc'!Q36</f>
        <v>0</v>
      </c>
      <c r="AN39" s="92">
        <f t="shared" si="13"/>
        <v>0</v>
      </c>
      <c r="AP39" s="93" t="str">
        <f>IF('MASTER PubCo Inputs'!C54="","",'MASTER PubCo Inputs'!C54)</f>
        <v>(Invalid Identifier)</v>
      </c>
      <c r="AQ39" s="527">
        <f>'Comp.1'!AL38</f>
        <v>0</v>
      </c>
    </row>
    <row r="40" spans="2:43" ht="12.75" customHeight="1">
      <c r="B40" s="405">
        <f>'Comp.1'!B39</f>
        <v>0</v>
      </c>
      <c r="C40" s="92">
        <f t="shared" si="0"/>
        <v>0</v>
      </c>
      <c r="E40" s="90" t="str">
        <f t="shared" si="1"/>
        <v>n/a</v>
      </c>
      <c r="F40" s="90" t="str">
        <f t="shared" si="2"/>
        <v>n/a</v>
      </c>
      <c r="G40" s="90" t="str">
        <f t="shared" si="3"/>
        <v>n/a</v>
      </c>
      <c r="H40" s="406"/>
      <c r="I40" s="90" t="str">
        <f t="shared" si="4"/>
        <v>n/a</v>
      </c>
      <c r="J40" s="90" t="str">
        <f t="shared" si="5"/>
        <v>n/a</v>
      </c>
      <c r="L40" s="90" t="str">
        <f t="shared" si="6"/>
        <v>n/a</v>
      </c>
      <c r="M40" s="90" t="str">
        <f t="shared" si="7"/>
        <v>n/a</v>
      </c>
      <c r="N40" s="90" t="str">
        <f t="shared" si="8"/>
        <v>n/a</v>
      </c>
      <c r="P40" s="90" t="str">
        <f t="shared" si="9"/>
        <v>n/a</v>
      </c>
      <c r="Q40" s="90" t="str">
        <f t="shared" si="10"/>
        <v>n/a</v>
      </c>
      <c r="S40" s="137" t="str">
        <f>'Capital IQ Sheet-GPC'!AU40</f>
        <v>(Invalid Identifier)</v>
      </c>
      <c r="T40" s="137" t="str">
        <f>'Capital IQ Sheet-GPC'!AV40</f>
        <v>(Invalid Identifier)</v>
      </c>
      <c r="U40" s="137" t="str">
        <f>'Capital IQ Sheet-GPC'!AW40</f>
        <v>(Invalid Identifier)</v>
      </c>
      <c r="V40" s="137"/>
      <c r="W40" s="137" t="str">
        <f>'Capital IQ Sheet-GPC'!AX40</f>
        <v>(Invalid Identifier)</v>
      </c>
      <c r="X40" s="137" t="str">
        <f>'Capital IQ Sheet-GPC'!AY40</f>
        <v>(Invalid Identifier)</v>
      </c>
      <c r="Z40" s="137" t="str">
        <f>'Capital IQ Sheet-GPC'!AZ40</f>
        <v>(Invalid Identifier)</v>
      </c>
      <c r="AA40" s="137" t="str">
        <f>'Capital IQ Sheet-GPC'!BA40</f>
        <v>(Invalid Identifier)</v>
      </c>
      <c r="AB40" s="137" t="str">
        <f>'Capital IQ Sheet-GPC'!BB40</f>
        <v>(Invalid Identifier)</v>
      </c>
      <c r="AD40" s="137" t="str">
        <f>'Capital IQ Sheet-GPC'!BC40</f>
        <v>(Invalid Identifier)</v>
      </c>
      <c r="AE40" s="137" t="str">
        <f>'Capital IQ Sheet-GPC'!BD40</f>
        <v>(Invalid Identifier)</v>
      </c>
      <c r="AG40" s="406">
        <f>'Beta Calc'!K37</f>
        <v>0</v>
      </c>
      <c r="AH40" s="406">
        <f>'Beta Calc'!L37</f>
        <v>0</v>
      </c>
      <c r="AI40" s="406">
        <f>'Beta Calc'!M37</f>
        <v>0</v>
      </c>
      <c r="AJ40" s="406">
        <f>'Beta Calc'!N37</f>
        <v>0</v>
      </c>
      <c r="AK40" s="406">
        <f t="shared" si="11"/>
        <v>0</v>
      </c>
      <c r="AL40" s="406">
        <f t="shared" si="12"/>
        <v>0</v>
      </c>
      <c r="AM40" s="406">
        <f>'Beta Calc'!Q37</f>
        <v>0</v>
      </c>
      <c r="AN40" s="92">
        <f t="shared" si="13"/>
        <v>0</v>
      </c>
      <c r="AP40" s="93" t="str">
        <f>IF('MASTER PubCo Inputs'!C55="","",'MASTER PubCo Inputs'!C55)</f>
        <v>(Invalid Identifier)</v>
      </c>
      <c r="AQ40" s="527">
        <f>'Comp.1'!AL39</f>
        <v>0</v>
      </c>
    </row>
    <row r="41" spans="2:43" ht="12.75" customHeight="1">
      <c r="B41" s="405">
        <f>'Comp.1'!B40</f>
        <v>0</v>
      </c>
      <c r="C41" s="92">
        <f t="shared" si="0"/>
        <v>0</v>
      </c>
      <c r="E41" s="90" t="str">
        <f t="shared" si="1"/>
        <v>n/a</v>
      </c>
      <c r="F41" s="90" t="str">
        <f t="shared" si="2"/>
        <v>n/a</v>
      </c>
      <c r="G41" s="90" t="str">
        <f t="shared" si="3"/>
        <v>n/a</v>
      </c>
      <c r="H41" s="406"/>
      <c r="I41" s="90" t="str">
        <f t="shared" si="4"/>
        <v>n/a</v>
      </c>
      <c r="J41" s="90" t="str">
        <f t="shared" si="5"/>
        <v>n/a</v>
      </c>
      <c r="L41" s="90" t="str">
        <f t="shared" si="6"/>
        <v>n/a</v>
      </c>
      <c r="M41" s="90" t="str">
        <f t="shared" si="7"/>
        <v>n/a</v>
      </c>
      <c r="N41" s="90" t="str">
        <f t="shared" si="8"/>
        <v>n/a</v>
      </c>
      <c r="P41" s="90" t="str">
        <f t="shared" si="9"/>
        <v>n/a</v>
      </c>
      <c r="Q41" s="90" t="str">
        <f t="shared" si="10"/>
        <v>n/a</v>
      </c>
      <c r="S41" s="137" t="str">
        <f>'Capital IQ Sheet-GPC'!AU41</f>
        <v>(Invalid Identifier)</v>
      </c>
      <c r="T41" s="137" t="str">
        <f>'Capital IQ Sheet-GPC'!AV41</f>
        <v>(Invalid Identifier)</v>
      </c>
      <c r="U41" s="137" t="str">
        <f>'Capital IQ Sheet-GPC'!AW41</f>
        <v>(Invalid Identifier)</v>
      </c>
      <c r="V41" s="137"/>
      <c r="W41" s="137" t="str">
        <f>'Capital IQ Sheet-GPC'!AX41</f>
        <v>(Invalid Identifier)</v>
      </c>
      <c r="X41" s="137" t="str">
        <f>'Capital IQ Sheet-GPC'!AY41</f>
        <v>(Invalid Identifier)</v>
      </c>
      <c r="Z41" s="137" t="str">
        <f>'Capital IQ Sheet-GPC'!AZ41</f>
        <v>(Invalid Identifier)</v>
      </c>
      <c r="AA41" s="137" t="str">
        <f>'Capital IQ Sheet-GPC'!BA41</f>
        <v>(Invalid Identifier)</v>
      </c>
      <c r="AB41" s="137" t="str">
        <f>'Capital IQ Sheet-GPC'!BB41</f>
        <v>(Invalid Identifier)</v>
      </c>
      <c r="AD41" s="137" t="str">
        <f>'Capital IQ Sheet-GPC'!BC41</f>
        <v>(Invalid Identifier)</v>
      </c>
      <c r="AE41" s="137" t="str">
        <f>'Capital IQ Sheet-GPC'!BD41</f>
        <v>(Invalid Identifier)</v>
      </c>
      <c r="AG41" s="406">
        <f>'Beta Calc'!K38</f>
        <v>0</v>
      </c>
      <c r="AH41" s="406">
        <f>'Beta Calc'!L38</f>
        <v>0</v>
      </c>
      <c r="AI41" s="406">
        <f>'Beta Calc'!M38</f>
        <v>0</v>
      </c>
      <c r="AJ41" s="406">
        <f>'Beta Calc'!N38</f>
        <v>0</v>
      </c>
      <c r="AK41" s="406">
        <f t="shared" si="11"/>
        <v>0</v>
      </c>
      <c r="AL41" s="406">
        <f t="shared" si="12"/>
        <v>0</v>
      </c>
      <c r="AM41" s="406">
        <f>'Beta Calc'!Q38</f>
        <v>0</v>
      </c>
      <c r="AN41" s="92">
        <f t="shared" si="13"/>
        <v>0</v>
      </c>
      <c r="AP41" s="93" t="str">
        <f>IF('MASTER PubCo Inputs'!C56="","",'MASTER PubCo Inputs'!C56)</f>
        <v>(Invalid Identifier)</v>
      </c>
      <c r="AQ41" s="527">
        <f>'Comp.1'!AL40</f>
        <v>0</v>
      </c>
    </row>
    <row r="42" spans="2:43" ht="12.75" customHeight="1">
      <c r="B42" s="405">
        <f>'Comp.1'!B41</f>
        <v>0</v>
      </c>
      <c r="C42" s="92">
        <f t="shared" si="0"/>
        <v>0</v>
      </c>
      <c r="E42" s="90" t="str">
        <f t="shared" si="1"/>
        <v>n/a</v>
      </c>
      <c r="F42" s="90" t="str">
        <f t="shared" si="2"/>
        <v>n/a</v>
      </c>
      <c r="G42" s="90" t="str">
        <f t="shared" si="3"/>
        <v>n/a</v>
      </c>
      <c r="H42" s="406"/>
      <c r="I42" s="90" t="str">
        <f t="shared" si="4"/>
        <v>n/a</v>
      </c>
      <c r="J42" s="90" t="str">
        <f t="shared" si="5"/>
        <v>n/a</v>
      </c>
      <c r="L42" s="90" t="str">
        <f t="shared" si="6"/>
        <v>n/a</v>
      </c>
      <c r="M42" s="90" t="str">
        <f t="shared" si="7"/>
        <v>n/a</v>
      </c>
      <c r="N42" s="90" t="str">
        <f t="shared" si="8"/>
        <v>n/a</v>
      </c>
      <c r="P42" s="90" t="str">
        <f t="shared" si="9"/>
        <v>n/a</v>
      </c>
      <c r="Q42" s="90" t="str">
        <f t="shared" si="10"/>
        <v>n/a</v>
      </c>
      <c r="S42" s="137" t="str">
        <f>'Capital IQ Sheet-GPC'!AU42</f>
        <v>(Invalid Identifier)</v>
      </c>
      <c r="T42" s="137" t="str">
        <f>'Capital IQ Sheet-GPC'!AV42</f>
        <v>(Invalid Identifier)</v>
      </c>
      <c r="U42" s="137" t="str">
        <f>'Capital IQ Sheet-GPC'!AW42</f>
        <v>(Invalid Identifier)</v>
      </c>
      <c r="V42" s="137"/>
      <c r="W42" s="137" t="str">
        <f>'Capital IQ Sheet-GPC'!AX42</f>
        <v>(Invalid Identifier)</v>
      </c>
      <c r="X42" s="137" t="str">
        <f>'Capital IQ Sheet-GPC'!AY42</f>
        <v>(Invalid Identifier)</v>
      </c>
      <c r="Z42" s="137" t="str">
        <f>'Capital IQ Sheet-GPC'!AZ42</f>
        <v>(Invalid Identifier)</v>
      </c>
      <c r="AA42" s="137" t="str">
        <f>'Capital IQ Sheet-GPC'!BA42</f>
        <v>(Invalid Identifier)</v>
      </c>
      <c r="AB42" s="137" t="str">
        <f>'Capital IQ Sheet-GPC'!BB42</f>
        <v>(Invalid Identifier)</v>
      </c>
      <c r="AD42" s="137" t="str">
        <f>'Capital IQ Sheet-GPC'!BC42</f>
        <v>(Invalid Identifier)</v>
      </c>
      <c r="AE42" s="137" t="str">
        <f>'Capital IQ Sheet-GPC'!BD42</f>
        <v>(Invalid Identifier)</v>
      </c>
      <c r="AG42" s="406">
        <f>'Beta Calc'!K39</f>
        <v>0</v>
      </c>
      <c r="AH42" s="406">
        <f>'Beta Calc'!L39</f>
        <v>0</v>
      </c>
      <c r="AI42" s="406">
        <f>'Beta Calc'!M39</f>
        <v>0</v>
      </c>
      <c r="AJ42" s="406">
        <f>'Beta Calc'!N39</f>
        <v>0</v>
      </c>
      <c r="AK42" s="406">
        <f t="shared" si="11"/>
        <v>0</v>
      </c>
      <c r="AL42" s="406">
        <f t="shared" si="12"/>
        <v>0</v>
      </c>
      <c r="AM42" s="406">
        <f>'Beta Calc'!Q39</f>
        <v>0</v>
      </c>
      <c r="AN42" s="92">
        <f t="shared" si="13"/>
        <v>0</v>
      </c>
      <c r="AP42" s="93" t="str">
        <f>IF('MASTER PubCo Inputs'!C57="","",'MASTER PubCo Inputs'!C57)</f>
        <v>(Invalid Identifier)</v>
      </c>
      <c r="AQ42" s="527">
        <f>'Comp.1'!AL41</f>
        <v>0</v>
      </c>
    </row>
    <row r="43" spans="2:43" ht="12.75" customHeight="1">
      <c r="C43" s="406"/>
      <c r="E43" s="406"/>
      <c r="F43" s="406"/>
      <c r="G43" s="406"/>
      <c r="H43" s="406"/>
      <c r="I43" s="406"/>
      <c r="J43" s="406"/>
    </row>
    <row r="44" spans="2:43" ht="12.75" customHeight="1">
      <c r="B44" s="766" t="s">
        <v>111</v>
      </c>
      <c r="C44" s="781">
        <f>MAX(C13:C43)</f>
        <v>1906.0925500000001</v>
      </c>
      <c r="D44" s="782"/>
      <c r="E44" s="781">
        <f>MAX(E13:E43)</f>
        <v>0</v>
      </c>
      <c r="F44" s="781">
        <f>MAX(F13:F43)</f>
        <v>54.531457057847454</v>
      </c>
      <c r="G44" s="781">
        <f>MAX(G13:G43)</f>
        <v>735.88056226884203</v>
      </c>
      <c r="H44" s="782"/>
      <c r="I44" s="781">
        <f>MAX(I13:I43)</f>
        <v>81.79952579177754</v>
      </c>
      <c r="J44" s="781">
        <f>MAX(J13:J43)</f>
        <v>735.88056226884203</v>
      </c>
      <c r="K44" s="782"/>
      <c r="L44" s="781">
        <f>MAX(L13:L43)</f>
        <v>382.98021900743419</v>
      </c>
      <c r="M44" s="781">
        <f>MAX(M13:M43)</f>
        <v>2504.7208278580815</v>
      </c>
      <c r="N44" s="781">
        <f>MAX(N13:N43)</f>
        <v>295.18505469795332</v>
      </c>
      <c r="O44" s="782"/>
      <c r="P44" s="781">
        <f>MAX(P13:P43)</f>
        <v>847.52892396620723</v>
      </c>
      <c r="Q44" s="783">
        <f>MAX(Q13:Q43)</f>
        <v>250.17916604868677</v>
      </c>
      <c r="R44" s="49"/>
      <c r="S44" s="49"/>
    </row>
    <row r="45" spans="2:43" ht="12.75" customHeight="1">
      <c r="B45" s="366" t="s">
        <v>115</v>
      </c>
      <c r="C45" s="101">
        <f>QUARTILE(C13:C43,3)</f>
        <v>117.00936</v>
      </c>
      <c r="D45" s="79"/>
      <c r="E45" s="101" t="e">
        <f>QUARTILE(E13:E43,3)</f>
        <v>#NUM!</v>
      </c>
      <c r="F45" s="101">
        <f>QUARTILE(F13:F43,3)</f>
        <v>54.531457057847454</v>
      </c>
      <c r="G45" s="101">
        <f>QUARTILE(G13:G43,3)</f>
        <v>735.88056226884203</v>
      </c>
      <c r="H45" s="79"/>
      <c r="I45" s="101">
        <f>QUARTILE(I13:I43,3)</f>
        <v>81.79952579177754</v>
      </c>
      <c r="J45" s="101">
        <f>QUARTILE(J13:J43,3)</f>
        <v>735.88056226884203</v>
      </c>
      <c r="K45" s="79"/>
      <c r="L45" s="101">
        <f>QUARTILE(L13:L43,3)</f>
        <v>245.45876506314249</v>
      </c>
      <c r="M45" s="101">
        <f>QUARTILE(M13:M43,3)</f>
        <v>217.0238828537824</v>
      </c>
      <c r="N45" s="101">
        <f>QUARTILE(N13:N43,3)</f>
        <v>192.55814899771104</v>
      </c>
      <c r="O45" s="79"/>
      <c r="P45" s="101">
        <f>QUARTILE(P13:P43,3)</f>
        <v>305.1266390155742</v>
      </c>
      <c r="Q45" s="102">
        <f>QUARTILE(Q13:Q43,3)</f>
        <v>121.10246003912297</v>
      </c>
      <c r="R45" s="49"/>
      <c r="S45" s="49"/>
    </row>
    <row r="46" spans="2:43" ht="12.75" customHeight="1">
      <c r="B46" s="366" t="s">
        <v>113</v>
      </c>
      <c r="C46" s="101">
        <f>AVERAGE(C13:C43)</f>
        <v>196.33521620689655</v>
      </c>
      <c r="D46" s="79"/>
      <c r="E46" s="101" t="e">
        <f>AVERAGE(E13:E43)</f>
        <v>#DIV/0!</v>
      </c>
      <c r="F46" s="101">
        <f>AVERAGE(F13:F43)</f>
        <v>54.531457057847454</v>
      </c>
      <c r="G46" s="101">
        <f>AVERAGE(G13:G43)</f>
        <v>735.88056226884203</v>
      </c>
      <c r="H46" s="79"/>
      <c r="I46" s="101">
        <f>AVERAGE(I13:I43)</f>
        <v>81.79952579177754</v>
      </c>
      <c r="J46" s="101">
        <f>AVERAGE(J13:J43)</f>
        <v>735.88056226884203</v>
      </c>
      <c r="K46" s="79"/>
      <c r="L46" s="101">
        <f>AVERAGE(L13:L43)</f>
        <v>144.30851869094701</v>
      </c>
      <c r="M46" s="101">
        <f>AVERAGE(M13:M43)</f>
        <v>319.61503004238659</v>
      </c>
      <c r="N46" s="101">
        <f>AVERAGE(N13:N43)</f>
        <v>109.75909714282822</v>
      </c>
      <c r="O46" s="79"/>
      <c r="P46" s="101">
        <f>AVERAGE(P13:P43)</f>
        <v>225.24864168321022</v>
      </c>
      <c r="Q46" s="102">
        <f>AVERAGE(Q13:Q43)</f>
        <v>84.82075496340272</v>
      </c>
      <c r="R46" s="49"/>
      <c r="S46" s="49"/>
    </row>
    <row r="47" spans="2:43" ht="12.75" customHeight="1">
      <c r="B47" s="366" t="s">
        <v>44</v>
      </c>
      <c r="C47" s="101">
        <f>MEDIAN(C13:C43)</f>
        <v>0</v>
      </c>
      <c r="D47" s="79"/>
      <c r="E47" s="101" t="e">
        <f>MEDIAN(E13:E43)</f>
        <v>#NUM!</v>
      </c>
      <c r="F47" s="101">
        <f>MEDIAN(F13:F43)</f>
        <v>54.531457057847454</v>
      </c>
      <c r="G47" s="101">
        <f>MEDIAN(G13:G43)</f>
        <v>735.88056226884203</v>
      </c>
      <c r="H47" s="79"/>
      <c r="I47" s="101">
        <f>MEDIAN(I13:I43)</f>
        <v>81.79952579177754</v>
      </c>
      <c r="J47" s="101">
        <f>MEDIAN(J13:J43)</f>
        <v>735.88056226884203</v>
      </c>
      <c r="K47" s="79"/>
      <c r="L47" s="101">
        <f>MEDIAN(L13:L43)</f>
        <v>109.62632950269744</v>
      </c>
      <c r="M47" s="101">
        <f>MEDIAN(M13:M43)</f>
        <v>88.347279258400931</v>
      </c>
      <c r="N47" s="101">
        <f>MEDIAN(N13:N43)</f>
        <v>83.800039402722817</v>
      </c>
      <c r="O47" s="79"/>
      <c r="P47" s="101">
        <f>MEDIAN(P13:P43)</f>
        <v>104.81674731921915</v>
      </c>
      <c r="Q47" s="102">
        <f>MEDIAN(Q13:Q43)</f>
        <v>51.617880983088355</v>
      </c>
      <c r="R47" s="49"/>
      <c r="S47" s="49"/>
    </row>
    <row r="48" spans="2:43" ht="12.75" customHeight="1">
      <c r="B48" s="366" t="s">
        <v>114</v>
      </c>
      <c r="C48" s="101">
        <f>QUARTILE(C13:C43,1)</f>
        <v>0</v>
      </c>
      <c r="D48" s="79"/>
      <c r="E48" s="101" t="e">
        <f>QUARTILE(E13:E43,1)</f>
        <v>#NUM!</v>
      </c>
      <c r="F48" s="101">
        <f>QUARTILE(F13:F43,1)</f>
        <v>54.531457057847454</v>
      </c>
      <c r="G48" s="101">
        <f>QUARTILE(G13:G43,1)</f>
        <v>735.88056226884203</v>
      </c>
      <c r="H48" s="79"/>
      <c r="I48" s="101">
        <f>QUARTILE(I13:I43,1)</f>
        <v>81.79952579177754</v>
      </c>
      <c r="J48" s="101">
        <f>QUARTILE(J13:J43,1)</f>
        <v>735.88056226884203</v>
      </c>
      <c r="K48" s="79"/>
      <c r="L48" s="101">
        <f>QUARTILE(L13:L43,1)</f>
        <v>12.169977014087872</v>
      </c>
      <c r="M48" s="101">
        <f>QUARTILE(M13:M43,1)</f>
        <v>17.207039106649574</v>
      </c>
      <c r="N48" s="101">
        <f>QUARTILE(N13:N43,1)</f>
        <v>19.198358024371757</v>
      </c>
      <c r="O48" s="79"/>
      <c r="P48" s="101">
        <f>QUARTILE(P13:P43,1)</f>
        <v>15.658749086069648</v>
      </c>
      <c r="Q48" s="102">
        <f>QUARTILE(Q13:Q43,1)</f>
        <v>16.192451819252764</v>
      </c>
      <c r="R48" s="49"/>
      <c r="S48" s="49"/>
    </row>
    <row r="49" spans="2:19" ht="12.75" customHeight="1">
      <c r="B49" s="103" t="s">
        <v>112</v>
      </c>
      <c r="C49" s="75">
        <f>MIN(C13:C43)</f>
        <v>0</v>
      </c>
      <c r="D49" s="72"/>
      <c r="E49" s="75">
        <f>MIN(E13:E43)</f>
        <v>0</v>
      </c>
      <c r="F49" s="75">
        <f>MIN(F13:F43)</f>
        <v>54.531457057847454</v>
      </c>
      <c r="G49" s="75">
        <f>MIN(G13:G43)</f>
        <v>735.88056226884203</v>
      </c>
      <c r="H49" s="72"/>
      <c r="I49" s="75">
        <f>MIN(I13:I43)</f>
        <v>81.79952579177754</v>
      </c>
      <c r="J49" s="75">
        <f>MIN(J13:J43)</f>
        <v>735.88056226884203</v>
      </c>
      <c r="K49" s="72"/>
      <c r="L49" s="75">
        <f>MIN(L13:L43)</f>
        <v>4.280939402718916</v>
      </c>
      <c r="M49" s="75">
        <f>MIN(M13:M43)</f>
        <v>4.1661039639450612</v>
      </c>
      <c r="N49" s="75">
        <f>MIN(N13:N43)</f>
        <v>6.2665575716131503</v>
      </c>
      <c r="O49" s="72"/>
      <c r="P49" s="75">
        <f>MIN(P13:P43)</f>
        <v>3.6767980424798092</v>
      </c>
      <c r="Q49" s="417">
        <f>MIN(Q13:Q43)</f>
        <v>5.6849920217128709</v>
      </c>
      <c r="R49" s="49"/>
      <c r="S49" s="49"/>
    </row>
    <row r="50" spans="2:19" ht="12.75" customHeight="1">
      <c r="I50" s="406"/>
      <c r="J50" s="406"/>
      <c r="K50" s="406"/>
      <c r="L50" s="406"/>
      <c r="M50" s="406"/>
      <c r="N50" s="406"/>
      <c r="O50" s="406"/>
      <c r="P50" s="406"/>
      <c r="Q50" s="406"/>
    </row>
    <row r="51" spans="2:19" ht="12.75" customHeight="1">
      <c r="B51" s="8" t="s">
        <v>116</v>
      </c>
    </row>
    <row r="52" spans="2:19" ht="12.75" customHeight="1">
      <c r="B52" s="8"/>
      <c r="C52" s="406"/>
      <c r="E52" s="406"/>
      <c r="F52" s="406"/>
      <c r="G52" s="406"/>
      <c r="H52" s="406"/>
      <c r="I52" s="406"/>
      <c r="J52" s="406"/>
    </row>
    <row r="53" spans="2:19" ht="12.75" customHeight="1">
      <c r="C53" s="406"/>
      <c r="E53" s="406"/>
      <c r="F53" s="406"/>
      <c r="G53" s="406"/>
      <c r="H53" s="406"/>
      <c r="I53" s="406"/>
      <c r="J53" s="406"/>
    </row>
    <row r="54" spans="2:19" ht="12.75" customHeight="1"/>
    <row r="55" spans="2:19" s="58" customFormat="1" ht="12.75" customHeight="1"/>
    <row r="56" spans="2:19" ht="12.75" customHeight="1"/>
    <row r="57" spans="2:19" ht="12.75" customHeight="1"/>
    <row r="58" spans="2:19" ht="12.75" customHeight="1"/>
    <row r="59" spans="2:19" ht="12.75" customHeight="1"/>
    <row r="60" spans="2:19" ht="12.75" customHeight="1"/>
    <row r="61" spans="2:19" ht="12.75" customHeight="1"/>
    <row r="62" spans="2:19" ht="12.75" customHeight="1"/>
    <row r="63" spans="2:19" ht="12.75" customHeight="1"/>
    <row r="64" spans="2:19"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spans="2:2" ht="12.75" customHeight="1"/>
    <row r="82" spans="2:2" ht="12.75" customHeight="1"/>
    <row r="83" spans="2:2" ht="12.75" customHeight="1"/>
    <row r="84" spans="2:2" ht="12.75" customHeight="1"/>
    <row r="85" spans="2:2" ht="12.75" customHeight="1"/>
    <row r="86" spans="2:2" ht="12.75" customHeight="1">
      <c r="B86" s="8"/>
    </row>
    <row r="87" spans="2:2" ht="12.75" customHeight="1"/>
    <row r="88" spans="2:2" ht="12.75" customHeight="1"/>
  </sheetData>
  <conditionalFormatting sqref="C4:I4">
    <cfRule type="cellIs" dxfId="34" priority="15" stopIfTrue="1" operator="equal">
      <formula>"input"</formula>
    </cfRule>
  </conditionalFormatting>
  <conditionalFormatting sqref="J4">
    <cfRule type="cellIs" dxfId="33" priority="13" stopIfTrue="1" operator="equal">
      <formula>"input"</formula>
    </cfRule>
  </conditionalFormatting>
  <conditionalFormatting sqref="J4">
    <cfRule type="cellIs" dxfId="32" priority="14" stopIfTrue="1" operator="equal">
      <formula>"input"</formula>
    </cfRule>
  </conditionalFormatting>
  <conditionalFormatting sqref="K4">
    <cfRule type="cellIs" dxfId="31" priority="11" stopIfTrue="1" operator="equal">
      <formula>"input"</formula>
    </cfRule>
  </conditionalFormatting>
  <conditionalFormatting sqref="K4">
    <cfRule type="cellIs" dxfId="30" priority="12" stopIfTrue="1" operator="equal">
      <formula>"input"</formula>
    </cfRule>
  </conditionalFormatting>
  <conditionalFormatting sqref="L4:P4">
    <cfRule type="cellIs" dxfId="29" priority="9" stopIfTrue="1" operator="equal">
      <formula>"input"</formula>
    </cfRule>
  </conditionalFormatting>
  <conditionalFormatting sqref="L4:P4">
    <cfRule type="cellIs" dxfId="28" priority="10" stopIfTrue="1" operator="equal">
      <formula>"input"</formula>
    </cfRule>
  </conditionalFormatting>
  <conditionalFormatting sqref="B13:C42">
    <cfRule type="cellIs" dxfId="27" priority="7" operator="equal">
      <formula>"(Invalid Identifier)"</formula>
    </cfRule>
  </conditionalFormatting>
  <conditionalFormatting sqref="Q4">
    <cfRule type="cellIs" dxfId="26" priority="2" stopIfTrue="1" operator="equal">
      <formula>"input"</formula>
    </cfRule>
  </conditionalFormatting>
  <conditionalFormatting sqref="Q4">
    <cfRule type="cellIs" dxfId="25" priority="3" stopIfTrue="1" operator="equal">
      <formula>"input"</formula>
    </cfRule>
  </conditionalFormatting>
  <conditionalFormatting sqref="B4">
    <cfRule type="cellIs" dxfId="24" priority="1" stopIfTrue="1" operator="equal">
      <formula>"input"</formula>
    </cfRule>
  </conditionalFormatting>
  <pageMargins left="0.5" right="0.5" top="0.5" bottom="0.5" header="0.5" footer="0.5"/>
  <pageSetup scale="66" fitToWidth="0" fitToHeight="0" orientation="landscape" r:id="rId1"/>
  <rowBreaks count="1" manualBreakCount="1">
    <brk id="53" max="17" man="1"/>
  </rowBreaks>
  <legacyDrawingHF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B1:J21"/>
  <sheetViews>
    <sheetView showGridLines="0" view="pageBreakPreview" zoomScaleNormal="100" zoomScaleSheetLayoutView="100" workbookViewId="0">
      <selection activeCell="J30" sqref="J30"/>
    </sheetView>
  </sheetViews>
  <sheetFormatPr defaultRowHeight="12.75"/>
  <cols>
    <col min="1" max="1" width="2.83203125" style="405" customWidth="1"/>
    <col min="2" max="2" width="15" style="405" customWidth="1"/>
    <col min="3" max="5" width="12.5" style="405" customWidth="1"/>
    <col min="6" max="6" width="5" style="405" customWidth="1"/>
    <col min="7" max="10" width="12.5" style="405" customWidth="1"/>
    <col min="11" max="11" width="2.83203125" style="405" customWidth="1"/>
    <col min="12" max="16384" width="9.33203125" style="405"/>
  </cols>
  <sheetData>
    <row r="1" spans="2:10" ht="10.7" customHeight="1" thickBot="1"/>
    <row r="2" spans="2:10" ht="16.5" customHeight="1" thickTop="1">
      <c r="B2" s="10" t="str">
        <f>'MASTER PubCo Inputs'!$C$5</f>
        <v>Kallyope, Inc.</v>
      </c>
      <c r="C2" s="10"/>
      <c r="D2" s="10"/>
      <c r="E2" s="10"/>
      <c r="F2" s="10"/>
      <c r="G2" s="10"/>
      <c r="H2" s="10"/>
      <c r="I2" s="10"/>
      <c r="J2" s="10"/>
    </row>
    <row r="3" spans="2:10" ht="15.75" customHeight="1">
      <c r="B3" s="11" t="e">
        <f>VLOOKUP(B4,Outline!$E$8:$G$69,COLUMNS(Outline!$E$8:$G$8),FALSE)</f>
        <v>#N/A</v>
      </c>
      <c r="C3" s="11"/>
      <c r="D3" s="11"/>
      <c r="E3" s="11"/>
      <c r="F3" s="11"/>
      <c r="G3" s="11"/>
      <c r="H3" s="11"/>
      <c r="I3" s="11"/>
      <c r="J3" s="11"/>
    </row>
    <row r="4" spans="2:10" ht="16.5" customHeight="1" thickBot="1">
      <c r="B4" s="12" t="s">
        <v>68</v>
      </c>
      <c r="C4" s="12"/>
      <c r="D4" s="12"/>
      <c r="E4" s="12"/>
      <c r="F4" s="12"/>
      <c r="G4" s="12"/>
      <c r="H4" s="12"/>
      <c r="I4" s="12"/>
      <c r="J4" s="13"/>
    </row>
    <row r="5" spans="2:10" ht="12.75" customHeight="1" thickTop="1"/>
    <row r="6" spans="2:10" ht="12.75" customHeight="1"/>
    <row r="7" spans="2:10" ht="12.75" customHeight="1">
      <c r="B7" s="257" t="s">
        <v>418</v>
      </c>
      <c r="C7" s="258"/>
      <c r="D7" s="258"/>
      <c r="E7" s="258"/>
      <c r="F7" s="258"/>
      <c r="G7" s="258"/>
      <c r="H7" s="258"/>
      <c r="I7" s="258"/>
      <c r="J7" s="259"/>
    </row>
    <row r="8" spans="2:10" ht="12.75" customHeight="1">
      <c r="B8" s="63" t="s">
        <v>49</v>
      </c>
      <c r="C8" s="482"/>
      <c r="D8" s="64"/>
      <c r="E8" s="482" t="s">
        <v>50</v>
      </c>
      <c r="F8" s="64"/>
      <c r="G8" s="64" t="s">
        <v>49</v>
      </c>
      <c r="H8" s="482"/>
      <c r="I8" s="64"/>
      <c r="J8" s="483" t="s">
        <v>50</v>
      </c>
    </row>
    <row r="9" spans="2:10" ht="12.75" customHeight="1">
      <c r="B9" s="260" t="s">
        <v>51</v>
      </c>
      <c r="C9" s="16"/>
      <c r="D9" s="16"/>
      <c r="E9" s="16"/>
      <c r="F9" s="16"/>
      <c r="G9" s="26" t="s">
        <v>52</v>
      </c>
      <c r="H9" s="16"/>
      <c r="I9" s="16"/>
      <c r="J9" s="204"/>
    </row>
    <row r="10" spans="2:10" ht="12.75" customHeight="1">
      <c r="B10" s="201" t="s">
        <v>53</v>
      </c>
      <c r="C10" s="261"/>
      <c r="D10" s="261"/>
      <c r="E10" s="262">
        <v>0.25800000000000001</v>
      </c>
      <c r="F10" s="16"/>
      <c r="G10" s="16" t="s">
        <v>54</v>
      </c>
      <c r="H10" s="16"/>
      <c r="I10" s="16"/>
      <c r="J10" s="263">
        <v>0.221</v>
      </c>
    </row>
    <row r="11" spans="2:10" ht="12.75" customHeight="1">
      <c r="B11" s="201" t="s">
        <v>55</v>
      </c>
      <c r="C11" s="264"/>
      <c r="D11" s="264"/>
      <c r="E11" s="262">
        <v>0.33</v>
      </c>
      <c r="F11" s="16"/>
      <c r="G11" s="16" t="s">
        <v>56</v>
      </c>
      <c r="H11" s="16"/>
      <c r="I11" s="16"/>
      <c r="J11" s="263">
        <v>0.27100000000000002</v>
      </c>
    </row>
    <row r="12" spans="2:10" ht="12.75" customHeight="1">
      <c r="B12" s="201" t="s">
        <v>57</v>
      </c>
      <c r="C12" s="264"/>
      <c r="D12" s="264"/>
      <c r="E12" s="262">
        <v>0.33500000000000002</v>
      </c>
      <c r="F12" s="16"/>
      <c r="G12" s="16" t="s">
        <v>58</v>
      </c>
      <c r="H12" s="16"/>
      <c r="I12" s="16"/>
      <c r="J12" s="263">
        <v>0.222</v>
      </c>
    </row>
    <row r="13" spans="2:10" ht="12.75" customHeight="1">
      <c r="B13" s="201" t="s">
        <v>59</v>
      </c>
      <c r="C13" s="264"/>
      <c r="D13" s="264"/>
      <c r="E13" s="262">
        <v>0.35</v>
      </c>
      <c r="F13" s="16"/>
      <c r="G13" s="16" t="s">
        <v>60</v>
      </c>
      <c r="H13" s="16"/>
      <c r="I13" s="16"/>
      <c r="J13" s="263">
        <v>0.2</v>
      </c>
    </row>
    <row r="14" spans="2:10" ht="12.75" customHeight="1">
      <c r="B14" s="201" t="s">
        <v>61</v>
      </c>
      <c r="C14" s="265"/>
      <c r="D14" s="265"/>
      <c r="E14" s="262">
        <v>0.35399999999999998</v>
      </c>
      <c r="F14" s="16"/>
      <c r="G14" s="16" t="s">
        <v>62</v>
      </c>
      <c r="H14" s="16"/>
      <c r="I14" s="16"/>
      <c r="J14" s="263">
        <v>0.21</v>
      </c>
    </row>
    <row r="15" spans="2:10" ht="12.75" customHeight="1">
      <c r="B15" s="201" t="s">
        <v>63</v>
      </c>
      <c r="C15" s="265"/>
      <c r="D15" s="265"/>
      <c r="E15" s="262">
        <v>0.45</v>
      </c>
      <c r="F15" s="16"/>
      <c r="G15" s="16" t="s">
        <v>62</v>
      </c>
      <c r="H15" s="16"/>
      <c r="I15" s="16"/>
      <c r="J15" s="263">
        <v>0.13</v>
      </c>
    </row>
    <row r="16" spans="2:10" ht="12.75" customHeight="1">
      <c r="B16" s="201" t="s">
        <v>64</v>
      </c>
      <c r="C16" s="265"/>
      <c r="D16" s="265"/>
      <c r="E16" s="262">
        <v>0.33800000000000002</v>
      </c>
      <c r="F16" s="16"/>
      <c r="G16" s="16"/>
      <c r="H16" s="16"/>
      <c r="I16" s="16"/>
      <c r="J16" s="266"/>
    </row>
    <row r="17" spans="2:10" ht="12.75" customHeight="1">
      <c r="B17" s="201" t="s">
        <v>65</v>
      </c>
      <c r="C17" s="265"/>
      <c r="D17" s="265"/>
      <c r="E17" s="267">
        <v>0.312</v>
      </c>
      <c r="F17" s="16"/>
      <c r="G17" s="16"/>
      <c r="H17" s="16"/>
      <c r="I17" s="16"/>
      <c r="J17" s="268"/>
    </row>
    <row r="18" spans="2:10" ht="12.75" customHeight="1" thickBot="1">
      <c r="B18" s="269" t="s">
        <v>66</v>
      </c>
      <c r="C18" s="16"/>
      <c r="D18" s="16"/>
      <c r="E18" s="270">
        <v>0.34100000000000003</v>
      </c>
      <c r="F18" s="16"/>
      <c r="G18" s="271" t="s">
        <v>67</v>
      </c>
      <c r="H18" s="16"/>
      <c r="I18" s="16"/>
      <c r="J18" s="272">
        <v>0.20899999999999999</v>
      </c>
    </row>
    <row r="19" spans="2:10" ht="12.75" customHeight="1" thickTop="1">
      <c r="B19" s="82"/>
      <c r="C19" s="209"/>
      <c r="D19" s="209"/>
      <c r="E19" s="209"/>
      <c r="F19" s="209"/>
      <c r="G19" s="209"/>
      <c r="H19" s="209"/>
      <c r="I19" s="209"/>
      <c r="J19" s="273"/>
    </row>
    <row r="20" spans="2:10" ht="12.75" customHeight="1"/>
    <row r="21" spans="2:10" ht="12.75" customHeight="1"/>
  </sheetData>
  <conditionalFormatting sqref="B4:I4">
    <cfRule type="cellIs" dxfId="23" priority="3" stopIfTrue="1" operator="equal">
      <formula>"input"</formula>
    </cfRule>
  </conditionalFormatting>
  <conditionalFormatting sqref="J4">
    <cfRule type="cellIs" dxfId="22" priority="1" stopIfTrue="1" operator="equal">
      <formula>"input"</formula>
    </cfRule>
  </conditionalFormatting>
  <conditionalFormatting sqref="J4">
    <cfRule type="cellIs" dxfId="21" priority="2" stopIfTrue="1" operator="equal">
      <formula>"input"</formula>
    </cfRule>
  </conditionalFormatting>
  <pageMargins left="0.5" right="0.5" top="0.5" bottom="0.5" header="0.5" footer="0.5"/>
  <pageSetup orientation="landscape" r:id="rId1"/>
  <legacyDrawingHF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B1:G50"/>
  <sheetViews>
    <sheetView showGridLines="0" view="pageBreakPreview" zoomScaleNormal="100" zoomScaleSheetLayoutView="100" workbookViewId="0">
      <selection activeCell="J30" sqref="J30"/>
    </sheetView>
  </sheetViews>
  <sheetFormatPr defaultRowHeight="12.75"/>
  <cols>
    <col min="1" max="1" width="2.83203125" style="405" customWidth="1"/>
    <col min="2" max="2" width="77.6640625" style="405" customWidth="1"/>
    <col min="3" max="4" width="20.83203125" style="405" customWidth="1"/>
    <col min="5" max="5" width="16" style="405" customWidth="1"/>
    <col min="6" max="6" width="19" style="405" customWidth="1"/>
    <col min="7" max="7" width="2.83203125" style="405" customWidth="1"/>
    <col min="8" max="16384" width="9.33203125" style="405"/>
  </cols>
  <sheetData>
    <row r="1" spans="2:7" ht="10.7" customHeight="1" thickBot="1"/>
    <row r="2" spans="2:7" ht="16.5" customHeight="1" thickTop="1">
      <c r="B2" s="10" t="str">
        <f>'MASTER PubCo Inputs'!$C$5</f>
        <v>Kallyope, Inc.</v>
      </c>
      <c r="C2" s="10"/>
      <c r="D2" s="10"/>
      <c r="E2" s="10"/>
      <c r="F2" s="10"/>
    </row>
    <row r="3" spans="2:7" ht="15.75" customHeight="1">
      <c r="B3" s="11" t="e">
        <f>VLOOKUP(B4,Outline!$E$8:$G$69,COLUMNS(Outline!$E$8:$G$8),FALSE)</f>
        <v>#N/A</v>
      </c>
      <c r="C3" s="11"/>
      <c r="D3" s="11"/>
      <c r="E3" s="11"/>
      <c r="F3" s="11"/>
    </row>
    <row r="4" spans="2:7" ht="16.5" customHeight="1" thickBot="1">
      <c r="B4" s="12" t="s">
        <v>48</v>
      </c>
      <c r="C4" s="12"/>
      <c r="D4" s="12"/>
      <c r="E4" s="12"/>
      <c r="F4" s="12"/>
    </row>
    <row r="5" spans="2:7" ht="12.75" customHeight="1" thickTop="1">
      <c r="B5" s="252"/>
      <c r="C5" s="252"/>
      <c r="D5" s="252"/>
      <c r="E5" s="252"/>
      <c r="F5" s="252"/>
    </row>
    <row r="6" spans="2:7" s="16" customFormat="1" ht="12.75" customHeight="1">
      <c r="B6" s="405"/>
      <c r="C6" s="405"/>
      <c r="D6" s="405"/>
      <c r="E6" s="405"/>
      <c r="F6" s="405"/>
      <c r="G6" s="405"/>
    </row>
    <row r="7" spans="2:7" ht="12.75" customHeight="1">
      <c r="B7" s="198" t="s">
        <v>1</v>
      </c>
      <c r="C7" s="199"/>
      <c r="D7" s="199"/>
      <c r="E7" s="199"/>
      <c r="F7" s="200"/>
    </row>
    <row r="8" spans="2:7" ht="12.75" customHeight="1"/>
    <row r="9" spans="2:7" s="6" customFormat="1" ht="25.5">
      <c r="B9" s="253" t="s">
        <v>2</v>
      </c>
      <c r="C9" s="109" t="s">
        <v>3</v>
      </c>
      <c r="D9" s="109" t="s">
        <v>4</v>
      </c>
      <c r="E9" s="109" t="s">
        <v>5</v>
      </c>
      <c r="F9" s="110" t="s">
        <v>6</v>
      </c>
    </row>
    <row r="10" spans="2:7" ht="12.75" customHeight="1"/>
    <row r="11" spans="2:7" ht="12.75" customHeight="1">
      <c r="B11" s="405" t="s">
        <v>7</v>
      </c>
      <c r="C11" s="411">
        <v>2008</v>
      </c>
      <c r="D11" s="411" t="s">
        <v>8</v>
      </c>
      <c r="E11" s="183">
        <v>457</v>
      </c>
      <c r="F11" s="180">
        <v>2.3E-2</v>
      </c>
    </row>
    <row r="12" spans="2:7" ht="12.75" customHeight="1">
      <c r="B12" s="405" t="s">
        <v>9</v>
      </c>
      <c r="C12" s="411">
        <v>1996</v>
      </c>
      <c r="D12" s="411">
        <v>1996</v>
      </c>
      <c r="E12" s="183">
        <v>116</v>
      </c>
      <c r="F12" s="180">
        <v>2.7E-2</v>
      </c>
    </row>
    <row r="13" spans="2:7" ht="12.75" customHeight="1">
      <c r="B13" s="405" t="s">
        <v>10</v>
      </c>
      <c r="C13" s="411">
        <v>2002</v>
      </c>
      <c r="D13" s="411" t="s">
        <v>11</v>
      </c>
      <c r="E13" s="183">
        <v>98</v>
      </c>
      <c r="F13" s="180">
        <v>0.1</v>
      </c>
    </row>
    <row r="14" spans="2:7" ht="12.75" customHeight="1">
      <c r="B14" s="405" t="s">
        <v>12</v>
      </c>
      <c r="C14" s="411" t="s">
        <v>13</v>
      </c>
      <c r="D14" s="411" t="s">
        <v>14</v>
      </c>
      <c r="E14" s="183">
        <v>40</v>
      </c>
      <c r="F14" s="180">
        <v>2.7E-2</v>
      </c>
    </row>
    <row r="15" spans="2:7" ht="12.75" customHeight="1">
      <c r="B15" s="405" t="s">
        <v>15</v>
      </c>
      <c r="C15" s="411">
        <v>1995</v>
      </c>
      <c r="D15" s="411" t="s">
        <v>16</v>
      </c>
      <c r="E15" s="183">
        <v>81</v>
      </c>
      <c r="F15" s="180">
        <v>0.06</v>
      </c>
    </row>
    <row r="16" spans="2:7" ht="12.75" customHeight="1">
      <c r="B16" s="405" t="s">
        <v>17</v>
      </c>
      <c r="C16" s="411">
        <v>1995</v>
      </c>
      <c r="D16" s="411" t="s">
        <v>18</v>
      </c>
      <c r="E16" s="183">
        <v>94</v>
      </c>
      <c r="F16" s="180">
        <v>9.5000000000000001E-2</v>
      </c>
    </row>
    <row r="17" spans="2:6" ht="12.75" customHeight="1">
      <c r="B17" s="405" t="s">
        <v>19</v>
      </c>
      <c r="C17" s="411">
        <v>1991</v>
      </c>
      <c r="D17" s="411" t="s">
        <v>20</v>
      </c>
      <c r="E17" s="183">
        <v>43</v>
      </c>
      <c r="F17" s="180">
        <v>1.2999999999999999E-2</v>
      </c>
    </row>
    <row r="18" spans="2:6" ht="12.75" customHeight="1">
      <c r="B18" s="405" t="s">
        <v>21</v>
      </c>
      <c r="C18" s="411">
        <v>1987</v>
      </c>
      <c r="D18" s="411" t="s">
        <v>13</v>
      </c>
      <c r="E18" s="183">
        <v>63</v>
      </c>
      <c r="F18" s="56" t="s">
        <v>22</v>
      </c>
    </row>
    <row r="19" spans="2:6" ht="12.75" customHeight="1">
      <c r="B19" s="405" t="s">
        <v>23</v>
      </c>
      <c r="C19" s="411">
        <v>1983</v>
      </c>
      <c r="D19" s="411" t="s">
        <v>24</v>
      </c>
      <c r="E19" s="183">
        <v>30</v>
      </c>
      <c r="F19" s="180">
        <v>5.1999999999999998E-2</v>
      </c>
    </row>
    <row r="20" spans="2:6" ht="12.75" customHeight="1"/>
    <row r="21" spans="2:6" ht="12.75" customHeight="1">
      <c r="B21" s="96" t="s">
        <v>25</v>
      </c>
      <c r="C21" s="97"/>
      <c r="D21" s="97"/>
      <c r="E21" s="97"/>
      <c r="F21" s="244">
        <f>AVERAGE(F11:F17,F19)</f>
        <v>4.9625000000000002E-2</v>
      </c>
    </row>
    <row r="22" spans="2:6" ht="12.75" customHeight="1">
      <c r="B22" s="103" t="s">
        <v>26</v>
      </c>
      <c r="C22" s="104"/>
      <c r="D22" s="104"/>
      <c r="E22" s="104"/>
      <c r="F22" s="146">
        <f>MEDIAN(F11:F17,F19)</f>
        <v>3.95E-2</v>
      </c>
    </row>
    <row r="23" spans="2:6" ht="12.75" customHeight="1"/>
    <row r="24" spans="2:6" ht="12.75" customHeight="1">
      <c r="B24" s="96" t="s">
        <v>27</v>
      </c>
      <c r="C24" s="97"/>
      <c r="D24" s="97"/>
      <c r="E24" s="97"/>
      <c r="F24" s="244">
        <f>AVERAGE(F11:F12,F14:F17,F19)</f>
        <v>4.2428571428571434E-2</v>
      </c>
    </row>
    <row r="25" spans="2:6" ht="12.75" customHeight="1">
      <c r="B25" s="103" t="s">
        <v>28</v>
      </c>
      <c r="C25" s="104"/>
      <c r="D25" s="104"/>
      <c r="E25" s="104"/>
      <c r="F25" s="146">
        <f>MEDIAN(F11:F12,F14:F17,F19)</f>
        <v>2.7E-2</v>
      </c>
    </row>
    <row r="26" spans="2:6" ht="12.75" customHeight="1"/>
    <row r="27" spans="2:6" ht="12.75" customHeight="1"/>
    <row r="28" spans="2:6" s="6" customFormat="1" ht="12.75" customHeight="1">
      <c r="B28" s="254" t="s">
        <v>29</v>
      </c>
      <c r="C28" s="255"/>
      <c r="D28" s="255"/>
      <c r="E28" s="255"/>
      <c r="F28" s="256" t="s">
        <v>30</v>
      </c>
    </row>
    <row r="29" spans="2:6" ht="12.75" customHeight="1"/>
    <row r="30" spans="2:6" ht="12.75" customHeight="1">
      <c r="B30" s="405" t="s">
        <v>31</v>
      </c>
      <c r="F30" s="180">
        <v>0</v>
      </c>
    </row>
    <row r="31" spans="2:6" ht="12.75" customHeight="1">
      <c r="B31" s="405" t="s">
        <v>32</v>
      </c>
      <c r="F31" s="180">
        <v>3.6999999999999998E-2</v>
      </c>
    </row>
    <row r="32" spans="2:6" ht="12.75" customHeight="1">
      <c r="B32" s="405" t="s">
        <v>33</v>
      </c>
      <c r="F32" s="180">
        <v>0.04</v>
      </c>
    </row>
    <row r="33" spans="2:6" ht="12.75" customHeight="1">
      <c r="B33" s="405" t="s">
        <v>34</v>
      </c>
      <c r="F33" s="180">
        <v>0</v>
      </c>
    </row>
    <row r="34" spans="2:6" ht="12.75" customHeight="1">
      <c r="B34" s="405" t="s">
        <v>35</v>
      </c>
      <c r="F34" s="180">
        <v>5.1999999999999998E-2</v>
      </c>
    </row>
    <row r="35" spans="2:6" ht="12.75" customHeight="1">
      <c r="B35" s="405" t="s">
        <v>36</v>
      </c>
      <c r="F35" s="180">
        <v>9.0999999999999998E-2</v>
      </c>
    </row>
    <row r="36" spans="2:6" ht="12.75" customHeight="1">
      <c r="B36" s="405" t="s">
        <v>37</v>
      </c>
      <c r="F36" s="180">
        <v>0</v>
      </c>
    </row>
    <row r="37" spans="2:6" ht="12.75" customHeight="1">
      <c r="B37" s="405" t="s">
        <v>38</v>
      </c>
      <c r="F37" s="180">
        <v>0.03</v>
      </c>
    </row>
    <row r="38" spans="2:6" ht="12.75" customHeight="1">
      <c r="B38" s="405" t="s">
        <v>39</v>
      </c>
      <c r="F38" s="180">
        <v>4.8000000000000001E-2</v>
      </c>
    </row>
    <row r="39" spans="2:6" ht="12.75" customHeight="1">
      <c r="B39" s="405" t="s">
        <v>40</v>
      </c>
      <c r="F39" s="180">
        <v>4.3999999999999997E-2</v>
      </c>
    </row>
    <row r="40" spans="2:6" ht="12.75" customHeight="1">
      <c r="B40" s="405" t="s">
        <v>41</v>
      </c>
      <c r="F40" s="180">
        <v>5.3999999999999999E-2</v>
      </c>
    </row>
    <row r="41" spans="2:6" ht="12.75" customHeight="1">
      <c r="B41" s="405" t="s">
        <v>42</v>
      </c>
      <c r="F41" s="180">
        <v>3.9E-2</v>
      </c>
    </row>
    <row r="42" spans="2:6" ht="12.75" customHeight="1"/>
    <row r="43" spans="2:6" ht="12.75" customHeight="1">
      <c r="B43" s="96" t="s">
        <v>43</v>
      </c>
      <c r="C43" s="97"/>
      <c r="D43" s="97"/>
      <c r="E43" s="97"/>
      <c r="F43" s="244">
        <f>AVERAGE(F30:F41)</f>
        <v>3.6249999999999998E-2</v>
      </c>
    </row>
    <row r="44" spans="2:6" ht="12.75" customHeight="1">
      <c r="B44" s="103" t="s">
        <v>44</v>
      </c>
      <c r="C44" s="104"/>
      <c r="D44" s="104"/>
      <c r="E44" s="104"/>
      <c r="F44" s="146">
        <f>MEDIAN(F30:F41)</f>
        <v>3.95E-2</v>
      </c>
    </row>
    <row r="45" spans="2:6" ht="12.75" customHeight="1"/>
    <row r="46" spans="2:6" ht="12.75" customHeight="1">
      <c r="B46" s="8" t="s">
        <v>45</v>
      </c>
    </row>
    <row r="47" spans="2:6" ht="12.75" customHeight="1">
      <c r="B47" s="8" t="s">
        <v>46</v>
      </c>
    </row>
    <row r="48" spans="2:6" ht="12.75" customHeight="1">
      <c r="B48" s="8" t="s">
        <v>47</v>
      </c>
    </row>
    <row r="49" ht="12.75" customHeight="1"/>
    <row r="50" ht="12.75" customHeight="1"/>
  </sheetData>
  <conditionalFormatting sqref="B4:F5">
    <cfRule type="cellIs" dxfId="20" priority="3" stopIfTrue="1" operator="equal">
      <formula>"input"</formula>
    </cfRule>
  </conditionalFormatting>
  <pageMargins left="0.5" right="0.5" top="0.5" bottom="0.5" header="0.5" footer="0.5"/>
  <pageSetup scale="85" fitToWidth="0" fitToHeight="0" orientation="landscape" r:id="rId1"/>
  <legacyDrawingHF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B1:AI53"/>
  <sheetViews>
    <sheetView showGridLines="0" view="pageBreakPreview" zoomScaleNormal="100" zoomScaleSheetLayoutView="100" workbookViewId="0">
      <selection activeCell="AB9" sqref="AB9"/>
    </sheetView>
  </sheetViews>
  <sheetFormatPr defaultRowHeight="12.75" outlineLevelCol="1"/>
  <cols>
    <col min="1" max="1" width="4.5" style="405" customWidth="1"/>
    <col min="2" max="2" width="51.33203125" style="405" customWidth="1"/>
    <col min="3" max="3" width="11.83203125" style="405" customWidth="1"/>
    <col min="4" max="4" width="2.83203125" style="405" customWidth="1"/>
    <col min="5" max="6" width="15.1640625" style="405" hidden="1" customWidth="1" outlineLevel="1"/>
    <col min="7" max="7" width="11.83203125" style="405" customWidth="1" collapsed="1"/>
    <col min="8" max="8" width="2.83203125" style="405" customWidth="1"/>
    <col min="9" max="10" width="15.1640625" style="405" hidden="1" customWidth="1" outlineLevel="1"/>
    <col min="11" max="11" width="15.1640625" style="405" customWidth="1" collapsed="1"/>
    <col min="12" max="13" width="15.1640625" style="405" customWidth="1"/>
    <col min="14" max="14" width="2.83203125" style="405" customWidth="1"/>
    <col min="15" max="16" width="14.83203125" style="405" hidden="1" customWidth="1" outlineLevel="1"/>
    <col min="17" max="17" width="11.83203125" style="405" customWidth="1" collapsed="1"/>
    <col min="18" max="18" width="2.83203125" style="405" customWidth="1"/>
    <col min="19" max="20" width="14.83203125" style="405" hidden="1" customWidth="1" outlineLevel="1"/>
    <col min="21" max="21" width="9.83203125" style="405" customWidth="1" collapsed="1"/>
    <col min="22" max="23" width="9.83203125" style="405" customWidth="1"/>
    <col min="24" max="24" width="4.5" style="405" customWidth="1"/>
    <col min="25" max="32" width="12.83203125" style="405" customWidth="1"/>
    <col min="33" max="33" width="1.83203125" style="405" customWidth="1"/>
    <col min="34" max="34" width="15.33203125" style="405" bestFit="1" customWidth="1"/>
    <col min="35" max="35" width="10.5" style="405" bestFit="1" customWidth="1"/>
    <col min="36" max="36" width="1.83203125" style="405" customWidth="1"/>
    <col min="37" max="16384" width="9.33203125" style="405"/>
  </cols>
  <sheetData>
    <row r="1" spans="2:35" ht="10.7" customHeight="1" thickBot="1">
      <c r="Y1" s="579"/>
      <c r="Z1" s="652" t="s">
        <v>765</v>
      </c>
      <c r="AA1" s="652" t="s">
        <v>766</v>
      </c>
      <c r="AB1" s="653" t="s">
        <v>110</v>
      </c>
    </row>
    <row r="2" spans="2:35"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Y2" s="654" t="str">
        <f>+C8</f>
        <v>Enterprise Value</v>
      </c>
      <c r="Z2" s="655">
        <f>SUM('GPC Linked'!H13:H42)</f>
        <v>4704.4453499999991</v>
      </c>
      <c r="AA2" s="655">
        <f>+SUM('Capital IQ Sheet-GPC'!H13:H42)</f>
        <v>4704.4453499999991</v>
      </c>
      <c r="AB2" s="204" t="b">
        <f>Z2=AA2</f>
        <v>1</v>
      </c>
      <c r="AH2" s="303" t="s">
        <v>87</v>
      </c>
      <c r="AI2" s="304">
        <f>'MASTER PubCo Inputs'!$C$6</f>
        <v>43281</v>
      </c>
    </row>
    <row r="3" spans="2:35"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Y3" s="654" t="str">
        <f>+G8</f>
        <v>LTM</v>
      </c>
      <c r="Z3" s="655">
        <f>+SUM('GPC Linked'!Z13:Z42)</f>
        <v>-629.22888999999986</v>
      </c>
      <c r="AA3" s="655">
        <f>+SUM('Capital IQ Sheet-GPC'!Z13:Z42)</f>
        <v>-629.22888999999986</v>
      </c>
      <c r="AB3" s="204" t="b">
        <f>Z3=AA3</f>
        <v>1</v>
      </c>
      <c r="AH3" s="201" t="s">
        <v>398</v>
      </c>
      <c r="AI3" s="305" t="s">
        <v>400</v>
      </c>
    </row>
    <row r="4" spans="2:35" ht="16.5" customHeight="1" thickBot="1">
      <c r="B4" s="12" t="s">
        <v>637</v>
      </c>
      <c r="C4" s="12"/>
      <c r="D4" s="399"/>
      <c r="E4" s="12"/>
      <c r="F4" s="12"/>
      <c r="G4" s="12"/>
      <c r="H4" s="12"/>
      <c r="I4" s="12"/>
      <c r="J4" s="13"/>
      <c r="K4" s="13"/>
      <c r="L4" s="13"/>
      <c r="M4" s="13"/>
      <c r="N4" s="13"/>
      <c r="O4" s="13"/>
      <c r="P4" s="13"/>
      <c r="Q4" s="13"/>
      <c r="R4" s="13"/>
      <c r="S4" s="13"/>
      <c r="T4" s="13"/>
      <c r="U4" s="13"/>
      <c r="V4" s="13"/>
      <c r="W4" s="13" t="str">
        <f>+'MASTER PubCo Inputs'!$C$24</f>
        <v>(in millions of USD)</v>
      </c>
      <c r="Y4" s="656">
        <f>+K8</f>
        <v>2018</v>
      </c>
      <c r="Z4" s="657">
        <f>+SUM('GPC Linked'!AC13:AC42)</f>
        <v>-458.27205999999995</v>
      </c>
      <c r="AA4" s="657">
        <f>+SUM('Capital IQ Sheet-GPC'!AC13:AC42)</f>
        <v>-458.27205999999995</v>
      </c>
      <c r="AB4" s="448" t="b">
        <f>Z4=AA4</f>
        <v>1</v>
      </c>
      <c r="AH4" s="201" t="s">
        <v>399</v>
      </c>
      <c r="AI4" s="305" t="s">
        <v>401</v>
      </c>
    </row>
    <row r="5" spans="2:35" ht="13.5" thickTop="1">
      <c r="B5" s="15"/>
      <c r="C5" s="15"/>
      <c r="AH5" s="82" t="s">
        <v>89</v>
      </c>
      <c r="AI5" s="306" t="s">
        <v>90</v>
      </c>
    </row>
    <row r="6" spans="2:35">
      <c r="H6" s="16"/>
      <c r="I6" s="465" t="s">
        <v>278</v>
      </c>
      <c r="J6" s="468"/>
      <c r="K6" s="465" t="s">
        <v>278</v>
      </c>
      <c r="L6" s="467"/>
      <c r="M6" s="468"/>
      <c r="N6" s="16"/>
      <c r="O6" s="16"/>
      <c r="P6" s="16"/>
      <c r="Q6" s="16"/>
      <c r="R6" s="471"/>
      <c r="S6" s="465" t="s">
        <v>278</v>
      </c>
      <c r="T6" s="468"/>
      <c r="U6" s="465" t="s">
        <v>278</v>
      </c>
      <c r="V6" s="467"/>
      <c r="W6" s="468"/>
      <c r="Y6" s="754" t="s">
        <v>835</v>
      </c>
      <c r="Z6" s="755">
        <v>50</v>
      </c>
      <c r="AA6" s="754" t="s">
        <v>836</v>
      </c>
      <c r="AB6" s="755">
        <v>0</v>
      </c>
    </row>
    <row r="7" spans="2:35">
      <c r="E7" s="414" t="s">
        <v>630</v>
      </c>
      <c r="F7" s="415"/>
      <c r="G7" s="408" t="s">
        <v>629</v>
      </c>
      <c r="H7" s="445"/>
      <c r="I7" s="414" t="s">
        <v>628</v>
      </c>
      <c r="J7" s="415"/>
      <c r="K7" s="414" t="s">
        <v>628</v>
      </c>
      <c r="L7" s="409"/>
      <c r="M7" s="415"/>
      <c r="O7" s="446" t="s">
        <v>279</v>
      </c>
      <c r="P7" s="446"/>
      <c r="Q7" s="408" t="s">
        <v>279</v>
      </c>
      <c r="R7" s="445"/>
      <c r="S7" s="469"/>
      <c r="T7" s="470"/>
      <c r="U7" s="414" t="s">
        <v>279</v>
      </c>
      <c r="V7" s="409"/>
      <c r="W7" s="415"/>
      <c r="Y7" s="357" t="s">
        <v>91</v>
      </c>
      <c r="Z7" s="364"/>
      <c r="AA7" s="364"/>
      <c r="AB7" s="364"/>
      <c r="AC7" s="364"/>
      <c r="AD7" s="364"/>
      <c r="AE7" s="364"/>
      <c r="AF7" s="365"/>
    </row>
    <row r="8" spans="2:35" s="6" customFormat="1" ht="25.5">
      <c r="B8" s="475" t="s">
        <v>633</v>
      </c>
      <c r="C8" s="594" t="s">
        <v>145</v>
      </c>
      <c r="D8" s="330"/>
      <c r="E8" s="596" t="s">
        <v>290</v>
      </c>
      <c r="F8" s="605" t="s">
        <v>276</v>
      </c>
      <c r="G8" s="595" t="s">
        <v>277</v>
      </c>
      <c r="H8" s="599"/>
      <c r="I8" s="602">
        <f>J8-1</f>
        <v>2016</v>
      </c>
      <c r="J8" s="604">
        <f>K8-1</f>
        <v>2017</v>
      </c>
      <c r="K8" s="602">
        <f>YEAR($AI$2)</f>
        <v>2018</v>
      </c>
      <c r="L8" s="603">
        <f>K8+1</f>
        <v>2019</v>
      </c>
      <c r="M8" s="604">
        <f>L8+1</f>
        <v>2020</v>
      </c>
      <c r="N8" s="330"/>
      <c r="O8" s="599" t="str">
        <f>E8</f>
        <v>LTM-2</v>
      </c>
      <c r="P8" s="599" t="str">
        <f>F8</f>
        <v>LTM-1</v>
      </c>
      <c r="Q8" s="595" t="str">
        <f>G8</f>
        <v>LTM</v>
      </c>
      <c r="R8" s="599"/>
      <c r="S8" s="600">
        <f>I8</f>
        <v>2016</v>
      </c>
      <c r="T8" s="606">
        <f>J8</f>
        <v>2017</v>
      </c>
      <c r="U8" s="602">
        <f>K8</f>
        <v>2018</v>
      </c>
      <c r="V8" s="603">
        <f>L8</f>
        <v>2019</v>
      </c>
      <c r="W8" s="604">
        <f>M8</f>
        <v>2020</v>
      </c>
      <c r="Y8" s="376" t="s">
        <v>94</v>
      </c>
      <c r="Z8" s="377" t="s">
        <v>95</v>
      </c>
      <c r="AA8" s="377" t="s">
        <v>96</v>
      </c>
      <c r="AB8" s="377" t="s">
        <v>97</v>
      </c>
      <c r="AC8" s="377" t="s">
        <v>98</v>
      </c>
      <c r="AD8" s="377" t="s">
        <v>99</v>
      </c>
      <c r="AE8" s="377" t="s">
        <v>100</v>
      </c>
      <c r="AF8" s="378" t="s">
        <v>101</v>
      </c>
      <c r="AH8" s="87" t="s">
        <v>108</v>
      </c>
    </row>
    <row r="9" spans="2:35" ht="12.75" customHeight="1">
      <c r="H9" s="471"/>
      <c r="R9" s="471"/>
    </row>
    <row r="10" spans="2:35" ht="12.75" customHeight="1">
      <c r="B10" s="310" t="s">
        <v>403</v>
      </c>
      <c r="C10" s="311"/>
      <c r="D10" s="312"/>
      <c r="E10" s="311"/>
      <c r="F10" s="311"/>
      <c r="G10" s="311"/>
      <c r="H10" s="311"/>
      <c r="I10" s="311"/>
      <c r="J10" s="311"/>
      <c r="K10" s="311"/>
      <c r="L10" s="311"/>
      <c r="M10" s="311"/>
      <c r="N10" s="203"/>
      <c r="O10" s="312"/>
      <c r="P10" s="312"/>
      <c r="Q10" s="312"/>
      <c r="R10" s="312"/>
      <c r="S10" s="312"/>
      <c r="T10" s="312"/>
      <c r="U10" s="312"/>
      <c r="V10" s="312"/>
      <c r="W10" s="312"/>
      <c r="AH10" s="95"/>
    </row>
    <row r="11" spans="2:35" s="58" customFormat="1" ht="12.75" customHeight="1">
      <c r="B11" s="49"/>
      <c r="C11" s="136"/>
      <c r="D11" s="49"/>
      <c r="E11" s="136"/>
      <c r="F11" s="136"/>
      <c r="G11" s="136"/>
      <c r="H11" s="136"/>
      <c r="I11" s="136"/>
      <c r="J11" s="136"/>
      <c r="K11" s="136"/>
      <c r="L11" s="136"/>
      <c r="M11" s="136"/>
      <c r="O11" s="49"/>
      <c r="P11" s="49"/>
      <c r="Q11" s="49"/>
      <c r="R11" s="49"/>
      <c r="S11" s="49"/>
      <c r="T11" s="49"/>
      <c r="U11" s="49"/>
      <c r="V11" s="49"/>
      <c r="W11" s="49"/>
      <c r="Y11" s="405"/>
      <c r="Z11" s="405"/>
      <c r="AA11" s="405"/>
      <c r="AB11" s="405"/>
      <c r="AC11" s="405"/>
      <c r="AD11" s="405"/>
      <c r="AE11" s="405"/>
      <c r="AF11" s="405"/>
    </row>
    <row r="12" spans="2:35" ht="12.75" customHeight="1">
      <c r="B12" s="405" t="str">
        <f>'Comp.1'!B12</f>
        <v>ACADIA Pharmaceuticals Inc.</v>
      </c>
      <c r="C12" s="92">
        <f>'Comp.1'!C12</f>
        <v>1608.0295500000002</v>
      </c>
      <c r="E12" s="92">
        <f>'Capital IQ Sheet-GPC'!X13</f>
        <v>-173.65899999999999</v>
      </c>
      <c r="F12" s="92">
        <f>'Capital IQ Sheet-GPC'!Y13</f>
        <v>-308.94499999999999</v>
      </c>
      <c r="G12" s="92">
        <f>'Capital IQ Sheet-GPC'!Z13</f>
        <v>-255.673</v>
      </c>
      <c r="H12" s="406"/>
      <c r="I12" s="92">
        <f>'Capital IQ Sheet-GPC'!AA13</f>
        <v>-270.98700000000002</v>
      </c>
      <c r="J12" s="92">
        <f>'Capital IQ Sheet-GPC'!AB13</f>
        <v>-289.697</v>
      </c>
      <c r="K12" s="92">
        <f>'Capital IQ Sheet-GPC'!AC13</f>
        <v>-217.79479000000001</v>
      </c>
      <c r="L12" s="92">
        <f>'Capital IQ Sheet-GPC'!AD13</f>
        <v>-132.79400000000001</v>
      </c>
      <c r="M12" s="92">
        <f>'Capital IQ Sheet-GPC'!AE13</f>
        <v>159.08000000000001</v>
      </c>
      <c r="O12" s="90">
        <f>IF(ISERROR($C12/E12), "n/a", $C12/E12)</f>
        <v>-9.2596960134516504</v>
      </c>
      <c r="P12" s="90">
        <f>IF(ISERROR($C12/F12), "n/a", $C12/F12)</f>
        <v>-5.2049055657155812</v>
      </c>
      <c r="Q12" s="90" t="str">
        <f>IFERROR(IF(($C12/G12)&gt;$Z$6, "NM", IF(($C12/G12)&lt;$AB$6, "NM", $C12/G12)),"n/a")</f>
        <v>NM</v>
      </c>
      <c r="S12" s="90">
        <f>IF(ISERROR($C12/I12), "n/a", $C12/I12)</f>
        <v>-5.9339730319166604</v>
      </c>
      <c r="T12" s="90">
        <f>IF(ISERROR($C12/J12), "n/a", $C12/J12)</f>
        <v>-5.5507290375806448</v>
      </c>
      <c r="U12" s="90" t="str">
        <f>IFERROR(IF(($C12/K12)&gt;$Z$6, "NM", IF(($C12/K12)&lt;$AB$6, "NM", $C12/K12)),"n/a")</f>
        <v>NM</v>
      </c>
      <c r="V12" s="90" t="str">
        <f>IFERROR(IF(($C12/L12)&gt;$Z$6, "NM", IF(($C12/L12)&lt;$AB$6, "NM", $C12/L12)),"n/a")</f>
        <v>NM</v>
      </c>
      <c r="W12" s="90">
        <f>IFERROR(IF(($C12/M12)&gt;$Z$6, "NM", IF(($C12/M12)&lt;$AB$6, "NM", $C12/M12)),"n/a")</f>
        <v>10.108307455368369</v>
      </c>
      <c r="Y12" s="406">
        <f>'Comp.1'!AB12</f>
        <v>1906.0925500000001</v>
      </c>
      <c r="Z12" s="406">
        <f>'Comp.1'!AC12</f>
        <v>0</v>
      </c>
      <c r="AA12" s="406">
        <f>'Comp.1'!AD12</f>
        <v>0</v>
      </c>
      <c r="AB12" s="406">
        <f>'Comp.1'!AE12</f>
        <v>0</v>
      </c>
      <c r="AC12" s="406">
        <f>SUM(Z12:AB12)</f>
        <v>0</v>
      </c>
      <c r="AD12" s="406">
        <f>SUM(Y12:AB12)</f>
        <v>1906.0925500000001</v>
      </c>
      <c r="AE12" s="406">
        <f>'Comp.1'!AH12</f>
        <v>298.06299999999999</v>
      </c>
      <c r="AF12" s="92">
        <f>IF(ISERROR(AD12-AE12), "n/a", AD12-AE12)</f>
        <v>1608.0295500000002</v>
      </c>
      <c r="AH12" s="93" t="str">
        <f>IF('MASTER PubCo Inputs'!C28="","",'MASTER PubCo Inputs'!C28)</f>
        <v>IQ683713</v>
      </c>
      <c r="AI12" s="405" t="str">
        <f>'Comp.1'!AL12</f>
        <v>ACADIA Pharmaceuticals Inc., a biopharmaceutical company, focuses on the development and commercialization of small molecule drugs that address unmet medical needs in central nervous system disorders. The company offers NUPLAZID (pimavanserin) for the treatment of hallucinations and delusions associated with Parkinson’s disease psychosis. It is also developing pimavanserin as a treatment for dementia-related psychosis and as an adjunctive treatment for schizophrenia that are in phase III clinical trials; and pimavanserin as an adjunctive treatment for major depressive disorder. ACADIA Pharmaceuticals Inc. was founded in 1993 and is headquartered in San Diego, California.</v>
      </c>
    </row>
    <row r="13" spans="2:35" ht="12.75" customHeight="1">
      <c r="B13" s="405" t="str">
        <f>'Comp.1'!B13</f>
        <v>Rhythm Pharmaceuticals, Inc.</v>
      </c>
      <c r="C13" s="92">
        <f>'Comp.1'!C13</f>
        <v>930.20021999999994</v>
      </c>
      <c r="E13" s="92">
        <f>'Capital IQ Sheet-GPC'!X14</f>
        <v>0</v>
      </c>
      <c r="F13" s="92">
        <f>'Capital IQ Sheet-GPC'!Y14</f>
        <v>0</v>
      </c>
      <c r="G13" s="92">
        <f>'Capital IQ Sheet-GPC'!Z14</f>
        <v>-42.793999999999997</v>
      </c>
      <c r="H13" s="406"/>
      <c r="I13" s="92">
        <f>'Capital IQ Sheet-GPC'!AA14</f>
        <v>-25.760999999999999</v>
      </c>
      <c r="J13" s="92">
        <f>'Capital IQ Sheet-GPC'!AB14</f>
        <v>-32.189</v>
      </c>
      <c r="K13" s="92">
        <f>'Capital IQ Sheet-GPC'!AC14</f>
        <v>-51.885309999999997</v>
      </c>
      <c r="L13" s="92">
        <f>'Capital IQ Sheet-GPC'!AD14</f>
        <v>-63.808480000000003</v>
      </c>
      <c r="M13" s="92" t="str">
        <f>'Capital IQ Sheet-GPC'!AE14</f>
        <v>n/a</v>
      </c>
      <c r="O13" s="90" t="str">
        <f t="shared" ref="O13:O41" si="0">IF(ISERROR($C13/E13), "n/a", $C13/E13)</f>
        <v>n/a</v>
      </c>
      <c r="P13" s="90" t="str">
        <f t="shared" ref="P13:P41" si="1">IF(ISERROR($C13/F13), "n/a", $C13/F13)</f>
        <v>n/a</v>
      </c>
      <c r="Q13" s="90" t="str">
        <f t="shared" ref="Q13:Q41" si="2">IFERROR(IF(($C13/G13)&gt;$Z$6, "NM", IF(($C13/G13)&lt;$AB$6, "NM", $C13/G13)),"n/a")</f>
        <v>NM</v>
      </c>
      <c r="S13" s="90">
        <f t="shared" ref="S13:S41" si="3">IF(ISERROR($C13/I13), "n/a", $C13/I13)</f>
        <v>-36.108855246302547</v>
      </c>
      <c r="T13" s="90">
        <f t="shared" ref="T13:T41" si="4">IF(ISERROR($C13/J13), "n/a", $C13/J13)</f>
        <v>-28.898077604150483</v>
      </c>
      <c r="U13" s="90" t="str">
        <f t="shared" ref="U13:U41" si="5">IFERROR(IF(($C13/K13)&gt;$Z$6, "NM", IF(($C13/K13)&lt;$AB$6, "NM", $C13/K13)),"n/a")</f>
        <v>NM</v>
      </c>
      <c r="V13" s="90" t="str">
        <f t="shared" ref="V13:V41" si="6">IFERROR(IF(($C13/L13)&gt;$Z$6, "NM", IF(($C13/L13)&lt;$AB$6, "NM", $C13/L13)),"n/a")</f>
        <v>NM</v>
      </c>
      <c r="W13" s="90" t="str">
        <f t="shared" ref="W13:W41" si="7">IFERROR(IF(($C13/M13)&gt;$Z$6, "NM", IF(($C13/M13)&lt;$AB$6, "NM", $C13/M13)),"n/a")</f>
        <v>n/a</v>
      </c>
      <c r="Y13" s="406">
        <f>'Comp.1'!AB13</f>
        <v>1066.6532199999999</v>
      </c>
      <c r="Z13" s="406">
        <f>'Comp.1'!AC13</f>
        <v>0</v>
      </c>
      <c r="AA13" s="406">
        <f>'Comp.1'!AD13</f>
        <v>0</v>
      </c>
      <c r="AB13" s="406">
        <f>'Comp.1'!AE13</f>
        <v>0</v>
      </c>
      <c r="AC13" s="406">
        <f t="shared" ref="AC13:AC41" si="8">SUM(Z13:AB13)</f>
        <v>0</v>
      </c>
      <c r="AD13" s="406">
        <f t="shared" ref="AD13:AD41" si="9">SUM(Y13:AB13)</f>
        <v>1066.6532199999999</v>
      </c>
      <c r="AE13" s="406">
        <f>'Comp.1'!AH13</f>
        <v>136.453</v>
      </c>
      <c r="AF13" s="92">
        <f t="shared" ref="AF13:AF41" si="10">IF(ISERROR(AD13-AE13), "n/a", AD13-AE13)</f>
        <v>930.20021999999994</v>
      </c>
      <c r="AH13" s="93" t="str">
        <f>IF('MASTER PubCo Inputs'!C29="","",'MASTER PubCo Inputs'!C29)</f>
        <v>IQ309184792</v>
      </c>
      <c r="AI13" s="405" t="str">
        <f>'Comp.1'!AL13</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row>
    <row r="14" spans="2:35" ht="12.75" customHeight="1">
      <c r="B14" s="405" t="str">
        <f>'Comp.1'!B14</f>
        <v>Assembly Biosciences, Inc.</v>
      </c>
      <c r="C14" s="92">
        <f>'Comp.1'!C14</f>
        <v>696.63466999999991</v>
      </c>
      <c r="E14" s="92">
        <f>'Capital IQ Sheet-GPC'!X15</f>
        <v>-33.65992</v>
      </c>
      <c r="F14" s="92">
        <f>'Capital IQ Sheet-GPC'!Y15</f>
        <v>-47.837530000000001</v>
      </c>
      <c r="G14" s="92">
        <f>'Capital IQ Sheet-GPC'!Z15</f>
        <v>-54.613799999999998</v>
      </c>
      <c r="H14" s="406"/>
      <c r="I14" s="92">
        <f>'Capital IQ Sheet-GPC'!AA15</f>
        <v>-45.198210000000003</v>
      </c>
      <c r="J14" s="92">
        <f>'Capital IQ Sheet-GPC'!AB15</f>
        <v>-52.007649999999998</v>
      </c>
      <c r="K14" s="92" t="str">
        <f>'Capital IQ Sheet-GPC'!AC15</f>
        <v>n/a</v>
      </c>
      <c r="L14" s="92" t="str">
        <f>'Capital IQ Sheet-GPC'!AD15</f>
        <v>n/a</v>
      </c>
      <c r="M14" s="92" t="str">
        <f>'Capital IQ Sheet-GPC'!AE15</f>
        <v>n/a</v>
      </c>
      <c r="O14" s="90">
        <f t="shared" si="0"/>
        <v>-20.69626636070436</v>
      </c>
      <c r="P14" s="90">
        <f t="shared" si="1"/>
        <v>-14.562513365552107</v>
      </c>
      <c r="Q14" s="90" t="str">
        <f t="shared" si="2"/>
        <v>NM</v>
      </c>
      <c r="S14" s="90">
        <f t="shared" si="3"/>
        <v>-15.412881837577194</v>
      </c>
      <c r="T14" s="90">
        <f t="shared" si="4"/>
        <v>-13.394849988415165</v>
      </c>
      <c r="U14" s="90" t="str">
        <f t="shared" si="5"/>
        <v>n/a</v>
      </c>
      <c r="V14" s="90" t="str">
        <f t="shared" si="6"/>
        <v>n/a</v>
      </c>
      <c r="W14" s="90" t="str">
        <f t="shared" si="7"/>
        <v>n/a</v>
      </c>
      <c r="Y14" s="406">
        <f>'Comp.1'!AB14</f>
        <v>805.79364999999996</v>
      </c>
      <c r="Z14" s="406">
        <f>'Comp.1'!AC14</f>
        <v>0</v>
      </c>
      <c r="AA14" s="406">
        <f>'Comp.1'!AD14</f>
        <v>0</v>
      </c>
      <c r="AB14" s="406">
        <f>'Comp.1'!AE14</f>
        <v>0</v>
      </c>
      <c r="AC14" s="406">
        <f t="shared" si="8"/>
        <v>0</v>
      </c>
      <c r="AD14" s="406">
        <f t="shared" si="9"/>
        <v>805.79364999999996</v>
      </c>
      <c r="AE14" s="406">
        <f>'Comp.1'!AH14</f>
        <v>109.15898</v>
      </c>
      <c r="AF14" s="92">
        <f t="shared" si="10"/>
        <v>696.63466999999991</v>
      </c>
      <c r="AH14" s="93" t="str">
        <f>IF('MASTER PubCo Inputs'!C30="","",'MASTER PubCo Inputs'!C30)</f>
        <v>IQ99715344</v>
      </c>
      <c r="AI14" s="405" t="str">
        <f>'Comp.1'!AL14</f>
        <v>Assembly Biosciences, Inc. operates as a clinical stage biotechnology company. It develops oral therapeutic candidates for the treatment of hepatitis B virus (HBV) infection and novel class of oral synthetic live biotherapeutic candidates to treat disorders associated with the microbiome in the United States. It is involved in the development of core protein allosteric modulators that modulate the HBV core protein at various points in the viral lifecycle. The company also develops microbiome program, a platform that includes the identification and selection process to strain isolation and growth under current good manufacturing practice conditions; and a patent pending delivery system, GEMICEL, which allows for targeted oral delivery of live biologic and conventional therapies to the lower gastrointestinal tract. In addition, it engages in the development of product candidates for various disease indications, such as ulcerative colitis, Crohn’s disease, irritable bowel syndrome, non-alcoholic steatohepatitis, immuno-oncology, and clostridium difficile infections by using its microbiome platform. It has a collaboration agreement with Allergan Pharmaceuticals International Limited for the development and commercialization of selected microbiome gastrointestinal programs. The company was formerly known as Ventrus Biosciences, Inc. and changed its name to Assembly Biosciences, Inc. in June 2014. Assembly Biosciences, Inc. was founded in 2005 and is headquartered in Carmel, Indiana.</v>
      </c>
    </row>
    <row r="15" spans="2:35" ht="12.75" customHeight="1">
      <c r="B15" s="405" t="str">
        <f>'Comp.1'!B15</f>
        <v>Voyager Therapeutics, Inc.</v>
      </c>
      <c r="C15" s="92">
        <f>'Comp.1'!C15</f>
        <v>413.35426000000007</v>
      </c>
      <c r="E15" s="92">
        <f>'Capital IQ Sheet-GPC'!X16</f>
        <v>-22.288</v>
      </c>
      <c r="F15" s="92">
        <f>'Capital IQ Sheet-GPC'!Y16</f>
        <v>-50.561</v>
      </c>
      <c r="G15" s="92">
        <f>'Capital IQ Sheet-GPC'!Z16</f>
        <v>-73.7</v>
      </c>
      <c r="H15" s="406"/>
      <c r="I15" s="92">
        <f>'Capital IQ Sheet-GPC'!AA16</f>
        <v>-40.686999999999998</v>
      </c>
      <c r="J15" s="92">
        <f>'Capital IQ Sheet-GPC'!AB16</f>
        <v>-70.268000000000001</v>
      </c>
      <c r="K15" s="92">
        <f>'Capital IQ Sheet-GPC'!AC16</f>
        <v>-91.902000000000001</v>
      </c>
      <c r="L15" s="92">
        <f>'Capital IQ Sheet-GPC'!AD16</f>
        <v>-110.76867</v>
      </c>
      <c r="M15" s="92">
        <f>'Capital IQ Sheet-GPC'!AE16</f>
        <v>-94.6</v>
      </c>
      <c r="O15" s="90">
        <f t="shared" si="0"/>
        <v>-18.546045405599429</v>
      </c>
      <c r="P15" s="90">
        <f t="shared" si="1"/>
        <v>-8.1753576867546141</v>
      </c>
      <c r="Q15" s="90" t="str">
        <f t="shared" si="2"/>
        <v>NM</v>
      </c>
      <c r="S15" s="90">
        <f t="shared" si="3"/>
        <v>-10.15936933172758</v>
      </c>
      <c r="T15" s="90">
        <f t="shared" si="4"/>
        <v>-5.8825391358797754</v>
      </c>
      <c r="U15" s="90" t="str">
        <f t="shared" si="5"/>
        <v>NM</v>
      </c>
      <c r="V15" s="90" t="str">
        <f t="shared" si="6"/>
        <v>NM</v>
      </c>
      <c r="W15" s="90" t="str">
        <f t="shared" si="7"/>
        <v>NM</v>
      </c>
      <c r="Y15" s="406">
        <f>'Comp.1'!AB15</f>
        <v>631.55226000000005</v>
      </c>
      <c r="Z15" s="406">
        <f>'Comp.1'!AC15</f>
        <v>0</v>
      </c>
      <c r="AA15" s="406">
        <f>'Comp.1'!AD15</f>
        <v>0</v>
      </c>
      <c r="AB15" s="406">
        <f>'Comp.1'!AE15</f>
        <v>0</v>
      </c>
      <c r="AC15" s="406">
        <f t="shared" si="8"/>
        <v>0</v>
      </c>
      <c r="AD15" s="406">
        <f t="shared" si="9"/>
        <v>631.55226000000005</v>
      </c>
      <c r="AE15" s="406">
        <f>'Comp.1'!AH15</f>
        <v>218.19800000000001</v>
      </c>
      <c r="AF15" s="92">
        <f t="shared" si="10"/>
        <v>413.35426000000007</v>
      </c>
      <c r="AH15" s="93" t="str">
        <f>IF('MASTER PubCo Inputs'!C31="","",'MASTER PubCo Inputs'!C31)</f>
        <v>IQ256887902</v>
      </c>
      <c r="AI15" s="405" t="str">
        <f>'Comp.1'!AL15</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Voyager Therapeutics, Inc. was founded in 2013 and is headquartered in Cambridge, Massachusetts.</v>
      </c>
    </row>
    <row r="16" spans="2:35" ht="12.75" customHeight="1">
      <c r="B16" s="405" t="str">
        <f>'Comp.1'!B16</f>
        <v>Zafgen, Inc.</v>
      </c>
      <c r="C16" s="92">
        <f>'Comp.1'!C16</f>
        <v>294.85737000000006</v>
      </c>
      <c r="E16" s="92">
        <f>'Capital IQ Sheet-GPC'!X17</f>
        <v>-78.314999999999998</v>
      </c>
      <c r="F16" s="92">
        <f>'Capital IQ Sheet-GPC'!Y17</f>
        <v>-52.027000000000001</v>
      </c>
      <c r="G16" s="92">
        <f>'Capital IQ Sheet-GPC'!Z17</f>
        <v>-55.238999999999997</v>
      </c>
      <c r="H16" s="406"/>
      <c r="I16" s="92">
        <f>'Capital IQ Sheet-GPC'!AA17</f>
        <v>-56.61</v>
      </c>
      <c r="J16" s="92">
        <f>'Capital IQ Sheet-GPC'!AB17</f>
        <v>-52.811</v>
      </c>
      <c r="K16" s="92" t="str">
        <f>'Capital IQ Sheet-GPC'!AC17</f>
        <v>n/a</v>
      </c>
      <c r="L16" s="92" t="str">
        <f>'Capital IQ Sheet-GPC'!AD17</f>
        <v>n/a</v>
      </c>
      <c r="M16" s="92" t="str">
        <f>'Capital IQ Sheet-GPC'!AE17</f>
        <v>n/a</v>
      </c>
      <c r="O16" s="90">
        <f t="shared" si="0"/>
        <v>-3.7650178126795644</v>
      </c>
      <c r="P16" s="90">
        <f t="shared" si="1"/>
        <v>-5.6673913544890162</v>
      </c>
      <c r="Q16" s="90" t="str">
        <f t="shared" si="2"/>
        <v>NM</v>
      </c>
      <c r="S16" s="90">
        <f t="shared" si="3"/>
        <v>-5.2085739268680458</v>
      </c>
      <c r="T16" s="90">
        <f t="shared" si="4"/>
        <v>-5.5832567078828284</v>
      </c>
      <c r="U16" s="90" t="str">
        <f t="shared" si="5"/>
        <v>n/a</v>
      </c>
      <c r="V16" s="90" t="str">
        <f t="shared" si="6"/>
        <v>n/a</v>
      </c>
      <c r="W16" s="90" t="str">
        <f t="shared" si="7"/>
        <v>n/a</v>
      </c>
      <c r="Y16" s="406">
        <f>'Comp.1'!AB16</f>
        <v>363.76737000000003</v>
      </c>
      <c r="Z16" s="406">
        <f>'Comp.1'!AC16</f>
        <v>20.16</v>
      </c>
      <c r="AA16" s="406">
        <f>'Comp.1'!AD16</f>
        <v>0</v>
      </c>
      <c r="AB16" s="406">
        <f>'Comp.1'!AE16</f>
        <v>0</v>
      </c>
      <c r="AC16" s="406">
        <f t="shared" si="8"/>
        <v>20.16</v>
      </c>
      <c r="AD16" s="406">
        <f t="shared" si="9"/>
        <v>383.92737000000005</v>
      </c>
      <c r="AE16" s="406">
        <f>'Comp.1'!AH16</f>
        <v>89.07</v>
      </c>
      <c r="AF16" s="92">
        <f t="shared" si="10"/>
        <v>294.85737000000006</v>
      </c>
      <c r="AH16" s="93" t="str">
        <f>IF('MASTER PubCo Inputs'!C32="","",'MASTER PubCo Inputs'!C32)</f>
        <v>IQ29016215</v>
      </c>
      <c r="AI16" s="405" t="str">
        <f>'Comp.1'!AL16</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row>
    <row r="17" spans="2:35" ht="12.75" customHeight="1">
      <c r="B17" s="405" t="str">
        <f>'Comp.1'!B17</f>
        <v>Seres Therapeutics, Inc.</v>
      </c>
      <c r="C17" s="92">
        <f>'Comp.1'!C17</f>
        <v>227.41895</v>
      </c>
      <c r="E17" s="92">
        <f>'Capital IQ Sheet-GPC'!X18</f>
        <v>-65.582999999999998</v>
      </c>
      <c r="F17" s="92">
        <f>'Capital IQ Sheet-GPC'!Y18</f>
        <v>-93.263999999999996</v>
      </c>
      <c r="G17" s="92">
        <f>'Capital IQ Sheet-GPC'!Z18</f>
        <v>-86.301000000000002</v>
      </c>
      <c r="H17" s="406"/>
      <c r="I17" s="92">
        <f>'Capital IQ Sheet-GPC'!AA18</f>
        <v>-88.634</v>
      </c>
      <c r="J17" s="92">
        <f>'Capital IQ Sheet-GPC'!AB18</f>
        <v>-84.135999999999996</v>
      </c>
      <c r="K17" s="92">
        <f>'Capital IQ Sheet-GPC'!AC18</f>
        <v>-96.689959999999999</v>
      </c>
      <c r="L17" s="92">
        <f>'Capital IQ Sheet-GPC'!AD18</f>
        <v>-123.65827</v>
      </c>
      <c r="M17" s="92">
        <f>'Capital IQ Sheet-GPC'!AE18</f>
        <v>-112.498</v>
      </c>
      <c r="O17" s="90">
        <f t="shared" si="0"/>
        <v>-3.4676509156336244</v>
      </c>
      <c r="P17" s="90">
        <f t="shared" si="1"/>
        <v>-2.4384430219591695</v>
      </c>
      <c r="Q17" s="90" t="str">
        <f t="shared" si="2"/>
        <v>NM</v>
      </c>
      <c r="S17" s="90">
        <f t="shared" si="3"/>
        <v>-2.5658206782950108</v>
      </c>
      <c r="T17" s="90">
        <f t="shared" si="4"/>
        <v>-2.7029921793287062</v>
      </c>
      <c r="U17" s="90" t="str">
        <f t="shared" si="5"/>
        <v>NM</v>
      </c>
      <c r="V17" s="90" t="str">
        <f t="shared" si="6"/>
        <v>NM</v>
      </c>
      <c r="W17" s="90" t="str">
        <f t="shared" si="7"/>
        <v>NM</v>
      </c>
      <c r="Y17" s="406">
        <f>'Comp.1'!AB17</f>
        <v>349.61295000000001</v>
      </c>
      <c r="Z17" s="406">
        <f>'Comp.1'!AC17</f>
        <v>0</v>
      </c>
      <c r="AA17" s="406">
        <f>'Comp.1'!AD17</f>
        <v>0</v>
      </c>
      <c r="AB17" s="406">
        <f>'Comp.1'!AE17</f>
        <v>0</v>
      </c>
      <c r="AC17" s="406">
        <f t="shared" si="8"/>
        <v>0</v>
      </c>
      <c r="AD17" s="406">
        <f t="shared" si="9"/>
        <v>349.61295000000001</v>
      </c>
      <c r="AE17" s="406">
        <f>'Comp.1'!AH17</f>
        <v>122.194</v>
      </c>
      <c r="AF17" s="92">
        <f t="shared" si="10"/>
        <v>227.41895</v>
      </c>
      <c r="AH17" s="93" t="str">
        <f>IF('MASTER PubCo Inputs'!C33="","",'MASTER PubCo Inputs'!C33)</f>
        <v>IQ222388947</v>
      </c>
      <c r="AI17" s="405" t="str">
        <f>'Comp.1'!AL17</f>
        <v>Seres Therapeutics, Inc., a microbiome therapeutics platform company, engages in developing biological drugs designed to restore health by repairing the function of a dysbiotic microbiome. Its lead product candidate is SER-109, a bacterial spore ecology, which is in Phase III clinical study to treat multiply recurrent Clostridium difficile infection (CDI). The company is also developing SER-287 that is in Phase Ib clinical study in patients with mild-to-moderate ulcerative colitis; and SER-262, a multi-strain Ecobiotic microbiome therapeutic candidate, which is in Phase Ib study in patients with primary CDI. In addition, its product candidates in pre-clinical development comprise SER-301, an Ecobiotic microbiome therapeutic candidate for the treatment of inflammatory bowel disease; SER-401 for use with checkpoint inhibitors in patients with solid tumors; and SER-155, an Ecobiotic microbiome therapeutic candidate for the prevention of transplant-related mortality. Seres Therapeutics, Inc. has a strategic collaboration with Nestle Health Science and Memorial Sloan Kettering Cancer Center. The company was formerly known as Seres Health, Inc. and changed its name to Seres Therapeutics, Inc. in May 2015. Seres Therapeutics, Inc. was founded in 2010 and is headquartered in Cambridge, Massachusetts.</v>
      </c>
    </row>
    <row r="18" spans="2:35" ht="12.75" customHeight="1">
      <c r="B18" s="405" t="str">
        <f>'Comp.1'!B18</f>
        <v>CohBar, Inc.</v>
      </c>
      <c r="C18" s="92">
        <f>'Comp.1'!C18</f>
        <v>204.76295000000002</v>
      </c>
      <c r="E18" s="92">
        <f>'Capital IQ Sheet-GPC'!X19</f>
        <v>-4.2691400000000002</v>
      </c>
      <c r="F18" s="92">
        <f>'Capital IQ Sheet-GPC'!Y19</f>
        <v>-7.0307199999999996</v>
      </c>
      <c r="G18" s="92">
        <f>'Capital IQ Sheet-GPC'!Z19</f>
        <v>-11.161670000000001</v>
      </c>
      <c r="H18" s="406"/>
      <c r="I18" s="92">
        <f>'Capital IQ Sheet-GPC'!AA19</f>
        <v>-6.0186000000000002</v>
      </c>
      <c r="J18" s="92">
        <f>'Capital IQ Sheet-GPC'!AB19</f>
        <v>-9.8017199999999995</v>
      </c>
      <c r="K18" s="92" t="str">
        <f>'Capital IQ Sheet-GPC'!AC19</f>
        <v>n/a</v>
      </c>
      <c r="L18" s="92" t="str">
        <f>'Capital IQ Sheet-GPC'!AD19</f>
        <v>n/a</v>
      </c>
      <c r="M18" s="92" t="str">
        <f>'Capital IQ Sheet-GPC'!AE19</f>
        <v>n/a</v>
      </c>
      <c r="O18" s="90">
        <f t="shared" si="0"/>
        <v>-47.963512557564286</v>
      </c>
      <c r="P18" s="90">
        <f t="shared" si="1"/>
        <v>-29.124037082973015</v>
      </c>
      <c r="Q18" s="90" t="str">
        <f t="shared" si="2"/>
        <v>NM</v>
      </c>
      <c r="S18" s="90">
        <f t="shared" si="3"/>
        <v>-34.021691090951386</v>
      </c>
      <c r="T18" s="90">
        <f t="shared" si="4"/>
        <v>-20.890512073391204</v>
      </c>
      <c r="U18" s="90" t="str">
        <f t="shared" si="5"/>
        <v>n/a</v>
      </c>
      <c r="V18" s="90" t="str">
        <f t="shared" si="6"/>
        <v>n/a</v>
      </c>
      <c r="W18" s="90" t="str">
        <f t="shared" si="7"/>
        <v>n/a</v>
      </c>
      <c r="Y18" s="406">
        <f>'Comp.1'!AB18</f>
        <v>211.81835000000001</v>
      </c>
      <c r="Z18" s="406">
        <f>'Comp.1'!AC18</f>
        <v>1.40126</v>
      </c>
      <c r="AA18" s="406">
        <f>'Comp.1'!AD18</f>
        <v>0</v>
      </c>
      <c r="AB18" s="406">
        <f>'Comp.1'!AE18</f>
        <v>0</v>
      </c>
      <c r="AC18" s="406">
        <f t="shared" si="8"/>
        <v>1.40126</v>
      </c>
      <c r="AD18" s="406">
        <f t="shared" si="9"/>
        <v>213.21961000000002</v>
      </c>
      <c r="AE18" s="406">
        <f>'Comp.1'!AH18</f>
        <v>8.4566599999999994</v>
      </c>
      <c r="AF18" s="92">
        <f t="shared" si="10"/>
        <v>204.76295000000002</v>
      </c>
      <c r="AH18" s="93" t="str">
        <f>IF('MASTER PubCo Inputs'!C34="","",'MASTER PubCo Inputs'!C34)</f>
        <v>IQ134282175</v>
      </c>
      <c r="AI18" s="405" t="str">
        <f>'Comp.1'!AL18</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row>
    <row r="19" spans="2:35" ht="12.75" customHeight="1">
      <c r="B19" s="405" t="str">
        <f>'Comp.1'!B19</f>
        <v>VIVUS, Inc.</v>
      </c>
      <c r="C19" s="92">
        <f>'Comp.1'!C19</f>
        <v>102.15014000000002</v>
      </c>
      <c r="E19" s="92">
        <f>'Capital IQ Sheet-GPC'!X20</f>
        <v>-24.63</v>
      </c>
      <c r="F19" s="92">
        <f>'Capital IQ Sheet-GPC'!Y20</f>
        <v>68.491</v>
      </c>
      <c r="G19" s="92">
        <f>'Capital IQ Sheet-GPC'!Z20</f>
        <v>-6.0170000000000003</v>
      </c>
      <c r="H19" s="406"/>
      <c r="I19" s="92">
        <f>'Capital IQ Sheet-GPC'!AA20</f>
        <v>56.765000000000001</v>
      </c>
      <c r="J19" s="92">
        <f>'Capital IQ Sheet-GPC'!AB20</f>
        <v>3.6040000000000001</v>
      </c>
      <c r="K19" s="92" t="str">
        <f>'Capital IQ Sheet-GPC'!AC20</f>
        <v>n/a</v>
      </c>
      <c r="L19" s="92" t="str">
        <f>'Capital IQ Sheet-GPC'!AD20</f>
        <v>n/a</v>
      </c>
      <c r="M19" s="92" t="str">
        <f>'Capital IQ Sheet-GPC'!AE20</f>
        <v>n/a</v>
      </c>
      <c r="O19" s="90">
        <f t="shared" si="0"/>
        <v>-4.1473869265123842</v>
      </c>
      <c r="P19" s="90">
        <f t="shared" si="1"/>
        <v>1.4914388751806811</v>
      </c>
      <c r="Q19" s="90" t="str">
        <f t="shared" si="2"/>
        <v>NM</v>
      </c>
      <c r="S19" s="90">
        <f t="shared" si="3"/>
        <v>1.7995268211045543</v>
      </c>
      <c r="T19" s="90">
        <f t="shared" si="4"/>
        <v>28.343546059933413</v>
      </c>
      <c r="U19" s="90" t="str">
        <f t="shared" si="5"/>
        <v>n/a</v>
      </c>
      <c r="V19" s="90" t="str">
        <f t="shared" si="6"/>
        <v>n/a</v>
      </c>
      <c r="W19" s="90" t="str">
        <f t="shared" si="7"/>
        <v>n/a</v>
      </c>
      <c r="Y19" s="406">
        <f>'Comp.1'!AB19</f>
        <v>74.768140000000002</v>
      </c>
      <c r="Z19" s="406">
        <f>'Comp.1'!AC19</f>
        <v>236.50700000000001</v>
      </c>
      <c r="AA19" s="406">
        <f>'Comp.1'!AD19</f>
        <v>0</v>
      </c>
      <c r="AB19" s="406">
        <f>'Comp.1'!AE19</f>
        <v>0</v>
      </c>
      <c r="AC19" s="406">
        <f t="shared" si="8"/>
        <v>236.50700000000001</v>
      </c>
      <c r="AD19" s="406">
        <f t="shared" si="9"/>
        <v>311.27514000000002</v>
      </c>
      <c r="AE19" s="406">
        <f>'Comp.1'!AH19</f>
        <v>209.125</v>
      </c>
      <c r="AF19" s="92">
        <f t="shared" si="10"/>
        <v>102.15014000000002</v>
      </c>
      <c r="AH19" s="93" t="str">
        <f>IF('MASTER PubCo Inputs'!C35="","",'MASTER PubCo Inputs'!C35)</f>
        <v>IQ36398</v>
      </c>
      <c r="AI19" s="405" t="str">
        <f>'Comp.1'!AL19</f>
        <v>VIVUS, Inc., a biopharmaceutical company, develops and commercializes novel therapeutic products to address unmet medical needs in human health in the United States and the European Union. The company offers Qsymia for the treatment of obesity as an adjunct to a reduced-calorie diet and increased physical activity for chronic weight management in adult patients with an initial body mass index of 30 or greater, or obese patients, or 27 or greater, or overweight patients in the presence of at least one weight-related comorbidity, such as hypertension, type 2 diabetes mellitus or high cholesterol; and STENDRA, an oral phosphodiesterase type 5 inhibitor for the treatment of erectile dysfunction. It is also involved in developing Qsymia, which has been completed Phase II studies for the treatment of various diseases, including obstructive sleep apnea and diabetes, nonalcoholic steatohepatitis and fatty liver disease, hyperlipidemia, and hypertension, as well as Tacrolimus that has been completed Phase IIa studies for the treatment of pulmonary arterial hypertension. The company has development, license and clinical trial, and commercial supply agreement with Mitsubishi Tanabe Pharma Corporation for the development and commercialization of avanafil, a PDE5 inhibitor compound for the oral and local treatment of male and female sexual dysfunction. It also has license and commercialization agreements with Berlin Chemie AG to commercialize and promote STENDRA. VIVUS, Inc. was founded in 1991 and is headquartered in Campbell, California.</v>
      </c>
    </row>
    <row r="20" spans="2:35" ht="12.75" customHeight="1">
      <c r="B20" s="405" t="str">
        <f>'Comp.1'!B20</f>
        <v>Anavex Life Sciences Corp.</v>
      </c>
      <c r="C20" s="92">
        <f>'Comp.1'!C20</f>
        <v>91.352779999999996</v>
      </c>
      <c r="E20" s="92">
        <f>'Capital IQ Sheet-GPC'!X21</f>
        <v>-11.62021</v>
      </c>
      <c r="F20" s="92">
        <f>'Capital IQ Sheet-GPC'!Y21</f>
        <v>-13.62978</v>
      </c>
      <c r="G20" s="92">
        <f>'Capital IQ Sheet-GPC'!Z21</f>
        <v>0</v>
      </c>
      <c r="H20" s="406"/>
      <c r="I20" s="92">
        <f>'Capital IQ Sheet-GPC'!AA21</f>
        <v>-13.65287</v>
      </c>
      <c r="J20" s="92">
        <f>'Capital IQ Sheet-GPC'!AB21</f>
        <v>0</v>
      </c>
      <c r="K20" s="92" t="str">
        <f>'Capital IQ Sheet-GPC'!AC21</f>
        <v>n/a</v>
      </c>
      <c r="L20" s="92" t="str">
        <f>'Capital IQ Sheet-GPC'!AD21</f>
        <v>n/a</v>
      </c>
      <c r="M20" s="92" t="str">
        <f>'Capital IQ Sheet-GPC'!AE21</f>
        <v>n/a</v>
      </c>
      <c r="O20" s="90">
        <f t="shared" si="0"/>
        <v>-7.8615429497401506</v>
      </c>
      <c r="P20" s="90">
        <f t="shared" si="1"/>
        <v>-6.702439804604329</v>
      </c>
      <c r="Q20" s="90" t="str">
        <f t="shared" si="2"/>
        <v>n/a</v>
      </c>
      <c r="S20" s="90">
        <f t="shared" si="3"/>
        <v>-6.6911045076969158</v>
      </c>
      <c r="T20" s="90" t="str">
        <f t="shared" si="4"/>
        <v>n/a</v>
      </c>
      <c r="U20" s="90" t="str">
        <f t="shared" si="5"/>
        <v>n/a</v>
      </c>
      <c r="V20" s="90" t="str">
        <f t="shared" si="6"/>
        <v>n/a</v>
      </c>
      <c r="W20" s="90" t="str">
        <f t="shared" si="7"/>
        <v>n/a</v>
      </c>
      <c r="Y20" s="406">
        <f>'Comp.1'!AB20</f>
        <v>117.00936</v>
      </c>
      <c r="Z20" s="406">
        <f>'Comp.1'!AC20</f>
        <v>0</v>
      </c>
      <c r="AA20" s="406">
        <f>'Comp.1'!AD20</f>
        <v>0</v>
      </c>
      <c r="AB20" s="406">
        <f>'Comp.1'!AE20</f>
        <v>0</v>
      </c>
      <c r="AC20" s="406">
        <f t="shared" si="8"/>
        <v>0</v>
      </c>
      <c r="AD20" s="406">
        <f t="shared" si="9"/>
        <v>117.00936</v>
      </c>
      <c r="AE20" s="406">
        <f>'Comp.1'!AH20</f>
        <v>25.656580000000002</v>
      </c>
      <c r="AF20" s="92">
        <f t="shared" si="10"/>
        <v>91.352779999999996</v>
      </c>
      <c r="AH20" s="93" t="str">
        <f>IF('MASTER PubCo Inputs'!C36="","",'MASTER PubCo Inputs'!C36)</f>
        <v>IQ13580387</v>
      </c>
      <c r="AI20" s="405" t="str">
        <f>'Comp.1'!AL20</f>
        <v>Anavex Life Sciences Corp., a clinical stage biopharmaceutical company, engages in the development of drug candidates for the treatment of Alzheimer’s disease, other central nervous system diseases, pain, and various cancers. The company’s lead drug candidates include ANAVEX 2-73, which has completed Phase IIa clinical trials for the treatment of Alzheimer’s disease; and in preclinical clinical trials to treat Parkinson’s disease, epilepsy, Rett syndrome, Angelman syndrome, multiple sclerosis, and Fragile X syndrome. Its preclinical drug candidates include ANAVEX 3-71 to treat Alzheimer’s disease; ANAVEX 1-41, a sigma-1 agonist; ANAVEX 1037 for the treatment of prostate cancer; and ANAVEX 1066, a mixed sigma-1/sigma-2 ligand for the treatment of neuropathic and visceral pain. The company was founded in 2006 and is based in New York, New York.</v>
      </c>
    </row>
    <row r="21" spans="2:35" ht="12.75" customHeight="1">
      <c r="B21" s="405" t="str">
        <f>'Comp.1'!B21</f>
        <v>OptiBiotix Health plc</v>
      </c>
      <c r="C21" s="92">
        <f>'Comp.1'!C21</f>
        <v>71.230959999999996</v>
      </c>
      <c r="E21" s="92">
        <f>'Capital IQ Sheet-GPC'!X22</f>
        <v>-1.97106</v>
      </c>
      <c r="F21" s="92">
        <f>'Capital IQ Sheet-GPC'!Y22</f>
        <v>-1.7505999999999999</v>
      </c>
      <c r="G21" s="92">
        <f>'Capital IQ Sheet-GPC'!Z22</f>
        <v>-2.7107000000000001</v>
      </c>
      <c r="H21" s="406"/>
      <c r="I21" s="92">
        <f>'Capital IQ Sheet-GPC'!AA22</f>
        <v>-1.7505999999999999</v>
      </c>
      <c r="J21" s="92">
        <f>'Capital IQ Sheet-GPC'!AB22</f>
        <v>-2.7107000000000001</v>
      </c>
      <c r="K21" s="92" t="str">
        <f>'Capital IQ Sheet-GPC'!AC22</f>
        <v>n/a</v>
      </c>
      <c r="L21" s="92" t="str">
        <f>'Capital IQ Sheet-GPC'!AD22</f>
        <v>n/a</v>
      </c>
      <c r="M21" s="92" t="str">
        <f>'Capital IQ Sheet-GPC'!AE22</f>
        <v>n/a</v>
      </c>
      <c r="O21" s="90">
        <f t="shared" si="0"/>
        <v>-36.138402686879139</v>
      </c>
      <c r="P21" s="90">
        <f t="shared" si="1"/>
        <v>-40.689455043984921</v>
      </c>
      <c r="Q21" s="90" t="str">
        <f t="shared" si="2"/>
        <v>NM</v>
      </c>
      <c r="S21" s="90">
        <f t="shared" si="3"/>
        <v>-40.689455043984921</v>
      </c>
      <c r="T21" s="90">
        <f t="shared" si="4"/>
        <v>-26.277699487217323</v>
      </c>
      <c r="U21" s="90" t="str">
        <f t="shared" si="5"/>
        <v>n/a</v>
      </c>
      <c r="V21" s="90" t="str">
        <f t="shared" si="6"/>
        <v>n/a</v>
      </c>
      <c r="W21" s="90" t="str">
        <f t="shared" si="7"/>
        <v>n/a</v>
      </c>
      <c r="Y21" s="406">
        <f>'Comp.1'!AB21</f>
        <v>72.915899999999993</v>
      </c>
      <c r="Z21" s="406">
        <f>'Comp.1'!AC21</f>
        <v>0</v>
      </c>
      <c r="AA21" s="406">
        <f>'Comp.1'!AD21</f>
        <v>0</v>
      </c>
      <c r="AB21" s="406">
        <f>'Comp.1'!AE21</f>
        <v>0</v>
      </c>
      <c r="AC21" s="406">
        <f t="shared" si="8"/>
        <v>0</v>
      </c>
      <c r="AD21" s="406">
        <f t="shared" si="9"/>
        <v>72.915899999999993</v>
      </c>
      <c r="AE21" s="406">
        <f>'Comp.1'!AH21</f>
        <v>1.6849400000000001</v>
      </c>
      <c r="AF21" s="92">
        <f t="shared" si="10"/>
        <v>71.230959999999996</v>
      </c>
      <c r="AH21" s="93" t="str">
        <f>IF('MASTER PubCo Inputs'!C37="","",'MASTER PubCo Inputs'!C37)</f>
        <v>IQ129358643</v>
      </c>
      <c r="AI21" s="405" t="str">
        <f>'Comp.1'!AL21</f>
        <v>Optibiotix Health Plc, a life sciences company, engages in the research and development of microbiome modulators primarily in the United Kingdom. The company is developing microbial strains, compounds, and formulations, which modulates the human microbiome and impacts lipid and cholesterol management, energy harvest, and appetite suppression activities. Its products include Slimbiome, a natural ingredient, which supports scientifically substantiated weight loss claims; CholBiome, a food supplement that combines natural ingredients and maintains healthy cholesterol levels from within; CardioBiome, a non-pharmaceutical approach for the maintenance of cardiovascular and heart health; and Sweetbiotix, a sweet calorie free natural healthy sugar. Optibiotix Health Plc was founded in 2012 and is based in York, the United Kingdom.</v>
      </c>
    </row>
    <row r="22" spans="2:35" ht="12.75" customHeight="1">
      <c r="B22" s="405" t="str">
        <f>'Comp.1'!B22</f>
        <v>Soleno Therapeutics, Inc.</v>
      </c>
      <c r="C22" s="92">
        <f>'Comp.1'!C22</f>
        <v>31.392000000000003</v>
      </c>
      <c r="E22" s="92">
        <f>'Capital IQ Sheet-GPC'!X23</f>
        <v>-13.883520000000001</v>
      </c>
      <c r="F22" s="92">
        <f>'Capital IQ Sheet-GPC'!Y23</f>
        <v>-5.1414499999999999</v>
      </c>
      <c r="G22" s="92">
        <f>'Capital IQ Sheet-GPC'!Z23</f>
        <v>-9.3688500000000001</v>
      </c>
      <c r="H22" s="406"/>
      <c r="I22" s="92">
        <f>'Capital IQ Sheet-GPC'!AA23</f>
        <v>-8.1304499999999997</v>
      </c>
      <c r="J22" s="92">
        <f>'Capital IQ Sheet-GPC'!AB23</f>
        <v>-8.06785</v>
      </c>
      <c r="K22" s="92" t="str">
        <f>'Capital IQ Sheet-GPC'!AC23</f>
        <v>n/a</v>
      </c>
      <c r="L22" s="92" t="str">
        <f>'Capital IQ Sheet-GPC'!AD23</f>
        <v>n/a</v>
      </c>
      <c r="M22" s="92" t="str">
        <f>'Capital IQ Sheet-GPC'!AE23</f>
        <v>n/a</v>
      </c>
      <c r="O22" s="90">
        <f t="shared" si="0"/>
        <v>-2.2610980500622322</v>
      </c>
      <c r="P22" s="90">
        <f t="shared" si="1"/>
        <v>-6.1056705793112842</v>
      </c>
      <c r="Q22" s="90" t="str">
        <f t="shared" si="2"/>
        <v>NM</v>
      </c>
      <c r="S22" s="90">
        <f t="shared" si="3"/>
        <v>-3.861040901795104</v>
      </c>
      <c r="T22" s="90">
        <f t="shared" si="4"/>
        <v>-3.8909994608228962</v>
      </c>
      <c r="U22" s="90" t="str">
        <f t="shared" si="5"/>
        <v>n/a</v>
      </c>
      <c r="V22" s="90" t="str">
        <f t="shared" si="6"/>
        <v>n/a</v>
      </c>
      <c r="W22" s="90" t="str">
        <f t="shared" si="7"/>
        <v>n/a</v>
      </c>
      <c r="Y22" s="406">
        <f>'Comp.1'!AB22</f>
        <v>46.258000000000003</v>
      </c>
      <c r="Z22" s="406">
        <f>'Comp.1'!AC22</f>
        <v>0</v>
      </c>
      <c r="AA22" s="406">
        <f>'Comp.1'!AD22</f>
        <v>0</v>
      </c>
      <c r="AB22" s="406">
        <f>'Comp.1'!AE22</f>
        <v>0</v>
      </c>
      <c r="AC22" s="406">
        <f t="shared" si="8"/>
        <v>0</v>
      </c>
      <c r="AD22" s="406">
        <f t="shared" si="9"/>
        <v>46.258000000000003</v>
      </c>
      <c r="AE22" s="406">
        <f>'Comp.1'!AH22</f>
        <v>14.866</v>
      </c>
      <c r="AF22" s="92">
        <f t="shared" si="10"/>
        <v>31.392000000000003</v>
      </c>
      <c r="AH22" s="93" t="str">
        <f>IF('MASTER PubCo Inputs'!C38="","",'MASTER PubCo Inputs'!C38)</f>
        <v>IQ2520553</v>
      </c>
      <c r="AI22" s="405" t="str">
        <f>'Comp.1'!AL22</f>
        <v>Soleno Therapeutics, Inc. focuses on the development and commercialization of novel therapeutics for the treatment of rare diseases. Its lead candidate, diazoxide choline controlled-release (DCCR), a tablet for the treatment of Prader-Willi Syndrome (PWS), is entering into late-stage clinical development. The company was formerly known as Capnia, Inc. and changed its name to Soleno Therapeutics, Inc. in May 2017. Soleno Therapeutics, Inc. was founded in 1999 and is based in Redwood City, California.</v>
      </c>
    </row>
    <row r="23" spans="2:35" ht="12.75" customHeight="1">
      <c r="B23" s="405" t="str">
        <f>'Comp.1'!B23</f>
        <v>Synthetic Biologics, Inc.</v>
      </c>
      <c r="C23" s="92">
        <f>'Comp.1'!C23</f>
        <v>29.879480000000001</v>
      </c>
      <c r="E23" s="92">
        <f>'Capital IQ Sheet-GPC'!X24</f>
        <v>-43.253</v>
      </c>
      <c r="F23" s="92">
        <f>'Capital IQ Sheet-GPC'!Y24</f>
        <v>-36.643000000000001</v>
      </c>
      <c r="G23" s="92">
        <f>'Capital IQ Sheet-GPC'!Z24</f>
        <v>-22.832999999999998</v>
      </c>
      <c r="H23" s="406"/>
      <c r="I23" s="92">
        <f>'Capital IQ Sheet-GPC'!AA24</f>
        <v>-39.094999999999999</v>
      </c>
      <c r="J23" s="92">
        <f>'Capital IQ Sheet-GPC'!AB24</f>
        <v>-26.006</v>
      </c>
      <c r="K23" s="92" t="str">
        <f>'Capital IQ Sheet-GPC'!AC24</f>
        <v>n/a</v>
      </c>
      <c r="L23" s="92" t="str">
        <f>'Capital IQ Sheet-GPC'!AD24</f>
        <v>n/a</v>
      </c>
      <c r="M23" s="92" t="str">
        <f>'Capital IQ Sheet-GPC'!AE24</f>
        <v>n/a</v>
      </c>
      <c r="O23" s="90">
        <f t="shared" si="0"/>
        <v>-0.69080711164543507</v>
      </c>
      <c r="P23" s="90">
        <f t="shared" si="1"/>
        <v>-0.81542122642796711</v>
      </c>
      <c r="Q23" s="90" t="str">
        <f t="shared" si="2"/>
        <v>NM</v>
      </c>
      <c r="S23" s="90">
        <f t="shared" si="3"/>
        <v>-0.76427880803171766</v>
      </c>
      <c r="T23" s="90">
        <f t="shared" si="4"/>
        <v>-1.1489456279320158</v>
      </c>
      <c r="U23" s="90" t="str">
        <f t="shared" si="5"/>
        <v>n/a</v>
      </c>
      <c r="V23" s="90" t="str">
        <f t="shared" si="6"/>
        <v>n/a</v>
      </c>
      <c r="W23" s="90" t="str">
        <f t="shared" si="7"/>
        <v>n/a</v>
      </c>
      <c r="Y23" s="406">
        <f>'Comp.1'!AB23</f>
        <v>30.72748</v>
      </c>
      <c r="Z23" s="406">
        <f>'Comp.1'!AC23</f>
        <v>0</v>
      </c>
      <c r="AA23" s="406">
        <f>'Comp.1'!AD23</f>
        <v>12.112</v>
      </c>
      <c r="AB23" s="406">
        <f>'Comp.1'!AE23</f>
        <v>-1.923</v>
      </c>
      <c r="AC23" s="406">
        <f t="shared" si="8"/>
        <v>10.189</v>
      </c>
      <c r="AD23" s="406">
        <f t="shared" si="9"/>
        <v>40.91648</v>
      </c>
      <c r="AE23" s="406">
        <f>'Comp.1'!AH23</f>
        <v>11.037000000000001</v>
      </c>
      <c r="AF23" s="92">
        <f t="shared" si="10"/>
        <v>29.879480000000001</v>
      </c>
      <c r="AH23" s="93" t="str">
        <f>IF('MASTER PubCo Inputs'!C39="","",'MASTER PubCo Inputs'!C39)</f>
        <v>IQ24424557</v>
      </c>
      <c r="AI23" s="405" t="str">
        <f>'Comp.1'!AL23</f>
        <v>Synthetic Biologics, Inc., a late-stage clinical company, develops therapeutics designed to preserve the microbiome to protect and restore the health of patients. Its lead product candidates are in Phase III development, such as SYN-004 that is designed to protect the gut microbiome from the effects of commonly used intravenous (IV) beta-lactam antibiotics for the prevention of C. difficile infection, overgrowth of pathogenic organisms, and the emergence of antimicrobial resistance; and SYN-010 which is intended to reduce the impact of methane-producing organisms in the gut microbiome to treat an underlying cause of irritable bowel syndrome with constipation. The company’s preclinical products include an oral formulation of the enzyme intestinal alkaline phosphatase to treat local GI disorders and systemic diseases; monoclonal antibody therapies for the prevention and treatment of pertussis; and novel discovery stage biotherapeutics for the treatment of phenylketonuria. Synthetic Biologics, Inc. has collaborations with Intrexon Corporation, The University of Texas at Austin, and Cedars-Sinai Medical Center. The company was formerly known as Adeona Pharmaceuticals, Inc. and changed its name to Synthetic Biologics, Inc. in February 2012. Synthetic Biologics, Inc. was founded in 2001 and is headquartered in Rockville, Maryland.</v>
      </c>
    </row>
    <row r="24" spans="2:35" ht="12.75" customHeight="1">
      <c r="B24" s="405" t="str">
        <f>'Comp.1'!B24</f>
        <v>Nexus BioPharma, Inc.</v>
      </c>
      <c r="C24" s="92">
        <f>'Comp.1'!C24</f>
        <v>4.2106600000000007</v>
      </c>
      <c r="E24" s="92">
        <f>'Capital IQ Sheet-GPC'!X25</f>
        <v>0</v>
      </c>
      <c r="F24" s="92">
        <f>'Capital IQ Sheet-GPC'!Y25</f>
        <v>0</v>
      </c>
      <c r="G24" s="92">
        <f>'Capital IQ Sheet-GPC'!Z25</f>
        <v>-0.56271000000000004</v>
      </c>
      <c r="H24" s="406"/>
      <c r="I24" s="92">
        <f>'Capital IQ Sheet-GPC'!AA25</f>
        <v>0</v>
      </c>
      <c r="J24" s="92">
        <f>'Capital IQ Sheet-GPC'!AB25</f>
        <v>-0.56271000000000004</v>
      </c>
      <c r="K24" s="92" t="str">
        <f>'Capital IQ Sheet-GPC'!AC25</f>
        <v>n/a</v>
      </c>
      <c r="L24" s="92" t="str">
        <f>'Capital IQ Sheet-GPC'!AD25</f>
        <v>n/a</v>
      </c>
      <c r="M24" s="92" t="str">
        <f>'Capital IQ Sheet-GPC'!AE25</f>
        <v>n/a</v>
      </c>
      <c r="O24" s="90" t="str">
        <f t="shared" si="0"/>
        <v>n/a</v>
      </c>
      <c r="P24" s="90" t="str">
        <f t="shared" si="1"/>
        <v>n/a</v>
      </c>
      <c r="Q24" s="90" t="str">
        <f t="shared" si="2"/>
        <v>NM</v>
      </c>
      <c r="S24" s="90" t="str">
        <f t="shared" si="3"/>
        <v>n/a</v>
      </c>
      <c r="T24" s="90">
        <f t="shared" si="4"/>
        <v>-7.4828241900801489</v>
      </c>
      <c r="U24" s="90" t="str">
        <f t="shared" si="5"/>
        <v>n/a</v>
      </c>
      <c r="V24" s="90" t="str">
        <f t="shared" si="6"/>
        <v>n/a</v>
      </c>
      <c r="W24" s="90" t="str">
        <f t="shared" si="7"/>
        <v>n/a</v>
      </c>
      <c r="Y24" s="406">
        <f>'Comp.1'!AB24</f>
        <v>3.8515700000000002</v>
      </c>
      <c r="Z24" s="406">
        <f>'Comp.1'!AC24</f>
        <v>0.36752000000000001</v>
      </c>
      <c r="AA24" s="406">
        <f>'Comp.1'!AD24</f>
        <v>0</v>
      </c>
      <c r="AB24" s="406">
        <f>'Comp.1'!AE24</f>
        <v>0</v>
      </c>
      <c r="AC24" s="406">
        <f t="shared" si="8"/>
        <v>0.36752000000000001</v>
      </c>
      <c r="AD24" s="406">
        <f t="shared" si="9"/>
        <v>4.2190900000000005</v>
      </c>
      <c r="AE24" s="406">
        <f>'Comp.1'!AH24</f>
        <v>8.43E-3</v>
      </c>
      <c r="AF24" s="92">
        <f t="shared" si="10"/>
        <v>4.2106600000000007</v>
      </c>
      <c r="AH24" s="93" t="str">
        <f>IF('MASTER PubCo Inputs'!C40="","",'MASTER PubCo Inputs'!C40)</f>
        <v>IQ340704541</v>
      </c>
      <c r="AI24" s="405" t="str">
        <f>'Comp.1'!AL24</f>
        <v>Nexus BioPharma, Inc., a life science company, focuses on the development and commercialization of a pharmaceutical preparation to treat obesity and the symptoms of type 2 diabetes. The company is headquartered in Houston, Texas.</v>
      </c>
    </row>
    <row r="25" spans="2:35" ht="12.75" customHeight="1">
      <c r="B25" s="405" t="str">
        <f>'Comp.1'!B25</f>
        <v>Ritter Pharmaceuticals, Inc.</v>
      </c>
      <c r="C25" s="92">
        <f>'Comp.1'!C25</f>
        <v>-1.0675899999999992</v>
      </c>
      <c r="E25" s="92">
        <f>'Capital IQ Sheet-GPC'!X26</f>
        <v>-10.65944</v>
      </c>
      <c r="F25" s="92">
        <f>'Capital IQ Sheet-GPC'!Y26</f>
        <v>-16.97242</v>
      </c>
      <c r="G25" s="92">
        <f>'Capital IQ Sheet-GPC'!Z26</f>
        <v>-8.2541600000000006</v>
      </c>
      <c r="H25" s="406"/>
      <c r="I25" s="92">
        <f>'Capital IQ Sheet-GPC'!AA26</f>
        <v>-18.441520000000001</v>
      </c>
      <c r="J25" s="92">
        <f>'Capital IQ Sheet-GPC'!AB26</f>
        <v>-7.8967400000000003</v>
      </c>
      <c r="K25" s="92" t="str">
        <f>'Capital IQ Sheet-GPC'!AC26</f>
        <v>n/a</v>
      </c>
      <c r="L25" s="92" t="str">
        <f>'Capital IQ Sheet-GPC'!AD26</f>
        <v>n/a</v>
      </c>
      <c r="M25" s="92" t="str">
        <f>'Capital IQ Sheet-GPC'!AE26</f>
        <v>n/a</v>
      </c>
      <c r="O25" s="90">
        <f t="shared" si="0"/>
        <v>0.10015441711759709</v>
      </c>
      <c r="P25" s="90">
        <f t="shared" si="1"/>
        <v>6.290146013355781E-2</v>
      </c>
      <c r="Q25" s="90">
        <f t="shared" si="2"/>
        <v>0.12933962995628859</v>
      </c>
      <c r="S25" s="90">
        <f t="shared" si="3"/>
        <v>5.7890564335260818E-2</v>
      </c>
      <c r="T25" s="90">
        <f t="shared" si="4"/>
        <v>0.13519376350240722</v>
      </c>
      <c r="U25" s="90" t="str">
        <f t="shared" si="5"/>
        <v>n/a</v>
      </c>
      <c r="V25" s="90" t="str">
        <f t="shared" si="6"/>
        <v>n/a</v>
      </c>
      <c r="W25" s="90" t="str">
        <f t="shared" si="7"/>
        <v>n/a</v>
      </c>
      <c r="Y25" s="406">
        <f>'Comp.1'!AB25</f>
        <v>12.90047</v>
      </c>
      <c r="Z25" s="406">
        <f>'Comp.1'!AC25</f>
        <v>0</v>
      </c>
      <c r="AA25" s="406">
        <f>'Comp.1'!AD25</f>
        <v>4.9489799999999997</v>
      </c>
      <c r="AB25" s="406">
        <f>'Comp.1'!AE25</f>
        <v>0</v>
      </c>
      <c r="AC25" s="406">
        <f t="shared" si="8"/>
        <v>4.9489799999999997</v>
      </c>
      <c r="AD25" s="406">
        <f t="shared" si="9"/>
        <v>17.849450000000001</v>
      </c>
      <c r="AE25" s="406">
        <f>'Comp.1'!AH25</f>
        <v>18.91704</v>
      </c>
      <c r="AF25" s="92">
        <f t="shared" si="10"/>
        <v>-1.0675899999999992</v>
      </c>
      <c r="AH25" s="93" t="str">
        <f>IF('MASTER PubCo Inputs'!C41="","",'MASTER PubCo Inputs'!C41)</f>
        <v>IQ62102047</v>
      </c>
      <c r="AI25" s="405" t="str">
        <f>'Comp.1'!AL25</f>
        <v>Ritter Pharmaceuticals, Inc. develops and sells novel therapeutic products that modulate the human gut microbiome to treat gastrointestinal diseases. Its lead product candidate is RP-G28, a novel microbiome modulator, which has completed Phase 2b clinical trial for the reduction of symptoms associated with lactose intolerance. The company’s product, RP-G28 is designed to stimulate the growth of lactose-metabolizing bacteria in the colon, thereby adapting the gut microbiome to assist in digesting the lactose that reaches the large intestine. The company was formerly known as Ritter Natural Sciences, LLC and changed its name to Ritter Pharmaceuticals, Inc. in September 2008. Ritter Pharmaceuticals, Inc. was founded in 2004 and is headquartered in Los Angeles, California.</v>
      </c>
    </row>
    <row r="26" spans="2:35" ht="12.75" customHeight="1">
      <c r="B26" s="405">
        <f>'Comp.1'!B26</f>
        <v>0</v>
      </c>
      <c r="C26" s="92">
        <f>'Comp.1'!C26</f>
        <v>0</v>
      </c>
      <c r="E26" s="92" t="str">
        <f>'Capital IQ Sheet-GPC'!X27</f>
        <v>(Invalid Identifier)</v>
      </c>
      <c r="F26" s="92" t="str">
        <f>'Capital IQ Sheet-GPC'!Y27</f>
        <v>(Invalid Identifier)</v>
      </c>
      <c r="G26" s="92" t="str">
        <f>'Capital IQ Sheet-GPC'!Z27</f>
        <v>(Invalid Identifier)</v>
      </c>
      <c r="H26" s="406"/>
      <c r="I26" s="92" t="str">
        <f>'Capital IQ Sheet-GPC'!AA27</f>
        <v>(Invalid Identifier)</v>
      </c>
      <c r="J26" s="92" t="str">
        <f>'Capital IQ Sheet-GPC'!AB27</f>
        <v>(Invalid Identifier)</v>
      </c>
      <c r="K26" s="92" t="str">
        <f>'Capital IQ Sheet-GPC'!AC27</f>
        <v>(Invalid Identifier)</v>
      </c>
      <c r="L26" s="92" t="str">
        <f>'Capital IQ Sheet-GPC'!AD27</f>
        <v>(Invalid Identifier)</v>
      </c>
      <c r="M26" s="92" t="str">
        <f>'Capital IQ Sheet-GPC'!AE27</f>
        <v>(Invalid Identifier)</v>
      </c>
      <c r="O26" s="90" t="str">
        <f t="shared" si="0"/>
        <v>n/a</v>
      </c>
      <c r="P26" s="90" t="str">
        <f t="shared" si="1"/>
        <v>n/a</v>
      </c>
      <c r="Q26" s="90" t="str">
        <f t="shared" si="2"/>
        <v>n/a</v>
      </c>
      <c r="S26" s="90" t="str">
        <f t="shared" si="3"/>
        <v>n/a</v>
      </c>
      <c r="T26" s="90" t="str">
        <f t="shared" si="4"/>
        <v>n/a</v>
      </c>
      <c r="U26" s="90" t="str">
        <f t="shared" si="5"/>
        <v>n/a</v>
      </c>
      <c r="V26" s="90" t="str">
        <f t="shared" si="6"/>
        <v>n/a</v>
      </c>
      <c r="W26" s="90" t="str">
        <f t="shared" si="7"/>
        <v>n/a</v>
      </c>
      <c r="Y26" s="406">
        <f>'Comp.1'!AB26</f>
        <v>0</v>
      </c>
      <c r="Z26" s="406">
        <f>'Comp.1'!AC26</f>
        <v>0</v>
      </c>
      <c r="AA26" s="406">
        <f>'Comp.1'!AD26</f>
        <v>0</v>
      </c>
      <c r="AB26" s="406">
        <f>'Comp.1'!AE26</f>
        <v>0</v>
      </c>
      <c r="AC26" s="406">
        <f t="shared" si="8"/>
        <v>0</v>
      </c>
      <c r="AD26" s="406">
        <f t="shared" si="9"/>
        <v>0</v>
      </c>
      <c r="AE26" s="406">
        <f>'Comp.1'!AH26</f>
        <v>0</v>
      </c>
      <c r="AF26" s="92">
        <f t="shared" si="10"/>
        <v>0</v>
      </c>
      <c r="AH26" s="93" t="str">
        <f>IF('MASTER PubCo Inputs'!C42="","",'MASTER PubCo Inputs'!C42)</f>
        <v>(Invalid Identifier)</v>
      </c>
      <c r="AI26" s="405">
        <f>'Comp.1'!AL26</f>
        <v>0</v>
      </c>
    </row>
    <row r="27" spans="2:35" ht="12.75" customHeight="1">
      <c r="B27" s="405">
        <f>'Comp.1'!B27</f>
        <v>0</v>
      </c>
      <c r="C27" s="92">
        <f>'Comp.1'!C27</f>
        <v>0</v>
      </c>
      <c r="E27" s="92" t="str">
        <f>'Capital IQ Sheet-GPC'!X28</f>
        <v>(Invalid Identifier)</v>
      </c>
      <c r="F27" s="92" t="str">
        <f>'Capital IQ Sheet-GPC'!Y28</f>
        <v>(Invalid Identifier)</v>
      </c>
      <c r="G27" s="92" t="str">
        <f>'Capital IQ Sheet-GPC'!Z28</f>
        <v>(Invalid Identifier)</v>
      </c>
      <c r="H27" s="406"/>
      <c r="I27" s="92" t="str">
        <f>'Capital IQ Sheet-GPC'!AA28</f>
        <v>(Invalid Identifier)</v>
      </c>
      <c r="J27" s="92" t="str">
        <f>'Capital IQ Sheet-GPC'!AB28</f>
        <v>(Invalid Identifier)</v>
      </c>
      <c r="K27" s="92" t="str">
        <f>'Capital IQ Sheet-GPC'!AC28</f>
        <v>(Invalid Identifier)</v>
      </c>
      <c r="L27" s="92" t="str">
        <f>'Capital IQ Sheet-GPC'!AD28</f>
        <v>(Invalid Identifier)</v>
      </c>
      <c r="M27" s="92" t="str">
        <f>'Capital IQ Sheet-GPC'!AE28</f>
        <v>(Invalid Identifier)</v>
      </c>
      <c r="O27" s="90" t="str">
        <f t="shared" si="0"/>
        <v>n/a</v>
      </c>
      <c r="P27" s="90" t="str">
        <f t="shared" si="1"/>
        <v>n/a</v>
      </c>
      <c r="Q27" s="90" t="str">
        <f t="shared" si="2"/>
        <v>n/a</v>
      </c>
      <c r="S27" s="90" t="str">
        <f t="shared" si="3"/>
        <v>n/a</v>
      </c>
      <c r="T27" s="90" t="str">
        <f t="shared" si="4"/>
        <v>n/a</v>
      </c>
      <c r="U27" s="90" t="str">
        <f t="shared" si="5"/>
        <v>n/a</v>
      </c>
      <c r="V27" s="90" t="str">
        <f t="shared" si="6"/>
        <v>n/a</v>
      </c>
      <c r="W27" s="90" t="str">
        <f t="shared" si="7"/>
        <v>n/a</v>
      </c>
      <c r="Y27" s="406">
        <f>'Comp.1'!AB27</f>
        <v>0</v>
      </c>
      <c r="Z27" s="406">
        <f>'Comp.1'!AC27</f>
        <v>0</v>
      </c>
      <c r="AA27" s="406">
        <f>'Comp.1'!AD27</f>
        <v>0</v>
      </c>
      <c r="AB27" s="406">
        <f>'Comp.1'!AE27</f>
        <v>0</v>
      </c>
      <c r="AC27" s="406">
        <f t="shared" si="8"/>
        <v>0</v>
      </c>
      <c r="AD27" s="406">
        <f t="shared" si="9"/>
        <v>0</v>
      </c>
      <c r="AE27" s="406">
        <f>'Comp.1'!AH27</f>
        <v>0</v>
      </c>
      <c r="AF27" s="92">
        <f t="shared" si="10"/>
        <v>0</v>
      </c>
      <c r="AH27" s="93" t="str">
        <f>IF('MASTER PubCo Inputs'!C43="","",'MASTER PubCo Inputs'!C43)</f>
        <v>(Invalid Identifier)</v>
      </c>
      <c r="AI27" s="405">
        <f>'Comp.1'!AL27</f>
        <v>0</v>
      </c>
    </row>
    <row r="28" spans="2:35" ht="12.75" customHeight="1">
      <c r="B28" s="405">
        <f>'Comp.1'!B28</f>
        <v>0</v>
      </c>
      <c r="C28" s="92">
        <f>'Comp.1'!C28</f>
        <v>0</v>
      </c>
      <c r="E28" s="92" t="str">
        <f>'Capital IQ Sheet-GPC'!X29</f>
        <v>(Invalid Identifier)</v>
      </c>
      <c r="F28" s="92" t="str">
        <f>'Capital IQ Sheet-GPC'!Y29</f>
        <v>(Invalid Identifier)</v>
      </c>
      <c r="G28" s="92" t="str">
        <f>'Capital IQ Sheet-GPC'!Z29</f>
        <v>(Invalid Identifier)</v>
      </c>
      <c r="H28" s="406"/>
      <c r="I28" s="92" t="str">
        <f>'Capital IQ Sheet-GPC'!AA29</f>
        <v>(Invalid Identifier)</v>
      </c>
      <c r="J28" s="92" t="str">
        <f>'Capital IQ Sheet-GPC'!AB29</f>
        <v>(Invalid Identifier)</v>
      </c>
      <c r="K28" s="92" t="str">
        <f>'Capital IQ Sheet-GPC'!AC29</f>
        <v>(Invalid Identifier)</v>
      </c>
      <c r="L28" s="92" t="str">
        <f>'Capital IQ Sheet-GPC'!AD29</f>
        <v>(Invalid Identifier)</v>
      </c>
      <c r="M28" s="92" t="str">
        <f>'Capital IQ Sheet-GPC'!AE29</f>
        <v>(Invalid Identifier)</v>
      </c>
      <c r="O28" s="90" t="str">
        <f t="shared" si="0"/>
        <v>n/a</v>
      </c>
      <c r="P28" s="90" t="str">
        <f t="shared" si="1"/>
        <v>n/a</v>
      </c>
      <c r="Q28" s="90" t="str">
        <f t="shared" si="2"/>
        <v>n/a</v>
      </c>
      <c r="S28" s="90" t="str">
        <f t="shared" si="3"/>
        <v>n/a</v>
      </c>
      <c r="T28" s="90" t="str">
        <f t="shared" si="4"/>
        <v>n/a</v>
      </c>
      <c r="U28" s="90" t="str">
        <f t="shared" si="5"/>
        <v>n/a</v>
      </c>
      <c r="V28" s="90" t="str">
        <f t="shared" si="6"/>
        <v>n/a</v>
      </c>
      <c r="W28" s="90" t="str">
        <f t="shared" si="7"/>
        <v>n/a</v>
      </c>
      <c r="Y28" s="406">
        <f>'Comp.1'!AB28</f>
        <v>0</v>
      </c>
      <c r="Z28" s="406">
        <f>'Comp.1'!AC28</f>
        <v>0</v>
      </c>
      <c r="AA28" s="406">
        <f>'Comp.1'!AD28</f>
        <v>0</v>
      </c>
      <c r="AB28" s="406">
        <f>'Comp.1'!AE28</f>
        <v>0</v>
      </c>
      <c r="AC28" s="406">
        <f t="shared" si="8"/>
        <v>0</v>
      </c>
      <c r="AD28" s="406">
        <f t="shared" si="9"/>
        <v>0</v>
      </c>
      <c r="AE28" s="406">
        <f>'Comp.1'!AH28</f>
        <v>0</v>
      </c>
      <c r="AF28" s="92">
        <f t="shared" si="10"/>
        <v>0</v>
      </c>
      <c r="AH28" s="93" t="str">
        <f>IF('MASTER PubCo Inputs'!C44="","",'MASTER PubCo Inputs'!C44)</f>
        <v>(Invalid Identifier)</v>
      </c>
      <c r="AI28" s="405">
        <f>'Comp.1'!AL28</f>
        <v>0</v>
      </c>
    </row>
    <row r="29" spans="2:35" ht="12.75" customHeight="1">
      <c r="B29" s="405">
        <f>'Comp.1'!B29</f>
        <v>0</v>
      </c>
      <c r="C29" s="92">
        <f>'Comp.1'!C29</f>
        <v>0</v>
      </c>
      <c r="E29" s="92" t="str">
        <f>'Capital IQ Sheet-GPC'!X30</f>
        <v>(Invalid Identifier)</v>
      </c>
      <c r="F29" s="92" t="str">
        <f>'Capital IQ Sheet-GPC'!Y30</f>
        <v>(Invalid Identifier)</v>
      </c>
      <c r="G29" s="92" t="str">
        <f>'Capital IQ Sheet-GPC'!Z30</f>
        <v>(Invalid Identifier)</v>
      </c>
      <c r="H29" s="406"/>
      <c r="I29" s="92" t="str">
        <f>'Capital IQ Sheet-GPC'!AA30</f>
        <v>(Invalid Identifier)</v>
      </c>
      <c r="J29" s="92" t="str">
        <f>'Capital IQ Sheet-GPC'!AB30</f>
        <v>(Invalid Identifier)</v>
      </c>
      <c r="K29" s="92" t="str">
        <f>'Capital IQ Sheet-GPC'!AC30</f>
        <v>(Invalid Identifier)</v>
      </c>
      <c r="L29" s="92" t="str">
        <f>'Capital IQ Sheet-GPC'!AD30</f>
        <v>(Invalid Identifier)</v>
      </c>
      <c r="M29" s="92" t="str">
        <f>'Capital IQ Sheet-GPC'!AE30</f>
        <v>(Invalid Identifier)</v>
      </c>
      <c r="O29" s="90" t="str">
        <f t="shared" si="0"/>
        <v>n/a</v>
      </c>
      <c r="P29" s="90" t="str">
        <f t="shared" si="1"/>
        <v>n/a</v>
      </c>
      <c r="Q29" s="90" t="str">
        <f t="shared" si="2"/>
        <v>n/a</v>
      </c>
      <c r="S29" s="90" t="str">
        <f t="shared" si="3"/>
        <v>n/a</v>
      </c>
      <c r="T29" s="90" t="str">
        <f t="shared" si="4"/>
        <v>n/a</v>
      </c>
      <c r="U29" s="90" t="str">
        <f t="shared" si="5"/>
        <v>n/a</v>
      </c>
      <c r="V29" s="90" t="str">
        <f t="shared" si="6"/>
        <v>n/a</v>
      </c>
      <c r="W29" s="90" t="str">
        <f t="shared" si="7"/>
        <v>n/a</v>
      </c>
      <c r="Y29" s="406">
        <f>'Comp.1'!AB29</f>
        <v>0</v>
      </c>
      <c r="Z29" s="406">
        <f>'Comp.1'!AC29</f>
        <v>0</v>
      </c>
      <c r="AA29" s="406">
        <f>'Comp.1'!AD29</f>
        <v>0</v>
      </c>
      <c r="AB29" s="406">
        <f>'Comp.1'!AE29</f>
        <v>0</v>
      </c>
      <c r="AC29" s="406">
        <f t="shared" si="8"/>
        <v>0</v>
      </c>
      <c r="AD29" s="406">
        <f t="shared" si="9"/>
        <v>0</v>
      </c>
      <c r="AE29" s="406">
        <f>'Comp.1'!AH29</f>
        <v>0</v>
      </c>
      <c r="AF29" s="92">
        <f t="shared" si="10"/>
        <v>0</v>
      </c>
      <c r="AH29" s="93" t="str">
        <f>IF('MASTER PubCo Inputs'!C45="","",'MASTER PubCo Inputs'!C45)</f>
        <v>(Invalid Identifier)</v>
      </c>
      <c r="AI29" s="405">
        <f>'Comp.1'!AL29</f>
        <v>0</v>
      </c>
    </row>
    <row r="30" spans="2:35" ht="12.75" customHeight="1">
      <c r="B30" s="405">
        <f>'Comp.1'!B30</f>
        <v>0</v>
      </c>
      <c r="C30" s="92">
        <f>'Comp.1'!C30</f>
        <v>0</v>
      </c>
      <c r="E30" s="92" t="str">
        <f>'Capital IQ Sheet-GPC'!X31</f>
        <v>(Invalid Identifier)</v>
      </c>
      <c r="F30" s="92" t="str">
        <f>'Capital IQ Sheet-GPC'!Y31</f>
        <v>(Invalid Identifier)</v>
      </c>
      <c r="G30" s="92" t="str">
        <f>'Capital IQ Sheet-GPC'!Z31</f>
        <v>(Invalid Identifier)</v>
      </c>
      <c r="H30" s="406"/>
      <c r="I30" s="92" t="str">
        <f>'Capital IQ Sheet-GPC'!AA31</f>
        <v>(Invalid Identifier)</v>
      </c>
      <c r="J30" s="92" t="str">
        <f>'Capital IQ Sheet-GPC'!AB31</f>
        <v>(Invalid Identifier)</v>
      </c>
      <c r="K30" s="92" t="str">
        <f>'Capital IQ Sheet-GPC'!AC31</f>
        <v>(Invalid Identifier)</v>
      </c>
      <c r="L30" s="92" t="str">
        <f>'Capital IQ Sheet-GPC'!AD31</f>
        <v>(Invalid Identifier)</v>
      </c>
      <c r="M30" s="92" t="str">
        <f>'Capital IQ Sheet-GPC'!AE31</f>
        <v>(Invalid Identifier)</v>
      </c>
      <c r="O30" s="90" t="str">
        <f t="shared" si="0"/>
        <v>n/a</v>
      </c>
      <c r="P30" s="90" t="str">
        <f t="shared" si="1"/>
        <v>n/a</v>
      </c>
      <c r="Q30" s="90" t="str">
        <f t="shared" si="2"/>
        <v>n/a</v>
      </c>
      <c r="S30" s="90" t="str">
        <f t="shared" si="3"/>
        <v>n/a</v>
      </c>
      <c r="T30" s="90" t="str">
        <f t="shared" si="4"/>
        <v>n/a</v>
      </c>
      <c r="U30" s="90" t="str">
        <f t="shared" si="5"/>
        <v>n/a</v>
      </c>
      <c r="V30" s="90" t="str">
        <f t="shared" si="6"/>
        <v>n/a</v>
      </c>
      <c r="W30" s="90" t="str">
        <f t="shared" si="7"/>
        <v>n/a</v>
      </c>
      <c r="Y30" s="406">
        <f>'Comp.1'!AB30</f>
        <v>0</v>
      </c>
      <c r="Z30" s="406">
        <f>'Comp.1'!AC30</f>
        <v>0</v>
      </c>
      <c r="AA30" s="406">
        <f>'Comp.1'!AD30</f>
        <v>0</v>
      </c>
      <c r="AB30" s="406">
        <f>'Comp.1'!AE30</f>
        <v>0</v>
      </c>
      <c r="AC30" s="406">
        <f t="shared" si="8"/>
        <v>0</v>
      </c>
      <c r="AD30" s="406">
        <f t="shared" si="9"/>
        <v>0</v>
      </c>
      <c r="AE30" s="406">
        <f>'Comp.1'!AH30</f>
        <v>0</v>
      </c>
      <c r="AF30" s="92">
        <f t="shared" si="10"/>
        <v>0</v>
      </c>
      <c r="AH30" s="93" t="str">
        <f>IF('MASTER PubCo Inputs'!C46="","",'MASTER PubCo Inputs'!C46)</f>
        <v>(Invalid Identifier)</v>
      </c>
      <c r="AI30" s="405">
        <f>'Comp.1'!AL30</f>
        <v>0</v>
      </c>
    </row>
    <row r="31" spans="2:35" ht="12.75" customHeight="1">
      <c r="B31" s="405">
        <f>'Comp.1'!B31</f>
        <v>0</v>
      </c>
      <c r="C31" s="92">
        <f>'Comp.1'!C31</f>
        <v>0</v>
      </c>
      <c r="E31" s="92" t="str">
        <f>'Capital IQ Sheet-GPC'!X32</f>
        <v>(Invalid Identifier)</v>
      </c>
      <c r="F31" s="92" t="str">
        <f>'Capital IQ Sheet-GPC'!Y32</f>
        <v>(Invalid Identifier)</v>
      </c>
      <c r="G31" s="92" t="str">
        <f>'Capital IQ Sheet-GPC'!Z32</f>
        <v>(Invalid Identifier)</v>
      </c>
      <c r="H31" s="406"/>
      <c r="I31" s="92" t="str">
        <f>'Capital IQ Sheet-GPC'!AA32</f>
        <v>(Invalid Identifier)</v>
      </c>
      <c r="J31" s="92" t="str">
        <f>'Capital IQ Sheet-GPC'!AB32</f>
        <v>(Invalid Identifier)</v>
      </c>
      <c r="K31" s="92" t="str">
        <f>'Capital IQ Sheet-GPC'!AC32</f>
        <v>(Invalid Identifier)</v>
      </c>
      <c r="L31" s="92" t="str">
        <f>'Capital IQ Sheet-GPC'!AD32</f>
        <v>(Invalid Identifier)</v>
      </c>
      <c r="M31" s="92" t="str">
        <f>'Capital IQ Sheet-GPC'!AE32</f>
        <v>(Invalid Identifier)</v>
      </c>
      <c r="O31" s="90" t="str">
        <f t="shared" si="0"/>
        <v>n/a</v>
      </c>
      <c r="P31" s="90" t="str">
        <f t="shared" si="1"/>
        <v>n/a</v>
      </c>
      <c r="Q31" s="90" t="str">
        <f t="shared" si="2"/>
        <v>n/a</v>
      </c>
      <c r="S31" s="90" t="str">
        <f t="shared" si="3"/>
        <v>n/a</v>
      </c>
      <c r="T31" s="90" t="str">
        <f t="shared" si="4"/>
        <v>n/a</v>
      </c>
      <c r="U31" s="90" t="str">
        <f t="shared" si="5"/>
        <v>n/a</v>
      </c>
      <c r="V31" s="90" t="str">
        <f t="shared" si="6"/>
        <v>n/a</v>
      </c>
      <c r="W31" s="90" t="str">
        <f t="shared" si="7"/>
        <v>n/a</v>
      </c>
      <c r="Y31" s="406">
        <f>'Comp.1'!AB31</f>
        <v>0</v>
      </c>
      <c r="Z31" s="406">
        <f>'Comp.1'!AC31</f>
        <v>0</v>
      </c>
      <c r="AA31" s="406">
        <f>'Comp.1'!AD31</f>
        <v>0</v>
      </c>
      <c r="AB31" s="406">
        <f>'Comp.1'!AE31</f>
        <v>0</v>
      </c>
      <c r="AC31" s="406">
        <f t="shared" si="8"/>
        <v>0</v>
      </c>
      <c r="AD31" s="406">
        <f t="shared" si="9"/>
        <v>0</v>
      </c>
      <c r="AE31" s="406">
        <f>'Comp.1'!AH31</f>
        <v>0</v>
      </c>
      <c r="AF31" s="92">
        <f t="shared" si="10"/>
        <v>0</v>
      </c>
      <c r="AH31" s="93" t="str">
        <f>IF('MASTER PubCo Inputs'!C47="","",'MASTER PubCo Inputs'!C47)</f>
        <v>(Invalid Identifier)</v>
      </c>
      <c r="AI31" s="405">
        <f>'Comp.1'!AL31</f>
        <v>0</v>
      </c>
    </row>
    <row r="32" spans="2:35" ht="12.75" customHeight="1">
      <c r="B32" s="405">
        <f>'Comp.1'!B32</f>
        <v>0</v>
      </c>
      <c r="C32" s="92">
        <f>'Comp.1'!C32</f>
        <v>0</v>
      </c>
      <c r="E32" s="92" t="str">
        <f>'Capital IQ Sheet-GPC'!X33</f>
        <v>(Invalid Identifier)</v>
      </c>
      <c r="F32" s="92" t="str">
        <f>'Capital IQ Sheet-GPC'!Y33</f>
        <v>(Invalid Identifier)</v>
      </c>
      <c r="G32" s="92" t="str">
        <f>'Capital IQ Sheet-GPC'!Z33</f>
        <v>(Invalid Identifier)</v>
      </c>
      <c r="H32" s="406"/>
      <c r="I32" s="92" t="str">
        <f>'Capital IQ Sheet-GPC'!AA33</f>
        <v>(Invalid Identifier)</v>
      </c>
      <c r="J32" s="92" t="str">
        <f>'Capital IQ Sheet-GPC'!AB33</f>
        <v>(Invalid Identifier)</v>
      </c>
      <c r="K32" s="92" t="str">
        <f>'Capital IQ Sheet-GPC'!AC33</f>
        <v>(Invalid Identifier)</v>
      </c>
      <c r="L32" s="92" t="str">
        <f>'Capital IQ Sheet-GPC'!AD33</f>
        <v>(Invalid Identifier)</v>
      </c>
      <c r="M32" s="92" t="str">
        <f>'Capital IQ Sheet-GPC'!AE33</f>
        <v>(Invalid Identifier)</v>
      </c>
      <c r="O32" s="90" t="str">
        <f t="shared" si="0"/>
        <v>n/a</v>
      </c>
      <c r="P32" s="90" t="str">
        <f t="shared" si="1"/>
        <v>n/a</v>
      </c>
      <c r="Q32" s="90" t="str">
        <f t="shared" si="2"/>
        <v>n/a</v>
      </c>
      <c r="S32" s="90" t="str">
        <f t="shared" si="3"/>
        <v>n/a</v>
      </c>
      <c r="T32" s="90" t="str">
        <f t="shared" si="4"/>
        <v>n/a</v>
      </c>
      <c r="U32" s="90" t="str">
        <f t="shared" si="5"/>
        <v>n/a</v>
      </c>
      <c r="V32" s="90" t="str">
        <f t="shared" si="6"/>
        <v>n/a</v>
      </c>
      <c r="W32" s="90" t="str">
        <f t="shared" si="7"/>
        <v>n/a</v>
      </c>
      <c r="Y32" s="406">
        <f>'Comp.1'!AB32</f>
        <v>0</v>
      </c>
      <c r="Z32" s="406">
        <f>'Comp.1'!AC32</f>
        <v>0</v>
      </c>
      <c r="AA32" s="406">
        <f>'Comp.1'!AD32</f>
        <v>0</v>
      </c>
      <c r="AB32" s="406">
        <f>'Comp.1'!AE32</f>
        <v>0</v>
      </c>
      <c r="AC32" s="406">
        <f t="shared" si="8"/>
        <v>0</v>
      </c>
      <c r="AD32" s="406">
        <f t="shared" si="9"/>
        <v>0</v>
      </c>
      <c r="AE32" s="406">
        <f>'Comp.1'!AH32</f>
        <v>0</v>
      </c>
      <c r="AF32" s="92">
        <f t="shared" si="10"/>
        <v>0</v>
      </c>
      <c r="AH32" s="93" t="str">
        <f>IF('MASTER PubCo Inputs'!C48="","",'MASTER PubCo Inputs'!C48)</f>
        <v>(Invalid Identifier)</v>
      </c>
      <c r="AI32" s="405">
        <f>'Comp.1'!AL32</f>
        <v>0</v>
      </c>
    </row>
    <row r="33" spans="2:35" ht="12.75" customHeight="1">
      <c r="B33" s="405">
        <f>'Comp.1'!B33</f>
        <v>0</v>
      </c>
      <c r="C33" s="92">
        <f>'Comp.1'!C33</f>
        <v>0</v>
      </c>
      <c r="E33" s="92" t="str">
        <f>'Capital IQ Sheet-GPC'!X34</f>
        <v>(Invalid Identifier)</v>
      </c>
      <c r="F33" s="92" t="str">
        <f>'Capital IQ Sheet-GPC'!Y34</f>
        <v>(Invalid Identifier)</v>
      </c>
      <c r="G33" s="92" t="str">
        <f>'Capital IQ Sheet-GPC'!Z34</f>
        <v>(Invalid Identifier)</v>
      </c>
      <c r="H33" s="406"/>
      <c r="I33" s="92" t="str">
        <f>'Capital IQ Sheet-GPC'!AA34</f>
        <v>(Invalid Identifier)</v>
      </c>
      <c r="J33" s="92" t="str">
        <f>'Capital IQ Sheet-GPC'!AB34</f>
        <v>(Invalid Identifier)</v>
      </c>
      <c r="K33" s="92" t="str">
        <f>'Capital IQ Sheet-GPC'!AC34</f>
        <v>(Invalid Identifier)</v>
      </c>
      <c r="L33" s="92" t="str">
        <f>'Capital IQ Sheet-GPC'!AD34</f>
        <v>(Invalid Identifier)</v>
      </c>
      <c r="M33" s="92" t="str">
        <f>'Capital IQ Sheet-GPC'!AE34</f>
        <v>(Invalid Identifier)</v>
      </c>
      <c r="O33" s="90" t="str">
        <f t="shared" si="0"/>
        <v>n/a</v>
      </c>
      <c r="P33" s="90" t="str">
        <f t="shared" si="1"/>
        <v>n/a</v>
      </c>
      <c r="Q33" s="90" t="str">
        <f t="shared" si="2"/>
        <v>n/a</v>
      </c>
      <c r="S33" s="90" t="str">
        <f t="shared" si="3"/>
        <v>n/a</v>
      </c>
      <c r="T33" s="90" t="str">
        <f t="shared" si="4"/>
        <v>n/a</v>
      </c>
      <c r="U33" s="90" t="str">
        <f t="shared" si="5"/>
        <v>n/a</v>
      </c>
      <c r="V33" s="90" t="str">
        <f t="shared" si="6"/>
        <v>n/a</v>
      </c>
      <c r="W33" s="90" t="str">
        <f t="shared" si="7"/>
        <v>n/a</v>
      </c>
      <c r="Y33" s="406">
        <f>'Comp.1'!AB33</f>
        <v>0</v>
      </c>
      <c r="Z33" s="406">
        <f>'Comp.1'!AC33</f>
        <v>0</v>
      </c>
      <c r="AA33" s="406">
        <f>'Comp.1'!AD33</f>
        <v>0</v>
      </c>
      <c r="AB33" s="406">
        <f>'Comp.1'!AE33</f>
        <v>0</v>
      </c>
      <c r="AC33" s="406">
        <f t="shared" si="8"/>
        <v>0</v>
      </c>
      <c r="AD33" s="406">
        <f t="shared" si="9"/>
        <v>0</v>
      </c>
      <c r="AE33" s="406">
        <f>'Comp.1'!AH33</f>
        <v>0</v>
      </c>
      <c r="AF33" s="92">
        <f t="shared" si="10"/>
        <v>0</v>
      </c>
      <c r="AH33" s="93" t="str">
        <f>IF('MASTER PubCo Inputs'!C49="","",'MASTER PubCo Inputs'!C49)</f>
        <v>(Invalid Identifier)</v>
      </c>
      <c r="AI33" s="405">
        <f>'Comp.1'!AL33</f>
        <v>0</v>
      </c>
    </row>
    <row r="34" spans="2:35" ht="12.75" customHeight="1">
      <c r="B34" s="405">
        <f>'Comp.1'!B34</f>
        <v>0</v>
      </c>
      <c r="C34" s="92">
        <f>'Comp.1'!C34</f>
        <v>0</v>
      </c>
      <c r="E34" s="92" t="str">
        <f>'Capital IQ Sheet-GPC'!X35</f>
        <v>(Invalid Identifier)</v>
      </c>
      <c r="F34" s="92" t="str">
        <f>'Capital IQ Sheet-GPC'!Y35</f>
        <v>(Invalid Identifier)</v>
      </c>
      <c r="G34" s="92" t="str">
        <f>'Capital IQ Sheet-GPC'!Z35</f>
        <v>(Invalid Identifier)</v>
      </c>
      <c r="H34" s="406"/>
      <c r="I34" s="92" t="str">
        <f>'Capital IQ Sheet-GPC'!AA35</f>
        <v>(Invalid Identifier)</v>
      </c>
      <c r="J34" s="92" t="str">
        <f>'Capital IQ Sheet-GPC'!AB35</f>
        <v>(Invalid Identifier)</v>
      </c>
      <c r="K34" s="92" t="str">
        <f>'Capital IQ Sheet-GPC'!AC35</f>
        <v>(Invalid Identifier)</v>
      </c>
      <c r="L34" s="92" t="str">
        <f>'Capital IQ Sheet-GPC'!AD35</f>
        <v>(Invalid Identifier)</v>
      </c>
      <c r="M34" s="92" t="str">
        <f>'Capital IQ Sheet-GPC'!AE35</f>
        <v>(Invalid Identifier)</v>
      </c>
      <c r="O34" s="90" t="str">
        <f t="shared" si="0"/>
        <v>n/a</v>
      </c>
      <c r="P34" s="90" t="str">
        <f t="shared" si="1"/>
        <v>n/a</v>
      </c>
      <c r="Q34" s="90" t="str">
        <f t="shared" si="2"/>
        <v>n/a</v>
      </c>
      <c r="S34" s="90" t="str">
        <f t="shared" si="3"/>
        <v>n/a</v>
      </c>
      <c r="T34" s="90" t="str">
        <f t="shared" si="4"/>
        <v>n/a</v>
      </c>
      <c r="U34" s="90" t="str">
        <f t="shared" si="5"/>
        <v>n/a</v>
      </c>
      <c r="V34" s="90" t="str">
        <f t="shared" si="6"/>
        <v>n/a</v>
      </c>
      <c r="W34" s="90" t="str">
        <f t="shared" si="7"/>
        <v>n/a</v>
      </c>
      <c r="Y34" s="406">
        <f>'Comp.1'!AB34</f>
        <v>0</v>
      </c>
      <c r="Z34" s="406">
        <f>'Comp.1'!AC34</f>
        <v>0</v>
      </c>
      <c r="AA34" s="406">
        <f>'Comp.1'!AD34</f>
        <v>0</v>
      </c>
      <c r="AB34" s="406">
        <f>'Comp.1'!AE34</f>
        <v>0</v>
      </c>
      <c r="AC34" s="406">
        <f t="shared" si="8"/>
        <v>0</v>
      </c>
      <c r="AD34" s="406">
        <f t="shared" si="9"/>
        <v>0</v>
      </c>
      <c r="AE34" s="406">
        <f>'Comp.1'!AH34</f>
        <v>0</v>
      </c>
      <c r="AF34" s="92">
        <f t="shared" si="10"/>
        <v>0</v>
      </c>
      <c r="AH34" s="93" t="str">
        <f>IF('MASTER PubCo Inputs'!C50="","",'MASTER PubCo Inputs'!C50)</f>
        <v>(Invalid Identifier)</v>
      </c>
      <c r="AI34" s="405">
        <f>'Comp.1'!AL34</f>
        <v>0</v>
      </c>
    </row>
    <row r="35" spans="2:35" ht="12.75" customHeight="1">
      <c r="B35" s="405">
        <f>'Comp.1'!B35</f>
        <v>0</v>
      </c>
      <c r="C35" s="92">
        <f>'Comp.1'!C35</f>
        <v>0</v>
      </c>
      <c r="E35" s="92" t="str">
        <f>'Capital IQ Sheet-GPC'!X36</f>
        <v>(Invalid Identifier)</v>
      </c>
      <c r="F35" s="92" t="str">
        <f>'Capital IQ Sheet-GPC'!Y36</f>
        <v>(Invalid Identifier)</v>
      </c>
      <c r="G35" s="92" t="str">
        <f>'Capital IQ Sheet-GPC'!Z36</f>
        <v>(Invalid Identifier)</v>
      </c>
      <c r="H35" s="406"/>
      <c r="I35" s="92" t="str">
        <f>'Capital IQ Sheet-GPC'!AA36</f>
        <v>(Invalid Identifier)</v>
      </c>
      <c r="J35" s="92" t="str">
        <f>'Capital IQ Sheet-GPC'!AB36</f>
        <v>(Invalid Identifier)</v>
      </c>
      <c r="K35" s="92" t="str">
        <f>'Capital IQ Sheet-GPC'!AC36</f>
        <v>(Invalid Identifier)</v>
      </c>
      <c r="L35" s="92" t="str">
        <f>'Capital IQ Sheet-GPC'!AD36</f>
        <v>(Invalid Identifier)</v>
      </c>
      <c r="M35" s="92" t="str">
        <f>'Capital IQ Sheet-GPC'!AE36</f>
        <v>(Invalid Identifier)</v>
      </c>
      <c r="O35" s="90" t="str">
        <f t="shared" si="0"/>
        <v>n/a</v>
      </c>
      <c r="P35" s="90" t="str">
        <f t="shared" si="1"/>
        <v>n/a</v>
      </c>
      <c r="Q35" s="90" t="str">
        <f t="shared" si="2"/>
        <v>n/a</v>
      </c>
      <c r="S35" s="90" t="str">
        <f t="shared" si="3"/>
        <v>n/a</v>
      </c>
      <c r="T35" s="90" t="str">
        <f t="shared" si="4"/>
        <v>n/a</v>
      </c>
      <c r="U35" s="90" t="str">
        <f t="shared" si="5"/>
        <v>n/a</v>
      </c>
      <c r="V35" s="90" t="str">
        <f t="shared" si="6"/>
        <v>n/a</v>
      </c>
      <c r="W35" s="90" t="str">
        <f t="shared" si="7"/>
        <v>n/a</v>
      </c>
      <c r="Y35" s="406">
        <f>'Comp.1'!AB35</f>
        <v>0</v>
      </c>
      <c r="Z35" s="406">
        <f>'Comp.1'!AC35</f>
        <v>0</v>
      </c>
      <c r="AA35" s="406">
        <f>'Comp.1'!AD35</f>
        <v>0</v>
      </c>
      <c r="AB35" s="406">
        <f>'Comp.1'!AE35</f>
        <v>0</v>
      </c>
      <c r="AC35" s="406">
        <f t="shared" si="8"/>
        <v>0</v>
      </c>
      <c r="AD35" s="406">
        <f t="shared" si="9"/>
        <v>0</v>
      </c>
      <c r="AE35" s="406">
        <f>'Comp.1'!AH35</f>
        <v>0</v>
      </c>
      <c r="AF35" s="92">
        <f t="shared" si="10"/>
        <v>0</v>
      </c>
      <c r="AH35" s="93" t="str">
        <f>IF('MASTER PubCo Inputs'!C51="","",'MASTER PubCo Inputs'!C51)</f>
        <v>(Invalid Identifier)</v>
      </c>
      <c r="AI35" s="405">
        <f>'Comp.1'!AL35</f>
        <v>0</v>
      </c>
    </row>
    <row r="36" spans="2:35" ht="12.75" customHeight="1">
      <c r="B36" s="405">
        <f>'Comp.1'!B36</f>
        <v>0</v>
      </c>
      <c r="C36" s="92">
        <f>'Comp.1'!C36</f>
        <v>0</v>
      </c>
      <c r="E36" s="92" t="str">
        <f>'Capital IQ Sheet-GPC'!X37</f>
        <v>(Invalid Identifier)</v>
      </c>
      <c r="F36" s="92" t="str">
        <f>'Capital IQ Sheet-GPC'!Y37</f>
        <v>(Invalid Identifier)</v>
      </c>
      <c r="G36" s="92" t="str">
        <f>'Capital IQ Sheet-GPC'!Z37</f>
        <v>(Invalid Identifier)</v>
      </c>
      <c r="H36" s="406"/>
      <c r="I36" s="92" t="str">
        <f>'Capital IQ Sheet-GPC'!AA37</f>
        <v>(Invalid Identifier)</v>
      </c>
      <c r="J36" s="92" t="str">
        <f>'Capital IQ Sheet-GPC'!AB37</f>
        <v>(Invalid Identifier)</v>
      </c>
      <c r="K36" s="92" t="str">
        <f>'Capital IQ Sheet-GPC'!AC37</f>
        <v>(Invalid Identifier)</v>
      </c>
      <c r="L36" s="92" t="str">
        <f>'Capital IQ Sheet-GPC'!AD37</f>
        <v>(Invalid Identifier)</v>
      </c>
      <c r="M36" s="92" t="str">
        <f>'Capital IQ Sheet-GPC'!AE37</f>
        <v>(Invalid Identifier)</v>
      </c>
      <c r="O36" s="90" t="str">
        <f t="shared" si="0"/>
        <v>n/a</v>
      </c>
      <c r="P36" s="90" t="str">
        <f t="shared" si="1"/>
        <v>n/a</v>
      </c>
      <c r="Q36" s="90" t="str">
        <f t="shared" si="2"/>
        <v>n/a</v>
      </c>
      <c r="S36" s="90" t="str">
        <f t="shared" si="3"/>
        <v>n/a</v>
      </c>
      <c r="T36" s="90" t="str">
        <f t="shared" si="4"/>
        <v>n/a</v>
      </c>
      <c r="U36" s="90" t="str">
        <f t="shared" si="5"/>
        <v>n/a</v>
      </c>
      <c r="V36" s="90" t="str">
        <f t="shared" si="6"/>
        <v>n/a</v>
      </c>
      <c r="W36" s="90" t="str">
        <f t="shared" si="7"/>
        <v>n/a</v>
      </c>
      <c r="Y36" s="406">
        <f>'Comp.1'!AB36</f>
        <v>0</v>
      </c>
      <c r="Z36" s="406">
        <f>'Comp.1'!AC36</f>
        <v>0</v>
      </c>
      <c r="AA36" s="406">
        <f>'Comp.1'!AD36</f>
        <v>0</v>
      </c>
      <c r="AB36" s="406">
        <f>'Comp.1'!AE36</f>
        <v>0</v>
      </c>
      <c r="AC36" s="406">
        <f t="shared" si="8"/>
        <v>0</v>
      </c>
      <c r="AD36" s="406">
        <f t="shared" si="9"/>
        <v>0</v>
      </c>
      <c r="AE36" s="406">
        <f>'Comp.1'!AH36</f>
        <v>0</v>
      </c>
      <c r="AF36" s="92">
        <f t="shared" si="10"/>
        <v>0</v>
      </c>
      <c r="AH36" s="93" t="str">
        <f>IF('MASTER PubCo Inputs'!C52="","",'MASTER PubCo Inputs'!C52)</f>
        <v>(Invalid Identifier)</v>
      </c>
      <c r="AI36" s="405">
        <f>'Comp.1'!AL36</f>
        <v>0</v>
      </c>
    </row>
    <row r="37" spans="2:35" ht="12.75" customHeight="1">
      <c r="B37" s="405">
        <f>'Comp.1'!B37</f>
        <v>0</v>
      </c>
      <c r="C37" s="92">
        <f>'Comp.1'!C37</f>
        <v>0</v>
      </c>
      <c r="E37" s="92" t="str">
        <f>'Capital IQ Sheet-GPC'!X38</f>
        <v>(Invalid Identifier)</v>
      </c>
      <c r="F37" s="92" t="str">
        <f>'Capital IQ Sheet-GPC'!Y38</f>
        <v>(Invalid Identifier)</v>
      </c>
      <c r="G37" s="92" t="str">
        <f>'Capital IQ Sheet-GPC'!Z38</f>
        <v>(Invalid Identifier)</v>
      </c>
      <c r="H37" s="406"/>
      <c r="I37" s="92" t="str">
        <f>'Capital IQ Sheet-GPC'!AA38</f>
        <v>(Invalid Identifier)</v>
      </c>
      <c r="J37" s="92" t="str">
        <f>'Capital IQ Sheet-GPC'!AB38</f>
        <v>(Invalid Identifier)</v>
      </c>
      <c r="K37" s="92" t="str">
        <f>'Capital IQ Sheet-GPC'!AC38</f>
        <v>(Invalid Identifier)</v>
      </c>
      <c r="L37" s="92" t="str">
        <f>'Capital IQ Sheet-GPC'!AD38</f>
        <v>(Invalid Identifier)</v>
      </c>
      <c r="M37" s="92" t="str">
        <f>'Capital IQ Sheet-GPC'!AE38</f>
        <v>(Invalid Identifier)</v>
      </c>
      <c r="O37" s="90" t="str">
        <f t="shared" si="0"/>
        <v>n/a</v>
      </c>
      <c r="P37" s="90" t="str">
        <f t="shared" si="1"/>
        <v>n/a</v>
      </c>
      <c r="Q37" s="90" t="str">
        <f t="shared" si="2"/>
        <v>n/a</v>
      </c>
      <c r="S37" s="90" t="str">
        <f t="shared" si="3"/>
        <v>n/a</v>
      </c>
      <c r="T37" s="90" t="str">
        <f t="shared" si="4"/>
        <v>n/a</v>
      </c>
      <c r="U37" s="90" t="str">
        <f t="shared" si="5"/>
        <v>n/a</v>
      </c>
      <c r="V37" s="90" t="str">
        <f t="shared" si="6"/>
        <v>n/a</v>
      </c>
      <c r="W37" s="90" t="str">
        <f t="shared" si="7"/>
        <v>n/a</v>
      </c>
      <c r="Y37" s="406">
        <f>'Comp.1'!AB37</f>
        <v>0</v>
      </c>
      <c r="Z37" s="406">
        <f>'Comp.1'!AC37</f>
        <v>0</v>
      </c>
      <c r="AA37" s="406">
        <f>'Comp.1'!AD37</f>
        <v>0</v>
      </c>
      <c r="AB37" s="406">
        <f>'Comp.1'!AE37</f>
        <v>0</v>
      </c>
      <c r="AC37" s="406">
        <f t="shared" si="8"/>
        <v>0</v>
      </c>
      <c r="AD37" s="406">
        <f t="shared" si="9"/>
        <v>0</v>
      </c>
      <c r="AE37" s="406">
        <f>'Comp.1'!AH37</f>
        <v>0</v>
      </c>
      <c r="AF37" s="92">
        <f t="shared" si="10"/>
        <v>0</v>
      </c>
      <c r="AH37" s="93" t="str">
        <f>IF('MASTER PubCo Inputs'!C53="","",'MASTER PubCo Inputs'!C53)</f>
        <v>(Invalid Identifier)</v>
      </c>
      <c r="AI37" s="405">
        <f>'Comp.1'!AL37</f>
        <v>0</v>
      </c>
    </row>
    <row r="38" spans="2:35" ht="12.75" customHeight="1">
      <c r="B38" s="405">
        <f>'Comp.1'!B38</f>
        <v>0</v>
      </c>
      <c r="C38" s="92">
        <f>'Comp.1'!C38</f>
        <v>0</v>
      </c>
      <c r="E38" s="92" t="str">
        <f>'Capital IQ Sheet-GPC'!X39</f>
        <v>(Invalid Identifier)</v>
      </c>
      <c r="F38" s="92" t="str">
        <f>'Capital IQ Sheet-GPC'!Y39</f>
        <v>(Invalid Identifier)</v>
      </c>
      <c r="G38" s="92" t="str">
        <f>'Capital IQ Sheet-GPC'!Z39</f>
        <v>(Invalid Identifier)</v>
      </c>
      <c r="H38" s="406"/>
      <c r="I38" s="92" t="str">
        <f>'Capital IQ Sheet-GPC'!AA39</f>
        <v>(Invalid Identifier)</v>
      </c>
      <c r="J38" s="92" t="str">
        <f>'Capital IQ Sheet-GPC'!AB39</f>
        <v>(Invalid Identifier)</v>
      </c>
      <c r="K38" s="92" t="str">
        <f>'Capital IQ Sheet-GPC'!AC39</f>
        <v>(Invalid Identifier)</v>
      </c>
      <c r="L38" s="92" t="str">
        <f>'Capital IQ Sheet-GPC'!AD39</f>
        <v>(Invalid Identifier)</v>
      </c>
      <c r="M38" s="92" t="str">
        <f>'Capital IQ Sheet-GPC'!AE39</f>
        <v>(Invalid Identifier)</v>
      </c>
      <c r="O38" s="90" t="str">
        <f t="shared" si="0"/>
        <v>n/a</v>
      </c>
      <c r="P38" s="90" t="str">
        <f t="shared" si="1"/>
        <v>n/a</v>
      </c>
      <c r="Q38" s="90" t="str">
        <f t="shared" si="2"/>
        <v>n/a</v>
      </c>
      <c r="S38" s="90" t="str">
        <f t="shared" si="3"/>
        <v>n/a</v>
      </c>
      <c r="T38" s="90" t="str">
        <f t="shared" si="4"/>
        <v>n/a</v>
      </c>
      <c r="U38" s="90" t="str">
        <f t="shared" si="5"/>
        <v>n/a</v>
      </c>
      <c r="V38" s="90" t="str">
        <f t="shared" si="6"/>
        <v>n/a</v>
      </c>
      <c r="W38" s="90" t="str">
        <f t="shared" si="7"/>
        <v>n/a</v>
      </c>
      <c r="Y38" s="406">
        <f>'Comp.1'!AB38</f>
        <v>0</v>
      </c>
      <c r="Z38" s="406">
        <f>'Comp.1'!AC38</f>
        <v>0</v>
      </c>
      <c r="AA38" s="406">
        <f>'Comp.1'!AD38</f>
        <v>0</v>
      </c>
      <c r="AB38" s="406">
        <f>'Comp.1'!AE38</f>
        <v>0</v>
      </c>
      <c r="AC38" s="406">
        <f t="shared" si="8"/>
        <v>0</v>
      </c>
      <c r="AD38" s="406">
        <f t="shared" si="9"/>
        <v>0</v>
      </c>
      <c r="AE38" s="406">
        <f>'Comp.1'!AH38</f>
        <v>0</v>
      </c>
      <c r="AF38" s="92">
        <f t="shared" si="10"/>
        <v>0</v>
      </c>
      <c r="AH38" s="93" t="str">
        <f>IF('MASTER PubCo Inputs'!C54="","",'MASTER PubCo Inputs'!C54)</f>
        <v>(Invalid Identifier)</v>
      </c>
      <c r="AI38" s="405">
        <f>'Comp.1'!AL38</f>
        <v>0</v>
      </c>
    </row>
    <row r="39" spans="2:35" ht="12.75" customHeight="1">
      <c r="B39" s="405">
        <f>'Comp.1'!B39</f>
        <v>0</v>
      </c>
      <c r="C39" s="92">
        <f>'Comp.1'!C39</f>
        <v>0</v>
      </c>
      <c r="E39" s="92" t="str">
        <f>'Capital IQ Sheet-GPC'!X40</f>
        <v>(Invalid Identifier)</v>
      </c>
      <c r="F39" s="92" t="str">
        <f>'Capital IQ Sheet-GPC'!Y40</f>
        <v>(Invalid Identifier)</v>
      </c>
      <c r="G39" s="92" t="str">
        <f>'Capital IQ Sheet-GPC'!Z40</f>
        <v>(Invalid Identifier)</v>
      </c>
      <c r="H39" s="406"/>
      <c r="I39" s="92" t="str">
        <f>'Capital IQ Sheet-GPC'!AA40</f>
        <v>(Invalid Identifier)</v>
      </c>
      <c r="J39" s="92" t="str">
        <f>'Capital IQ Sheet-GPC'!AB40</f>
        <v>(Invalid Identifier)</v>
      </c>
      <c r="K39" s="92" t="str">
        <f>'Capital IQ Sheet-GPC'!AC40</f>
        <v>(Invalid Identifier)</v>
      </c>
      <c r="L39" s="92" t="str">
        <f>'Capital IQ Sheet-GPC'!AD40</f>
        <v>(Invalid Identifier)</v>
      </c>
      <c r="M39" s="92" t="str">
        <f>'Capital IQ Sheet-GPC'!AE40</f>
        <v>(Invalid Identifier)</v>
      </c>
      <c r="O39" s="90" t="str">
        <f t="shared" si="0"/>
        <v>n/a</v>
      </c>
      <c r="P39" s="90" t="str">
        <f t="shared" si="1"/>
        <v>n/a</v>
      </c>
      <c r="Q39" s="90" t="str">
        <f t="shared" si="2"/>
        <v>n/a</v>
      </c>
      <c r="S39" s="90" t="str">
        <f t="shared" si="3"/>
        <v>n/a</v>
      </c>
      <c r="T39" s="90" t="str">
        <f t="shared" si="4"/>
        <v>n/a</v>
      </c>
      <c r="U39" s="90" t="str">
        <f t="shared" si="5"/>
        <v>n/a</v>
      </c>
      <c r="V39" s="90" t="str">
        <f t="shared" si="6"/>
        <v>n/a</v>
      </c>
      <c r="W39" s="90" t="str">
        <f t="shared" si="7"/>
        <v>n/a</v>
      </c>
      <c r="Y39" s="406">
        <f>'Comp.1'!AB39</f>
        <v>0</v>
      </c>
      <c r="Z39" s="406">
        <f>'Comp.1'!AC39</f>
        <v>0</v>
      </c>
      <c r="AA39" s="406">
        <f>'Comp.1'!AD39</f>
        <v>0</v>
      </c>
      <c r="AB39" s="406">
        <f>'Comp.1'!AE39</f>
        <v>0</v>
      </c>
      <c r="AC39" s="406">
        <f t="shared" si="8"/>
        <v>0</v>
      </c>
      <c r="AD39" s="406">
        <f t="shared" si="9"/>
        <v>0</v>
      </c>
      <c r="AE39" s="406">
        <f>'Comp.1'!AH39</f>
        <v>0</v>
      </c>
      <c r="AF39" s="92">
        <f t="shared" si="10"/>
        <v>0</v>
      </c>
      <c r="AH39" s="93" t="str">
        <f>IF('MASTER PubCo Inputs'!C55="","",'MASTER PubCo Inputs'!C55)</f>
        <v>(Invalid Identifier)</v>
      </c>
      <c r="AI39" s="405">
        <f>'Comp.1'!AL39</f>
        <v>0</v>
      </c>
    </row>
    <row r="40" spans="2:35" ht="12.75" customHeight="1">
      <c r="B40" s="405">
        <f>'Comp.1'!B40</f>
        <v>0</v>
      </c>
      <c r="C40" s="92">
        <f>'Comp.1'!C40</f>
        <v>0</v>
      </c>
      <c r="E40" s="92" t="str">
        <f>'Capital IQ Sheet-GPC'!X41</f>
        <v>(Invalid Identifier)</v>
      </c>
      <c r="F40" s="92" t="str">
        <f>'Capital IQ Sheet-GPC'!Y41</f>
        <v>(Invalid Identifier)</v>
      </c>
      <c r="G40" s="92" t="str">
        <f>'Capital IQ Sheet-GPC'!Z41</f>
        <v>(Invalid Identifier)</v>
      </c>
      <c r="H40" s="406"/>
      <c r="I40" s="92" t="str">
        <f>'Capital IQ Sheet-GPC'!AA41</f>
        <v>(Invalid Identifier)</v>
      </c>
      <c r="J40" s="92" t="str">
        <f>'Capital IQ Sheet-GPC'!AB41</f>
        <v>(Invalid Identifier)</v>
      </c>
      <c r="K40" s="92" t="str">
        <f>'Capital IQ Sheet-GPC'!AC41</f>
        <v>(Invalid Identifier)</v>
      </c>
      <c r="L40" s="92" t="str">
        <f>'Capital IQ Sheet-GPC'!AD41</f>
        <v>(Invalid Identifier)</v>
      </c>
      <c r="M40" s="92" t="str">
        <f>'Capital IQ Sheet-GPC'!AE41</f>
        <v>(Invalid Identifier)</v>
      </c>
      <c r="O40" s="90" t="str">
        <f t="shared" si="0"/>
        <v>n/a</v>
      </c>
      <c r="P40" s="90" t="str">
        <f t="shared" si="1"/>
        <v>n/a</v>
      </c>
      <c r="Q40" s="90" t="str">
        <f t="shared" si="2"/>
        <v>n/a</v>
      </c>
      <c r="S40" s="90" t="str">
        <f t="shared" si="3"/>
        <v>n/a</v>
      </c>
      <c r="T40" s="90" t="str">
        <f t="shared" si="4"/>
        <v>n/a</v>
      </c>
      <c r="U40" s="90" t="str">
        <f t="shared" si="5"/>
        <v>n/a</v>
      </c>
      <c r="V40" s="90" t="str">
        <f t="shared" si="6"/>
        <v>n/a</v>
      </c>
      <c r="W40" s="90" t="str">
        <f t="shared" si="7"/>
        <v>n/a</v>
      </c>
      <c r="Y40" s="406">
        <f>'Comp.1'!AB40</f>
        <v>0</v>
      </c>
      <c r="Z40" s="406">
        <f>'Comp.1'!AC40</f>
        <v>0</v>
      </c>
      <c r="AA40" s="406">
        <f>'Comp.1'!AD40</f>
        <v>0</v>
      </c>
      <c r="AB40" s="406">
        <f>'Comp.1'!AE40</f>
        <v>0</v>
      </c>
      <c r="AC40" s="406">
        <f t="shared" si="8"/>
        <v>0</v>
      </c>
      <c r="AD40" s="406">
        <f t="shared" si="9"/>
        <v>0</v>
      </c>
      <c r="AE40" s="406">
        <f>'Comp.1'!AH40</f>
        <v>0</v>
      </c>
      <c r="AF40" s="92">
        <f t="shared" si="10"/>
        <v>0</v>
      </c>
      <c r="AH40" s="93" t="str">
        <f>IF('MASTER PubCo Inputs'!C56="","",'MASTER PubCo Inputs'!C56)</f>
        <v>(Invalid Identifier)</v>
      </c>
      <c r="AI40" s="405">
        <f>'Comp.1'!AL40</f>
        <v>0</v>
      </c>
    </row>
    <row r="41" spans="2:35" ht="12.75" customHeight="1">
      <c r="B41" s="405">
        <f>'Comp.1'!B41</f>
        <v>0</v>
      </c>
      <c r="C41" s="92">
        <f>'Comp.1'!C41</f>
        <v>0</v>
      </c>
      <c r="E41" s="92" t="str">
        <f>'Capital IQ Sheet-GPC'!X42</f>
        <v>(Invalid Identifier)</v>
      </c>
      <c r="F41" s="92" t="str">
        <f>'Capital IQ Sheet-GPC'!Y42</f>
        <v>(Invalid Identifier)</v>
      </c>
      <c r="G41" s="92" t="str">
        <f>'Capital IQ Sheet-GPC'!Z42</f>
        <v>(Invalid Identifier)</v>
      </c>
      <c r="H41" s="406"/>
      <c r="I41" s="92" t="str">
        <f>'Capital IQ Sheet-GPC'!AA42</f>
        <v>(Invalid Identifier)</v>
      </c>
      <c r="J41" s="92" t="str">
        <f>'Capital IQ Sheet-GPC'!AB42</f>
        <v>(Invalid Identifier)</v>
      </c>
      <c r="K41" s="92" t="str">
        <f>'Capital IQ Sheet-GPC'!AC42</f>
        <v>(Invalid Identifier)</v>
      </c>
      <c r="L41" s="92" t="str">
        <f>'Capital IQ Sheet-GPC'!AD42</f>
        <v>(Invalid Identifier)</v>
      </c>
      <c r="M41" s="92" t="str">
        <f>'Capital IQ Sheet-GPC'!AE42</f>
        <v>(Invalid Identifier)</v>
      </c>
      <c r="O41" s="90" t="str">
        <f t="shared" si="0"/>
        <v>n/a</v>
      </c>
      <c r="P41" s="90" t="str">
        <f t="shared" si="1"/>
        <v>n/a</v>
      </c>
      <c r="Q41" s="90" t="str">
        <f t="shared" si="2"/>
        <v>n/a</v>
      </c>
      <c r="S41" s="90" t="str">
        <f t="shared" si="3"/>
        <v>n/a</v>
      </c>
      <c r="T41" s="90" t="str">
        <f t="shared" si="4"/>
        <v>n/a</v>
      </c>
      <c r="U41" s="90" t="str">
        <f t="shared" si="5"/>
        <v>n/a</v>
      </c>
      <c r="V41" s="90" t="str">
        <f t="shared" si="6"/>
        <v>n/a</v>
      </c>
      <c r="W41" s="90" t="str">
        <f t="shared" si="7"/>
        <v>n/a</v>
      </c>
      <c r="Y41" s="406">
        <f>'Comp.1'!AB41</f>
        <v>0</v>
      </c>
      <c r="Z41" s="406">
        <f>'Comp.1'!AC41</f>
        <v>0</v>
      </c>
      <c r="AA41" s="406">
        <f>'Comp.1'!AD41</f>
        <v>0</v>
      </c>
      <c r="AB41" s="406">
        <f>'Comp.1'!AE41</f>
        <v>0</v>
      </c>
      <c r="AC41" s="406">
        <f t="shared" si="8"/>
        <v>0</v>
      </c>
      <c r="AD41" s="406">
        <f t="shared" si="9"/>
        <v>0</v>
      </c>
      <c r="AE41" s="406">
        <f>'Comp.1'!AH41</f>
        <v>0</v>
      </c>
      <c r="AF41" s="92">
        <f t="shared" si="10"/>
        <v>0</v>
      </c>
      <c r="AH41" s="93" t="str">
        <f>IF('MASTER PubCo Inputs'!C57="","",'MASTER PubCo Inputs'!C57)</f>
        <v>(Invalid Identifier)</v>
      </c>
      <c r="AI41" s="405">
        <f>'Comp.1'!AL41</f>
        <v>0</v>
      </c>
    </row>
    <row r="42" spans="2:35" ht="12.75" customHeight="1">
      <c r="C42" s="406"/>
      <c r="E42" s="406"/>
      <c r="F42" s="406"/>
      <c r="G42" s="406"/>
      <c r="H42" s="406"/>
      <c r="I42" s="406"/>
      <c r="J42" s="406"/>
      <c r="K42" s="406"/>
      <c r="L42" s="406"/>
      <c r="M42" s="406"/>
    </row>
    <row r="43" spans="2:35" ht="12.75" customHeight="1">
      <c r="B43" s="73" t="s">
        <v>111</v>
      </c>
      <c r="C43" s="129">
        <f>MAX(C12:C42)</f>
        <v>1608.0295500000002</v>
      </c>
      <c r="D43" s="74"/>
      <c r="E43" s="129">
        <f>MAX(E12:E42)</f>
        <v>0</v>
      </c>
      <c r="F43" s="129">
        <f>MAX(F12:F42)</f>
        <v>68.491</v>
      </c>
      <c r="G43" s="129">
        <f>MAX(G12:G42)</f>
        <v>0</v>
      </c>
      <c r="H43" s="129"/>
      <c r="I43" s="129">
        <f>MAX(I12:I42)</f>
        <v>56.765000000000001</v>
      </c>
      <c r="J43" s="129">
        <f>MAX(J12:J42)</f>
        <v>3.6040000000000001</v>
      </c>
      <c r="K43" s="129">
        <f>MAX(K12:K42)</f>
        <v>-51.885309999999997</v>
      </c>
      <c r="L43" s="129">
        <f>MAX(L12:L42)</f>
        <v>-63.808480000000003</v>
      </c>
      <c r="M43" s="129">
        <f>MAX(M12:M42)</f>
        <v>159.08000000000001</v>
      </c>
      <c r="N43" s="130"/>
      <c r="O43" s="98">
        <f>MAX(O12:O42)</f>
        <v>0.10015441711759709</v>
      </c>
      <c r="P43" s="98">
        <f>MAX(P12:P42)</f>
        <v>1.4914388751806811</v>
      </c>
      <c r="Q43" s="98">
        <f>MAX(Q12:Q42)</f>
        <v>0.12933962995628859</v>
      </c>
      <c r="R43" s="130"/>
      <c r="S43" s="98">
        <f>MAX(S12:S42)</f>
        <v>1.7995268211045543</v>
      </c>
      <c r="T43" s="98">
        <f>MAX(T12:T42)</f>
        <v>28.343546059933413</v>
      </c>
      <c r="U43" s="98">
        <f>MAX(U12:U42)</f>
        <v>0</v>
      </c>
      <c r="V43" s="98">
        <f>MAX(V12:V42)</f>
        <v>0</v>
      </c>
      <c r="W43" s="131">
        <f>MAX(W12:W42)</f>
        <v>10.108307455368369</v>
      </c>
      <c r="X43" s="49"/>
      <c r="Y43" s="49"/>
    </row>
    <row r="44" spans="2:35" ht="12.75" customHeight="1">
      <c r="B44" s="99" t="s">
        <v>115</v>
      </c>
      <c r="C44" s="101">
        <f>QUARTILE(C12:C42,3)</f>
        <v>99.450800000000015</v>
      </c>
      <c r="D44" s="79"/>
      <c r="E44" s="101">
        <f>QUARTILE(E12:E42,3)</f>
        <v>-5.8667150000000001</v>
      </c>
      <c r="F44" s="101">
        <f>QUARTILE(F12:F42,3)</f>
        <v>-2.5983125</v>
      </c>
      <c r="G44" s="101">
        <f>QUARTILE(G12:G42,3)</f>
        <v>-6.5762900000000002</v>
      </c>
      <c r="H44" s="101"/>
      <c r="I44" s="101">
        <f>QUARTILE(I12:I42,3)</f>
        <v>-6.5465625000000003</v>
      </c>
      <c r="J44" s="101">
        <f>QUARTILE(J12:J42,3)</f>
        <v>-4.0072100000000006</v>
      </c>
      <c r="K44" s="101">
        <f>QUARTILE(K12:K42,3)</f>
        <v>-81.897827500000005</v>
      </c>
      <c r="L44" s="101">
        <f>QUARTILE(L12:L42,3)</f>
        <v>-99.028622499999997</v>
      </c>
      <c r="M44" s="101">
        <f>QUARTILE(M12:M42,3)</f>
        <v>32.240000000000009</v>
      </c>
      <c r="N44" s="132"/>
      <c r="O44" s="100">
        <f>QUARTILE(O12:O42,3)</f>
        <v>-3.1660126992407762</v>
      </c>
      <c r="P44" s="100">
        <f>QUARTILE(P12:P42,3)</f>
        <v>-2.0326875730763687</v>
      </c>
      <c r="Q44" s="100">
        <f>QUARTILE(Q12:Q42,3)</f>
        <v>0.12933962995628859</v>
      </c>
      <c r="R44" s="132"/>
      <c r="S44" s="100">
        <f>QUARTILE(S12:S42,3)</f>
        <v>-2.5658206782950108</v>
      </c>
      <c r="T44" s="100">
        <f>QUARTILE(T12:T42,3)</f>
        <v>-2.7029921793287062</v>
      </c>
      <c r="U44" s="100" t="e">
        <f>QUARTILE(U12:U42,3)</f>
        <v>#NUM!</v>
      </c>
      <c r="V44" s="100" t="e">
        <f>QUARTILE(V12:V42,3)</f>
        <v>#NUM!</v>
      </c>
      <c r="W44" s="133">
        <f>QUARTILE(W12:W42,3)</f>
        <v>10.108307455368369</v>
      </c>
      <c r="X44" s="49"/>
      <c r="Y44" s="49"/>
    </row>
    <row r="45" spans="2:35" ht="12.75" customHeight="1">
      <c r="B45" s="99" t="s">
        <v>113</v>
      </c>
      <c r="C45" s="101">
        <f>AVERAGE(C12:C42)</f>
        <v>156.81354666666667</v>
      </c>
      <c r="D45" s="79"/>
      <c r="E45" s="101">
        <f>AVERAGE(E12:E42)</f>
        <v>-34.55652071428571</v>
      </c>
      <c r="F45" s="101">
        <f>AVERAGE(F12:F42)</f>
        <v>-40.379392857142861</v>
      </c>
      <c r="G45" s="101">
        <f>AVERAGE(G12:G42)</f>
        <v>-44.944920714285708</v>
      </c>
      <c r="H45" s="101"/>
      <c r="I45" s="101">
        <f>AVERAGE(I12:I42)</f>
        <v>-39.871517857142862</v>
      </c>
      <c r="J45" s="101">
        <f>AVERAGE(J12:J42)</f>
        <v>-45.182169285714288</v>
      </c>
      <c r="K45" s="101">
        <f>AVERAGE(K12:K42)</f>
        <v>-114.56801499999999</v>
      </c>
      <c r="L45" s="101">
        <f>AVERAGE(L12:L42)</f>
        <v>-107.757355</v>
      </c>
      <c r="M45" s="101">
        <f>AVERAGE(M12:M42)</f>
        <v>-16.005999999999997</v>
      </c>
      <c r="N45" s="132"/>
      <c r="O45" s="100">
        <f>AVERAGE(O12:O42)</f>
        <v>-12.891439364446221</v>
      </c>
      <c r="P45" s="100">
        <f>AVERAGE(P12:P42)</f>
        <v>-9.8276078663714799</v>
      </c>
      <c r="Q45" s="100">
        <f>AVERAGE(Q12:Q42)</f>
        <v>0.12933962995628859</v>
      </c>
      <c r="R45" s="132"/>
      <c r="S45" s="100">
        <f>AVERAGE(S12:S42)</f>
        <v>-12.273817463054407</v>
      </c>
      <c r="T45" s="100">
        <f>AVERAGE(T12:T42)</f>
        <v>-7.1711296668650277</v>
      </c>
      <c r="U45" s="100" t="e">
        <f>AVERAGE(U12:U42)</f>
        <v>#DIV/0!</v>
      </c>
      <c r="V45" s="100" t="e">
        <f>AVERAGE(V12:V42)</f>
        <v>#DIV/0!</v>
      </c>
      <c r="W45" s="133">
        <f>AVERAGE(W12:W42)</f>
        <v>10.108307455368369</v>
      </c>
      <c r="X45" s="49"/>
      <c r="Y45" s="49"/>
    </row>
    <row r="46" spans="2:35" ht="12.75" customHeight="1">
      <c r="B46" s="99" t="s">
        <v>44</v>
      </c>
      <c r="C46" s="101">
        <f>MEDIAN(C12:C42)</f>
        <v>0</v>
      </c>
      <c r="D46" s="79"/>
      <c r="E46" s="101">
        <f>MEDIAN(E12:E42)</f>
        <v>-18.085760000000001</v>
      </c>
      <c r="F46" s="101">
        <f>MEDIAN(F12:F42)</f>
        <v>-15.3011</v>
      </c>
      <c r="G46" s="101">
        <f>MEDIAN(G12:G42)</f>
        <v>-16.997335</v>
      </c>
      <c r="H46" s="101"/>
      <c r="I46" s="101">
        <f>MEDIAN(I12:I42)</f>
        <v>-22.10126</v>
      </c>
      <c r="J46" s="101">
        <f>MEDIAN(J12:J42)</f>
        <v>-17.903860000000002</v>
      </c>
      <c r="K46" s="101">
        <f>MEDIAN(K12:K42)</f>
        <v>-94.29598</v>
      </c>
      <c r="L46" s="101">
        <f>MEDIAN(L12:L42)</f>
        <v>-117.21347</v>
      </c>
      <c r="M46" s="101">
        <f>MEDIAN(M12:M42)</f>
        <v>-94.6</v>
      </c>
      <c r="N46" s="132"/>
      <c r="O46" s="100">
        <f>MEDIAN(O12:O42)</f>
        <v>-6.0044649381262669</v>
      </c>
      <c r="P46" s="100">
        <f>MEDIAN(P12:P42)</f>
        <v>-5.8865309669001498</v>
      </c>
      <c r="Q46" s="100">
        <f>MEDIAN(Q12:Q42)</f>
        <v>0.12933962995628859</v>
      </c>
      <c r="R46" s="132"/>
      <c r="S46" s="100">
        <f>MEDIAN(S12:S42)</f>
        <v>-5.9339730319166604</v>
      </c>
      <c r="T46" s="100">
        <f>MEDIAN(T12:T42)</f>
        <v>-5.5832567078828284</v>
      </c>
      <c r="U46" s="100" t="e">
        <f>MEDIAN(U12:U42)</f>
        <v>#NUM!</v>
      </c>
      <c r="V46" s="100" t="e">
        <f>MEDIAN(V12:V42)</f>
        <v>#NUM!</v>
      </c>
      <c r="W46" s="133">
        <f>MEDIAN(W12:W42)</f>
        <v>10.108307455368369</v>
      </c>
      <c r="X46" s="49"/>
      <c r="Y46" s="49"/>
    </row>
    <row r="47" spans="2:35" ht="12.75" customHeight="1">
      <c r="B47" s="99" t="s">
        <v>114</v>
      </c>
      <c r="C47" s="101">
        <f>QUARTILE(C12:C42,1)</f>
        <v>0</v>
      </c>
      <c r="D47" s="79"/>
      <c r="E47" s="101">
        <f>QUARTILE(E12:E42,1)</f>
        <v>-40.854730000000004</v>
      </c>
      <c r="F47" s="101">
        <f>QUARTILE(F12:F42,1)</f>
        <v>-49.880132500000002</v>
      </c>
      <c r="G47" s="101">
        <f>QUARTILE(G12:G42,1)</f>
        <v>-55.082699999999996</v>
      </c>
      <c r="H47" s="101"/>
      <c r="I47" s="101">
        <f>QUARTILE(I12:I42,1)</f>
        <v>-44.070407500000002</v>
      </c>
      <c r="J47" s="101">
        <f>QUARTILE(J12:J42,1)</f>
        <v>-52.610162500000001</v>
      </c>
      <c r="K47" s="101">
        <f>QUARTILE(K12:K42,1)</f>
        <v>-126.9661675</v>
      </c>
      <c r="L47" s="101">
        <f>QUARTILE(L12:L42,1)</f>
        <v>-125.94220250000001</v>
      </c>
      <c r="M47" s="101">
        <f>QUARTILE(M12:M42,1)</f>
        <v>-103.54900000000001</v>
      </c>
      <c r="N47" s="132"/>
      <c r="O47" s="100">
        <f>QUARTILE(O12:O42,1)</f>
        <v>-19.083600644375661</v>
      </c>
      <c r="P47" s="100">
        <f>QUARTILE(P12:P42,1)</f>
        <v>-9.7721466064539868</v>
      </c>
      <c r="Q47" s="100">
        <f>QUARTILE(Q12:Q42,1)</f>
        <v>0.12933962995628859</v>
      </c>
      <c r="R47" s="132"/>
      <c r="S47" s="100">
        <f>QUARTILE(S12:S42,1)</f>
        <v>-15.412881837577194</v>
      </c>
      <c r="T47" s="100">
        <f>QUARTILE(T12:T42,1)</f>
        <v>-13.394849988415165</v>
      </c>
      <c r="U47" s="100" t="e">
        <f>QUARTILE(U12:U42,1)</f>
        <v>#NUM!</v>
      </c>
      <c r="V47" s="100" t="e">
        <f>QUARTILE(V12:V42,1)</f>
        <v>#NUM!</v>
      </c>
      <c r="W47" s="133">
        <f>QUARTILE(W12:W42,1)</f>
        <v>10.108307455368369</v>
      </c>
      <c r="X47" s="49"/>
      <c r="Y47" s="49"/>
    </row>
    <row r="48" spans="2:35" ht="12.75" customHeight="1">
      <c r="B48" s="103" t="s">
        <v>112</v>
      </c>
      <c r="C48" s="75">
        <f>MIN(C12:C42)</f>
        <v>-1.0675899999999992</v>
      </c>
      <c r="D48" s="72"/>
      <c r="E48" s="75">
        <f>MIN(E12:E42)</f>
        <v>-173.65899999999999</v>
      </c>
      <c r="F48" s="75">
        <f>MIN(F12:F42)</f>
        <v>-308.94499999999999</v>
      </c>
      <c r="G48" s="75">
        <f>MIN(G12:G42)</f>
        <v>-255.673</v>
      </c>
      <c r="H48" s="75"/>
      <c r="I48" s="75">
        <f>MIN(I12:I42)</f>
        <v>-270.98700000000002</v>
      </c>
      <c r="J48" s="75">
        <f>MIN(J12:J42)</f>
        <v>-289.697</v>
      </c>
      <c r="K48" s="75">
        <f>MIN(K12:K42)</f>
        <v>-217.79479000000001</v>
      </c>
      <c r="L48" s="75">
        <f>MIN(L12:L42)</f>
        <v>-132.79400000000001</v>
      </c>
      <c r="M48" s="75">
        <f>MIN(M12:M42)</f>
        <v>-112.498</v>
      </c>
      <c r="N48" s="134"/>
      <c r="O48" s="105">
        <f>MIN(O12:O42)</f>
        <v>-47.963512557564286</v>
      </c>
      <c r="P48" s="105">
        <f>MIN(P12:P42)</f>
        <v>-40.689455043984921</v>
      </c>
      <c r="Q48" s="105">
        <f>MIN(Q12:Q42)</f>
        <v>0.12933962995628859</v>
      </c>
      <c r="R48" s="134"/>
      <c r="S48" s="105">
        <f>MIN(S12:S42)</f>
        <v>-40.689455043984921</v>
      </c>
      <c r="T48" s="105">
        <f>MIN(T12:T42)</f>
        <v>-28.898077604150483</v>
      </c>
      <c r="U48" s="105">
        <f>MIN(U12:U42)</f>
        <v>0</v>
      </c>
      <c r="V48" s="105">
        <f>MIN(V12:V42)</f>
        <v>0</v>
      </c>
      <c r="W48" s="135">
        <f>MIN(W12:W42)</f>
        <v>10.108307455368369</v>
      </c>
      <c r="X48" s="49"/>
      <c r="Y48" s="49"/>
    </row>
    <row r="49" spans="2:2" ht="12.75" customHeight="1"/>
    <row r="50" spans="2:2" ht="12.75" customHeight="1">
      <c r="B50" s="8" t="s">
        <v>116</v>
      </c>
    </row>
    <row r="51" spans="2:2" ht="12.75" customHeight="1">
      <c r="B51" s="8"/>
    </row>
    <row r="52" spans="2:2" ht="12.75" customHeight="1"/>
    <row r="53" spans="2:2" ht="12.75" customHeight="1"/>
  </sheetData>
  <conditionalFormatting sqref="B12:C41">
    <cfRule type="cellIs" dxfId="19" priority="15" operator="equal">
      <formula>"(Invalid Identifier)"</formula>
    </cfRule>
  </conditionalFormatting>
  <conditionalFormatting sqref="C4:I4">
    <cfRule type="cellIs" dxfId="18" priority="14" stopIfTrue="1" operator="equal">
      <formula>"input"</formula>
    </cfRule>
  </conditionalFormatting>
  <conditionalFormatting sqref="J4">
    <cfRule type="cellIs" dxfId="17" priority="12" stopIfTrue="1" operator="equal">
      <formula>"input"</formula>
    </cfRule>
  </conditionalFormatting>
  <conditionalFormatting sqref="J4">
    <cfRule type="cellIs" dxfId="16" priority="13" stopIfTrue="1" operator="equal">
      <formula>"input"</formula>
    </cfRule>
  </conditionalFormatting>
  <conditionalFormatting sqref="K4:M4">
    <cfRule type="cellIs" dxfId="15" priority="10" stopIfTrue="1" operator="equal">
      <formula>"input"</formula>
    </cfRule>
  </conditionalFormatting>
  <conditionalFormatting sqref="K4:M4">
    <cfRule type="cellIs" dxfId="14" priority="11" stopIfTrue="1" operator="equal">
      <formula>"input"</formula>
    </cfRule>
  </conditionalFormatting>
  <conditionalFormatting sqref="N4">
    <cfRule type="cellIs" dxfId="13" priority="8" stopIfTrue="1" operator="equal">
      <formula>"input"</formula>
    </cfRule>
  </conditionalFormatting>
  <conditionalFormatting sqref="N4">
    <cfRule type="cellIs" dxfId="12" priority="9" stopIfTrue="1" operator="equal">
      <formula>"input"</formula>
    </cfRule>
  </conditionalFormatting>
  <conditionalFormatting sqref="O4:V4">
    <cfRule type="cellIs" dxfId="11" priority="6" stopIfTrue="1" operator="equal">
      <formula>"input"</formula>
    </cfRule>
  </conditionalFormatting>
  <conditionalFormatting sqref="O4:V4">
    <cfRule type="cellIs" dxfId="10" priority="7" stopIfTrue="1" operator="equal">
      <formula>"input"</formula>
    </cfRule>
  </conditionalFormatting>
  <conditionalFormatting sqref="W4">
    <cfRule type="cellIs" dxfId="9" priority="2" stopIfTrue="1" operator="equal">
      <formula>"input"</formula>
    </cfRule>
  </conditionalFormatting>
  <conditionalFormatting sqref="W4">
    <cfRule type="cellIs" dxfId="8" priority="3" stopIfTrue="1" operator="equal">
      <formula>"input"</formula>
    </cfRule>
  </conditionalFormatting>
  <conditionalFormatting sqref="B4">
    <cfRule type="cellIs" dxfId="7" priority="1" stopIfTrue="1" operator="equal">
      <formula>"input"</formula>
    </cfRule>
  </conditionalFormatting>
  <pageMargins left="0.5" right="0.5" top="0.5" bottom="0.5" header="0.5" footer="0.5"/>
  <pageSetup scale="84" fitToWidth="0" fitToHeight="0" orientation="landscape" r:id="rId1"/>
  <legacyDrawingHF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AC55"/>
  <sheetViews>
    <sheetView showGridLines="0" view="pageBreakPreview" zoomScale="70" zoomScaleNormal="100" zoomScaleSheetLayoutView="70" workbookViewId="0"/>
  </sheetViews>
  <sheetFormatPr defaultRowHeight="12.75"/>
  <cols>
    <col min="1" max="1" width="4.5" style="405" customWidth="1"/>
    <col min="2" max="2" width="72.6640625" style="405" bestFit="1" customWidth="1"/>
    <col min="3" max="3" width="2.83203125" style="405" customWidth="1"/>
    <col min="4" max="7" width="15.83203125" style="405" customWidth="1"/>
    <col min="8" max="8" width="2.83203125" style="405" customWidth="1"/>
    <col min="9" max="11" width="15.83203125" style="405" customWidth="1"/>
    <col min="12" max="12" width="2.83203125" style="405" customWidth="1"/>
    <col min="13" max="15" width="11.83203125" style="405" customWidth="1"/>
    <col min="16" max="16" width="2.83203125" style="405" customWidth="1"/>
    <col min="17" max="19" width="11.83203125" style="405" customWidth="1"/>
    <col min="20" max="20" width="2.83203125" style="405" customWidth="1"/>
    <col min="21" max="23" width="11.83203125" style="405" customWidth="1"/>
    <col min="24" max="24" width="4.5" style="405" customWidth="1"/>
    <col min="25" max="25" width="2.83203125" style="405" customWidth="1"/>
    <col min="26" max="26" width="15.33203125" style="405" bestFit="1" customWidth="1"/>
    <col min="27" max="27" width="10.5" style="405" bestFit="1" customWidth="1"/>
    <col min="28" max="28" width="15.33203125" style="405" bestFit="1" customWidth="1"/>
    <col min="29" max="33" width="9.33203125" style="405"/>
    <col min="34" max="34" width="8.83203125" style="405" customWidth="1"/>
    <col min="35" max="16384" width="9.33203125" style="405"/>
  </cols>
  <sheetData>
    <row r="1" spans="2:29" ht="10.7" customHeight="1" thickBot="1"/>
    <row r="2" spans="2:29" ht="16.5" customHeight="1" thickTop="1">
      <c r="B2" s="10" t="str">
        <f>'MASTER PubCo Inputs'!$C$5</f>
        <v>Kallyope, Inc.</v>
      </c>
      <c r="C2" s="10"/>
      <c r="D2" s="10"/>
      <c r="E2" s="10"/>
      <c r="F2" s="10"/>
      <c r="G2" s="10"/>
      <c r="H2" s="10"/>
      <c r="I2" s="10"/>
      <c r="J2" s="10"/>
      <c r="K2" s="10"/>
      <c r="L2" s="10"/>
      <c r="M2" s="10"/>
      <c r="N2" s="10"/>
      <c r="O2" s="10"/>
      <c r="P2" s="10"/>
      <c r="Q2" s="10"/>
      <c r="R2" s="10"/>
      <c r="S2" s="10"/>
      <c r="T2" s="10"/>
      <c r="U2" s="10"/>
      <c r="V2" s="10"/>
      <c r="W2" s="10"/>
      <c r="Z2" s="303" t="s">
        <v>87</v>
      </c>
      <c r="AA2" s="304">
        <f>+'Comp.1'!$AL$2</f>
        <v>43281</v>
      </c>
    </row>
    <row r="3" spans="2:29"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Z3" s="201" t="s">
        <v>398</v>
      </c>
      <c r="AA3" s="308" t="str">
        <f>+'Comp.1'!$AL$3</f>
        <v>F</v>
      </c>
    </row>
    <row r="4" spans="2:29" ht="16.5" customHeight="1" thickBot="1">
      <c r="B4" s="12" t="s">
        <v>639</v>
      </c>
      <c r="C4" s="12"/>
      <c r="D4" s="12"/>
      <c r="E4" s="12"/>
      <c r="F4" s="12"/>
      <c r="G4" s="12"/>
      <c r="H4" s="12"/>
      <c r="I4" s="12"/>
      <c r="J4" s="13"/>
      <c r="K4" s="13" t="str">
        <f>+'MASTER PubCo Inputs'!$C$24</f>
        <v>(in millions of USD)</v>
      </c>
      <c r="L4" s="12"/>
      <c r="M4" s="13"/>
      <c r="N4" s="13"/>
      <c r="O4" s="13"/>
      <c r="P4" s="13"/>
      <c r="Q4" s="13"/>
      <c r="R4" s="13"/>
      <c r="S4" s="13"/>
      <c r="T4" s="13"/>
      <c r="U4" s="13"/>
      <c r="V4" s="13"/>
      <c r="W4" s="13" t="str">
        <f>+'MASTER PubCo Inputs'!$C$24</f>
        <v>(in millions of USD)</v>
      </c>
      <c r="Z4" s="201" t="s">
        <v>399</v>
      </c>
      <c r="AA4" s="308" t="str">
        <f>+'Comp.1'!$AL$4</f>
        <v>USD</v>
      </c>
    </row>
    <row r="5" spans="2:29" ht="12.75" customHeight="1" thickTop="1">
      <c r="Z5" s="82" t="s">
        <v>89</v>
      </c>
      <c r="AA5" s="307" t="str">
        <f>+'Comp.1'!$AL$5</f>
        <v>H</v>
      </c>
    </row>
    <row r="6" spans="2:29" ht="12.75" customHeight="1">
      <c r="D6" s="138" t="s">
        <v>277</v>
      </c>
      <c r="E6" s="139"/>
      <c r="F6" s="139"/>
      <c r="G6" s="140"/>
    </row>
    <row r="7" spans="2:29">
      <c r="D7" s="35" t="s">
        <v>284</v>
      </c>
      <c r="E7" s="36"/>
      <c r="F7" s="37"/>
      <c r="G7" s="309"/>
      <c r="I7" s="35" t="s">
        <v>613</v>
      </c>
      <c r="J7" s="36"/>
      <c r="K7" s="37"/>
      <c r="M7" s="3303" t="s">
        <v>748</v>
      </c>
      <c r="N7" s="3304"/>
      <c r="O7" s="3305"/>
      <c r="Q7" s="35" t="s">
        <v>177</v>
      </c>
      <c r="R7" s="36"/>
      <c r="S7" s="37"/>
      <c r="U7" s="35" t="s">
        <v>291</v>
      </c>
      <c r="V7" s="36"/>
      <c r="W7" s="37"/>
      <c r="Z7" s="754" t="s">
        <v>835</v>
      </c>
      <c r="AA7" s="918">
        <v>1</v>
      </c>
      <c r="AB7" s="754" t="s">
        <v>836</v>
      </c>
      <c r="AC7" s="918">
        <v>-1</v>
      </c>
    </row>
    <row r="8" spans="2:29" s="6" customFormat="1" ht="14.25" customHeight="1">
      <c r="B8" s="476" t="s">
        <v>633</v>
      </c>
      <c r="D8" s="596" t="s">
        <v>282</v>
      </c>
      <c r="E8" s="597" t="s">
        <v>165</v>
      </c>
      <c r="F8" s="597" t="s">
        <v>166</v>
      </c>
      <c r="G8" s="609" t="s">
        <v>283</v>
      </c>
      <c r="H8" s="330"/>
      <c r="I8" s="596" t="s">
        <v>290</v>
      </c>
      <c r="J8" s="597" t="s">
        <v>276</v>
      </c>
      <c r="K8" s="609" t="s">
        <v>277</v>
      </c>
      <c r="L8" s="330"/>
      <c r="M8" s="596" t="s">
        <v>290</v>
      </c>
      <c r="N8" s="597" t="s">
        <v>276</v>
      </c>
      <c r="O8" s="605" t="s">
        <v>277</v>
      </c>
      <c r="P8" s="330"/>
      <c r="Q8" s="591" t="s">
        <v>290</v>
      </c>
      <c r="R8" s="592" t="s">
        <v>276</v>
      </c>
      <c r="S8" s="594" t="s">
        <v>277</v>
      </c>
      <c r="T8" s="330"/>
      <c r="U8" s="591" t="s">
        <v>290</v>
      </c>
      <c r="V8" s="592" t="s">
        <v>276</v>
      </c>
      <c r="W8" s="594" t="s">
        <v>277</v>
      </c>
      <c r="X8" s="405"/>
      <c r="Z8" s="87" t="s">
        <v>108</v>
      </c>
    </row>
    <row r="9" spans="2:29" ht="12.75" customHeight="1"/>
    <row r="10" spans="2:29" ht="12.75" customHeight="1">
      <c r="B10" s="405" t="str">
        <f>'Comp.1'!B12</f>
        <v>ACADIA Pharmaceuticals Inc.</v>
      </c>
      <c r="D10" s="56">
        <f>'Capital IQ Sheet-GPC'!AF13</f>
        <v>-5.1614000000000007E-2</v>
      </c>
      <c r="E10" s="56">
        <f>'Capital IQ Sheet-GPC'!AG13</f>
        <v>-1.613251</v>
      </c>
      <c r="F10" s="56">
        <f>'Capital IQ Sheet-GPC'!AH13</f>
        <v>-1.63114</v>
      </c>
      <c r="G10" s="56">
        <f>'Capital IQ Sheet-GPC'!AI13</f>
        <v>-1.6144059999999998</v>
      </c>
      <c r="I10" s="92">
        <f>'Capital IQ Sheet-GPC'!AJ13</f>
        <v>-16.013000000000002</v>
      </c>
      <c r="J10" s="92">
        <f>'Capital IQ Sheet-GPC'!AK13</f>
        <v>-24.992999999999999</v>
      </c>
      <c r="K10" s="92">
        <f>'Capital IQ Sheet-GPC'!AL13</f>
        <v>-4.1379999999999999</v>
      </c>
      <c r="M10" s="56" t="str">
        <f>IFERROR(IF(I10/'Comp.1'!H12&gt;$AA$7,"NM",IF((I10/'Comp.1'!H12)&lt;$AC$7,"NM",I10/'Comp.1'!H12)),"n/a")</f>
        <v>NM</v>
      </c>
      <c r="N10" s="56">
        <f>IFERROR(IF(J10/'Comp.1'!I12&gt;$AA$7,"NM",IF((J10/'Comp.1'!I12)&lt;$AC$7,"NM",J10/'Comp.1'!I12)),"n/a")</f>
        <v>-0.766350841688897</v>
      </c>
      <c r="O10" s="56">
        <f>IFERROR(IF(K10/'Comp.1'!J12&gt;$AA$7,"NM",IF((K10/'Comp.1'!J12)&lt;$AC$7,"NM",K10/'Comp.1'!J12)),"n/a")</f>
        <v>-2.6110055968148003E-2</v>
      </c>
      <c r="P10" s="406"/>
      <c r="Q10" s="92">
        <f>'Capital IQ Sheet-GPC'!AM13</f>
        <v>-1.36</v>
      </c>
      <c r="R10" s="92">
        <f>'Capital IQ Sheet-GPC'!AN13</f>
        <v>-1.784</v>
      </c>
      <c r="S10" s="92">
        <f>'Capital IQ Sheet-GPC'!AO13</f>
        <v>-0.77500000000000002</v>
      </c>
      <c r="U10" s="56" t="str">
        <f>IFERROR(IF(Q10/'Comp.1'!H12&gt;$AA$7,"NM",IF((Q10/'Comp.1'!H12)&lt;$AC$7,"NM",Q10/'Comp.1'!H12)),"n/a")</f>
        <v>NM</v>
      </c>
      <c r="V10" s="56">
        <f>IFERROR(IF(R10/'Comp.1'!I12&gt;$AA$7,"NM",IF((R10/'Comp.1'!I12)&lt;$AC$7,"NM",R10/'Comp.1'!I12)),"n/a")</f>
        <v>-5.4702112654462946E-2</v>
      </c>
      <c r="W10" s="56">
        <f>IFERROR(IF(S10/'Comp.1'!J12&gt;$AA$7,"NM",IF((S10/'Comp.1'!J12)&lt;$AC$7,"NM",S10/'Comp.1'!J12)),"n/a")</f>
        <v>-4.8901143971277674E-3</v>
      </c>
      <c r="Z10" s="93" t="str">
        <f>IF('MASTER PubCo Inputs'!B28="","",'MASTER PubCo Inputs'!B28)</f>
        <v>NasdaqGS:ACAD</v>
      </c>
      <c r="AA10" s="405" t="str">
        <f>'Comp.2'!AI12</f>
        <v>ACADIA Pharmaceuticals Inc., a biopharmaceutical company, focuses on the development and commercialization of small molecule drugs that address unmet medical needs in central nervous system disorders. The company offers NUPLAZID (pimavanserin) for the treatment of hallucinations and delusions associated with Parkinson’s disease psychosis. It is also developing pimavanserin as a treatment for dementia-related psychosis and as an adjunctive treatment for schizophrenia that are in phase III clinical trials; and pimavanserin as an adjunctive treatment for major depressive disorder. ACADIA Pharmaceuticals Inc. was founded in 1993 and is headquartered in San Diego, California.</v>
      </c>
    </row>
    <row r="11" spans="2:29" ht="12.75" customHeight="1">
      <c r="B11" s="405" t="str">
        <f>'Comp.1'!B13</f>
        <v>Rhythm Pharmaceuticals, Inc.</v>
      </c>
      <c r="D11" s="56">
        <f>'Capital IQ Sheet-GPC'!AF14</f>
        <v>0</v>
      </c>
      <c r="E11" s="56">
        <f>'Capital IQ Sheet-GPC'!AG14</f>
        <v>0</v>
      </c>
      <c r="F11" s="56">
        <f>'Capital IQ Sheet-GPC'!AH14</f>
        <v>0</v>
      </c>
      <c r="G11" s="56">
        <f>'Capital IQ Sheet-GPC'!AI14</f>
        <v>0</v>
      </c>
      <c r="I11" s="92">
        <f>'Capital IQ Sheet-GPC'!AJ14</f>
        <v>0</v>
      </c>
      <c r="J11" s="92">
        <f>'Capital IQ Sheet-GPC'!AK14</f>
        <v>-3.21</v>
      </c>
      <c r="K11" s="92">
        <f>'Capital IQ Sheet-GPC'!AL14</f>
        <v>-3.6179999999999999</v>
      </c>
      <c r="M11" s="56" t="str">
        <f>IFERROR(IF(I11/'Comp.1'!H13&gt;$AA$7,"NM",IF((I11/'Comp.1'!H13)&lt;$AC$7,"NM",I11/'Comp.1'!H13)),"n/a")</f>
        <v>n/a</v>
      </c>
      <c r="N11" s="56" t="str">
        <f>IFERROR(IF(J11/'Comp.1'!I13&gt;$AA$7,"NM",IF((J11/'Comp.1'!I13)&lt;$AC$7,"NM",J11/'Comp.1'!I13)),"n/a")</f>
        <v>n/a</v>
      </c>
      <c r="O11" s="56" t="str">
        <f>IFERROR(IF(K11/'Comp.1'!J13&gt;$AA$7,"NM",IF((K11/'Comp.1'!J13)&lt;$AC$7,"NM",K11/'Comp.1'!J13)),"n/a")</f>
        <v>n/a</v>
      </c>
      <c r="P11" s="406"/>
      <c r="Q11" s="92">
        <f>'Capital IQ Sheet-GPC'!AM14</f>
        <v>-0.57799999999999996</v>
      </c>
      <c r="R11" s="92">
        <f>'Capital IQ Sheet-GPC'!AN14</f>
        <v>-0.496</v>
      </c>
      <c r="S11" s="92">
        <f>'Capital IQ Sheet-GPC'!AO14</f>
        <v>-0.13300000000000001</v>
      </c>
      <c r="U11" s="56" t="str">
        <f>IFERROR(IF(Q11/'Comp.1'!H13&gt;$AA$7,"NM",IF((Q11/'Comp.1'!H13)&lt;$AC$7,"NM",Q11/'Comp.1'!H13)),"n/a")</f>
        <v>n/a</v>
      </c>
      <c r="V11" s="56" t="str">
        <f>IFERROR(IF(R11/'Comp.1'!I13&gt;$AA$7,"NM",IF((R11/'Comp.1'!I13)&lt;$AC$7,"NM",R11/'Comp.1'!I13)),"n/a")</f>
        <v>n/a</v>
      </c>
      <c r="W11" s="56" t="str">
        <f>IFERROR(IF(S11/'Comp.1'!J13&gt;$AA$7,"NM",IF((S11/'Comp.1'!J13)&lt;$AC$7,"NM",S11/'Comp.1'!J13)),"n/a")</f>
        <v>n/a</v>
      </c>
      <c r="Z11" s="93" t="str">
        <f>IF('MASTER PubCo Inputs'!B29="","",'MASTER PubCo Inputs'!B29)</f>
        <v>NasdaqGM:RYTM</v>
      </c>
      <c r="AA11" s="405" t="str">
        <f>'Comp.2'!AI13</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row>
    <row r="12" spans="2:29" ht="12.75" customHeight="1">
      <c r="B12" s="405" t="str">
        <f>'Comp.1'!B14</f>
        <v>Assembly Biosciences, Inc.</v>
      </c>
      <c r="D12" s="56" t="str">
        <f>'Capital IQ Sheet-GPC'!AF15</f>
        <v>n/a</v>
      </c>
      <c r="E12" s="56" t="str">
        <f>'Capital IQ Sheet-GPC'!AG15</f>
        <v>n/a</v>
      </c>
      <c r="F12" s="56" t="str">
        <f>'Capital IQ Sheet-GPC'!AH15</f>
        <v>n/a</v>
      </c>
      <c r="G12" s="56" t="str">
        <f>'Capital IQ Sheet-GPC'!AI15</f>
        <v>n/a</v>
      </c>
      <c r="I12" s="92">
        <f>'Capital IQ Sheet-GPC'!AJ15</f>
        <v>-2.8036599999999998</v>
      </c>
      <c r="J12" s="92">
        <f>'Capital IQ Sheet-GPC'!AK15</f>
        <v>-9.6579700000000006</v>
      </c>
      <c r="K12" s="92">
        <f>'Capital IQ Sheet-GPC'!AL15</f>
        <v>-8.1133100000000002</v>
      </c>
      <c r="M12" s="56" t="str">
        <f>IFERROR(IF(I12/'Comp.1'!H14&gt;$AA$7,"NM",IF((I12/'Comp.1'!H14)&lt;$AC$7,"NM",I12/'Comp.1'!H14)),"n/a")</f>
        <v>n/a</v>
      </c>
      <c r="N12" s="56" t="str">
        <f>IFERROR(IF(J12/'Comp.1'!I14&gt;$AA$7,"NM",IF((J12/'Comp.1'!I14)&lt;$AC$7,"NM",J12/'Comp.1'!I14)),"n/a")</f>
        <v>NM</v>
      </c>
      <c r="O12" s="56">
        <f>IFERROR(IF(K12/'Comp.1'!J14&gt;$AA$7,"NM",IF((K12/'Comp.1'!J14)&lt;$AC$7,"NM",K12/'Comp.1'!J14)),"n/a")</f>
        <v>-0.68182284208332489</v>
      </c>
      <c r="P12" s="406"/>
      <c r="Q12" s="92">
        <f>'Capital IQ Sheet-GPC'!AM15</f>
        <v>-2.971E-2</v>
      </c>
      <c r="R12" s="92">
        <f>'Capital IQ Sheet-GPC'!AN15</f>
        <v>-0.14416999999999999</v>
      </c>
      <c r="S12" s="92">
        <f>'Capital IQ Sheet-GPC'!AO15</f>
        <v>-0.90412000000000003</v>
      </c>
      <c r="U12" s="56" t="str">
        <f>IFERROR(IF(Q12/'Comp.1'!H14&gt;$AA$7,"NM",IF((Q12/'Comp.1'!H14)&lt;$AC$7,"NM",Q12/'Comp.1'!H14)),"n/a")</f>
        <v>n/a</v>
      </c>
      <c r="V12" s="56">
        <f>IFERROR(IF(R12/'Comp.1'!I14&gt;$AA$7,"NM",IF((R12/'Comp.1'!I14)&lt;$AC$7,"NM",R12/'Comp.1'!I14)),"n/a")</f>
        <v>-0.21066089980566066</v>
      </c>
      <c r="W12" s="56">
        <f>IFERROR(IF(S12/'Comp.1'!J14&gt;$AA$7,"NM",IF((S12/'Comp.1'!J14)&lt;$AC$7,"NM",S12/'Comp.1'!J14)),"n/a")</f>
        <v>-7.5980046119817402E-2</v>
      </c>
      <c r="Z12" s="93" t="str">
        <f>IF('MASTER PubCo Inputs'!B30="","",'MASTER PubCo Inputs'!B30)</f>
        <v>NasdaqCM:ASMB</v>
      </c>
      <c r="AA12" s="405" t="str">
        <f>'Comp.2'!AI14</f>
        <v>Assembly Biosciences, Inc. operates as a clinical stage biotechnology company. It develops oral therapeutic candidates for the treatment of hepatitis B virus (HBV) infection and novel class of oral synthetic live biotherapeutic candidates to treat disorders associated with the microbiome in the United States. It is involved in the development of core protein allosteric modulators that modulate the HBV core protein at various points in the viral lifecycle. The company also develops microbiome program, a platform that includes the identification and selection process to strain isolation and growth under current good manufacturing practice conditions; and a patent pending delivery system, GEMICEL, which allows for targeted oral delivery of live biologic and conventional therapies to the lower gastrointestinal tract. In addition, it engages in the development of product candidates for various disease indications, such as ulcerative colitis, Crohn’s disease, irritable bowel syndrome, non-alcoholic steatohepatitis, immuno-oncology, and clostridium difficile infections by using its microbiome platform. It has a collaboration agreement with Allergan Pharmaceuticals International Limited for the development and commercialization of selected microbiome gastrointestinal programs. The company was formerly known as Ventrus Biosciences, Inc. and changed its name to Assembly Biosciences, Inc. in June 2014. Assembly Biosciences, Inc. was founded in 2005 and is headquartered in Carmel, Indiana.</v>
      </c>
    </row>
    <row r="13" spans="2:29" ht="12.75" customHeight="1">
      <c r="B13" s="405" t="str">
        <f>'Comp.1'!B15</f>
        <v>Voyager Therapeutics, Inc.</v>
      </c>
      <c r="D13" s="56" t="str">
        <f>'Capital IQ Sheet-GPC'!AF16</f>
        <v>n/a</v>
      </c>
      <c r="E13" s="56" t="str">
        <f>'Capital IQ Sheet-GPC'!AG16</f>
        <v>n/a</v>
      </c>
      <c r="F13" s="56" t="str">
        <f>'Capital IQ Sheet-GPC'!AH16</f>
        <v>n/a</v>
      </c>
      <c r="G13" s="56" t="str">
        <f>'Capital IQ Sheet-GPC'!AI16</f>
        <v>n/a</v>
      </c>
      <c r="I13" s="92">
        <f>'Capital IQ Sheet-GPC'!AJ16</f>
        <v>-21.370999999999999</v>
      </c>
      <c r="J13" s="92">
        <f>'Capital IQ Sheet-GPC'!AK16</f>
        <v>-7.6539999999999999</v>
      </c>
      <c r="K13" s="92">
        <f>'Capital IQ Sheet-GPC'!AL16</f>
        <v>-28.507000000000001</v>
      </c>
      <c r="M13" s="56" t="str">
        <f>IFERROR(IF(I13/'Comp.1'!H15&gt;$AA$7,"NM",IF((I13/'Comp.1'!H15)&lt;$AC$7,"NM",I13/'Comp.1'!H15)),"n/a")</f>
        <v>NM</v>
      </c>
      <c r="N13" s="56">
        <f>IFERROR(IF(J13/'Comp.1'!I15&gt;$AA$7,"NM",IF((J13/'Comp.1'!I15)&lt;$AC$7,"NM",J13/'Comp.1'!I15)),"n/a")</f>
        <v>-0.70517781463055096</v>
      </c>
      <c r="O13" s="56" t="str">
        <f>IFERROR(IF(K13/'Comp.1'!J15&gt;$AA$7,"NM",IF((K13/'Comp.1'!J15)&lt;$AC$7,"NM",K13/'Comp.1'!J15)),"n/a")</f>
        <v>NM</v>
      </c>
      <c r="P13" s="406"/>
      <c r="Q13" s="92">
        <f>'Capital IQ Sheet-GPC'!AM16</f>
        <v>-1.34</v>
      </c>
      <c r="R13" s="92">
        <f>'Capital IQ Sheet-GPC'!AN16</f>
        <v>-7.5140000000000002</v>
      </c>
      <c r="S13" s="92">
        <f>'Capital IQ Sheet-GPC'!AO16</f>
        <v>-2.6469999999999998</v>
      </c>
      <c r="U13" s="56">
        <f>IFERROR(IF(Q13/'Comp.1'!H15&gt;$AA$7,"NM",IF((Q13/'Comp.1'!H15)&lt;$AC$7,"NM",Q13/'Comp.1'!H15)),"n/a")</f>
        <v>-6.8409230140902597E-2</v>
      </c>
      <c r="V13" s="56">
        <f>IFERROR(IF(R13/'Comp.1'!I15&gt;$AA$7,"NM",IF((R13/'Comp.1'!I15)&lt;$AC$7,"NM",R13/'Comp.1'!I15)),"n/a")</f>
        <v>-0.69227934402063762</v>
      </c>
      <c r="W13" s="56">
        <f>IFERROR(IF(S13/'Comp.1'!J15&gt;$AA$7,"NM",IF((S13/'Comp.1'!J15)&lt;$AC$7,"NM",S13/'Comp.1'!J15)),"n/a")</f>
        <v>-0.27535628835951315</v>
      </c>
      <c r="Z13" s="93" t="str">
        <f>IF('MASTER PubCo Inputs'!B31="","",'MASTER PubCo Inputs'!B31)</f>
        <v>NasdaqGS:VYGR</v>
      </c>
      <c r="AA13" s="405" t="str">
        <f>'Comp.2'!AI15</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Voyager Therapeutics, Inc. was founded in 2013 and is headquartered in Cambridge, Massachusetts.</v>
      </c>
    </row>
    <row r="14" spans="2:29" ht="12.75" customHeight="1">
      <c r="B14" s="405" t="str">
        <f>'Comp.1'!B16</f>
        <v>Zafgen, Inc.</v>
      </c>
      <c r="D14" s="56">
        <f>'Capital IQ Sheet-GPC'!AF17</f>
        <v>0</v>
      </c>
      <c r="E14" s="56">
        <f>'Capital IQ Sheet-GPC'!AG17</f>
        <v>0</v>
      </c>
      <c r="F14" s="56">
        <f>'Capital IQ Sheet-GPC'!AH17</f>
        <v>0</v>
      </c>
      <c r="G14" s="56">
        <f>'Capital IQ Sheet-GPC'!AI17</f>
        <v>0</v>
      </c>
      <c r="I14" s="92">
        <f>'Capital IQ Sheet-GPC'!AJ17</f>
        <v>-7.2249999999999996</v>
      </c>
      <c r="J14" s="92">
        <f>'Capital IQ Sheet-GPC'!AK17</f>
        <v>-4.0140000000000002</v>
      </c>
      <c r="K14" s="92">
        <f>'Capital IQ Sheet-GPC'!AL17</f>
        <v>-5.1050000000000004</v>
      </c>
      <c r="M14" s="56" t="str">
        <f>IFERROR(IF(I14/'Comp.1'!H16&gt;$AA$7,"NM",IF((I14/'Comp.1'!H16)&lt;$AC$7,"NM",I14/'Comp.1'!H16)),"n/a")</f>
        <v>n/a</v>
      </c>
      <c r="N14" s="56" t="str">
        <f>IFERROR(IF(J14/'Comp.1'!I16&gt;$AA$7,"NM",IF((J14/'Comp.1'!I16)&lt;$AC$7,"NM",J14/'Comp.1'!I16)),"n/a")</f>
        <v>n/a</v>
      </c>
      <c r="O14" s="56" t="str">
        <f>IFERROR(IF(K14/'Comp.1'!J16&gt;$AA$7,"NM",IF((K14/'Comp.1'!J16)&lt;$AC$7,"NM",K14/'Comp.1'!J16)),"n/a")</f>
        <v>n/a</v>
      </c>
      <c r="P14" s="406"/>
      <c r="Q14" s="92">
        <f>'Capital IQ Sheet-GPC'!AM17</f>
        <v>-0.96799999999999997</v>
      </c>
      <c r="R14" s="92">
        <f>'Capital IQ Sheet-GPC'!AN17</f>
        <v>-0.27</v>
      </c>
      <c r="S14" s="92">
        <f>'Capital IQ Sheet-GPC'!AO17</f>
        <v>-4.5999999999999999E-2</v>
      </c>
      <c r="U14" s="56" t="str">
        <f>IFERROR(IF(Q14/'Comp.1'!H16&gt;$AA$7,"NM",IF((Q14/'Comp.1'!H16)&lt;$AC$7,"NM",Q14/'Comp.1'!H16)),"n/a")</f>
        <v>n/a</v>
      </c>
      <c r="V14" s="56" t="str">
        <f>IFERROR(IF(R14/'Comp.1'!I16&gt;$AA$7,"NM",IF((R14/'Comp.1'!I16)&lt;$AC$7,"NM",R14/'Comp.1'!I16)),"n/a")</f>
        <v>n/a</v>
      </c>
      <c r="W14" s="56" t="str">
        <f>IFERROR(IF(S14/'Comp.1'!J16&gt;$AA$7,"NM",IF((S14/'Comp.1'!J16)&lt;$AC$7,"NM",S14/'Comp.1'!J16)),"n/a")</f>
        <v>n/a</v>
      </c>
      <c r="Z14" s="93" t="str">
        <f>IF('MASTER PubCo Inputs'!B32="","",'MASTER PubCo Inputs'!B32)</f>
        <v>NasdaqGS:ZFGN</v>
      </c>
      <c r="AA14" s="405" t="str">
        <f>'Comp.2'!AI16</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row>
    <row r="15" spans="2:29" ht="12.75" customHeight="1">
      <c r="B15" s="405" t="str">
        <f>'Comp.1'!B17</f>
        <v>Seres Therapeutics, Inc.</v>
      </c>
      <c r="D15" s="56">
        <f>'Capital IQ Sheet-GPC'!AF18</f>
        <v>-1.8065100000000001</v>
      </c>
      <c r="E15" s="56">
        <f>'Capital IQ Sheet-GPC'!AG18</f>
        <v>-2.610751</v>
      </c>
      <c r="F15" s="56">
        <f>'Capital IQ Sheet-GPC'!AH18</f>
        <v>-2.8367309999999999</v>
      </c>
      <c r="G15" s="56">
        <f>'Capital IQ Sheet-GPC'!AI18</f>
        <v>-2.7778609999999997</v>
      </c>
      <c r="I15" s="92">
        <f>'Capital IQ Sheet-GPC'!AJ18</f>
        <v>-21.254000000000001</v>
      </c>
      <c r="J15" s="92">
        <f>'Capital IQ Sheet-GPC'!AK18</f>
        <v>-22.056000000000001</v>
      </c>
      <c r="K15" s="92">
        <f>'Capital IQ Sheet-GPC'!AL18</f>
        <v>-30.89</v>
      </c>
      <c r="M15" s="56" t="str">
        <f>IFERROR(IF(I15/'Comp.1'!H17&gt;$AA$7,"NM",IF((I15/'Comp.1'!H17)&lt;$AC$7,"NM",I15/'Comp.1'!H17)),"n/a")</f>
        <v>NM</v>
      </c>
      <c r="N15" s="56">
        <f>IFERROR(IF(J15/'Comp.1'!I17&gt;$AA$7,"NM",IF((J15/'Comp.1'!I17)&lt;$AC$7,"NM",J15/'Comp.1'!I17)),"n/a")</f>
        <v>-0.99932037515291561</v>
      </c>
      <c r="O15" s="56">
        <f>IFERROR(IF(K15/'Comp.1'!J17&gt;$AA$7,"NM",IF((K15/'Comp.1'!J17)&lt;$AC$7,"NM",K15/'Comp.1'!J17)),"n/a")</f>
        <v>-0.93447483059051317</v>
      </c>
      <c r="P15" s="406"/>
      <c r="Q15" s="92">
        <f>'Capital IQ Sheet-GPC'!AM18</f>
        <v>-7.548</v>
      </c>
      <c r="R15" s="92">
        <f>'Capital IQ Sheet-GPC'!AN18</f>
        <v>-20.338999999999999</v>
      </c>
      <c r="S15" s="92">
        <f>'Capital IQ Sheet-GPC'!AO18</f>
        <v>-3.3820000000000001</v>
      </c>
      <c r="U15" s="56" t="str">
        <f>IFERROR(IF(Q15/'Comp.1'!H17&gt;$AA$7,"NM",IF((Q15/'Comp.1'!H17)&lt;$AC$7,"NM",Q15/'Comp.1'!H17)),"n/a")</f>
        <v>NM</v>
      </c>
      <c r="V15" s="56">
        <f>IFERROR(IF(R15/'Comp.1'!I17&gt;$AA$7,"NM",IF((R15/'Comp.1'!I17)&lt;$AC$7,"NM",R15/'Comp.1'!I17)),"n/a")</f>
        <v>-0.92152598432332011</v>
      </c>
      <c r="W15" s="56">
        <f>IFERROR(IF(S15/'Comp.1'!J17&gt;$AA$7,"NM",IF((S15/'Comp.1'!J17)&lt;$AC$7,"NM",S15/'Comp.1'!J17)),"n/a")</f>
        <v>-0.10231122942884803</v>
      </c>
      <c r="Z15" s="93" t="str">
        <f>IF('MASTER PubCo Inputs'!B33="","",'MASTER PubCo Inputs'!B33)</f>
        <v>NasdaqGS:MCRB</v>
      </c>
      <c r="AA15" s="405" t="str">
        <f>'Comp.2'!AI17</f>
        <v>Seres Therapeutics, Inc., a microbiome therapeutics platform company, engages in developing biological drugs designed to restore health by repairing the function of a dysbiotic microbiome. Its lead product candidate is SER-109, a bacterial spore ecology, which is in Phase III clinical study to treat multiply recurrent Clostridium difficile infection (CDI). The company is also developing SER-287 that is in Phase Ib clinical study in patients with mild-to-moderate ulcerative colitis; and SER-262, a multi-strain Ecobiotic microbiome therapeutic candidate, which is in Phase Ib study in patients with primary CDI. In addition, its product candidates in pre-clinical development comprise SER-301, an Ecobiotic microbiome therapeutic candidate for the treatment of inflammatory bowel disease; SER-401 for use with checkpoint inhibitors in patients with solid tumors; and SER-155, an Ecobiotic microbiome therapeutic candidate for the prevention of transplant-related mortality. Seres Therapeutics, Inc. has a strategic collaboration with Nestle Health Science and Memorial Sloan Kettering Cancer Center. The company was formerly known as Seres Health, Inc. and changed its name to Seres Therapeutics, Inc. in May 2015. Seres Therapeutics, Inc. was founded in 2010 and is headquartered in Cambridge, Massachusetts.</v>
      </c>
    </row>
    <row r="16" spans="2:29" ht="12.75" customHeight="1">
      <c r="B16" s="405" t="str">
        <f>'Comp.1'!B18</f>
        <v>CohBar, Inc.</v>
      </c>
      <c r="D16" s="56">
        <f>'Capital IQ Sheet-GPC'!AF19</f>
        <v>0</v>
      </c>
      <c r="E16" s="56">
        <f>'Capital IQ Sheet-GPC'!AG19</f>
        <v>0</v>
      </c>
      <c r="F16" s="56">
        <f>'Capital IQ Sheet-GPC'!AH19</f>
        <v>0</v>
      </c>
      <c r="G16" s="56">
        <f>'Capital IQ Sheet-GPC'!AI19</f>
        <v>0</v>
      </c>
      <c r="I16" s="92">
        <f>'Capital IQ Sheet-GPC'!AJ19</f>
        <v>-0.38286999999999999</v>
      </c>
      <c r="J16" s="92">
        <f>'Capital IQ Sheet-GPC'!AK19</f>
        <v>-0.55620999999999998</v>
      </c>
      <c r="K16" s="92">
        <f>'Capital IQ Sheet-GPC'!AL19</f>
        <v>-0.82562000000000002</v>
      </c>
      <c r="M16" s="56" t="str">
        <f>IFERROR(IF(I16/'Comp.1'!H18&gt;$AA$7,"NM",IF((I16/'Comp.1'!H18)&lt;$AC$7,"NM",I16/'Comp.1'!H18)),"n/a")</f>
        <v>n/a</v>
      </c>
      <c r="N16" s="56" t="str">
        <f>IFERROR(IF(J16/'Comp.1'!I18&gt;$AA$7,"NM",IF((J16/'Comp.1'!I18)&lt;$AC$7,"NM",J16/'Comp.1'!I18)),"n/a")</f>
        <v>n/a</v>
      </c>
      <c r="O16" s="56" t="str">
        <f>IFERROR(IF(K16/'Comp.1'!J18&gt;$AA$7,"NM",IF((K16/'Comp.1'!J18)&lt;$AC$7,"NM",K16/'Comp.1'!J18)),"n/a")</f>
        <v>n/a</v>
      </c>
      <c r="P16" s="406"/>
      <c r="Q16" s="92">
        <f>'Capital IQ Sheet-GPC'!AM19</f>
        <v>-0.22181999999999999</v>
      </c>
      <c r="R16" s="92">
        <f>'Capital IQ Sheet-GPC'!AN19</f>
        <v>-8.0490000000000006E-2</v>
      </c>
      <c r="S16" s="92">
        <f>'Capital IQ Sheet-GPC'!AO19</f>
        <v>-3.2499999999999999E-3</v>
      </c>
      <c r="U16" s="56" t="str">
        <f>IFERROR(IF(Q16/'Comp.1'!H18&gt;$AA$7,"NM",IF((Q16/'Comp.1'!H18)&lt;$AC$7,"NM",Q16/'Comp.1'!H18)),"n/a")</f>
        <v>n/a</v>
      </c>
      <c r="V16" s="56" t="str">
        <f>IFERROR(IF(R16/'Comp.1'!I18&gt;$AA$7,"NM",IF((R16/'Comp.1'!I18)&lt;$AC$7,"NM",R16/'Comp.1'!I18)),"n/a")</f>
        <v>n/a</v>
      </c>
      <c r="W16" s="56" t="str">
        <f>IFERROR(IF(S16/'Comp.1'!J18&gt;$AA$7,"NM",IF((S16/'Comp.1'!J18)&lt;$AC$7,"NM",S16/'Comp.1'!J18)),"n/a")</f>
        <v>n/a</v>
      </c>
      <c r="Z16" s="93" t="str">
        <f>IF('MASTER PubCo Inputs'!B34="","",'MASTER PubCo Inputs'!B34)</f>
        <v>TSXV:COB.U</v>
      </c>
      <c r="AA16" s="405" t="str">
        <f>'Comp.2'!AI18</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row>
    <row r="17" spans="2:27" ht="12.75" customHeight="1">
      <c r="B17" s="405" t="str">
        <f>'Comp.1'!B19</f>
        <v>VIVUS, Inc.</v>
      </c>
      <c r="D17" s="56">
        <f>'Capital IQ Sheet-GPC'!AF20</f>
        <v>0.726607</v>
      </c>
      <c r="E17" s="56">
        <f>'Capital IQ Sheet-GPC'!AG20</f>
        <v>-0.119715</v>
      </c>
      <c r="F17" s="56">
        <f>'Capital IQ Sheet-GPC'!AH20</f>
        <v>-0.13396</v>
      </c>
      <c r="G17" s="56">
        <f>'Capital IQ Sheet-GPC'!AI20</f>
        <v>-0.79799400000000009</v>
      </c>
      <c r="I17" s="92">
        <f>'Capital IQ Sheet-GPC'!AJ20</f>
        <v>-7.5730000000000004</v>
      </c>
      <c r="J17" s="92">
        <f>'Capital IQ Sheet-GPC'!AK20</f>
        <v>6.4130000000000003</v>
      </c>
      <c r="K17" s="92">
        <f>'Capital IQ Sheet-GPC'!AL20</f>
        <v>10.991</v>
      </c>
      <c r="M17" s="56">
        <f>IFERROR(IF(I17/'Comp.1'!H19&gt;$AA$7,"NM",IF((I17/'Comp.1'!H19)&lt;$AC$7,"NM",I17/'Comp.1'!H19)),"n/a")</f>
        <v>-9.6363312465007386E-2</v>
      </c>
      <c r="N17" s="56">
        <f>IFERROR(IF(J17/'Comp.1'!I19&gt;$AA$7,"NM",IF((J17/'Comp.1'!I19)&lt;$AC$7,"NM",J17/'Comp.1'!I19)),"n/a")</f>
        <v>4.717314227708061E-2</v>
      </c>
      <c r="O17" s="56">
        <f>IFERROR(IF(K17/'Comp.1'!J19&gt;$AA$7,"NM",IF((K17/'Comp.1'!J19)&lt;$AC$7,"NM",K17/'Comp.1'!J19)),"n/a")</f>
        <v>0.21867849823919142</v>
      </c>
      <c r="P17" s="406"/>
      <c r="Q17" s="92">
        <f>'Capital IQ Sheet-GPC'!AM20</f>
        <v>-0.26300000000000001</v>
      </c>
      <c r="R17" s="92">
        <f>'Capital IQ Sheet-GPC'!AN20</f>
        <v>-0.23200000000000001</v>
      </c>
      <c r="S17" s="92">
        <f>'Capital IQ Sheet-GPC'!AO20</f>
        <v>-3.4000000000000002E-2</v>
      </c>
      <c r="U17" s="56">
        <f>IFERROR(IF(Q17/'Comp.1'!H19&gt;$AA$7,"NM",IF((Q17/'Comp.1'!H19)&lt;$AC$7,"NM",Q17/'Comp.1'!H19)),"n/a")</f>
        <v>-3.3465669058889403E-3</v>
      </c>
      <c r="V17" s="56">
        <f>IFERROR(IF(R17/'Comp.1'!I19&gt;$AA$7,"NM",IF((R17/'Comp.1'!I19)&lt;$AC$7,"NM",R17/'Comp.1'!I19)),"n/a")</f>
        <v>-1.7065599576302356E-3</v>
      </c>
      <c r="W17" s="56">
        <f>IFERROR(IF(S17/'Comp.1'!J19&gt;$AA$7,"NM",IF((S17/'Comp.1'!J19)&lt;$AC$7,"NM",S17/'Comp.1'!J19)),"n/a")</f>
        <v>-6.7646883269334077E-4</v>
      </c>
      <c r="Z17" s="93" t="str">
        <f>IF('MASTER PubCo Inputs'!B35="","",'MASTER PubCo Inputs'!B35)</f>
        <v>NasdaqGS:VVUS</v>
      </c>
      <c r="AA17" s="405" t="str">
        <f>'Comp.2'!AI19</f>
        <v>VIVUS, Inc., a biopharmaceutical company, develops and commercializes novel therapeutic products to address unmet medical needs in human health in the United States and the European Union. The company offers Qsymia for the treatment of obesity as an adjunct to a reduced-calorie diet and increased physical activity for chronic weight management in adult patients with an initial body mass index of 30 or greater, or obese patients, or 27 or greater, or overweight patients in the presence of at least one weight-related comorbidity, such as hypertension, type 2 diabetes mellitus or high cholesterol; and STENDRA, an oral phosphodiesterase type 5 inhibitor for the treatment of erectile dysfunction. It is also involved in developing Qsymia, which has been completed Phase II studies for the treatment of various diseases, including obstructive sleep apnea and diabetes, nonalcoholic steatohepatitis and fatty liver disease, hyperlipidemia, and hypertension, as well as Tacrolimus that has been completed Phase IIa studies for the treatment of pulmonary arterial hypertension. The company has development, license and clinical trial, and commercial supply agreement with Mitsubishi Tanabe Pharma Corporation for the development and commercialization of avanafil, a PDE5 inhibitor compound for the oral and local treatment of male and female sexual dysfunction. It also has license and commercialization agreements with Berlin Chemie AG to commercialize and promote STENDRA. VIVUS, Inc. was founded in 1991 and is headquartered in Campbell, California.</v>
      </c>
    </row>
    <row r="18" spans="2:27" ht="12.75" customHeight="1">
      <c r="B18" s="405" t="str">
        <f>'Comp.1'!B20</f>
        <v>Anavex Life Sciences Corp.</v>
      </c>
      <c r="D18" s="56">
        <f>'Capital IQ Sheet-GPC'!AF21</f>
        <v>0</v>
      </c>
      <c r="E18" s="56">
        <f>'Capital IQ Sheet-GPC'!AG21</f>
        <v>0</v>
      </c>
      <c r="F18" s="56">
        <f>'Capital IQ Sheet-GPC'!AH21</f>
        <v>0</v>
      </c>
      <c r="G18" s="56">
        <f>'Capital IQ Sheet-GPC'!AI21</f>
        <v>0</v>
      </c>
      <c r="I18" s="92">
        <f>'Capital IQ Sheet-GPC'!AJ21</f>
        <v>-2.1799400000000002</v>
      </c>
      <c r="J18" s="92">
        <f>'Capital IQ Sheet-GPC'!AK21</f>
        <v>-1.91727</v>
      </c>
      <c r="K18" s="92">
        <f>'Capital IQ Sheet-GPC'!AL21</f>
        <v>-3.2610700000000001</v>
      </c>
      <c r="M18" s="56" t="str">
        <f>IFERROR(IF(I18/'Comp.1'!H20&gt;$AA$7,"NM",IF((I18/'Comp.1'!H20)&lt;$AC$7,"NM",I18/'Comp.1'!H20)),"n/a")</f>
        <v>n/a</v>
      </c>
      <c r="N18" s="56" t="str">
        <f>IFERROR(IF(J18/'Comp.1'!I20&gt;$AA$7,"NM",IF((J18/'Comp.1'!I20)&lt;$AC$7,"NM",J18/'Comp.1'!I20)),"n/a")</f>
        <v>n/a</v>
      </c>
      <c r="O18" s="56" t="str">
        <f>IFERROR(IF(K18/'Comp.1'!J20&gt;$AA$7,"NM",IF((K18/'Comp.1'!J20)&lt;$AC$7,"NM",K18/'Comp.1'!J20)),"n/a")</f>
        <v>n/a</v>
      </c>
      <c r="P18" s="406"/>
      <c r="Q18" s="92">
        <f>'Capital IQ Sheet-GPC'!AM21</f>
        <v>0</v>
      </c>
      <c r="R18" s="92">
        <f>'Capital IQ Sheet-GPC'!AN21</f>
        <v>0</v>
      </c>
      <c r="S18" s="92">
        <f>'Capital IQ Sheet-GPC'!AO21</f>
        <v>0</v>
      </c>
      <c r="U18" s="56" t="str">
        <f>IFERROR(IF(Q18/'Comp.1'!H20&gt;$AA$7,"NM",IF((Q18/'Comp.1'!H20)&lt;$AC$7,"NM",Q18/'Comp.1'!H20)),"n/a")</f>
        <v>n/a</v>
      </c>
      <c r="V18" s="56" t="str">
        <f>IFERROR(IF(R18/'Comp.1'!I20&gt;$AA$7,"NM",IF((R18/'Comp.1'!I20)&lt;$AC$7,"NM",R18/'Comp.1'!I20)),"n/a")</f>
        <v>n/a</v>
      </c>
      <c r="W18" s="56" t="str">
        <f>IFERROR(IF(S18/'Comp.1'!J20&gt;$AA$7,"NM",IF((S18/'Comp.1'!J20)&lt;$AC$7,"NM",S18/'Comp.1'!J20)),"n/a")</f>
        <v>n/a</v>
      </c>
      <c r="Z18" s="93" t="str">
        <f>IF('MASTER PubCo Inputs'!B36="","",'MASTER PubCo Inputs'!B36)</f>
        <v>NasdaqCM:AVXL</v>
      </c>
      <c r="AA18" s="405" t="str">
        <f>'Comp.2'!AI20</f>
        <v>Anavex Life Sciences Corp., a clinical stage biopharmaceutical company, engages in the development of drug candidates for the treatment of Alzheimer’s disease, other central nervous system diseases, pain, and various cancers. The company’s lead drug candidates include ANAVEX 2-73, which has completed Phase IIa clinical trials for the treatment of Alzheimer’s disease; and in preclinical clinical trials to treat Parkinson’s disease, epilepsy, Rett syndrome, Angelman syndrome, multiple sclerosis, and Fragile X syndrome. Its preclinical drug candidates include ANAVEX 3-71 to treat Alzheimer’s disease; ANAVEX 1-41, a sigma-1 agonist; ANAVEX 1037 for the treatment of prostate cancer; and ANAVEX 1066, a mixed sigma-1/sigma-2 ligand for the treatment of neuropathic and visceral pain. The company was founded in 2006 and is based in New York, New York.</v>
      </c>
    </row>
    <row r="19" spans="2:27" ht="12.75" customHeight="1">
      <c r="B19" s="405" t="str">
        <f>'Comp.1'!B21</f>
        <v>OptiBiotix Health plc</v>
      </c>
      <c r="D19" s="56">
        <f>'Capital IQ Sheet-GPC'!AF22</f>
        <v>-6.1106999999999995E-2</v>
      </c>
      <c r="E19" s="56" t="str">
        <f>'Capital IQ Sheet-GPC'!AG22</f>
        <v>n/a</v>
      </c>
      <c r="F19" s="56" t="str">
        <f>'Capital IQ Sheet-GPC'!AH22</f>
        <v>n/a</v>
      </c>
      <c r="G19" s="56">
        <f>'Capital IQ Sheet-GPC'!AI22</f>
        <v>9.982785999999999</v>
      </c>
      <c r="I19" s="92">
        <f>'Capital IQ Sheet-GPC'!AJ22</f>
        <v>8.5459999999999994E-2</v>
      </c>
      <c r="J19" s="92">
        <f>'Capital IQ Sheet-GPC'!AK22</f>
        <v>0.10868999999999999</v>
      </c>
      <c r="K19" s="92">
        <f>'Capital IQ Sheet-GPC'!AL22</f>
        <v>8.0460000000000004E-2</v>
      </c>
      <c r="M19" s="56" t="str">
        <f>IFERROR(IF(I19/'Comp.1'!H21&gt;$AA$7,"NM",IF((I19/'Comp.1'!H21)&lt;$AC$7,"NM",I19/'Comp.1'!H21)),"n/a")</f>
        <v>NM</v>
      </c>
      <c r="N19" s="56">
        <f>IFERROR(IF(J19/'Comp.1'!I21&gt;$AA$7,"NM",IF((J19/'Comp.1'!I21)&lt;$AC$7,"NM",J19/'Comp.1'!I21)),"n/a")</f>
        <v>0.30213487518763549</v>
      </c>
      <c r="O19" s="56">
        <f>IFERROR(IF(K19/'Comp.1'!J21&gt;$AA$7,"NM",IF((K19/'Comp.1'!J21)&lt;$AC$7,"NM",K19/'Comp.1'!J21)),"n/a")</f>
        <v>0.31175171451819134</v>
      </c>
      <c r="P19" s="406"/>
      <c r="Q19" s="92">
        <f>'Capital IQ Sheet-GPC'!AM22</f>
        <v>-2.96E-3</v>
      </c>
      <c r="R19" s="92">
        <f>'Capital IQ Sheet-GPC'!AN22</f>
        <v>-1.3169999999999999E-2</v>
      </c>
      <c r="S19" s="92">
        <f>'Capital IQ Sheet-GPC'!AO22</f>
        <v>-2.4399999999999999E-3</v>
      </c>
      <c r="U19" s="56">
        <f>IFERROR(IF(Q19/'Comp.1'!H21&gt;$AA$7,"NM",IF((Q19/'Comp.1'!H21)&lt;$AC$7,"NM",Q19/'Comp.1'!H21)),"n/a")</f>
        <v>-6.9729093050647811E-2</v>
      </c>
      <c r="V19" s="56">
        <f>IFERROR(IF(R19/'Comp.1'!I21&gt;$AA$7,"NM",IF((R19/'Comp.1'!I21)&lt;$AC$7,"NM",R19/'Comp.1'!I21)),"n/a")</f>
        <v>-3.6609773725468392E-2</v>
      </c>
      <c r="W19" s="56">
        <f>IFERROR(IF(S19/'Comp.1'!J21&gt;$AA$7,"NM",IF((S19/'Comp.1'!J21)&lt;$AC$7,"NM",S19/'Comp.1'!J21)),"n/a")</f>
        <v>-9.4540664109419199E-3</v>
      </c>
      <c r="Z19" s="93" t="str">
        <f>IF('MASTER PubCo Inputs'!B37="","",'MASTER PubCo Inputs'!B37)</f>
        <v>AIM:OPTI</v>
      </c>
      <c r="AA19" s="405" t="str">
        <f>'Comp.2'!AI21</f>
        <v>Optibiotix Health Plc, a life sciences company, engages in the research and development of microbiome modulators primarily in the United Kingdom. The company is developing microbial strains, compounds, and formulations, which modulates the human microbiome and impacts lipid and cholesterol management, energy harvest, and appetite suppression activities. Its products include Slimbiome, a natural ingredient, which supports scientifically substantiated weight loss claims; CholBiome, a food supplement that combines natural ingredients and maintains healthy cholesterol levels from within; CardioBiome, a non-pharmaceutical approach for the maintenance of cardiovascular and heart health; and Sweetbiotix, a sweet calorie free natural healthy sugar. Optibiotix Health Plc was founded in 2012 and is based in York, the United Kingdom.</v>
      </c>
    </row>
    <row r="20" spans="2:27" ht="12.75" customHeight="1">
      <c r="B20" s="405" t="str">
        <f>'Comp.1'!B22</f>
        <v>Soleno Therapeutics, Inc.</v>
      </c>
      <c r="D20" s="56">
        <f>'Capital IQ Sheet-GPC'!AF23</f>
        <v>0</v>
      </c>
      <c r="E20" s="56">
        <f>'Capital IQ Sheet-GPC'!AG23</f>
        <v>0</v>
      </c>
      <c r="F20" s="56">
        <f>'Capital IQ Sheet-GPC'!AH23</f>
        <v>0</v>
      </c>
      <c r="G20" s="56">
        <f>'Capital IQ Sheet-GPC'!AI23</f>
        <v>0</v>
      </c>
      <c r="I20" s="92">
        <f>'Capital IQ Sheet-GPC'!AJ23</f>
        <v>-1.488</v>
      </c>
      <c r="J20" s="92">
        <f>'Capital IQ Sheet-GPC'!AK23</f>
        <v>-0.91100000000000003</v>
      </c>
      <c r="K20" s="92">
        <f>'Capital IQ Sheet-GPC'!AL23</f>
        <v>-1</v>
      </c>
      <c r="M20" s="56" t="str">
        <f>IFERROR(IF(I20/'Comp.1'!H22&gt;$AA$7,"NM",IF((I20/'Comp.1'!H22)&lt;$AC$7,"NM",I20/'Comp.1'!H22)),"n/a")</f>
        <v>NM</v>
      </c>
      <c r="N20" s="56" t="str">
        <f>IFERROR(IF(J20/'Comp.1'!I22&gt;$AA$7,"NM",IF((J20/'Comp.1'!I22)&lt;$AC$7,"NM",J20/'Comp.1'!I22)),"n/a")</f>
        <v>NM</v>
      </c>
      <c r="O20" s="56" t="str">
        <f>IFERROR(IF(K20/'Comp.1'!J22&gt;$AA$7,"NM",IF((K20/'Comp.1'!J22)&lt;$AC$7,"NM",K20/'Comp.1'!J22)),"n/a")</f>
        <v>n/a</v>
      </c>
      <c r="P20" s="406"/>
      <c r="Q20" s="92">
        <f>'Capital IQ Sheet-GPC'!AM23</f>
        <v>-7.3779999999999998E-2</v>
      </c>
      <c r="R20" s="92">
        <f>'Capital IQ Sheet-GPC'!AN23</f>
        <v>4.2100000000000002E-3</v>
      </c>
      <c r="S20" s="92">
        <f>'Capital IQ Sheet-GPC'!AO23</f>
        <v>-2.5699999999999998E-3</v>
      </c>
      <c r="U20" s="56">
        <f>IFERROR(IF(Q20/'Comp.1'!H22&gt;$AA$7,"NM",IF((Q20/'Comp.1'!H22)&lt;$AC$7,"NM",Q20/'Comp.1'!H22)),"n/a")</f>
        <v>-7.1459703429639601E-2</v>
      </c>
      <c r="V20" s="56">
        <f>IFERROR(IF(R20/'Comp.1'!I22&gt;$AA$7,"NM",IF((R20/'Comp.1'!I22)&lt;$AC$7,"NM",R20/'Comp.1'!I22)),"n/a")</f>
        <v>-9.4183445190156607E-3</v>
      </c>
      <c r="W20" s="56" t="str">
        <f>IFERROR(IF(S20/'Comp.1'!J22&gt;$AA$7,"NM",IF((S20/'Comp.1'!J22)&lt;$AC$7,"NM",S20/'Comp.1'!J22)),"n/a")</f>
        <v>n/a</v>
      </c>
      <c r="Z20" s="93" t="str">
        <f>IF('MASTER PubCo Inputs'!B38="","",'MASTER PubCo Inputs'!B38)</f>
        <v>NasdaqCM:SLNO</v>
      </c>
      <c r="AA20" s="405" t="str">
        <f>'Comp.2'!AI22</f>
        <v>Soleno Therapeutics, Inc. focuses on the development and commercialization of novel therapeutics for the treatment of rare diseases. Its lead candidate, diazoxide choline controlled-release (DCCR), a tablet for the treatment of Prader-Willi Syndrome (PWS), is entering into late-stage clinical development. The company was formerly known as Capnia, Inc. and changed its name to Soleno Therapeutics, Inc. in May 2017. Soleno Therapeutics, Inc. was founded in 1999 and is based in Redwood City, California.</v>
      </c>
    </row>
    <row r="21" spans="2:27" ht="12.75" customHeight="1">
      <c r="B21" s="405" t="str">
        <f>'Comp.1'!B23</f>
        <v>Synthetic Biologics, Inc.</v>
      </c>
      <c r="D21" s="56">
        <f>'Capital IQ Sheet-GPC'!AF24</f>
        <v>0</v>
      </c>
      <c r="E21" s="56">
        <f>'Capital IQ Sheet-GPC'!AG24</f>
        <v>0</v>
      </c>
      <c r="F21" s="56">
        <f>'Capital IQ Sheet-GPC'!AH24</f>
        <v>0</v>
      </c>
      <c r="G21" s="56">
        <f>'Capital IQ Sheet-GPC'!AI24</f>
        <v>0</v>
      </c>
      <c r="I21" s="92">
        <f>'Capital IQ Sheet-GPC'!AJ24</f>
        <v>-10.41</v>
      </c>
      <c r="J21" s="92">
        <f>'Capital IQ Sheet-GPC'!AK24</f>
        <v>-13.122</v>
      </c>
      <c r="K21" s="92">
        <f>'Capital IQ Sheet-GPC'!AL24</f>
        <v>-4.4809999999999999</v>
      </c>
      <c r="M21" s="56" t="str">
        <f>IFERROR(IF(I21/'Comp.1'!H23&gt;$AA$7,"NM",IF((I21/'Comp.1'!H23)&lt;$AC$7,"NM",I21/'Comp.1'!H23)),"n/a")</f>
        <v>n/a</v>
      </c>
      <c r="N21" s="56" t="str">
        <f>IFERROR(IF(J21/'Comp.1'!I23&gt;$AA$7,"NM",IF((J21/'Comp.1'!I23)&lt;$AC$7,"NM",J21/'Comp.1'!I23)),"n/a")</f>
        <v>n/a</v>
      </c>
      <c r="O21" s="56" t="str">
        <f>IFERROR(IF(K21/'Comp.1'!J23&gt;$AA$7,"NM",IF((K21/'Comp.1'!J23)&lt;$AC$7,"NM",K21/'Comp.1'!J23)),"n/a")</f>
        <v>n/a</v>
      </c>
      <c r="P21" s="406"/>
      <c r="Q21" s="92">
        <f>'Capital IQ Sheet-GPC'!AM24</f>
        <v>-0.52700000000000002</v>
      </c>
      <c r="R21" s="92">
        <f>'Capital IQ Sheet-GPC'!AN24</f>
        <v>-0.53600000000000003</v>
      </c>
      <c r="S21" s="92">
        <f>'Capital IQ Sheet-GPC'!AO24</f>
        <v>-0.20100000000000001</v>
      </c>
      <c r="U21" s="56" t="str">
        <f>IFERROR(IF(Q21/'Comp.1'!H23&gt;$AA$7,"NM",IF((Q21/'Comp.1'!H23)&lt;$AC$7,"NM",Q21/'Comp.1'!H23)),"n/a")</f>
        <v>n/a</v>
      </c>
      <c r="V21" s="56" t="str">
        <f>IFERROR(IF(R21/'Comp.1'!I23&gt;$AA$7,"NM",IF((R21/'Comp.1'!I23)&lt;$AC$7,"NM",R21/'Comp.1'!I23)),"n/a")</f>
        <v>n/a</v>
      </c>
      <c r="W21" s="56" t="str">
        <f>IFERROR(IF(S21/'Comp.1'!J23&gt;$AA$7,"NM",IF((S21/'Comp.1'!J23)&lt;$AC$7,"NM",S21/'Comp.1'!J23)),"n/a")</f>
        <v>n/a</v>
      </c>
      <c r="Z21" s="93" t="str">
        <f>IF('MASTER PubCo Inputs'!B39="","",'MASTER PubCo Inputs'!B39)</f>
        <v>AMEX:SYN</v>
      </c>
      <c r="AA21" s="405" t="str">
        <f>'Comp.2'!AI23</f>
        <v>Synthetic Biologics, Inc., a late-stage clinical company, develops therapeutics designed to preserve the microbiome to protect and restore the health of patients. Its lead product candidates are in Phase III development, such as SYN-004 that is designed to protect the gut microbiome from the effects of commonly used intravenous (IV) beta-lactam antibiotics for the prevention of C. difficile infection, overgrowth of pathogenic organisms, and the emergence of antimicrobial resistance; and SYN-010 which is intended to reduce the impact of methane-producing organisms in the gut microbiome to treat an underlying cause of irritable bowel syndrome with constipation. The company’s preclinical products include an oral formulation of the enzyme intestinal alkaline phosphatase to treat local GI disorders and systemic diseases; monoclonal antibody therapies for the prevention and treatment of pertussis; and novel discovery stage biotherapeutics for the treatment of phenylketonuria. Synthetic Biologics, Inc. has collaborations with Intrexon Corporation, The University of Texas at Austin, and Cedars-Sinai Medical Center. The company was formerly known as Adeona Pharmaceuticals, Inc. and changed its name to Synthetic Biologics, Inc. in February 2012. Synthetic Biologics, Inc. was founded in 2001 and is headquartered in Rockville, Maryland.</v>
      </c>
    </row>
    <row r="22" spans="2:27" ht="12.75" customHeight="1">
      <c r="B22" s="405" t="str">
        <f>'Comp.1'!B24</f>
        <v>Nexus BioPharma, Inc.</v>
      </c>
      <c r="D22" s="56">
        <f>'Capital IQ Sheet-GPC'!AF25</f>
        <v>0</v>
      </c>
      <c r="E22" s="56">
        <f>'Capital IQ Sheet-GPC'!AG25</f>
        <v>0</v>
      </c>
      <c r="F22" s="56">
        <f>'Capital IQ Sheet-GPC'!AH25</f>
        <v>0</v>
      </c>
      <c r="G22" s="56">
        <f>'Capital IQ Sheet-GPC'!AI25</f>
        <v>0</v>
      </c>
      <c r="I22" s="92">
        <f>'Capital IQ Sheet-GPC'!AJ25</f>
        <v>0</v>
      </c>
      <c r="J22" s="92">
        <f>'Capital IQ Sheet-GPC'!AK25</f>
        <v>-0.73329</v>
      </c>
      <c r="K22" s="92">
        <f>'Capital IQ Sheet-GPC'!AL25</f>
        <v>-1.4980800000000001</v>
      </c>
      <c r="M22" s="56" t="str">
        <f>IFERROR(IF(I22/'Comp.1'!H24&gt;$AA$7,"NM",IF((I22/'Comp.1'!H24)&lt;$AC$7,"NM",I22/'Comp.1'!H24)),"n/a")</f>
        <v>n/a</v>
      </c>
      <c r="N22" s="56" t="str">
        <f>IFERROR(IF(J22/'Comp.1'!I24&gt;$AA$7,"NM",IF((J22/'Comp.1'!I24)&lt;$AC$7,"NM",J22/'Comp.1'!I24)),"n/a")</f>
        <v>n/a</v>
      </c>
      <c r="O22" s="56" t="str">
        <f>IFERROR(IF(K22/'Comp.1'!J24&gt;$AA$7,"NM",IF((K22/'Comp.1'!J24)&lt;$AC$7,"NM",K22/'Comp.1'!J24)),"n/a")</f>
        <v>n/a</v>
      </c>
      <c r="P22" s="406"/>
      <c r="Q22" s="92">
        <f>'Capital IQ Sheet-GPC'!AM25</f>
        <v>0</v>
      </c>
      <c r="R22" s="92">
        <f>'Capital IQ Sheet-GPC'!AN25</f>
        <v>0</v>
      </c>
      <c r="S22" s="92">
        <f>'Capital IQ Sheet-GPC'!AO25</f>
        <v>-1.6900000000000001E-3</v>
      </c>
      <c r="U22" s="56" t="str">
        <f>IFERROR(IF(Q22/'Comp.1'!H24&gt;$AA$7,"NM",IF((Q22/'Comp.1'!H24)&lt;$AC$7,"NM",Q22/'Comp.1'!H24)),"n/a")</f>
        <v>n/a</v>
      </c>
      <c r="V22" s="56" t="str">
        <f>IFERROR(IF(R22/'Comp.1'!I24&gt;$AA$7,"NM",IF((R22/'Comp.1'!I24)&lt;$AC$7,"NM",R22/'Comp.1'!I24)),"n/a")</f>
        <v>n/a</v>
      </c>
      <c r="W22" s="56" t="str">
        <f>IFERROR(IF(S22/'Comp.1'!J24&gt;$AA$7,"NM",IF((S22/'Comp.1'!J24)&lt;$AC$7,"NM",S22/'Comp.1'!J24)),"n/a")</f>
        <v>n/a</v>
      </c>
      <c r="Z22" s="93" t="str">
        <f>IF('MASTER PubCo Inputs'!B40="","",'MASTER PubCo Inputs'!B40)</f>
        <v>OTCPK:NEXS</v>
      </c>
      <c r="AA22" s="405" t="str">
        <f>'Comp.2'!AI24</f>
        <v>Nexus BioPharma, Inc., a life science company, focuses on the development and commercialization of a pharmaceutical preparation to treat obesity and the symptoms of type 2 diabetes. The company is headquartered in Houston, Texas.</v>
      </c>
    </row>
    <row r="23" spans="2:27" ht="12.75" customHeight="1">
      <c r="B23" s="405" t="str">
        <f>'Comp.1'!B25</f>
        <v>Ritter Pharmaceuticals, Inc.</v>
      </c>
      <c r="D23" s="56">
        <f>'Capital IQ Sheet-GPC'!AF26</f>
        <v>0</v>
      </c>
      <c r="E23" s="56">
        <f>'Capital IQ Sheet-GPC'!AG26</f>
        <v>0</v>
      </c>
      <c r="F23" s="56">
        <f>'Capital IQ Sheet-GPC'!AH26</f>
        <v>0</v>
      </c>
      <c r="G23" s="56">
        <f>'Capital IQ Sheet-GPC'!AI26</f>
        <v>0</v>
      </c>
      <c r="I23" s="92">
        <f>'Capital IQ Sheet-GPC'!AJ26</f>
        <v>-2.18946</v>
      </c>
      <c r="J23" s="92">
        <f>'Capital IQ Sheet-GPC'!AK26</f>
        <v>-2.4008699999999998</v>
      </c>
      <c r="K23" s="92">
        <f>'Capital IQ Sheet-GPC'!AL26</f>
        <v>-0.62397999999999998</v>
      </c>
      <c r="M23" s="56" t="str">
        <f>IFERROR(IF(I23/'Comp.1'!H25&gt;$AA$7,"NM",IF((I23/'Comp.1'!H25)&lt;$AC$7,"NM",I23/'Comp.1'!H25)),"n/a")</f>
        <v>n/a</v>
      </c>
      <c r="N23" s="56" t="str">
        <f>IFERROR(IF(J23/'Comp.1'!I25&gt;$AA$7,"NM",IF((J23/'Comp.1'!I25)&lt;$AC$7,"NM",J23/'Comp.1'!I25)),"n/a")</f>
        <v>n/a</v>
      </c>
      <c r="O23" s="56" t="str">
        <f>IFERROR(IF(K23/'Comp.1'!J25&gt;$AA$7,"NM",IF((K23/'Comp.1'!J25)&lt;$AC$7,"NM",K23/'Comp.1'!J25)),"n/a")</f>
        <v>n/a</v>
      </c>
      <c r="P23" s="406"/>
      <c r="Q23" s="92">
        <f>'Capital IQ Sheet-GPC'!AM26</f>
        <v>-2.443E-2</v>
      </c>
      <c r="R23" s="92">
        <f>'Capital IQ Sheet-GPC'!AN26</f>
        <v>-6.3000000000000003E-4</v>
      </c>
      <c r="S23" s="92">
        <f>'Capital IQ Sheet-GPC'!AO26</f>
        <v>-7.6800000000000002E-3</v>
      </c>
      <c r="U23" s="56" t="str">
        <f>IFERROR(IF(Q23/'Comp.1'!H25&gt;$AA$7,"NM",IF((Q23/'Comp.1'!H25)&lt;$AC$7,"NM",Q23/'Comp.1'!H25)),"n/a")</f>
        <v>n/a</v>
      </c>
      <c r="V23" s="56" t="str">
        <f>IFERROR(IF(R23/'Comp.1'!I25&gt;$AA$7,"NM",IF((R23/'Comp.1'!I25)&lt;$AC$7,"NM",R23/'Comp.1'!I25)),"n/a")</f>
        <v>n/a</v>
      </c>
      <c r="W23" s="56" t="str">
        <f>IFERROR(IF(S23/'Comp.1'!J25&gt;$AA$7,"NM",IF((S23/'Comp.1'!J25)&lt;$AC$7,"NM",S23/'Comp.1'!J25)),"n/a")</f>
        <v>n/a</v>
      </c>
      <c r="Z23" s="93" t="str">
        <f>IF('MASTER PubCo Inputs'!B41="","",'MASTER PubCo Inputs'!B41)</f>
        <v>NasdaqCM:RTTR</v>
      </c>
      <c r="AA23" s="405" t="str">
        <f>'Comp.2'!AI25</f>
        <v>Ritter Pharmaceuticals, Inc. develops and sells novel therapeutic products that modulate the human gut microbiome to treat gastrointestinal diseases. Its lead product candidate is RP-G28, a novel microbiome modulator, which has completed Phase 2b clinical trial for the reduction of symptoms associated with lactose intolerance. The company’s product, RP-G28 is designed to stimulate the growth of lactose-metabolizing bacteria in the colon, thereby adapting the gut microbiome to assist in digesting the lactose that reaches the large intestine. The company was formerly known as Ritter Natural Sciences, LLC and changed its name to Ritter Pharmaceuticals, Inc. in September 2008. Ritter Pharmaceuticals, Inc. was founded in 2004 and is headquartered in Los Angeles, California.</v>
      </c>
    </row>
    <row r="24" spans="2:27" ht="12.75" customHeight="1">
      <c r="B24" s="405">
        <f>'Comp.1'!B26</f>
        <v>0</v>
      </c>
      <c r="D24" s="56" t="str">
        <f>'Capital IQ Sheet-GPC'!AF27</f>
        <v>n/a</v>
      </c>
      <c r="E24" s="56" t="str">
        <f>'Capital IQ Sheet-GPC'!AG27</f>
        <v>n/a</v>
      </c>
      <c r="F24" s="56" t="str">
        <f>'Capital IQ Sheet-GPC'!AH27</f>
        <v>n/a</v>
      </c>
      <c r="G24" s="56" t="str">
        <f>'Capital IQ Sheet-GPC'!AI27</f>
        <v>n/a</v>
      </c>
      <c r="I24" s="92" t="str">
        <f>'Capital IQ Sheet-GPC'!AJ27</f>
        <v>(Invalid Identifier)</v>
      </c>
      <c r="J24" s="92" t="str">
        <f>'Capital IQ Sheet-GPC'!AK27</f>
        <v>(Invalid Identifier)</v>
      </c>
      <c r="K24" s="92" t="str">
        <f>'Capital IQ Sheet-GPC'!AL27</f>
        <v>(Invalid Identifier)</v>
      </c>
      <c r="M24" s="56" t="str">
        <f>IFERROR(IF(I24/'Comp.1'!H26&gt;$AA$7,"NM",IF((I24/'Comp.1'!H26)&lt;$AC$7,"NM",I24/'Comp.1'!H26)),"n/a")</f>
        <v>n/a</v>
      </c>
      <c r="N24" s="56" t="str">
        <f>IFERROR(IF(J24/'Comp.1'!I26&gt;$AA$7,"NM",IF((J24/'Comp.1'!I26)&lt;$AC$7,"NM",J24/'Comp.1'!I26)),"n/a")</f>
        <v>n/a</v>
      </c>
      <c r="O24" s="56" t="str">
        <f>IFERROR(IF(K24/'Comp.1'!J26&gt;$AA$7,"NM",IF((K24/'Comp.1'!J26)&lt;$AC$7,"NM",K24/'Comp.1'!J26)),"n/a")</f>
        <v>n/a</v>
      </c>
      <c r="P24" s="406"/>
      <c r="Q24" s="92" t="str">
        <f>'Capital IQ Sheet-GPC'!AM27</f>
        <v>(Invalid Identifier)</v>
      </c>
      <c r="R24" s="92" t="str">
        <f>'Capital IQ Sheet-GPC'!AN27</f>
        <v>(Invalid Identifier)</v>
      </c>
      <c r="S24" s="92" t="str">
        <f>'Capital IQ Sheet-GPC'!AO27</f>
        <v>(Invalid Identifier)</v>
      </c>
      <c r="U24" s="56" t="str">
        <f>IFERROR(IF(Q24/'Comp.1'!H26&gt;$AA$7,"NM",IF((Q24/'Comp.1'!H26)&lt;$AC$7,"NM",Q24/'Comp.1'!H26)),"n/a")</f>
        <v>n/a</v>
      </c>
      <c r="V24" s="56" t="str">
        <f>IFERROR(IF(R24/'Comp.1'!I26&gt;$AA$7,"NM",IF((R24/'Comp.1'!I26)&lt;$AC$7,"NM",R24/'Comp.1'!I26)),"n/a")</f>
        <v>n/a</v>
      </c>
      <c r="W24" s="56" t="str">
        <f>IFERROR(IF(S24/'Comp.1'!J26&gt;$AA$7,"NM",IF((S24/'Comp.1'!J26)&lt;$AC$7,"NM",S24/'Comp.1'!J26)),"n/a")</f>
        <v>n/a</v>
      </c>
      <c r="Z24" s="93" t="str">
        <f>IF('MASTER PubCo Inputs'!B42="","",'MASTER PubCo Inputs'!B42)</f>
        <v>(Invalid Identifier)</v>
      </c>
      <c r="AA24" s="405">
        <f>'Comp.2'!AI26</f>
        <v>0</v>
      </c>
    </row>
    <row r="25" spans="2:27" ht="12.75" customHeight="1">
      <c r="B25" s="405">
        <f>'Comp.1'!B27</f>
        <v>0</v>
      </c>
      <c r="D25" s="56" t="str">
        <f>'Capital IQ Sheet-GPC'!AF28</f>
        <v>n/a</v>
      </c>
      <c r="E25" s="56" t="str">
        <f>'Capital IQ Sheet-GPC'!AG28</f>
        <v>n/a</v>
      </c>
      <c r="F25" s="56" t="str">
        <f>'Capital IQ Sheet-GPC'!AH28</f>
        <v>n/a</v>
      </c>
      <c r="G25" s="56" t="str">
        <f>'Capital IQ Sheet-GPC'!AI28</f>
        <v>n/a</v>
      </c>
      <c r="I25" s="92" t="str">
        <f>'Capital IQ Sheet-GPC'!AJ28</f>
        <v>(Invalid Identifier)</v>
      </c>
      <c r="J25" s="92" t="str">
        <f>'Capital IQ Sheet-GPC'!AK28</f>
        <v>(Invalid Identifier)</v>
      </c>
      <c r="K25" s="92" t="str">
        <f>'Capital IQ Sheet-GPC'!AL28</f>
        <v>(Invalid Identifier)</v>
      </c>
      <c r="M25" s="56" t="str">
        <f>IFERROR(IF(I25/'Comp.1'!H27&gt;$AA$7,"NM",IF((I25/'Comp.1'!H27)&lt;$AC$7,"NM",I25/'Comp.1'!H27)),"n/a")</f>
        <v>n/a</v>
      </c>
      <c r="N25" s="56" t="str">
        <f>IFERROR(IF(J25/'Comp.1'!I27&gt;$AA$7,"NM",IF((J25/'Comp.1'!I27)&lt;$AC$7,"NM",J25/'Comp.1'!I27)),"n/a")</f>
        <v>n/a</v>
      </c>
      <c r="O25" s="56" t="str">
        <f>IFERROR(IF(K25/'Comp.1'!J27&gt;$AA$7,"NM",IF((K25/'Comp.1'!J27)&lt;$AC$7,"NM",K25/'Comp.1'!J27)),"n/a")</f>
        <v>n/a</v>
      </c>
      <c r="P25" s="406"/>
      <c r="Q25" s="92" t="str">
        <f>'Capital IQ Sheet-GPC'!AM28</f>
        <v>(Invalid Identifier)</v>
      </c>
      <c r="R25" s="92" t="str">
        <f>'Capital IQ Sheet-GPC'!AN28</f>
        <v>(Invalid Identifier)</v>
      </c>
      <c r="S25" s="92" t="str">
        <f>'Capital IQ Sheet-GPC'!AO28</f>
        <v>(Invalid Identifier)</v>
      </c>
      <c r="U25" s="56" t="str">
        <f>IFERROR(IF(Q25/'Comp.1'!H27&gt;$AA$7,"NM",IF((Q25/'Comp.1'!H27)&lt;$AC$7,"NM",Q25/'Comp.1'!H27)),"n/a")</f>
        <v>n/a</v>
      </c>
      <c r="V25" s="56" t="str">
        <f>IFERROR(IF(R25/'Comp.1'!I27&gt;$AA$7,"NM",IF((R25/'Comp.1'!I27)&lt;$AC$7,"NM",R25/'Comp.1'!I27)),"n/a")</f>
        <v>n/a</v>
      </c>
      <c r="W25" s="56" t="str">
        <f>IFERROR(IF(S25/'Comp.1'!J27&gt;$AA$7,"NM",IF((S25/'Comp.1'!J27)&lt;$AC$7,"NM",S25/'Comp.1'!J27)),"n/a")</f>
        <v>n/a</v>
      </c>
      <c r="Z25" s="93" t="str">
        <f>IF('MASTER PubCo Inputs'!B43="","",'MASTER PubCo Inputs'!B43)</f>
        <v>(Invalid Identifier)</v>
      </c>
      <c r="AA25" s="405">
        <f>'Comp.2'!AI27</f>
        <v>0</v>
      </c>
    </row>
    <row r="26" spans="2:27" ht="12.75" customHeight="1">
      <c r="B26" s="405">
        <f>'Comp.1'!B28</f>
        <v>0</v>
      </c>
      <c r="D26" s="56" t="str">
        <f>'Capital IQ Sheet-GPC'!AF29</f>
        <v>n/a</v>
      </c>
      <c r="E26" s="56" t="str">
        <f>'Capital IQ Sheet-GPC'!AG29</f>
        <v>n/a</v>
      </c>
      <c r="F26" s="56" t="str">
        <f>'Capital IQ Sheet-GPC'!AH29</f>
        <v>n/a</v>
      </c>
      <c r="G26" s="56" t="str">
        <f>'Capital IQ Sheet-GPC'!AI29</f>
        <v>n/a</v>
      </c>
      <c r="I26" s="92" t="str">
        <f>'Capital IQ Sheet-GPC'!AJ29</f>
        <v>(Invalid Identifier)</v>
      </c>
      <c r="J26" s="92" t="str">
        <f>'Capital IQ Sheet-GPC'!AK29</f>
        <v>(Invalid Identifier)</v>
      </c>
      <c r="K26" s="92" t="str">
        <f>'Capital IQ Sheet-GPC'!AL29</f>
        <v>(Invalid Identifier)</v>
      </c>
      <c r="M26" s="56" t="str">
        <f>IFERROR(IF(I26/'Comp.1'!H28&gt;$AA$7,"NM",IF((I26/'Comp.1'!H28)&lt;$AC$7,"NM",I26/'Comp.1'!H28)),"n/a")</f>
        <v>n/a</v>
      </c>
      <c r="N26" s="56" t="str">
        <f>IFERROR(IF(J26/'Comp.1'!I28&gt;$AA$7,"NM",IF((J26/'Comp.1'!I28)&lt;$AC$7,"NM",J26/'Comp.1'!I28)),"n/a")</f>
        <v>n/a</v>
      </c>
      <c r="O26" s="56" t="str">
        <f>IFERROR(IF(K26/'Comp.1'!J28&gt;$AA$7,"NM",IF((K26/'Comp.1'!J28)&lt;$AC$7,"NM",K26/'Comp.1'!J28)),"n/a")</f>
        <v>n/a</v>
      </c>
      <c r="P26" s="406"/>
      <c r="Q26" s="92" t="str">
        <f>'Capital IQ Sheet-GPC'!AM29</f>
        <v>(Invalid Identifier)</v>
      </c>
      <c r="R26" s="92" t="str">
        <f>'Capital IQ Sheet-GPC'!AN29</f>
        <v>(Invalid Identifier)</v>
      </c>
      <c r="S26" s="92" t="str">
        <f>'Capital IQ Sheet-GPC'!AO29</f>
        <v>(Invalid Identifier)</v>
      </c>
      <c r="U26" s="56" t="str">
        <f>IFERROR(IF(Q26/'Comp.1'!H28&gt;$AA$7,"NM",IF((Q26/'Comp.1'!H28)&lt;$AC$7,"NM",Q26/'Comp.1'!H28)),"n/a")</f>
        <v>n/a</v>
      </c>
      <c r="V26" s="56" t="str">
        <f>IFERROR(IF(R26/'Comp.1'!I28&gt;$AA$7,"NM",IF((R26/'Comp.1'!I28)&lt;$AC$7,"NM",R26/'Comp.1'!I28)),"n/a")</f>
        <v>n/a</v>
      </c>
      <c r="W26" s="56" t="str">
        <f>IFERROR(IF(S26/'Comp.1'!J28&gt;$AA$7,"NM",IF((S26/'Comp.1'!J28)&lt;$AC$7,"NM",S26/'Comp.1'!J28)),"n/a")</f>
        <v>n/a</v>
      </c>
      <c r="Z26" s="93" t="str">
        <f>IF('MASTER PubCo Inputs'!B44="","",'MASTER PubCo Inputs'!B44)</f>
        <v>(Invalid Identifier)</v>
      </c>
      <c r="AA26" s="405">
        <f>'Comp.2'!AI28</f>
        <v>0</v>
      </c>
    </row>
    <row r="27" spans="2:27" ht="12.75" customHeight="1">
      <c r="B27" s="405">
        <f>'Comp.1'!B29</f>
        <v>0</v>
      </c>
      <c r="D27" s="56" t="str">
        <f>'Capital IQ Sheet-GPC'!AF30</f>
        <v>n/a</v>
      </c>
      <c r="E27" s="56" t="str">
        <f>'Capital IQ Sheet-GPC'!AG30</f>
        <v>n/a</v>
      </c>
      <c r="F27" s="56" t="str">
        <f>'Capital IQ Sheet-GPC'!AH30</f>
        <v>n/a</v>
      </c>
      <c r="G27" s="56" t="str">
        <f>'Capital IQ Sheet-GPC'!AI30</f>
        <v>n/a</v>
      </c>
      <c r="I27" s="92" t="str">
        <f>'Capital IQ Sheet-GPC'!AJ30</f>
        <v>(Invalid Identifier)</v>
      </c>
      <c r="J27" s="92" t="str">
        <f>'Capital IQ Sheet-GPC'!AK30</f>
        <v>(Invalid Identifier)</v>
      </c>
      <c r="K27" s="92" t="str">
        <f>'Capital IQ Sheet-GPC'!AL30</f>
        <v>(Invalid Identifier)</v>
      </c>
      <c r="M27" s="56" t="str">
        <f>IFERROR(IF(I27/'Comp.1'!H29&gt;$AA$7,"NM",IF((I27/'Comp.1'!H29)&lt;$AC$7,"NM",I27/'Comp.1'!H29)),"n/a")</f>
        <v>n/a</v>
      </c>
      <c r="N27" s="56" t="str">
        <f>IFERROR(IF(J27/'Comp.1'!I29&gt;$AA$7,"NM",IF((J27/'Comp.1'!I29)&lt;$AC$7,"NM",J27/'Comp.1'!I29)),"n/a")</f>
        <v>n/a</v>
      </c>
      <c r="O27" s="56" t="str">
        <f>IFERROR(IF(K27/'Comp.1'!J29&gt;$AA$7,"NM",IF((K27/'Comp.1'!J29)&lt;$AC$7,"NM",K27/'Comp.1'!J29)),"n/a")</f>
        <v>n/a</v>
      </c>
      <c r="P27" s="406"/>
      <c r="Q27" s="92" t="str">
        <f>'Capital IQ Sheet-GPC'!AM30</f>
        <v>(Invalid Identifier)</v>
      </c>
      <c r="R27" s="92" t="str">
        <f>'Capital IQ Sheet-GPC'!AN30</f>
        <v>(Invalid Identifier)</v>
      </c>
      <c r="S27" s="92" t="str">
        <f>'Capital IQ Sheet-GPC'!AO30</f>
        <v>(Invalid Identifier)</v>
      </c>
      <c r="U27" s="56" t="str">
        <f>IFERROR(IF(Q27/'Comp.1'!H29&gt;$AA$7,"NM",IF((Q27/'Comp.1'!H29)&lt;$AC$7,"NM",Q27/'Comp.1'!H29)),"n/a")</f>
        <v>n/a</v>
      </c>
      <c r="V27" s="56" t="str">
        <f>IFERROR(IF(R27/'Comp.1'!I29&gt;$AA$7,"NM",IF((R27/'Comp.1'!I29)&lt;$AC$7,"NM",R27/'Comp.1'!I29)),"n/a")</f>
        <v>n/a</v>
      </c>
      <c r="W27" s="56" t="str">
        <f>IFERROR(IF(S27/'Comp.1'!J29&gt;$AA$7,"NM",IF((S27/'Comp.1'!J29)&lt;$AC$7,"NM",S27/'Comp.1'!J29)),"n/a")</f>
        <v>n/a</v>
      </c>
      <c r="Z27" s="93" t="str">
        <f>IF('MASTER PubCo Inputs'!B45="","",'MASTER PubCo Inputs'!B45)</f>
        <v>(Invalid Identifier)</v>
      </c>
      <c r="AA27" s="405">
        <f>'Comp.2'!AI29</f>
        <v>0</v>
      </c>
    </row>
    <row r="28" spans="2:27" ht="12.75" customHeight="1">
      <c r="B28" s="405">
        <f>'Comp.1'!B30</f>
        <v>0</v>
      </c>
      <c r="D28" s="56" t="str">
        <f>'Capital IQ Sheet-GPC'!AF31</f>
        <v>n/a</v>
      </c>
      <c r="E28" s="56" t="str">
        <f>'Capital IQ Sheet-GPC'!AG31</f>
        <v>n/a</v>
      </c>
      <c r="F28" s="56" t="str">
        <f>'Capital IQ Sheet-GPC'!AH31</f>
        <v>n/a</v>
      </c>
      <c r="G28" s="56" t="str">
        <f>'Capital IQ Sheet-GPC'!AI31</f>
        <v>n/a</v>
      </c>
      <c r="I28" s="92" t="str">
        <f>'Capital IQ Sheet-GPC'!AJ31</f>
        <v>(Invalid Identifier)</v>
      </c>
      <c r="J28" s="92" t="str">
        <f>'Capital IQ Sheet-GPC'!AK31</f>
        <v>(Invalid Identifier)</v>
      </c>
      <c r="K28" s="92" t="str">
        <f>'Capital IQ Sheet-GPC'!AL31</f>
        <v>(Invalid Identifier)</v>
      </c>
      <c r="M28" s="56" t="str">
        <f>IFERROR(IF(I28/'Comp.1'!H30&gt;$AA$7,"NM",IF((I28/'Comp.1'!H30)&lt;$AC$7,"NM",I28/'Comp.1'!H30)),"n/a")</f>
        <v>n/a</v>
      </c>
      <c r="N28" s="56" t="str">
        <f>IFERROR(IF(J28/'Comp.1'!I30&gt;$AA$7,"NM",IF((J28/'Comp.1'!I30)&lt;$AC$7,"NM",J28/'Comp.1'!I30)),"n/a")</f>
        <v>n/a</v>
      </c>
      <c r="O28" s="56" t="str">
        <f>IFERROR(IF(K28/'Comp.1'!J30&gt;$AA$7,"NM",IF((K28/'Comp.1'!J30)&lt;$AC$7,"NM",K28/'Comp.1'!J30)),"n/a")</f>
        <v>n/a</v>
      </c>
      <c r="P28" s="406"/>
      <c r="Q28" s="92" t="str">
        <f>'Capital IQ Sheet-GPC'!AM31</f>
        <v>(Invalid Identifier)</v>
      </c>
      <c r="R28" s="92" t="str">
        <f>'Capital IQ Sheet-GPC'!AN31</f>
        <v>(Invalid Identifier)</v>
      </c>
      <c r="S28" s="92" t="str">
        <f>'Capital IQ Sheet-GPC'!AO31</f>
        <v>(Invalid Identifier)</v>
      </c>
      <c r="U28" s="56" t="str">
        <f>IFERROR(IF(Q28/'Comp.1'!H30&gt;$AA$7,"NM",IF((Q28/'Comp.1'!H30)&lt;$AC$7,"NM",Q28/'Comp.1'!H30)),"n/a")</f>
        <v>n/a</v>
      </c>
      <c r="V28" s="56" t="str">
        <f>IFERROR(IF(R28/'Comp.1'!I30&gt;$AA$7,"NM",IF((R28/'Comp.1'!I30)&lt;$AC$7,"NM",R28/'Comp.1'!I30)),"n/a")</f>
        <v>n/a</v>
      </c>
      <c r="W28" s="56" t="str">
        <f>IFERROR(IF(S28/'Comp.1'!J30&gt;$AA$7,"NM",IF((S28/'Comp.1'!J30)&lt;$AC$7,"NM",S28/'Comp.1'!J30)),"n/a")</f>
        <v>n/a</v>
      </c>
      <c r="Z28" s="93" t="str">
        <f>IF('MASTER PubCo Inputs'!B46="","",'MASTER PubCo Inputs'!B46)</f>
        <v>(Invalid Identifier)</v>
      </c>
      <c r="AA28" s="405">
        <f>'Comp.2'!AI30</f>
        <v>0</v>
      </c>
    </row>
    <row r="29" spans="2:27" ht="12.75" customHeight="1">
      <c r="B29" s="405">
        <f>'Comp.1'!B31</f>
        <v>0</v>
      </c>
      <c r="D29" s="56" t="str">
        <f>'Capital IQ Sheet-GPC'!AF32</f>
        <v>n/a</v>
      </c>
      <c r="E29" s="56" t="str">
        <f>'Capital IQ Sheet-GPC'!AG32</f>
        <v>n/a</v>
      </c>
      <c r="F29" s="56" t="str">
        <f>'Capital IQ Sheet-GPC'!AH32</f>
        <v>n/a</v>
      </c>
      <c r="G29" s="56" t="str">
        <f>'Capital IQ Sheet-GPC'!AI32</f>
        <v>n/a</v>
      </c>
      <c r="I29" s="92" t="str">
        <f>'Capital IQ Sheet-GPC'!AJ32</f>
        <v>(Invalid Identifier)</v>
      </c>
      <c r="J29" s="92" t="str">
        <f>'Capital IQ Sheet-GPC'!AK32</f>
        <v>(Invalid Identifier)</v>
      </c>
      <c r="K29" s="92" t="str">
        <f>'Capital IQ Sheet-GPC'!AL32</f>
        <v>(Invalid Identifier)</v>
      </c>
      <c r="M29" s="56" t="str">
        <f>IFERROR(IF(I29/'Comp.1'!H31&gt;$AA$7,"NM",IF((I29/'Comp.1'!H31)&lt;$AC$7,"NM",I29/'Comp.1'!H31)),"n/a")</f>
        <v>n/a</v>
      </c>
      <c r="N29" s="56" t="str">
        <f>IFERROR(IF(J29/'Comp.1'!I31&gt;$AA$7,"NM",IF((J29/'Comp.1'!I31)&lt;$AC$7,"NM",J29/'Comp.1'!I31)),"n/a")</f>
        <v>n/a</v>
      </c>
      <c r="O29" s="56" t="str">
        <f>IFERROR(IF(K29/'Comp.1'!J31&gt;$AA$7,"NM",IF((K29/'Comp.1'!J31)&lt;$AC$7,"NM",K29/'Comp.1'!J31)),"n/a")</f>
        <v>n/a</v>
      </c>
      <c r="P29" s="406"/>
      <c r="Q29" s="92" t="str">
        <f>'Capital IQ Sheet-GPC'!AM32</f>
        <v>(Invalid Identifier)</v>
      </c>
      <c r="R29" s="92" t="str">
        <f>'Capital IQ Sheet-GPC'!AN32</f>
        <v>(Invalid Identifier)</v>
      </c>
      <c r="S29" s="92" t="str">
        <f>'Capital IQ Sheet-GPC'!AO32</f>
        <v>(Invalid Identifier)</v>
      </c>
      <c r="U29" s="56" t="str">
        <f>IFERROR(IF(Q29/'Comp.1'!H31&gt;$AA$7,"NM",IF((Q29/'Comp.1'!H31)&lt;$AC$7,"NM",Q29/'Comp.1'!H31)),"n/a")</f>
        <v>n/a</v>
      </c>
      <c r="V29" s="56" t="str">
        <f>IFERROR(IF(R29/'Comp.1'!I31&gt;$AA$7,"NM",IF((R29/'Comp.1'!I31)&lt;$AC$7,"NM",R29/'Comp.1'!I31)),"n/a")</f>
        <v>n/a</v>
      </c>
      <c r="W29" s="56" t="str">
        <f>IFERROR(IF(S29/'Comp.1'!J31&gt;$AA$7,"NM",IF((S29/'Comp.1'!J31)&lt;$AC$7,"NM",S29/'Comp.1'!J31)),"n/a")</f>
        <v>n/a</v>
      </c>
      <c r="Z29" s="93" t="str">
        <f>IF('MASTER PubCo Inputs'!B47="","",'MASTER PubCo Inputs'!B47)</f>
        <v>(Invalid Identifier)</v>
      </c>
      <c r="AA29" s="405">
        <f>'Comp.2'!AI31</f>
        <v>0</v>
      </c>
    </row>
    <row r="30" spans="2:27" ht="12.75" customHeight="1">
      <c r="B30" s="405">
        <f>'Comp.1'!B32</f>
        <v>0</v>
      </c>
      <c r="D30" s="56" t="str">
        <f>'Capital IQ Sheet-GPC'!AF33</f>
        <v>n/a</v>
      </c>
      <c r="E30" s="56" t="str">
        <f>'Capital IQ Sheet-GPC'!AG33</f>
        <v>n/a</v>
      </c>
      <c r="F30" s="56" t="str">
        <f>'Capital IQ Sheet-GPC'!AH33</f>
        <v>n/a</v>
      </c>
      <c r="G30" s="56" t="str">
        <f>'Capital IQ Sheet-GPC'!AI33</f>
        <v>n/a</v>
      </c>
      <c r="I30" s="92" t="str">
        <f>'Capital IQ Sheet-GPC'!AJ33</f>
        <v>(Invalid Identifier)</v>
      </c>
      <c r="J30" s="92" t="str">
        <f>'Capital IQ Sheet-GPC'!AK33</f>
        <v>(Invalid Identifier)</v>
      </c>
      <c r="K30" s="92" t="str">
        <f>'Capital IQ Sheet-GPC'!AL33</f>
        <v>(Invalid Identifier)</v>
      </c>
      <c r="M30" s="56" t="str">
        <f>IFERROR(IF(I30/'Comp.1'!H32&gt;$AA$7,"NM",IF((I30/'Comp.1'!H32)&lt;$AC$7,"NM",I30/'Comp.1'!H32)),"n/a")</f>
        <v>n/a</v>
      </c>
      <c r="N30" s="56" t="str">
        <f>IFERROR(IF(J30/'Comp.1'!I32&gt;$AA$7,"NM",IF((J30/'Comp.1'!I32)&lt;$AC$7,"NM",J30/'Comp.1'!I32)),"n/a")</f>
        <v>n/a</v>
      </c>
      <c r="O30" s="56" t="str">
        <f>IFERROR(IF(K30/'Comp.1'!J32&gt;$AA$7,"NM",IF((K30/'Comp.1'!J32)&lt;$AC$7,"NM",K30/'Comp.1'!J32)),"n/a")</f>
        <v>n/a</v>
      </c>
      <c r="P30" s="406"/>
      <c r="Q30" s="92" t="str">
        <f>'Capital IQ Sheet-GPC'!AM33</f>
        <v>(Invalid Identifier)</v>
      </c>
      <c r="R30" s="92" t="str">
        <f>'Capital IQ Sheet-GPC'!AN33</f>
        <v>(Invalid Identifier)</v>
      </c>
      <c r="S30" s="92" t="str">
        <f>'Capital IQ Sheet-GPC'!AO33</f>
        <v>(Invalid Identifier)</v>
      </c>
      <c r="U30" s="56" t="str">
        <f>IFERROR(IF(Q30/'Comp.1'!H32&gt;$AA$7,"NM",IF((Q30/'Comp.1'!H32)&lt;$AC$7,"NM",Q30/'Comp.1'!H32)),"n/a")</f>
        <v>n/a</v>
      </c>
      <c r="V30" s="56" t="str">
        <f>IFERROR(IF(R30/'Comp.1'!I32&gt;$AA$7,"NM",IF((R30/'Comp.1'!I32)&lt;$AC$7,"NM",R30/'Comp.1'!I32)),"n/a")</f>
        <v>n/a</v>
      </c>
      <c r="W30" s="56" t="str">
        <f>IFERROR(IF(S30/'Comp.1'!J32&gt;$AA$7,"NM",IF((S30/'Comp.1'!J32)&lt;$AC$7,"NM",S30/'Comp.1'!J32)),"n/a")</f>
        <v>n/a</v>
      </c>
      <c r="Z30" s="93" t="str">
        <f>IF('MASTER PubCo Inputs'!B48="","",'MASTER PubCo Inputs'!B48)</f>
        <v>(Invalid Identifier)</v>
      </c>
      <c r="AA30" s="405">
        <f>'Comp.2'!AI32</f>
        <v>0</v>
      </c>
    </row>
    <row r="31" spans="2:27" ht="12.75" customHeight="1">
      <c r="B31" s="405">
        <f>'Comp.1'!B33</f>
        <v>0</v>
      </c>
      <c r="D31" s="56" t="str">
        <f>'Capital IQ Sheet-GPC'!AF34</f>
        <v>n/a</v>
      </c>
      <c r="E31" s="56" t="str">
        <f>'Capital IQ Sheet-GPC'!AG34</f>
        <v>n/a</v>
      </c>
      <c r="F31" s="56" t="str">
        <f>'Capital IQ Sheet-GPC'!AH34</f>
        <v>n/a</v>
      </c>
      <c r="G31" s="56" t="str">
        <f>'Capital IQ Sheet-GPC'!AI34</f>
        <v>n/a</v>
      </c>
      <c r="I31" s="92" t="str">
        <f>'Capital IQ Sheet-GPC'!AJ34</f>
        <v>(Invalid Identifier)</v>
      </c>
      <c r="J31" s="92" t="str">
        <f>'Capital IQ Sheet-GPC'!AK34</f>
        <v>(Invalid Identifier)</v>
      </c>
      <c r="K31" s="92" t="str">
        <f>'Capital IQ Sheet-GPC'!AL34</f>
        <v>(Invalid Identifier)</v>
      </c>
      <c r="M31" s="56" t="str">
        <f>IFERROR(IF(I31/'Comp.1'!H33&gt;$AA$7,"NM",IF((I31/'Comp.1'!H33)&lt;$AC$7,"NM",I31/'Comp.1'!H33)),"n/a")</f>
        <v>n/a</v>
      </c>
      <c r="N31" s="56" t="str">
        <f>IFERROR(IF(J31/'Comp.1'!I33&gt;$AA$7,"NM",IF((J31/'Comp.1'!I33)&lt;$AC$7,"NM",J31/'Comp.1'!I33)),"n/a")</f>
        <v>n/a</v>
      </c>
      <c r="O31" s="56" t="str">
        <f>IFERROR(IF(K31/'Comp.1'!J33&gt;$AA$7,"NM",IF((K31/'Comp.1'!J33)&lt;$AC$7,"NM",K31/'Comp.1'!J33)),"n/a")</f>
        <v>n/a</v>
      </c>
      <c r="P31" s="406"/>
      <c r="Q31" s="92" t="str">
        <f>'Capital IQ Sheet-GPC'!AM34</f>
        <v>(Invalid Identifier)</v>
      </c>
      <c r="R31" s="92" t="str">
        <f>'Capital IQ Sheet-GPC'!AN34</f>
        <v>(Invalid Identifier)</v>
      </c>
      <c r="S31" s="92" t="str">
        <f>'Capital IQ Sheet-GPC'!AO34</f>
        <v>(Invalid Identifier)</v>
      </c>
      <c r="U31" s="56" t="str">
        <f>IFERROR(IF(Q31/'Comp.1'!H33&gt;$AA$7,"NM",IF((Q31/'Comp.1'!H33)&lt;$AC$7,"NM",Q31/'Comp.1'!H33)),"n/a")</f>
        <v>n/a</v>
      </c>
      <c r="V31" s="56" t="str">
        <f>IFERROR(IF(R31/'Comp.1'!I33&gt;$AA$7,"NM",IF((R31/'Comp.1'!I33)&lt;$AC$7,"NM",R31/'Comp.1'!I33)),"n/a")</f>
        <v>n/a</v>
      </c>
      <c r="W31" s="56" t="str">
        <f>IFERROR(IF(S31/'Comp.1'!J33&gt;$AA$7,"NM",IF((S31/'Comp.1'!J33)&lt;$AC$7,"NM",S31/'Comp.1'!J33)),"n/a")</f>
        <v>n/a</v>
      </c>
      <c r="Z31" s="93" t="str">
        <f>IF('MASTER PubCo Inputs'!B49="","",'MASTER PubCo Inputs'!B49)</f>
        <v>(Invalid Identifier)</v>
      </c>
      <c r="AA31" s="405">
        <f>'Comp.2'!AI33</f>
        <v>0</v>
      </c>
    </row>
    <row r="32" spans="2:27" ht="12.75" customHeight="1">
      <c r="B32" s="405">
        <f>'Comp.1'!B34</f>
        <v>0</v>
      </c>
      <c r="D32" s="56" t="str">
        <f>'Capital IQ Sheet-GPC'!AF35</f>
        <v>n/a</v>
      </c>
      <c r="E32" s="56" t="str">
        <f>'Capital IQ Sheet-GPC'!AG35</f>
        <v>n/a</v>
      </c>
      <c r="F32" s="56" t="str">
        <f>'Capital IQ Sheet-GPC'!AH35</f>
        <v>n/a</v>
      </c>
      <c r="G32" s="56" t="str">
        <f>'Capital IQ Sheet-GPC'!AI35</f>
        <v>n/a</v>
      </c>
      <c r="I32" s="92" t="str">
        <f>'Capital IQ Sheet-GPC'!AJ35</f>
        <v>(Invalid Identifier)</v>
      </c>
      <c r="J32" s="92" t="str">
        <f>'Capital IQ Sheet-GPC'!AK35</f>
        <v>(Invalid Identifier)</v>
      </c>
      <c r="K32" s="92" t="str">
        <f>'Capital IQ Sheet-GPC'!AL35</f>
        <v>(Invalid Identifier)</v>
      </c>
      <c r="M32" s="56" t="str">
        <f>IFERROR(IF(I32/'Comp.1'!H34&gt;$AA$7,"NM",IF((I32/'Comp.1'!H34)&lt;$AC$7,"NM",I32/'Comp.1'!H34)),"n/a")</f>
        <v>n/a</v>
      </c>
      <c r="N32" s="56" t="str">
        <f>IFERROR(IF(J32/'Comp.1'!I34&gt;$AA$7,"NM",IF((J32/'Comp.1'!I34)&lt;$AC$7,"NM",J32/'Comp.1'!I34)),"n/a")</f>
        <v>n/a</v>
      </c>
      <c r="O32" s="56" t="str">
        <f>IFERROR(IF(K32/'Comp.1'!J34&gt;$AA$7,"NM",IF((K32/'Comp.1'!J34)&lt;$AC$7,"NM",K32/'Comp.1'!J34)),"n/a")</f>
        <v>n/a</v>
      </c>
      <c r="P32" s="406"/>
      <c r="Q32" s="92" t="str">
        <f>'Capital IQ Sheet-GPC'!AM35</f>
        <v>(Invalid Identifier)</v>
      </c>
      <c r="R32" s="92" t="str">
        <f>'Capital IQ Sheet-GPC'!AN35</f>
        <v>(Invalid Identifier)</v>
      </c>
      <c r="S32" s="92" t="str">
        <f>'Capital IQ Sheet-GPC'!AO35</f>
        <v>(Invalid Identifier)</v>
      </c>
      <c r="U32" s="56" t="str">
        <f>IFERROR(IF(Q32/'Comp.1'!H34&gt;$AA$7,"NM",IF((Q32/'Comp.1'!H34)&lt;$AC$7,"NM",Q32/'Comp.1'!H34)),"n/a")</f>
        <v>n/a</v>
      </c>
      <c r="V32" s="56" t="str">
        <f>IFERROR(IF(R32/'Comp.1'!I34&gt;$AA$7,"NM",IF((R32/'Comp.1'!I34)&lt;$AC$7,"NM",R32/'Comp.1'!I34)),"n/a")</f>
        <v>n/a</v>
      </c>
      <c r="W32" s="56" t="str">
        <f>IFERROR(IF(S32/'Comp.1'!J34&gt;$AA$7,"NM",IF((S32/'Comp.1'!J34)&lt;$AC$7,"NM",S32/'Comp.1'!J34)),"n/a")</f>
        <v>n/a</v>
      </c>
      <c r="Z32" s="93" t="str">
        <f>IF('MASTER PubCo Inputs'!B50="","",'MASTER PubCo Inputs'!B50)</f>
        <v>(Invalid Identifier)</v>
      </c>
      <c r="AA32" s="405">
        <f>'Comp.2'!AI34</f>
        <v>0</v>
      </c>
    </row>
    <row r="33" spans="2:27" ht="12.75" customHeight="1">
      <c r="B33" s="405">
        <f>'Comp.1'!B35</f>
        <v>0</v>
      </c>
      <c r="D33" s="56" t="str">
        <f>'Capital IQ Sheet-GPC'!AF36</f>
        <v>n/a</v>
      </c>
      <c r="E33" s="56" t="str">
        <f>'Capital IQ Sheet-GPC'!AG36</f>
        <v>n/a</v>
      </c>
      <c r="F33" s="56" t="str">
        <f>'Capital IQ Sheet-GPC'!AH36</f>
        <v>n/a</v>
      </c>
      <c r="G33" s="56" t="str">
        <f>'Capital IQ Sheet-GPC'!AI36</f>
        <v>n/a</v>
      </c>
      <c r="I33" s="92" t="str">
        <f>'Capital IQ Sheet-GPC'!AJ36</f>
        <v>(Invalid Identifier)</v>
      </c>
      <c r="J33" s="92" t="str">
        <f>'Capital IQ Sheet-GPC'!AK36</f>
        <v>(Invalid Identifier)</v>
      </c>
      <c r="K33" s="92" t="str">
        <f>'Capital IQ Sheet-GPC'!AL36</f>
        <v>(Invalid Identifier)</v>
      </c>
      <c r="M33" s="56" t="str">
        <f>IFERROR(IF(I33/'Comp.1'!H35&gt;$AA$7,"NM",IF((I33/'Comp.1'!H35)&lt;$AC$7,"NM",I33/'Comp.1'!H35)),"n/a")</f>
        <v>n/a</v>
      </c>
      <c r="N33" s="56" t="str">
        <f>IFERROR(IF(J33/'Comp.1'!I35&gt;$AA$7,"NM",IF((J33/'Comp.1'!I35)&lt;$AC$7,"NM",J33/'Comp.1'!I35)),"n/a")</f>
        <v>n/a</v>
      </c>
      <c r="O33" s="56" t="str">
        <f>IFERROR(IF(K33/'Comp.1'!J35&gt;$AA$7,"NM",IF((K33/'Comp.1'!J35)&lt;$AC$7,"NM",K33/'Comp.1'!J35)),"n/a")</f>
        <v>n/a</v>
      </c>
      <c r="P33" s="406"/>
      <c r="Q33" s="92" t="str">
        <f>'Capital IQ Sheet-GPC'!AM36</f>
        <v>(Invalid Identifier)</v>
      </c>
      <c r="R33" s="92" t="str">
        <f>'Capital IQ Sheet-GPC'!AN36</f>
        <v>(Invalid Identifier)</v>
      </c>
      <c r="S33" s="92" t="str">
        <f>'Capital IQ Sheet-GPC'!AO36</f>
        <v>(Invalid Identifier)</v>
      </c>
      <c r="U33" s="56" t="str">
        <f>IFERROR(IF(Q33/'Comp.1'!H35&gt;$AA$7,"NM",IF((Q33/'Comp.1'!H35)&lt;$AC$7,"NM",Q33/'Comp.1'!H35)),"n/a")</f>
        <v>n/a</v>
      </c>
      <c r="V33" s="56" t="str">
        <f>IFERROR(IF(R33/'Comp.1'!I35&gt;$AA$7,"NM",IF((R33/'Comp.1'!I35)&lt;$AC$7,"NM",R33/'Comp.1'!I35)),"n/a")</f>
        <v>n/a</v>
      </c>
      <c r="W33" s="56" t="str">
        <f>IFERROR(IF(S33/'Comp.1'!J35&gt;$AA$7,"NM",IF((S33/'Comp.1'!J35)&lt;$AC$7,"NM",S33/'Comp.1'!J35)),"n/a")</f>
        <v>n/a</v>
      </c>
      <c r="Z33" s="93" t="str">
        <f>IF('MASTER PubCo Inputs'!B51="","",'MASTER PubCo Inputs'!B51)</f>
        <v>(Invalid Identifier)</v>
      </c>
      <c r="AA33" s="405">
        <f>'Comp.2'!AI35</f>
        <v>0</v>
      </c>
    </row>
    <row r="34" spans="2:27" ht="12.75" customHeight="1">
      <c r="B34" s="405">
        <f>'Comp.1'!B36</f>
        <v>0</v>
      </c>
      <c r="D34" s="56" t="str">
        <f>'Capital IQ Sheet-GPC'!AF37</f>
        <v>n/a</v>
      </c>
      <c r="E34" s="56" t="str">
        <f>'Capital IQ Sheet-GPC'!AG37</f>
        <v>n/a</v>
      </c>
      <c r="F34" s="56" t="str">
        <f>'Capital IQ Sheet-GPC'!AH37</f>
        <v>n/a</v>
      </c>
      <c r="G34" s="56" t="str">
        <f>'Capital IQ Sheet-GPC'!AI37</f>
        <v>n/a</v>
      </c>
      <c r="I34" s="92" t="str">
        <f>'Capital IQ Sheet-GPC'!AJ37</f>
        <v>(Invalid Identifier)</v>
      </c>
      <c r="J34" s="92" t="str">
        <f>'Capital IQ Sheet-GPC'!AK37</f>
        <v>(Invalid Identifier)</v>
      </c>
      <c r="K34" s="92" t="str">
        <f>'Capital IQ Sheet-GPC'!AL37</f>
        <v>(Invalid Identifier)</v>
      </c>
      <c r="M34" s="56" t="str">
        <f>IFERROR(IF(I34/'Comp.1'!H36&gt;$AA$7,"NM",IF((I34/'Comp.1'!H36)&lt;$AC$7,"NM",I34/'Comp.1'!H36)),"n/a")</f>
        <v>n/a</v>
      </c>
      <c r="N34" s="56" t="str">
        <f>IFERROR(IF(J34/'Comp.1'!I36&gt;$AA$7,"NM",IF((J34/'Comp.1'!I36)&lt;$AC$7,"NM",J34/'Comp.1'!I36)),"n/a")</f>
        <v>n/a</v>
      </c>
      <c r="O34" s="56" t="str">
        <f>IFERROR(IF(K34/'Comp.1'!J36&gt;$AA$7,"NM",IF((K34/'Comp.1'!J36)&lt;$AC$7,"NM",K34/'Comp.1'!J36)),"n/a")</f>
        <v>n/a</v>
      </c>
      <c r="P34" s="406"/>
      <c r="Q34" s="92" t="str">
        <f>'Capital IQ Sheet-GPC'!AM37</f>
        <v>(Invalid Identifier)</v>
      </c>
      <c r="R34" s="92" t="str">
        <f>'Capital IQ Sheet-GPC'!AN37</f>
        <v>(Invalid Identifier)</v>
      </c>
      <c r="S34" s="92" t="str">
        <f>'Capital IQ Sheet-GPC'!AO37</f>
        <v>(Invalid Identifier)</v>
      </c>
      <c r="U34" s="56" t="str">
        <f>IFERROR(IF(Q34/'Comp.1'!H36&gt;$AA$7,"NM",IF((Q34/'Comp.1'!H36)&lt;$AC$7,"NM",Q34/'Comp.1'!H36)),"n/a")</f>
        <v>n/a</v>
      </c>
      <c r="V34" s="56" t="str">
        <f>IFERROR(IF(R34/'Comp.1'!I36&gt;$AA$7,"NM",IF((R34/'Comp.1'!I36)&lt;$AC$7,"NM",R34/'Comp.1'!I36)),"n/a")</f>
        <v>n/a</v>
      </c>
      <c r="W34" s="56" t="str">
        <f>IFERROR(IF(S34/'Comp.1'!J36&gt;$AA$7,"NM",IF((S34/'Comp.1'!J36)&lt;$AC$7,"NM",S34/'Comp.1'!J36)),"n/a")</f>
        <v>n/a</v>
      </c>
      <c r="Z34" s="93" t="str">
        <f>IF('MASTER PubCo Inputs'!B52="","",'MASTER PubCo Inputs'!B52)</f>
        <v>(Invalid Identifier)</v>
      </c>
      <c r="AA34" s="405">
        <f>'Comp.2'!AI36</f>
        <v>0</v>
      </c>
    </row>
    <row r="35" spans="2:27" ht="12.75" customHeight="1">
      <c r="B35" s="405">
        <f>'Comp.1'!B37</f>
        <v>0</v>
      </c>
      <c r="D35" s="56" t="str">
        <f>'Capital IQ Sheet-GPC'!AF38</f>
        <v>n/a</v>
      </c>
      <c r="E35" s="56" t="str">
        <f>'Capital IQ Sheet-GPC'!AG38</f>
        <v>n/a</v>
      </c>
      <c r="F35" s="56" t="str">
        <f>'Capital IQ Sheet-GPC'!AH38</f>
        <v>n/a</v>
      </c>
      <c r="G35" s="56" t="str">
        <f>'Capital IQ Sheet-GPC'!AI38</f>
        <v>n/a</v>
      </c>
      <c r="I35" s="92" t="str">
        <f>'Capital IQ Sheet-GPC'!AJ38</f>
        <v>(Invalid Identifier)</v>
      </c>
      <c r="J35" s="92" t="str">
        <f>'Capital IQ Sheet-GPC'!AK38</f>
        <v>(Invalid Identifier)</v>
      </c>
      <c r="K35" s="92" t="str">
        <f>'Capital IQ Sheet-GPC'!AL38</f>
        <v>(Invalid Identifier)</v>
      </c>
      <c r="M35" s="56" t="str">
        <f>IFERROR(IF(I35/'Comp.1'!H37&gt;$AA$7,"NM",IF((I35/'Comp.1'!H37)&lt;$AC$7,"NM",I35/'Comp.1'!H37)),"n/a")</f>
        <v>n/a</v>
      </c>
      <c r="N35" s="56" t="str">
        <f>IFERROR(IF(J35/'Comp.1'!I37&gt;$AA$7,"NM",IF((J35/'Comp.1'!I37)&lt;$AC$7,"NM",J35/'Comp.1'!I37)),"n/a")</f>
        <v>n/a</v>
      </c>
      <c r="O35" s="56" t="str">
        <f>IFERROR(IF(K35/'Comp.1'!J37&gt;$AA$7,"NM",IF((K35/'Comp.1'!J37)&lt;$AC$7,"NM",K35/'Comp.1'!J37)),"n/a")</f>
        <v>n/a</v>
      </c>
      <c r="P35" s="406"/>
      <c r="Q35" s="92" t="str">
        <f>'Capital IQ Sheet-GPC'!AM38</f>
        <v>(Invalid Identifier)</v>
      </c>
      <c r="R35" s="92" t="str">
        <f>'Capital IQ Sheet-GPC'!AN38</f>
        <v>(Invalid Identifier)</v>
      </c>
      <c r="S35" s="92" t="str">
        <f>'Capital IQ Sheet-GPC'!AO38</f>
        <v>(Invalid Identifier)</v>
      </c>
      <c r="U35" s="56" t="str">
        <f>IFERROR(IF(Q35/'Comp.1'!H37&gt;$AA$7,"NM",IF((Q35/'Comp.1'!H37)&lt;$AC$7,"NM",Q35/'Comp.1'!H37)),"n/a")</f>
        <v>n/a</v>
      </c>
      <c r="V35" s="56" t="str">
        <f>IFERROR(IF(R35/'Comp.1'!I37&gt;$AA$7,"NM",IF((R35/'Comp.1'!I37)&lt;$AC$7,"NM",R35/'Comp.1'!I37)),"n/a")</f>
        <v>n/a</v>
      </c>
      <c r="W35" s="56" t="str">
        <f>IFERROR(IF(S35/'Comp.1'!J37&gt;$AA$7,"NM",IF((S35/'Comp.1'!J37)&lt;$AC$7,"NM",S35/'Comp.1'!J37)),"n/a")</f>
        <v>n/a</v>
      </c>
      <c r="Z35" s="93" t="str">
        <f>IF('MASTER PubCo Inputs'!B53="","",'MASTER PubCo Inputs'!B53)</f>
        <v>(Invalid Identifier)</v>
      </c>
      <c r="AA35" s="405">
        <f>'Comp.2'!AI37</f>
        <v>0</v>
      </c>
    </row>
    <row r="36" spans="2:27" ht="12.75" customHeight="1">
      <c r="B36" s="405">
        <f>'Comp.1'!B38</f>
        <v>0</v>
      </c>
      <c r="D36" s="56" t="str">
        <f>'Capital IQ Sheet-GPC'!AF39</f>
        <v>n/a</v>
      </c>
      <c r="E36" s="56" t="str">
        <f>'Capital IQ Sheet-GPC'!AG39</f>
        <v>n/a</v>
      </c>
      <c r="F36" s="56" t="str">
        <f>'Capital IQ Sheet-GPC'!AH39</f>
        <v>n/a</v>
      </c>
      <c r="G36" s="56" t="str">
        <f>'Capital IQ Sheet-GPC'!AI39</f>
        <v>n/a</v>
      </c>
      <c r="I36" s="92" t="str">
        <f>'Capital IQ Sheet-GPC'!AJ39</f>
        <v>(Invalid Identifier)</v>
      </c>
      <c r="J36" s="92" t="str">
        <f>'Capital IQ Sheet-GPC'!AK39</f>
        <v>(Invalid Identifier)</v>
      </c>
      <c r="K36" s="92" t="str">
        <f>'Capital IQ Sheet-GPC'!AL39</f>
        <v>(Invalid Identifier)</v>
      </c>
      <c r="M36" s="56" t="str">
        <f>IFERROR(IF(I36/'Comp.1'!H38&gt;$AA$7,"NM",IF((I36/'Comp.1'!H38)&lt;$AC$7,"NM",I36/'Comp.1'!H38)),"n/a")</f>
        <v>n/a</v>
      </c>
      <c r="N36" s="56" t="str">
        <f>IFERROR(IF(J36/'Comp.1'!I38&gt;$AA$7,"NM",IF((J36/'Comp.1'!I38)&lt;$AC$7,"NM",J36/'Comp.1'!I38)),"n/a")</f>
        <v>n/a</v>
      </c>
      <c r="O36" s="56" t="str">
        <f>IFERROR(IF(K36/'Comp.1'!J38&gt;$AA$7,"NM",IF((K36/'Comp.1'!J38)&lt;$AC$7,"NM",K36/'Comp.1'!J38)),"n/a")</f>
        <v>n/a</v>
      </c>
      <c r="P36" s="406"/>
      <c r="Q36" s="92" t="str">
        <f>'Capital IQ Sheet-GPC'!AM39</f>
        <v>(Invalid Identifier)</v>
      </c>
      <c r="R36" s="92" t="str">
        <f>'Capital IQ Sheet-GPC'!AN39</f>
        <v>(Invalid Identifier)</v>
      </c>
      <c r="S36" s="92" t="str">
        <f>'Capital IQ Sheet-GPC'!AO39</f>
        <v>(Invalid Identifier)</v>
      </c>
      <c r="U36" s="56" t="str">
        <f>IFERROR(IF(Q36/'Comp.1'!H38&gt;$AA$7,"NM",IF((Q36/'Comp.1'!H38)&lt;$AC$7,"NM",Q36/'Comp.1'!H38)),"n/a")</f>
        <v>n/a</v>
      </c>
      <c r="V36" s="56" t="str">
        <f>IFERROR(IF(R36/'Comp.1'!I38&gt;$AA$7,"NM",IF((R36/'Comp.1'!I38)&lt;$AC$7,"NM",R36/'Comp.1'!I38)),"n/a")</f>
        <v>n/a</v>
      </c>
      <c r="W36" s="56" t="str">
        <f>IFERROR(IF(S36/'Comp.1'!J38&gt;$AA$7,"NM",IF((S36/'Comp.1'!J38)&lt;$AC$7,"NM",S36/'Comp.1'!J38)),"n/a")</f>
        <v>n/a</v>
      </c>
      <c r="Z36" s="93" t="str">
        <f>IF('MASTER PubCo Inputs'!B54="","",'MASTER PubCo Inputs'!B54)</f>
        <v>(Invalid Identifier)</v>
      </c>
      <c r="AA36" s="405">
        <f>'Comp.2'!AI38</f>
        <v>0</v>
      </c>
    </row>
    <row r="37" spans="2:27" ht="12.75" customHeight="1">
      <c r="B37" s="405">
        <f>'Comp.1'!B39</f>
        <v>0</v>
      </c>
      <c r="D37" s="56" t="str">
        <f>'Capital IQ Sheet-GPC'!AF40</f>
        <v>n/a</v>
      </c>
      <c r="E37" s="56" t="str">
        <f>'Capital IQ Sheet-GPC'!AG40</f>
        <v>n/a</v>
      </c>
      <c r="F37" s="56" t="str">
        <f>'Capital IQ Sheet-GPC'!AH40</f>
        <v>n/a</v>
      </c>
      <c r="G37" s="56" t="str">
        <f>'Capital IQ Sheet-GPC'!AI40</f>
        <v>n/a</v>
      </c>
      <c r="I37" s="92" t="str">
        <f>'Capital IQ Sheet-GPC'!AJ40</f>
        <v>(Invalid Identifier)</v>
      </c>
      <c r="J37" s="92" t="str">
        <f>'Capital IQ Sheet-GPC'!AK40</f>
        <v>(Invalid Identifier)</v>
      </c>
      <c r="K37" s="92" t="str">
        <f>'Capital IQ Sheet-GPC'!AL40</f>
        <v>(Invalid Identifier)</v>
      </c>
      <c r="M37" s="56" t="str">
        <f>IFERROR(IF(I37/'Comp.1'!H39&gt;$AA$7,"NM",IF((I37/'Comp.1'!H39)&lt;$AC$7,"NM",I37/'Comp.1'!H39)),"n/a")</f>
        <v>n/a</v>
      </c>
      <c r="N37" s="56" t="str">
        <f>IFERROR(IF(J37/'Comp.1'!I39&gt;$AA$7,"NM",IF((J37/'Comp.1'!I39)&lt;$AC$7,"NM",J37/'Comp.1'!I39)),"n/a")</f>
        <v>n/a</v>
      </c>
      <c r="O37" s="56" t="str">
        <f>IFERROR(IF(K37/'Comp.1'!J39&gt;$AA$7,"NM",IF((K37/'Comp.1'!J39)&lt;$AC$7,"NM",K37/'Comp.1'!J39)),"n/a")</f>
        <v>n/a</v>
      </c>
      <c r="P37" s="406"/>
      <c r="Q37" s="92" t="str">
        <f>'Capital IQ Sheet-GPC'!AM40</f>
        <v>(Invalid Identifier)</v>
      </c>
      <c r="R37" s="92" t="str">
        <f>'Capital IQ Sheet-GPC'!AN40</f>
        <v>(Invalid Identifier)</v>
      </c>
      <c r="S37" s="92" t="str">
        <f>'Capital IQ Sheet-GPC'!AO40</f>
        <v>(Invalid Identifier)</v>
      </c>
      <c r="U37" s="56" t="str">
        <f>IFERROR(IF(Q37/'Comp.1'!H39&gt;$AA$7,"NM",IF((Q37/'Comp.1'!H39)&lt;$AC$7,"NM",Q37/'Comp.1'!H39)),"n/a")</f>
        <v>n/a</v>
      </c>
      <c r="V37" s="56" t="str">
        <f>IFERROR(IF(R37/'Comp.1'!I39&gt;$AA$7,"NM",IF((R37/'Comp.1'!I39)&lt;$AC$7,"NM",R37/'Comp.1'!I39)),"n/a")</f>
        <v>n/a</v>
      </c>
      <c r="W37" s="56" t="str">
        <f>IFERROR(IF(S37/'Comp.1'!J39&gt;$AA$7,"NM",IF((S37/'Comp.1'!J39)&lt;$AC$7,"NM",S37/'Comp.1'!J39)),"n/a")</f>
        <v>n/a</v>
      </c>
      <c r="Z37" s="93" t="str">
        <f>IF('MASTER PubCo Inputs'!B55="","",'MASTER PubCo Inputs'!B55)</f>
        <v>(Invalid Identifier)</v>
      </c>
      <c r="AA37" s="405">
        <f>'Comp.2'!AI39</f>
        <v>0</v>
      </c>
    </row>
    <row r="38" spans="2:27" ht="12.75" customHeight="1">
      <c r="B38" s="405">
        <f>'Comp.1'!B40</f>
        <v>0</v>
      </c>
      <c r="D38" s="56" t="str">
        <f>'Capital IQ Sheet-GPC'!AF41</f>
        <v>n/a</v>
      </c>
      <c r="E38" s="56" t="str">
        <f>'Capital IQ Sheet-GPC'!AG41</f>
        <v>n/a</v>
      </c>
      <c r="F38" s="56" t="str">
        <f>'Capital IQ Sheet-GPC'!AH41</f>
        <v>n/a</v>
      </c>
      <c r="G38" s="56" t="str">
        <f>'Capital IQ Sheet-GPC'!AI41</f>
        <v>n/a</v>
      </c>
      <c r="I38" s="92" t="str">
        <f>'Capital IQ Sheet-GPC'!AJ41</f>
        <v>(Invalid Identifier)</v>
      </c>
      <c r="J38" s="92" t="str">
        <f>'Capital IQ Sheet-GPC'!AK41</f>
        <v>(Invalid Identifier)</v>
      </c>
      <c r="K38" s="92" t="str">
        <f>'Capital IQ Sheet-GPC'!AL41</f>
        <v>(Invalid Identifier)</v>
      </c>
      <c r="M38" s="56" t="str">
        <f>IFERROR(IF(I38/'Comp.1'!H40&gt;$AA$7,"NM",IF((I38/'Comp.1'!H40)&lt;$AC$7,"NM",I38/'Comp.1'!H40)),"n/a")</f>
        <v>n/a</v>
      </c>
      <c r="N38" s="56" t="str">
        <f>IFERROR(IF(J38/'Comp.1'!I40&gt;$AA$7,"NM",IF((J38/'Comp.1'!I40)&lt;$AC$7,"NM",J38/'Comp.1'!I40)),"n/a")</f>
        <v>n/a</v>
      </c>
      <c r="O38" s="56" t="str">
        <f>IFERROR(IF(K38/'Comp.1'!J40&gt;$AA$7,"NM",IF((K38/'Comp.1'!J40)&lt;$AC$7,"NM",K38/'Comp.1'!J40)),"n/a")</f>
        <v>n/a</v>
      </c>
      <c r="P38" s="406"/>
      <c r="Q38" s="92" t="str">
        <f>'Capital IQ Sheet-GPC'!AM41</f>
        <v>(Invalid Identifier)</v>
      </c>
      <c r="R38" s="92" t="str">
        <f>'Capital IQ Sheet-GPC'!AN41</f>
        <v>(Invalid Identifier)</v>
      </c>
      <c r="S38" s="92" t="str">
        <f>'Capital IQ Sheet-GPC'!AO41</f>
        <v>(Invalid Identifier)</v>
      </c>
      <c r="U38" s="56" t="str">
        <f>IFERROR(IF(Q38/'Comp.1'!H40&gt;$AA$7,"NM",IF((Q38/'Comp.1'!H40)&lt;$AC$7,"NM",Q38/'Comp.1'!H40)),"n/a")</f>
        <v>n/a</v>
      </c>
      <c r="V38" s="56" t="str">
        <f>IFERROR(IF(R38/'Comp.1'!I40&gt;$AA$7,"NM",IF((R38/'Comp.1'!I40)&lt;$AC$7,"NM",R38/'Comp.1'!I40)),"n/a")</f>
        <v>n/a</v>
      </c>
      <c r="W38" s="56" t="str">
        <f>IFERROR(IF(S38/'Comp.1'!J40&gt;$AA$7,"NM",IF((S38/'Comp.1'!J40)&lt;$AC$7,"NM",S38/'Comp.1'!J40)),"n/a")</f>
        <v>n/a</v>
      </c>
      <c r="Z38" s="93" t="str">
        <f>IF('MASTER PubCo Inputs'!B56="","",'MASTER PubCo Inputs'!B56)</f>
        <v>(Invalid Identifier)</v>
      </c>
      <c r="AA38" s="405">
        <f>'Comp.2'!AI40</f>
        <v>0</v>
      </c>
    </row>
    <row r="39" spans="2:27" ht="12.75" customHeight="1">
      <c r="B39" s="405">
        <f>'Comp.1'!B41</f>
        <v>0</v>
      </c>
      <c r="D39" s="56" t="str">
        <f>'Capital IQ Sheet-GPC'!AF42</f>
        <v>n/a</v>
      </c>
      <c r="E39" s="56" t="str">
        <f>'Capital IQ Sheet-GPC'!AG42</f>
        <v>n/a</v>
      </c>
      <c r="F39" s="56" t="str">
        <f>'Capital IQ Sheet-GPC'!AH42</f>
        <v>n/a</v>
      </c>
      <c r="G39" s="56" t="str">
        <f>'Capital IQ Sheet-GPC'!AI42</f>
        <v>n/a</v>
      </c>
      <c r="I39" s="92" t="str">
        <f>'Capital IQ Sheet-GPC'!AJ42</f>
        <v>(Invalid Identifier)</v>
      </c>
      <c r="J39" s="92" t="str">
        <f>'Capital IQ Sheet-GPC'!AK42</f>
        <v>(Invalid Identifier)</v>
      </c>
      <c r="K39" s="92" t="str">
        <f>'Capital IQ Sheet-GPC'!AL42</f>
        <v>(Invalid Identifier)</v>
      </c>
      <c r="M39" s="56" t="str">
        <f>IFERROR(IF(I39/'Comp.1'!H41&gt;$AA$7,"NM",IF((I39/'Comp.1'!H41)&lt;$AC$7,"NM",I39/'Comp.1'!H41)),"n/a")</f>
        <v>n/a</v>
      </c>
      <c r="N39" s="56" t="str">
        <f>IFERROR(IF(J39/'Comp.1'!I41&gt;$AA$7,"NM",IF((J39/'Comp.1'!I41)&lt;$AC$7,"NM",J39/'Comp.1'!I41)),"n/a")</f>
        <v>n/a</v>
      </c>
      <c r="O39" s="56" t="str">
        <f>IFERROR(IF(K39/'Comp.1'!J41&gt;$AA$7,"NM",IF((K39/'Comp.1'!J41)&lt;$AC$7,"NM",K39/'Comp.1'!J41)),"n/a")</f>
        <v>n/a</v>
      </c>
      <c r="P39" s="406"/>
      <c r="Q39" s="92" t="str">
        <f>'Capital IQ Sheet-GPC'!AM42</f>
        <v>(Invalid Identifier)</v>
      </c>
      <c r="R39" s="92" t="str">
        <f>'Capital IQ Sheet-GPC'!AN42</f>
        <v>(Invalid Identifier)</v>
      </c>
      <c r="S39" s="92" t="str">
        <f>'Capital IQ Sheet-GPC'!AO42</f>
        <v>(Invalid Identifier)</v>
      </c>
      <c r="U39" s="56" t="str">
        <f>IFERROR(IF(Q39/'Comp.1'!H41&gt;$AA$7,"NM",IF((Q39/'Comp.1'!H41)&lt;$AC$7,"NM",Q39/'Comp.1'!H41)),"n/a")</f>
        <v>n/a</v>
      </c>
      <c r="V39" s="56" t="str">
        <f>IFERROR(IF(R39/'Comp.1'!I41&gt;$AA$7,"NM",IF((R39/'Comp.1'!I41)&lt;$AC$7,"NM",R39/'Comp.1'!I41)),"n/a")</f>
        <v>n/a</v>
      </c>
      <c r="W39" s="56" t="str">
        <f>IFERROR(IF(S39/'Comp.1'!J41&gt;$AA$7,"NM",IF((S39/'Comp.1'!J41)&lt;$AC$7,"NM",S39/'Comp.1'!J41)),"n/a")</f>
        <v>n/a</v>
      </c>
      <c r="Z39" s="93" t="str">
        <f>IF('MASTER PubCo Inputs'!B57="","",'MASTER PubCo Inputs'!B57)</f>
        <v>(Invalid Identifier)</v>
      </c>
      <c r="AA39" s="405">
        <f>'Comp.2'!AI41</f>
        <v>0</v>
      </c>
    </row>
    <row r="40" spans="2:27" ht="12.75" customHeight="1">
      <c r="I40" s="406"/>
      <c r="J40" s="406"/>
      <c r="K40" s="406"/>
      <c r="M40" s="406"/>
      <c r="N40" s="406"/>
      <c r="O40" s="406"/>
      <c r="P40" s="406"/>
    </row>
    <row r="41" spans="2:27" ht="12.75" customHeight="1">
      <c r="B41" s="766" t="s">
        <v>111</v>
      </c>
      <c r="C41" s="782"/>
      <c r="D41" s="786">
        <f>MAX(D10:D40)</f>
        <v>0.726607</v>
      </c>
      <c r="E41" s="786">
        <f>MAX(E10:E40)</f>
        <v>0</v>
      </c>
      <c r="F41" s="786">
        <f>MAX(F10:F40)</f>
        <v>0</v>
      </c>
      <c r="G41" s="786">
        <f>MAX(G10:G40)</f>
        <v>9.982785999999999</v>
      </c>
      <c r="H41" s="782"/>
      <c r="I41" s="781">
        <f>MAX(I10:I40)</f>
        <v>8.5459999999999994E-2</v>
      </c>
      <c r="J41" s="781">
        <f>MAX(J10:J40)</f>
        <v>6.4130000000000003</v>
      </c>
      <c r="K41" s="783">
        <f>MAX(K10:K40)</f>
        <v>10.991</v>
      </c>
      <c r="L41" s="782"/>
      <c r="M41" s="786">
        <f>MAX(M10:M40)</f>
        <v>-9.6363312465007386E-2</v>
      </c>
      <c r="N41" s="786">
        <f>MAX(N10:N40)</f>
        <v>0.30213487518763549</v>
      </c>
      <c r="O41" s="786">
        <f>MAX(O10:O40)</f>
        <v>0.31175171451819134</v>
      </c>
      <c r="P41" s="781"/>
      <c r="Q41" s="781">
        <f>MAX(Q10:Q40)</f>
        <v>0</v>
      </c>
      <c r="R41" s="781">
        <f>MAX(R10:R40)</f>
        <v>4.2100000000000002E-3</v>
      </c>
      <c r="S41" s="781">
        <f>MAX(S10:S40)</f>
        <v>0</v>
      </c>
      <c r="T41" s="782"/>
      <c r="U41" s="786">
        <f>MAX(U10:U40)</f>
        <v>-3.3465669058889403E-3</v>
      </c>
      <c r="V41" s="786">
        <f>MAX(V10:V40)</f>
        <v>-1.7065599576302356E-3</v>
      </c>
      <c r="W41" s="768">
        <f>MAX(W10:W40)</f>
        <v>-6.7646883269334077E-4</v>
      </c>
    </row>
    <row r="42" spans="2:27" ht="12.75" customHeight="1">
      <c r="B42" s="366" t="s">
        <v>115</v>
      </c>
      <c r="C42" s="79"/>
      <c r="D42" s="143">
        <f>QUARTILE(D10:D40,3)</f>
        <v>0</v>
      </c>
      <c r="E42" s="143">
        <f>QUARTILE(E10:E40,3)</f>
        <v>0</v>
      </c>
      <c r="F42" s="143">
        <f>QUARTILE(F10:F40,3)</f>
        <v>0</v>
      </c>
      <c r="G42" s="143">
        <f>QUARTILE(G10:G40,3)</f>
        <v>0</v>
      </c>
      <c r="H42" s="79"/>
      <c r="I42" s="101">
        <f>QUARTILE(I10:I40,3)</f>
        <v>-0.65915250000000003</v>
      </c>
      <c r="J42" s="101">
        <f>QUARTILE(J10:J40,3)</f>
        <v>-0.77771750000000006</v>
      </c>
      <c r="K42" s="102">
        <f>QUARTILE(K10:K40,3)</f>
        <v>-0.86921500000000007</v>
      </c>
      <c r="L42" s="79"/>
      <c r="M42" s="143">
        <f>QUARTILE(M10:M40,3)</f>
        <v>-9.6363312465007386E-2</v>
      </c>
      <c r="N42" s="143">
        <f>QUARTILE(N10:N40,3)</f>
        <v>4.717314227708061E-2</v>
      </c>
      <c r="O42" s="143">
        <f>QUARTILE(O10:O40,3)</f>
        <v>0.21867849823919142</v>
      </c>
      <c r="P42" s="101"/>
      <c r="Q42" s="101">
        <f>QUARTILE(Q10:Q40,3)</f>
        <v>-2.5750000000000002E-2</v>
      </c>
      <c r="R42" s="101">
        <f>QUARTILE(R10:R40,3)</f>
        <v>-3.7649999999999993E-3</v>
      </c>
      <c r="S42" s="101">
        <f>QUARTILE(S10:S40,3)</f>
        <v>-2.7399999999999998E-3</v>
      </c>
      <c r="T42" s="79"/>
      <c r="U42" s="143">
        <f>QUARTILE(U10:U40,3)</f>
        <v>-5.2143564332149187E-2</v>
      </c>
      <c r="V42" s="143">
        <f>QUARTILE(V10:V40,3)</f>
        <v>-2.3014059122242025E-2</v>
      </c>
      <c r="W42" s="144">
        <f>QUARTILE(W10:W40,3)</f>
        <v>-6.031102400581306E-3</v>
      </c>
    </row>
    <row r="43" spans="2:27" ht="12.75" customHeight="1">
      <c r="B43" s="366" t="s">
        <v>113</v>
      </c>
      <c r="C43" s="79"/>
      <c r="D43" s="143">
        <f>AVERAGE(D10:D40)</f>
        <v>-9.9385333333333339E-2</v>
      </c>
      <c r="E43" s="143">
        <f>AVERAGE(E10:E40)</f>
        <v>-0.39488336363636373</v>
      </c>
      <c r="F43" s="143">
        <f>AVERAGE(F10:F40)</f>
        <v>-0.41834827272727271</v>
      </c>
      <c r="G43" s="143">
        <f>AVERAGE(G10:G40)</f>
        <v>0.39937708333333327</v>
      </c>
      <c r="H43" s="79"/>
      <c r="I43" s="101">
        <f>AVERAGE(I10:I40)</f>
        <v>-6.6288907142857152</v>
      </c>
      <c r="J43" s="101">
        <f>AVERAGE(J10:J40)</f>
        <v>-6.0502800000000008</v>
      </c>
      <c r="K43" s="102">
        <f>AVERAGE(K10:K40)</f>
        <v>-5.7849714285714295</v>
      </c>
      <c r="L43" s="79"/>
      <c r="M43" s="143">
        <f>AVERAGE(M10:M40)</f>
        <v>-9.6363312465007386E-2</v>
      </c>
      <c r="N43" s="143">
        <f>AVERAGE(N10:N40)</f>
        <v>-0.42430820280152953</v>
      </c>
      <c r="O43" s="143">
        <f>AVERAGE(O10:O40)</f>
        <v>-0.22239550317692064</v>
      </c>
      <c r="P43" s="101"/>
      <c r="Q43" s="101">
        <f>AVERAGE(Q10:Q40)</f>
        <v>-0.92404999999999993</v>
      </c>
      <c r="R43" s="101">
        <f>AVERAGE(R10:R40)</f>
        <v>-2.2432321428571429</v>
      </c>
      <c r="S43" s="101">
        <f>AVERAGE(S10:S40)</f>
        <v>-0.58141071428571445</v>
      </c>
      <c r="T43" s="79"/>
      <c r="U43" s="143">
        <f>AVERAGE(U10:U40)</f>
        <v>-5.3236148381769738E-2</v>
      </c>
      <c r="V43" s="143">
        <f>AVERAGE(V10:V40)</f>
        <v>-0.27527185985802799</v>
      </c>
      <c r="W43" s="144">
        <f>AVERAGE(W10:W40)</f>
        <v>-7.8111368924823607E-2</v>
      </c>
    </row>
    <row r="44" spans="2:27" ht="12.75" customHeight="1">
      <c r="B44" s="366" t="s">
        <v>44</v>
      </c>
      <c r="C44" s="79"/>
      <c r="D44" s="143">
        <f>MEDIAN(D10:D40)</f>
        <v>0</v>
      </c>
      <c r="E44" s="143">
        <f>MEDIAN(E10:E40)</f>
        <v>0</v>
      </c>
      <c r="F44" s="143">
        <f>MEDIAN(F10:F40)</f>
        <v>0</v>
      </c>
      <c r="G44" s="143">
        <f>MEDIAN(G10:G40)</f>
        <v>0</v>
      </c>
      <c r="H44" s="79"/>
      <c r="I44" s="101">
        <f>MEDIAN(I10:I40)</f>
        <v>-2.4965599999999997</v>
      </c>
      <c r="J44" s="101">
        <f>MEDIAN(J10:J40)</f>
        <v>-2.8054350000000001</v>
      </c>
      <c r="K44" s="102">
        <f>MEDIAN(K10:K40)</f>
        <v>-3.4395350000000002</v>
      </c>
      <c r="L44" s="79"/>
      <c r="M44" s="143">
        <f>MEDIAN(M10:M40)</f>
        <v>-9.6363312465007386E-2</v>
      </c>
      <c r="N44" s="143">
        <f>MEDIAN(N10:N40)</f>
        <v>-0.70517781463055096</v>
      </c>
      <c r="O44" s="143">
        <f>MEDIAN(O10:O40)</f>
        <v>-2.6110055968148003E-2</v>
      </c>
      <c r="P44" s="101"/>
      <c r="Q44" s="101">
        <f>MEDIAN(Q10:Q40)</f>
        <v>-0.24241000000000001</v>
      </c>
      <c r="R44" s="101">
        <f>MEDIAN(R10:R40)</f>
        <v>-0.188085</v>
      </c>
      <c r="S44" s="101">
        <f>MEDIAN(S10:S40)</f>
        <v>-0.04</v>
      </c>
      <c r="T44" s="79"/>
      <c r="U44" s="143">
        <f>MEDIAN(U10:U40)</f>
        <v>-6.9069161595775197E-2</v>
      </c>
      <c r="V44" s="143">
        <f>MEDIAN(V10:V40)</f>
        <v>-5.4702112654462946E-2</v>
      </c>
      <c r="W44" s="144">
        <f>MEDIAN(W10:W40)</f>
        <v>-4.2717056265379659E-2</v>
      </c>
    </row>
    <row r="45" spans="2:27" ht="12.75" customHeight="1">
      <c r="B45" s="366" t="s">
        <v>114</v>
      </c>
      <c r="C45" s="79"/>
      <c r="D45" s="143">
        <f>QUARTILE(D10:D40,1)</f>
        <v>-1.2903499999999998E-2</v>
      </c>
      <c r="E45" s="143">
        <f>QUARTILE(E10:E40,1)</f>
        <v>-5.9857500000000001E-2</v>
      </c>
      <c r="F45" s="143">
        <f>QUARTILE(F10:F40,1)</f>
        <v>-6.6979999999999998E-2</v>
      </c>
      <c r="G45" s="143">
        <f>QUARTILE(G10:G40,1)</f>
        <v>-0.19949850000000002</v>
      </c>
      <c r="H45" s="79"/>
      <c r="I45" s="101">
        <f>QUARTILE(I10:I40,1)</f>
        <v>-9.7007499999999993</v>
      </c>
      <c r="J45" s="101">
        <f>QUARTILE(J10:J40,1)</f>
        <v>-9.1569775</v>
      </c>
      <c r="K45" s="102">
        <f>QUARTILE(K10:K40,1)</f>
        <v>-4.9489999999999998</v>
      </c>
      <c r="L45" s="79"/>
      <c r="M45" s="143">
        <f>QUARTILE(M10:M40,1)</f>
        <v>-9.6363312465007386E-2</v>
      </c>
      <c r="N45" s="143">
        <f>QUARTILE(N10:N40,1)</f>
        <v>-0.766350841688897</v>
      </c>
      <c r="O45" s="143">
        <f>QUARTILE(O10:O40,1)</f>
        <v>-0.68182284208332489</v>
      </c>
      <c r="P45" s="101"/>
      <c r="Q45" s="101">
        <f>QUARTILE(Q10:Q40,1)</f>
        <v>-0.87049999999999994</v>
      </c>
      <c r="R45" s="101">
        <f>QUARTILE(R10:R40,1)</f>
        <v>-0.52600000000000002</v>
      </c>
      <c r="S45" s="101">
        <f>QUARTILE(S10:S40,1)</f>
        <v>-0.63149999999999995</v>
      </c>
      <c r="T45" s="79"/>
      <c r="U45" s="143">
        <f>QUARTILE(U10:U40,1)</f>
        <v>-7.0161745645395762E-2</v>
      </c>
      <c r="V45" s="143">
        <f>QUARTILE(V10:V40,1)</f>
        <v>-0.45147012191314917</v>
      </c>
      <c r="W45" s="144">
        <f>QUARTILE(W10:W40,1)</f>
        <v>-9.5728433601590376E-2</v>
      </c>
    </row>
    <row r="46" spans="2:27" ht="12.75" customHeight="1">
      <c r="B46" s="103" t="s">
        <v>112</v>
      </c>
      <c r="C46" s="72"/>
      <c r="D46" s="145">
        <f>MIN(D10:D40)</f>
        <v>-1.8065100000000001</v>
      </c>
      <c r="E46" s="145">
        <f>MIN(E10:E40)</f>
        <v>-2.610751</v>
      </c>
      <c r="F46" s="145">
        <f>MIN(F10:F40)</f>
        <v>-2.8367309999999999</v>
      </c>
      <c r="G46" s="145">
        <f>MIN(G10:G40)</f>
        <v>-2.7778609999999997</v>
      </c>
      <c r="H46" s="72"/>
      <c r="I46" s="75">
        <f>MIN(I10:I40)</f>
        <v>-21.370999999999999</v>
      </c>
      <c r="J46" s="75">
        <f>MIN(J10:J40)</f>
        <v>-24.992999999999999</v>
      </c>
      <c r="K46" s="417">
        <f>MIN(K10:K40)</f>
        <v>-30.89</v>
      </c>
      <c r="L46" s="72"/>
      <c r="M46" s="145">
        <f>MIN(M10:M40)</f>
        <v>-9.6363312465007386E-2</v>
      </c>
      <c r="N46" s="145">
        <f>MIN(N10:N40)</f>
        <v>-0.99932037515291561</v>
      </c>
      <c r="O46" s="145">
        <f>MIN(O10:O40)</f>
        <v>-0.93447483059051317</v>
      </c>
      <c r="P46" s="75"/>
      <c r="Q46" s="75">
        <f>MIN(Q10:Q40)</f>
        <v>-7.548</v>
      </c>
      <c r="R46" s="75">
        <f>MIN(R10:R40)</f>
        <v>-20.338999999999999</v>
      </c>
      <c r="S46" s="75">
        <f>MIN(S10:S40)</f>
        <v>-3.3820000000000001</v>
      </c>
      <c r="T46" s="72"/>
      <c r="U46" s="145">
        <f>MIN(U10:U40)</f>
        <v>-7.1459703429639601E-2</v>
      </c>
      <c r="V46" s="145">
        <f>MIN(V10:V40)</f>
        <v>-0.92152598432332011</v>
      </c>
      <c r="W46" s="418">
        <f>MIN(W10:W40)</f>
        <v>-0.27535628835951315</v>
      </c>
    </row>
    <row r="47" spans="2:27" ht="12.75" customHeight="1"/>
    <row r="48" spans="2:27" ht="12.75" customHeight="1">
      <c r="B48" s="8" t="s">
        <v>116</v>
      </c>
    </row>
    <row r="49" spans="2:24" ht="12.75" customHeight="1">
      <c r="B49" s="8"/>
    </row>
    <row r="50" spans="2:24" ht="12.75" customHeight="1"/>
    <row r="54" spans="2:24" ht="3" customHeight="1"/>
    <row r="55" spans="2:24" s="6" customFormat="1" ht="25.5">
      <c r="B55" s="874" t="s">
        <v>289</v>
      </c>
      <c r="C55" s="875"/>
      <c r="D55" s="876" t="s">
        <v>285</v>
      </c>
      <c r="E55" s="876" t="s">
        <v>286</v>
      </c>
      <c r="F55" s="876" t="s">
        <v>287</v>
      </c>
      <c r="G55" s="877" t="s">
        <v>288</v>
      </c>
      <c r="X55" s="405"/>
    </row>
  </sheetData>
  <mergeCells count="1">
    <mergeCell ref="M7:O7"/>
  </mergeCells>
  <conditionalFormatting sqref="B10:B39">
    <cfRule type="cellIs" dxfId="6" priority="21" operator="equal">
      <formula>"(Invalid Identifier)"</formula>
    </cfRule>
  </conditionalFormatting>
  <conditionalFormatting sqref="C4:I4 M4:W4">
    <cfRule type="cellIs" dxfId="5" priority="20" stopIfTrue="1" operator="equal">
      <formula>"input"</formula>
    </cfRule>
  </conditionalFormatting>
  <conditionalFormatting sqref="J4">
    <cfRule type="cellIs" dxfId="4" priority="18" stopIfTrue="1" operator="equal">
      <formula>"input"</formula>
    </cfRule>
  </conditionalFormatting>
  <conditionalFormatting sqref="J4">
    <cfRule type="cellIs" dxfId="3" priority="19" stopIfTrue="1" operator="equal">
      <formula>"input"</formula>
    </cfRule>
  </conditionalFormatting>
  <conditionalFormatting sqref="L4">
    <cfRule type="cellIs" dxfId="2" priority="9" stopIfTrue="1" operator="equal">
      <formula>"input"</formula>
    </cfRule>
  </conditionalFormatting>
  <conditionalFormatting sqref="B4">
    <cfRule type="cellIs" dxfId="1" priority="2" stopIfTrue="1" operator="equal">
      <formula>"input"</formula>
    </cfRule>
  </conditionalFormatting>
  <conditionalFormatting sqref="K4">
    <cfRule type="cellIs" dxfId="0" priority="1" stopIfTrue="1" operator="equal">
      <formula>"input"</formula>
    </cfRule>
  </conditionalFormatting>
  <pageMargins left="0.5" right="0.5" top="0.5" bottom="0.5" header="0.5" footer="0.5"/>
  <pageSetup scale="75" fitToWidth="0" fitToHeight="0" orientation="landscape" r:id="rId1"/>
  <colBreaks count="1" manualBreakCount="1">
    <brk id="11" max="47" man="1"/>
  </colBreaks>
  <legacyDrawingHF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B2:E47"/>
  <sheetViews>
    <sheetView showGridLines="0" workbookViewId="0"/>
  </sheetViews>
  <sheetFormatPr defaultRowHeight="12.75"/>
  <cols>
    <col min="1" max="1" width="2.83203125" style="405" customWidth="1"/>
    <col min="2" max="2" width="18.1640625" style="405" bestFit="1" customWidth="1"/>
    <col min="3" max="3" width="23.1640625" style="405" bestFit="1" customWidth="1"/>
    <col min="4" max="4" width="18.33203125" style="405" bestFit="1" customWidth="1"/>
    <col min="5" max="5" width="20.5" style="405" bestFit="1" customWidth="1"/>
    <col min="6" max="16384" width="9.33203125" style="405"/>
  </cols>
  <sheetData>
    <row r="2" spans="2:5">
      <c r="B2" s="1" t="s">
        <v>451</v>
      </c>
      <c r="C2" s="1" t="s">
        <v>311</v>
      </c>
      <c r="D2" s="1" t="s">
        <v>466</v>
      </c>
      <c r="E2" s="1" t="s">
        <v>467</v>
      </c>
    </row>
    <row r="3" spans="2:5">
      <c r="B3" s="405" t="s">
        <v>463</v>
      </c>
      <c r="C3" s="405" t="s">
        <v>465</v>
      </c>
      <c r="D3" s="405" t="s">
        <v>468</v>
      </c>
      <c r="E3" s="405" t="s">
        <v>470</v>
      </c>
    </row>
    <row r="4" spans="2:5">
      <c r="B4" s="405" t="s">
        <v>420</v>
      </c>
      <c r="C4" s="405" t="s">
        <v>313</v>
      </c>
      <c r="D4" s="405" t="s">
        <v>469</v>
      </c>
      <c r="E4" s="405" t="s">
        <v>471</v>
      </c>
    </row>
    <row r="5" spans="2:5">
      <c r="B5" s="405" t="s">
        <v>197</v>
      </c>
      <c r="C5" s="405" t="s">
        <v>13</v>
      </c>
      <c r="E5" s="405" t="s">
        <v>472</v>
      </c>
    </row>
    <row r="6" spans="2:5">
      <c r="B6" s="405" t="s">
        <v>421</v>
      </c>
    </row>
    <row r="7" spans="2:5">
      <c r="B7" s="405" t="s">
        <v>422</v>
      </c>
    </row>
    <row r="8" spans="2:5">
      <c r="B8" s="405" t="s">
        <v>424</v>
      </c>
    </row>
    <row r="9" spans="2:5">
      <c r="B9" s="405" t="s">
        <v>423</v>
      </c>
    </row>
    <row r="10" spans="2:5">
      <c r="B10" s="405" t="s">
        <v>452</v>
      </c>
    </row>
    <row r="11" spans="2:5">
      <c r="B11" s="325" t="s">
        <v>459</v>
      </c>
    </row>
    <row r="12" spans="2:5">
      <c r="B12" s="325" t="s">
        <v>460</v>
      </c>
    </row>
    <row r="13" spans="2:5">
      <c r="B13" s="325" t="s">
        <v>461</v>
      </c>
    </row>
    <row r="14" spans="2:5">
      <c r="B14" s="325" t="s">
        <v>462</v>
      </c>
    </row>
    <row r="15" spans="2:5">
      <c r="B15" s="405" t="s">
        <v>576</v>
      </c>
    </row>
    <row r="16" spans="2:5">
      <c r="B16" s="405" t="s">
        <v>425</v>
      </c>
    </row>
    <row r="17" spans="2:2">
      <c r="B17" s="405" t="s">
        <v>426</v>
      </c>
    </row>
    <row r="18" spans="2:2">
      <c r="B18" s="405" t="s">
        <v>427</v>
      </c>
    </row>
    <row r="19" spans="2:2">
      <c r="B19" s="405" t="s">
        <v>428</v>
      </c>
    </row>
    <row r="20" spans="2:2">
      <c r="B20" s="405" t="s">
        <v>429</v>
      </c>
    </row>
    <row r="21" spans="2:2">
      <c r="B21" s="405" t="s">
        <v>430</v>
      </c>
    </row>
    <row r="22" spans="2:2">
      <c r="B22" s="405" t="s">
        <v>431</v>
      </c>
    </row>
    <row r="23" spans="2:2">
      <c r="B23" s="405" t="s">
        <v>432</v>
      </c>
    </row>
    <row r="24" spans="2:2">
      <c r="B24" s="405" t="s">
        <v>433</v>
      </c>
    </row>
    <row r="25" spans="2:2">
      <c r="B25" s="405" t="s">
        <v>434</v>
      </c>
    </row>
    <row r="26" spans="2:2">
      <c r="B26" s="405" t="s">
        <v>435</v>
      </c>
    </row>
    <row r="27" spans="2:2">
      <c r="B27" s="405" t="s">
        <v>436</v>
      </c>
    </row>
    <row r="28" spans="2:2">
      <c r="B28" s="405" t="s">
        <v>437</v>
      </c>
    </row>
    <row r="29" spans="2:2">
      <c r="B29" s="405" t="s">
        <v>438</v>
      </c>
    </row>
    <row r="30" spans="2:2">
      <c r="B30" s="405" t="s">
        <v>439</v>
      </c>
    </row>
    <row r="31" spans="2:2">
      <c r="B31" s="405" t="s">
        <v>440</v>
      </c>
    </row>
    <row r="32" spans="2:2">
      <c r="B32" s="405" t="s">
        <v>441</v>
      </c>
    </row>
    <row r="33" spans="2:2">
      <c r="B33" s="405" t="s">
        <v>442</v>
      </c>
    </row>
    <row r="34" spans="2:2">
      <c r="B34" s="405" t="s">
        <v>443</v>
      </c>
    </row>
    <row r="35" spans="2:2">
      <c r="B35" s="405" t="s">
        <v>448</v>
      </c>
    </row>
    <row r="36" spans="2:2">
      <c r="B36" s="405" t="s">
        <v>449</v>
      </c>
    </row>
    <row r="37" spans="2:2">
      <c r="B37" s="405" t="s">
        <v>453</v>
      </c>
    </row>
    <row r="38" spans="2:2">
      <c r="B38" s="405" t="s">
        <v>444</v>
      </c>
    </row>
    <row r="39" spans="2:2">
      <c r="B39" s="405" t="s">
        <v>454</v>
      </c>
    </row>
    <row r="40" spans="2:2">
      <c r="B40" s="405" t="s">
        <v>455</v>
      </c>
    </row>
    <row r="41" spans="2:2">
      <c r="B41" s="405" t="s">
        <v>456</v>
      </c>
    </row>
    <row r="42" spans="2:2">
      <c r="B42" s="405" t="s">
        <v>445</v>
      </c>
    </row>
    <row r="43" spans="2:2">
      <c r="B43" s="405" t="s">
        <v>450</v>
      </c>
    </row>
    <row r="44" spans="2:2">
      <c r="B44" s="405" t="s">
        <v>457</v>
      </c>
    </row>
    <row r="45" spans="2:2">
      <c r="B45" s="405" t="s">
        <v>458</v>
      </c>
    </row>
    <row r="46" spans="2:2">
      <c r="B46" s="405" t="s">
        <v>446</v>
      </c>
    </row>
    <row r="47" spans="2:2">
      <c r="B47" s="405" t="s">
        <v>447</v>
      </c>
    </row>
  </sheetData>
  <sortState ref="B3:B46">
    <sortCondition ref="B3:B46"/>
  </sortState>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H24"/>
  <sheetViews>
    <sheetView showGridLines="0" workbookViewId="0"/>
  </sheetViews>
  <sheetFormatPr defaultRowHeight="12.75"/>
  <cols>
    <col min="1" max="1" width="9.33203125" style="405"/>
    <col min="2" max="2" width="5.33203125" style="405" customWidth="1"/>
    <col min="3" max="3" width="34.5" style="405" bestFit="1" customWidth="1"/>
    <col min="4" max="4" width="9.33203125" style="173"/>
    <col min="5" max="16384" width="9.33203125" style="405"/>
  </cols>
  <sheetData>
    <row r="5" spans="1:5">
      <c r="B5" s="405" t="s">
        <v>481</v>
      </c>
    </row>
    <row r="7" spans="1:5">
      <c r="A7" s="405" t="s">
        <v>151</v>
      </c>
      <c r="B7" s="411">
        <v>1</v>
      </c>
      <c r="C7" s="405" t="s">
        <v>482</v>
      </c>
      <c r="D7" s="173" t="s">
        <v>525</v>
      </c>
    </row>
    <row r="8" spans="1:5">
      <c r="A8" s="405" t="s">
        <v>151</v>
      </c>
      <c r="B8" s="411">
        <f t="shared" ref="B8:B13" si="0">+B7+1</f>
        <v>2</v>
      </c>
      <c r="C8" s="405" t="s">
        <v>483</v>
      </c>
      <c r="D8" s="173" t="s">
        <v>525</v>
      </c>
    </row>
    <row r="9" spans="1:5">
      <c r="A9" s="405" t="s">
        <v>151</v>
      </c>
      <c r="B9" s="411">
        <f t="shared" si="0"/>
        <v>3</v>
      </c>
      <c r="C9" s="405" t="s">
        <v>484</v>
      </c>
      <c r="D9" s="173" t="s">
        <v>525</v>
      </c>
    </row>
    <row r="10" spans="1:5">
      <c r="A10" s="405" t="s">
        <v>151</v>
      </c>
      <c r="B10" s="411">
        <f t="shared" si="0"/>
        <v>4</v>
      </c>
      <c r="C10" s="405" t="s">
        <v>502</v>
      </c>
      <c r="D10" s="173" t="s">
        <v>525</v>
      </c>
    </row>
    <row r="11" spans="1:5">
      <c r="A11" s="405" t="s">
        <v>496</v>
      </c>
      <c r="B11" s="411">
        <f t="shared" si="0"/>
        <v>5</v>
      </c>
      <c r="C11" s="405" t="s">
        <v>497</v>
      </c>
      <c r="D11" s="173" t="s">
        <v>525</v>
      </c>
    </row>
    <row r="12" spans="1:5">
      <c r="A12" s="405" t="s">
        <v>496</v>
      </c>
      <c r="B12" s="411">
        <f t="shared" si="0"/>
        <v>6</v>
      </c>
      <c r="C12" s="405" t="s">
        <v>498</v>
      </c>
      <c r="D12" s="173" t="s">
        <v>525</v>
      </c>
    </row>
    <row r="13" spans="1:5">
      <c r="A13" s="405" t="s">
        <v>499</v>
      </c>
      <c r="B13" s="411">
        <f t="shared" si="0"/>
        <v>7</v>
      </c>
      <c r="C13" s="405" t="s">
        <v>500</v>
      </c>
      <c r="D13" s="173" t="s">
        <v>525</v>
      </c>
      <c r="E13" s="405" t="s">
        <v>530</v>
      </c>
    </row>
    <row r="14" spans="1:5">
      <c r="A14" s="405" t="s">
        <v>501</v>
      </c>
      <c r="B14" s="411">
        <f t="shared" ref="B14:B22" si="1">+B13+1</f>
        <v>8</v>
      </c>
      <c r="C14" s="405" t="s">
        <v>497</v>
      </c>
      <c r="D14" s="173" t="s">
        <v>525</v>
      </c>
    </row>
    <row r="15" spans="1:5">
      <c r="A15" s="405" t="s">
        <v>501</v>
      </c>
      <c r="B15" s="411">
        <f t="shared" si="1"/>
        <v>9</v>
      </c>
      <c r="C15" s="405" t="s">
        <v>498</v>
      </c>
      <c r="D15" s="173" t="s">
        <v>525</v>
      </c>
    </row>
    <row r="16" spans="1:5">
      <c r="A16" s="405" t="s">
        <v>503</v>
      </c>
      <c r="B16" s="411">
        <f t="shared" si="1"/>
        <v>10</v>
      </c>
      <c r="C16" s="405" t="s">
        <v>504</v>
      </c>
    </row>
    <row r="17" spans="1:8">
      <c r="A17" s="405" t="s">
        <v>74</v>
      </c>
      <c r="B17" s="411">
        <f t="shared" si="1"/>
        <v>11</v>
      </c>
      <c r="C17" s="405" t="s">
        <v>505</v>
      </c>
    </row>
    <row r="18" spans="1:8">
      <c r="A18" s="405" t="s">
        <v>501</v>
      </c>
      <c r="B18" s="411">
        <f t="shared" si="1"/>
        <v>12</v>
      </c>
      <c r="C18" s="405" t="s">
        <v>531</v>
      </c>
      <c r="E18" s="405" t="s">
        <v>532</v>
      </c>
    </row>
    <row r="19" spans="1:8">
      <c r="B19" s="411">
        <f t="shared" si="1"/>
        <v>13</v>
      </c>
      <c r="C19" s="405" t="s">
        <v>566</v>
      </c>
      <c r="D19" s="173" t="s">
        <v>568</v>
      </c>
      <c r="G19" s="1" t="s">
        <v>525</v>
      </c>
    </row>
    <row r="20" spans="1:8">
      <c r="B20" s="411">
        <f t="shared" si="1"/>
        <v>14</v>
      </c>
      <c r="C20" s="405" t="s">
        <v>567</v>
      </c>
      <c r="D20" s="173" t="s">
        <v>568</v>
      </c>
      <c r="G20" s="1" t="s">
        <v>525</v>
      </c>
    </row>
    <row r="21" spans="1:8">
      <c r="B21" s="411">
        <f t="shared" si="1"/>
        <v>15</v>
      </c>
      <c r="C21" s="405" t="s">
        <v>569</v>
      </c>
      <c r="D21" s="173" t="s">
        <v>568</v>
      </c>
      <c r="G21" s="1" t="s">
        <v>525</v>
      </c>
      <c r="H21" s="405" t="s">
        <v>572</v>
      </c>
    </row>
    <row r="22" spans="1:8">
      <c r="B22" s="411">
        <f t="shared" si="1"/>
        <v>16</v>
      </c>
      <c r="C22" s="405" t="s">
        <v>570</v>
      </c>
      <c r="D22" s="173" t="s">
        <v>568</v>
      </c>
    </row>
    <row r="23" spans="1:8">
      <c r="C23" s="405" t="s">
        <v>571</v>
      </c>
      <c r="D23" s="173" t="s">
        <v>568</v>
      </c>
      <c r="G23" s="1" t="s">
        <v>525</v>
      </c>
      <c r="H23" s="405" t="s">
        <v>573</v>
      </c>
    </row>
    <row r="24" spans="1:8">
      <c r="C24" s="405" t="s">
        <v>574</v>
      </c>
      <c r="D24" s="173" t="s">
        <v>568</v>
      </c>
      <c r="G24" s="1" t="s">
        <v>525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135</vt:i4>
      </vt:variant>
    </vt:vector>
  </HeadingPairs>
  <TitlesOfParts>
    <vt:vector size="248" baseType="lpstr">
      <vt:lpstr>Model Guidelines</vt:lpstr>
      <vt:lpstr>MASTER PubCo Inputs</vt:lpstr>
      <vt:lpstr>Change Log</vt:lpstr>
      <vt:lpstr>Notes &amp; Assumptions</vt:lpstr>
      <vt:lpstr>Checklist</vt:lpstr>
      <vt:lpstr>Exhibits--&gt;&gt;</vt:lpstr>
      <vt:lpstr>Title</vt:lpstr>
      <vt:lpstr>Outline</vt:lpstr>
      <vt:lpstr>Val Summ</vt:lpstr>
      <vt:lpstr>Allocation Method &gt;&gt;</vt:lpstr>
      <vt:lpstr>PWERM</vt:lpstr>
      <vt:lpstr>Exit Probability</vt:lpstr>
      <vt:lpstr>PoTS</vt:lpstr>
      <vt:lpstr>FS &gt;&gt;</vt:lpstr>
      <vt:lpstr>Forecast</vt:lpstr>
      <vt:lpstr>Hist IS</vt:lpstr>
      <vt:lpstr>Hist BS</vt:lpstr>
      <vt:lpstr>Discount Rate FP &gt;&gt;</vt:lpstr>
      <vt:lpstr>WACC PWERM</vt:lpstr>
      <vt:lpstr>RoR Stage of Dev</vt:lpstr>
      <vt:lpstr>GCM FP &gt;&gt;</vt:lpstr>
      <vt:lpstr>Comp.1</vt:lpstr>
      <vt:lpstr>Comp.6</vt:lpstr>
      <vt:lpstr>GTM FP &gt;&gt;</vt:lpstr>
      <vt:lpstr>Trans.1</vt:lpstr>
      <vt:lpstr>Trans.2</vt:lpstr>
      <vt:lpstr>Cap Structure FP &gt;&gt;</vt:lpstr>
      <vt:lpstr>Cap Table</vt:lpstr>
      <vt:lpstr>Econ Rights</vt:lpstr>
      <vt:lpstr>Support FP &gt;&gt;</vt:lpstr>
      <vt:lpstr>PWERM DLOM</vt:lpstr>
      <vt:lpstr>Asset Vol_IPO Phase I</vt:lpstr>
      <vt:lpstr>Asset Vol_IPO Phase II</vt:lpstr>
      <vt:lpstr>Asset Vol_M&amp;A IND</vt:lpstr>
      <vt:lpstr>Asset Vol_M&amp;A Phase I</vt:lpstr>
      <vt:lpstr>Asset Vol_M&amp;A Phase II</vt:lpstr>
      <vt:lpstr>Equity Vol</vt:lpstr>
      <vt:lpstr>Risk-Free Rates</vt:lpstr>
      <vt:lpstr>Non-Diversification Risk</vt:lpstr>
      <vt:lpstr>IPO Data_BioPharma</vt:lpstr>
      <vt:lpstr>IPO Data_Comparables</vt:lpstr>
      <vt:lpstr>Licensing Deals</vt:lpstr>
      <vt:lpstr>Title_Workpapers &gt; &gt;</vt:lpstr>
      <vt:lpstr>Outline_Workpapers</vt:lpstr>
      <vt:lpstr>Val Summ (2)</vt:lpstr>
      <vt:lpstr>Milestone Calcs</vt:lpstr>
      <vt:lpstr>Fixed Research Payments</vt:lpstr>
      <vt:lpstr>rNPV Assumptions_Obesity</vt:lpstr>
      <vt:lpstr>rNPV Analysis_Obesity</vt:lpstr>
      <vt:lpstr>rNPV Assumptions_Diabetes</vt:lpstr>
      <vt:lpstr>rNPV Analysis_Diabetes</vt:lpstr>
      <vt:lpstr>rNPV Assumptions_NASH</vt:lpstr>
      <vt:lpstr>rNPV Analysis_NASH</vt:lpstr>
      <vt:lpstr>Penetration Curves</vt:lpstr>
      <vt:lpstr>Cost of Capital_Avance</vt:lpstr>
      <vt:lpstr>WACC CAPM_rNPV</vt:lpstr>
      <vt:lpstr>YTW Large Pharma</vt:lpstr>
      <vt:lpstr>Obesity_WW Summary</vt:lpstr>
      <vt:lpstr>Diabetes_WW Summary</vt:lpstr>
      <vt:lpstr>NASH_WW Summary</vt:lpstr>
      <vt:lpstr>Timeline and Cost Research</vt:lpstr>
      <vt:lpstr>FDA Drug timeline</vt:lpstr>
      <vt:lpstr>PoTS _rNPV</vt:lpstr>
      <vt:lpstr>Patent Exclusivity</vt:lpstr>
      <vt:lpstr>PBC -&gt;&gt;&gt;</vt:lpstr>
      <vt:lpstr>ERP</vt:lpstr>
      <vt:lpstr>Summary</vt:lpstr>
      <vt:lpstr>Cap Table (3)</vt:lpstr>
      <vt:lpstr>Series A </vt:lpstr>
      <vt:lpstr>Series B</vt:lpstr>
      <vt:lpstr>Common Stock</vt:lpstr>
      <vt:lpstr>Options</vt:lpstr>
      <vt:lpstr>Rollforward</vt:lpstr>
      <vt:lpstr>Columbia Shares</vt:lpstr>
      <vt:lpstr>FS Monthly</vt:lpstr>
      <vt:lpstr>CAPIQ -&gt;&gt;&gt;</vt:lpstr>
      <vt:lpstr>Capital IQ Sheet-GPC</vt:lpstr>
      <vt:lpstr>Capital IQ Sheet-STM</vt:lpstr>
      <vt:lpstr>GPC Linked</vt:lpstr>
      <vt:lpstr>STM Linked</vt:lpstr>
      <vt:lpstr>&lt;DO NOT INCLUDE&gt;</vt:lpstr>
      <vt:lpstr>Comparative Sheet</vt:lpstr>
      <vt:lpstr>Beta Calc</vt:lpstr>
      <vt:lpstr>Global</vt:lpstr>
      <vt:lpstr>Sheet 1 NASH</vt:lpstr>
      <vt:lpstr>World (2)</vt:lpstr>
      <vt:lpstr>World</vt:lpstr>
      <vt:lpstr>Sheet 1_diabetes</vt:lpstr>
      <vt:lpstr>Sheet 1</vt:lpstr>
      <vt:lpstr>Val Summ_WPS</vt:lpstr>
      <vt:lpstr>OPM 1_Series B</vt:lpstr>
      <vt:lpstr>OPM 2_Series B</vt:lpstr>
      <vt:lpstr>DLOM_Implied Series B</vt:lpstr>
      <vt:lpstr>Asset Vol_Implied Series B</vt:lpstr>
      <vt:lpstr>Asset Vol_DLOM_Implied Series B</vt:lpstr>
      <vt:lpstr>Risk-Free Rates_OPM</vt:lpstr>
      <vt:lpstr>OPM 1_OIP</vt:lpstr>
      <vt:lpstr>OPM 2_OIP</vt:lpstr>
      <vt:lpstr>OPM 1 Series B Warrants</vt:lpstr>
      <vt:lpstr>OPM 2 Series B Warrants</vt:lpstr>
      <vt:lpstr>Full DLOM_OPM</vt:lpstr>
      <vt:lpstr>Asset Vol_OPM_OIP</vt:lpstr>
      <vt:lpstr>PWERM Waterfall n Allocation</vt:lpstr>
      <vt:lpstr>PWERM Waterfall n Allocation_B</vt:lpstr>
      <vt:lpstr>Market Trends since Prior Val</vt:lpstr>
      <vt:lpstr>Asset Vol_DLOM</vt:lpstr>
      <vt:lpstr>Comp.4</vt:lpstr>
      <vt:lpstr>DLOM Rest Stock</vt:lpstr>
      <vt:lpstr>Lack Voting</vt:lpstr>
      <vt:lpstr>Comp.2</vt:lpstr>
      <vt:lpstr>Comp.5</vt:lpstr>
      <vt:lpstr>List Data</vt:lpstr>
      <vt:lpstr>Template Details</vt:lpstr>
      <vt:lpstr>'Allocation Method &gt;&gt;'!Print_Area</vt:lpstr>
      <vt:lpstr>'Asset Vol_DLOM'!Print_Area</vt:lpstr>
      <vt:lpstr>'Asset Vol_DLOM_Implied Series B'!Print_Area</vt:lpstr>
      <vt:lpstr>'Asset Vol_Implied Series B'!Print_Area</vt:lpstr>
      <vt:lpstr>'Asset Vol_IPO Phase I'!Print_Area</vt:lpstr>
      <vt:lpstr>'Asset Vol_IPO Phase II'!Print_Area</vt:lpstr>
      <vt:lpstr>'Asset Vol_M&amp;A IND'!Print_Area</vt:lpstr>
      <vt:lpstr>'Asset Vol_M&amp;A Phase I'!Print_Area</vt:lpstr>
      <vt:lpstr>'Asset Vol_M&amp;A Phase II'!Print_Area</vt:lpstr>
      <vt:lpstr>'Asset Vol_OPM_OIP'!Print_Area</vt:lpstr>
      <vt:lpstr>'Beta Calc'!Print_Area</vt:lpstr>
      <vt:lpstr>'Cap Structure FP &gt;&gt;'!Print_Area</vt:lpstr>
      <vt:lpstr>'Cap Table'!Print_Area</vt:lpstr>
      <vt:lpstr>'Cap Table (3)'!Print_Area</vt:lpstr>
      <vt:lpstr>'Capital IQ Sheet-GPC'!Print_Area</vt:lpstr>
      <vt:lpstr>'Capital IQ Sheet-STM'!Print_Area</vt:lpstr>
      <vt:lpstr>Checklist!Print_Area</vt:lpstr>
      <vt:lpstr>'Common Stock'!Print_Area</vt:lpstr>
      <vt:lpstr>Comp.1!Print_Area</vt:lpstr>
      <vt:lpstr>Comp.2!Print_Area</vt:lpstr>
      <vt:lpstr>Comp.4!Print_Area</vt:lpstr>
      <vt:lpstr>Comp.5!Print_Area</vt:lpstr>
      <vt:lpstr>Comp.6!Print_Area</vt:lpstr>
      <vt:lpstr>'Comparative Sheet'!Print_Area</vt:lpstr>
      <vt:lpstr>'Cost of Capital_Avance'!Print_Area</vt:lpstr>
      <vt:lpstr>'Diabetes_WW Summary'!Print_Area</vt:lpstr>
      <vt:lpstr>'Discount Rate FP &gt;&gt;'!Print_Area</vt:lpstr>
      <vt:lpstr>'DLOM Rest Stock'!Print_Area</vt:lpstr>
      <vt:lpstr>'DLOM_Implied Series B'!Print_Area</vt:lpstr>
      <vt:lpstr>'Econ Rights'!Print_Area</vt:lpstr>
      <vt:lpstr>'Equity Vol'!Print_Area</vt:lpstr>
      <vt:lpstr>'Exit Probability'!Print_Area</vt:lpstr>
      <vt:lpstr>'FDA Drug timeline'!Print_Area</vt:lpstr>
      <vt:lpstr>'Fixed Research Payments'!Print_Area</vt:lpstr>
      <vt:lpstr>Forecast!Print_Area</vt:lpstr>
      <vt:lpstr>'FS &gt;&gt;'!Print_Area</vt:lpstr>
      <vt:lpstr>'Full DLOM_OPM'!Print_Area</vt:lpstr>
      <vt:lpstr>'GCM FP &gt;&gt;'!Print_Area</vt:lpstr>
      <vt:lpstr>'GPC Linked'!Print_Area</vt:lpstr>
      <vt:lpstr>'GTM FP &gt;&gt;'!Print_Area</vt:lpstr>
      <vt:lpstr>'Hist BS'!Print_Area</vt:lpstr>
      <vt:lpstr>'Hist IS'!Print_Area</vt:lpstr>
      <vt:lpstr>'IPO Data_BioPharma'!Print_Area</vt:lpstr>
      <vt:lpstr>'IPO Data_Comparables'!Print_Area</vt:lpstr>
      <vt:lpstr>'Lack Voting'!Print_Area</vt:lpstr>
      <vt:lpstr>'Licensing Deals'!Print_Area</vt:lpstr>
      <vt:lpstr>'Market Trends since Prior Val'!Print_Area</vt:lpstr>
      <vt:lpstr>'Milestone Calcs'!Print_Area</vt:lpstr>
      <vt:lpstr>'NASH_WW Summary'!Print_Area</vt:lpstr>
      <vt:lpstr>'Non-Diversification Risk'!Print_Area</vt:lpstr>
      <vt:lpstr>'Obesity_WW Summary'!Print_Area</vt:lpstr>
      <vt:lpstr>'OPM 1 Series B Warrants'!Print_Area</vt:lpstr>
      <vt:lpstr>'OPM 1_OIP'!Print_Area</vt:lpstr>
      <vt:lpstr>'OPM 1_Series B'!Print_Area</vt:lpstr>
      <vt:lpstr>'OPM 2 Series B Warrants'!Print_Area</vt:lpstr>
      <vt:lpstr>'OPM 2_OIP'!Print_Area</vt:lpstr>
      <vt:lpstr>'OPM 2_Series B'!Print_Area</vt:lpstr>
      <vt:lpstr>Options!Print_Area</vt:lpstr>
      <vt:lpstr>Outline!Print_Area</vt:lpstr>
      <vt:lpstr>Outline_Workpapers!Print_Area</vt:lpstr>
      <vt:lpstr>'Patent Exclusivity'!Print_Area</vt:lpstr>
      <vt:lpstr>'Penetration Curves'!Print_Area</vt:lpstr>
      <vt:lpstr>PoTS!Print_Area</vt:lpstr>
      <vt:lpstr>'PoTS _rNPV'!Print_Area</vt:lpstr>
      <vt:lpstr>PWERM!Print_Area</vt:lpstr>
      <vt:lpstr>'PWERM DLOM'!Print_Area</vt:lpstr>
      <vt:lpstr>'PWERM Waterfall n Allocation'!Print_Area</vt:lpstr>
      <vt:lpstr>'PWERM Waterfall n Allocation_B'!Print_Area</vt:lpstr>
      <vt:lpstr>'Risk-Free Rates'!Print_Area</vt:lpstr>
      <vt:lpstr>'Risk-Free Rates_OPM'!Print_Area</vt:lpstr>
      <vt:lpstr>'rNPV Analysis_Diabetes'!Print_Area</vt:lpstr>
      <vt:lpstr>'rNPV Analysis_NASH'!Print_Area</vt:lpstr>
      <vt:lpstr>'rNPV Analysis_Obesity'!Print_Area</vt:lpstr>
      <vt:lpstr>'rNPV Assumptions_Diabetes'!Print_Area</vt:lpstr>
      <vt:lpstr>'rNPV Assumptions_NASH'!Print_Area</vt:lpstr>
      <vt:lpstr>'rNPV Assumptions_Obesity'!Print_Area</vt:lpstr>
      <vt:lpstr>'RoR Stage of Dev'!Print_Area</vt:lpstr>
      <vt:lpstr>'STM Linked'!Print_Area</vt:lpstr>
      <vt:lpstr>Summary!Print_Area</vt:lpstr>
      <vt:lpstr>'Support FP &gt;&gt;'!Print_Area</vt:lpstr>
      <vt:lpstr>'Timeline and Cost Research'!Print_Area</vt:lpstr>
      <vt:lpstr>Title!Print_Area</vt:lpstr>
      <vt:lpstr>'Title_Workpapers &gt; &gt;'!Print_Area</vt:lpstr>
      <vt:lpstr>Trans.1!Print_Area</vt:lpstr>
      <vt:lpstr>Trans.2!Print_Area</vt:lpstr>
      <vt:lpstr>'Val Summ'!Print_Area</vt:lpstr>
      <vt:lpstr>'Val Summ (2)'!Print_Area</vt:lpstr>
      <vt:lpstr>'Val Summ_WPS'!Print_Area</vt:lpstr>
      <vt:lpstr>'WACC CAPM_rNPV'!Print_Area</vt:lpstr>
      <vt:lpstr>'WACC PWERM'!Print_Area</vt:lpstr>
      <vt:lpstr>'YTW Large Pharma'!Print_Area</vt:lpstr>
      <vt:lpstr>'Common Stock'!Print_Titles</vt:lpstr>
      <vt:lpstr>Comp.1!Print_Titles</vt:lpstr>
      <vt:lpstr>Comp.2!Print_Titles</vt:lpstr>
      <vt:lpstr>Comp.4!Print_Titles</vt:lpstr>
      <vt:lpstr>Comp.5!Print_Titles</vt:lpstr>
      <vt:lpstr>Comp.6!Print_Titles</vt:lpstr>
      <vt:lpstr>'Comparative Sheet'!Print_Titles</vt:lpstr>
      <vt:lpstr>'Diabetes_WW Summary'!Print_Titles</vt:lpstr>
      <vt:lpstr>'DLOM_Implied Series B'!Print_Titles</vt:lpstr>
      <vt:lpstr>'FDA Drug timeline'!Print_Titles</vt:lpstr>
      <vt:lpstr>'Fixed Research Payments'!Print_Titles</vt:lpstr>
      <vt:lpstr>Forecast!Print_Titles</vt:lpstr>
      <vt:lpstr>'Full DLOM_OPM'!Print_Titles</vt:lpstr>
      <vt:lpstr>'IPO Data_BioPharma'!Print_Titles</vt:lpstr>
      <vt:lpstr>'IPO Data_Comparables'!Print_Titles</vt:lpstr>
      <vt:lpstr>'Licensing Deals'!Print_Titles</vt:lpstr>
      <vt:lpstr>'Market Trends since Prior Val'!Print_Titles</vt:lpstr>
      <vt:lpstr>'Milestone Calcs'!Print_Titles</vt:lpstr>
      <vt:lpstr>'NASH_WW Summary'!Print_Titles</vt:lpstr>
      <vt:lpstr>'Non-Diversification Risk'!Print_Titles</vt:lpstr>
      <vt:lpstr>'Obesity_WW Summary'!Print_Titles</vt:lpstr>
      <vt:lpstr>'OPM 1 Series B Warrants'!Print_Titles</vt:lpstr>
      <vt:lpstr>'OPM 1_OIP'!Print_Titles</vt:lpstr>
      <vt:lpstr>'OPM 1_Series B'!Print_Titles</vt:lpstr>
      <vt:lpstr>'Penetration Curves'!Print_Titles</vt:lpstr>
      <vt:lpstr>PoTS!Print_Titles</vt:lpstr>
      <vt:lpstr>'PoTS _rNPV'!Print_Titles</vt:lpstr>
      <vt:lpstr>PWERM!Print_Titles</vt:lpstr>
      <vt:lpstr>'PWERM DLOM'!Print_Titles</vt:lpstr>
      <vt:lpstr>'PWERM Waterfall n Allocation'!Print_Titles</vt:lpstr>
      <vt:lpstr>'PWERM Waterfall n Allocation_B'!Print_Titles</vt:lpstr>
      <vt:lpstr>'Risk-Free Rates'!Print_Titles</vt:lpstr>
      <vt:lpstr>'Risk-Free Rates_OPM'!Print_Titles</vt:lpstr>
      <vt:lpstr>'rNPV Analysis_Diabetes'!Print_Titles</vt:lpstr>
      <vt:lpstr>'rNPV Analysis_NASH'!Print_Titles</vt:lpstr>
      <vt:lpstr>'rNPV Analysis_Obesity'!Print_Titles</vt:lpstr>
      <vt:lpstr>'rNPV Assumptions_Diabetes'!Print_Titles</vt:lpstr>
      <vt:lpstr>'rNPV Assumptions_NASH'!Print_Titles</vt:lpstr>
      <vt:lpstr>'rNPV Assumptions_Obesity'!Print_Titles</vt:lpstr>
      <vt:lpstr>'Timeline and Cost Research'!Print_Titles</vt:lpstr>
      <vt:lpstr>Trans.1!Print_Titles</vt:lpstr>
      <vt:lpstr>Trans.2!Print_Titles</vt:lpstr>
      <vt:lpstr>'Val Summ (2)'!Print_Titles</vt:lpstr>
      <vt:lpstr>'YTW Large Pharma'!Print_Titles</vt:lpstr>
    </vt:vector>
  </TitlesOfParts>
  <Company>Burr Pilger Mayer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Priyadarshini Pant</cp:lastModifiedBy>
  <cp:lastPrinted>2018-08-22T03:53:03Z</cp:lastPrinted>
  <dcterms:created xsi:type="dcterms:W3CDTF">2014-03-18T02:31:57Z</dcterms:created>
  <dcterms:modified xsi:type="dcterms:W3CDTF">2018-09-03T06:34:48Z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Color">
    <vt:lpwstr>False</vt:lpwstr>
  </property>
</Properties>
</file>